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pivotTables/pivotTable1.xml" ContentType="application/vnd.openxmlformats-officedocument.spreadsheetml.pivotTable+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omments2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7.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Override PartName="/xl/threadedComments/threadedComment9.xml" ContentType="application/vnd.ms-excel.threadedcomments+xml"/>
  <Override PartName="/xl/threadedComments/threadedComment10.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hidePivotFieldList="1" defaultThemeVersion="124226"/>
  <mc:AlternateContent xmlns:mc="http://schemas.openxmlformats.org/markup-compatibility/2006">
    <mc:Choice Requires="x15">
      <x15ac:absPath xmlns:x15ac="http://schemas.microsoft.com/office/spreadsheetml/2010/11/ac" url="https://netorgft4117119-my.sharepoint.com/personal/celia_celiajohnsonconsulting_com/Documents/IL SAG Website/SAG Website- Policy/Adjustable Savings Goals/2022 Final Adj Savings Goals/"/>
    </mc:Choice>
  </mc:AlternateContent>
  <xr:revisionPtr revIDLastSave="0" documentId="8_{29C3580F-7029-49FC-BB9B-17881BEC0D6A}" xr6:coauthVersionLast="47" xr6:coauthVersionMax="47" xr10:uidLastSave="{00000000-0000-0000-0000-000000000000}"/>
  <bookViews>
    <workbookView xWindow="28680" yWindow="-120" windowWidth="29040" windowHeight="15840" firstSheet="1" activeTab="1" xr2:uid="{00000000-000D-0000-FFFF-FFFF00000000}"/>
  </bookViews>
  <sheets>
    <sheet name="Guidelines" sheetId="1" r:id="rId1"/>
    <sheet name="Program-Level Adjustments" sheetId="2" r:id="rId2"/>
    <sheet name="Measure-Level Adjustments" sheetId="4" r:id="rId3"/>
    <sheet name="4.2.1" sheetId="6" r:id="rId4"/>
    <sheet name="4.2.3" sheetId="7" r:id="rId5"/>
    <sheet name="4.2.4" sheetId="8" r:id="rId6"/>
    <sheet name="4.2.5" sheetId="9" r:id="rId7"/>
    <sheet name="4.2.6" sheetId="63" r:id="rId8"/>
    <sheet name="4.2.7" sheetId="10" r:id="rId9"/>
    <sheet name="4.2.8" sheetId="11" r:id="rId10"/>
    <sheet name="4.2.11" sheetId="12" r:id="rId11"/>
    <sheet name="4.2.12" sheetId="13" r:id="rId12"/>
    <sheet name="4.2.13" sheetId="14" r:id="rId13"/>
    <sheet name="4.2.16" sheetId="62" r:id="rId14"/>
    <sheet name="4.2.14" sheetId="15" r:id="rId15"/>
    <sheet name="4.2.15" sheetId="16" r:id="rId16"/>
    <sheet name="4.2.17" sheetId="17" r:id="rId17"/>
    <sheet name="4.2.18" sheetId="18" r:id="rId18"/>
    <sheet name="4.3.1" sheetId="19" r:id="rId19"/>
    <sheet name="4.3.2" sheetId="20" r:id="rId20"/>
    <sheet name="4.3.3" sheetId="21" r:id="rId21"/>
    <sheet name="4.3.4" sheetId="22" r:id="rId22"/>
    <sheet name="4.3.6" sheetId="23" r:id="rId23"/>
    <sheet name="4.3.8" sheetId="65" r:id="rId24"/>
    <sheet name="4.4.2" sheetId="24" r:id="rId25"/>
    <sheet name="4.4.3" sheetId="25" r:id="rId26"/>
    <sheet name="4.4.4" sheetId="26" r:id="rId27"/>
    <sheet name="4.4.5" sheetId="27" r:id="rId28"/>
    <sheet name="4.4.10" sheetId="64" r:id="rId29"/>
    <sheet name="4.4.11" sheetId="29" r:id="rId30"/>
    <sheet name="4.4.12" sheetId="30" r:id="rId31"/>
    <sheet name="4.4.14" sheetId="31" r:id="rId32"/>
    <sheet name="4.4.24 " sheetId="35" r:id="rId33"/>
    <sheet name="4.4.16" sheetId="32" r:id="rId34"/>
    <sheet name="4.4.18" sheetId="33" r:id="rId35"/>
    <sheet name="4.4.19" sheetId="34" r:id="rId36"/>
    <sheet name="4.4.36" sheetId="85" r:id="rId37"/>
    <sheet name="4.4.38" sheetId="77" r:id="rId38"/>
    <sheet name="4.4.47" sheetId="67" r:id="rId39"/>
    <sheet name="4.4.48" sheetId="54" r:id="rId40"/>
    <sheet name="4.4.49" sheetId="70" r:id="rId41"/>
    <sheet name="4.4.52" sheetId="69" r:id="rId42"/>
    <sheet name="4.8.4" sheetId="36" r:id="rId43"/>
    <sheet name="4.8.12" sheetId="68" r:id="rId44"/>
    <sheet name="4.8.16" sheetId="66" r:id="rId45"/>
    <sheet name="5.3.4" sheetId="37" r:id="rId46"/>
    <sheet name="5.3.6" sheetId="38" r:id="rId47"/>
    <sheet name="5.3.7" sheetId="39" r:id="rId48"/>
    <sheet name="5.3.11" sheetId="40" r:id="rId49"/>
    <sheet name="5.3.13" sheetId="41" r:id="rId50"/>
    <sheet name="5.3.16" sheetId="71" r:id="rId51"/>
    <sheet name="5.3.17" sheetId="76" r:id="rId52"/>
    <sheet name="5.3.19" sheetId="74" r:id="rId53"/>
    <sheet name="5.4.1" sheetId="43" r:id="rId54"/>
    <sheet name="5.4.2" sheetId="44" r:id="rId55"/>
    <sheet name="5.4.4" sheetId="45" r:id="rId56"/>
    <sheet name="5.4.5" sheetId="46" r:id="rId57"/>
    <sheet name="5.4.6" sheetId="47" r:id="rId58"/>
    <sheet name="5.4.9" sheetId="78" r:id="rId59"/>
    <sheet name="5.4.11" sheetId="73" r:id="rId60"/>
    <sheet name="5.6.1" sheetId="48" r:id="rId61"/>
    <sheet name="5.6.1 Kit 4" sheetId="79" r:id="rId62"/>
    <sheet name="5.6.2" sheetId="49" r:id="rId63"/>
    <sheet name="5.6.3" sheetId="50" r:id="rId64"/>
    <sheet name="5.6.4&amp;5.6.5" sheetId="51" r:id="rId65"/>
    <sheet name="5.6.6" sheetId="75" r:id="rId66"/>
    <sheet name="5.6.7" sheetId="72" r:id="rId67"/>
    <sheet name="Kits" sheetId="52" r:id="rId68"/>
    <sheet name="RNC" sheetId="86" r:id="rId69"/>
    <sheet name="RNC - Prescriptive Adjustment" sheetId="87" r:id="rId70"/>
    <sheet name="List" sheetId="53" r:id="rId71"/>
    <sheet name="Customized TRM 4.2.11" sheetId="58" r:id="rId72"/>
    <sheet name="Customized TRM 4.4.14" sheetId="83" r:id="rId73"/>
    <sheet name="Customized TRM 4.4.48" sheetId="82" r:id="rId74"/>
    <sheet name="Column Labels" sheetId="88"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s>
  <definedNames>
    <definedName name="\A" localSheetId="0">#REF!</definedName>
    <definedName name="\A" localSheetId="2">#REF!</definedName>
    <definedName name="\A" localSheetId="1">#REF!</definedName>
    <definedName name="\AA" localSheetId="0">#REF!</definedName>
    <definedName name="\AA" localSheetId="2">#REF!</definedName>
    <definedName name="\AA" localSheetId="1">#REF!</definedName>
    <definedName name="\B" localSheetId="0">#REF!</definedName>
    <definedName name="\B" localSheetId="2">#REF!</definedName>
    <definedName name="\B" localSheetId="1">#REF!</definedName>
    <definedName name="\C" localSheetId="0">#REF!</definedName>
    <definedName name="\C" localSheetId="2">#REF!</definedName>
    <definedName name="\C" localSheetId="1">#REF!</definedName>
    <definedName name="\D" localSheetId="0">#REF!</definedName>
    <definedName name="\D" localSheetId="2">#REF!</definedName>
    <definedName name="\D" localSheetId="1">#REF!</definedName>
    <definedName name="\I" localSheetId="0">#REF!</definedName>
    <definedName name="\I" localSheetId="2">#REF!</definedName>
    <definedName name="\I" localSheetId="1">#REF!</definedName>
    <definedName name="\J" localSheetId="0">#REF!</definedName>
    <definedName name="\J" localSheetId="2">#REF!</definedName>
    <definedName name="\J" localSheetId="1">#REF!</definedName>
    <definedName name="\P" localSheetId="0">#REF!</definedName>
    <definedName name="\P" localSheetId="2">#REF!</definedName>
    <definedName name="\P" localSheetId="1">#REF!</definedName>
    <definedName name="\Q" localSheetId="0">#REF!</definedName>
    <definedName name="\Q" localSheetId="2">#REF!</definedName>
    <definedName name="\Q" localSheetId="1">#REF!</definedName>
    <definedName name="\R" localSheetId="0">#REF!</definedName>
    <definedName name="\R" localSheetId="2">#REF!</definedName>
    <definedName name="\R" localSheetId="1">#REF!</definedName>
    <definedName name="\S" localSheetId="0">#REF!</definedName>
    <definedName name="\S" localSheetId="2">#REF!</definedName>
    <definedName name="\S" localSheetId="1">#REF!</definedName>
    <definedName name="\X" localSheetId="0">#REF!</definedName>
    <definedName name="\X" localSheetId="2">#REF!</definedName>
    <definedName name="\X" localSheetId="1">#REF!</definedName>
    <definedName name="__123Graph_A" hidden="1">'[1]Ptnr Returns'!#REF!</definedName>
    <definedName name="__123Graph_B" hidden="1">'[2]Forecast Fuel'!#REF!</definedName>
    <definedName name="_A" localSheetId="0">#REF!</definedName>
    <definedName name="_A" localSheetId="2">#REF!</definedName>
    <definedName name="_A" localSheetId="1">#REF!</definedName>
    <definedName name="_B" localSheetId="0">#REF!</definedName>
    <definedName name="_B" localSheetId="2">#REF!</definedName>
    <definedName name="_B" localSheetId="1">#REF!</definedName>
    <definedName name="_C" localSheetId="0">#REF!</definedName>
    <definedName name="_C" localSheetId="2">#REF!</definedName>
    <definedName name="_C" localSheetId="1">#REF!</definedName>
    <definedName name="_xlnm._FilterDatabase" localSheetId="56" hidden="1">'5.4.5'!$A$3:$AI$7</definedName>
    <definedName name="_xlnm._FilterDatabase" localSheetId="58" hidden="1">'5.4.9'!$A$3:$AH$4</definedName>
    <definedName name="_xlnm._FilterDatabase" localSheetId="2" hidden="1">'Measure-Level Adjustments'!$A$6:$CW$621</definedName>
    <definedName name="_ftn1" localSheetId="45">'5.3.4'!#REF!</definedName>
    <definedName name="_ftn1" localSheetId="61">'5.6.1 Kit 4'!$D$40</definedName>
    <definedName name="_ftn2" localSheetId="18">'4.3.1'!$A$72</definedName>
    <definedName name="_ftn2" localSheetId="45">'5.3.4'!#REF!</definedName>
    <definedName name="_ftn2" localSheetId="61">'5.6.1 Kit 4'!$D$41</definedName>
    <definedName name="_ftn3" localSheetId="19">'4.3.2'!#REF!</definedName>
    <definedName name="_ftn3" localSheetId="50">'5.3.16'!$B$123</definedName>
    <definedName name="_ftn4" localSheetId="56">'5.4.5'!$H$96</definedName>
    <definedName name="_ftn4" localSheetId="58">'5.4.9'!$H$74</definedName>
    <definedName name="_ftnref1" localSheetId="45">'5.3.4'!#REF!</definedName>
    <definedName name="_ftnref1" localSheetId="61">'5.6.1 Kit 4'!$B$44</definedName>
    <definedName name="_ftnref2" localSheetId="45">'5.3.4'!#REF!</definedName>
    <definedName name="_ftnref2" localSheetId="55">'5.4.4'!$C$99</definedName>
    <definedName name="_ftnref2" localSheetId="61">'5.6.1 Kit 4'!$B$49</definedName>
    <definedName name="_ftnref3" localSheetId="19">'4.3.2'!$F$71</definedName>
    <definedName name="_ftnref3" localSheetId="55">'5.4.4'!$C$101</definedName>
    <definedName name="_ftnref4" localSheetId="56">'5.4.5'!$J$91</definedName>
    <definedName name="_ftnref4" localSheetId="58">'5.4.9'!$J$69</definedName>
    <definedName name="_guide" localSheetId="2">#REF!</definedName>
    <definedName name="_guide" localSheetId="1">#REF!</definedName>
    <definedName name="_Key1" hidden="1">#REF!</definedName>
    <definedName name="_Key2" hidden="1">#REF!</definedName>
    <definedName name="_Order1" hidden="1">0</definedName>
    <definedName name="_Order2" hidden="1">255</definedName>
    <definedName name="_Ref325899123" localSheetId="30">'4.4.12'!$B$4</definedName>
    <definedName name="_Sort" hidden="1">#REF!</definedName>
    <definedName name="_Toc319489360" localSheetId="45">'5.3.4'!#REF!</definedName>
    <definedName name="_Toc441221844" localSheetId="36">'4.4.36'!$B$2</definedName>
    <definedName name="_xlcn.WorksheetConnection_BoilerInputCapacityAllProgramsPY57.xlsxTable1_2" hidden="1">[3]!Table1_2</definedName>
    <definedName name="_xlcn.WorksheetConnection_BoilerInputCapacityAllProgramsPY57.xlsxTable1_211" hidden="1">[4]!Table1_2</definedName>
    <definedName name="_xlcn.WorksheetConnection_HEERAdvThermostatDataAI1" hidden="1">'[58]HEER Adv Thermostat Data'!$A:$I</definedName>
    <definedName name="a" localSheetId="23">#REF!</definedName>
    <definedName name="a" localSheetId="34">#REF!</definedName>
    <definedName name="a" localSheetId="35">#REF!</definedName>
    <definedName name="a" localSheetId="36">#REF!</definedName>
    <definedName name="a" localSheetId="37">#REF!</definedName>
    <definedName name="a" localSheetId="40">#REF!</definedName>
    <definedName name="a" localSheetId="41">#REF!</definedName>
    <definedName name="a" localSheetId="42">#REF!</definedName>
    <definedName name="a" localSheetId="2">#REF!</definedName>
    <definedName name="a">#REF!</definedName>
    <definedName name="A_CT_S">#REF!</definedName>
    <definedName name="A_EP_S">#REF!</definedName>
    <definedName name="A_ET_C">#REF!</definedName>
    <definedName name="A_ET_S">#REF!</definedName>
    <definedName name="aa" localSheetId="23">#REF!</definedName>
    <definedName name="aa" localSheetId="34">#REF!</definedName>
    <definedName name="aa" localSheetId="35">#REF!</definedName>
    <definedName name="aa" localSheetId="36">#REF!</definedName>
    <definedName name="aa" localSheetId="37">#REF!</definedName>
    <definedName name="aa" localSheetId="40">#REF!</definedName>
    <definedName name="aa" localSheetId="41">#REF!</definedName>
    <definedName name="aa" localSheetId="42">#REF!</definedName>
    <definedName name="aa" localSheetId="2">#REF!</definedName>
    <definedName name="aa">#REF!</definedName>
    <definedName name="aaa" localSheetId="23">#REF!</definedName>
    <definedName name="aaa" localSheetId="34">#REF!</definedName>
    <definedName name="aaa" localSheetId="35">#REF!</definedName>
    <definedName name="aaa" localSheetId="36">#REF!</definedName>
    <definedName name="aaa" localSheetId="37">#REF!</definedName>
    <definedName name="aaa" localSheetId="40">#REF!</definedName>
    <definedName name="aaa" localSheetId="41">#REF!</definedName>
    <definedName name="aaa" localSheetId="42">#REF!</definedName>
    <definedName name="aaa" localSheetId="2">#REF!</definedName>
    <definedName name="aaa">#REF!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CWCF1" localSheetId="13">'[5]4.6.1'!$B$11:$B$12</definedName>
    <definedName name="ADCWCF1" localSheetId="7">'[5]4.6.1'!$B$11:$B$12</definedName>
    <definedName name="ADCWCF1" localSheetId="23">'[5]4.6.1'!$B$11:$B$12</definedName>
    <definedName name="ADCWCF1" localSheetId="34">'[6]4.6.1'!$B$11:$B$12</definedName>
    <definedName name="ADCWCF1" localSheetId="35">'[6]4.6.1'!$B$11:$B$12</definedName>
    <definedName name="ADCWCF1" localSheetId="36">'[5]4.6.1'!$B$11:$B$12</definedName>
    <definedName name="ADCWCF1" localSheetId="37">'[5]4.6.1'!$B$11:$B$12</definedName>
    <definedName name="ADCWCF1" localSheetId="40">'[5]4.6.1'!$B$11:$B$12</definedName>
    <definedName name="ADCWCF1" localSheetId="41">'[5]4.6.1'!$B$11:$B$12</definedName>
    <definedName name="ADCWCF1" localSheetId="42">'[6]4.6.1'!$B$11:$B$12</definedName>
    <definedName name="ADCWCF1">'[7]4.6.1'!$B$11:$B$12</definedName>
    <definedName name="adsf" hidden="1">#REF!</definedName>
    <definedName name="AETS">#REF!</definedName>
    <definedName name="AHU471_HRLY_Tbl">#REF!</definedName>
    <definedName name="AnalysisYear">'[8]Discounting Tables'!$B$4</definedName>
    <definedName name="ArSl1" localSheetId="13">'[9]5.6.1'!$P$7:$P$9</definedName>
    <definedName name="ArSl1" localSheetId="7">'[9]5.6.1'!$P$7:$P$9</definedName>
    <definedName name="ArSl1" localSheetId="23">'[9]5.6.1'!$P$7:$P$9</definedName>
    <definedName name="ArSl1" localSheetId="28">'[10]5.6.1'!$P$7:$P$9</definedName>
    <definedName name="ArSl1" localSheetId="33">'[10]5.6.1'!$P$7:$P$9</definedName>
    <definedName name="ArSl1" localSheetId="34">'[9]5.6.1'!$P$7:$P$9</definedName>
    <definedName name="ArSl1" localSheetId="35">'[9]5.6.1'!$P$7:$P$9</definedName>
    <definedName name="ArSl1" localSheetId="36">'[9]5.6.1'!$P$7:$P$9</definedName>
    <definedName name="ArSl1" localSheetId="37">'[9]5.6.1'!$P$7:$P$9</definedName>
    <definedName name="ArSl1" localSheetId="38">'[10]5.6.1'!$P$7:$P$9</definedName>
    <definedName name="ArSl1" localSheetId="39">'[10]5.6.1'!$P$7:$P$9</definedName>
    <definedName name="ArSl1" localSheetId="40">'[10]5.6.1'!$P$7:$P$9</definedName>
    <definedName name="ArSl1" localSheetId="41">'[10]5.6.1'!$P$7:$P$9</definedName>
    <definedName name="ArSl1" localSheetId="43">'[10]5.6.1'!$P$7:$P$9</definedName>
    <definedName name="ArSl1" localSheetId="44">'[10]5.6.1'!$P$7:$P$9</definedName>
    <definedName name="ArSl1" localSheetId="42">'[9]5.6.1'!$P$7:$P$9</definedName>
    <definedName name="ArSl1" localSheetId="49">'[10]5.6.1'!$P$7:$P$9</definedName>
    <definedName name="ArSl1" localSheetId="50">'[11]5.6.1'!$A$140:$A$142</definedName>
    <definedName name="ArSl1" localSheetId="51">'[10]5.6.1'!$P$7:$P$9</definedName>
    <definedName name="ArSl1" localSheetId="52">'[10]5.6.1'!$P$7:$P$9</definedName>
    <definedName name="ArSl1" localSheetId="45">'[10]5.6.1'!$P$7:$P$9</definedName>
    <definedName name="ArSl1" localSheetId="47">'[12]5.6.1'!$P$7:$P$9</definedName>
    <definedName name="ArSl1" localSheetId="53">'[10]5.6.1'!$P$7:$P$9</definedName>
    <definedName name="ArSl1" localSheetId="59">'[10]5.6.1'!$P$7:$P$9</definedName>
    <definedName name="ArSl1" localSheetId="54">'[13]5.6.1'!$A$129:$A$131</definedName>
    <definedName name="ArSl1" localSheetId="57">'[10]5.6.1'!$P$7:$P$9</definedName>
    <definedName name="ArSl1" localSheetId="58">'[11]5.6.1'!$A$140:$A$142</definedName>
    <definedName name="ArSl1" localSheetId="61">'[11]5.6.1'!$A$131:$A$133</definedName>
    <definedName name="ArSl1" localSheetId="63">'[10]5.6.1'!$P$7:$P$9</definedName>
    <definedName name="ArSl1" localSheetId="65">'[11]5.6.1'!$A$140:$A$142</definedName>
    <definedName name="ArSl1" localSheetId="66">'[10]5.6.1'!$P$7:$P$9</definedName>
    <definedName name="ArSl1" localSheetId="72">'[11]5.6.1'!$A$131:$A$133</definedName>
    <definedName name="ArSl1" localSheetId="73">'[11]5.6.1'!$A$131:$A$133</definedName>
    <definedName name="ArSl1" localSheetId="70">'[10]5.6.1'!$P$7:$P$9</definedName>
    <definedName name="ArSl1" localSheetId="68">'[11]5.6.1'!$A$131:$A$133</definedName>
    <definedName name="ArSl1">'[14]5.6.1'!$A$129:$A$131</definedName>
    <definedName name="ArSl2" localSheetId="13">'[9]5.6.1'!$H$48:$H$50</definedName>
    <definedName name="ArSl2" localSheetId="7">'[9]5.6.1'!$H$48:$H$50</definedName>
    <definedName name="ArSl2" localSheetId="23">'[9]5.6.1'!$H$48:$H$50</definedName>
    <definedName name="ArSl2" localSheetId="33">'[10]5.6.1'!$H$49:$H$51</definedName>
    <definedName name="ArSl2" localSheetId="34">'[9]5.6.1'!$H$48:$H$50</definedName>
    <definedName name="ArSl2" localSheetId="35">'[9]5.6.1'!$H$48:$H$50</definedName>
    <definedName name="ArSl2" localSheetId="36">'[9]5.6.1'!$H$48:$H$50</definedName>
    <definedName name="ArSl2" localSheetId="37">'[9]5.6.1'!$H$48:$H$50</definedName>
    <definedName name="ArSl2" localSheetId="40">'[10]5.6.1'!$H$49:$H$51</definedName>
    <definedName name="ArSl2" localSheetId="41">'[10]5.6.1'!$H$49:$H$51</definedName>
    <definedName name="ArSl2" localSheetId="42">'[9]5.6.1'!$H$48:$H$50</definedName>
    <definedName name="ArSl2" localSheetId="49">'[10]5.6.1'!$H$49:$H$51</definedName>
    <definedName name="ArSl2" localSheetId="50">'[11]5.6.1'!#REF!</definedName>
    <definedName name="ArSl2" localSheetId="51">'[10]5.6.1'!$H$49:$H$51</definedName>
    <definedName name="ArSl2" localSheetId="45">'[10]5.6.1'!$H$49:$H$51</definedName>
    <definedName name="ArSl2" localSheetId="46">'[14]5.6.1'!#REF!</definedName>
    <definedName name="ArSl2" localSheetId="47">'[12]5.6.1'!$H$49:$H$51</definedName>
    <definedName name="ArSl2" localSheetId="53">'[10]5.6.1'!$H$49:$H$51</definedName>
    <definedName name="ArSl2" localSheetId="54">'[13]5.6.1'!#REF!</definedName>
    <definedName name="ArSl2" localSheetId="55">'[14]5.6.1'!#REF!</definedName>
    <definedName name="ArSl2" localSheetId="57">'[10]5.6.1'!$H$49:$H$51</definedName>
    <definedName name="ArSl2" localSheetId="58">'[11]5.6.1'!#REF!</definedName>
    <definedName name="ArSl2" localSheetId="61">'[11]5.6.1'!#REF!</definedName>
    <definedName name="ArSl2" localSheetId="62">'[14]5.6.1'!#REF!</definedName>
    <definedName name="ArSl2" localSheetId="63">'[10]5.6.1'!$H$49:$H$51</definedName>
    <definedName name="ArSl2" localSheetId="64">'[14]5.6.1'!#REF!</definedName>
    <definedName name="ArSl2" localSheetId="65">'[11]5.6.1'!#REF!</definedName>
    <definedName name="ArSl2" localSheetId="72">'[11]5.6.1'!#REF!</definedName>
    <definedName name="ArSl2" localSheetId="73">'[11]5.6.1'!#REF!</definedName>
    <definedName name="ArSl2" localSheetId="70">'[10]5.6.1'!$H$49:$H$51</definedName>
    <definedName name="ArSl2" localSheetId="2">'[15]5.6.1'!#REF!</definedName>
    <definedName name="ArSl2" localSheetId="68">'[11]5.6.1'!#REF!</definedName>
    <definedName name="ArSl2">'[10]5.6.1'!$H$49:$H$51</definedName>
    <definedName name="ArSl3" localSheetId="13">'[9]5.6.1'!$J$47:$M$47</definedName>
    <definedName name="ArSl3" localSheetId="7">'[9]5.6.1'!$J$47:$M$47</definedName>
    <definedName name="ArSl3" localSheetId="23">'[9]5.6.1'!$J$47:$M$47</definedName>
    <definedName name="ArSl3" localSheetId="28">'[10]5.6.1'!$J$48:$M$48</definedName>
    <definedName name="ArSl3" localSheetId="33">'[10]5.6.1'!$J$48:$M$48</definedName>
    <definedName name="ArSl3" localSheetId="34">'[9]5.6.1'!$J$47:$M$47</definedName>
    <definedName name="ArSl3" localSheetId="35">'[9]5.6.1'!$J$47:$M$47</definedName>
    <definedName name="ArSl3" localSheetId="36">'[9]5.6.1'!$J$47:$M$47</definedName>
    <definedName name="ArSl3" localSheetId="37">'[9]5.6.1'!$J$47:$M$47</definedName>
    <definedName name="ArSl3" localSheetId="38">'[10]5.6.1'!$J$48:$M$48</definedName>
    <definedName name="ArSl3" localSheetId="39">'[10]5.6.1'!$J$48:$M$48</definedName>
    <definedName name="ArSl3" localSheetId="40">'[10]5.6.1'!$J$48:$M$48</definedName>
    <definedName name="ArSl3" localSheetId="41">'[10]5.6.1'!$J$48:$M$48</definedName>
    <definedName name="ArSl3" localSheetId="43">'[10]5.6.1'!$J$48:$M$48</definedName>
    <definedName name="ArSl3" localSheetId="44">'[10]5.6.1'!$J$48:$M$48</definedName>
    <definedName name="ArSl3" localSheetId="42">'[9]5.6.1'!$J$47:$M$47</definedName>
    <definedName name="ArSl3" localSheetId="49">'[10]5.6.1'!$J$48:$M$48</definedName>
    <definedName name="ArSl3" localSheetId="51">'[10]5.6.1'!$J$48:$M$48</definedName>
    <definedName name="ArSl3" localSheetId="52">'[10]5.6.1'!$J$48:$M$48</definedName>
    <definedName name="ArSl3" localSheetId="45">'[10]5.6.1'!$J$48:$M$48</definedName>
    <definedName name="ArSl3" localSheetId="47">'[12]5.6.1'!$J$48:$M$48</definedName>
    <definedName name="ArSl3" localSheetId="53">'[10]5.6.1'!$J$48:$M$48</definedName>
    <definedName name="ArSl3" localSheetId="59">'[10]5.6.1'!$J$48:$M$48</definedName>
    <definedName name="ArSl3" localSheetId="57">'[10]5.6.1'!$J$48:$M$48</definedName>
    <definedName name="ArSl3" localSheetId="63">'[10]5.6.1'!$J$48:$M$48</definedName>
    <definedName name="ArSl3" localSheetId="66">'[10]5.6.1'!$J$48:$M$48</definedName>
    <definedName name="ArSl3" localSheetId="70">'[10]5.6.1'!$J$48:$M$48</definedName>
    <definedName name="ArSl3">'[14]5.6.1'!$J$122:$J$122</definedName>
    <definedName name="ArSl4" localSheetId="13">'[9]5.6.1'!$M$14:$M$15</definedName>
    <definedName name="ArSl4" localSheetId="7">'[9]5.6.1'!$M$14:$M$15</definedName>
    <definedName name="ArSl4" localSheetId="23">'[9]5.6.1'!$M$14:$M$15</definedName>
    <definedName name="ArSl4" localSheetId="28">'[10]5.6.1'!$M$14:$M$15</definedName>
    <definedName name="ArSl4" localSheetId="33">'[10]5.6.1'!$M$14:$M$15</definedName>
    <definedName name="ArSl4" localSheetId="34">'[9]5.6.1'!$M$14:$M$15</definedName>
    <definedName name="ArSl4" localSheetId="35">'[9]5.6.1'!$M$14:$M$15</definedName>
    <definedName name="ArSl4" localSheetId="36">'[9]5.6.1'!$M$14:$M$15</definedName>
    <definedName name="ArSl4" localSheetId="37">'[9]5.6.1'!$M$14:$M$15</definedName>
    <definedName name="ArSl4" localSheetId="38">'[10]5.6.1'!$M$14:$M$15</definedName>
    <definedName name="ArSl4" localSheetId="39">'[10]5.6.1'!$M$14:$M$15</definedName>
    <definedName name="ArSl4" localSheetId="40">'[10]5.6.1'!$M$14:$M$15</definedName>
    <definedName name="ArSl4" localSheetId="41">'[10]5.6.1'!$M$14:$M$15</definedName>
    <definedName name="ArSl4" localSheetId="43">'[10]5.6.1'!$M$14:$M$15</definedName>
    <definedName name="ArSl4" localSheetId="44">'[10]5.6.1'!$M$14:$M$15</definedName>
    <definedName name="ArSl4" localSheetId="42">'[9]5.6.1'!$M$14:$M$15</definedName>
    <definedName name="ArSl4" localSheetId="49">'[10]5.6.1'!$M$14:$M$15</definedName>
    <definedName name="ArSl4" localSheetId="50">'[11]5.6.1'!$A$135:$A$136</definedName>
    <definedName name="ArSl4" localSheetId="51">'[10]5.6.1'!$M$14:$M$15</definedName>
    <definedName name="ArSl4" localSheetId="52">'[10]5.6.1'!$M$14:$M$15</definedName>
    <definedName name="ArSl4" localSheetId="45">'[10]5.6.1'!$M$14:$M$15</definedName>
    <definedName name="ArSl4" localSheetId="47">'[12]5.6.1'!$M$14:$M$15</definedName>
    <definedName name="ArSl4" localSheetId="53">'[10]5.6.1'!$M$14:$M$15</definedName>
    <definedName name="ArSl4" localSheetId="59">'[10]5.6.1'!$M$14:$M$15</definedName>
    <definedName name="ArSl4" localSheetId="54">'[13]5.6.1'!$A$124:$A$125</definedName>
    <definedName name="ArSl4" localSheetId="57">'[10]5.6.1'!$M$14:$M$15</definedName>
    <definedName name="ArSl4" localSheetId="58">'[11]5.6.1'!$A$135:$A$136</definedName>
    <definedName name="ArSl4" localSheetId="61">'[11]5.6.1'!$A$126:$A$127</definedName>
    <definedName name="ArSl4" localSheetId="63">'[10]5.6.1'!$M$14:$M$15</definedName>
    <definedName name="ArSl4" localSheetId="65">'[11]5.6.1'!$A$135:$A$136</definedName>
    <definedName name="ArSl4" localSheetId="66">'[10]5.6.1'!$M$14:$M$15</definedName>
    <definedName name="ArSl4" localSheetId="72">'[11]5.6.1'!$A$126:$A$127</definedName>
    <definedName name="ArSl4" localSheetId="73">'[11]5.6.1'!$A$126:$A$127</definedName>
    <definedName name="ArSl4" localSheetId="70">'[10]5.6.1'!$M$14:$M$15</definedName>
    <definedName name="ArSl4" localSheetId="68">'[11]5.6.1'!$A$126:$A$127</definedName>
    <definedName name="ArSl4">'[14]5.6.1'!$A$124:$A$125</definedName>
    <definedName name="ASHP1" localSheetId="13">'[9]5.3.1'!$K$38:$K$40</definedName>
    <definedName name="ASHP1" localSheetId="7">'[9]5.3.1'!$K$38:$K$40</definedName>
    <definedName name="ASHP1" localSheetId="23">'[9]5.3.1'!$K$38:$K$40</definedName>
    <definedName name="ASHP1" localSheetId="28">'[10]5.3.1'!$K$38:$K$40</definedName>
    <definedName name="ASHP1" localSheetId="33">'[10]5.3.1'!$K$38:$K$40</definedName>
    <definedName name="ASHP1" localSheetId="34">'[9]5.3.1'!$K$38:$K$40</definedName>
    <definedName name="ASHP1" localSheetId="35">'[9]5.3.1'!$K$38:$K$40</definedName>
    <definedName name="ASHP1" localSheetId="36">'[9]5.3.1'!$K$38:$K$40</definedName>
    <definedName name="ASHP1" localSheetId="37">'[9]5.3.1'!$K$38:$K$40</definedName>
    <definedName name="ASHP1" localSheetId="38">'[10]5.3.1'!$K$38:$K$40</definedName>
    <definedName name="ASHP1" localSheetId="39">'[10]5.3.1'!$K$38:$K$40</definedName>
    <definedName name="ASHP1" localSheetId="40">'[10]5.3.1'!$K$38:$K$40</definedName>
    <definedName name="ASHP1" localSheetId="41">'[10]5.3.1'!$K$38:$K$40</definedName>
    <definedName name="ASHP1" localSheetId="43">'[10]5.3.1'!$K$38:$K$40</definedName>
    <definedName name="ASHP1" localSheetId="44">'[10]5.3.1'!$K$38:$K$40</definedName>
    <definedName name="ASHP1" localSheetId="42">'[9]5.3.1'!$K$38:$K$40</definedName>
    <definedName name="ASHP1" localSheetId="49">'[10]5.3.1'!$K$38:$K$40</definedName>
    <definedName name="ASHP1" localSheetId="50">'[11]5.3.1'!$G$50:$G$52</definedName>
    <definedName name="ASHP1" localSheetId="51">'[10]5.3.1'!$K$38:$K$40</definedName>
    <definedName name="ASHP1" localSheetId="52">'[10]5.3.1'!$K$38:$K$40</definedName>
    <definedName name="ASHP1" localSheetId="45">'[10]5.3.1'!$K$38:$K$40</definedName>
    <definedName name="ASHP1" localSheetId="47">'[12]5.3.1'!$K$38:$K$40</definedName>
    <definedName name="ASHP1" localSheetId="53">'[10]5.3.1'!$K$38:$K$40</definedName>
    <definedName name="ASHP1" localSheetId="59">'[10]5.3.1'!$K$38:$K$40</definedName>
    <definedName name="ASHP1" localSheetId="54">'[13]5.3.1'!$G$50:$G$52</definedName>
    <definedName name="ASHP1" localSheetId="57">'[10]5.3.1'!$K$38:$K$40</definedName>
    <definedName name="ASHP1" localSheetId="58">'[11]5.3.1'!$G$50:$G$52</definedName>
    <definedName name="ASHP1" localSheetId="61">'[11]5.3.1'!$G$50:$G$52</definedName>
    <definedName name="ASHP1" localSheetId="63">'[10]5.3.1'!$K$38:$K$40</definedName>
    <definedName name="ASHP1" localSheetId="65">'[11]5.3.1'!$G$50:$G$52</definedName>
    <definedName name="ASHP1" localSheetId="66">'[10]5.3.1'!$K$38:$K$40</definedName>
    <definedName name="ASHP1" localSheetId="72">'[11]5.3.1'!$G$50:$G$52</definedName>
    <definedName name="ASHP1" localSheetId="73">'[11]5.3.1'!$G$50:$G$52</definedName>
    <definedName name="ASHP1" localSheetId="70">'[10]5.3.1'!$K$38:$K$40</definedName>
    <definedName name="ASHP1" localSheetId="68">'[11]5.3.1'!$G$50:$G$52</definedName>
    <definedName name="ASHP1">'[14]5.3.1'!$K$38:$K$40</definedName>
    <definedName name="ASHP2" localSheetId="13">'[9]5.3.1'!$O$38:$O$39</definedName>
    <definedName name="ASHP2" localSheetId="7">'[9]5.3.1'!$O$38:$O$39</definedName>
    <definedName name="ASHP2" localSheetId="23">'[9]5.3.1'!$O$38:$O$39</definedName>
    <definedName name="ASHP2" localSheetId="28">'[10]5.3.1'!$O$38:$O$39</definedName>
    <definedName name="ASHP2" localSheetId="33">'[10]5.3.1'!$O$38:$O$39</definedName>
    <definedName name="ASHP2" localSheetId="34">'[9]5.3.1'!$O$38:$O$39</definedName>
    <definedName name="ASHP2" localSheetId="35">'[9]5.3.1'!$O$38:$O$39</definedName>
    <definedName name="ASHP2" localSheetId="36">'[9]5.3.1'!$O$38:$O$39</definedName>
    <definedName name="ASHP2" localSheetId="37">'[9]5.3.1'!$O$38:$O$39</definedName>
    <definedName name="ASHP2" localSheetId="38">'[10]5.3.1'!$O$38:$O$39</definedName>
    <definedName name="ASHP2" localSheetId="39">'[10]5.3.1'!$O$38:$O$39</definedName>
    <definedName name="ASHP2" localSheetId="40">'[10]5.3.1'!$O$38:$O$39</definedName>
    <definedName name="ASHP2" localSheetId="41">'[10]5.3.1'!$O$38:$O$39</definedName>
    <definedName name="ASHP2" localSheetId="43">'[10]5.3.1'!$O$38:$O$39</definedName>
    <definedName name="ASHP2" localSheetId="44">'[10]5.3.1'!$O$38:$O$39</definedName>
    <definedName name="ASHP2" localSheetId="42">'[9]5.3.1'!$O$38:$O$39</definedName>
    <definedName name="ASHP2" localSheetId="49">'[10]5.3.1'!$O$38:$O$39</definedName>
    <definedName name="ASHP2" localSheetId="50">'[11]5.3.1'!$K$50:$K$51</definedName>
    <definedName name="ASHP2" localSheetId="51">'[10]5.3.1'!$O$38:$O$39</definedName>
    <definedName name="ASHP2" localSheetId="52">'[10]5.3.1'!$O$38:$O$39</definedName>
    <definedName name="ASHP2" localSheetId="45">'[10]5.3.1'!$O$38:$O$39</definedName>
    <definedName name="ASHP2" localSheetId="47">'[12]5.3.1'!$O$38:$O$39</definedName>
    <definedName name="ASHP2" localSheetId="53">'[10]5.3.1'!$O$38:$O$39</definedName>
    <definedName name="ASHP2" localSheetId="59">'[10]5.3.1'!$O$38:$O$39</definedName>
    <definedName name="ASHP2" localSheetId="54">'[13]5.3.1'!$K$50:$K$51</definedName>
    <definedName name="ASHP2" localSheetId="57">'[10]5.3.1'!$O$38:$O$39</definedName>
    <definedName name="ASHP2" localSheetId="58">'[11]5.3.1'!$K$50:$K$51</definedName>
    <definedName name="ASHP2" localSheetId="61">'[11]5.3.1'!$K$50:$K$51</definedName>
    <definedName name="ASHP2" localSheetId="63">'[10]5.3.1'!$O$38:$O$39</definedName>
    <definedName name="ASHP2" localSheetId="65">'[11]5.3.1'!$K$50:$K$51</definedName>
    <definedName name="ASHP2" localSheetId="66">'[10]5.3.1'!$O$38:$O$39</definedName>
    <definedName name="ASHP2" localSheetId="72">'[11]5.3.1'!$K$50:$K$51</definedName>
    <definedName name="ASHP2" localSheetId="73">'[11]5.3.1'!$K$50:$K$51</definedName>
    <definedName name="ASHP2" localSheetId="70">'[10]5.3.1'!$O$38:$O$39</definedName>
    <definedName name="ASHP2" localSheetId="68">'[11]5.3.1'!$K$50:$K$51</definedName>
    <definedName name="ASHP2">'[14]5.3.1'!$O$38:$O$39</definedName>
    <definedName name="ASHP3" localSheetId="13">'[9]5.3.1'!$I$22:$I$24</definedName>
    <definedName name="ASHP3" localSheetId="7">'[9]5.3.1'!$I$22:$I$24</definedName>
    <definedName name="ASHP3" localSheetId="23">'[9]5.3.1'!$I$22:$I$24</definedName>
    <definedName name="ASHP3" localSheetId="28">'[10]5.3.1'!$I$22:$I$24</definedName>
    <definedName name="ASHP3" localSheetId="33">'[10]5.3.1'!$I$22:$I$24</definedName>
    <definedName name="ASHP3" localSheetId="34">'[9]5.3.1'!$I$22:$I$24</definedName>
    <definedName name="ASHP3" localSheetId="35">'[9]5.3.1'!$I$22:$I$24</definedName>
    <definedName name="ASHP3" localSheetId="36">'[9]5.3.1'!$I$22:$I$24</definedName>
    <definedName name="ASHP3" localSheetId="37">'[9]5.3.1'!$I$22:$I$24</definedName>
    <definedName name="ASHP3" localSheetId="38">'[10]5.3.1'!$I$22:$I$24</definedName>
    <definedName name="ASHP3" localSheetId="39">'[10]5.3.1'!$I$22:$I$24</definedName>
    <definedName name="ASHP3" localSheetId="40">'[10]5.3.1'!$I$22:$I$24</definedName>
    <definedName name="ASHP3" localSheetId="41">'[10]5.3.1'!$I$22:$I$24</definedName>
    <definedName name="ASHP3" localSheetId="43">'[10]5.3.1'!$I$22:$I$24</definedName>
    <definedName name="ASHP3" localSheetId="44">'[10]5.3.1'!$I$22:$I$24</definedName>
    <definedName name="ASHP3" localSheetId="42">'[9]5.3.1'!$I$22:$I$24</definedName>
    <definedName name="ASHP3" localSheetId="49">'[10]5.3.1'!$I$22:$I$24</definedName>
    <definedName name="ASHP3" localSheetId="50">'[11]5.3.1'!$I$22:$I$24</definedName>
    <definedName name="ASHP3" localSheetId="51">'[10]5.3.1'!$I$22:$I$24</definedName>
    <definedName name="ASHP3" localSheetId="52">'[10]5.3.1'!$I$22:$I$24</definedName>
    <definedName name="ASHP3" localSheetId="45">'[10]5.3.1'!$I$22:$I$24</definedName>
    <definedName name="ASHP3" localSheetId="47">'[12]5.3.1'!$I$22:$I$24</definedName>
    <definedName name="ASHP3" localSheetId="53">'[10]5.3.1'!$I$22:$I$24</definedName>
    <definedName name="ASHP3" localSheetId="59">'[10]5.3.1'!$I$22:$I$24</definedName>
    <definedName name="ASHP3" localSheetId="54">'[13]5.3.1'!$I$22:$I$24</definedName>
    <definedName name="ASHP3" localSheetId="57">'[10]5.3.1'!$I$22:$I$24</definedName>
    <definedName name="ASHP3" localSheetId="58">'[11]5.3.1'!$I$22:$I$24</definedName>
    <definedName name="ASHP3" localSheetId="61">'[11]5.3.1'!$I$22:$I$24</definedName>
    <definedName name="ASHP3" localSheetId="63">'[10]5.3.1'!$I$22:$I$24</definedName>
    <definedName name="ASHP3" localSheetId="65">'[11]5.3.1'!$I$22:$I$24</definedName>
    <definedName name="ASHP3" localSheetId="66">'[10]5.3.1'!$I$22:$I$24</definedName>
    <definedName name="ASHP3" localSheetId="72">'[11]5.3.1'!$I$22:$I$24</definedName>
    <definedName name="ASHP3" localSheetId="73">'[11]5.3.1'!$I$22:$I$24</definedName>
    <definedName name="ASHP3" localSheetId="70">'[10]5.3.1'!$I$22:$I$24</definedName>
    <definedName name="ASHP3" localSheetId="68">'[11]5.3.1'!$I$22:$I$24</definedName>
    <definedName name="ASHP3">'[14]5.3.1'!$I$22:$I$24</definedName>
    <definedName name="Attic_Area">[16]RES!$D$11</definedName>
    <definedName name="AvgAvoidCost_E">'[17]General Inputs'!#REF!</definedName>
    <definedName name="AvgAvoidCost_G">'[17]General Inputs'!#REF!</definedName>
    <definedName name="AvgCIRate_E">'[17]General Inputs'!#REF!</definedName>
    <definedName name="AvgComRate_G">'[17]General Inputs'!#REF!</definedName>
    <definedName name="AvgResRate_E">'[17]General Inputs'!#REF!</definedName>
    <definedName name="AvgResRate_G">'[17]General Inputs'!#REF!</definedName>
    <definedName name="B_CT_S">#REF!</definedName>
    <definedName name="B_EP_S">#REF!</definedName>
    <definedName name="B_ET_S">#REF!</definedName>
    <definedName name="Baseline_Adjustments" localSheetId="61">#REF!</definedName>
    <definedName name="Baseline_Adjustments" localSheetId="72">#REF!</definedName>
    <definedName name="Baseline_Adjustments" localSheetId="73">#REF!</definedName>
    <definedName name="Baseline_Adjustments" localSheetId="67">#REF!</definedName>
    <definedName name="Baseline_Adjustments" localSheetId="2">#REF!</definedName>
    <definedName name="Baseline_Adjustments" localSheetId="68">#REF!</definedName>
    <definedName name="Baseline_Adjustments">#REF!</definedName>
    <definedName name="BLRCtl1">'4.4.4'!$B$36:$B$44</definedName>
    <definedName name="Bob" localSheetId="0">#REF!</definedName>
    <definedName name="Bob" localSheetId="2">#REF!</definedName>
    <definedName name="Bob" localSheetId="1">#REF!</definedName>
    <definedName name="Boiler_Tuneup_MBH_range" localSheetId="13">'[18]4.4.2'!$O$15:$O$21</definedName>
    <definedName name="Boiler_Tuneup_MBH_range" localSheetId="7">'[18]4.4.2'!$O$15:$O$21</definedName>
    <definedName name="Boiler_Tuneup_MBH_range" localSheetId="23">'[18]4.4.2'!$O$15:$O$21</definedName>
    <definedName name="Boiler_Tuneup_MBH_range" localSheetId="33">'[19]4.4.2'!$D$46:$D$52</definedName>
    <definedName name="Boiler_Tuneup_MBH_range" localSheetId="34">'[18]4.4.2'!$O$15:$O$21</definedName>
    <definedName name="Boiler_Tuneup_MBH_range" localSheetId="35">'[18]4.4.2'!$O$15:$O$21</definedName>
    <definedName name="Boiler_Tuneup_MBH_range" localSheetId="36">'[18]4.4.2'!$O$15:$O$21</definedName>
    <definedName name="Boiler_Tuneup_MBH_range" localSheetId="37">'[18]4.4.2'!$O$15:$O$21</definedName>
    <definedName name="Boiler_Tuneup_MBH_range" localSheetId="40">'[20]4.4.2'!$D$45:$D$51</definedName>
    <definedName name="Boiler_Tuneup_MBH_range" localSheetId="41">'[20]4.4.2'!$D$45:$D$51</definedName>
    <definedName name="Boiler_Tuneup_MBH_range" localSheetId="42">'[18]4.4.2'!$O$15:$O$21</definedName>
    <definedName name="Boiler_Tuneup_MBH_range" localSheetId="49">'[20]4.4.2'!$D$45:$D$51</definedName>
    <definedName name="Boiler_Tuneup_MBH_range" localSheetId="50">'[20]4.4.2'!$D$45:$D$51</definedName>
    <definedName name="Boiler_Tuneup_MBH_range" localSheetId="51">'[20]4.4.2'!$D$45:$D$51</definedName>
    <definedName name="Boiler_Tuneup_MBH_range" localSheetId="52">'[20]4.4.2'!$D$45:$D$51</definedName>
    <definedName name="Boiler_Tuneup_MBH_range" localSheetId="59">'[20]4.4.2'!$D$45:$D$51</definedName>
    <definedName name="Boiler_Tuneup_MBH_range" localSheetId="54">'[20]4.4.2'!$D$45:$D$51</definedName>
    <definedName name="Boiler_Tuneup_MBH_range" localSheetId="58">'[20]4.4.2'!$D$45:$D$51</definedName>
    <definedName name="Boiler_Tuneup_MBH_range" localSheetId="61">'[20]4.4.2'!$D$45:$D$51</definedName>
    <definedName name="Boiler_Tuneup_MBH_range" localSheetId="63">'[20]4.4.2'!$D$45:$D$51</definedName>
    <definedName name="Boiler_Tuneup_MBH_range" localSheetId="65">'[20]4.4.2'!$D$45:$D$51</definedName>
    <definedName name="Boiler_Tuneup_MBH_range" localSheetId="66">'[20]4.4.2'!$D$45:$D$51</definedName>
    <definedName name="Boiler_Tuneup_MBH_range" localSheetId="71">'[20]4.4.2'!$D$45:$D$51</definedName>
    <definedName name="Boiler_Tuneup_MBH_range" localSheetId="72">'[20]4.4.2'!$D$45:$D$51</definedName>
    <definedName name="Boiler_Tuneup_MBH_range" localSheetId="73">'[20]4.4.2'!$D$45:$D$51</definedName>
    <definedName name="Boiler_Tuneup_MBH_range" localSheetId="67">'[20]4.4.2'!$D$45:$D$51</definedName>
    <definedName name="Boiler_Tuneup_MBH_range" localSheetId="70">'[19]4.4.2'!$D$46:$D$52</definedName>
    <definedName name="Boiler_Tuneup_MBH_range" localSheetId="68">'[20]4.4.2'!$D$45:$D$51</definedName>
    <definedName name="Boiler_Tuneup_MBH_range">'[19]4.4.2'!$D$45:$D$51</definedName>
    <definedName name="BSIn1" localSheetId="13">'[9]5.6.2'!$O$11:$O$13</definedName>
    <definedName name="BSIn1" localSheetId="7">'[9]5.6.2'!$O$11:$O$13</definedName>
    <definedName name="BSIn1" localSheetId="23">'[9]5.6.2'!$O$11:$O$13</definedName>
    <definedName name="BSIn1" localSheetId="28">'[10]5.6.2'!$O$11:$O$13</definedName>
    <definedName name="BSIn1" localSheetId="33">'[10]5.6.2'!$O$11:$O$13</definedName>
    <definedName name="BSIn1" localSheetId="34">'[9]5.6.2'!$O$11:$O$13</definedName>
    <definedName name="BSIn1" localSheetId="35">'[9]5.6.2'!$O$11:$O$13</definedName>
    <definedName name="BSIn1" localSheetId="36">'[9]5.6.2'!$O$11:$O$13</definedName>
    <definedName name="BSIn1" localSheetId="37">'[9]5.6.2'!$O$11:$O$13</definedName>
    <definedName name="BSIn1" localSheetId="38">'[10]5.6.2'!$O$11:$O$13</definedName>
    <definedName name="BSIn1" localSheetId="39">'[10]5.6.2'!$O$11:$O$13</definedName>
    <definedName name="BSIn1" localSheetId="40">'[10]5.6.2'!$O$11:$O$13</definedName>
    <definedName name="BSIn1" localSheetId="41">'[10]5.6.2'!$O$11:$O$13</definedName>
    <definedName name="BSIn1" localSheetId="43">'[10]5.6.2'!$O$11:$O$13</definedName>
    <definedName name="BSIn1" localSheetId="44">'[10]5.6.2'!$O$11:$O$13</definedName>
    <definedName name="BSIn1" localSheetId="42">'[9]5.6.2'!$O$11:$O$13</definedName>
    <definedName name="BSIn1" localSheetId="49">'[10]5.6.2'!$O$11:$O$13</definedName>
    <definedName name="BSIn1" localSheetId="50">'[11]5.6.2'!#REF!</definedName>
    <definedName name="BSIn1" localSheetId="51">'[10]5.6.2'!$O$11:$O$13</definedName>
    <definedName name="BSIn1" localSheetId="52">'[10]5.6.2'!$O$11:$O$13</definedName>
    <definedName name="BSIn1" localSheetId="45">'[10]5.6.2'!$O$11:$O$13</definedName>
    <definedName name="BSIn1" localSheetId="47">'[12]5.6.2'!$O$11:$O$13</definedName>
    <definedName name="BSIn1" localSheetId="53">'[10]5.6.2'!$O$11:$O$13</definedName>
    <definedName name="BSIn1" localSheetId="59">'[10]5.6.2'!$O$11:$O$13</definedName>
    <definedName name="BSIn1" localSheetId="54">'[13]5.6.2'!#REF!</definedName>
    <definedName name="BSIn1" localSheetId="57">'[10]5.6.2'!$O$11:$O$13</definedName>
    <definedName name="BSIn1" localSheetId="58">'[11]5.6.2'!#REF!</definedName>
    <definedName name="BSIn1" localSheetId="61">'[11]5.6.2'!#REF!</definedName>
    <definedName name="BSIn1" localSheetId="63">'[10]5.6.2'!$O$11:$O$13</definedName>
    <definedName name="BSIn1" localSheetId="65">'[11]5.6.2'!#REF!</definedName>
    <definedName name="BSIn1" localSheetId="66">'[10]5.6.2'!$O$11:$O$13</definedName>
    <definedName name="BSIn1" localSheetId="72">'[11]5.6.2'!#REF!</definedName>
    <definedName name="BSIn1" localSheetId="73">'[11]5.6.2'!#REF!</definedName>
    <definedName name="BSIn1" localSheetId="70">'[10]5.6.2'!$O$11:$O$13</definedName>
    <definedName name="BSIn1" localSheetId="2">'[14]5.6.2'!#REF!</definedName>
    <definedName name="BSIn1" localSheetId="68">'[11]5.6.2'!#REF!</definedName>
    <definedName name="BSIn1">'[14]5.6.2'!#REF!</definedName>
    <definedName name="BSMC1" localSheetId="13">'[5]4.6.2'!$B$18:$B$20</definedName>
    <definedName name="BSMC1" localSheetId="7">'[5]4.6.2'!$B$18:$B$20</definedName>
    <definedName name="BSMC1" localSheetId="23">'[5]4.6.2'!$B$18:$B$20</definedName>
    <definedName name="BSMC1" localSheetId="34">'[6]4.6.2'!$B$18:$B$20</definedName>
    <definedName name="BSMC1" localSheetId="35">'[6]4.6.2'!$B$18:$B$20</definedName>
    <definedName name="BSMC1" localSheetId="36">'[5]4.6.2'!$B$18:$B$20</definedName>
    <definedName name="BSMC1" localSheetId="37">'[5]4.6.2'!$B$18:$B$20</definedName>
    <definedName name="BSMC1" localSheetId="40">'[5]4.6.2'!$B$18:$B$20</definedName>
    <definedName name="BSMC1" localSheetId="41">'[5]4.6.2'!$B$18:$B$20</definedName>
    <definedName name="BSMC1" localSheetId="42">'[6]4.6.2'!$B$18:$B$20</definedName>
    <definedName name="BSMC1">'[7]4.6.2'!$B$18:$B$20</definedName>
    <definedName name="building_codes" localSheetId="0">'[21]BenCost Input Summary'!#REF!</definedName>
    <definedName name="building_codes" localSheetId="2">'[21]BenCost Input Summary'!#REF!</definedName>
    <definedName name="building_codes" localSheetId="1">'[21]BenCost Input Summary'!#REF!</definedName>
    <definedName name="building_codes_measures" localSheetId="0">'[21]BenCost Input Summary'!#REF!</definedName>
    <definedName name="building_codes_measures" localSheetId="2">'[21]BenCost Input Summary'!#REF!</definedName>
    <definedName name="building_codes_measures" localSheetId="1">'[21]BenCost Input Summary'!#REF!</definedName>
    <definedName name="building_tuneup" localSheetId="0">'[21]BenCost Input Summary'!#REF!</definedName>
    <definedName name="building_tuneup" localSheetId="2">'[21]BenCost Input Summary'!#REF!</definedName>
    <definedName name="building_tuneup" localSheetId="1">'[21]BenCost Input Summary'!#REF!</definedName>
    <definedName name="Building_Types" localSheetId="61">#REF!</definedName>
    <definedName name="Building_Types" localSheetId="72">#REF!</definedName>
    <definedName name="Building_Types" localSheetId="73">#REF!</definedName>
    <definedName name="Building_Types" localSheetId="67">#REF!</definedName>
    <definedName name="Building_Types" localSheetId="2">#REF!</definedName>
    <definedName name="Building_Types" localSheetId="68">#REF!</definedName>
    <definedName name="Building_Types">#REF!</definedName>
    <definedName name="Building1" localSheetId="23">#REF!</definedName>
    <definedName name="Building1" localSheetId="31">'4.4.14'!$B$175:$B$191</definedName>
    <definedName name="Building1" localSheetId="34">#REF!</definedName>
    <definedName name="Building1" localSheetId="35">#REF!</definedName>
    <definedName name="Building1" localSheetId="32">'4.4.24 '!$M$12:$M$52</definedName>
    <definedName name="Building1" localSheetId="36">#REF!</definedName>
    <definedName name="Building1" localSheetId="37">#REF!</definedName>
    <definedName name="Building1" localSheetId="40">#REF!</definedName>
    <definedName name="Building1" localSheetId="41">#REF!</definedName>
    <definedName name="Building1" localSheetId="42">#REF!</definedName>
    <definedName name="Building1" localSheetId="2">#REF!</definedName>
    <definedName name="Building1">#REF!</definedName>
    <definedName name="Building2" localSheetId="23">#REF!</definedName>
    <definedName name="Building2" localSheetId="31">'4.4.14'!$B$192</definedName>
    <definedName name="Building2" localSheetId="34">#REF!</definedName>
    <definedName name="Building2" localSheetId="35">#REF!</definedName>
    <definedName name="Building2" localSheetId="32">'4.4.24 '!$M$53</definedName>
    <definedName name="Building2" localSheetId="36">#REF!</definedName>
    <definedName name="Building2" localSheetId="37">#REF!</definedName>
    <definedName name="Building2" localSheetId="40">#REF!</definedName>
    <definedName name="Building2" localSheetId="41">#REF!</definedName>
    <definedName name="Building2" localSheetId="42">#REF!</definedName>
    <definedName name="Building2" localSheetId="2">#REF!</definedName>
    <definedName name="Building2">#REF!</definedName>
    <definedName name="C_CT_S">#REF!</definedName>
    <definedName name="C_EP_S">#REF!</definedName>
    <definedName name="C_ET_S">#REF!</definedName>
    <definedName name="CeAC1" localSheetId="13">'[9]5.3.3'!$L$7:$L$8</definedName>
    <definedName name="CeAC1" localSheetId="7">'[9]5.3.3'!$L$7:$L$8</definedName>
    <definedName name="CeAC1" localSheetId="23">'[9]5.3.3'!$L$7:$L$8</definedName>
    <definedName name="CeAC1" localSheetId="28">'[10]5.3.3'!$L$7:$L$8</definedName>
    <definedName name="CeAC1" localSheetId="33">'[10]5.3.3'!$L$7:$L$8</definedName>
    <definedName name="CeAC1" localSheetId="34">'[9]5.3.3'!$L$7:$L$8</definedName>
    <definedName name="CeAC1" localSheetId="35">'[9]5.3.3'!$L$7:$L$8</definedName>
    <definedName name="CeAC1" localSheetId="36">'[9]5.3.3'!$L$7:$L$8</definedName>
    <definedName name="CeAC1" localSheetId="37">'[9]5.3.3'!$L$7:$L$8</definedName>
    <definedName name="CeAC1" localSheetId="38">'[10]5.3.3'!$L$7:$L$8</definedName>
    <definedName name="CeAC1" localSheetId="39">'[10]5.3.3'!$L$7:$L$8</definedName>
    <definedName name="CeAC1" localSheetId="40">'[10]5.3.3'!$L$7:$L$8</definedName>
    <definedName name="CeAC1" localSheetId="41">'[10]5.3.3'!$L$7:$L$8</definedName>
    <definedName name="CeAC1" localSheetId="43">'[10]5.3.3'!$L$7:$L$8</definedName>
    <definedName name="CeAC1" localSheetId="44">'[10]5.3.3'!$L$7:$L$8</definedName>
    <definedName name="CeAC1" localSheetId="42">'[9]5.3.3'!$L$7:$L$8</definedName>
    <definedName name="CeAC1" localSheetId="49">'[10]5.3.3'!$L$7:$L$8</definedName>
    <definedName name="CeAC1" localSheetId="50">'[11]5.3.3'!$L$7:$L$8</definedName>
    <definedName name="CeAC1" localSheetId="51">'[10]5.3.3'!$L$7:$L$8</definedName>
    <definedName name="CeAC1" localSheetId="52">'[10]5.3.3'!$L$7:$L$8</definedName>
    <definedName name="CeAC1" localSheetId="45">'[10]5.3.3'!$L$7:$L$8</definedName>
    <definedName name="CeAC1" localSheetId="47">'[12]5.3.3'!$L$7:$L$8</definedName>
    <definedName name="CeAC1" localSheetId="53">'[10]5.3.3'!$L$7:$L$8</definedName>
    <definedName name="CeAC1" localSheetId="59">'[10]5.3.3'!$L$7:$L$8</definedName>
    <definedName name="CeAC1" localSheetId="54">'[13]5.3.3'!$L$7:$L$8</definedName>
    <definedName name="CeAC1" localSheetId="57">'[10]5.3.3'!$L$7:$L$8</definedName>
    <definedName name="CeAC1" localSheetId="58">'[11]5.3.3'!$L$7:$L$8</definedName>
    <definedName name="CeAC1" localSheetId="61">'[11]5.3.3'!$L$7:$L$8</definedName>
    <definedName name="CeAC1" localSheetId="63">'[10]5.3.3'!$L$7:$L$8</definedName>
    <definedName name="CeAC1" localSheetId="65">'[11]5.3.3'!$L$7:$L$8</definedName>
    <definedName name="CeAC1" localSheetId="66">'[10]5.3.3'!$L$7:$L$8</definedName>
    <definedName name="CeAC1" localSheetId="72">'[11]5.3.3'!$L$7:$L$8</definedName>
    <definedName name="CeAC1" localSheetId="73">'[11]5.3.3'!$L$7:$L$8</definedName>
    <definedName name="CeAC1" localSheetId="70">'[10]5.3.3'!$L$7:$L$8</definedName>
    <definedName name="CeAC1" localSheetId="68">'[11]5.3.3'!$L$7:$L$8</definedName>
    <definedName name="CeAC1">'[14]5.3.3'!$L$7:$L$8</definedName>
    <definedName name="CeAC2" localSheetId="13">'[9]5.3.3'!$G$24:$G$32</definedName>
    <definedName name="CeAC2" localSheetId="7">'[9]5.3.3'!$G$24:$G$32</definedName>
    <definedName name="CeAC2" localSheetId="23">'[9]5.3.3'!$G$24:$G$32</definedName>
    <definedName name="CeAC2" localSheetId="28">'[10]5.3.3'!$G$24:$G$32</definedName>
    <definedName name="CeAC2" localSheetId="33">'[10]5.3.3'!$G$24:$G$32</definedName>
    <definedName name="CeAC2" localSheetId="34">'[9]5.3.3'!$G$24:$G$32</definedName>
    <definedName name="CeAC2" localSheetId="35">'[9]5.3.3'!$G$24:$G$32</definedName>
    <definedName name="CeAC2" localSheetId="36">'[9]5.3.3'!$G$24:$G$32</definedName>
    <definedName name="CeAC2" localSheetId="37">'[9]5.3.3'!$G$24:$G$32</definedName>
    <definedName name="CeAC2" localSheetId="38">'[10]5.3.3'!$G$24:$G$32</definedName>
    <definedName name="CeAC2" localSheetId="39">'[10]5.3.3'!$G$24:$G$32</definedName>
    <definedName name="CeAC2" localSheetId="40">'[10]5.3.3'!$G$24:$G$32</definedName>
    <definedName name="CeAC2" localSheetId="41">'[10]5.3.3'!$G$24:$G$32</definedName>
    <definedName name="CeAC2" localSheetId="43">'[10]5.3.3'!$G$24:$G$32</definedName>
    <definedName name="CeAC2" localSheetId="44">'[10]5.3.3'!$G$24:$G$32</definedName>
    <definedName name="CeAC2" localSheetId="42">'[9]5.3.3'!$G$24:$G$32</definedName>
    <definedName name="CeAC2" localSheetId="49">'[10]5.3.3'!$G$24:$G$32</definedName>
    <definedName name="CeAC2" localSheetId="50">'[11]5.3.3'!$G$24:$G$32</definedName>
    <definedName name="CeAC2" localSheetId="51">'[10]5.3.3'!$G$24:$G$32</definedName>
    <definedName name="CeAC2" localSheetId="52">'[10]5.3.3'!$G$24:$G$32</definedName>
    <definedName name="CeAC2" localSheetId="45">'[10]5.3.3'!$G$24:$G$32</definedName>
    <definedName name="CeAC2" localSheetId="47">'[12]5.3.3'!$G$24:$G$32</definedName>
    <definedName name="CeAC2" localSheetId="53">'[10]5.3.3'!$G$24:$G$32</definedName>
    <definedName name="CeAC2" localSheetId="59">'[10]5.3.3'!$G$24:$G$32</definedName>
    <definedName name="CeAC2" localSheetId="54">'[13]5.3.3'!$G$24:$G$32</definedName>
    <definedName name="CeAC2" localSheetId="57">'[10]5.3.3'!$G$24:$G$32</definedName>
    <definedName name="CeAC2" localSheetId="58">'[11]5.3.3'!$G$24:$G$32</definedName>
    <definedName name="CeAC2" localSheetId="61">'[11]5.3.3'!$G$24:$G$32</definedName>
    <definedName name="CeAC2" localSheetId="63">'[10]5.3.3'!$G$24:$G$32</definedName>
    <definedName name="CeAC2" localSheetId="65">'[11]5.3.3'!$G$24:$G$32</definedName>
    <definedName name="CeAC2" localSheetId="66">'[10]5.3.3'!$G$24:$G$32</definedName>
    <definedName name="CeAC2" localSheetId="72">'[11]5.3.3'!$G$24:$G$32</definedName>
    <definedName name="CeAC2" localSheetId="73">'[11]5.3.3'!$G$24:$G$32</definedName>
    <definedName name="CeAC2" localSheetId="70">'[10]5.3.3'!$G$24:$G$32</definedName>
    <definedName name="CeAC2" localSheetId="68">'[11]5.3.3'!$G$24:$G$32</definedName>
    <definedName name="CeAC2">'[14]5.3.3'!$G$24:$G$32</definedName>
    <definedName name="CESCFL1" localSheetId="13">'[18]4.5.1'!$M$12:$M$19</definedName>
    <definedName name="CESCFL1" localSheetId="7">'[18]4.5.1'!$M$12:$M$19</definedName>
    <definedName name="CESCFL1" localSheetId="23">'[18]4.5.1'!$M$12:$M$19</definedName>
    <definedName name="CESCFL1" localSheetId="28">'[22]4.5.1'!$M$12:$M$19</definedName>
    <definedName name="CESCFL1" localSheetId="34">'[18]4.5.1'!$M$12:$M$19</definedName>
    <definedName name="CESCFL1" localSheetId="35">'[18]4.5.1'!$M$12:$M$19</definedName>
    <definedName name="CESCFL1" localSheetId="36">'[18]4.5.1'!$M$12:$M$19</definedName>
    <definedName name="CESCFL1" localSheetId="37">'[18]4.5.1'!$M$12:$M$19</definedName>
    <definedName name="CESCFL1" localSheetId="38">'[22]4.5.1'!$M$12:$M$19</definedName>
    <definedName name="CESCFL1" localSheetId="39">'[23]4.5.1'!$M$12:$M$19</definedName>
    <definedName name="CESCFL1" localSheetId="40">'[20]4.5.1'!$M$12:$M$19</definedName>
    <definedName name="CESCFL1" localSheetId="41">'[20]4.5.1'!$M$12:$M$19</definedName>
    <definedName name="CESCFL1" localSheetId="43">'[22]4.5.1'!$M$12:$M$19</definedName>
    <definedName name="CESCFL1" localSheetId="44">'[22]4.5.1'!$M$12:$M$19</definedName>
    <definedName name="CESCFL1" localSheetId="42">'[18]4.5.1'!$M$12:$M$19</definedName>
    <definedName name="CESCFL1" localSheetId="49">'[20]4.5.1'!$M$12:$M$19</definedName>
    <definedName name="CESCFL1" localSheetId="50">'[20]4.5.1'!$M$12:$M$19</definedName>
    <definedName name="CESCFL1" localSheetId="51">'[20]4.5.1'!$M$12:$M$19</definedName>
    <definedName name="CESCFL1" localSheetId="52">'[20]4.5.1'!$M$12:$M$19</definedName>
    <definedName name="CESCFL1" localSheetId="59">'[20]4.5.1'!$M$12:$M$19</definedName>
    <definedName name="CESCFL1" localSheetId="54">'[20]4.5.1'!$M$12:$M$19</definedName>
    <definedName name="CESCFL1" localSheetId="58">'[20]4.5.1'!$M$12:$M$19</definedName>
    <definedName name="CESCFL1" localSheetId="61">'[20]4.5.1'!$M$12:$M$19</definedName>
    <definedName name="CESCFL1" localSheetId="63">'[20]4.5.1'!$M$12:$M$19</definedName>
    <definedName name="CESCFL1" localSheetId="65">'[20]4.5.1'!$M$12:$M$19</definedName>
    <definedName name="CESCFL1" localSheetId="66">'[20]4.5.1'!$M$12:$M$19</definedName>
    <definedName name="CESCFL1" localSheetId="71">'[20]4.5.1'!$M$12:$M$19</definedName>
    <definedName name="CESCFL1" localSheetId="72">'[20]4.5.1'!$M$12:$M$19</definedName>
    <definedName name="CESCFL1" localSheetId="73">'[20]4.5.1'!$M$12:$M$19</definedName>
    <definedName name="CESCFL1" localSheetId="67">'[20]4.5.1'!$M$12:$M$19</definedName>
    <definedName name="CESCFL1" localSheetId="68">'[20]4.5.1'!$M$12:$M$19</definedName>
    <definedName name="CESCFL1">'[19]4.5.1'!$M$12:$M$19</definedName>
    <definedName name="CESCFL2" localSheetId="13">'[18]4.5.1'!$B$52:$B$59</definedName>
    <definedName name="CESCFL2" localSheetId="7">'[18]4.5.1'!$B$52:$B$59</definedName>
    <definedName name="CESCFL2" localSheetId="23">'[18]4.5.1'!$B$52:$B$59</definedName>
    <definedName name="CESCFL2" localSheetId="28">'[22]4.5.1'!$B$52:$B$59</definedName>
    <definedName name="CESCFL2" localSheetId="34">'[18]4.5.1'!$B$52:$B$59</definedName>
    <definedName name="CESCFL2" localSheetId="35">'[18]4.5.1'!$B$52:$B$59</definedName>
    <definedName name="CESCFL2" localSheetId="36">'[18]4.5.1'!$B$52:$B$59</definedName>
    <definedName name="CESCFL2" localSheetId="37">'[18]4.5.1'!$B$52:$B$59</definedName>
    <definedName name="CESCFL2" localSheetId="38">'[22]4.5.1'!$B$52:$B$59</definedName>
    <definedName name="CESCFL2" localSheetId="39">'[23]4.5.1'!$B$52:$B$59</definedName>
    <definedName name="CESCFL2" localSheetId="40">'[20]4.5.1'!$B$52:$B$59</definedName>
    <definedName name="CESCFL2" localSheetId="41">'[20]4.5.1'!$B$52:$B$59</definedName>
    <definedName name="CESCFL2" localSheetId="43">'[22]4.5.1'!$B$52:$B$59</definedName>
    <definedName name="CESCFL2" localSheetId="44">'[22]4.5.1'!$B$52:$B$59</definedName>
    <definedName name="CESCFL2" localSheetId="42">'[18]4.5.1'!$B$52:$B$59</definedName>
    <definedName name="CESCFL2" localSheetId="49">'[20]4.5.1'!$B$52:$B$59</definedName>
    <definedName name="CESCFL2" localSheetId="50">'[20]4.5.1'!$B$52:$B$59</definedName>
    <definedName name="CESCFL2" localSheetId="51">'[20]4.5.1'!$B$52:$B$59</definedName>
    <definedName name="CESCFL2" localSheetId="52">'[20]4.5.1'!$B$52:$B$59</definedName>
    <definedName name="CESCFL2" localSheetId="59">'[20]4.5.1'!$B$52:$B$59</definedName>
    <definedName name="CESCFL2" localSheetId="54">'[20]4.5.1'!$B$52:$B$59</definedName>
    <definedName name="CESCFL2" localSheetId="58">'[20]4.5.1'!$B$52:$B$59</definedName>
    <definedName name="CESCFL2" localSheetId="61">'[20]4.5.1'!$B$52:$B$59</definedName>
    <definedName name="CESCFL2" localSheetId="63">'[20]4.5.1'!$B$52:$B$59</definedName>
    <definedName name="CESCFL2" localSheetId="65">'[20]4.5.1'!$B$52:$B$59</definedName>
    <definedName name="CESCFL2" localSheetId="66">'[20]4.5.1'!$B$52:$B$59</definedName>
    <definedName name="CESCFL2" localSheetId="71">'[20]4.5.1'!$B$52:$B$59</definedName>
    <definedName name="CESCFL2" localSheetId="72">'[20]4.5.1'!$B$52:$B$59</definedName>
    <definedName name="CESCFL2" localSheetId="73">'[20]4.5.1'!$B$52:$B$59</definedName>
    <definedName name="CESCFL2" localSheetId="67">'[20]4.5.1'!$B$52:$B$59</definedName>
    <definedName name="CESCFL2" localSheetId="68">'[20]4.5.1'!$B$52:$B$59</definedName>
    <definedName name="CESCFL2">'[19]4.5.1'!$B$52:$B$59</definedName>
    <definedName name="CESCFL3" localSheetId="13">'[18]4.5.1'!$B$23:$B$45</definedName>
    <definedName name="CESCFL3" localSheetId="7">'[18]4.5.1'!$B$23:$B$45</definedName>
    <definedName name="CESCFL3" localSheetId="23">'[18]4.5.1'!$B$23:$B$45</definedName>
    <definedName name="CESCFL3" localSheetId="28">'[22]4.5.1'!$B$23:$B$45</definedName>
    <definedName name="CESCFL3" localSheetId="34">'[18]4.5.1'!$B$23:$B$45</definedName>
    <definedName name="CESCFL3" localSheetId="35">'[18]4.5.1'!$B$23:$B$45</definedName>
    <definedName name="CESCFL3" localSheetId="36">'[18]4.5.1'!$B$23:$B$45</definedName>
    <definedName name="CESCFL3" localSheetId="37">'[18]4.5.1'!$B$23:$B$45</definedName>
    <definedName name="CESCFL3" localSheetId="38">'[22]4.5.1'!$B$23:$B$45</definedName>
    <definedName name="CESCFL3" localSheetId="39">'[23]4.5.1'!$B$23:$B$45</definedName>
    <definedName name="CESCFL3" localSheetId="40">'[20]4.5.1'!$B$23:$B$45</definedName>
    <definedName name="CESCFL3" localSheetId="41">'[20]4.5.1'!$B$23:$B$45</definedName>
    <definedName name="CESCFL3" localSheetId="43">'[22]4.5.1'!$B$23:$B$45</definedName>
    <definedName name="CESCFL3" localSheetId="44">'[22]4.5.1'!$B$23:$B$45</definedName>
    <definedName name="CESCFL3" localSheetId="42">'[18]4.5.1'!$B$23:$B$45</definedName>
    <definedName name="CESCFL3" localSheetId="49">'[20]4.5.1'!$B$23:$B$45</definedName>
    <definedName name="CESCFL3" localSheetId="50">'[20]4.5.1'!$B$23:$B$45</definedName>
    <definedName name="CESCFL3" localSheetId="51">'[20]4.5.1'!$B$23:$B$45</definedName>
    <definedName name="CESCFL3" localSheetId="52">'[20]4.5.1'!$B$23:$B$45</definedName>
    <definedName name="CESCFL3" localSheetId="59">'[20]4.5.1'!$B$23:$B$45</definedName>
    <definedName name="CESCFL3" localSheetId="54">'[20]4.5.1'!$B$23:$B$45</definedName>
    <definedName name="CESCFL3" localSheetId="58">'[20]4.5.1'!$B$23:$B$45</definedName>
    <definedName name="CESCFL3" localSheetId="61">'[20]4.5.1'!$B$23:$B$45</definedName>
    <definedName name="CESCFL3" localSheetId="63">'[20]4.5.1'!$B$23:$B$45</definedName>
    <definedName name="CESCFL3" localSheetId="65">'[20]4.5.1'!$B$23:$B$45</definedName>
    <definedName name="CESCFL3" localSheetId="66">'[20]4.5.1'!$B$23:$B$45</definedName>
    <definedName name="CESCFL3" localSheetId="71">'[20]4.5.1'!$B$23:$B$45</definedName>
    <definedName name="CESCFL3" localSheetId="72">'[20]4.5.1'!$B$23:$B$45</definedName>
    <definedName name="CESCFL3" localSheetId="73">'[20]4.5.1'!$B$23:$B$45</definedName>
    <definedName name="CESCFL3" localSheetId="67">'[20]4.5.1'!$B$23:$B$45</definedName>
    <definedName name="CESCFL3" localSheetId="68">'[20]4.5.1'!$B$23:$B$45</definedName>
    <definedName name="CESCFL3">'[19]4.5.1'!$B$23:$B$45</definedName>
    <definedName name="CESCFL4" localSheetId="13">'[18]4.5.1'!$M$7:$M$9</definedName>
    <definedName name="CESCFL4" localSheetId="7">'[18]4.5.1'!$M$7:$M$9</definedName>
    <definedName name="CESCFL4" localSheetId="23">'[18]4.5.1'!$M$7:$M$9</definedName>
    <definedName name="CESCFL4" localSheetId="28">'[22]4.5.1'!$M$7:$M$9</definedName>
    <definedName name="CESCFL4" localSheetId="34">'[18]4.5.1'!$M$7:$M$9</definedName>
    <definedName name="CESCFL4" localSheetId="35">'[18]4.5.1'!$M$7:$M$9</definedName>
    <definedName name="CESCFL4" localSheetId="36">'[18]4.5.1'!$M$7:$M$9</definedName>
    <definedName name="CESCFL4" localSheetId="37">'[18]4.5.1'!$M$7:$M$9</definedName>
    <definedName name="CESCFL4" localSheetId="38">'[22]4.5.1'!$M$7:$M$9</definedName>
    <definedName name="CESCFL4" localSheetId="39">'[23]4.5.1'!$M$7:$M$9</definedName>
    <definedName name="CESCFL4" localSheetId="40">'[20]4.5.1'!$M$7:$M$9</definedName>
    <definedName name="CESCFL4" localSheetId="41">'[20]4.5.1'!$M$7:$M$9</definedName>
    <definedName name="CESCFL4" localSheetId="43">'[22]4.5.1'!$M$7:$M$9</definedName>
    <definedName name="CESCFL4" localSheetId="44">'[22]4.5.1'!$M$7:$M$9</definedName>
    <definedName name="CESCFL4" localSheetId="42">'[18]4.5.1'!$M$7:$M$9</definedName>
    <definedName name="CESCFL4" localSheetId="49">'[20]4.5.1'!$M$7:$M$9</definedName>
    <definedName name="CESCFL4" localSheetId="50">'[20]4.5.1'!$M$7:$M$9</definedName>
    <definedName name="CESCFL4" localSheetId="51">'[20]4.5.1'!$M$7:$M$9</definedName>
    <definedName name="CESCFL4" localSheetId="52">'[20]4.5.1'!$M$7:$M$9</definedName>
    <definedName name="CESCFL4" localSheetId="59">'[20]4.5.1'!$M$7:$M$9</definedName>
    <definedName name="CESCFL4" localSheetId="54">'[20]4.5.1'!$M$7:$M$9</definedName>
    <definedName name="CESCFL4" localSheetId="58">'[20]4.5.1'!$M$7:$M$9</definedName>
    <definedName name="CESCFL4" localSheetId="61">'[20]4.5.1'!$M$7:$M$9</definedName>
    <definedName name="CESCFL4" localSheetId="63">'[20]4.5.1'!$M$7:$M$9</definedName>
    <definedName name="CESCFL4" localSheetId="65">'[20]4.5.1'!$M$7:$M$9</definedName>
    <definedName name="CESCFL4" localSheetId="66">'[20]4.5.1'!$M$7:$M$9</definedName>
    <definedName name="CESCFL4" localSheetId="71">'[20]4.5.1'!$M$7:$M$9</definedName>
    <definedName name="CESCFL4" localSheetId="72">'[20]4.5.1'!$M$7:$M$9</definedName>
    <definedName name="CESCFL4" localSheetId="73">'[20]4.5.1'!$M$7:$M$9</definedName>
    <definedName name="CESCFL4" localSheetId="67">'[20]4.5.1'!$M$7:$M$9</definedName>
    <definedName name="CESCFL4" localSheetId="68">'[20]4.5.1'!$M$7:$M$9</definedName>
    <definedName name="CESCFL4">'[19]4.5.1'!$M$7:$M$9</definedName>
    <definedName name="CESCFL5" localSheetId="13">'[18]4.5.1'!$K$33:$K$47</definedName>
    <definedName name="CESCFL5" localSheetId="7">'[18]4.5.1'!$K$33:$K$47</definedName>
    <definedName name="CESCFL5" localSheetId="23">'[18]4.5.1'!$K$33:$K$47</definedName>
    <definedName name="CESCFL5" localSheetId="28">'[22]4.5.1'!$K$33:$K$47</definedName>
    <definedName name="CESCFL5" localSheetId="34">'[18]4.5.1'!$K$33:$K$47</definedName>
    <definedName name="CESCFL5" localSheetId="35">'[18]4.5.1'!$K$33:$K$47</definedName>
    <definedName name="CESCFL5" localSheetId="36">'[18]4.5.1'!$K$33:$K$47</definedName>
    <definedName name="CESCFL5" localSheetId="37">'[18]4.5.1'!$K$33:$K$47</definedName>
    <definedName name="CESCFL5" localSheetId="38">'[22]4.5.1'!$K$33:$K$47</definedName>
    <definedName name="CESCFL5" localSheetId="39">'[23]4.5.1'!$K$33:$K$47</definedName>
    <definedName name="CESCFL5" localSheetId="40">'[20]4.5.1'!$K$33:$K$47</definedName>
    <definedName name="CESCFL5" localSheetId="41">'[20]4.5.1'!$K$33:$K$47</definedName>
    <definedName name="CESCFL5" localSheetId="43">'[22]4.5.1'!$K$33:$K$47</definedName>
    <definedName name="CESCFL5" localSheetId="44">'[22]4.5.1'!$K$33:$K$47</definedName>
    <definedName name="CESCFL5" localSheetId="42">'[18]4.5.1'!$K$33:$K$47</definedName>
    <definedName name="CESCFL5" localSheetId="49">'[20]4.5.1'!$K$33:$K$47</definedName>
    <definedName name="CESCFL5" localSheetId="50">'[20]4.5.1'!$K$33:$K$47</definedName>
    <definedName name="CESCFL5" localSheetId="51">'[20]4.5.1'!$K$33:$K$47</definedName>
    <definedName name="CESCFL5" localSheetId="52">'[20]4.5.1'!$K$33:$K$47</definedName>
    <definedName name="CESCFL5" localSheetId="59">'[20]4.5.1'!$K$33:$K$47</definedName>
    <definedName name="CESCFL5" localSheetId="54">'[20]4.5.1'!$K$33:$K$47</definedName>
    <definedName name="CESCFL5" localSheetId="58">'[20]4.5.1'!$K$33:$K$47</definedName>
    <definedName name="CESCFL5" localSheetId="61">'[20]4.5.1'!$K$33:$K$47</definedName>
    <definedName name="CESCFL5" localSheetId="63">'[20]4.5.1'!$K$33:$K$47</definedName>
    <definedName name="CESCFL5" localSheetId="65">'[20]4.5.1'!$K$33:$K$47</definedName>
    <definedName name="CESCFL5" localSheetId="66">'[20]4.5.1'!$K$33:$K$47</definedName>
    <definedName name="CESCFL5" localSheetId="71">'[20]4.5.1'!$K$33:$K$47</definedName>
    <definedName name="CESCFL5" localSheetId="72">'[20]4.5.1'!$K$33:$K$47</definedName>
    <definedName name="CESCFL5" localSheetId="73">'[20]4.5.1'!$K$33:$K$47</definedName>
    <definedName name="CESCFL5" localSheetId="67">'[20]4.5.1'!$K$33:$K$47</definedName>
    <definedName name="CESCFL5" localSheetId="68">'[20]4.5.1'!$K$33:$K$47</definedName>
    <definedName name="CESCFL5">'[19]4.5.1'!$K$33:$K$47</definedName>
    <definedName name="CI_BC" localSheetId="0">'[21]BenCost Input Summary'!#REF!</definedName>
    <definedName name="CI_BC" localSheetId="2">'[21]BenCost Input Summary'!#REF!</definedName>
    <definedName name="CI_BC" localSheetId="1">'[21]BenCost Input Summary'!#REF!</definedName>
    <definedName name="ci_bc_total" localSheetId="0">'[21]BenCost Input Summary'!#REF!</definedName>
    <definedName name="ci_bc_total" localSheetId="2">'[21]BenCost Input Summary'!#REF!</definedName>
    <definedName name="ci_bc_total" localSheetId="1">'[21]BenCost Input Summary'!#REF!</definedName>
    <definedName name="CI_Custom" localSheetId="0">'[21]BenCost Input Summary'!#REF!</definedName>
    <definedName name="CI_Custom" localSheetId="2">'[21]BenCost Input Summary'!#REF!</definedName>
    <definedName name="CI_Custom" localSheetId="1">'[21]BenCost Input Summary'!#REF!</definedName>
    <definedName name="ci_custom_measures" localSheetId="0">'[21]BenCost Input Summary'!#REF!</definedName>
    <definedName name="ci_custom_measures" localSheetId="2">'[21]BenCost Input Summary'!#REF!</definedName>
    <definedName name="ci_custom_measures" localSheetId="1">'[21]BenCost Input Summary'!#REF!</definedName>
    <definedName name="ci_custom_total" localSheetId="0">'[21]BenCost Input Summary'!#REF!</definedName>
    <definedName name="ci_custom_total" localSheetId="2">'[21]BenCost Input Summary'!#REF!</definedName>
    <definedName name="ci_custom_total" localSheetId="1">'[21]BenCost Input Summary'!#REF!</definedName>
    <definedName name="CI_NC" localSheetId="0">'[21]BenCost Input Summary'!#REF!</definedName>
    <definedName name="CI_NC" localSheetId="2">'[21]BenCost Input Summary'!#REF!</definedName>
    <definedName name="CI_NC" localSheetId="1">'[21]BenCost Input Summary'!#REF!</definedName>
    <definedName name="ci_nc_total" localSheetId="0">'[21]BenCost Input Summary'!#REF!</definedName>
    <definedName name="ci_nc_total" localSheetId="2">'[21]BenCost Input Summary'!#REF!</definedName>
    <definedName name="ci_nc_total" localSheetId="1">'[21]BenCost Input Summary'!#REF!</definedName>
    <definedName name="CI_RC" localSheetId="0">'[21]BenCost Input Summary'!#REF!</definedName>
    <definedName name="CI_RC" localSheetId="2">'[21]BenCost Input Summary'!#REF!</definedName>
    <definedName name="CI_RC" localSheetId="1">'[21]BenCost Input Summary'!#REF!</definedName>
    <definedName name="CI_RC_Measures" localSheetId="0">'[21]BenCost Input Summary'!#REF!</definedName>
    <definedName name="CI_RC_Measures" localSheetId="2">'[21]BenCost Input Summary'!#REF!</definedName>
    <definedName name="CI_RC_Measures" localSheetId="1">'[21]BenCost Input Summary'!#REF!</definedName>
    <definedName name="ci_rc_total" localSheetId="0">'[21]BenCost Input Summary'!#REF!</definedName>
    <definedName name="ci_rc_total" localSheetId="2">'[21]BenCost Input Summary'!#REF!</definedName>
    <definedName name="ci_rc_total" localSheetId="1">'[21]BenCost Input Summary'!#REF!</definedName>
    <definedName name="CI_Rx">'[24]PY2 Summary'!$4:$50</definedName>
    <definedName name="CI_Rx_Measures">'[24]PY2 Summary'!$E$4:$E$50</definedName>
    <definedName name="CLES1" localSheetId="13">'[18]4.5.5'!$B$23:$B$25</definedName>
    <definedName name="CLES1" localSheetId="7">'[18]4.5.5'!$B$23:$B$25</definedName>
    <definedName name="CLES1" localSheetId="23">'[18]4.5.5'!$B$23:$B$25</definedName>
    <definedName name="CLES1" localSheetId="28">'[22]4.5.5'!$B$23:$B$26</definedName>
    <definedName name="CLES1" localSheetId="34">'[18]4.5.5'!$B$23:$B$25</definedName>
    <definedName name="CLES1" localSheetId="35">'[18]4.5.5'!$B$23:$B$25</definedName>
    <definedName name="CLES1" localSheetId="36">'[18]4.5.5'!$B$23:$B$25</definedName>
    <definedName name="CLES1" localSheetId="37">'[18]4.5.5'!$B$23:$B$25</definedName>
    <definedName name="CLES1" localSheetId="38">'[22]4.5.5'!$B$23:$B$26</definedName>
    <definedName name="CLES1" localSheetId="39">'[23]4.5.5'!$B$23:$B$26</definedName>
    <definedName name="CLES1" localSheetId="40">'[20]4.5.5'!$B$23:$B$25</definedName>
    <definedName name="CLES1" localSheetId="41">'[20]4.5.5'!$B$23:$B$25</definedName>
    <definedName name="CLES1" localSheetId="43">'[22]4.5.5'!$B$23:$B$26</definedName>
    <definedName name="CLES1" localSheetId="44">'[22]4.5.5'!$B$23:$B$26</definedName>
    <definedName name="CLES1" localSheetId="42">'[18]4.5.5'!$B$23:$B$25</definedName>
    <definedName name="CLES1" localSheetId="49">'[20]4.5.5'!$B$23:$B$25</definedName>
    <definedName name="CLES1" localSheetId="50">'[20]4.5.5'!$B$23:$B$25</definedName>
    <definedName name="CLES1" localSheetId="51">'[20]4.5.5'!$B$23:$B$25</definedName>
    <definedName name="CLES1" localSheetId="52">'[20]4.5.5'!$B$23:$B$25</definedName>
    <definedName name="CLES1" localSheetId="59">'[20]4.5.5'!$B$23:$B$25</definedName>
    <definedName name="CLES1" localSheetId="54">'[20]4.5.5'!$B$23:$B$25</definedName>
    <definedName name="CLES1" localSheetId="58">'[20]4.5.5'!$B$23:$B$25</definedName>
    <definedName name="CLES1" localSheetId="61">'[20]4.5.5'!$B$23:$B$25</definedName>
    <definedName name="CLES1" localSheetId="63">'[20]4.5.5'!$B$23:$B$25</definedName>
    <definedName name="CLES1" localSheetId="65">'[20]4.5.5'!$B$23:$B$25</definedName>
    <definedName name="CLES1" localSheetId="66">'[20]4.5.5'!$B$23:$B$25</definedName>
    <definedName name="CLES1" localSheetId="71">'[20]4.5.5'!$B$23:$B$25</definedName>
    <definedName name="CLES1" localSheetId="72">'[20]4.5.5'!$B$23:$B$25</definedName>
    <definedName name="CLES1" localSheetId="73">'[20]4.5.5'!$B$23:$B$25</definedName>
    <definedName name="CLES1" localSheetId="67">'[20]4.5.5'!$B$23:$B$25</definedName>
    <definedName name="CLES1" localSheetId="68">'[20]4.5.5'!$B$23:$B$25</definedName>
    <definedName name="CLES1">'[19]4.5.5'!$B$23:$B$25</definedName>
    <definedName name="CLES2" localSheetId="13">'[18]4.5.5'!$B$28:$B$52</definedName>
    <definedName name="CLES2" localSheetId="7">'[18]4.5.5'!$B$28:$B$52</definedName>
    <definedName name="CLES2" localSheetId="23">'[18]4.5.5'!$B$28:$B$52</definedName>
    <definedName name="CLES2" localSheetId="28">'[22]4.5.5'!$B$29:$B$53</definedName>
    <definedName name="CLES2" localSheetId="34">'[18]4.5.5'!$B$28:$B$52</definedName>
    <definedName name="CLES2" localSheetId="35">'[18]4.5.5'!$B$28:$B$52</definedName>
    <definedName name="CLES2" localSheetId="36">'[18]4.5.5'!$B$28:$B$52</definedName>
    <definedName name="CLES2" localSheetId="37">'[18]4.5.5'!$B$28:$B$52</definedName>
    <definedName name="CLES2" localSheetId="38">'[22]4.5.5'!$B$29:$B$53</definedName>
    <definedName name="CLES2" localSheetId="39">'[23]4.5.5'!$B$29:$B$53</definedName>
    <definedName name="CLES2" localSheetId="40">'[20]4.5.5'!$B$28:$B$52</definedName>
    <definedName name="CLES2" localSheetId="41">'[20]4.5.5'!$B$28:$B$52</definedName>
    <definedName name="CLES2" localSheetId="43">'[22]4.5.5'!$B$29:$B$53</definedName>
    <definedName name="CLES2" localSheetId="44">'[22]4.5.5'!$B$29:$B$53</definedName>
    <definedName name="CLES2" localSheetId="42">'[18]4.5.5'!$B$28:$B$52</definedName>
    <definedName name="CLES2" localSheetId="49">'[20]4.5.5'!$B$28:$B$52</definedName>
    <definedName name="CLES2" localSheetId="50">'[20]4.5.5'!$B$28:$B$52</definedName>
    <definedName name="CLES2" localSheetId="51">'[20]4.5.5'!$B$28:$B$52</definedName>
    <definedName name="CLES2" localSheetId="52">'[20]4.5.5'!$B$28:$B$52</definedName>
    <definedName name="CLES2" localSheetId="59">'[20]4.5.5'!$B$28:$B$52</definedName>
    <definedName name="CLES2" localSheetId="54">'[20]4.5.5'!$B$28:$B$52</definedName>
    <definedName name="CLES2" localSheetId="58">'[20]4.5.5'!$B$28:$B$52</definedName>
    <definedName name="CLES2" localSheetId="61">'[20]4.5.5'!$B$28:$B$52</definedName>
    <definedName name="CLES2" localSheetId="63">'[20]4.5.5'!$B$28:$B$52</definedName>
    <definedName name="CLES2" localSheetId="65">'[20]4.5.5'!$B$28:$B$52</definedName>
    <definedName name="CLES2" localSheetId="66">'[20]4.5.5'!$B$28:$B$52</definedName>
    <definedName name="CLES2" localSheetId="71">'[20]4.5.5'!$B$28:$B$52</definedName>
    <definedName name="CLES2" localSheetId="72">'[20]4.5.5'!$B$28:$B$52</definedName>
    <definedName name="CLES2" localSheetId="73">'[20]4.5.5'!$B$28:$B$52</definedName>
    <definedName name="CLES2" localSheetId="67">'[20]4.5.5'!$B$28:$B$52</definedName>
    <definedName name="CLES2" localSheetId="68">'[20]4.5.5'!$B$28:$B$52</definedName>
    <definedName name="CLES2">'[19]4.5.5'!$B$28:$B$52</definedName>
    <definedName name="Climate_Custom" localSheetId="13">'[18]4.4.2'!$H$16:$H$21</definedName>
    <definedName name="Climate_Custom" localSheetId="7">'[18]4.4.2'!$H$16:$H$21</definedName>
    <definedName name="Climate_Custom" localSheetId="23">'[18]4.4.2'!$H$16:$H$21</definedName>
    <definedName name="Climate_Custom" localSheetId="33">'[19]4.4.2'!$A$46:$A$51</definedName>
    <definedName name="Climate_Custom" localSheetId="34">'[18]4.4.2'!$H$16:$H$21</definedName>
    <definedName name="Climate_Custom" localSheetId="35">'[18]4.4.2'!$H$16:$H$21</definedName>
    <definedName name="Climate_Custom" localSheetId="36">'[18]4.4.2'!$H$16:$H$21</definedName>
    <definedName name="Climate_Custom" localSheetId="37">'[18]4.4.2'!$H$16:$H$21</definedName>
    <definedName name="Climate_Custom" localSheetId="40">'[20]4.4.2'!$A$45:$A$50</definedName>
    <definedName name="Climate_Custom" localSheetId="41">'[20]4.4.2'!$A$45:$A$50</definedName>
    <definedName name="Climate_Custom" localSheetId="42">'[18]4.4.2'!$H$16:$H$21</definedName>
    <definedName name="Climate_Custom" localSheetId="49">'[20]4.4.2'!$A$45:$A$50</definedName>
    <definedName name="Climate_Custom" localSheetId="50">'[20]4.4.2'!$A$45:$A$50</definedName>
    <definedName name="Climate_Custom" localSheetId="51">'[20]4.4.2'!$A$45:$A$50</definedName>
    <definedName name="Climate_Custom" localSheetId="52">'[20]4.4.2'!$A$45:$A$50</definedName>
    <definedName name="Climate_Custom" localSheetId="59">'[20]4.4.2'!$A$45:$A$50</definedName>
    <definedName name="Climate_Custom" localSheetId="54">'[20]4.4.2'!$A$45:$A$50</definedName>
    <definedName name="Climate_Custom" localSheetId="58">'[20]4.4.2'!$A$45:$A$50</definedName>
    <definedName name="Climate_Custom" localSheetId="61">'[20]4.4.2'!$A$45:$A$50</definedName>
    <definedName name="Climate_Custom" localSheetId="63">'[20]4.4.2'!$A$45:$A$50</definedName>
    <definedName name="Climate_Custom" localSheetId="65">'[20]4.4.2'!$A$45:$A$50</definedName>
    <definedName name="Climate_Custom" localSheetId="66">'[20]4.4.2'!$A$45:$A$50</definedName>
    <definedName name="Climate_Custom" localSheetId="71">'[20]4.4.2'!$A$45:$A$50</definedName>
    <definedName name="Climate_Custom" localSheetId="72">'[20]4.4.2'!$A$45:$A$50</definedName>
    <definedName name="Climate_Custom" localSheetId="73">'[20]4.4.2'!$A$45:$A$50</definedName>
    <definedName name="Climate_Custom" localSheetId="67">'[20]4.4.2'!$A$45:$A$50</definedName>
    <definedName name="Climate_Custom" localSheetId="70">'[19]4.4.2'!$A$46:$A$51</definedName>
    <definedName name="Climate_Custom" localSheetId="68">'[20]4.4.2'!$A$45:$A$50</definedName>
    <definedName name="Climate_Custom">'[19]4.4.2'!$A$45:$A$50</definedName>
    <definedName name="Climate1" localSheetId="13">#REF!</definedName>
    <definedName name="Climate1" localSheetId="7">#REF!</definedName>
    <definedName name="Climate1" localSheetId="23">'[18]4.4.2'!$H$16:$H$21</definedName>
    <definedName name="Climate1" localSheetId="28">'[22]4.4.2'!$A$47:$A$52</definedName>
    <definedName name="Climate1" localSheetId="33">'[19]4.4.2'!$A$46:$A$51</definedName>
    <definedName name="Climate1" localSheetId="34">#REF!</definedName>
    <definedName name="Climate1" localSheetId="35">#REF!</definedName>
    <definedName name="Climate1" localSheetId="36">'4.4.36'!$H$31:$H$36</definedName>
    <definedName name="Climate1" localSheetId="37">'[18]4.4.2'!$H$16:$H$21</definedName>
    <definedName name="Climate1" localSheetId="38">'[22]4.4.2'!$A$47:$A$52</definedName>
    <definedName name="Climate1" localSheetId="39">'[23]4.4.2'!$A$45:$A$50</definedName>
    <definedName name="Climate1" localSheetId="40">'[25]5.1.7'!$B$26:$B$31</definedName>
    <definedName name="Climate1" localSheetId="41">'[25]5.1.7'!$B$26:$B$31</definedName>
    <definedName name="Climate1" localSheetId="43">'[22]4.4.2'!$A$47:$A$52</definedName>
    <definedName name="Climate1" localSheetId="44">'[22]4.4.2'!$A$47:$A$52</definedName>
    <definedName name="Climate1" localSheetId="42">#REF!</definedName>
    <definedName name="Climate1" localSheetId="49">'[26]5.1.7'!$B$26:$B$31</definedName>
    <definedName name="Climate1" localSheetId="50">'[11]5.3.3'!$J$25:$J$30</definedName>
    <definedName name="Climate1" localSheetId="51">'[27]5.1.7'!$B$26:$B$31</definedName>
    <definedName name="Climate1" localSheetId="52">'[25]5.1.7'!$B$26:$B$31</definedName>
    <definedName name="Climate1" localSheetId="45">'[28]5.1.7'!$B$26:$B$31</definedName>
    <definedName name="Climate1" localSheetId="47">'[12]5.3.3'!$J$25:$J$30</definedName>
    <definedName name="Climate1" localSheetId="53">'[28]5.1.7'!$B$26:$B$31</definedName>
    <definedName name="Climate1" localSheetId="59">'[25]5.1.7'!$B$26:$B$31</definedName>
    <definedName name="Climate1" localSheetId="54">'[13]5.3.3'!$J$25:$J$30</definedName>
    <definedName name="Climate1" localSheetId="57">'[28]5.1.7'!$B$26:$B$31</definedName>
    <definedName name="Climate1" localSheetId="58">'[11]5.3.3'!$J$25:$J$30</definedName>
    <definedName name="Climate1" localSheetId="61">'[11]5.3.3'!$J$25:$J$30</definedName>
    <definedName name="Climate1" localSheetId="63">'[26]5.1.7'!$B$26:$B$31</definedName>
    <definedName name="Climate1" localSheetId="65">'[11]5.3.3'!$J$25:$J$30</definedName>
    <definedName name="Climate1" localSheetId="66">'[25]5.1.7'!$B$26:$B$31</definedName>
    <definedName name="Climate1" localSheetId="72">'[11]5.3.3'!$J$25:$J$30</definedName>
    <definedName name="Climate1" localSheetId="73">'[11]5.3.3'!$J$25:$J$30</definedName>
    <definedName name="Climate1" localSheetId="70">'[19]4.4.2'!$A$46:$A$51</definedName>
    <definedName name="Climate1" localSheetId="68">'[11]5.3.3'!$J$25:$J$30</definedName>
    <definedName name="Climate1">'[14]5.3.3'!$J$25:$J$30</definedName>
    <definedName name="commodity_cost">'[29]GENERAL INPUTS'!$B$17</definedName>
    <definedName name="Comp_Category">'[30]Data Validation'!$F$1:$F$3</definedName>
    <definedName name="completeby">#REF!</definedName>
    <definedName name="control">#REF!</definedName>
    <definedName name="Converted_Stock">'[31]Measure Mapping List'!$I$9:$O$49</definedName>
    <definedName name="convertedstock_lookup" localSheetId="28">'[32]Measure Mapping List'!$I$9:$O$49</definedName>
    <definedName name="convertedstock_lookup" localSheetId="38">'[32]Measure Mapping List'!$I$9:$O$49</definedName>
    <definedName name="convertedstock_lookup" localSheetId="39">'[32]Measure Mapping List'!$I$9:$O$49</definedName>
    <definedName name="convertedstock_lookup" localSheetId="43">'[32]Measure Mapping List'!$I$9:$O$49</definedName>
    <definedName name="convertedstock_lookup" localSheetId="44">'[32]Measure Mapping List'!$I$9:$O$49</definedName>
    <definedName name="convertedstock_lookup">'[31]Measure Mapping List'!$I$9:$O$49</definedName>
    <definedName name="CSCFL1" localSheetId="23">#REF!</definedName>
    <definedName name="CSCFL1" localSheetId="34">#REF!</definedName>
    <definedName name="CSCFL1" localSheetId="35">#REF!</definedName>
    <definedName name="CSCFL1" localSheetId="36">#REF!</definedName>
    <definedName name="CSCFL1" localSheetId="37">#REF!</definedName>
    <definedName name="CSCFL1" localSheetId="40">#REF!</definedName>
    <definedName name="CSCFL1" localSheetId="41">#REF!</definedName>
    <definedName name="CSCFL1" localSheetId="42">#REF!</definedName>
    <definedName name="CSCFL1" localSheetId="2">#REF!</definedName>
    <definedName name="CSCFL1">#REF!</definedName>
    <definedName name="CSCFL2" localSheetId="23">#REF!</definedName>
    <definedName name="CSCFL2" localSheetId="34">#REF!</definedName>
    <definedName name="CSCFL2" localSheetId="35">#REF!</definedName>
    <definedName name="CSCFL2" localSheetId="36">#REF!</definedName>
    <definedName name="CSCFL2" localSheetId="37">#REF!</definedName>
    <definedName name="CSCFL2" localSheetId="40">#REF!</definedName>
    <definedName name="CSCFL2" localSheetId="41">#REF!</definedName>
    <definedName name="CSCFL2" localSheetId="42">#REF!</definedName>
    <definedName name="CSCFL2" localSheetId="2">#REF!</definedName>
    <definedName name="CSCFL2">#REF!</definedName>
    <definedName name="CSCFL3" localSheetId="23">#REF!</definedName>
    <definedName name="CSCFL3" localSheetId="34">#REF!</definedName>
    <definedName name="CSCFL3" localSheetId="35">#REF!</definedName>
    <definedName name="CSCFL3" localSheetId="36">#REF!</definedName>
    <definedName name="CSCFL3" localSheetId="37">#REF!</definedName>
    <definedName name="CSCFL3" localSheetId="40">#REF!</definedName>
    <definedName name="CSCFL3" localSheetId="41">#REF!</definedName>
    <definedName name="CSCFL3" localSheetId="42">#REF!</definedName>
    <definedName name="CSCFL3" localSheetId="2">#REF!</definedName>
    <definedName name="CSCFL3">#REF!</definedName>
    <definedName name="CSCFL4" localSheetId="23">#REF!</definedName>
    <definedName name="CSCFL4" localSheetId="34">#REF!</definedName>
    <definedName name="CSCFL4" localSheetId="35">#REF!</definedName>
    <definedName name="CSCFL4" localSheetId="36">#REF!</definedName>
    <definedName name="CSCFL4" localSheetId="37">#REF!</definedName>
    <definedName name="CSCFL4" localSheetId="40">#REF!</definedName>
    <definedName name="CSCFL4" localSheetId="41">#REF!</definedName>
    <definedName name="CSCFL4" localSheetId="42">#REF!</definedName>
    <definedName name="CSCFL4" localSheetId="2">#REF!</definedName>
    <definedName name="CSCFL4">#REF!</definedName>
    <definedName name="CSCFL5" localSheetId="23">#REF!</definedName>
    <definedName name="CSCFL5" localSheetId="34">#REF!</definedName>
    <definedName name="CSCFL5" localSheetId="35">#REF!</definedName>
    <definedName name="CSCFL5" localSheetId="36">#REF!</definedName>
    <definedName name="CSCFL5" localSheetId="37">#REF!</definedName>
    <definedName name="CSCFL5" localSheetId="40">#REF!</definedName>
    <definedName name="CSCFL5" localSheetId="41">#REF!</definedName>
    <definedName name="CSCFL5" localSheetId="42">#REF!</definedName>
    <definedName name="CSCFL5" localSheetId="2">#REF!</definedName>
    <definedName name="CSCFL5">#REF!</definedName>
    <definedName name="CSCFL6" localSheetId="23">#REF!</definedName>
    <definedName name="CSCFL6" localSheetId="34">#REF!</definedName>
    <definedName name="CSCFL6" localSheetId="35">#REF!</definedName>
    <definedName name="CSCFL6" localSheetId="36">#REF!</definedName>
    <definedName name="CSCFL6" localSheetId="37">#REF!</definedName>
    <definedName name="CSCFL6" localSheetId="40">#REF!</definedName>
    <definedName name="CSCFL6" localSheetId="41">#REF!</definedName>
    <definedName name="CSCFL6" localSheetId="42">#REF!</definedName>
    <definedName name="CSCFL6" localSheetId="2">#REF!</definedName>
    <definedName name="CSCFL6">#REF!</definedName>
    <definedName name="CSCr1" localSheetId="13">'[18]4.2.3'!$H$14:$H$15</definedName>
    <definedName name="CSCr1" localSheetId="7">'[18]4.2.3'!$H$14:$H$15</definedName>
    <definedName name="CSCr1" localSheetId="23">'[18]4.2.3'!$H$14:$H$15</definedName>
    <definedName name="CSCr1" localSheetId="28">'[22]4.2.3'!$B$76:$B$77</definedName>
    <definedName name="CSCr1" localSheetId="33">'[19]4.2.3'!$B$74:$B$75</definedName>
    <definedName name="CSCr1" localSheetId="34">'[18]4.2.3'!$H$14:$H$15</definedName>
    <definedName name="CSCr1" localSheetId="35">'[18]4.2.3'!$H$14:$H$15</definedName>
    <definedName name="CSCr1" localSheetId="36">'[18]4.2.3'!$H$14:$H$15</definedName>
    <definedName name="CSCr1" localSheetId="37">'[18]4.2.3'!$H$14:$H$15</definedName>
    <definedName name="CSCr1" localSheetId="38">'[22]4.2.3'!$B$76:$B$77</definedName>
    <definedName name="CSCr1" localSheetId="39">'[23]4.2.3'!$B$76:$B$77</definedName>
    <definedName name="CSCr1" localSheetId="40">'[20]4.2.3'!$B$73:$B$74</definedName>
    <definedName name="CSCr1" localSheetId="41">'[20]4.2.3'!$B$73:$B$74</definedName>
    <definedName name="CSCr1" localSheetId="43">'[22]4.2.3'!$B$76:$B$77</definedName>
    <definedName name="CSCr1" localSheetId="44">'[22]4.2.3'!$B$76:$B$77</definedName>
    <definedName name="CSCr1" localSheetId="42">'[18]4.2.3'!$H$14:$H$15</definedName>
    <definedName name="CSCr1" localSheetId="49">'[20]4.2.3'!$B$73:$B$74</definedName>
    <definedName name="CSCr1" localSheetId="50">'[20]4.2.3'!$B$73:$B$74</definedName>
    <definedName name="CSCr1" localSheetId="51">'[20]4.2.3'!$B$73:$B$74</definedName>
    <definedName name="CSCr1" localSheetId="52">'[20]4.2.3'!$B$73:$B$74</definedName>
    <definedName name="CSCr1" localSheetId="59">'[20]4.2.3'!$B$73:$B$74</definedName>
    <definedName name="CSCr1" localSheetId="54">'[20]4.2.3'!$B$73:$B$74</definedName>
    <definedName name="CSCr1" localSheetId="58">'[20]4.2.3'!$B$73:$B$74</definedName>
    <definedName name="CSCr1" localSheetId="61">'[20]4.2.3'!$B$73:$B$74</definedName>
    <definedName name="CSCr1" localSheetId="63">'[20]4.2.3'!$B$73:$B$74</definedName>
    <definedName name="CSCr1" localSheetId="65">'[20]4.2.3'!$B$73:$B$74</definedName>
    <definedName name="CSCr1" localSheetId="66">'[20]4.2.3'!$B$73:$B$74</definedName>
    <definedName name="CSCr1" localSheetId="71">'[20]4.2.3'!$B$73:$B$74</definedName>
    <definedName name="CSCr1" localSheetId="72">'[20]4.2.3'!$B$73:$B$74</definedName>
    <definedName name="CSCr1" localSheetId="73">'[20]4.2.3'!$B$73:$B$74</definedName>
    <definedName name="CSCr1" localSheetId="67">'[20]4.2.3'!$B$73:$B$74</definedName>
    <definedName name="CSCr1" localSheetId="70">'[19]4.2.3'!$B$74:$B$75</definedName>
    <definedName name="CSCr1" localSheetId="68">'[20]4.2.3'!$B$73:$B$74</definedName>
    <definedName name="CSCr1">'[19]4.2.3'!$B$73:$B$74</definedName>
    <definedName name="CSCr2" localSheetId="13">'[18]4.2.3'!$D$38:$D$41</definedName>
    <definedName name="CSCr2" localSheetId="7">'[18]4.2.3'!$D$38:$D$41</definedName>
    <definedName name="CSCr2" localSheetId="23">'[18]4.2.3'!$D$38:$D$41</definedName>
    <definedName name="CSCr2" localSheetId="28">'[22]4.2.3'!$A$81:$A$84</definedName>
    <definedName name="CSCr2" localSheetId="33">'[19]4.2.3'!$A$79:$A$82</definedName>
    <definedName name="CSCr2" localSheetId="34">'[18]4.2.3'!$D$38:$D$41</definedName>
    <definedName name="CSCr2" localSheetId="35">'[18]4.2.3'!$D$38:$D$41</definedName>
    <definedName name="CSCr2" localSheetId="36">'[18]4.2.3'!$D$38:$D$41</definedName>
    <definedName name="CSCr2" localSheetId="37">'[18]4.2.3'!$D$38:$D$41</definedName>
    <definedName name="CSCr2" localSheetId="38">'[22]4.2.3'!$A$81:$A$84</definedName>
    <definedName name="CSCr2" localSheetId="39">'[23]4.2.3'!$A$81:$A$84</definedName>
    <definedName name="CSCr2" localSheetId="40">'[20]4.2.3'!$A$78:$A$81</definedName>
    <definedName name="CSCr2" localSheetId="41">'[20]4.2.3'!$A$78:$A$81</definedName>
    <definedName name="CSCr2" localSheetId="43">'[22]4.2.3'!$A$81:$A$84</definedName>
    <definedName name="CSCr2" localSheetId="44">'[22]4.2.3'!$A$81:$A$84</definedName>
    <definedName name="CSCr2" localSheetId="42">'[18]4.2.3'!$D$38:$D$41</definedName>
    <definedName name="CSCr2" localSheetId="49">'[20]4.2.3'!$A$78:$A$81</definedName>
    <definedName name="CSCr2" localSheetId="50">'[20]4.2.3'!$A$78:$A$81</definedName>
    <definedName name="CSCr2" localSheetId="51">'[20]4.2.3'!$A$78:$A$81</definedName>
    <definedName name="CSCr2" localSheetId="52">'[20]4.2.3'!$A$78:$A$81</definedName>
    <definedName name="CSCr2" localSheetId="59">'[20]4.2.3'!$A$78:$A$81</definedName>
    <definedName name="CSCr2" localSheetId="54">'[20]4.2.3'!$A$78:$A$81</definedName>
    <definedName name="CSCr2" localSheetId="58">'[20]4.2.3'!$A$78:$A$81</definedName>
    <definedName name="CSCr2" localSheetId="61">'[20]4.2.3'!$A$78:$A$81</definedName>
    <definedName name="CSCr2" localSheetId="63">'[20]4.2.3'!$A$78:$A$81</definedName>
    <definedName name="CSCr2" localSheetId="65">'[20]4.2.3'!$A$78:$A$81</definedName>
    <definedName name="CSCr2" localSheetId="66">'[20]4.2.3'!$A$78:$A$81</definedName>
    <definedName name="CSCr2" localSheetId="71">'[20]4.2.3'!$A$78:$A$81</definedName>
    <definedName name="CSCr2" localSheetId="72">'[20]4.2.3'!$A$78:$A$81</definedName>
    <definedName name="CSCr2" localSheetId="73">'[20]4.2.3'!$A$78:$A$81</definedName>
    <definedName name="CSCr2" localSheetId="67">'[20]4.2.3'!$A$78:$A$81</definedName>
    <definedName name="CSCr2" localSheetId="70">'[19]4.2.3'!$A$79:$A$82</definedName>
    <definedName name="CSCr2" localSheetId="68">'[20]4.2.3'!$A$78:$A$81</definedName>
    <definedName name="CSCr2">'[19]4.2.3'!$A$78:$A$81</definedName>
    <definedName name="CSCr3" localSheetId="13">'[18]4.2.3'!$D$45:$D$52</definedName>
    <definedName name="CSCr3" localSheetId="7">'[18]4.2.3'!$D$45:$D$52</definedName>
    <definedName name="CSCr3" localSheetId="23">'[18]4.2.3'!$D$45:$D$52</definedName>
    <definedName name="CSCr3" localSheetId="28">'[22]4.2.3'!$A$88:$A$95</definedName>
    <definedName name="CSCr3" localSheetId="33">'[19]4.2.3'!$A$86:$A$93</definedName>
    <definedName name="CSCr3" localSheetId="34">'[18]4.2.3'!$D$45:$D$52</definedName>
    <definedName name="CSCr3" localSheetId="35">'[18]4.2.3'!$D$45:$D$52</definedName>
    <definedName name="CSCr3" localSheetId="36">'[18]4.2.3'!$D$45:$D$52</definedName>
    <definedName name="CSCr3" localSheetId="37">'[18]4.2.3'!$D$45:$D$52</definedName>
    <definedName name="CSCr3" localSheetId="38">'[22]4.2.3'!$A$88:$A$95</definedName>
    <definedName name="CSCr3" localSheetId="39">'[23]4.2.3'!$A$88:$A$95</definedName>
    <definedName name="CSCr3" localSheetId="40">'[20]4.2.3'!$A$85:$A$92</definedName>
    <definedName name="CSCr3" localSheetId="41">'[20]4.2.3'!$A$85:$A$92</definedName>
    <definedName name="CSCr3" localSheetId="43">'[22]4.2.3'!$A$88:$A$95</definedName>
    <definedName name="CSCr3" localSheetId="44">'[22]4.2.3'!$A$88:$A$95</definedName>
    <definedName name="CSCr3" localSheetId="42">'[18]4.2.3'!$D$45:$D$52</definedName>
    <definedName name="CSCr3" localSheetId="49">'[20]4.2.3'!$A$85:$A$92</definedName>
    <definedName name="CSCr3" localSheetId="50">'[20]4.2.3'!$A$85:$A$92</definedName>
    <definedName name="CSCr3" localSheetId="51">'[20]4.2.3'!$A$85:$A$92</definedName>
    <definedName name="CSCr3" localSheetId="52">'[20]4.2.3'!$A$85:$A$92</definedName>
    <definedName name="CSCr3" localSheetId="59">'[20]4.2.3'!$A$85:$A$92</definedName>
    <definedName name="CSCr3" localSheetId="54">'[20]4.2.3'!$A$85:$A$92</definedName>
    <definedName name="CSCr3" localSheetId="58">'[20]4.2.3'!$A$85:$A$92</definedName>
    <definedName name="CSCr3" localSheetId="61">'[20]4.2.3'!$A$85:$A$92</definedName>
    <definedName name="CSCr3" localSheetId="63">'[20]4.2.3'!$A$85:$A$92</definedName>
    <definedName name="CSCr3" localSheetId="65">'[20]4.2.3'!$A$85:$A$92</definedName>
    <definedName name="CSCr3" localSheetId="66">'[20]4.2.3'!$A$85:$A$92</definedName>
    <definedName name="CSCr3" localSheetId="71">'[20]4.2.3'!$A$85:$A$92</definedName>
    <definedName name="CSCr3" localSheetId="72">'[20]4.2.3'!$A$85:$A$92</definedName>
    <definedName name="CSCr3" localSheetId="73">'[20]4.2.3'!$A$85:$A$92</definedName>
    <definedName name="CSCr3" localSheetId="67">'[20]4.2.3'!$A$85:$A$92</definedName>
    <definedName name="CSCr3" localSheetId="70">'[19]4.2.3'!$A$86:$A$93</definedName>
    <definedName name="CSCr3" localSheetId="68">'[20]4.2.3'!$A$85:$A$92</definedName>
    <definedName name="CSCr3">'[19]4.2.3'!$A$85:$A$92</definedName>
    <definedName name="CSCr4" localSheetId="13">'[18]4.2.3'!$H$45:$H$48</definedName>
    <definedName name="CSCr4" localSheetId="7">'[18]4.2.3'!$H$45:$H$48</definedName>
    <definedName name="CSCr4" localSheetId="23">'[18]4.2.3'!$H$45:$H$48</definedName>
    <definedName name="CSCr4" localSheetId="28">'[22]4.2.3'!$E$88:$E$91</definedName>
    <definedName name="CSCr4" localSheetId="33">'[19]4.2.3'!$E$86:$E$89</definedName>
    <definedName name="CSCr4" localSheetId="34">'[18]4.2.3'!$H$45:$H$48</definedName>
    <definedName name="CSCr4" localSheetId="35">'[18]4.2.3'!$H$45:$H$48</definedName>
    <definedName name="CSCr4" localSheetId="36">'[18]4.2.3'!$H$45:$H$48</definedName>
    <definedName name="CSCr4" localSheetId="37">'[18]4.2.3'!$H$45:$H$48</definedName>
    <definedName name="CSCr4" localSheetId="38">'[22]4.2.3'!$E$88:$E$91</definedName>
    <definedName name="CSCr4" localSheetId="39">'[23]4.2.3'!$E$88:$E$91</definedName>
    <definedName name="CSCr4" localSheetId="40">'[20]4.2.3'!$E$85:$E$88</definedName>
    <definedName name="CSCr4" localSheetId="41">'[20]4.2.3'!$E$85:$E$88</definedName>
    <definedName name="CSCr4" localSheetId="43">'[22]4.2.3'!$E$88:$E$91</definedName>
    <definedName name="CSCr4" localSheetId="44">'[22]4.2.3'!$E$88:$E$91</definedName>
    <definedName name="CSCr4" localSheetId="42">'[18]4.2.3'!$H$45:$H$48</definedName>
    <definedName name="CSCr4" localSheetId="49">'[20]4.2.3'!$E$85:$E$88</definedName>
    <definedName name="CSCr4" localSheetId="50">'[20]4.2.3'!$E$85:$E$88</definedName>
    <definedName name="CSCr4" localSheetId="51">'[20]4.2.3'!$E$85:$E$88</definedName>
    <definedName name="CSCr4" localSheetId="52">'[20]4.2.3'!$E$85:$E$88</definedName>
    <definedName name="CSCr4" localSheetId="59">'[20]4.2.3'!$E$85:$E$88</definedName>
    <definedName name="CSCr4" localSheetId="54">'[20]4.2.3'!$E$85:$E$88</definedName>
    <definedName name="CSCr4" localSheetId="58">'[20]4.2.3'!$E$85:$E$88</definedName>
    <definedName name="CSCr4" localSheetId="61">'[20]4.2.3'!$E$85:$E$88</definedName>
    <definedName name="CSCr4" localSheetId="63">'[20]4.2.3'!$E$85:$E$88</definedName>
    <definedName name="CSCr4" localSheetId="65">'[20]4.2.3'!$E$85:$E$88</definedName>
    <definedName name="CSCr4" localSheetId="66">'[20]4.2.3'!$E$85:$E$88</definedName>
    <definedName name="CSCr4" localSheetId="71">'[20]4.2.3'!$E$85:$E$88</definedName>
    <definedName name="CSCr4" localSheetId="72">'[20]4.2.3'!$E$85:$E$88</definedName>
    <definedName name="CSCr4" localSheetId="73">'[20]4.2.3'!$E$85:$E$88</definedName>
    <definedName name="CSCr4" localSheetId="67">'[20]4.2.3'!$E$85:$E$88</definedName>
    <definedName name="CSCr4" localSheetId="70">'[19]4.2.3'!$E$86:$E$89</definedName>
    <definedName name="CSCr4" localSheetId="68">'[20]4.2.3'!$E$85:$E$88</definedName>
    <definedName name="CSCr4">'[19]4.2.3'!$E$85:$E$88</definedName>
    <definedName name="CSGDRF1" localSheetId="13">'[5]4.2.2'!$I$7:$I$8</definedName>
    <definedName name="CSGDRF1" localSheetId="7">'[5]4.2.2'!$I$7:$I$8</definedName>
    <definedName name="CSGDRF1" localSheetId="23">'[5]4.2.2'!$I$7:$I$8</definedName>
    <definedName name="CSGDRF1" localSheetId="34">'[6]4.2.2'!$I$7:$I$8</definedName>
    <definedName name="CSGDRF1" localSheetId="35">'[6]4.2.2'!$I$7:$I$8</definedName>
    <definedName name="CSGDRF1" localSheetId="36">'[5]4.2.2'!$I$7:$I$8</definedName>
    <definedName name="CSGDRF1" localSheetId="37">'[5]4.2.2'!$I$7:$I$8</definedName>
    <definedName name="CSGDRF1" localSheetId="40">'[5]4.2.2'!$I$7:$I$8</definedName>
    <definedName name="CSGDRF1" localSheetId="41">'[5]4.2.2'!$I$7:$I$8</definedName>
    <definedName name="CSGDRF1" localSheetId="42">'[6]4.2.2'!$I$7:$I$8</definedName>
    <definedName name="CSGDRF1">'[7]4.2.2'!$I$7:$I$8</definedName>
    <definedName name="CSGDRF2" localSheetId="13">'[5]4.2.2'!$C$20:$C$23</definedName>
    <definedName name="CSGDRF2" localSheetId="7">'[5]4.2.2'!$C$20:$C$23</definedName>
    <definedName name="CSGDRF2" localSheetId="23">'[5]4.2.2'!$C$20:$C$23</definedName>
    <definedName name="CSGDRF2" localSheetId="34">'[6]4.2.2'!$C$20:$C$23</definedName>
    <definedName name="CSGDRF2" localSheetId="35">'[6]4.2.2'!$C$20:$C$23</definedName>
    <definedName name="CSGDRF2" localSheetId="36">'[5]4.2.2'!$C$20:$C$23</definedName>
    <definedName name="CSGDRF2" localSheetId="37">'[5]4.2.2'!$C$20:$C$23</definedName>
    <definedName name="CSGDRF2" localSheetId="40">'[5]4.2.2'!$C$20:$C$23</definedName>
    <definedName name="CSGDRF2" localSheetId="41">'[5]4.2.2'!$C$20:$C$23</definedName>
    <definedName name="CSGDRF2" localSheetId="42">'[6]4.2.2'!$C$20:$C$23</definedName>
    <definedName name="CSGDRF2">'[7]4.2.2'!$C$20:$C$23</definedName>
    <definedName name="Custom_Climate" localSheetId="46">'5.3.6'!$H$34:$H$41</definedName>
    <definedName name="Custom_Climate" localSheetId="2">#REF!</definedName>
    <definedName name="D_CT_S">#REF!</definedName>
    <definedName name="D_ET_S">#REF!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ate">OFFSET([33]DataValidation!$C$8,0,0,COUNT([33]DataValidation!$C$8:'[33]DataValidation'!$C$2000),1)</definedName>
    <definedName name="demand_cost">'[29]GENERAL INPUTS'!$B$19</definedName>
    <definedName name="DHCCF1" localSheetId="13">'[5]4.6.3'!$G$23:$G$24</definedName>
    <definedName name="DHCCF1" localSheetId="7">'[5]4.6.3'!$G$23:$G$24</definedName>
    <definedName name="DHCCF1" localSheetId="23">'[5]4.6.3'!$G$23:$G$24</definedName>
    <definedName name="DHCCF1" localSheetId="34">'[6]4.6.3'!$G$23:$G$24</definedName>
    <definedName name="DHCCF1" localSheetId="35">'[6]4.6.3'!$G$23:$G$24</definedName>
    <definedName name="DHCCF1" localSheetId="36">'[5]4.6.3'!$G$23:$G$24</definedName>
    <definedName name="DHCCF1" localSheetId="37">'[5]4.6.3'!$G$23:$G$24</definedName>
    <definedName name="DHCCF1" localSheetId="40">'[5]4.6.3'!$G$23:$G$24</definedName>
    <definedName name="DHCCF1" localSheetId="41">'[5]4.6.3'!$G$23:$G$24</definedName>
    <definedName name="DHCCF1" localSheetId="42">'[6]4.6.3'!$G$23:$G$24</definedName>
    <definedName name="DHCCF1">'[7]4.6.3'!$G$23:$G$24</definedName>
    <definedName name="DHCCF2" localSheetId="13">'[5]4.6.3'!$G$19:$G$20</definedName>
    <definedName name="DHCCF2" localSheetId="7">'[5]4.6.3'!$G$19:$G$20</definedName>
    <definedName name="DHCCF2" localSheetId="23">'[5]4.6.3'!$G$19:$G$20</definedName>
    <definedName name="DHCCF2" localSheetId="34">'[6]4.6.3'!$G$19:$G$20</definedName>
    <definedName name="DHCCF2" localSheetId="35">'[6]4.6.3'!$G$19:$G$20</definedName>
    <definedName name="DHCCF2" localSheetId="36">'[5]4.6.3'!$G$19:$G$20</definedName>
    <definedName name="DHCCF2" localSheetId="37">'[5]4.6.3'!$G$19:$G$20</definedName>
    <definedName name="DHCCF2" localSheetId="40">'[5]4.6.3'!$G$19:$G$20</definedName>
    <definedName name="DHCCF2" localSheetId="41">'[5]4.6.3'!$G$19:$G$20</definedName>
    <definedName name="DHCCF2" localSheetId="42">'[6]4.6.3'!$G$19:$G$20</definedName>
    <definedName name="DHCCF2">'[7]4.6.3'!$G$19:$G$20</definedName>
    <definedName name="DHCCF3" localSheetId="13">'[5]4.6.3'!$F$28:$F$30</definedName>
    <definedName name="DHCCF3" localSheetId="7">'[5]4.6.3'!$F$28:$F$30</definedName>
    <definedName name="DHCCF3" localSheetId="23">'[5]4.6.3'!$F$28:$F$30</definedName>
    <definedName name="DHCCF3" localSheetId="34">'[6]4.6.3'!$F$28:$F$30</definedName>
    <definedName name="DHCCF3" localSheetId="35">'[6]4.6.3'!$F$28:$F$30</definedName>
    <definedName name="DHCCF3" localSheetId="36">'[5]4.6.3'!$F$28:$F$30</definedName>
    <definedName name="DHCCF3" localSheetId="37">'[5]4.6.3'!$F$28:$F$30</definedName>
    <definedName name="DHCCF3" localSheetId="40">'[5]4.6.3'!$F$28:$F$30</definedName>
    <definedName name="DHCCF3" localSheetId="41">'[5]4.6.3'!$F$28:$F$30</definedName>
    <definedName name="DHCCF3" localSheetId="42">'[6]4.6.3'!$F$28:$F$30</definedName>
    <definedName name="DHCCF3">'[7]4.6.3'!$F$28:$F$30</definedName>
    <definedName name="DiscountRate_ComEd">'[34]General Inputs'!$D$5</definedName>
    <definedName name="DiscountRate_NorthShore">'[35]General Inputs'!$C$11</definedName>
    <definedName name="DiscountRate_Peoples">'[17]General Inputs'!$B$30</definedName>
    <definedName name="DISl1" localSheetId="23">#REF!</definedName>
    <definedName name="DISl1" localSheetId="34">#REF!</definedName>
    <definedName name="DISl1" localSheetId="35">#REF!</definedName>
    <definedName name="DISl1" localSheetId="36">#REF!</definedName>
    <definedName name="DISl1" localSheetId="37">#REF!</definedName>
    <definedName name="DISl1" localSheetId="40">#REF!</definedName>
    <definedName name="DISl1" localSheetId="41">#REF!</definedName>
    <definedName name="DISl1" localSheetId="42">#REF!</definedName>
    <definedName name="DISl1" localSheetId="45">'5.3.4'!$A$135:$A$137</definedName>
    <definedName name="DISl1" localSheetId="2">#REF!</definedName>
    <definedName name="DISl1">#REF!</definedName>
    <definedName name="DISl2" localSheetId="23">#REF!</definedName>
    <definedName name="DISl2" localSheetId="34">#REF!</definedName>
    <definedName name="DISl2" localSheetId="35">#REF!</definedName>
    <definedName name="DISl2" localSheetId="36">#REF!</definedName>
    <definedName name="DISl2" localSheetId="37">#REF!</definedName>
    <definedName name="DISl2" localSheetId="40">#REF!</definedName>
    <definedName name="DISl2" localSheetId="41">#REF!</definedName>
    <definedName name="DISl2" localSheetId="42">#REF!</definedName>
    <definedName name="DISl2" localSheetId="45">'5.3.4'!$A$127:$A$128</definedName>
    <definedName name="DISl2" localSheetId="2">#REF!</definedName>
    <definedName name="DISl2">#REF!</definedName>
    <definedName name="DISl3" localSheetId="23">#REF!</definedName>
    <definedName name="DISl3" localSheetId="34">#REF!</definedName>
    <definedName name="DISl3" localSheetId="35">#REF!</definedName>
    <definedName name="DISl3" localSheetId="36">#REF!</definedName>
    <definedName name="DISl3" localSheetId="37">#REF!</definedName>
    <definedName name="DISl3" localSheetId="40">#REF!</definedName>
    <definedName name="DISl3" localSheetId="41">#REF!</definedName>
    <definedName name="DISl3" localSheetId="42">#REF!</definedName>
    <definedName name="DISl3" localSheetId="45">'5.3.4'!$A$131:$A$132</definedName>
    <definedName name="DISl3" localSheetId="2">#REF!</definedName>
    <definedName name="DISl3">#REF!</definedName>
    <definedName name="DISl4" localSheetId="23">#REF!</definedName>
    <definedName name="DISl4" localSheetId="34">#REF!</definedName>
    <definedName name="DISl4" localSheetId="35">#REF!</definedName>
    <definedName name="DISl4" localSheetId="36">#REF!</definedName>
    <definedName name="DISl4" localSheetId="37">#REF!</definedName>
    <definedName name="DISl4" localSheetId="40">#REF!</definedName>
    <definedName name="DISl4" localSheetId="41">#REF!</definedName>
    <definedName name="DISl4" localSheetId="42">#REF!</definedName>
    <definedName name="DISl4" localSheetId="45">'5.3.4'!$B$114:$B$115</definedName>
    <definedName name="DISl4" localSheetId="2">#REF!</definedName>
    <definedName name="DISl4">#REF!</definedName>
    <definedName name="DISl5" localSheetId="23">#REF!</definedName>
    <definedName name="DISl5" localSheetId="34">#REF!</definedName>
    <definedName name="DISl5" localSheetId="35">#REF!</definedName>
    <definedName name="DISl5" localSheetId="36">#REF!</definedName>
    <definedName name="DISl5" localSheetId="37">#REF!</definedName>
    <definedName name="DISl5" localSheetId="40">#REF!</definedName>
    <definedName name="DISl5" localSheetId="41">#REF!</definedName>
    <definedName name="DISl5" localSheetId="42">#REF!</definedName>
    <definedName name="DISl5" localSheetId="45">'5.3.4'!$A$114:$A$118</definedName>
    <definedName name="DISl5" localSheetId="2">#REF!</definedName>
    <definedName name="DISl5">#REF!</definedName>
    <definedName name="Documenting_Known_Issues" localSheetId="61">#REF!</definedName>
    <definedName name="Documenting_Known_Issues" localSheetId="72">#REF!</definedName>
    <definedName name="Documenting_Known_Issues" localSheetId="73">#REF!</definedName>
    <definedName name="Documenting_Known_Issues" localSheetId="67">#REF!</definedName>
    <definedName name="Documenting_Known_Issues" localSheetId="2">#REF!</definedName>
    <definedName name="Documenting_Known_Issues" localSheetId="68">#REF!</definedName>
    <definedName name="Documenting_Known_Issues">#REF!</definedName>
    <definedName name="dratePCT">'[8]Discounting Tables'!$B$10</definedName>
    <definedName name="drateSCT">'[8]Discounting Tables'!$B$8</definedName>
    <definedName name="drateWACC">'[8]Discounting Tables'!$B$9</definedName>
    <definedName name="E_Commodity_Cost_annual">'[36]E-General Inputs'!$B$20</definedName>
    <definedName name="E_CT_S">#REF!</definedName>
    <definedName name="E_Demand_Cost">'[36]E-General Inputs'!$B$25</definedName>
    <definedName name="E_Environmental_Damage_Factor">'[36]E-General Inputs'!$B$32</definedName>
    <definedName name="E_Escalation_Rate">'[36]E-General Inputs'!$C$18</definedName>
    <definedName name="E_ET_S">#REF!</definedName>
    <definedName name="E_General_Input_Data_Year">'[36]E-General Inputs'!$B$41</definedName>
    <definedName name="E_Participant_Discount_Rate">'[36]E-General Inputs'!$B$35</definedName>
    <definedName name="E_Project_Analysis_Year_1">'[36]E-General Inputs'!$B$43</definedName>
    <definedName name="E_Retail_Rate_residential">'[36]E-General Inputs'!$B$11</definedName>
    <definedName name="E_Social_Discount_Rate">'[36]E-General Inputs'!$B$39</definedName>
    <definedName name="E_Utility_Discount_Rate">'[36]E-General Inputs'!$B$37</definedName>
    <definedName name="E_Variable_O_M">'[36]E-General Inputs'!$B$29</definedName>
    <definedName name="EarlyRetirementRates">'[37]Forecast Input'!$B$198:$C$212</definedName>
    <definedName name="ECMWRCF1" localSheetId="13">'[5]4.6.4'!$F$11:$F$13</definedName>
    <definedName name="ECMWRCF1" localSheetId="7">'[5]4.6.4'!$F$11:$F$13</definedName>
    <definedName name="ECMWRCF1" localSheetId="23">'[5]4.6.4'!$F$11:$F$13</definedName>
    <definedName name="ECMWRCF1" localSheetId="34">'[6]4.6.4'!$F$11:$F$13</definedName>
    <definedName name="ECMWRCF1" localSheetId="35">'[6]4.6.4'!$F$11:$F$13</definedName>
    <definedName name="ECMWRCF1" localSheetId="36">'[5]4.6.4'!$F$11:$F$13</definedName>
    <definedName name="ECMWRCF1" localSheetId="37">'[5]4.6.4'!$F$11:$F$13</definedName>
    <definedName name="ECMWRCF1" localSheetId="40">'[5]4.6.4'!$F$11:$F$13</definedName>
    <definedName name="ECMWRCF1" localSheetId="41">'[5]4.6.4'!$F$11:$F$13</definedName>
    <definedName name="ECMWRCF1" localSheetId="42">'[6]4.6.4'!$F$11:$F$13</definedName>
    <definedName name="ECMWRCF1">'[7]4.6.4'!$F$11:$F$13</definedName>
    <definedName name="EHCFL1" localSheetId="23">#REF!</definedName>
    <definedName name="EHCFL1" localSheetId="34">#REF!</definedName>
    <definedName name="EHCFL1" localSheetId="35">#REF!</definedName>
    <definedName name="EHCFL1" localSheetId="36">#REF!</definedName>
    <definedName name="EHCFL1" localSheetId="37">#REF!</definedName>
    <definedName name="EHCFL1" localSheetId="40">#REF!</definedName>
    <definedName name="EHCFL1" localSheetId="41">#REF!</definedName>
    <definedName name="EHCFL1" localSheetId="42">#REF!</definedName>
    <definedName name="EHCFL1" localSheetId="2">#REF!</definedName>
    <definedName name="EHCFL1">#REF!</definedName>
    <definedName name="EHCFL2" localSheetId="23">#REF!</definedName>
    <definedName name="EHCFL2" localSheetId="34">#REF!</definedName>
    <definedName name="EHCFL2" localSheetId="35">#REF!</definedName>
    <definedName name="EHCFL2" localSheetId="36">#REF!</definedName>
    <definedName name="EHCFL2" localSheetId="37">#REF!</definedName>
    <definedName name="EHCFL2" localSheetId="40">#REF!</definedName>
    <definedName name="EHCFL2" localSheetId="41">#REF!</definedName>
    <definedName name="EHCFL2" localSheetId="42">#REF!</definedName>
    <definedName name="EHCFL2" localSheetId="2">#REF!</definedName>
    <definedName name="EHCFL2">#REF!</definedName>
    <definedName name="EHCFLF1" localSheetId="13">'[38]5.5.4'!$C$22:$C$29</definedName>
    <definedName name="EHCFLF1" localSheetId="7">'[38]5.5.4'!$C$22:$C$29</definedName>
    <definedName name="EHCFLF1" localSheetId="23">'[38]5.5.4'!$C$22:$C$29</definedName>
    <definedName name="EHCFLF1" localSheetId="28">'[39]5.5.4'!$C$22:$C$29</definedName>
    <definedName name="EHCFLF1" localSheetId="34">'[38]5.5.4'!$C$22:$C$29</definedName>
    <definedName name="EHCFLF1" localSheetId="35">'[38]5.5.4'!$C$22:$C$29</definedName>
    <definedName name="EHCFLF1" localSheetId="36">'[38]5.5.4'!$C$22:$C$29</definedName>
    <definedName name="EHCFLF1" localSheetId="37">'[38]5.5.4'!$C$22:$C$29</definedName>
    <definedName name="EHCFLF1" localSheetId="38">'[39]5.5.4'!$C$22:$C$29</definedName>
    <definedName name="EHCFLF1" localSheetId="39">'[39]5.5.4'!$C$22:$C$29</definedName>
    <definedName name="EHCFLF1" localSheetId="40">'[25]5.5.4'!$C$22:$C$29</definedName>
    <definedName name="EHCFLF1" localSheetId="41">'[25]5.5.4'!$C$22:$C$29</definedName>
    <definedName name="EHCFLF1" localSheetId="43">'[39]5.5.4'!$C$22:$C$29</definedName>
    <definedName name="EHCFLF1" localSheetId="44">'[39]5.5.4'!$C$22:$C$29</definedName>
    <definedName name="EHCFLF1" localSheetId="42">'[38]5.5.4'!$C$22:$C$29</definedName>
    <definedName name="EHCFLF1" localSheetId="49">'[26]5.5.4'!$C$22:$C$29</definedName>
    <definedName name="EHCFLF1" localSheetId="50">'[39]5.5.4'!$C$22:$C$29</definedName>
    <definedName name="EHCFLF1" localSheetId="51">'[27]5.5.4'!$C$22:$C$29</definedName>
    <definedName name="EHCFLF1" localSheetId="52">'[25]5.5.4'!$C$22:$C$29</definedName>
    <definedName name="EHCFLF1" localSheetId="59">'[25]5.5.4'!$C$22:$C$29</definedName>
    <definedName name="EHCFLF1" localSheetId="54">'[39]5.5.4'!$C$22:$C$29</definedName>
    <definedName name="EHCFLF1" localSheetId="58">'[39]5.5.4'!$C$22:$C$29</definedName>
    <definedName name="EHCFLF1" localSheetId="61">'[39]5.5.4'!$C$22:$C$29</definedName>
    <definedName name="EHCFLF1" localSheetId="63">'[26]5.5.4'!$C$22:$C$29</definedName>
    <definedName name="EHCFLF1" localSheetId="65">'[39]5.5.4'!$C$22:$C$29</definedName>
    <definedName name="EHCFLF1" localSheetId="66">'[25]5.5.4'!$C$22:$C$29</definedName>
    <definedName name="EHCFLF1" localSheetId="71">'[39]5.5.4'!$C$22:$C$29</definedName>
    <definedName name="EHCFLF1" localSheetId="72">'[39]5.5.4'!$C$22:$C$29</definedName>
    <definedName name="EHCFLF1" localSheetId="73">'[39]5.5.4'!$C$22:$C$29</definedName>
    <definedName name="EHCFLF1" localSheetId="67">'[39]5.5.4'!$C$22:$C$29</definedName>
    <definedName name="EHCFLF1" localSheetId="68">'[39]5.5.4'!$C$22:$C$29</definedName>
    <definedName name="EHCFLF1">'[28]5.5.4'!$C$22:$C$29</definedName>
    <definedName name="EHCFLF2" localSheetId="13">'[38]5.5.4'!$K$24:$K$27</definedName>
    <definedName name="EHCFLF2" localSheetId="7">'[38]5.5.4'!$K$24:$K$27</definedName>
    <definedName name="EHCFLF2" localSheetId="23">'[38]5.5.4'!$K$24:$K$27</definedName>
    <definedName name="EHCFLF2" localSheetId="28">'[39]5.5.4'!$K$24:$K$27</definedName>
    <definedName name="EHCFLF2" localSheetId="34">'[38]5.5.4'!$K$24:$K$27</definedName>
    <definedName name="EHCFLF2" localSheetId="35">'[38]5.5.4'!$K$24:$K$27</definedName>
    <definedName name="EHCFLF2" localSheetId="36">'[38]5.5.4'!$K$24:$K$27</definedName>
    <definedName name="EHCFLF2" localSheetId="37">'[38]5.5.4'!$K$24:$K$27</definedName>
    <definedName name="EHCFLF2" localSheetId="38">'[39]5.5.4'!$K$24:$K$27</definedName>
    <definedName name="EHCFLF2" localSheetId="39">'[39]5.5.4'!$K$24:$K$27</definedName>
    <definedName name="EHCFLF2" localSheetId="40">'[25]5.5.4'!$K$24:$K$27</definedName>
    <definedName name="EHCFLF2" localSheetId="41">'[25]5.5.4'!$K$24:$K$27</definedName>
    <definedName name="EHCFLF2" localSheetId="43">'[39]5.5.4'!$K$24:$K$27</definedName>
    <definedName name="EHCFLF2" localSheetId="44">'[39]5.5.4'!$K$24:$K$27</definedName>
    <definedName name="EHCFLF2" localSheetId="42">'[38]5.5.4'!$K$24:$K$27</definedName>
    <definedName name="EHCFLF2" localSheetId="49">'[26]5.5.4'!$K$24:$K$27</definedName>
    <definedName name="EHCFLF2" localSheetId="50">'[39]5.5.4'!$K$24:$K$27</definedName>
    <definedName name="EHCFLF2" localSheetId="51">'[27]5.5.4'!$K$24:$K$27</definedName>
    <definedName name="EHCFLF2" localSheetId="52">'[25]5.5.4'!$K$24:$K$27</definedName>
    <definedName name="EHCFLF2" localSheetId="59">'[25]5.5.4'!$K$24:$K$27</definedName>
    <definedName name="EHCFLF2" localSheetId="54">'[39]5.5.4'!$K$24:$K$27</definedName>
    <definedName name="EHCFLF2" localSheetId="58">'[39]5.5.4'!$K$24:$K$27</definedName>
    <definedName name="EHCFLF2" localSheetId="61">'[39]5.5.4'!$K$24:$K$27</definedName>
    <definedName name="EHCFLF2" localSheetId="63">'[26]5.5.4'!$K$24:$K$27</definedName>
    <definedName name="EHCFLF2" localSheetId="65">'[39]5.5.4'!$K$24:$K$27</definedName>
    <definedName name="EHCFLF2" localSheetId="66">'[25]5.5.4'!$K$24:$K$27</definedName>
    <definedName name="EHCFLF2" localSheetId="71">'[39]5.5.4'!$K$24:$K$27</definedName>
    <definedName name="EHCFLF2" localSheetId="72">'[39]5.5.4'!$K$24:$K$27</definedName>
    <definedName name="EHCFLF2" localSheetId="73">'[39]5.5.4'!$K$24:$K$27</definedName>
    <definedName name="EHCFLF2" localSheetId="67">'[39]5.5.4'!$K$24:$K$27</definedName>
    <definedName name="EHCFLF2" localSheetId="68">'[39]5.5.4'!$K$24:$K$27</definedName>
    <definedName name="EHCFLF2">'[28]5.5.4'!$K$24:$K$27</definedName>
    <definedName name="ElCh1" localSheetId="13">'[5]4.4.6'!$E$21:$G$21</definedName>
    <definedName name="ElCh1" localSheetId="7">'[5]4.4.6'!$E$21:$G$21</definedName>
    <definedName name="ElCh1" localSheetId="23">'[5]4.4.6'!$E$21:$G$21</definedName>
    <definedName name="ElCh1" localSheetId="34">'[6]4.4.6'!$E$21:$G$21</definedName>
    <definedName name="ElCh1" localSheetId="35">'[6]4.4.6'!$E$21:$G$21</definedName>
    <definedName name="ElCh1" localSheetId="36">'[5]4.4.6'!$E$21:$G$21</definedName>
    <definedName name="ElCh1" localSheetId="37">'[5]4.4.6'!$E$21:$G$21</definedName>
    <definedName name="ElCh1" localSheetId="40">'[5]4.4.6'!$E$21:$G$21</definedName>
    <definedName name="ElCh1" localSheetId="41">'[5]4.4.6'!$E$21:$G$21</definedName>
    <definedName name="ElCh1" localSheetId="42">'[6]4.4.6'!$E$21:$G$21</definedName>
    <definedName name="ElCh1">'[7]4.4.6'!$E$21:$G$21</definedName>
    <definedName name="ElCh2" localSheetId="13">'[5]4.4.6'!$L$28:$L$36</definedName>
    <definedName name="ElCh2" localSheetId="7">'[5]4.4.6'!$L$28:$L$36</definedName>
    <definedName name="ElCh2" localSheetId="23">'[5]4.4.6'!$L$28:$L$36</definedName>
    <definedName name="ElCh2" localSheetId="34">'[6]4.4.6'!$L$28:$L$36</definedName>
    <definedName name="ElCh2" localSheetId="35">'[6]4.4.6'!$L$28:$L$36</definedName>
    <definedName name="ElCh2" localSheetId="36">'[5]4.4.6'!$L$28:$L$36</definedName>
    <definedName name="ElCh2" localSheetId="37">'[5]4.4.6'!$L$28:$L$36</definedName>
    <definedName name="ElCh2" localSheetId="40">'[5]4.4.6'!$L$28:$L$36</definedName>
    <definedName name="ElCh2" localSheetId="41">'[5]4.4.6'!$L$28:$L$36</definedName>
    <definedName name="ElCh2" localSheetId="42">'[6]4.4.6'!$L$28:$L$36</definedName>
    <definedName name="ElCh2">'[7]4.4.6'!$L$28:$L$36</definedName>
    <definedName name="ElCh3" localSheetId="13">'[5]4.4.6'!$I$7:$I$8</definedName>
    <definedName name="ElCh3" localSheetId="7">'[5]4.4.6'!$I$7:$I$8</definedName>
    <definedName name="ElCh3" localSheetId="23">'[5]4.4.6'!$I$7:$I$8</definedName>
    <definedName name="ElCh3" localSheetId="34">'[6]4.4.6'!$I$7:$I$8</definedName>
    <definedName name="ElCh3" localSheetId="35">'[6]4.4.6'!$I$7:$I$8</definedName>
    <definedName name="ElCh3" localSheetId="36">'[5]4.4.6'!$I$7:$I$8</definedName>
    <definedName name="ElCh3" localSheetId="37">'[5]4.4.6'!$I$7:$I$8</definedName>
    <definedName name="ElCh3" localSheetId="40">'[5]4.4.6'!$I$7:$I$8</definedName>
    <definedName name="ElCh3" localSheetId="41">'[5]4.4.6'!$I$7:$I$8</definedName>
    <definedName name="ElCh3" localSheetId="42">'[6]4.4.6'!$I$7:$I$8</definedName>
    <definedName name="ElCh3">'[7]4.4.6'!$I$7:$I$8</definedName>
    <definedName name="ElCh4" localSheetId="13">'[5]4.4.6'!$O$26:$O$28</definedName>
    <definedName name="ElCh4" localSheetId="7">'[5]4.4.6'!$O$26:$O$28</definedName>
    <definedName name="ElCh4" localSheetId="23">'[5]4.4.6'!$O$26:$O$28</definedName>
    <definedName name="ElCh4" localSheetId="34">'[6]4.4.6'!$O$26:$O$28</definedName>
    <definedName name="ElCh4" localSheetId="35">'[6]4.4.6'!$O$26:$O$28</definedName>
    <definedName name="ElCh4" localSheetId="36">'[5]4.4.6'!$O$26:$O$28</definedName>
    <definedName name="ElCh4" localSheetId="37">'[5]4.4.6'!$O$26:$O$28</definedName>
    <definedName name="ElCh4" localSheetId="40">'[5]4.4.6'!$O$26:$O$28</definedName>
    <definedName name="ElCh4" localSheetId="41">'[5]4.4.6'!$O$26:$O$28</definedName>
    <definedName name="ElCh4" localSheetId="42">'[6]4.4.6'!$O$26:$O$28</definedName>
    <definedName name="ElCh4">'[7]4.4.6'!$O$26:$O$28</definedName>
    <definedName name="ElecIncentPivotTbl" localSheetId="0">#REF!</definedName>
    <definedName name="ElecIncentPivotTbl" localSheetId="2">#REF!</definedName>
    <definedName name="ElecIncentPivotTbl" localSheetId="1">#REF!</definedName>
    <definedName name="Electric_Line_Loss">'[17]General Inputs'!$B$9</definedName>
    <definedName name="Electric_LineLoss">'[34]General Inputs'!$D$6</definedName>
    <definedName name="Electric_NonRes_Rate">'[17]General Inputs'!$B$40</definedName>
    <definedName name="Electric_Res_Rate">'[17]General Inputs'!$B$39</definedName>
    <definedName name="enduse1">'[37]Main Input'!$M$6</definedName>
    <definedName name="enduse2">'[37]Main Input'!$M$7</definedName>
    <definedName name="EndUsePremiseCountsActual_Existing_1">'[37]Stock Forecast'!$C$61:$Q$81</definedName>
    <definedName name="EndUsePremiseCountsActual_Existing_2">'[37]Stock Forecast'!$R$61:$AF$81</definedName>
    <definedName name="EndUsePremiseCountsActual_New_1">'[37]Stock Forecast'!$C$34:$Q$54</definedName>
    <definedName name="EndUsePremiseCountsActual_new_2">'[37]Stock Forecast'!$R$34:$AF$54</definedName>
    <definedName name="EndUsePremiseCountsEndUse">'[37]Stock Forecast'!$C$60:$Q$60</definedName>
    <definedName name="EndUsePremiseCountsYear">'[37]Stock Forecast'!$B$34:$B$54</definedName>
    <definedName name="EndYear">'[37]Main Input'!$I$21</definedName>
    <definedName name="Energy_Savings" localSheetId="61">#REF!</definedName>
    <definedName name="Energy_Savings" localSheetId="72">#REF!</definedName>
    <definedName name="Energy_Savings" localSheetId="73">#REF!</definedName>
    <definedName name="Energy_Savings" localSheetId="67">#REF!</definedName>
    <definedName name="Energy_Savings" localSheetId="2">#REF!</definedName>
    <definedName name="Energy_Savings" localSheetId="68">#REF!</definedName>
    <definedName name="Energy_Savings">#REF!</definedName>
    <definedName name="Environmental_Electric">'[35]General Inputs'!$B$23</definedName>
    <definedName name="Environmental_Factor">'[17]General Inputs'!$B$42</definedName>
    <definedName name="Environmental_Gas">'[35]General Inputs'!$B$24</definedName>
    <definedName name="EquipType1_1">'[37]Main Input'!$C$33</definedName>
    <definedName name="EquipType1_2">'[37]Main Input'!$C$34</definedName>
    <definedName name="EquipType1_3">'[37]Main Input'!$C$35</definedName>
    <definedName name="EquipType1_4">'[37]Main Input'!$C$36</definedName>
    <definedName name="EquipType1_5">'[37]Main Input'!$C$37</definedName>
    <definedName name="EquipType2_1">'[37]Main Input'!$D$33</definedName>
    <definedName name="EquipType2_2">'[37]Main Input'!$D$34</definedName>
    <definedName name="EquipType2_3">'[37]Main Input'!$D$35</definedName>
    <definedName name="EquipType2_4">'[37]Main Input'!$D$36</definedName>
    <definedName name="EquipType2_5">'[37]Main Input'!$D$37</definedName>
    <definedName name="EquipTypeSaturation1_1">'[37]Forecast Input'!$C$63:$D$67</definedName>
    <definedName name="EquipTypeSaturation1_2">'[37]Forecast Input'!$E$63:$F$67</definedName>
    <definedName name="EquipTypeSaturation2_1">'[37]Forecast Input'!$C$72:$D$76</definedName>
    <definedName name="EquipTypeSaturation2_2">'[37]Forecast Input'!$E$72:$F$76</definedName>
    <definedName name="ESAPC1" localSheetId="13">'[38]5.1.1'!$I$7:$I$8</definedName>
    <definedName name="ESAPC1" localSheetId="7">'[38]5.1.1'!$I$7:$I$8</definedName>
    <definedName name="ESAPC1" localSheetId="23">'[38]5.1.1'!$I$7:$I$8</definedName>
    <definedName name="ESAPC1" localSheetId="28">'[39]5.1.1'!$I$7:$I$8</definedName>
    <definedName name="ESAPC1" localSheetId="34">'[38]5.1.1'!$I$7:$I$8</definedName>
    <definedName name="ESAPC1" localSheetId="35">'[38]5.1.1'!$I$7:$I$8</definedName>
    <definedName name="ESAPC1" localSheetId="36">'[38]5.1.1'!$I$7:$I$8</definedName>
    <definedName name="ESAPC1" localSheetId="37">'[38]5.1.1'!$I$7:$I$8</definedName>
    <definedName name="ESAPC1" localSheetId="38">'[39]5.1.1'!$I$7:$I$8</definedName>
    <definedName name="ESAPC1" localSheetId="39">'[39]5.1.1'!$I$7:$I$8</definedName>
    <definedName name="ESAPC1" localSheetId="40">'[25]5.1.1'!$I$7:$I$8</definedName>
    <definedName name="ESAPC1" localSheetId="41">'[25]5.1.1'!$I$7:$I$8</definedName>
    <definedName name="ESAPC1" localSheetId="43">'[39]5.1.1'!$I$7:$I$8</definedName>
    <definedName name="ESAPC1" localSheetId="44">'[39]5.1.1'!$I$7:$I$8</definedName>
    <definedName name="ESAPC1" localSheetId="42">'[38]5.1.1'!$I$7:$I$8</definedName>
    <definedName name="ESAPC1" localSheetId="49">'[26]5.1.1'!$I$7:$I$8</definedName>
    <definedName name="ESAPC1" localSheetId="50">'[39]5.1.1'!$I$7:$I$8</definedName>
    <definedName name="ESAPC1" localSheetId="51">'[27]5.1.1'!$I$7:$I$8</definedName>
    <definedName name="ESAPC1" localSheetId="52">'[25]5.1.1'!$I$7:$I$8</definedName>
    <definedName name="ESAPC1" localSheetId="59">'[25]5.1.1'!$I$7:$I$8</definedName>
    <definedName name="ESAPC1" localSheetId="54">'[39]5.1.1'!$I$7:$I$8</definedName>
    <definedName name="ESAPC1" localSheetId="58">'[39]5.1.1'!$I$7:$I$8</definedName>
    <definedName name="ESAPC1" localSheetId="61">'[39]5.1.1'!$I$7:$I$8</definedName>
    <definedName name="ESAPC1" localSheetId="63">'[26]5.1.1'!$I$7:$I$8</definedName>
    <definedName name="ESAPC1" localSheetId="65">'[39]5.1.1'!$I$7:$I$8</definedName>
    <definedName name="ESAPC1" localSheetId="66">'[25]5.1.1'!$I$7:$I$8</definedName>
    <definedName name="ESAPC1" localSheetId="71">'[39]5.1.1'!$I$7:$I$8</definedName>
    <definedName name="ESAPC1" localSheetId="72">'[39]5.1.1'!$I$7:$I$8</definedName>
    <definedName name="ESAPC1" localSheetId="73">'[39]5.1.1'!$I$7:$I$8</definedName>
    <definedName name="ESAPC1" localSheetId="67">'[39]5.1.1'!$I$7:$I$8</definedName>
    <definedName name="ESAPC1" localSheetId="68">'[39]5.1.1'!$I$7:$I$8</definedName>
    <definedName name="ESAPC1">'[28]5.1.1'!$I$7:$I$8</definedName>
    <definedName name="ESAPC2" localSheetId="13">'[38]5.1.1'!$G$21:$G$25</definedName>
    <definedName name="ESAPC2" localSheetId="7">'[38]5.1.1'!$G$21:$G$25</definedName>
    <definedName name="ESAPC2" localSheetId="23">'[38]5.1.1'!$G$21:$G$25</definedName>
    <definedName name="ESAPC2" localSheetId="28">'[39]5.1.1'!$G$21:$G$25</definedName>
    <definedName name="ESAPC2" localSheetId="34">'[38]5.1.1'!$G$21:$G$25</definedName>
    <definedName name="ESAPC2" localSheetId="35">'[38]5.1.1'!$G$21:$G$25</definedName>
    <definedName name="ESAPC2" localSheetId="36">'[38]5.1.1'!$G$21:$G$25</definedName>
    <definedName name="ESAPC2" localSheetId="37">'[38]5.1.1'!$G$21:$G$25</definedName>
    <definedName name="ESAPC2" localSheetId="38">'[39]5.1.1'!$G$21:$G$25</definedName>
    <definedName name="ESAPC2" localSheetId="39">'[39]5.1.1'!$G$21:$G$25</definedName>
    <definedName name="ESAPC2" localSheetId="40">'[25]5.1.1'!$G$21:$G$25</definedName>
    <definedName name="ESAPC2" localSheetId="41">'[25]5.1.1'!$G$21:$G$25</definedName>
    <definedName name="ESAPC2" localSheetId="43">'[39]5.1.1'!$G$21:$G$25</definedName>
    <definedName name="ESAPC2" localSheetId="44">'[39]5.1.1'!$G$21:$G$25</definedName>
    <definedName name="ESAPC2" localSheetId="42">'[38]5.1.1'!$G$21:$G$25</definedName>
    <definedName name="ESAPC2" localSheetId="49">'[26]5.1.1'!$G$21:$G$25</definedName>
    <definedName name="ESAPC2" localSheetId="50">'[39]5.1.1'!$G$21:$G$25</definedName>
    <definedName name="ESAPC2" localSheetId="51">'[27]5.1.1'!$G$21:$G$25</definedName>
    <definedName name="ESAPC2" localSheetId="52">'[25]5.1.1'!$G$21:$G$25</definedName>
    <definedName name="ESAPC2" localSheetId="59">'[25]5.1.1'!$G$21:$G$25</definedName>
    <definedName name="ESAPC2" localSheetId="54">'[39]5.1.1'!$G$21:$G$25</definedName>
    <definedName name="ESAPC2" localSheetId="58">'[39]5.1.1'!$G$21:$G$25</definedName>
    <definedName name="ESAPC2" localSheetId="61">'[39]5.1.1'!$G$21:$G$25</definedName>
    <definedName name="ESAPC2" localSheetId="63">'[26]5.1.1'!$G$21:$G$25</definedName>
    <definedName name="ESAPC2" localSheetId="65">'[39]5.1.1'!$G$21:$G$25</definedName>
    <definedName name="ESAPC2" localSheetId="66">'[25]5.1.1'!$G$21:$G$25</definedName>
    <definedName name="ESAPC2" localSheetId="71">'[39]5.1.1'!$G$21:$G$25</definedName>
    <definedName name="ESAPC2" localSheetId="72">'[39]5.1.1'!$G$21:$G$25</definedName>
    <definedName name="ESAPC2" localSheetId="73">'[39]5.1.1'!$G$21:$G$25</definedName>
    <definedName name="ESAPC2" localSheetId="67">'[39]5.1.1'!$G$21:$G$25</definedName>
    <definedName name="ESAPC2" localSheetId="68">'[39]5.1.1'!$G$21:$G$25</definedName>
    <definedName name="ESAPC2">'[28]5.1.1'!$G$21:$G$25</definedName>
    <definedName name="escalation_rate">'[29]GENERAL INPUTS'!$D$11</definedName>
    <definedName name="EscalationkW">'[40]Program Name'!$C$8</definedName>
    <definedName name="EscalationkWh">'[40]Program Name'!$C$7</definedName>
    <definedName name="EscalationTherm">'[40]Program Name'!$C$9</definedName>
    <definedName name="ESCFL1" localSheetId="13">'[9]5.5.1'!$D$27:$D$34</definedName>
    <definedName name="ESCFL1" localSheetId="7">'[9]5.5.1'!$D$27:$D$34</definedName>
    <definedName name="ESCFL1" localSheetId="23">'[9]5.5.1'!$D$27:$D$34</definedName>
    <definedName name="ESCFL1" localSheetId="28">'[10]5.5.1'!$D$27:$D$34</definedName>
    <definedName name="ESCFL1" localSheetId="33">'[10]5.5.1'!$D$27:$D$34</definedName>
    <definedName name="ESCFL1" localSheetId="34">'[9]5.5.1'!$D$27:$D$34</definedName>
    <definedName name="ESCFL1" localSheetId="35">'[9]5.5.1'!$D$27:$D$34</definedName>
    <definedName name="ESCFL1" localSheetId="36">'[9]5.5.1'!$D$27:$D$34</definedName>
    <definedName name="ESCFL1" localSheetId="37">'[9]5.5.1'!$D$27:$D$34</definedName>
    <definedName name="ESCFL1" localSheetId="38">'[10]5.5.1'!$D$27:$D$34</definedName>
    <definedName name="ESCFL1" localSheetId="39">'[10]5.5.1'!$D$27:$D$34</definedName>
    <definedName name="ESCFL1" localSheetId="40">'[10]5.5.1'!$D$27:$D$34</definedName>
    <definedName name="ESCFL1" localSheetId="41">'[10]5.5.1'!$D$27:$D$34</definedName>
    <definedName name="ESCFL1" localSheetId="43">'[10]5.5.1'!$D$27:$D$34</definedName>
    <definedName name="ESCFL1" localSheetId="44">'[10]5.5.1'!$D$27:$D$34</definedName>
    <definedName name="ESCFL1" localSheetId="42">'[9]5.5.1'!$D$27:$D$34</definedName>
    <definedName name="ESCFL1" localSheetId="49">'[10]5.5.1'!$D$27:$D$34</definedName>
    <definedName name="ESCFL1" localSheetId="50">'[11]5.5.1'!$D$27:$D$34</definedName>
    <definedName name="ESCFL1" localSheetId="51">'[10]5.5.1'!$D$27:$D$34</definedName>
    <definedName name="ESCFL1" localSheetId="52">'[10]5.5.1'!$D$27:$D$34</definedName>
    <definedName name="ESCFL1" localSheetId="45">'[10]5.5.1'!$D$27:$D$34</definedName>
    <definedName name="ESCFL1" localSheetId="47">'[12]5.5.1'!$D$27:$D$34</definedName>
    <definedName name="ESCFL1" localSheetId="53">'[10]5.5.1'!$D$27:$D$34</definedName>
    <definedName name="ESCFL1" localSheetId="59">'[10]5.5.1'!$D$27:$D$34</definedName>
    <definedName name="ESCFL1" localSheetId="54">'[13]5.5.1'!$D$27:$D$34</definedName>
    <definedName name="ESCFL1" localSheetId="57">'[10]5.5.1'!$D$27:$D$34</definedName>
    <definedName name="ESCFL1" localSheetId="58">'[11]5.5.1'!$D$27:$D$34</definedName>
    <definedName name="ESCFL1" localSheetId="61">'[11]5.5.1'!$D$27:$D$34</definedName>
    <definedName name="ESCFL1" localSheetId="63">'[10]5.5.1'!$D$27:$D$34</definedName>
    <definedName name="ESCFL1" localSheetId="65">'[11]5.5.1'!$D$27:$D$34</definedName>
    <definedName name="ESCFL1" localSheetId="66">'[10]5.5.1'!$D$27:$D$34</definedName>
    <definedName name="ESCFL1" localSheetId="72">'[11]5.5.1'!$D$27:$D$34</definedName>
    <definedName name="ESCFL1" localSheetId="73">'[11]5.5.1'!$D$27:$D$34</definedName>
    <definedName name="ESCFL1" localSheetId="70">'[10]5.5.1'!$D$27:$D$34</definedName>
    <definedName name="ESCFL1" localSheetId="68">'[11]5.5.1'!$D$27:$D$34</definedName>
    <definedName name="ESCFL1">'[14]5.5.1'!$D$27:$D$34</definedName>
    <definedName name="ESCFL2" localSheetId="13">'[9]5.5.1'!$L$17:$L$21</definedName>
    <definedName name="ESCFL2" localSheetId="7">'[9]5.5.1'!$L$17:$L$21</definedName>
    <definedName name="ESCFL2" localSheetId="23">'[9]5.5.1'!$L$17:$L$21</definedName>
    <definedName name="ESCFL2" localSheetId="28">'[10]5.5.1'!$L$17:$L$21</definedName>
    <definedName name="ESCFL2" localSheetId="33">'[10]5.5.1'!$L$17:$L$21</definedName>
    <definedName name="ESCFL2" localSheetId="34">'[9]5.5.1'!$L$17:$L$21</definedName>
    <definedName name="ESCFL2" localSheetId="35">'[9]5.5.1'!$L$17:$L$21</definedName>
    <definedName name="ESCFL2" localSheetId="36">'[9]5.5.1'!$L$17:$L$21</definedName>
    <definedName name="ESCFL2" localSheetId="37">'[9]5.5.1'!$L$17:$L$21</definedName>
    <definedName name="ESCFL2" localSheetId="38">'[10]5.5.1'!$L$17:$L$21</definedName>
    <definedName name="ESCFL2" localSheetId="39">'[10]5.5.1'!$L$17:$L$21</definedName>
    <definedName name="ESCFL2" localSheetId="40">'[10]5.5.1'!$L$17:$L$21</definedName>
    <definedName name="ESCFL2" localSheetId="41">'[10]5.5.1'!$L$17:$L$21</definedName>
    <definedName name="ESCFL2" localSheetId="43">'[10]5.5.1'!$L$17:$L$21</definedName>
    <definedName name="ESCFL2" localSheetId="44">'[10]5.5.1'!$L$17:$L$21</definedName>
    <definedName name="ESCFL2" localSheetId="42">'[9]5.5.1'!$L$17:$L$21</definedName>
    <definedName name="ESCFL2" localSheetId="49">'[10]5.5.1'!$L$17:$L$21</definedName>
    <definedName name="ESCFL2" localSheetId="50">'[11]5.5.1'!$L$17:$L$21</definedName>
    <definedName name="ESCFL2" localSheetId="51">'[10]5.5.1'!$L$17:$L$21</definedName>
    <definedName name="ESCFL2" localSheetId="52">'[10]5.5.1'!$L$17:$L$21</definedName>
    <definedName name="ESCFL2" localSheetId="45">'[10]5.5.1'!$L$17:$L$21</definedName>
    <definedName name="ESCFL2" localSheetId="47">'[12]5.5.1'!$L$17:$L$21</definedName>
    <definedName name="ESCFL2" localSheetId="53">'[10]5.5.1'!$L$17:$L$21</definedName>
    <definedName name="ESCFL2" localSheetId="59">'[10]5.5.1'!$L$17:$L$21</definedName>
    <definedName name="ESCFL2" localSheetId="54">'[13]5.5.1'!$L$17:$L$21</definedName>
    <definedName name="ESCFL2" localSheetId="57">'[10]5.5.1'!$L$17:$L$21</definedName>
    <definedName name="ESCFL2" localSheetId="58">'[11]5.5.1'!$L$17:$L$21</definedName>
    <definedName name="ESCFL2" localSheetId="61">'[11]5.5.1'!$L$17:$L$21</definedName>
    <definedName name="ESCFL2" localSheetId="63">'[10]5.5.1'!$L$17:$L$21</definedName>
    <definedName name="ESCFL2" localSheetId="65">'[11]5.5.1'!$L$17:$L$21</definedName>
    <definedName name="ESCFL2" localSheetId="66">'[10]5.5.1'!$L$17:$L$21</definedName>
    <definedName name="ESCFL2" localSheetId="72">'[11]5.5.1'!$L$17:$L$21</definedName>
    <definedName name="ESCFL2" localSheetId="73">'[11]5.5.1'!$L$17:$L$21</definedName>
    <definedName name="ESCFL2" localSheetId="70">'[10]5.5.1'!$L$17:$L$21</definedName>
    <definedName name="ESCFL2" localSheetId="68">'[11]5.5.1'!$L$17:$L$21</definedName>
    <definedName name="ESCFL2">'[14]5.5.1'!$L$17:$L$21</definedName>
    <definedName name="ESCFL3" localSheetId="13">'[9]5.5.1'!$B$41:$B$45</definedName>
    <definedName name="ESCFL3" localSheetId="7">'[9]5.5.1'!$B$41:$B$45</definedName>
    <definedName name="ESCFL3" localSheetId="23">'[9]5.5.1'!$B$41:$B$45</definedName>
    <definedName name="ESCFL3" localSheetId="28">'[10]5.5.1'!$B$41:$B$45</definedName>
    <definedName name="ESCFL3" localSheetId="33">'[10]5.5.1'!$B$41:$B$45</definedName>
    <definedName name="ESCFL3" localSheetId="34">'[9]5.5.1'!$B$41:$B$45</definedName>
    <definedName name="ESCFL3" localSheetId="35">'[9]5.5.1'!$B$41:$B$45</definedName>
    <definedName name="ESCFL3" localSheetId="36">'[9]5.5.1'!$B$41:$B$45</definedName>
    <definedName name="ESCFL3" localSheetId="37">'[9]5.5.1'!$B$41:$B$45</definedName>
    <definedName name="ESCFL3" localSheetId="38">'[10]5.5.1'!$B$41:$B$45</definedName>
    <definedName name="ESCFL3" localSheetId="39">'[10]5.5.1'!$B$41:$B$45</definedName>
    <definedName name="ESCFL3" localSheetId="40">'[10]5.5.1'!$B$41:$B$45</definedName>
    <definedName name="ESCFL3" localSheetId="41">'[10]5.5.1'!$B$41:$B$45</definedName>
    <definedName name="ESCFL3" localSheetId="43">'[10]5.5.1'!$B$41:$B$45</definedName>
    <definedName name="ESCFL3" localSheetId="44">'[10]5.5.1'!$B$41:$B$45</definedName>
    <definedName name="ESCFL3" localSheetId="42">'[9]5.5.1'!$B$41:$B$45</definedName>
    <definedName name="ESCFL3" localSheetId="49">'[10]5.5.1'!$B$41:$B$45</definedName>
    <definedName name="ESCFL3" localSheetId="50">'[11]5.5.1'!$B$41:$B$45</definedName>
    <definedName name="ESCFL3" localSheetId="51">'[10]5.5.1'!$B$41:$B$45</definedName>
    <definedName name="ESCFL3" localSheetId="52">'[10]5.5.1'!$B$41:$B$45</definedName>
    <definedName name="ESCFL3" localSheetId="45">'[10]5.5.1'!$B$41:$B$45</definedName>
    <definedName name="ESCFL3" localSheetId="47">'[12]5.5.1'!$B$41:$B$45</definedName>
    <definedName name="ESCFL3" localSheetId="53">'[10]5.5.1'!$B$41:$B$45</definedName>
    <definedName name="ESCFL3" localSheetId="59">'[10]5.5.1'!$B$41:$B$45</definedName>
    <definedName name="ESCFL3" localSheetId="54">'[13]5.5.1'!$B$41:$B$45</definedName>
    <definedName name="ESCFL3" localSheetId="57">'[10]5.5.1'!$B$41:$B$45</definedName>
    <definedName name="ESCFL3" localSheetId="58">'[11]5.5.1'!$B$41:$B$45</definedName>
    <definedName name="ESCFL3" localSheetId="61">'[11]5.5.1'!$B$41:$B$45</definedName>
    <definedName name="ESCFL3" localSheetId="63">'[10]5.5.1'!$B$41:$B$45</definedName>
    <definedName name="ESCFL3" localSheetId="65">'[11]5.5.1'!$B$41:$B$45</definedName>
    <definedName name="ESCFL3" localSheetId="66">'[10]5.5.1'!$B$41:$B$45</definedName>
    <definedName name="ESCFL3" localSheetId="72">'[11]5.5.1'!$B$41:$B$45</definedName>
    <definedName name="ESCFL3" localSheetId="73">'[11]5.5.1'!$B$41:$B$45</definedName>
    <definedName name="ESCFL3" localSheetId="70">'[10]5.5.1'!$B$41:$B$45</definedName>
    <definedName name="ESCFL3" localSheetId="68">'[11]5.5.1'!$B$41:$B$45</definedName>
    <definedName name="ESCFL3">'[14]5.5.1'!$B$41:$B$45</definedName>
    <definedName name="ESCFL4" localSheetId="23">#REF!</definedName>
    <definedName name="ESCFL4" localSheetId="34">#REF!</definedName>
    <definedName name="ESCFL4" localSheetId="35">#REF!</definedName>
    <definedName name="ESCFL4" localSheetId="36">#REF!</definedName>
    <definedName name="ESCFL4" localSheetId="37">#REF!</definedName>
    <definedName name="ESCFL4" localSheetId="40">#REF!</definedName>
    <definedName name="ESCFL4" localSheetId="41">#REF!</definedName>
    <definedName name="ESCFL4" localSheetId="42">#REF!</definedName>
    <definedName name="ESCFL4" localSheetId="2">#REF!</definedName>
    <definedName name="ESCFL4">#REF!</definedName>
    <definedName name="ESCRAC1" localSheetId="13">'[5]4.4.7'!$J$11:$J$12</definedName>
    <definedName name="ESCRAC1" localSheetId="7">'[5]4.4.7'!$J$11:$J$12</definedName>
    <definedName name="ESCRAC1" localSheetId="23">'[5]4.4.7'!$J$11:$J$12</definedName>
    <definedName name="ESCRAC1" localSheetId="34">'[6]4.4.7'!$J$11:$J$12</definedName>
    <definedName name="ESCRAC1" localSheetId="35">'[6]4.4.7'!$J$11:$J$12</definedName>
    <definedName name="ESCRAC1" localSheetId="36">'[5]4.4.7'!$J$11:$J$12</definedName>
    <definedName name="ESCRAC1" localSheetId="37">'[5]4.4.7'!$J$11:$J$12</definedName>
    <definedName name="ESCRAC1" localSheetId="40">'[5]4.4.7'!$J$11:$J$12</definedName>
    <definedName name="ESCRAC1" localSheetId="41">'[5]4.4.7'!$J$11:$J$12</definedName>
    <definedName name="ESCRAC1" localSheetId="42">'[6]4.4.7'!$J$11:$J$12</definedName>
    <definedName name="ESCRAC1">'[7]4.4.7'!$J$11:$J$12</definedName>
    <definedName name="ESCRAC2" localSheetId="13">'[5]4.4.7'!$J$13:$J$14</definedName>
    <definedName name="ESCRAC2" localSheetId="7">'[5]4.4.7'!$J$13:$J$14</definedName>
    <definedName name="ESCRAC2" localSheetId="23">'[5]4.4.7'!$J$13:$J$14</definedName>
    <definedName name="ESCRAC2" localSheetId="34">'[6]4.4.7'!$J$13:$J$14</definedName>
    <definedName name="ESCRAC2" localSheetId="35">'[6]4.4.7'!$J$13:$J$14</definedName>
    <definedName name="ESCRAC2" localSheetId="36">'[5]4.4.7'!$J$13:$J$14</definedName>
    <definedName name="ESCRAC2" localSheetId="37">'[5]4.4.7'!$J$13:$J$14</definedName>
    <definedName name="ESCRAC2" localSheetId="40">'[5]4.4.7'!$J$13:$J$14</definedName>
    <definedName name="ESCRAC2" localSheetId="41">'[5]4.4.7'!$J$13:$J$14</definedName>
    <definedName name="ESCRAC2" localSheetId="42">'[6]4.4.7'!$J$13:$J$14</definedName>
    <definedName name="ESCRAC2">'[7]4.4.7'!$J$13:$J$14</definedName>
    <definedName name="ESCTR1" localSheetId="13">'[38]5.1.6'!$H$16:$H$22</definedName>
    <definedName name="ESCTR1" localSheetId="7">'[38]5.1.6'!$H$16:$H$22</definedName>
    <definedName name="ESCTR1" localSheetId="23">'[38]5.1.6'!$H$16:$H$22</definedName>
    <definedName name="ESCTR1" localSheetId="28">'[39]5.1.6'!$H$16:$H$22</definedName>
    <definedName name="ESCTR1" localSheetId="34">'[38]5.1.6'!$H$16:$H$22</definedName>
    <definedName name="ESCTR1" localSheetId="35">'[38]5.1.6'!$H$16:$H$22</definedName>
    <definedName name="ESCTR1" localSheetId="36">'[38]5.1.6'!$H$16:$H$22</definedName>
    <definedName name="ESCTR1" localSheetId="37">'[38]5.1.6'!$H$16:$H$22</definedName>
    <definedName name="ESCTR1" localSheetId="38">'[39]5.1.6'!$H$16:$H$22</definedName>
    <definedName name="ESCTR1" localSheetId="39">'[39]5.1.6'!$H$16:$H$22</definedName>
    <definedName name="ESCTR1" localSheetId="40">'[25]5.1.6'!$H$16:$H$22</definedName>
    <definedName name="ESCTR1" localSheetId="41">'[25]5.1.6'!$H$16:$H$22</definedName>
    <definedName name="ESCTR1" localSheetId="43">'[39]5.1.6'!$H$16:$H$22</definedName>
    <definedName name="ESCTR1" localSheetId="44">'[39]5.1.6'!$H$16:$H$22</definedName>
    <definedName name="ESCTR1" localSheetId="42">'[38]5.1.6'!$H$16:$H$22</definedName>
    <definedName name="ESCTR1" localSheetId="49">'[26]5.1.6'!$H$16:$H$22</definedName>
    <definedName name="ESCTR1" localSheetId="50">'[39]5.1.6'!$H$16:$H$22</definedName>
    <definedName name="ESCTR1" localSheetId="51">'[27]5.1.6'!$H$16:$H$22</definedName>
    <definedName name="ESCTR1" localSheetId="52">'[25]5.1.6'!$H$16:$H$22</definedName>
    <definedName name="ESCTR1" localSheetId="59">'[25]5.1.6'!$H$16:$H$22</definedName>
    <definedName name="ESCTR1" localSheetId="54">'[39]5.1.6'!$H$16:$H$22</definedName>
    <definedName name="ESCTR1" localSheetId="58">'[39]5.1.6'!$H$16:$H$22</definedName>
    <definedName name="ESCTR1" localSheetId="61">'[39]5.1.6'!$H$16:$H$22</definedName>
    <definedName name="ESCTR1" localSheetId="63">'[26]5.1.6'!$H$16:$H$22</definedName>
    <definedName name="ESCTR1" localSheetId="65">'[39]5.1.6'!$H$16:$H$22</definedName>
    <definedName name="ESCTR1" localSheetId="66">'[25]5.1.6'!$H$16:$H$22</definedName>
    <definedName name="ESCTR1" localSheetId="71">'[39]5.1.6'!$H$16:$H$22</definedName>
    <definedName name="ESCTR1" localSheetId="72">'[39]5.1.6'!$H$16:$H$22</definedName>
    <definedName name="ESCTR1" localSheetId="73">'[39]5.1.6'!$H$16:$H$22</definedName>
    <definedName name="ESCTR1" localSheetId="67">'[39]5.1.6'!$H$16:$H$22</definedName>
    <definedName name="ESCTR1" localSheetId="68">'[39]5.1.6'!$H$16:$H$22</definedName>
    <definedName name="ESCTR1">'[28]5.1.6'!$H$16:$H$22</definedName>
    <definedName name="ESCTR2" localSheetId="13">'[38]5.1.6'!$G$7:$G$8</definedName>
    <definedName name="ESCTR2" localSheetId="7">'[38]5.1.6'!$G$7:$G$8</definedName>
    <definedName name="ESCTR2" localSheetId="23">'[38]5.1.6'!$G$7:$G$8</definedName>
    <definedName name="ESCTR2" localSheetId="28">'[39]5.1.6'!$G$7:$G$8</definedName>
    <definedName name="ESCTR2" localSheetId="34">'[38]5.1.6'!$G$7:$G$8</definedName>
    <definedName name="ESCTR2" localSheetId="35">'[38]5.1.6'!$G$7:$G$8</definedName>
    <definedName name="ESCTR2" localSheetId="36">'[38]5.1.6'!$G$7:$G$8</definedName>
    <definedName name="ESCTR2" localSheetId="37">'[38]5.1.6'!$G$7:$G$8</definedName>
    <definedName name="ESCTR2" localSheetId="38">'[39]5.1.6'!$G$7:$G$8</definedName>
    <definedName name="ESCTR2" localSheetId="39">'[39]5.1.6'!$G$7:$G$8</definedName>
    <definedName name="ESCTR2" localSheetId="40">'[25]5.1.6'!$G$7:$G$8</definedName>
    <definedName name="ESCTR2" localSheetId="41">'[25]5.1.6'!$G$7:$G$8</definedName>
    <definedName name="ESCTR2" localSheetId="43">'[39]5.1.6'!$G$7:$G$8</definedName>
    <definedName name="ESCTR2" localSheetId="44">'[39]5.1.6'!$G$7:$G$8</definedName>
    <definedName name="ESCTR2" localSheetId="42">'[38]5.1.6'!$G$7:$G$8</definedName>
    <definedName name="ESCTR2" localSheetId="49">'[26]5.1.6'!$G$7:$G$8</definedName>
    <definedName name="ESCTR2" localSheetId="50">'[39]5.1.6'!$G$7:$G$8</definedName>
    <definedName name="ESCTR2" localSheetId="51">'[27]5.1.6'!$G$7:$G$8</definedName>
    <definedName name="ESCTR2" localSheetId="52">'[25]5.1.6'!$G$7:$G$8</definedName>
    <definedName name="ESCTR2" localSheetId="59">'[25]5.1.6'!$G$7:$G$8</definedName>
    <definedName name="ESCTR2" localSheetId="54">'[39]5.1.6'!$G$7:$G$8</definedName>
    <definedName name="ESCTR2" localSheetId="58">'[39]5.1.6'!$G$7:$G$8</definedName>
    <definedName name="ESCTR2" localSheetId="61">'[39]5.1.6'!$G$7:$G$8</definedName>
    <definedName name="ESCTR2" localSheetId="63">'[26]5.1.6'!$G$7:$G$8</definedName>
    <definedName name="ESCTR2" localSheetId="65">'[39]5.1.6'!$G$7:$G$8</definedName>
    <definedName name="ESCTR2" localSheetId="66">'[25]5.1.6'!$G$7:$G$8</definedName>
    <definedName name="ESCTR2" localSheetId="71">'[39]5.1.6'!$G$7:$G$8</definedName>
    <definedName name="ESCTR2" localSheetId="72">'[39]5.1.6'!$G$7:$G$8</definedName>
    <definedName name="ESCTR2" localSheetId="73">'[39]5.1.6'!$G$7:$G$8</definedName>
    <definedName name="ESCTR2" localSheetId="67">'[39]5.1.6'!$G$7:$G$8</definedName>
    <definedName name="ESCTR2" localSheetId="68">'[39]5.1.6'!$G$7:$G$8</definedName>
    <definedName name="ESCTR2">'[28]5.1.6'!$G$7:$G$8</definedName>
    <definedName name="ESCTRAC1" localSheetId="13">'[38]5.1.7'!$G$7:$G$8</definedName>
    <definedName name="ESCTRAC1" localSheetId="7">'[38]5.1.7'!$G$7:$G$8</definedName>
    <definedName name="ESCTRAC1" localSheetId="23">'[38]5.1.7'!$G$7:$G$8</definedName>
    <definedName name="ESCTRAC1" localSheetId="28">'[39]5.1.7'!$G$7:$G$8</definedName>
    <definedName name="ESCTRAC1" localSheetId="34">'[38]5.1.7'!$G$7:$G$8</definedName>
    <definedName name="ESCTRAC1" localSheetId="35">'[38]5.1.7'!$G$7:$G$8</definedName>
    <definedName name="ESCTRAC1" localSheetId="36">'[38]5.1.7'!$G$7:$G$8</definedName>
    <definedName name="ESCTRAC1" localSheetId="37">'[38]5.1.7'!$G$7:$G$8</definedName>
    <definedName name="ESCTRAC1" localSheetId="38">'[39]5.1.7'!$G$7:$G$8</definedName>
    <definedName name="ESCTRAC1" localSheetId="39">'[39]5.1.7'!$G$7:$G$8</definedName>
    <definedName name="ESCTRAC1" localSheetId="40">'[25]5.1.7'!$G$7:$G$8</definedName>
    <definedName name="ESCTRAC1" localSheetId="41">'[25]5.1.7'!$G$7:$G$8</definedName>
    <definedName name="ESCTRAC1" localSheetId="43">'[39]5.1.7'!$G$7:$G$8</definedName>
    <definedName name="ESCTRAC1" localSheetId="44">'[39]5.1.7'!$G$7:$G$8</definedName>
    <definedName name="ESCTRAC1" localSheetId="42">'[38]5.1.7'!$G$7:$G$8</definedName>
    <definedName name="ESCTRAC1" localSheetId="49">'[26]5.1.7'!$G$7:$G$8</definedName>
    <definedName name="ESCTRAC1" localSheetId="50">'[39]5.1.7'!$G$7:$G$8</definedName>
    <definedName name="ESCTRAC1" localSheetId="51">'[27]5.1.7'!$G$7:$G$8</definedName>
    <definedName name="ESCTRAC1" localSheetId="52">'[25]5.1.7'!$G$7:$G$8</definedName>
    <definedName name="ESCTRAC1" localSheetId="59">'[25]5.1.7'!$G$7:$G$8</definedName>
    <definedName name="ESCTRAC1" localSheetId="54">'[39]5.1.7'!$G$7:$G$8</definedName>
    <definedName name="ESCTRAC1" localSheetId="58">'[39]5.1.7'!$G$7:$G$8</definedName>
    <definedName name="ESCTRAC1" localSheetId="61">'[39]5.1.7'!$G$7:$G$8</definedName>
    <definedName name="ESCTRAC1" localSheetId="63">'[26]5.1.7'!$G$7:$G$8</definedName>
    <definedName name="ESCTRAC1" localSheetId="65">'[39]5.1.7'!$G$7:$G$8</definedName>
    <definedName name="ESCTRAC1" localSheetId="66">'[25]5.1.7'!$G$7:$G$8</definedName>
    <definedName name="ESCTRAC1" localSheetId="71">'[39]5.1.7'!$G$7:$G$8</definedName>
    <definedName name="ESCTRAC1" localSheetId="72">'[39]5.1.7'!$G$7:$G$8</definedName>
    <definedName name="ESCTRAC1" localSheetId="73">'[39]5.1.7'!$G$7:$G$8</definedName>
    <definedName name="ESCTRAC1" localSheetId="67">'[39]5.1.7'!$G$7:$G$8</definedName>
    <definedName name="ESCTRAC1" localSheetId="68">'[39]5.1.7'!$G$7:$G$8</definedName>
    <definedName name="ESCTRAC1">'[28]5.1.7'!$G$7:$G$8</definedName>
    <definedName name="ESDh1" localSheetId="13">'[38]5.1.3'!$B$19:$B$25</definedName>
    <definedName name="ESDh1" localSheetId="7">'[38]5.1.3'!$B$19:$B$25</definedName>
    <definedName name="ESDh1" localSheetId="23">'[38]5.1.3'!$B$19:$B$25</definedName>
    <definedName name="ESDh1" localSheetId="28">'[39]5.1.3'!$B$19:$B$25</definedName>
    <definedName name="ESDh1" localSheetId="34">'[38]5.1.3'!$B$19:$B$25</definedName>
    <definedName name="ESDh1" localSheetId="35">'[38]5.1.3'!$B$19:$B$25</definedName>
    <definedName name="ESDh1" localSheetId="36">'[38]5.1.3'!$B$19:$B$25</definedName>
    <definedName name="ESDh1" localSheetId="37">'[38]5.1.3'!$B$19:$B$25</definedName>
    <definedName name="ESDh1" localSheetId="38">'[39]5.1.3'!$B$19:$B$25</definedName>
    <definedName name="ESDh1" localSheetId="39">'[39]5.1.3'!$B$19:$B$25</definedName>
    <definedName name="ESDh1" localSheetId="40">'[25]5.1.3'!$B$19:$B$25</definedName>
    <definedName name="ESDh1" localSheetId="41">'[25]5.1.3'!$B$19:$B$25</definedName>
    <definedName name="ESDh1" localSheetId="43">'[39]5.1.3'!$B$19:$B$25</definedName>
    <definedName name="ESDh1" localSheetId="44">'[39]5.1.3'!$B$19:$B$25</definedName>
    <definedName name="ESDh1" localSheetId="42">'[38]5.1.3'!$B$19:$B$25</definedName>
    <definedName name="ESDh1" localSheetId="49">'[26]5.1.3'!$B$19:$B$25</definedName>
    <definedName name="ESDh1" localSheetId="50">'[39]5.1.3'!$B$19:$B$25</definedName>
    <definedName name="ESDh1" localSheetId="51">'[27]5.1.3'!$B$19:$B$25</definedName>
    <definedName name="ESDh1" localSheetId="52">'[25]5.1.3'!$B$19:$B$25</definedName>
    <definedName name="ESDh1" localSheetId="59">'[25]5.1.3'!$B$19:$B$25</definedName>
    <definedName name="ESDh1" localSheetId="54">'[39]5.1.3'!$B$19:$B$25</definedName>
    <definedName name="ESDh1" localSheetId="58">'[39]5.1.3'!$B$19:$B$25</definedName>
    <definedName name="ESDh1" localSheetId="61">'[39]5.1.3'!$B$19:$B$25</definedName>
    <definedName name="ESDh1" localSheetId="63">'[26]5.1.3'!$B$19:$B$25</definedName>
    <definedName name="ESDh1" localSheetId="65">'[39]5.1.3'!$B$19:$B$25</definedName>
    <definedName name="ESDh1" localSheetId="66">'[25]5.1.3'!$B$19:$B$25</definedName>
    <definedName name="ESDh1" localSheetId="71">'[39]5.1.3'!$B$19:$B$25</definedName>
    <definedName name="ESDh1" localSheetId="72">'[39]5.1.3'!$B$19:$B$25</definedName>
    <definedName name="ESDh1" localSheetId="73">'[39]5.1.3'!$B$19:$B$25</definedName>
    <definedName name="ESDh1" localSheetId="67">'[39]5.1.3'!$B$19:$B$25</definedName>
    <definedName name="ESDh1" localSheetId="68">'[39]5.1.3'!$B$19:$B$25</definedName>
    <definedName name="ESDh1">'[28]5.1.3'!$B$19:$B$25</definedName>
    <definedName name="ESDh2" localSheetId="13">'[38]5.1.3'!$D$7:$D$8</definedName>
    <definedName name="ESDh2" localSheetId="7">'[38]5.1.3'!$D$7:$D$8</definedName>
    <definedName name="ESDh2" localSheetId="23">'[38]5.1.3'!$D$7:$D$8</definedName>
    <definedName name="ESDh2" localSheetId="28">'[39]5.1.3'!$D$7:$D$8</definedName>
    <definedName name="ESDh2" localSheetId="34">'[38]5.1.3'!$D$7:$D$8</definedName>
    <definedName name="ESDh2" localSheetId="35">'[38]5.1.3'!$D$7:$D$8</definedName>
    <definedName name="ESDh2" localSheetId="36">'[38]5.1.3'!$D$7:$D$8</definedName>
    <definedName name="ESDh2" localSheetId="37">'[38]5.1.3'!$D$7:$D$8</definedName>
    <definedName name="ESDh2" localSheetId="38">'[39]5.1.3'!$D$7:$D$8</definedName>
    <definedName name="ESDh2" localSheetId="39">'[39]5.1.3'!$D$7:$D$8</definedName>
    <definedName name="ESDh2" localSheetId="40">'[25]5.1.3'!$D$7:$D$8</definedName>
    <definedName name="ESDh2" localSheetId="41">'[25]5.1.3'!$D$7:$D$8</definedName>
    <definedName name="ESDh2" localSheetId="43">'[39]5.1.3'!$D$7:$D$8</definedName>
    <definedName name="ESDh2" localSheetId="44">'[39]5.1.3'!$D$7:$D$8</definedName>
    <definedName name="ESDh2" localSheetId="42">'[38]5.1.3'!$D$7:$D$8</definedName>
    <definedName name="ESDh2" localSheetId="49">'[26]5.1.3'!$D$7:$D$8</definedName>
    <definedName name="ESDh2" localSheetId="50">'[39]5.1.3'!$D$7:$D$8</definedName>
    <definedName name="ESDh2" localSheetId="51">'[27]5.1.3'!$D$7:$D$8</definedName>
    <definedName name="ESDh2" localSheetId="52">'[25]5.1.3'!$D$7:$D$8</definedName>
    <definedName name="ESDh2" localSheetId="59">'[25]5.1.3'!$D$7:$D$8</definedName>
    <definedName name="ESDh2" localSheetId="54">'[39]5.1.3'!$D$7:$D$8</definedName>
    <definedName name="ESDh2" localSheetId="58">'[39]5.1.3'!$D$7:$D$8</definedName>
    <definedName name="ESDh2" localSheetId="61">'[39]5.1.3'!$D$7:$D$8</definedName>
    <definedName name="ESDh2" localSheetId="63">'[26]5.1.3'!$D$7:$D$8</definedName>
    <definedName name="ESDh2" localSheetId="65">'[39]5.1.3'!$D$7:$D$8</definedName>
    <definedName name="ESDh2" localSheetId="66">'[25]5.1.3'!$D$7:$D$8</definedName>
    <definedName name="ESDh2" localSheetId="71">'[39]5.1.3'!$D$7:$D$8</definedName>
    <definedName name="ESDh2" localSheetId="72">'[39]5.1.3'!$D$7:$D$8</definedName>
    <definedName name="ESDh2" localSheetId="73">'[39]5.1.3'!$D$7:$D$8</definedName>
    <definedName name="ESDh2" localSheetId="67">'[39]5.1.3'!$D$7:$D$8</definedName>
    <definedName name="ESDh2" localSheetId="68">'[39]5.1.3'!$D$7:$D$8</definedName>
    <definedName name="ESDh2">'[28]5.1.3'!$D$7:$D$8</definedName>
    <definedName name="ESDW1">'4.2.6'!$B$89:$B$96</definedName>
    <definedName name="ESFr1" localSheetId="13">'[38]5.1.5'!$G$19:$G$24</definedName>
    <definedName name="ESFr1" localSheetId="7">'[38]5.1.5'!$G$19:$G$24</definedName>
    <definedName name="ESFr1" localSheetId="23">'[38]5.1.5'!$G$19:$G$24</definedName>
    <definedName name="ESFr1" localSheetId="28">'[39]5.1.5'!$G$19:$G$24</definedName>
    <definedName name="ESFr1" localSheetId="34">'[38]5.1.5'!$G$19:$G$24</definedName>
    <definedName name="ESFr1" localSheetId="35">'[38]5.1.5'!$G$19:$G$24</definedName>
    <definedName name="ESFr1" localSheetId="36">'[38]5.1.5'!$G$19:$G$24</definedName>
    <definedName name="ESFr1" localSheetId="37">'[38]5.1.5'!$G$19:$G$24</definedName>
    <definedName name="ESFr1" localSheetId="38">'[39]5.1.5'!$G$19:$G$24</definedName>
    <definedName name="ESFr1" localSheetId="39">'[39]5.1.5'!$G$19:$G$24</definedName>
    <definedName name="ESFr1" localSheetId="40">'[25]5.1.5'!$G$19:$G$24</definedName>
    <definedName name="ESFr1" localSheetId="41">'[25]5.1.5'!$G$19:$G$24</definedName>
    <definedName name="ESFr1" localSheetId="43">'[39]5.1.5'!$G$19:$G$24</definedName>
    <definedName name="ESFr1" localSheetId="44">'[39]5.1.5'!$G$19:$G$24</definedName>
    <definedName name="ESFr1" localSheetId="42">'[38]5.1.5'!$G$19:$G$24</definedName>
    <definedName name="ESFr1" localSheetId="49">'[26]5.1.5'!$G$19:$G$24</definedName>
    <definedName name="ESFr1" localSheetId="50">'[39]5.1.5'!$G$19:$G$24</definedName>
    <definedName name="ESFr1" localSheetId="51">'[27]5.1.5'!$G$19:$G$24</definedName>
    <definedName name="ESFr1" localSheetId="52">'[25]5.1.5'!$G$19:$G$24</definedName>
    <definedName name="ESFr1" localSheetId="59">'[25]5.1.5'!$G$19:$G$24</definedName>
    <definedName name="ESFr1" localSheetId="54">'[39]5.1.5'!$G$19:$G$24</definedName>
    <definedName name="ESFr1" localSheetId="58">'[39]5.1.5'!$G$19:$G$24</definedName>
    <definedName name="ESFr1" localSheetId="61">'[39]5.1.5'!$G$19:$G$24</definedName>
    <definedName name="ESFr1" localSheetId="63">'[26]5.1.5'!$G$19:$G$24</definedName>
    <definedName name="ESFr1" localSheetId="65">'[39]5.1.5'!$G$19:$G$24</definedName>
    <definedName name="ESFr1" localSheetId="66">'[25]5.1.5'!$G$19:$G$24</definedName>
    <definedName name="ESFr1" localSheetId="71">'[39]5.1.5'!$G$19:$G$24</definedName>
    <definedName name="ESFr1" localSheetId="72">'[39]5.1.5'!$G$19:$G$24</definedName>
    <definedName name="ESFr1" localSheetId="73">'[39]5.1.5'!$G$19:$G$24</definedName>
    <definedName name="ESFr1" localSheetId="67">'[39]5.1.5'!$G$19:$G$24</definedName>
    <definedName name="ESFr1" localSheetId="68">'[39]5.1.5'!$G$19:$G$24</definedName>
    <definedName name="ESFr1">'[28]5.1.5'!$G$19:$G$24</definedName>
    <definedName name="ESHFHC1" localSheetId="13">'[5]4.2.9'!$E$27:$E$29</definedName>
    <definedName name="ESHFHC1" localSheetId="7">'[5]4.2.9'!$E$27:$E$29</definedName>
    <definedName name="ESHFHC1" localSheetId="23">'[5]4.2.9'!$E$27:$E$29</definedName>
    <definedName name="ESHFHC1" localSheetId="34">'[6]4.2.9'!$E$27:$E$29</definedName>
    <definedName name="ESHFHC1" localSheetId="35">'[6]4.2.9'!$E$27:$E$29</definedName>
    <definedName name="ESHFHC1" localSheetId="36">'[5]4.2.9'!$E$27:$E$29</definedName>
    <definedName name="ESHFHC1" localSheetId="37">'[5]4.2.9'!$E$27:$E$29</definedName>
    <definedName name="ESHFHC1" localSheetId="40">'[5]4.2.9'!$E$27:$E$29</definedName>
    <definedName name="ESHFHC1" localSheetId="41">'[5]4.2.9'!$E$27:$E$29</definedName>
    <definedName name="ESHFHC1" localSheetId="42">'[6]4.2.9'!$E$27:$E$29</definedName>
    <definedName name="ESHFHC1">'[7]4.2.9'!$E$27:$E$29</definedName>
    <definedName name="ESHFHC2" localSheetId="13">'[5]4.2.9'!$B$27:$B$32</definedName>
    <definedName name="ESHFHC2" localSheetId="7">'[5]4.2.9'!$B$27:$B$32</definedName>
    <definedName name="ESHFHC2" localSheetId="23">'[5]4.2.9'!$B$27:$B$32</definedName>
    <definedName name="ESHFHC2" localSheetId="34">'[6]4.2.9'!$B$27:$B$32</definedName>
    <definedName name="ESHFHC2" localSheetId="35">'[6]4.2.9'!$B$27:$B$32</definedName>
    <definedName name="ESHFHC2" localSheetId="36">'[5]4.2.9'!$B$27:$B$32</definedName>
    <definedName name="ESHFHC2" localSheetId="37">'[5]4.2.9'!$B$27:$B$32</definedName>
    <definedName name="ESHFHC2" localSheetId="40">'[5]4.2.9'!$B$27:$B$32</definedName>
    <definedName name="ESHFHC2" localSheetId="41">'[5]4.2.9'!$B$27:$B$32</definedName>
    <definedName name="ESHFHC2" localSheetId="42">'[6]4.2.9'!$B$27:$B$32</definedName>
    <definedName name="ESHFHC2">'[7]4.2.9'!$B$27:$B$32</definedName>
    <definedName name="ESIM1" localSheetId="13">'[5]4.2.10'!$F$22:$F$29</definedName>
    <definedName name="ESIM1" localSheetId="7">'[5]4.2.10'!$F$22:$F$29</definedName>
    <definedName name="ESIM1" localSheetId="23">'[5]4.2.10'!$F$22:$F$29</definedName>
    <definedName name="ESIM1" localSheetId="34">'[6]4.2.10'!$F$22:$F$29</definedName>
    <definedName name="ESIM1" localSheetId="35">'[6]4.2.10'!$F$22:$F$29</definedName>
    <definedName name="ESIM1" localSheetId="36">'[5]4.2.10'!$F$22:$F$29</definedName>
    <definedName name="ESIM1" localSheetId="37">'[5]4.2.10'!$F$22:$F$29</definedName>
    <definedName name="ESIM1" localSheetId="40">'[5]4.2.10'!$F$22:$F$29</definedName>
    <definedName name="ESIM1" localSheetId="41">'[5]4.2.10'!$F$22:$F$29</definedName>
    <definedName name="ESIM1" localSheetId="42">'[6]4.2.10'!$F$22:$F$29</definedName>
    <definedName name="ESIM1">'[7]4.2.10'!$F$22:$F$29</definedName>
    <definedName name="ESourceBTU_kWh">'[41]General Inputs'!$E$26</definedName>
    <definedName name="ESRBVM1" localSheetId="13">'[5]4.6.5'!$F$14:$F$19</definedName>
    <definedName name="ESRBVM1" localSheetId="7">'[5]4.6.5'!$F$14:$F$19</definedName>
    <definedName name="ESRBVM1" localSheetId="23">'[5]4.6.5'!$F$14:$F$19</definedName>
    <definedName name="ESRBVM1" localSheetId="34">'[6]4.6.5'!$F$14:$F$19</definedName>
    <definedName name="ESRBVM1" localSheetId="35">'[6]4.6.5'!$F$14:$F$19</definedName>
    <definedName name="ESRBVM1" localSheetId="36">'[5]4.6.5'!$F$14:$F$19</definedName>
    <definedName name="ESRBVM1" localSheetId="37">'[5]4.6.5'!$F$14:$F$19</definedName>
    <definedName name="ESRBVM1" localSheetId="40">'[5]4.6.5'!$F$14:$F$19</definedName>
    <definedName name="ESRBVM1" localSheetId="41">'[5]4.6.5'!$F$14:$F$19</definedName>
    <definedName name="ESRBVM1" localSheetId="42">'[6]4.6.5'!$F$14:$F$19</definedName>
    <definedName name="ESRBVM1">'[7]4.6.5'!$F$14:$F$19</definedName>
    <definedName name="ESrT1" localSheetId="13">'[38]5.5.3'!$L$7:$L$9</definedName>
    <definedName name="ESrT1" localSheetId="7">'[38]5.5.3'!$L$7:$L$9</definedName>
    <definedName name="ESrT1" localSheetId="23">'[38]5.5.3'!$L$7:$L$9</definedName>
    <definedName name="ESrT1" localSheetId="28">'[39]5.5.3'!$L$7:$L$9</definedName>
    <definedName name="ESrT1" localSheetId="34">'[38]5.5.3'!$L$7:$L$9</definedName>
    <definedName name="ESrT1" localSheetId="35">'[38]5.5.3'!$L$7:$L$9</definedName>
    <definedName name="ESrT1" localSheetId="36">'[38]5.5.3'!$L$7:$L$9</definedName>
    <definedName name="ESrT1" localSheetId="37">'[38]5.5.3'!$L$7:$L$9</definedName>
    <definedName name="ESrT1" localSheetId="38">'[39]5.5.3'!$L$7:$L$9</definedName>
    <definedName name="ESrT1" localSheetId="39">'[39]5.5.3'!$L$7:$L$9</definedName>
    <definedName name="ESrT1" localSheetId="40">'[25]5.5.3'!$L$7:$L$9</definedName>
    <definedName name="ESrT1" localSheetId="41">'[25]5.5.3'!$L$7:$L$9</definedName>
    <definedName name="ESrT1" localSheetId="43">'[39]5.5.3'!$L$7:$L$9</definedName>
    <definedName name="ESrT1" localSheetId="44">'[39]5.5.3'!$L$7:$L$9</definedName>
    <definedName name="ESrT1" localSheetId="42">'[38]5.5.3'!$L$7:$L$9</definedName>
    <definedName name="ESrT1" localSheetId="49">'[26]5.5.3'!$L$7:$L$9</definedName>
    <definedName name="ESrT1" localSheetId="50">'[39]5.5.3'!$L$7:$L$9</definedName>
    <definedName name="ESrT1" localSheetId="51">'[27]5.5.3'!$L$7:$L$9</definedName>
    <definedName name="ESrT1" localSheetId="52">'[25]5.5.3'!$L$7:$L$9</definedName>
    <definedName name="ESrT1" localSheetId="59">'[25]5.5.3'!$L$7:$L$9</definedName>
    <definedName name="ESrT1" localSheetId="54">'[39]5.5.3'!$L$7:$L$9</definedName>
    <definedName name="ESrT1" localSheetId="58">'[39]5.5.3'!$L$7:$L$9</definedName>
    <definedName name="ESrT1" localSheetId="61">'[39]5.5.3'!$L$7:$L$9</definedName>
    <definedName name="ESrT1" localSheetId="63">'[26]5.5.3'!$L$7:$L$9</definedName>
    <definedName name="ESrT1" localSheetId="65">'[39]5.5.3'!$L$7:$L$9</definedName>
    <definedName name="ESrT1" localSheetId="66">'[25]5.5.3'!$L$7:$L$9</definedName>
    <definedName name="ESrT1" localSheetId="71">'[39]5.5.3'!$L$7:$L$9</definedName>
    <definedName name="ESrT1" localSheetId="72">'[39]5.5.3'!$L$7:$L$9</definedName>
    <definedName name="ESrT1" localSheetId="73">'[39]5.5.3'!$L$7:$L$9</definedName>
    <definedName name="ESrT1" localSheetId="67">'[39]5.5.3'!$L$7:$L$9</definedName>
    <definedName name="ESrT1" localSheetId="68">'[39]5.5.3'!$L$7:$L$9</definedName>
    <definedName name="ESrT1">'[28]5.5.3'!$L$7:$L$9</definedName>
    <definedName name="ESrT2" localSheetId="13">'[38]5.5.3'!$G$29:$G$32</definedName>
    <definedName name="ESrT2" localSheetId="7">'[38]5.5.3'!$G$29:$G$32</definedName>
    <definedName name="ESrT2" localSheetId="23">'[38]5.5.3'!$G$29:$G$32</definedName>
    <definedName name="ESrT2" localSheetId="28">'[39]5.5.3'!$G$29:$G$32</definedName>
    <definedName name="ESrT2" localSheetId="34">'[38]5.5.3'!$G$29:$G$32</definedName>
    <definedName name="ESrT2" localSheetId="35">'[38]5.5.3'!$G$29:$G$32</definedName>
    <definedName name="ESrT2" localSheetId="36">'[38]5.5.3'!$G$29:$G$32</definedName>
    <definedName name="ESrT2" localSheetId="37">'[38]5.5.3'!$G$29:$G$32</definedName>
    <definedName name="ESrT2" localSheetId="38">'[39]5.5.3'!$G$29:$G$32</definedName>
    <definedName name="ESrT2" localSheetId="39">'[39]5.5.3'!$G$29:$G$32</definedName>
    <definedName name="ESrT2" localSheetId="40">'[25]5.5.3'!$G$29:$G$32</definedName>
    <definedName name="ESrT2" localSheetId="41">'[25]5.5.3'!$G$29:$G$32</definedName>
    <definedName name="ESrT2" localSheetId="43">'[39]5.5.3'!$G$29:$G$32</definedName>
    <definedName name="ESrT2" localSheetId="44">'[39]5.5.3'!$G$29:$G$32</definedName>
    <definedName name="ESrT2" localSheetId="42">'[38]5.5.3'!$G$29:$G$32</definedName>
    <definedName name="ESrT2" localSheetId="49">'[26]5.5.3'!$G$29:$G$32</definedName>
    <definedName name="ESrT2" localSheetId="50">'[39]5.5.3'!$G$29:$G$32</definedName>
    <definedName name="ESrT2" localSheetId="51">'[27]5.5.3'!$G$29:$G$32</definedName>
    <definedName name="ESrT2" localSheetId="52">'[25]5.5.3'!$G$29:$G$32</definedName>
    <definedName name="ESrT2" localSheetId="59">'[25]5.5.3'!$G$29:$G$32</definedName>
    <definedName name="ESrT2" localSheetId="54">'[39]5.5.3'!$G$29:$G$32</definedName>
    <definedName name="ESrT2" localSheetId="58">'[39]5.5.3'!$G$29:$G$32</definedName>
    <definedName name="ESrT2" localSheetId="61">'[39]5.5.3'!$G$29:$G$32</definedName>
    <definedName name="ESrT2" localSheetId="63">'[26]5.5.3'!$G$29:$G$32</definedName>
    <definedName name="ESrT2" localSheetId="65">'[39]5.5.3'!$G$29:$G$32</definedName>
    <definedName name="ESrT2" localSheetId="66">'[25]5.5.3'!$G$29:$G$32</definedName>
    <definedName name="ESrT2" localSheetId="71">'[39]5.5.3'!$G$29:$G$32</definedName>
    <definedName name="ESrT2" localSheetId="72">'[39]5.5.3'!$G$29:$G$32</definedName>
    <definedName name="ESrT2" localSheetId="73">'[39]5.5.3'!$G$29:$G$32</definedName>
    <definedName name="ESrT2" localSheetId="67">'[39]5.5.3'!$G$29:$G$32</definedName>
    <definedName name="ESrT2" localSheetId="68">'[39]5.5.3'!$G$29:$G$32</definedName>
    <definedName name="ESrT2">'[28]5.5.3'!$G$29:$G$32</definedName>
    <definedName name="ESSCFL1" localSheetId="13">'[9]5.5.2'!$Q$13:$Q$17</definedName>
    <definedName name="ESSCFL1" localSheetId="7">'[9]5.5.2'!$Q$13:$Q$17</definedName>
    <definedName name="ESSCFL1" localSheetId="23">'[9]5.5.2'!$Q$13:$Q$17</definedName>
    <definedName name="ESSCFL1" localSheetId="28">'[10]5.5.2'!$Q$13:$Q$17</definedName>
    <definedName name="ESSCFL1" localSheetId="33">'[10]5.5.2'!$Q$13:$Q$17</definedName>
    <definedName name="ESSCFL1" localSheetId="34">'[9]5.5.2'!$Q$13:$Q$17</definedName>
    <definedName name="ESSCFL1" localSheetId="35">'[9]5.5.2'!$Q$13:$Q$17</definedName>
    <definedName name="ESSCFL1" localSheetId="36">'[9]5.5.2'!$Q$13:$Q$17</definedName>
    <definedName name="ESSCFL1" localSheetId="37">'[9]5.5.2'!$Q$13:$Q$17</definedName>
    <definedName name="ESSCFL1" localSheetId="38">'[10]5.5.2'!$Q$13:$Q$17</definedName>
    <definedName name="ESSCFL1" localSheetId="39">'[10]5.5.2'!$Q$13:$Q$17</definedName>
    <definedName name="ESSCFL1" localSheetId="40">'[10]5.5.2'!$Q$13:$Q$17</definedName>
    <definedName name="ESSCFL1" localSheetId="41">'[10]5.5.2'!$Q$13:$Q$17</definedName>
    <definedName name="ESSCFL1" localSheetId="43">'[10]5.5.2'!$Q$13:$Q$17</definedName>
    <definedName name="ESSCFL1" localSheetId="44">'[10]5.5.2'!$Q$13:$Q$17</definedName>
    <definedName name="ESSCFL1" localSheetId="42">'[9]5.5.2'!$Q$13:$Q$17</definedName>
    <definedName name="ESSCFL1" localSheetId="49">'[10]5.5.2'!$Q$13:$Q$17</definedName>
    <definedName name="ESSCFL1" localSheetId="50">'[11]5.5.2'!$Q$13:$Q$17</definedName>
    <definedName name="ESSCFL1" localSheetId="51">'[10]5.5.2'!$Q$13:$Q$17</definedName>
    <definedName name="ESSCFL1" localSheetId="52">'[10]5.5.2'!$Q$13:$Q$17</definedName>
    <definedName name="ESSCFL1" localSheetId="45">'[10]5.5.2'!$Q$13:$Q$17</definedName>
    <definedName name="ESSCFL1" localSheetId="47">'[12]5.5.2'!$Q$13:$Q$17</definedName>
    <definedName name="ESSCFL1" localSheetId="53">'[10]5.5.2'!$Q$13:$Q$17</definedName>
    <definedName name="ESSCFL1" localSheetId="59">'[10]5.5.2'!$Q$13:$Q$17</definedName>
    <definedName name="ESSCFL1" localSheetId="54">'[13]5.5.2'!$Q$13:$Q$17</definedName>
    <definedName name="ESSCFL1" localSheetId="57">'[10]5.5.2'!$Q$13:$Q$17</definedName>
    <definedName name="ESSCFL1" localSheetId="58">'[11]5.5.2'!$Q$13:$Q$17</definedName>
    <definedName name="ESSCFL1" localSheetId="61">'[11]5.5.2'!$Q$13:$Q$17</definedName>
    <definedName name="ESSCFL1" localSheetId="63">'[10]5.5.2'!$Q$13:$Q$17</definedName>
    <definedName name="ESSCFL1" localSheetId="65">'[11]5.5.2'!$Q$13:$Q$17</definedName>
    <definedName name="ESSCFL1" localSheetId="66">'[10]5.5.2'!$Q$13:$Q$17</definedName>
    <definedName name="ESSCFL1" localSheetId="72">'[11]5.5.2'!$Q$13:$Q$17</definedName>
    <definedName name="ESSCFL1" localSheetId="73">'[11]5.5.2'!$Q$13:$Q$17</definedName>
    <definedName name="ESSCFL1" localSheetId="70">'[10]5.5.2'!$Q$13:$Q$17</definedName>
    <definedName name="ESSCFL1" localSheetId="68">'[11]5.5.2'!$Q$13:$Q$17</definedName>
    <definedName name="ESSCFL1">'[14]5.5.2'!$Q$13:$Q$17</definedName>
    <definedName name="ESSCFL2" localSheetId="13">'[9]5.5.2'!$G$33:$G$36</definedName>
    <definedName name="ESSCFL2" localSheetId="7">'[9]5.5.2'!$G$33:$G$36</definedName>
    <definedName name="ESSCFL2" localSheetId="23">'[9]5.5.2'!$G$33:$G$36</definedName>
    <definedName name="ESSCFL2" localSheetId="28">'[10]5.5.2'!$G$33:$G$36</definedName>
    <definedName name="ESSCFL2" localSheetId="33">'[10]5.5.2'!$G$33:$G$36</definedName>
    <definedName name="ESSCFL2" localSheetId="34">'[9]5.5.2'!$G$33:$G$36</definedName>
    <definedName name="ESSCFL2" localSheetId="35">'[9]5.5.2'!$G$33:$G$36</definedName>
    <definedName name="ESSCFL2" localSheetId="36">'[9]5.5.2'!$G$33:$G$36</definedName>
    <definedName name="ESSCFL2" localSheetId="37">'[9]5.5.2'!$G$33:$G$36</definedName>
    <definedName name="ESSCFL2" localSheetId="38">'[10]5.5.2'!$G$33:$G$36</definedName>
    <definedName name="ESSCFL2" localSheetId="39">'[10]5.5.2'!$G$33:$G$36</definedName>
    <definedName name="ESSCFL2" localSheetId="40">'[10]5.5.2'!$G$33:$G$36</definedName>
    <definedName name="ESSCFL2" localSheetId="41">'[10]5.5.2'!$G$33:$G$36</definedName>
    <definedName name="ESSCFL2" localSheetId="43">'[10]5.5.2'!$G$33:$G$36</definedName>
    <definedName name="ESSCFL2" localSheetId="44">'[10]5.5.2'!$G$33:$G$36</definedName>
    <definedName name="ESSCFL2" localSheetId="42">'[9]5.5.2'!$G$33:$G$36</definedName>
    <definedName name="ESSCFL2" localSheetId="49">'[10]5.5.2'!$G$33:$G$36</definedName>
    <definedName name="ESSCFL2" localSheetId="50">'[11]5.5.2'!$G$33:$G$36</definedName>
    <definedName name="ESSCFL2" localSheetId="51">'[10]5.5.2'!$G$33:$G$36</definedName>
    <definedName name="ESSCFL2" localSheetId="52">'[10]5.5.2'!$G$33:$G$36</definedName>
    <definedName name="ESSCFL2" localSheetId="45">'[10]5.5.2'!$G$33:$G$36</definedName>
    <definedName name="ESSCFL2" localSheetId="47">'[12]5.5.2'!$G$33:$G$36</definedName>
    <definedName name="ESSCFL2" localSheetId="53">'[10]5.5.2'!$G$33:$G$36</definedName>
    <definedName name="ESSCFL2" localSheetId="59">'[10]5.5.2'!$G$33:$G$36</definedName>
    <definedName name="ESSCFL2" localSheetId="54">'[13]5.5.2'!$G$33:$G$36</definedName>
    <definedName name="ESSCFL2" localSheetId="57">'[10]5.5.2'!$G$33:$G$36</definedName>
    <definedName name="ESSCFL2" localSheetId="58">'[11]5.5.2'!$G$33:$G$36</definedName>
    <definedName name="ESSCFL2" localSheetId="61">'[11]5.5.2'!$G$33:$G$36</definedName>
    <definedName name="ESSCFL2" localSheetId="63">'[10]5.5.2'!$G$33:$G$36</definedName>
    <definedName name="ESSCFL2" localSheetId="65">'[11]5.5.2'!$G$33:$G$36</definedName>
    <definedName name="ESSCFL2" localSheetId="66">'[10]5.5.2'!$G$33:$G$36</definedName>
    <definedName name="ESSCFL2" localSheetId="72">'[11]5.5.2'!$G$33:$G$36</definedName>
    <definedName name="ESSCFL2" localSheetId="73">'[11]5.5.2'!$G$33:$G$36</definedName>
    <definedName name="ESSCFL2" localSheetId="70">'[10]5.5.2'!$G$33:$G$36</definedName>
    <definedName name="ESSCFL2" localSheetId="68">'[11]5.5.2'!$G$33:$G$36</definedName>
    <definedName name="ESSCFL2">'[14]5.5.2'!$G$33:$G$36</definedName>
    <definedName name="ESSCFL3" localSheetId="13">'[9]5.5.2'!$M$7:$M$9</definedName>
    <definedName name="ESSCFL3" localSheetId="7">'[9]5.5.2'!$M$7:$M$9</definedName>
    <definedName name="ESSCFL3" localSheetId="23">'[9]5.5.2'!$M$7:$M$9</definedName>
    <definedName name="ESSCFL3" localSheetId="28">'[10]5.5.2'!$M$7:$M$9</definedName>
    <definedName name="ESSCFL3" localSheetId="33">'[10]5.5.2'!$M$7:$M$9</definedName>
    <definedName name="ESSCFL3" localSheetId="34">'[9]5.5.2'!$M$7:$M$9</definedName>
    <definedName name="ESSCFL3" localSheetId="35">'[9]5.5.2'!$M$7:$M$9</definedName>
    <definedName name="ESSCFL3" localSheetId="36">'[9]5.5.2'!$M$7:$M$9</definedName>
    <definedName name="ESSCFL3" localSheetId="37">'[9]5.5.2'!$M$7:$M$9</definedName>
    <definedName name="ESSCFL3" localSheetId="38">'[10]5.5.2'!$M$7:$M$9</definedName>
    <definedName name="ESSCFL3" localSheetId="39">'[10]5.5.2'!$M$7:$M$9</definedName>
    <definedName name="ESSCFL3" localSheetId="40">'[10]5.5.2'!$M$7:$M$9</definedName>
    <definedName name="ESSCFL3" localSheetId="41">'[10]5.5.2'!$M$7:$M$9</definedName>
    <definedName name="ESSCFL3" localSheetId="43">'[10]5.5.2'!$M$7:$M$9</definedName>
    <definedName name="ESSCFL3" localSheetId="44">'[10]5.5.2'!$M$7:$M$9</definedName>
    <definedName name="ESSCFL3" localSheetId="42">'[9]5.5.2'!$M$7:$M$9</definedName>
    <definedName name="ESSCFL3" localSheetId="49">'[10]5.5.2'!$M$7:$M$9</definedName>
    <definedName name="ESSCFL3" localSheetId="50">'[11]5.5.2'!$M$7:$M$9</definedName>
    <definedName name="ESSCFL3" localSheetId="51">'[10]5.5.2'!$M$7:$M$9</definedName>
    <definedName name="ESSCFL3" localSheetId="52">'[10]5.5.2'!$M$7:$M$9</definedName>
    <definedName name="ESSCFL3" localSheetId="45">'[10]5.5.2'!$M$7:$M$9</definedName>
    <definedName name="ESSCFL3" localSheetId="47">'[12]5.5.2'!$M$7:$M$9</definedName>
    <definedName name="ESSCFL3" localSheetId="53">'[10]5.5.2'!$M$7:$M$9</definedName>
    <definedName name="ESSCFL3" localSheetId="59">'[10]5.5.2'!$M$7:$M$9</definedName>
    <definedName name="ESSCFL3" localSheetId="54">'[13]5.5.2'!$M$7:$M$9</definedName>
    <definedName name="ESSCFL3" localSheetId="57">'[10]5.5.2'!$M$7:$M$9</definedName>
    <definedName name="ESSCFL3" localSheetId="58">'[11]5.5.2'!$M$7:$M$9</definedName>
    <definedName name="ESSCFL3" localSheetId="61">'[11]5.5.2'!$M$7:$M$9</definedName>
    <definedName name="ESSCFL3" localSheetId="63">'[10]5.5.2'!$M$7:$M$9</definedName>
    <definedName name="ESSCFL3" localSheetId="65">'[11]5.5.2'!$M$7:$M$9</definedName>
    <definedName name="ESSCFL3" localSheetId="66">'[10]5.5.2'!$M$7:$M$9</definedName>
    <definedName name="ESSCFL3" localSheetId="72">'[11]5.5.2'!$M$7:$M$9</definedName>
    <definedName name="ESSCFL3" localSheetId="73">'[11]5.5.2'!$M$7:$M$9</definedName>
    <definedName name="ESSCFL3" localSheetId="70">'[10]5.5.2'!$M$7:$M$9</definedName>
    <definedName name="ESSCFL3" localSheetId="68">'[11]5.5.2'!$M$7:$M$9</definedName>
    <definedName name="ESSCFL3">'[14]5.5.2'!$M$7:$M$9</definedName>
    <definedName name="ESSCFL4" localSheetId="13">'[9]5.5.2'!$T$8:$T$25</definedName>
    <definedName name="ESSCFL4" localSheetId="7">'[9]5.5.2'!$T$8:$T$25</definedName>
    <definedName name="ESSCFL4" localSheetId="23">'[9]5.5.2'!$T$8:$T$25</definedName>
    <definedName name="ESSCFL4" localSheetId="28">'[10]5.5.2'!$T$8:$T$25</definedName>
    <definedName name="ESSCFL4" localSheetId="33">'[10]5.5.2'!$T$8:$T$25</definedName>
    <definedName name="ESSCFL4" localSheetId="34">'[9]5.5.2'!$T$8:$T$25</definedName>
    <definedName name="ESSCFL4" localSheetId="35">'[9]5.5.2'!$T$8:$T$25</definedName>
    <definedName name="ESSCFL4" localSheetId="36">'[9]5.5.2'!$T$8:$T$25</definedName>
    <definedName name="ESSCFL4" localSheetId="37">'[9]5.5.2'!$T$8:$T$25</definedName>
    <definedName name="ESSCFL4" localSheetId="38">'[10]5.5.2'!$T$8:$T$25</definedName>
    <definedName name="ESSCFL4" localSheetId="39">'[10]5.5.2'!$T$8:$T$25</definedName>
    <definedName name="ESSCFL4" localSheetId="40">'[10]5.5.2'!$T$8:$T$25</definedName>
    <definedName name="ESSCFL4" localSheetId="41">'[10]5.5.2'!$T$8:$T$25</definedName>
    <definedName name="ESSCFL4" localSheetId="43">'[10]5.5.2'!$T$8:$T$25</definedName>
    <definedName name="ESSCFL4" localSheetId="44">'[10]5.5.2'!$T$8:$T$25</definedName>
    <definedName name="ESSCFL4" localSheetId="42">'[9]5.5.2'!$T$8:$T$25</definedName>
    <definedName name="ESSCFL4" localSheetId="49">'[10]5.5.2'!$T$8:$T$25</definedName>
    <definedName name="ESSCFL4" localSheetId="50">'[11]5.5.2'!$T$8:$T$25</definedName>
    <definedName name="ESSCFL4" localSheetId="51">'[10]5.5.2'!$T$8:$T$25</definedName>
    <definedName name="ESSCFL4" localSheetId="52">'[10]5.5.2'!$T$8:$T$25</definedName>
    <definedName name="ESSCFL4" localSheetId="45">'[10]5.5.2'!$T$8:$T$25</definedName>
    <definedName name="ESSCFL4" localSheetId="47">'[12]5.5.2'!$T$8:$T$25</definedName>
    <definedName name="ESSCFL4" localSheetId="53">'[10]5.5.2'!$T$8:$T$25</definedName>
    <definedName name="ESSCFL4" localSheetId="59">'[10]5.5.2'!$T$8:$T$25</definedName>
    <definedName name="ESSCFL4" localSheetId="54">'[13]5.5.2'!$T$8:$T$25</definedName>
    <definedName name="ESSCFL4" localSheetId="57">'[10]5.5.2'!$T$8:$T$25</definedName>
    <definedName name="ESSCFL4" localSheetId="58">'[11]5.5.2'!$T$8:$T$25</definedName>
    <definedName name="ESSCFL4" localSheetId="61">'[11]5.5.2'!$T$8:$T$25</definedName>
    <definedName name="ESSCFL4" localSheetId="63">'[10]5.5.2'!$T$8:$T$25</definedName>
    <definedName name="ESSCFL4" localSheetId="65">'[11]5.5.2'!$T$8:$T$25</definedName>
    <definedName name="ESSCFL4" localSheetId="66">'[10]5.5.2'!$T$8:$T$25</definedName>
    <definedName name="ESSCFL4" localSheetId="72">'[11]5.5.2'!$T$8:$T$25</definedName>
    <definedName name="ESSCFL4" localSheetId="73">'[11]5.5.2'!$T$8:$T$25</definedName>
    <definedName name="ESSCFL4" localSheetId="70">'[10]5.5.2'!$T$8:$T$25</definedName>
    <definedName name="ESSCFL4" localSheetId="68">'[11]5.5.2'!$T$8:$T$25</definedName>
    <definedName name="ESSCFL4">'[14]5.5.2'!$T$8:$T$25</definedName>
    <definedName name="ESSCFL5" localSheetId="13">'[9]5.5.2'!$M$28:$M$46</definedName>
    <definedName name="ESSCFL5" localSheetId="7">'[9]5.5.2'!$M$28:$M$46</definedName>
    <definedName name="ESSCFL5" localSheetId="23">'[9]5.5.2'!$M$28:$M$46</definedName>
    <definedName name="ESSCFL5" localSheetId="28">'[10]5.5.2'!$M$28:$M$46</definedName>
    <definedName name="ESSCFL5" localSheetId="33">'[10]5.5.2'!$M$28:$M$46</definedName>
    <definedName name="ESSCFL5" localSheetId="34">'[9]5.5.2'!$M$28:$M$46</definedName>
    <definedName name="ESSCFL5" localSheetId="35">'[9]5.5.2'!$M$28:$M$46</definedName>
    <definedName name="ESSCFL5" localSheetId="36">'[9]5.5.2'!$M$28:$M$46</definedName>
    <definedName name="ESSCFL5" localSheetId="37">'[9]5.5.2'!$M$28:$M$46</definedName>
    <definedName name="ESSCFL5" localSheetId="38">'[10]5.5.2'!$M$28:$M$46</definedName>
    <definedName name="ESSCFL5" localSheetId="39">'[10]5.5.2'!$M$28:$M$46</definedName>
    <definedName name="ESSCFL5" localSheetId="40">'[10]5.5.2'!$M$28:$M$46</definedName>
    <definedName name="ESSCFL5" localSheetId="41">'[10]5.5.2'!$M$28:$M$46</definedName>
    <definedName name="ESSCFL5" localSheetId="43">'[10]5.5.2'!$M$28:$M$46</definedName>
    <definedName name="ESSCFL5" localSheetId="44">'[10]5.5.2'!$M$28:$M$46</definedName>
    <definedName name="ESSCFL5" localSheetId="42">'[9]5.5.2'!$M$28:$M$46</definedName>
    <definedName name="ESSCFL5" localSheetId="49">'[10]5.5.2'!$M$28:$M$46</definedName>
    <definedName name="ESSCFL5" localSheetId="50">'[11]5.5.2'!$M$28:$M$46</definedName>
    <definedName name="ESSCFL5" localSheetId="51">'[10]5.5.2'!$M$28:$M$46</definedName>
    <definedName name="ESSCFL5" localSheetId="52">'[10]5.5.2'!$M$28:$M$46</definedName>
    <definedName name="ESSCFL5" localSheetId="45">'[10]5.5.2'!$M$28:$M$46</definedName>
    <definedName name="ESSCFL5" localSheetId="47">'[12]5.5.2'!$M$28:$M$46</definedName>
    <definedName name="ESSCFL5" localSheetId="53">'[10]5.5.2'!$M$28:$M$46</definedName>
    <definedName name="ESSCFL5" localSheetId="59">'[10]5.5.2'!$M$28:$M$46</definedName>
    <definedName name="ESSCFL5" localSheetId="54">'[13]5.5.2'!$M$28:$M$46</definedName>
    <definedName name="ESSCFL5" localSheetId="57">'[10]5.5.2'!$M$28:$M$46</definedName>
    <definedName name="ESSCFL5" localSheetId="58">'[11]5.5.2'!$M$28:$M$46</definedName>
    <definedName name="ESSCFL5" localSheetId="61">'[11]5.5.2'!$M$28:$M$46</definedName>
    <definedName name="ESSCFL5" localSheetId="63">'[10]5.5.2'!$M$28:$M$46</definedName>
    <definedName name="ESSCFL5" localSheetId="65">'[11]5.5.2'!$M$28:$M$46</definedName>
    <definedName name="ESSCFL5" localSheetId="66">'[10]5.5.2'!$M$28:$M$46</definedName>
    <definedName name="ESSCFL5" localSheetId="72">'[11]5.5.2'!$M$28:$M$46</definedName>
    <definedName name="ESSCFL5" localSheetId="73">'[11]5.5.2'!$M$28:$M$46</definedName>
    <definedName name="ESSCFL5" localSheetId="70">'[10]5.5.2'!$M$28:$M$46</definedName>
    <definedName name="ESSCFL5" localSheetId="68">'[11]5.5.2'!$M$28:$M$46</definedName>
    <definedName name="ESSCFL5">'[14]5.5.2'!$M$28:$M$46</definedName>
    <definedName name="EStarG1" localSheetId="13">'[5]4.2.8'!$B$76:$B$81</definedName>
    <definedName name="EStarG1" localSheetId="7">'[5]4.2.8'!$B$76:$B$81</definedName>
    <definedName name="EStarG1" localSheetId="23">'[5]4.2.8'!$B$76:$B$81</definedName>
    <definedName name="EStarG1" localSheetId="34">'[6]4.2.8'!$B$76:$B$81</definedName>
    <definedName name="EStarG1" localSheetId="35">'[6]4.2.8'!$B$76:$B$81</definedName>
    <definedName name="EStarG1" localSheetId="36">'[5]4.2.8'!$B$76:$B$81</definedName>
    <definedName name="EStarG1" localSheetId="37">'[5]4.2.8'!$B$76:$B$81</definedName>
    <definedName name="EStarG1" localSheetId="40">'[5]4.2.8'!$B$76:$B$81</definedName>
    <definedName name="EStarG1" localSheetId="41">'[5]4.2.8'!$B$76:$B$81</definedName>
    <definedName name="EStarG1" localSheetId="42">'[6]4.2.8'!$B$76:$B$81</definedName>
    <definedName name="EStarG1" localSheetId="2">'[15]4.2.8'!$B$71:$B$76</definedName>
    <definedName name="EStarG1">'4.2.8'!$B$71:$B$76</definedName>
    <definedName name="EStCW1" localSheetId="13">'[9]5.1.2'!$C$9:$C$10</definedName>
    <definedName name="EStCW1" localSheetId="7">'[9]5.1.2'!$C$9:$C$10</definedName>
    <definedName name="EStCW1" localSheetId="23">'[9]5.1.2'!$C$9:$C$10</definedName>
    <definedName name="EStCW1" localSheetId="28">'[10]5.1.2'!$C$8:$C$9</definedName>
    <definedName name="EStCW1" localSheetId="33">'[10]5.1.2'!$C$8:$C$9</definedName>
    <definedName name="EStCW1" localSheetId="34">'[9]5.1.2'!$C$9:$C$10</definedName>
    <definedName name="EStCW1" localSheetId="35">'[9]5.1.2'!$C$9:$C$10</definedName>
    <definedName name="EStCW1" localSheetId="36">'[9]5.1.2'!$C$9:$C$10</definedName>
    <definedName name="EStCW1" localSheetId="37">'[9]5.1.2'!$C$9:$C$10</definedName>
    <definedName name="EStCW1" localSheetId="38">'[10]5.1.2'!$C$8:$C$9</definedName>
    <definedName name="EStCW1" localSheetId="39">'[10]5.1.2'!$C$8:$C$9</definedName>
    <definedName name="EStCW1" localSheetId="40">'[10]5.1.2'!$C$8:$C$9</definedName>
    <definedName name="EStCW1" localSheetId="41">'[10]5.1.2'!$C$8:$C$9</definedName>
    <definedName name="EStCW1" localSheetId="43">'[10]5.1.2'!$C$8:$C$9</definedName>
    <definedName name="EStCW1" localSheetId="44">'[10]5.1.2'!$C$8:$C$9</definedName>
    <definedName name="EStCW1" localSheetId="42">'[9]5.1.2'!$C$9:$C$10</definedName>
    <definedName name="EStCW1" localSheetId="49">'[10]5.1.2'!$C$8:$C$9</definedName>
    <definedName name="EStCW1" localSheetId="50">'[11]5.1.2'!$C$60:$C$61</definedName>
    <definedName name="EStCW1" localSheetId="51">'[10]5.1.2'!$C$8:$C$9</definedName>
    <definedName name="EStCW1" localSheetId="52">'[10]5.1.2'!$C$8:$C$9</definedName>
    <definedName name="EStCW1" localSheetId="45">'[10]5.1.2'!$C$8:$C$9</definedName>
    <definedName name="EStCW1" localSheetId="47">'[12]5.1.2'!$C$8:$C$9</definedName>
    <definedName name="EStCW1" localSheetId="53">'[10]5.1.2'!$C$8:$C$9</definedName>
    <definedName name="EStCW1" localSheetId="59">'[10]5.1.2'!$C$8:$C$9</definedName>
    <definedName name="EStCW1" localSheetId="54">'[13]5.1.2'!$C$60:$C$61</definedName>
    <definedName name="EStCW1" localSheetId="57">'[10]5.1.2'!$C$8:$C$9</definedName>
    <definedName name="EStCW1" localSheetId="58">'[11]5.1.2'!$C$60:$C$61</definedName>
    <definedName name="EStCW1" localSheetId="61">'[11]5.1.2'!$C$60:$C$61</definedName>
    <definedName name="EStCW1" localSheetId="63">'[10]5.1.2'!$C$8:$C$9</definedName>
    <definedName name="EStCW1" localSheetId="65">'[11]5.1.2'!$C$60:$C$61</definedName>
    <definedName name="EStCW1" localSheetId="66">'[10]5.1.2'!$C$8:$C$9</definedName>
    <definedName name="EStCW1" localSheetId="72">'[11]5.1.2'!$C$60:$C$61</definedName>
    <definedName name="EStCW1" localSheetId="73">'[11]5.1.2'!$C$60:$C$61</definedName>
    <definedName name="EStCW1" localSheetId="70">'[10]5.1.2'!$C$8:$C$9</definedName>
    <definedName name="EStCW1" localSheetId="68">'[11]5.1.2'!$C$60:$C$61</definedName>
    <definedName name="EStCW1">'[14]5.1.2'!$C$61:$C$62</definedName>
    <definedName name="EStCW2" localSheetId="13">'[9]5.1.2'!$H$15:$H$17</definedName>
    <definedName name="EStCW2" localSheetId="7">'[9]5.1.2'!$H$15:$H$17</definedName>
    <definedName name="EStCW2" localSheetId="23">'[9]5.1.2'!$H$15:$H$17</definedName>
    <definedName name="EStCW2" localSheetId="28">'[10]5.1.2'!$H$14:$H$16</definedName>
    <definedName name="EStCW2" localSheetId="33">'[10]5.1.2'!$H$14:$H$16</definedName>
    <definedName name="EStCW2" localSheetId="34">'[9]5.1.2'!$H$15:$H$17</definedName>
    <definedName name="EStCW2" localSheetId="35">'[9]5.1.2'!$H$15:$H$17</definedName>
    <definedName name="EStCW2" localSheetId="36">'[9]5.1.2'!$H$15:$H$17</definedName>
    <definedName name="EStCW2" localSheetId="37">'[9]5.1.2'!$H$15:$H$17</definedName>
    <definedName name="EStCW2" localSheetId="38">'[10]5.1.2'!$H$14:$H$16</definedName>
    <definedName name="EStCW2" localSheetId="39">'[10]5.1.2'!$H$14:$H$16</definedName>
    <definedName name="EStCW2" localSheetId="40">'[10]5.1.2'!$H$14:$H$16</definedName>
    <definedName name="EStCW2" localSheetId="41">'[10]5.1.2'!$H$14:$H$16</definedName>
    <definedName name="EStCW2" localSheetId="43">'[10]5.1.2'!$H$14:$H$16</definedName>
    <definedName name="EStCW2" localSheetId="44">'[10]5.1.2'!$H$14:$H$16</definedName>
    <definedName name="EStCW2" localSheetId="42">'[9]5.1.2'!$H$15:$H$17</definedName>
    <definedName name="EStCW2" localSheetId="49">'[10]5.1.2'!$H$14:$H$16</definedName>
    <definedName name="EStCW2" localSheetId="50">'[11]5.1.2'!$H$66:$H$68</definedName>
    <definedName name="EStCW2" localSheetId="51">'[10]5.1.2'!$H$14:$H$16</definedName>
    <definedName name="EStCW2" localSheetId="52">'[10]5.1.2'!$H$14:$H$16</definedName>
    <definedName name="EStCW2" localSheetId="45">'[10]5.1.2'!$H$14:$H$16</definedName>
    <definedName name="EStCW2" localSheetId="47">'[12]5.1.2'!$H$14:$H$16</definedName>
    <definedName name="EStCW2" localSheetId="53">'[10]5.1.2'!$H$14:$H$16</definedName>
    <definedName name="EStCW2" localSheetId="59">'[10]5.1.2'!$H$14:$H$16</definedName>
    <definedName name="EStCW2" localSheetId="54">'[13]5.1.2'!$H$66:$H$68</definedName>
    <definedName name="EStCW2" localSheetId="57">'[10]5.1.2'!$H$14:$H$16</definedName>
    <definedName name="EStCW2" localSheetId="58">'[11]5.1.2'!$H$66:$H$68</definedName>
    <definedName name="EStCW2" localSheetId="61">'[11]5.1.2'!$H$66:$H$68</definedName>
    <definedName name="EStCW2" localSheetId="63">'[10]5.1.2'!$H$14:$H$16</definedName>
    <definedName name="EStCW2" localSheetId="65">'[11]5.1.2'!$H$66:$H$68</definedName>
    <definedName name="EStCW2" localSheetId="66">'[10]5.1.2'!$H$14:$H$16</definedName>
    <definedName name="EStCW2" localSheetId="72">'[11]5.1.2'!$H$66:$H$68</definedName>
    <definedName name="EStCW2" localSheetId="73">'[11]5.1.2'!$H$66:$H$68</definedName>
    <definedName name="EStCW2" localSheetId="70">'[10]5.1.2'!$H$14:$H$16</definedName>
    <definedName name="EStCW2" localSheetId="68">'[11]5.1.2'!$H$66:$H$68</definedName>
    <definedName name="EStCW2">'[14]5.1.2'!$H$67:$H$69</definedName>
    <definedName name="ESysLoss">'[41]General Inputs'!$E$24</definedName>
    <definedName name="EUL_EndUse1">'[37]Main Input'!$D$105:$H$119</definedName>
    <definedName name="EUL_EndUse2">'[37]Main Input'!$I$105:$M$119</definedName>
    <definedName name="eul_segment">'[37]Main Input'!$C$105:$C$119</definedName>
    <definedName name="EULEquipType_EndUse1">'[37]Main Input'!$D$104:$H$104</definedName>
    <definedName name="EULEquipType_EndUse2">'[37]Main Input'!$I$104:$M$104</definedName>
    <definedName name="Ex_Ante_kW" localSheetId="0">#REF!</definedName>
    <definedName name="Ex_Ante_kW" localSheetId="2">#REF!</definedName>
    <definedName name="Ex_Ante_kW" localSheetId="1">#REF!</definedName>
    <definedName name="Ex_ante_kWh" localSheetId="0">#REF!</definedName>
    <definedName name="Ex_ante_kWh" localSheetId="2">#REF!</definedName>
    <definedName name="Ex_ante_kWh" localSheetId="1">#REF!</definedName>
    <definedName name="F_CT_S">#REF!</definedName>
    <definedName name="F_ET_S">#REF!</definedName>
    <definedName name="FBMo1" localSheetId="13">'[9]5.3.5'!$J$7:$J$8</definedName>
    <definedName name="FBMo1" localSheetId="7">'[9]5.3.5'!$J$7:$J$8</definedName>
    <definedName name="FBMo1" localSheetId="23">'[9]5.3.5'!$J$7:$J$8</definedName>
    <definedName name="FBMo1" localSheetId="28">'[10]5.3.5'!$J$7:$J$8</definedName>
    <definedName name="FBMo1" localSheetId="33">'[10]5.3.5'!$J$7:$J$8</definedName>
    <definedName name="FBMo1" localSheetId="34">'[9]5.3.5'!$J$7:$J$8</definedName>
    <definedName name="FBMo1" localSheetId="35">'[9]5.3.5'!$J$7:$J$8</definedName>
    <definedName name="FBMo1" localSheetId="36">'[9]5.3.5'!$J$7:$J$8</definedName>
    <definedName name="FBMo1" localSheetId="37">'[9]5.3.5'!$J$7:$J$8</definedName>
    <definedName name="FBMo1" localSheetId="38">'[10]5.3.5'!$J$7:$J$8</definedName>
    <definedName name="FBMo1" localSheetId="39">'[10]5.3.5'!$J$7:$J$8</definedName>
    <definedName name="FBMo1" localSheetId="40">'[10]5.3.5'!$J$7:$J$8</definedName>
    <definedName name="FBMo1" localSheetId="41">'[10]5.3.5'!$J$7:$J$8</definedName>
    <definedName name="FBMo1" localSheetId="43">'[10]5.3.5'!$J$7:$J$8</definedName>
    <definedName name="FBMo1" localSheetId="44">'[10]5.3.5'!$J$7:$J$8</definedName>
    <definedName name="FBMo1" localSheetId="42">'[9]5.3.5'!$J$7:$J$8</definedName>
    <definedName name="FBMo1" localSheetId="49">'[10]5.3.5'!$J$7:$J$8</definedName>
    <definedName name="FBMo1" localSheetId="50">'[11]5.3.5'!$J$7:$J$8</definedName>
    <definedName name="FBMo1" localSheetId="51">'[10]5.3.5'!$J$7:$J$8</definedName>
    <definedName name="FBMo1" localSheetId="52">'[10]5.3.5'!$J$7:$J$8</definedName>
    <definedName name="FBMo1" localSheetId="45">'[10]5.3.5'!$J$7:$J$8</definedName>
    <definedName name="FBMo1" localSheetId="47">'[12]5.3.5'!$J$7:$J$8</definedName>
    <definedName name="FBMo1" localSheetId="53">'[10]5.3.5'!$J$7:$J$8</definedName>
    <definedName name="FBMo1" localSheetId="59">'[10]5.3.5'!$J$7:$J$8</definedName>
    <definedName name="FBMo1" localSheetId="54">'[13]5.3.5'!$J$7:$J$8</definedName>
    <definedName name="FBMo1" localSheetId="57">'[10]5.3.5'!$J$7:$J$8</definedName>
    <definedName name="FBMo1" localSheetId="58">'[11]5.3.5'!$J$7:$J$8</definedName>
    <definedName name="FBMo1" localSheetId="61">'[11]5.3.5'!$J$7:$J$8</definedName>
    <definedName name="FBMo1" localSheetId="63">'[10]5.3.5'!$J$7:$J$8</definedName>
    <definedName name="FBMo1" localSheetId="65">'[11]5.3.5'!$J$7:$J$8</definedName>
    <definedName name="FBMo1" localSheetId="66">'[10]5.3.5'!$J$7:$J$8</definedName>
    <definedName name="FBMo1" localSheetId="72">'[11]5.3.5'!$J$7:$J$8</definedName>
    <definedName name="FBMo1" localSheetId="73">'[11]5.3.5'!$J$7:$J$8</definedName>
    <definedName name="FBMo1" localSheetId="70">'[10]5.3.5'!$J$7:$J$8</definedName>
    <definedName name="FBMo1" localSheetId="68">'[11]5.3.5'!$J$7:$J$8</definedName>
    <definedName name="FBMo1">'[14]5.3.5'!$J$7:$J$8</definedName>
    <definedName name="FBMo2" localSheetId="13">'[9]5.3.5'!$H$19:$H$21</definedName>
    <definedName name="FBMo2" localSheetId="7">'[9]5.3.5'!$H$19:$H$21</definedName>
    <definedName name="FBMo2" localSheetId="23">'[9]5.3.5'!$H$19:$H$21</definedName>
    <definedName name="FBMo2" localSheetId="28">'[10]5.3.5'!$H$19:$H$21</definedName>
    <definedName name="FBMo2" localSheetId="33">'[10]5.3.5'!$H$19:$H$21</definedName>
    <definedName name="FBMo2" localSheetId="34">'[9]5.3.5'!$H$19:$H$21</definedName>
    <definedName name="FBMo2" localSheetId="35">'[9]5.3.5'!$H$19:$H$21</definedName>
    <definedName name="FBMo2" localSheetId="36">'[9]5.3.5'!$H$19:$H$21</definedName>
    <definedName name="FBMo2" localSheetId="37">'[9]5.3.5'!$H$19:$H$21</definedName>
    <definedName name="FBMo2" localSheetId="38">'[10]5.3.5'!$H$19:$H$21</definedName>
    <definedName name="FBMo2" localSheetId="39">'[10]5.3.5'!$H$19:$H$21</definedName>
    <definedName name="FBMo2" localSheetId="40">'[10]5.3.5'!$H$19:$H$21</definedName>
    <definedName name="FBMo2" localSheetId="41">'[10]5.3.5'!$H$19:$H$21</definedName>
    <definedName name="FBMo2" localSheetId="43">'[10]5.3.5'!$H$19:$H$21</definedName>
    <definedName name="FBMo2" localSheetId="44">'[10]5.3.5'!$H$19:$H$21</definedName>
    <definedName name="FBMo2" localSheetId="42">'[9]5.3.5'!$H$19:$H$21</definedName>
    <definedName name="FBMo2" localSheetId="49">'[10]5.3.5'!$H$19:$H$21</definedName>
    <definedName name="FBMo2" localSheetId="50">'[11]5.3.5'!$H$19:$H$21</definedName>
    <definedName name="FBMo2" localSheetId="51">'[10]5.3.5'!$H$19:$H$21</definedName>
    <definedName name="FBMo2" localSheetId="52">'[10]5.3.5'!$H$19:$H$21</definedName>
    <definedName name="FBMo2" localSheetId="45">'[10]5.3.5'!$H$19:$H$21</definedName>
    <definedName name="FBMo2" localSheetId="47">'[12]5.3.5'!$H$19:$H$21</definedName>
    <definedName name="FBMo2" localSheetId="53">'[10]5.3.5'!$H$19:$H$21</definedName>
    <definedName name="FBMo2" localSheetId="59">'[10]5.3.5'!$H$19:$H$21</definedName>
    <definedName name="FBMo2" localSheetId="54">'[13]5.3.5'!$H$19:$H$21</definedName>
    <definedName name="FBMo2" localSheetId="57">'[10]5.3.5'!$H$19:$H$21</definedName>
    <definedName name="FBMo2" localSheetId="58">'[11]5.3.5'!$H$19:$H$21</definedName>
    <definedName name="FBMo2" localSheetId="61">'[11]5.3.5'!$H$19:$H$21</definedName>
    <definedName name="FBMo2" localSheetId="63">'[10]5.3.5'!$H$19:$H$21</definedName>
    <definedName name="FBMo2" localSheetId="65">'[11]5.3.5'!$H$19:$H$21</definedName>
    <definedName name="FBMo2" localSheetId="66">'[10]5.3.5'!$H$19:$H$21</definedName>
    <definedName name="FBMo2" localSheetId="72">'[11]5.3.5'!$H$19:$H$21</definedName>
    <definedName name="FBMo2" localSheetId="73">'[11]5.3.5'!$H$19:$H$21</definedName>
    <definedName name="FBMo2" localSheetId="70">'[10]5.3.5'!$H$19:$H$21</definedName>
    <definedName name="FBMo2" localSheetId="68">'[11]5.3.5'!$H$19:$H$21</definedName>
    <definedName name="FBMo2">'[14]5.3.5'!$H$19:$H$21</definedName>
    <definedName name="FBMo3" localSheetId="13">'[9]5.3.5'!$K$19:$K$21</definedName>
    <definedName name="FBMo3" localSheetId="7">'[9]5.3.5'!$K$19:$K$21</definedName>
    <definedName name="FBMo3" localSheetId="23">'[9]5.3.5'!$K$19:$K$21</definedName>
    <definedName name="FBMo3" localSheetId="28">'[10]5.3.5'!$K$19:$K$21</definedName>
    <definedName name="FBMo3" localSheetId="33">'[10]5.3.5'!$K$19:$K$21</definedName>
    <definedName name="FBMo3" localSheetId="34">'[9]5.3.5'!$K$19:$K$21</definedName>
    <definedName name="FBMo3" localSheetId="35">'[9]5.3.5'!$K$19:$K$21</definedName>
    <definedName name="FBMo3" localSheetId="36">'[9]5.3.5'!$K$19:$K$21</definedName>
    <definedName name="FBMo3" localSheetId="37">'[9]5.3.5'!$K$19:$K$21</definedName>
    <definedName name="FBMo3" localSheetId="38">'[10]5.3.5'!$K$19:$K$21</definedName>
    <definedName name="FBMo3" localSheetId="39">'[10]5.3.5'!$K$19:$K$21</definedName>
    <definedName name="FBMo3" localSheetId="40">'[10]5.3.5'!$K$19:$K$21</definedName>
    <definedName name="FBMo3" localSheetId="41">'[10]5.3.5'!$K$19:$K$21</definedName>
    <definedName name="FBMo3" localSheetId="43">'[10]5.3.5'!$K$19:$K$21</definedName>
    <definedName name="FBMo3" localSheetId="44">'[10]5.3.5'!$K$19:$K$21</definedName>
    <definedName name="FBMo3" localSheetId="42">'[9]5.3.5'!$K$19:$K$21</definedName>
    <definedName name="FBMo3" localSheetId="49">'[10]5.3.5'!$K$19:$K$21</definedName>
    <definedName name="FBMo3" localSheetId="50">'[11]5.3.5'!$K$19:$K$21</definedName>
    <definedName name="FBMo3" localSheetId="51">'[10]5.3.5'!$K$19:$K$21</definedName>
    <definedName name="FBMo3" localSheetId="52">'[10]5.3.5'!$K$19:$K$21</definedName>
    <definedName name="FBMo3" localSheetId="45">'[10]5.3.5'!$K$19:$K$21</definedName>
    <definedName name="FBMo3" localSheetId="47">'[12]5.3.5'!$K$19:$K$21</definedName>
    <definedName name="FBMo3" localSheetId="53">'[10]5.3.5'!$K$19:$K$21</definedName>
    <definedName name="FBMo3" localSheetId="59">'[10]5.3.5'!$K$19:$K$21</definedName>
    <definedName name="FBMo3" localSheetId="54">'[13]5.3.5'!$K$19:$K$21</definedName>
    <definedName name="FBMo3" localSheetId="57">'[10]5.3.5'!$K$19:$K$21</definedName>
    <definedName name="FBMo3" localSheetId="58">'[11]5.3.5'!$K$19:$K$21</definedName>
    <definedName name="FBMo3" localSheetId="61">'[11]5.3.5'!$K$19:$K$21</definedName>
    <definedName name="FBMo3" localSheetId="63">'[10]5.3.5'!$K$19:$K$21</definedName>
    <definedName name="FBMo3" localSheetId="65">'[11]5.3.5'!$K$19:$K$21</definedName>
    <definedName name="FBMo3" localSheetId="66">'[10]5.3.5'!$K$19:$K$21</definedName>
    <definedName name="FBMo3" localSheetId="72">'[11]5.3.5'!$K$19:$K$21</definedName>
    <definedName name="FBMo3" localSheetId="73">'[11]5.3.5'!$K$19:$K$21</definedName>
    <definedName name="FBMo3" localSheetId="70">'[10]5.3.5'!$K$19:$K$21</definedName>
    <definedName name="FBMo3" localSheetId="68">'[11]5.3.5'!$K$19:$K$21</definedName>
    <definedName name="FBMo3">'[14]5.3.5'!$K$19:$K$21</definedName>
    <definedName name="FDLmp1" localSheetId="13">'[18]4.5.2'!$L$7:$L$21</definedName>
    <definedName name="FDLmp1" localSheetId="7">'[18]4.5.2'!$L$7:$L$21</definedName>
    <definedName name="FDLmp1" localSheetId="23">'[18]4.5.2'!$L$7:$L$21</definedName>
    <definedName name="FDLmp1" localSheetId="28">'[22]4.5.2'!$L$7:$L$21</definedName>
    <definedName name="FDLmp1" localSheetId="34">'[18]4.5.2'!$L$7:$L$21</definedName>
    <definedName name="FDLmp1" localSheetId="35">'[18]4.5.2'!$L$7:$L$21</definedName>
    <definedName name="FDLmp1" localSheetId="36">'[18]4.5.2'!$L$7:$L$21</definedName>
    <definedName name="FDLmp1" localSheetId="37">'[18]4.5.2'!$L$7:$L$21</definedName>
    <definedName name="FDLmp1" localSheetId="38">'[22]4.5.2'!$L$7:$L$21</definedName>
    <definedName name="FDLmp1" localSheetId="39">'[23]4.5.2'!$L$7:$L$21</definedName>
    <definedName name="FDLmp1" localSheetId="40">'[20]4.5.2'!$L$7:$L$21</definedName>
    <definedName name="FDLmp1" localSheetId="41">'[20]4.5.2'!$L$7:$L$21</definedName>
    <definedName name="FDLmp1" localSheetId="43">'[22]4.5.2'!$L$7:$L$21</definedName>
    <definedName name="FDLmp1" localSheetId="44">'[22]4.5.2'!$L$7:$L$21</definedName>
    <definedName name="FDLmp1" localSheetId="42">'[18]4.5.2'!$L$7:$L$21</definedName>
    <definedName name="FDLmp1" localSheetId="49">'[20]4.5.2'!$L$7:$L$21</definedName>
    <definedName name="FDLmp1" localSheetId="50">'[20]4.5.2'!$L$7:$L$21</definedName>
    <definedName name="FDLmp1" localSheetId="51">'[20]4.5.2'!$L$7:$L$21</definedName>
    <definedName name="FDLmp1" localSheetId="52">'[20]4.5.2'!$L$7:$L$21</definedName>
    <definedName name="FDLmp1" localSheetId="59">'[20]4.5.2'!$L$7:$L$21</definedName>
    <definedName name="FDLmp1" localSheetId="54">'[20]4.5.2'!$L$7:$L$21</definedName>
    <definedName name="FDLmp1" localSheetId="58">'[20]4.5.2'!$L$7:$L$21</definedName>
    <definedName name="FDLmp1" localSheetId="61">'[20]4.5.2'!$L$7:$L$21</definedName>
    <definedName name="FDLmp1" localSheetId="63">'[20]4.5.2'!$L$7:$L$21</definedName>
    <definedName name="FDLmp1" localSheetId="65">'[20]4.5.2'!$L$7:$L$21</definedName>
    <definedName name="FDLmp1" localSheetId="66">'[20]4.5.2'!$L$7:$L$21</definedName>
    <definedName name="FDLmp1" localSheetId="71">'[20]4.5.2'!$L$7:$L$21</definedName>
    <definedName name="FDLmp1" localSheetId="72">'[20]4.5.2'!$L$7:$L$21</definedName>
    <definedName name="FDLmp1" localSheetId="73">'[20]4.5.2'!$L$7:$L$21</definedName>
    <definedName name="FDLmp1" localSheetId="67">'[20]4.5.2'!$L$7:$L$21</definedName>
    <definedName name="FDLmp1" localSheetId="68">'[20]4.5.2'!$L$7:$L$21</definedName>
    <definedName name="FDLmp1">'[19]4.5.2'!$L$7:$L$21</definedName>
    <definedName name="FDLmp2" localSheetId="13">'[18]4.5.2'!$B$25:$B$32</definedName>
    <definedName name="FDLmp2" localSheetId="7">'[18]4.5.2'!$B$25:$B$32</definedName>
    <definedName name="FDLmp2" localSheetId="23">'[18]4.5.2'!$B$25:$B$32</definedName>
    <definedName name="FDLmp2" localSheetId="28">'[22]4.5.2'!$B$25:$B$32</definedName>
    <definedName name="FDLmp2" localSheetId="34">'[18]4.5.2'!$B$25:$B$32</definedName>
    <definedName name="FDLmp2" localSheetId="35">'[18]4.5.2'!$B$25:$B$32</definedName>
    <definedName name="FDLmp2" localSheetId="36">'[18]4.5.2'!$B$25:$B$32</definedName>
    <definedName name="FDLmp2" localSheetId="37">'[18]4.5.2'!$B$25:$B$32</definedName>
    <definedName name="FDLmp2" localSheetId="38">'[22]4.5.2'!$B$25:$B$32</definedName>
    <definedName name="FDLmp2" localSheetId="39">'[23]4.5.2'!$B$25:$B$32</definedName>
    <definedName name="FDLmp2" localSheetId="40">'[20]4.5.2'!$B$25:$B$32</definedName>
    <definedName name="FDLmp2" localSheetId="41">'[20]4.5.2'!$B$25:$B$32</definedName>
    <definedName name="FDLmp2" localSheetId="43">'[22]4.5.2'!$B$25:$B$32</definedName>
    <definedName name="FDLmp2" localSheetId="44">'[22]4.5.2'!$B$25:$B$32</definedName>
    <definedName name="FDLmp2" localSheetId="42">'[18]4.5.2'!$B$25:$B$32</definedName>
    <definedName name="FDLmp2" localSheetId="49">'[20]4.5.2'!$B$25:$B$32</definedName>
    <definedName name="FDLmp2" localSheetId="50">'[20]4.5.2'!$B$25:$B$32</definedName>
    <definedName name="FDLmp2" localSheetId="51">'[20]4.5.2'!$B$25:$B$32</definedName>
    <definedName name="FDLmp2" localSheetId="52">'[20]4.5.2'!$B$25:$B$32</definedName>
    <definedName name="FDLmp2" localSheetId="59">'[20]4.5.2'!$B$25:$B$32</definedName>
    <definedName name="FDLmp2" localSheetId="54">'[20]4.5.2'!$B$25:$B$32</definedName>
    <definedName name="FDLmp2" localSheetId="58">'[20]4.5.2'!$B$25:$B$32</definedName>
    <definedName name="FDLmp2" localSheetId="61">'[20]4.5.2'!$B$25:$B$32</definedName>
    <definedName name="FDLmp2" localSheetId="63">'[20]4.5.2'!$B$25:$B$32</definedName>
    <definedName name="FDLmp2" localSheetId="65">'[20]4.5.2'!$B$25:$B$32</definedName>
    <definedName name="FDLmp2" localSheetId="66">'[20]4.5.2'!$B$25:$B$32</definedName>
    <definedName name="FDLmp2" localSheetId="71">'[20]4.5.2'!$B$25:$B$32</definedName>
    <definedName name="FDLmp2" localSheetId="72">'[20]4.5.2'!$B$25:$B$32</definedName>
    <definedName name="FDLmp2" localSheetId="73">'[20]4.5.2'!$B$25:$B$32</definedName>
    <definedName name="FDLmp2" localSheetId="67">'[20]4.5.2'!$B$25:$B$32</definedName>
    <definedName name="FDLmp2" localSheetId="68">'[20]4.5.2'!$B$25:$B$32</definedName>
    <definedName name="FDLmp2">'[19]4.5.2'!$B$25:$B$32</definedName>
    <definedName name="FDLmp3" localSheetId="13">'[18]4.5.2'!$E$24:$G$24</definedName>
    <definedName name="FDLmp3" localSheetId="7">'[18]4.5.2'!$E$24:$G$24</definedName>
    <definedName name="FDLmp3" localSheetId="23">'[18]4.5.2'!$E$24:$G$24</definedName>
    <definedName name="FDLmp3" localSheetId="28">'[22]4.5.2'!$E$24:$G$24</definedName>
    <definedName name="FDLmp3" localSheetId="34">'[18]4.5.2'!$E$24:$G$24</definedName>
    <definedName name="FDLmp3" localSheetId="35">'[18]4.5.2'!$E$24:$G$24</definedName>
    <definedName name="FDLmp3" localSheetId="36">'[18]4.5.2'!$E$24:$G$24</definedName>
    <definedName name="FDLmp3" localSheetId="37">'[18]4.5.2'!$E$24:$G$24</definedName>
    <definedName name="FDLmp3" localSheetId="38">'[22]4.5.2'!$E$24:$G$24</definedName>
    <definedName name="FDLmp3" localSheetId="39">'[23]4.5.2'!$E$24:$G$24</definedName>
    <definedName name="FDLmp3" localSheetId="40">'[20]4.5.2'!$E$24:$G$24</definedName>
    <definedName name="FDLmp3" localSheetId="41">'[20]4.5.2'!$E$24:$G$24</definedName>
    <definedName name="FDLmp3" localSheetId="43">'[22]4.5.2'!$E$24:$G$24</definedName>
    <definedName name="FDLmp3" localSheetId="44">'[22]4.5.2'!$E$24:$G$24</definedName>
    <definedName name="FDLmp3" localSheetId="42">'[18]4.5.2'!$E$24:$G$24</definedName>
    <definedName name="FDLmp3" localSheetId="49">'[20]4.5.2'!$E$24:$G$24</definedName>
    <definedName name="FDLmp3" localSheetId="50">'[20]4.5.2'!$E$24:$G$24</definedName>
    <definedName name="FDLmp3" localSheetId="51">'[20]4.5.2'!$E$24:$G$24</definedName>
    <definedName name="FDLmp3" localSheetId="52">'[20]4.5.2'!$E$24:$G$24</definedName>
    <definedName name="FDLmp3" localSheetId="59">'[20]4.5.2'!$E$24:$G$24</definedName>
    <definedName name="FDLmp3" localSheetId="54">'[20]4.5.2'!$E$24:$G$24</definedName>
    <definedName name="FDLmp3" localSheetId="58">'[20]4.5.2'!$E$24:$G$24</definedName>
    <definedName name="FDLmp3" localSheetId="61">'[20]4.5.2'!$E$24:$G$24</definedName>
    <definedName name="FDLmp3" localSheetId="63">'[20]4.5.2'!$E$24:$G$24</definedName>
    <definedName name="FDLmp3" localSheetId="65">'[20]4.5.2'!$E$24:$G$24</definedName>
    <definedName name="FDLmp3" localSheetId="66">'[20]4.5.2'!$E$24:$G$24</definedName>
    <definedName name="FDLmp3" localSheetId="71">'[20]4.5.2'!$E$24:$G$24</definedName>
    <definedName name="FDLmp3" localSheetId="72">'[20]4.5.2'!$E$24:$G$24</definedName>
    <definedName name="FDLmp3" localSheetId="73">'[20]4.5.2'!$E$24:$G$24</definedName>
    <definedName name="FDLmp3" localSheetId="67">'[20]4.5.2'!$E$24:$G$24</definedName>
    <definedName name="FDLmp3" localSheetId="68">'[20]4.5.2'!$E$24:$G$24</definedName>
    <definedName name="FDLmp3">'[19]4.5.2'!$E$24:$G$24</definedName>
    <definedName name="FDLmp4" localSheetId="13">'[18]4.5.2'!$B$36:$B$60</definedName>
    <definedName name="FDLmp4" localSheetId="7">'[18]4.5.2'!$B$36:$B$60</definedName>
    <definedName name="FDLmp4" localSheetId="23">'[18]4.5.2'!$B$36:$B$60</definedName>
    <definedName name="FDLmp4" localSheetId="28">'[22]4.5.2'!$B$36:$B$60</definedName>
    <definedName name="FDLmp4" localSheetId="34">'[18]4.5.2'!$B$36:$B$60</definedName>
    <definedName name="FDLmp4" localSheetId="35">'[18]4.5.2'!$B$36:$B$60</definedName>
    <definedName name="FDLmp4" localSheetId="36">'[18]4.5.2'!$B$36:$B$60</definedName>
    <definedName name="FDLmp4" localSheetId="37">'[18]4.5.2'!$B$36:$B$60</definedName>
    <definedName name="FDLmp4" localSheetId="38">'[22]4.5.2'!$B$36:$B$60</definedName>
    <definedName name="FDLmp4" localSheetId="39">'[23]4.5.2'!$B$36:$B$60</definedName>
    <definedName name="FDLmp4" localSheetId="40">'[20]4.5.2'!$B$36:$B$60</definedName>
    <definedName name="FDLmp4" localSheetId="41">'[20]4.5.2'!$B$36:$B$60</definedName>
    <definedName name="FDLmp4" localSheetId="43">'[22]4.5.2'!$B$36:$B$60</definedName>
    <definedName name="FDLmp4" localSheetId="44">'[22]4.5.2'!$B$36:$B$60</definedName>
    <definedName name="FDLmp4" localSheetId="42">'[18]4.5.2'!$B$36:$B$60</definedName>
    <definedName name="FDLmp4" localSheetId="49">'[20]4.5.2'!$B$36:$B$60</definedName>
    <definedName name="FDLmp4" localSheetId="50">'[20]4.5.2'!$B$36:$B$60</definedName>
    <definedName name="FDLmp4" localSheetId="51">'[20]4.5.2'!$B$36:$B$60</definedName>
    <definedName name="FDLmp4" localSheetId="52">'[20]4.5.2'!$B$36:$B$60</definedName>
    <definedName name="FDLmp4" localSheetId="59">'[20]4.5.2'!$B$36:$B$60</definedName>
    <definedName name="FDLmp4" localSheetId="54">'[20]4.5.2'!$B$36:$B$60</definedName>
    <definedName name="FDLmp4" localSheetId="58">'[20]4.5.2'!$B$36:$B$60</definedName>
    <definedName name="FDLmp4" localSheetId="61">'[20]4.5.2'!$B$36:$B$60</definedName>
    <definedName name="FDLmp4" localSheetId="63">'[20]4.5.2'!$B$36:$B$60</definedName>
    <definedName name="FDLmp4" localSheetId="65">'[20]4.5.2'!$B$36:$B$60</definedName>
    <definedName name="FDLmp4" localSheetId="66">'[20]4.5.2'!$B$36:$B$60</definedName>
    <definedName name="FDLmp4" localSheetId="71">'[20]4.5.2'!$B$36:$B$60</definedName>
    <definedName name="FDLmp4" localSheetId="72">'[20]4.5.2'!$B$36:$B$60</definedName>
    <definedName name="FDLmp4" localSheetId="73">'[20]4.5.2'!$B$36:$B$60</definedName>
    <definedName name="FDLmp4" localSheetId="67">'[20]4.5.2'!$B$36:$B$60</definedName>
    <definedName name="FDLmp4" localSheetId="68">'[20]4.5.2'!$B$36:$B$60</definedName>
    <definedName name="FDLmp4">'[19]4.5.2'!$B$36:$B$60</definedName>
    <definedName name="FIAC1" localSheetId="23">#REF!</definedName>
    <definedName name="FIAC1" localSheetId="34">#REF!</definedName>
    <definedName name="FIAC1" localSheetId="35">#REF!</definedName>
    <definedName name="FIAC1" localSheetId="36">#REF!</definedName>
    <definedName name="FIAC1" localSheetId="37">#REF!</definedName>
    <definedName name="FIAC1" localSheetId="40">#REF!</definedName>
    <definedName name="FIAC1" localSheetId="41">#REF!</definedName>
    <definedName name="FIAC1" localSheetId="42">#REF!</definedName>
    <definedName name="FIAC1" localSheetId="63">'5.6.3'!$B$73:$B$75</definedName>
    <definedName name="FIAC1" localSheetId="2">#REF!</definedName>
    <definedName name="FIAC1">#REF!</definedName>
    <definedName name="FirstYrAvoidedCost">'[8]Discounting Tables'!$B$3</definedName>
    <definedName name="Fuel1" localSheetId="13">'[5]4.2.6'!$B$10:$B$11</definedName>
    <definedName name="Fuel1" localSheetId="7">'4.2.6'!$B$11:$B$12</definedName>
    <definedName name="Fuel1" localSheetId="23">'[18]4.2.11'!$K$18:$K$19</definedName>
    <definedName name="Fuel1" localSheetId="28">'[22]4.2.11'!$A$68:$A$69</definedName>
    <definedName name="Fuel1" localSheetId="33">'[19]4.2.11'!$A$67:$A$68</definedName>
    <definedName name="Fuel1" localSheetId="34">'[6]4.2.6'!$B$10:$B$11</definedName>
    <definedName name="Fuel1" localSheetId="35">'[6]4.2.6'!$B$10:$B$11</definedName>
    <definedName name="Fuel1" localSheetId="36">'[18]4.2.11'!$K$18:$K$19</definedName>
    <definedName name="Fuel1" localSheetId="37">'[18]4.2.11'!$K$18:$K$19</definedName>
    <definedName name="Fuel1" localSheetId="38">'[22]4.2.11'!$A$68:$A$69</definedName>
    <definedName name="Fuel1" localSheetId="39">'[23]4.2.11'!$A$68:$A$69</definedName>
    <definedName name="Fuel1" localSheetId="40">'[10]5.5.2'!$K$7:$K$8</definedName>
    <definedName name="Fuel1" localSheetId="41">'[10]5.5.2'!$K$7:$K$8</definedName>
    <definedName name="Fuel1" localSheetId="43">'[22]4.2.11'!$A$68:$A$69</definedName>
    <definedName name="Fuel1" localSheetId="44">'[22]4.2.11'!$A$68:$A$69</definedName>
    <definedName name="Fuel1" localSheetId="42">'[6]4.2.6'!$B$10:$B$11</definedName>
    <definedName name="Fuel1" localSheetId="49">'[10]5.5.2'!$K$7:$K$8</definedName>
    <definedName name="Fuel1" localSheetId="50">'[11]5.5.2'!$K$7:$K$8</definedName>
    <definedName name="Fuel1" localSheetId="51">'[10]5.5.2'!$K$7:$K$8</definedName>
    <definedName name="Fuel1" localSheetId="52">'[10]5.5.2'!$K$7:$K$8</definedName>
    <definedName name="Fuel1" localSheetId="45">'[10]5.5.2'!$K$7:$K$8</definedName>
    <definedName name="Fuel1" localSheetId="47">'[12]5.5.2'!$K$7:$K$8</definedName>
    <definedName name="Fuel1" localSheetId="53">'[10]5.5.2'!$K$7:$K$8</definedName>
    <definedName name="Fuel1" localSheetId="59">'[10]5.5.2'!$K$7:$K$8</definedName>
    <definedName name="Fuel1" localSheetId="54">'[13]5.5.2'!$K$7:$K$8</definedName>
    <definedName name="Fuel1" localSheetId="57">'[10]5.5.2'!$K$7:$K$8</definedName>
    <definedName name="Fuel1" localSheetId="58">'[11]5.5.2'!$K$7:$K$8</definedName>
    <definedName name="Fuel1" localSheetId="61">'[11]5.5.2'!$K$7:$K$8</definedName>
    <definedName name="Fuel1" localSheetId="63">'[10]5.5.2'!$K$7:$K$8</definedName>
    <definedName name="Fuel1" localSheetId="65">'[11]5.5.2'!$K$7:$K$8</definedName>
    <definedName name="Fuel1" localSheetId="66">'[10]5.5.2'!$K$7:$K$8</definedName>
    <definedName name="Fuel1" localSheetId="72">'[11]5.5.2'!$K$7:$K$8</definedName>
    <definedName name="Fuel1" localSheetId="73">'[11]5.5.2'!$K$7:$K$8</definedName>
    <definedName name="Fuel1" localSheetId="70">'[19]4.2.11'!$A$67:$A$68</definedName>
    <definedName name="Fuel1" localSheetId="68">'[11]5.5.2'!$K$7:$K$8</definedName>
    <definedName name="Fuel1">'[14]5.5.2'!$K$7:$K$8</definedName>
    <definedName name="Fuel2" localSheetId="13">'[5]4.3.2'!$B$62:$B$63</definedName>
    <definedName name="Fuel2" localSheetId="7">'[5]4.3.2'!$B$62:$B$63</definedName>
    <definedName name="Fuel2" localSheetId="23">'[9]5.1.2'!$I$35:$I$37</definedName>
    <definedName name="Fuel2" localSheetId="28">'[10]5.1.2'!$I$32:$I$33</definedName>
    <definedName name="Fuel2" localSheetId="33">'[10]5.1.2'!$I$32:$I$33</definedName>
    <definedName name="Fuel2" localSheetId="34">'[6]4.3.2'!$B$62:$B$63</definedName>
    <definedName name="Fuel2" localSheetId="35">'[6]4.3.2'!$B$62:$B$63</definedName>
    <definedName name="Fuel2" localSheetId="36">'[9]5.1.2'!$I$35:$I$37</definedName>
    <definedName name="Fuel2" localSheetId="37">'[9]5.1.2'!$I$35:$I$37</definedName>
    <definedName name="Fuel2" localSheetId="38">'[10]5.1.2'!$I$32:$I$33</definedName>
    <definedName name="Fuel2" localSheetId="39">'[10]5.1.2'!$I$32:$I$33</definedName>
    <definedName name="Fuel2" localSheetId="40">'[10]5.1.2'!$I$32:$I$33</definedName>
    <definedName name="Fuel2" localSheetId="41">'[10]5.1.2'!$I$32:$I$33</definedName>
    <definedName name="Fuel2" localSheetId="43">'[10]5.1.2'!$I$32:$I$33</definedName>
    <definedName name="Fuel2" localSheetId="44">'[10]5.1.2'!$I$32:$I$33</definedName>
    <definedName name="Fuel2" localSheetId="42">'[6]4.3.2'!$B$62:$B$63</definedName>
    <definedName name="Fuel2" localSheetId="49">'[10]5.1.2'!$I$32:$I$33</definedName>
    <definedName name="Fuel2" localSheetId="50">'[11]5.1.2'!$A$107:$A$108</definedName>
    <definedName name="Fuel2" localSheetId="51">'[10]5.1.2'!$I$32:$I$33</definedName>
    <definedName name="Fuel2" localSheetId="52">'[10]5.1.2'!$I$32:$I$33</definedName>
    <definedName name="Fuel2" localSheetId="45">'[10]5.1.2'!$I$32:$I$33</definedName>
    <definedName name="Fuel2" localSheetId="47">'[12]5.1.2'!$I$32:$I$33</definedName>
    <definedName name="Fuel2" localSheetId="53">'5.4.1'!$A$61:$A$62</definedName>
    <definedName name="Fuel2" localSheetId="59">'[10]5.1.2'!$I$32:$I$33</definedName>
    <definedName name="Fuel2" localSheetId="54">'[13]5.1.2'!$A$107:$A$108</definedName>
    <definedName name="Fuel2" localSheetId="57">'[10]5.1.2'!$I$32:$I$33</definedName>
    <definedName name="Fuel2" localSheetId="58">'[11]5.1.2'!$A$107:$A$108</definedName>
    <definedName name="Fuel2" localSheetId="61">'[42]5.1.2'!$A$108:$A$109</definedName>
    <definedName name="Fuel2" localSheetId="63">'[10]5.1.2'!$I$32:$I$33</definedName>
    <definedName name="Fuel2" localSheetId="65">'[11]5.1.2'!$A$107:$A$108</definedName>
    <definedName name="Fuel2" localSheetId="66">'[10]5.1.2'!$I$32:$I$33</definedName>
    <definedName name="Fuel2" localSheetId="71">'[42]5.1.2'!$A$108:$A$109</definedName>
    <definedName name="Fuel2" localSheetId="72">'[42]5.1.2'!$A$108:$A$109</definedName>
    <definedName name="Fuel2" localSheetId="73">'[42]5.1.2'!$A$108:$A$109</definedName>
    <definedName name="Fuel2" localSheetId="67">'[42]5.1.2'!$A$108:$A$109</definedName>
    <definedName name="Fuel2" localSheetId="70">'[10]5.1.2'!$I$32:$I$33</definedName>
    <definedName name="Fuel2" localSheetId="68">'[42]5.1.2'!$A$108:$A$109</definedName>
    <definedName name="Fuel2">'[14]5.1.2'!$A$108:$A$109</definedName>
    <definedName name="Fuel3" localSheetId="13">'[5]4.3.3'!$B$63:$B$65</definedName>
    <definedName name="Fuel3" localSheetId="7">'[5]4.3.3'!$B$63:$B$65</definedName>
    <definedName name="Fuel3" localSheetId="21">'4.3.4'!$B$68:$B$70</definedName>
    <definedName name="Fuel3" localSheetId="23">#REF!</definedName>
    <definedName name="Fuel3" localSheetId="34">'[6]4.3.3'!$B$63:$B$65</definedName>
    <definedName name="Fuel3" localSheetId="35">'[6]4.3.3'!$B$63:$B$65</definedName>
    <definedName name="Fuel3" localSheetId="36">#REF!</definedName>
    <definedName name="Fuel3" localSheetId="37">#REF!</definedName>
    <definedName name="Fuel3" localSheetId="40">'[5]4.3.3'!$B$63:$B$65</definedName>
    <definedName name="Fuel3" localSheetId="41">'[5]4.3.3'!$B$63:$B$65</definedName>
    <definedName name="Fuel3" localSheetId="42">'[6]4.3.3'!$B$63:$B$65</definedName>
    <definedName name="Fuel3" localSheetId="2">'[15]4.3.3'!$B$65:$B$67</definedName>
    <definedName name="Fuel3">'4.3.3'!$B$66:$B$68</definedName>
    <definedName name="Furnace_EEP2" localSheetId="13">'[9]5.3.7'!$A$40:$A$42</definedName>
    <definedName name="Furnace_EEP2" localSheetId="7">'[9]5.3.7'!$A$40:$A$42</definedName>
    <definedName name="Furnace_EEP2" localSheetId="23">'[9]5.3.7'!$A$40:$A$42</definedName>
    <definedName name="Furnace_EEP2" localSheetId="28">#REF!</definedName>
    <definedName name="Furnace_EEP2" localSheetId="33">#REF!</definedName>
    <definedName name="Furnace_EEP2" localSheetId="34">'[9]5.3.7'!$A$40:$A$42</definedName>
    <definedName name="Furnace_EEP2" localSheetId="35">'[9]5.3.7'!$A$40:$A$42</definedName>
    <definedName name="Furnace_EEP2" localSheetId="36">'[9]5.3.7'!$A$40:$A$42</definedName>
    <definedName name="Furnace_EEP2" localSheetId="37">'[9]5.3.7'!$A$40:$A$42</definedName>
    <definedName name="Furnace_EEP2" localSheetId="38">#REF!</definedName>
    <definedName name="Furnace_EEP2" localSheetId="40">#REF!</definedName>
    <definedName name="Furnace_EEP2" localSheetId="41">#REF!</definedName>
    <definedName name="Furnace_EEP2" localSheetId="43">#REF!</definedName>
    <definedName name="Furnace_EEP2" localSheetId="44">#REF!</definedName>
    <definedName name="Furnace_EEP2" localSheetId="42">'[9]5.3.7'!$A$40:$A$42</definedName>
    <definedName name="Furnace_EEP2" localSheetId="48">#REF!</definedName>
    <definedName name="Furnace_EEP2" localSheetId="49">#REF!</definedName>
    <definedName name="Furnace_EEP2" localSheetId="50">#REF!</definedName>
    <definedName name="Furnace_EEP2" localSheetId="51">#REF!</definedName>
    <definedName name="Furnace_EEP2" localSheetId="52">#REF!</definedName>
    <definedName name="Furnace_EEP2" localSheetId="45">#REF!</definedName>
    <definedName name="Furnace_EEP2" localSheetId="46">#REF!</definedName>
    <definedName name="Furnace_EEP2" localSheetId="47">'5.3.7'!#REF!</definedName>
    <definedName name="Furnace_EEP2" localSheetId="53">#REF!</definedName>
    <definedName name="Furnace_EEP2" localSheetId="59">#REF!</definedName>
    <definedName name="Furnace_EEP2" localSheetId="54">#REF!</definedName>
    <definedName name="Furnace_EEP2" localSheetId="55">#REF!</definedName>
    <definedName name="Furnace_EEP2" localSheetId="56">#REF!</definedName>
    <definedName name="Furnace_EEP2" localSheetId="57">#REF!</definedName>
    <definedName name="Furnace_EEP2" localSheetId="58">#REF!</definedName>
    <definedName name="Furnace_EEP2" localSheetId="60">#REF!</definedName>
    <definedName name="Furnace_EEP2" localSheetId="61">#REF!</definedName>
    <definedName name="Furnace_EEP2" localSheetId="62">#REF!</definedName>
    <definedName name="Furnace_EEP2" localSheetId="63">#REF!</definedName>
    <definedName name="Furnace_EEP2" localSheetId="64">#REF!</definedName>
    <definedName name="Furnace_EEP2" localSheetId="65">#REF!</definedName>
    <definedName name="Furnace_EEP2" localSheetId="66">#REF!</definedName>
    <definedName name="Furnace_EEP2" localSheetId="72">#REF!</definedName>
    <definedName name="Furnace_EEP2" localSheetId="73">#REF!</definedName>
    <definedName name="Furnace_EEP2" localSheetId="70">#REF!</definedName>
    <definedName name="Furnace_EEP2" localSheetId="2">#REF!</definedName>
    <definedName name="Furnace_EEP2" localSheetId="68">#REF!</definedName>
    <definedName name="Furnace_EEP2">#REF!</definedName>
    <definedName name="gas_damage_escalation">'[29]GENERAL INPUTS'!$D$29</definedName>
    <definedName name="gas_environmental_damage">'[29]GENERAL INPUTS'!$B$29</definedName>
    <definedName name="Gas_Line_Loss">'[17]General Inputs'!$B$11</definedName>
    <definedName name="Gas_Measure_Types">[30]!Table1[#Headers]</definedName>
    <definedName name="General_Input_Data_Year">'[29]GENERAL INPUTS'!$B$40</definedName>
    <definedName name="GenEscRate">'[17]General Inputs'!#REF!</definedName>
    <definedName name="george" localSheetId="0">#REF!</definedName>
    <definedName name="george" localSheetId="2">#REF!</definedName>
    <definedName name="george" localSheetId="1">#REF!</definedName>
    <definedName name="GHEB1" localSheetId="13">'[9]5.3.6'!$C$19:$C$21</definedName>
    <definedName name="GHEB1" localSheetId="7">'[9]5.3.6'!$C$19:$C$21</definedName>
    <definedName name="GHEB1" localSheetId="23">'[9]5.3.6'!$C$19:$C$21</definedName>
    <definedName name="GHEB1" localSheetId="28">'[10]5.3.6'!$C$19:$C$21</definedName>
    <definedName name="GHEB1" localSheetId="33">'[10]5.3.6'!$C$19:$C$21</definedName>
    <definedName name="GHEB1" localSheetId="34">'[9]5.3.6'!$C$19:$C$21</definedName>
    <definedName name="GHEB1" localSheetId="35">'[9]5.3.6'!$C$19:$C$21</definedName>
    <definedName name="GHEB1" localSheetId="36">'[9]5.3.6'!$C$19:$C$21</definedName>
    <definedName name="GHEB1" localSheetId="37">'[9]5.3.6'!$C$19:$C$21</definedName>
    <definedName name="GHEB1" localSheetId="38">'[10]5.3.6'!$C$19:$C$21</definedName>
    <definedName name="GHEB1" localSheetId="39">'[10]5.3.6'!$C$19:$C$21</definedName>
    <definedName name="GHEB1" localSheetId="40">'[10]5.3.6'!$C$19:$C$21</definedName>
    <definedName name="GHEB1" localSheetId="41">'[10]5.3.6'!$C$19:$C$21</definedName>
    <definedName name="GHEB1" localSheetId="43">'[10]5.3.6'!$C$19:$C$21</definedName>
    <definedName name="GHEB1" localSheetId="44">'[10]5.3.6'!$C$19:$C$21</definedName>
    <definedName name="GHEB1" localSheetId="42">'[9]5.3.6'!$C$19:$C$21</definedName>
    <definedName name="GHEB1" localSheetId="49">'[10]5.3.6'!$C$19:$C$21</definedName>
    <definedName name="GHEB1" localSheetId="50">'[11]5.3.6'!$A$49:$A$51</definedName>
    <definedName name="GHEB1" localSheetId="51">'[10]5.3.6'!$C$19:$C$21</definedName>
    <definedName name="GHEB1" localSheetId="52">'[10]5.3.6'!$C$19:$C$21</definedName>
    <definedName name="GHEB1" localSheetId="45">'[10]5.3.6'!$C$19:$C$21</definedName>
    <definedName name="GHEB1" localSheetId="47">'[12]5.3.6'!$C$19:$C$21</definedName>
    <definedName name="GHEB1" localSheetId="53">'[10]5.3.6'!$C$19:$C$21</definedName>
    <definedName name="GHEB1" localSheetId="59">'[10]5.3.6'!$C$19:$C$21</definedName>
    <definedName name="GHEB1" localSheetId="54">'[13]5.3.6'!$A$47:$A$49</definedName>
    <definedName name="GHEB1" localSheetId="57">'[10]5.3.6'!$C$19:$C$21</definedName>
    <definedName name="GHEB1" localSheetId="58">'[11]5.3.6'!$A$49:$A$51</definedName>
    <definedName name="GHEB1" localSheetId="61">'[11]5.3.6'!$A$47:$A$49</definedName>
    <definedName name="GHEB1" localSheetId="63">'[10]5.3.6'!$C$19:$C$21</definedName>
    <definedName name="GHEB1" localSheetId="65">'[11]5.3.6'!$A$49:$A$51</definedName>
    <definedName name="GHEB1" localSheetId="66">'[10]5.3.6'!$C$19:$C$21</definedName>
    <definedName name="GHEB1" localSheetId="72">'[11]5.3.6'!$A$47:$A$49</definedName>
    <definedName name="GHEB1" localSheetId="73">'[11]5.3.6'!$A$47:$A$49</definedName>
    <definedName name="GHEB1" localSheetId="70">'[10]5.3.6'!$C$19:$C$21</definedName>
    <definedName name="GHEB1" localSheetId="68">'[11]5.3.6'!$A$47:$A$49</definedName>
    <definedName name="GHEB1">'[14]5.3.6'!$A$38:$A$40</definedName>
    <definedName name="GHEB2" localSheetId="13">'[9]5.3.6'!$K$19:$K$20</definedName>
    <definedName name="GHEB2" localSheetId="7">'[9]5.3.6'!$K$19:$K$20</definedName>
    <definedName name="GHEB2" localSheetId="23">'[9]5.3.6'!$K$19:$K$20</definedName>
    <definedName name="GHEB2" localSheetId="28">'[10]5.3.6'!$K$19:$K$20</definedName>
    <definedName name="GHEB2" localSheetId="33">'[10]5.3.6'!$K$19:$K$20</definedName>
    <definedName name="GHEB2" localSheetId="34">'[9]5.3.6'!$K$19:$K$20</definedName>
    <definedName name="GHEB2" localSheetId="35">'[9]5.3.6'!$K$19:$K$20</definedName>
    <definedName name="GHEB2" localSheetId="36">'[9]5.3.6'!$K$19:$K$20</definedName>
    <definedName name="GHEB2" localSheetId="37">'[9]5.3.6'!$K$19:$K$20</definedName>
    <definedName name="GHEB2" localSheetId="38">'[10]5.3.6'!$K$19:$K$20</definedName>
    <definedName name="GHEB2" localSheetId="39">'[10]5.3.6'!$K$19:$K$20</definedName>
    <definedName name="GHEB2" localSheetId="40">'[10]5.3.6'!$K$19:$K$20</definedName>
    <definedName name="GHEB2" localSheetId="41">'[10]5.3.6'!$K$19:$K$20</definedName>
    <definedName name="GHEB2" localSheetId="43">'[10]5.3.6'!$K$19:$K$20</definedName>
    <definedName name="GHEB2" localSheetId="44">'[10]5.3.6'!$K$19:$K$20</definedName>
    <definedName name="GHEB2" localSheetId="42">'[9]5.3.6'!$K$19:$K$20</definedName>
    <definedName name="GHEB2" localSheetId="49">'[10]5.3.6'!$K$19:$K$20</definedName>
    <definedName name="GHEB2" localSheetId="50">'[11]5.3.6'!$A$64:$A$65</definedName>
    <definedName name="GHEB2" localSheetId="51">'[10]5.3.6'!$K$19:$K$20</definedName>
    <definedName name="GHEB2" localSheetId="52">'[10]5.3.6'!$K$19:$K$20</definedName>
    <definedName name="GHEB2" localSheetId="45">'[10]5.3.6'!$K$19:$K$20</definedName>
    <definedName name="GHEB2" localSheetId="47">'[12]5.3.6'!$K$19:$K$20</definedName>
    <definedName name="GHEB2" localSheetId="53">'[10]5.3.6'!$K$19:$K$20</definedName>
    <definedName name="GHEB2" localSheetId="59">'[10]5.3.6'!$K$19:$K$20</definedName>
    <definedName name="GHEB2" localSheetId="54">'[13]5.3.6'!$A$62:$A$63</definedName>
    <definedName name="GHEB2" localSheetId="57">'[10]5.3.6'!$K$19:$K$20</definedName>
    <definedName name="GHEB2" localSheetId="58">'[11]5.3.6'!$A$64:$A$65</definedName>
    <definedName name="GHEB2" localSheetId="61">'[11]5.3.6'!$A$62:$A$63</definedName>
    <definedName name="GHEB2" localSheetId="63">'[10]5.3.6'!$K$19:$K$20</definedName>
    <definedName name="GHEB2" localSheetId="65">'[11]5.3.6'!$A$64:$A$65</definedName>
    <definedName name="GHEB2" localSheetId="66">'[10]5.3.6'!$K$19:$K$20</definedName>
    <definedName name="GHEB2" localSheetId="72">'[11]5.3.6'!$A$62:$A$63</definedName>
    <definedName name="GHEB2" localSheetId="73">'[11]5.3.6'!$A$62:$A$63</definedName>
    <definedName name="GHEB2" localSheetId="70">'[10]5.3.6'!$K$19:$K$20</definedName>
    <definedName name="GHEB2" localSheetId="68">'[11]5.3.6'!$A$62:$A$63</definedName>
    <definedName name="GHEB2">'[14]5.3.6'!$A$53:$A$54</definedName>
    <definedName name="GHEF1" localSheetId="13">'[9]5.3.7'!$A$29:$A$36</definedName>
    <definedName name="GHEF1" localSheetId="7">'[9]5.3.7'!$A$29:$A$36</definedName>
    <definedName name="GHEF1" localSheetId="23">'[9]5.3.7'!$A$29:$A$36</definedName>
    <definedName name="GHEF1" localSheetId="28">#REF!</definedName>
    <definedName name="GHEF1" localSheetId="33">#REF!</definedName>
    <definedName name="GHEF1" localSheetId="34">'[9]5.3.7'!$A$29:$A$36</definedName>
    <definedName name="GHEF1" localSheetId="35">'[9]5.3.7'!$A$29:$A$36</definedName>
    <definedName name="GHEF1" localSheetId="36">'[9]5.3.7'!$A$29:$A$36</definedName>
    <definedName name="GHEF1" localSheetId="37">'[9]5.3.7'!$A$29:$A$36</definedName>
    <definedName name="GHEF1" localSheetId="38">#REF!</definedName>
    <definedName name="GHEF1" localSheetId="40">#REF!</definedName>
    <definedName name="GHEF1" localSheetId="41">#REF!</definedName>
    <definedName name="GHEF1" localSheetId="43">#REF!</definedName>
    <definedName name="GHEF1" localSheetId="44">#REF!</definedName>
    <definedName name="GHEF1" localSheetId="42">'[9]5.3.7'!$A$29:$A$36</definedName>
    <definedName name="GHEF1" localSheetId="48">#REF!</definedName>
    <definedName name="GHEF1" localSheetId="49">#REF!</definedName>
    <definedName name="GHEF1" localSheetId="50">#REF!</definedName>
    <definedName name="GHEF1" localSheetId="51">#REF!</definedName>
    <definedName name="GHEF1" localSheetId="52">#REF!</definedName>
    <definedName name="GHEF1" localSheetId="45">#REF!</definedName>
    <definedName name="GHEF1" localSheetId="46">#REF!</definedName>
    <definedName name="GHEF1" localSheetId="47">'5.3.7'!$A$64:$A$71</definedName>
    <definedName name="GHEF1" localSheetId="53">#REF!</definedName>
    <definedName name="GHEF1" localSheetId="59">#REF!</definedName>
    <definedName name="GHEF1" localSheetId="54">#REF!</definedName>
    <definedName name="GHEF1" localSheetId="55">#REF!</definedName>
    <definedName name="GHEF1" localSheetId="56">#REF!</definedName>
    <definedName name="GHEF1" localSheetId="57">#REF!</definedName>
    <definedName name="GHEF1" localSheetId="58">#REF!</definedName>
    <definedName name="GHEF1" localSheetId="60">#REF!</definedName>
    <definedName name="GHEF1" localSheetId="61">#REF!</definedName>
    <definedName name="GHEF1" localSheetId="62">#REF!</definedName>
    <definedName name="GHEF1" localSheetId="63">#REF!</definedName>
    <definedName name="GHEF1" localSheetId="64">#REF!</definedName>
    <definedName name="GHEF1" localSheetId="65">#REF!</definedName>
    <definedName name="GHEF1" localSheetId="66">#REF!</definedName>
    <definedName name="GHEF1" localSheetId="72">#REF!</definedName>
    <definedName name="GHEF1" localSheetId="73">#REF!</definedName>
    <definedName name="GHEF1" localSheetId="70">#REF!</definedName>
    <definedName name="GHEF1" localSheetId="2">#REF!</definedName>
    <definedName name="GHEF1" localSheetId="68">#REF!</definedName>
    <definedName name="GHEF1">#REF!</definedName>
    <definedName name="GHEF2" localSheetId="13">'[9]5.3.7'!$I$19:$I$21</definedName>
    <definedName name="GHEF2" localSheetId="7">'[9]5.3.7'!$I$19:$I$21</definedName>
    <definedName name="GHEF2" localSheetId="23">'[9]5.3.7'!$I$19:$I$21</definedName>
    <definedName name="GHEF2" localSheetId="33">'[10]5.3.7'!$I$19:$I$21</definedName>
    <definedName name="GHEF2" localSheetId="34">'[9]5.3.7'!$I$19:$I$21</definedName>
    <definedName name="GHEF2" localSheetId="35">'[9]5.3.7'!$I$19:$I$21</definedName>
    <definedName name="GHEF2" localSheetId="36">'[9]5.3.7'!$I$19:$I$21</definedName>
    <definedName name="GHEF2" localSheetId="37">'[9]5.3.7'!$I$19:$I$21</definedName>
    <definedName name="GHEF2" localSheetId="40">'[10]5.3.7'!$I$19:$I$21</definedName>
    <definedName name="GHEF2" localSheetId="41">'[10]5.3.7'!$I$19:$I$21</definedName>
    <definedName name="GHEF2" localSheetId="42">'[9]5.3.7'!$I$19:$I$21</definedName>
    <definedName name="GHEF2" localSheetId="48">#REF!</definedName>
    <definedName name="GHEF2" localSheetId="49">'[10]5.3.7'!$I$19:$I$21</definedName>
    <definedName name="GHEF2" localSheetId="50">#REF!</definedName>
    <definedName name="GHEF2" localSheetId="51">'[10]5.3.7'!$I$19:$I$21</definedName>
    <definedName name="GHEF2" localSheetId="45">'[10]5.3.7'!$I$19:$I$21</definedName>
    <definedName name="GHEF2" localSheetId="46">#REF!</definedName>
    <definedName name="GHEF2" localSheetId="47">'5.3.7'!$A$52:$A$54</definedName>
    <definedName name="GHEF2" localSheetId="53">'[10]5.3.7'!$I$19:$I$21</definedName>
    <definedName name="GHEF2" localSheetId="54">#REF!</definedName>
    <definedName name="GHEF2" localSheetId="55">#REF!</definedName>
    <definedName name="GHEF2" localSheetId="56">#REF!</definedName>
    <definedName name="GHEF2" localSheetId="57">'[10]5.3.7'!$I$19:$I$21</definedName>
    <definedName name="GHEF2" localSheetId="58">#REF!</definedName>
    <definedName name="GHEF2" localSheetId="60">#REF!</definedName>
    <definedName name="GHEF2" localSheetId="61">#REF!</definedName>
    <definedName name="GHEF2" localSheetId="62">#REF!</definedName>
    <definedName name="GHEF2" localSheetId="63">'[10]5.3.7'!$I$19:$I$21</definedName>
    <definedName name="GHEF2" localSheetId="64">#REF!</definedName>
    <definedName name="GHEF2" localSheetId="65">#REF!</definedName>
    <definedName name="GHEF2" localSheetId="72">#REF!</definedName>
    <definedName name="GHEF2" localSheetId="73">#REF!</definedName>
    <definedName name="GHEF2" localSheetId="70">'[10]5.3.7'!$I$19:$I$21</definedName>
    <definedName name="GHEF2" localSheetId="2">#REF!</definedName>
    <definedName name="GHEF2" localSheetId="68">#REF!</definedName>
    <definedName name="GHEF2">'[10]5.3.7'!$I$19:$I$21</definedName>
    <definedName name="GREM1" localSheetId="23">'[5]4.4.8'!#REF!</definedName>
    <definedName name="GREM1" localSheetId="34">'[6]4.4.8'!#REF!</definedName>
    <definedName name="GREM1" localSheetId="35">'[6]4.4.8'!#REF!</definedName>
    <definedName name="GREM1" localSheetId="36">'[5]4.4.8'!#REF!</definedName>
    <definedName name="GREM1" localSheetId="37">'[5]4.4.8'!#REF!</definedName>
    <definedName name="GREM1" localSheetId="42">'[6]4.4.8'!#REF!</definedName>
    <definedName name="GREM1" localSheetId="2">'[7]4.4.8'!#REF!</definedName>
    <definedName name="GREM1">'[5]4.4.8'!#REF!</definedName>
    <definedName name="GREM2" localSheetId="23">'[5]4.4.8'!#REF!</definedName>
    <definedName name="GREM2" localSheetId="34">'[6]4.4.8'!#REF!</definedName>
    <definedName name="GREM2" localSheetId="35">'[6]4.4.8'!#REF!</definedName>
    <definedName name="GREM2" localSheetId="36">'[5]4.4.8'!#REF!</definedName>
    <definedName name="GREM2" localSheetId="37">'[5]4.4.8'!#REF!</definedName>
    <definedName name="GREM2" localSheetId="42">'[6]4.4.8'!#REF!</definedName>
    <definedName name="GREM2" localSheetId="2">'[7]4.4.8'!#REF!</definedName>
    <definedName name="GREM2">'[5]4.4.8'!#REF!</definedName>
    <definedName name="GSysLoss">'[41]General Inputs'!$E$25</definedName>
    <definedName name="Guidelines" localSheetId="2">#REF!</definedName>
    <definedName name="Guidelines" localSheetId="1">#REF!</definedName>
    <definedName name="GWHr1" localSheetId="13">'[9]5.4.2'!$I$14:$I$15</definedName>
    <definedName name="GWHr1" localSheetId="7">'[9]5.4.2'!$I$14:$I$15</definedName>
    <definedName name="GWHr1" localSheetId="23">'[9]5.4.2'!$I$14:$I$15</definedName>
    <definedName name="GWHr1" localSheetId="33">'[10]5.4.2'!$I$21:$I$22</definedName>
    <definedName name="GWHr1" localSheetId="34">'[9]5.4.2'!$I$14:$I$15</definedName>
    <definedName name="GWHr1" localSheetId="35">'[9]5.4.2'!$I$14:$I$15</definedName>
    <definedName name="GWHr1" localSheetId="36">'[9]5.4.2'!$I$14:$I$15</definedName>
    <definedName name="GWHr1" localSheetId="37">'[9]5.4.2'!$I$14:$I$15</definedName>
    <definedName name="GWHr1" localSheetId="40">'[10]5.4.2'!$I$21:$I$22</definedName>
    <definedName name="GWHr1" localSheetId="41">'[10]5.4.2'!$I$21:$I$22</definedName>
    <definedName name="GWHr1" localSheetId="42">'[9]5.4.2'!$I$14:$I$15</definedName>
    <definedName name="GWHr1" localSheetId="48">'[14]5.4.2'!$I$30:$I$31</definedName>
    <definedName name="GWHr1" localSheetId="49">'[10]5.4.2'!$I$21:$I$22</definedName>
    <definedName name="GWHr1" localSheetId="50">'[11]5.4.2'!$I$40:$I$42</definedName>
    <definedName name="GWHr1" localSheetId="51">'[10]5.4.2'!$I$21:$I$22</definedName>
    <definedName name="GWHr1" localSheetId="45">'[10]5.4.2'!$I$21:$I$22</definedName>
    <definedName name="GWHr1" localSheetId="46">'[14]5.4.2'!$I$30:$I$31</definedName>
    <definedName name="GWHr1" localSheetId="47">'[12]5.4.2'!$I$21:$I$22</definedName>
    <definedName name="GWHr1" localSheetId="53">'[10]5.4.2'!$I$21:$I$22</definedName>
    <definedName name="GWHr1" localSheetId="54">'5.4.2'!$I$21:$I$23</definedName>
    <definedName name="GWHr1" localSheetId="55">'[14]5.4.2'!$I$30:$I$31</definedName>
    <definedName name="GWHr1" localSheetId="56">'[14]5.4.2'!$I$30:$I$31</definedName>
    <definedName name="GWHr1" localSheetId="57">'[10]5.4.2'!$I$21:$I$22</definedName>
    <definedName name="GWHr1" localSheetId="58">'[11]5.4.2'!$I$40:$I$42</definedName>
    <definedName name="GWHr1" localSheetId="60">'[14]5.4.2'!$I$30:$I$31</definedName>
    <definedName name="GWHr1" localSheetId="61">'[11]5.4.2'!$I$39:$I$41</definedName>
    <definedName name="GWHr1" localSheetId="62">'[14]5.4.2'!$I$30:$I$31</definedName>
    <definedName name="GWHr1" localSheetId="63">'[10]5.4.2'!$I$21:$I$22</definedName>
    <definedName name="GWHr1" localSheetId="64">'[14]5.4.2'!$I$30:$I$31</definedName>
    <definedName name="GWHr1" localSheetId="65">'[11]5.4.2'!$I$40:$I$42</definedName>
    <definedName name="GWHr1" localSheetId="72">'[11]5.4.2'!$I$39:$I$41</definedName>
    <definedName name="GWHr1" localSheetId="73">'[11]5.4.2'!$I$39:$I$41</definedName>
    <definedName name="GWHr1" localSheetId="70">'[10]5.4.2'!$I$21:$I$22</definedName>
    <definedName name="GWHr1" localSheetId="2">#REF!</definedName>
    <definedName name="GWHr1" localSheetId="68">'[11]5.4.2'!$I$39:$I$41</definedName>
    <definedName name="GWHr1">'[10]5.4.2'!$I$21:$I$22</definedName>
    <definedName name="GWHr100">'[14]5.4.2'!$I$30:$I$31</definedName>
    <definedName name="GWHr2" localSheetId="13">'[9]5.4.2'!$B$23:$B$25</definedName>
    <definedName name="GWHr2" localSheetId="7">'[9]5.4.2'!$B$23:$B$25</definedName>
    <definedName name="GWHr2" localSheetId="23">'[9]5.4.2'!$B$23:$B$25</definedName>
    <definedName name="GWHr2" localSheetId="33">'[10]5.4.2'!$B$30:$B$32</definedName>
    <definedName name="GWHr2" localSheetId="34">'[9]5.4.2'!$B$23:$B$25</definedName>
    <definedName name="GWHr2" localSheetId="35">'[9]5.4.2'!$B$23:$B$25</definedName>
    <definedName name="GWHr2" localSheetId="36">'[9]5.4.2'!$B$23:$B$25</definedName>
    <definedName name="GWHr2" localSheetId="37">'[9]5.4.2'!$B$23:$B$25</definedName>
    <definedName name="GWHr2" localSheetId="40">'[10]5.4.2'!$B$30:$B$32</definedName>
    <definedName name="GWHr2" localSheetId="41">'[10]5.4.2'!$B$30:$B$32</definedName>
    <definedName name="GWHr2" localSheetId="42">'[9]5.4.2'!$B$23:$B$25</definedName>
    <definedName name="GWHr2" localSheetId="48">'[14]5.4.2'!$B$39:$B$41</definedName>
    <definedName name="GWHr2" localSheetId="49">'[10]5.4.2'!$B$30:$B$32</definedName>
    <definedName name="GWHr2" localSheetId="50">'[11]5.4.2'!$B$74:$B$77</definedName>
    <definedName name="GWHr2" localSheetId="51">'[10]5.4.2'!$B$30:$B$32</definedName>
    <definedName name="GWHr2" localSheetId="45">'[10]5.4.2'!$B$30:$B$32</definedName>
    <definedName name="GWHr2" localSheetId="46">'[14]5.4.2'!$B$39:$B$41</definedName>
    <definedName name="GWHr2" localSheetId="47">'[12]5.4.2'!$B$30:$B$32</definedName>
    <definedName name="GWHr2" localSheetId="53">'[10]5.4.2'!$B$30:$B$32</definedName>
    <definedName name="GWHr2" localSheetId="54">'5.4.2'!$B$55:$B$57</definedName>
    <definedName name="GWHr2" localSheetId="55">'[14]5.4.2'!$B$39:$B$41</definedName>
    <definedName name="GWHr2" localSheetId="56">'[14]5.4.2'!$B$39:$B$41</definedName>
    <definedName name="GWHr2" localSheetId="57">'[10]5.4.2'!$B$30:$B$32</definedName>
    <definedName name="GWHr2" localSheetId="58">'[11]5.4.2'!$B$74:$B$77</definedName>
    <definedName name="GWHr2" localSheetId="60">'[14]5.4.2'!$B$39:$B$41</definedName>
    <definedName name="GWHr2" localSheetId="61">'[11]5.4.2'!$B$73:$B$76</definedName>
    <definedName name="GWHr2" localSheetId="62">'[14]5.4.2'!$B$39:$B$41</definedName>
    <definedName name="GWHr2" localSheetId="63">'[10]5.4.2'!$B$30:$B$32</definedName>
    <definedName name="GWHr2" localSheetId="64">'[14]5.4.2'!$B$39:$B$41</definedName>
    <definedName name="GWHr2" localSheetId="65">'[11]5.4.2'!$B$74:$B$77</definedName>
    <definedName name="GWHr2" localSheetId="72">'[11]5.4.2'!$B$73:$B$76</definedName>
    <definedName name="GWHr2" localSheetId="73">'[11]5.4.2'!$B$73:$B$76</definedName>
    <definedName name="GWHr2" localSheetId="70">'[10]5.4.2'!$B$30:$B$32</definedName>
    <definedName name="GWHr2" localSheetId="2">#REF!</definedName>
    <definedName name="GWHr2" localSheetId="68">'[11]5.4.2'!$B$73:$B$76</definedName>
    <definedName name="GWHr2">'[10]5.4.2'!$B$30:$B$32</definedName>
    <definedName name="hammad">'[14]5.4.2'!$B$39:$B$41</definedName>
    <definedName name="harry" localSheetId="0">#REF!</definedName>
    <definedName name="harry" localSheetId="2">#REF!</definedName>
    <definedName name="harry" localSheetId="1">#REF!</definedName>
    <definedName name="hc">#REF!</definedName>
    <definedName name="HDD_Unconditioned">[16]RES!$D$6</definedName>
    <definedName name="Heat_Type">'[43]ELEC &amp; Gas Savings'!$A$4:$A$5</definedName>
    <definedName name="Heating_Degree_Days">[16]RES!$D$5</definedName>
    <definedName name="Heating_Efficiency">[16]RES!$D$7</definedName>
    <definedName name="HEBEF1" localSheetId="13">'[38]5.3.7'!$J$7:$J$9</definedName>
    <definedName name="HEBEF1" localSheetId="7">'[38]5.3.7'!$J$7:$J$9</definedName>
    <definedName name="HEBEF1" localSheetId="23">'[38]5.3.7'!$J$7:$J$9</definedName>
    <definedName name="HEBEF1" localSheetId="28">'[39]5.3.9'!$J$7:$J$9</definedName>
    <definedName name="HEBEF1" localSheetId="34">'[38]5.3.7'!$J$7:$J$9</definedName>
    <definedName name="HEBEF1" localSheetId="35">'[38]5.3.7'!$J$7:$J$9</definedName>
    <definedName name="HEBEF1" localSheetId="36">'[38]5.3.7'!$J$7:$J$9</definedName>
    <definedName name="HEBEF1" localSheetId="37">'[38]5.3.7'!$J$7:$J$9</definedName>
    <definedName name="HEBEF1" localSheetId="38">'[39]5.3.9'!$J$7:$J$9</definedName>
    <definedName name="HEBEF1" localSheetId="39">'[39]5.3.9'!$J$7:$J$9</definedName>
    <definedName name="HEBEF1" localSheetId="40">'[25]5.3.9'!$J$7:$J$9</definedName>
    <definedName name="HEBEF1" localSheetId="41">'[25]5.3.9'!$J$7:$J$9</definedName>
    <definedName name="HEBEF1" localSheetId="43">'[39]5.3.9'!$J$7:$J$9</definedName>
    <definedName name="HEBEF1" localSheetId="44">'[39]5.3.9'!$J$7:$J$9</definedName>
    <definedName name="HEBEF1" localSheetId="42">'[38]5.3.7'!$J$7:$J$9</definedName>
    <definedName name="HEBEF1" localSheetId="49">'[26]5.3.9'!$J$7:$J$9</definedName>
    <definedName name="HEBEF1" localSheetId="50">'[39]5.3.9'!$J$7:$J$9</definedName>
    <definedName name="HEBEF1" localSheetId="51">'[27]5.3.9'!$J$7:$J$9</definedName>
    <definedName name="HEBEF1" localSheetId="52">'[25]5.3.9'!$J$7:$J$9</definedName>
    <definedName name="HEBEF1" localSheetId="59">'[25]5.3.9'!$J$7:$J$9</definedName>
    <definedName name="HEBEF1" localSheetId="54">'[39]5.3.9'!$J$7:$J$9</definedName>
    <definedName name="HEBEF1" localSheetId="58">'[39]5.3.9'!$J$7:$J$9</definedName>
    <definedName name="HEBEF1" localSheetId="61">'[39]5.3.9'!$J$7:$J$9</definedName>
    <definedName name="HEBEF1" localSheetId="63">'[26]5.3.9'!$J$7:$J$9</definedName>
    <definedName name="HEBEF1" localSheetId="65">'[39]5.3.9'!$J$7:$J$9</definedName>
    <definedName name="HEBEF1" localSheetId="66">'[25]5.3.9'!$J$7:$J$9</definedName>
    <definedName name="HEBEF1" localSheetId="71">'[39]5.3.9'!$J$7:$J$9</definedName>
    <definedName name="HEBEF1" localSheetId="72">'[39]5.3.9'!$J$7:$J$9</definedName>
    <definedName name="HEBEF1" localSheetId="73">'[39]5.3.9'!$J$7:$J$9</definedName>
    <definedName name="HEBEF1" localSheetId="67">'[39]5.3.9'!$J$7:$J$9</definedName>
    <definedName name="HEBEF1" localSheetId="68">'[39]5.3.9'!$J$7:$J$9</definedName>
    <definedName name="HEBEF1">'[28]5.3.9'!$J$7:$J$9</definedName>
    <definedName name="HEBr1" localSheetId="13">'[18]4.4.10'!$H$20:$H$21</definedName>
    <definedName name="HEBr1" localSheetId="7">'[18]4.4.10'!$H$20:$H$21</definedName>
    <definedName name="HEBr1" localSheetId="23">'[18]4.4.10'!$H$20:$H$21</definedName>
    <definedName name="HEBr1" localSheetId="28">'4.4.10'!$C$44:$C$45</definedName>
    <definedName name="HEBr1" localSheetId="34">'[18]4.4.10'!$H$20:$H$21</definedName>
    <definedName name="HEBr1" localSheetId="35">'[18]4.4.10'!$H$20:$H$21</definedName>
    <definedName name="HEBr1" localSheetId="36">'[18]4.4.10'!$H$20:$H$21</definedName>
    <definedName name="HEBr1" localSheetId="37">'[18]4.4.10'!$H$20:$H$21</definedName>
    <definedName name="HEBr1" localSheetId="38">'4.4.10'!$C$44:$C$45</definedName>
    <definedName name="HEBr1" localSheetId="39">'[23]4.4.10'!$C$48:$C$49</definedName>
    <definedName name="HEBr1" localSheetId="40">'[20]4.4.10'!$C$40:$C$41</definedName>
    <definedName name="HEBr1" localSheetId="41">'[20]4.4.10'!$C$40:$C$41</definedName>
    <definedName name="HEBr1" localSheetId="43">'4.4.10'!$C$44:$C$45</definedName>
    <definedName name="HEBr1" localSheetId="44">'4.4.10'!$C$44:$C$45</definedName>
    <definedName name="HEBr1" localSheetId="42">'[18]4.4.10'!$H$20:$H$21</definedName>
    <definedName name="HEBr1" localSheetId="49">'[20]4.4.10'!$C$40:$C$41</definedName>
    <definedName name="HEBr1" localSheetId="50">'[20]4.4.10'!$C$40:$C$41</definedName>
    <definedName name="HEBr1" localSheetId="51">'[20]4.4.10'!$C$40:$C$41</definedName>
    <definedName name="HEBr1" localSheetId="52">'[20]4.4.10'!$C$40:$C$41</definedName>
    <definedName name="HEBr1" localSheetId="59">'[20]4.4.10'!$C$40:$C$41</definedName>
    <definedName name="HEBr1" localSheetId="54">'[20]4.4.10'!$C$40:$C$41</definedName>
    <definedName name="HEBr1" localSheetId="58">'[20]4.4.10'!$C$40:$C$41</definedName>
    <definedName name="HEBr1" localSheetId="61">[44]Boilers!$H$17:$H$18</definedName>
    <definedName name="HEBr1" localSheetId="63">'[20]4.4.10'!$C$40:$C$41</definedName>
    <definedName name="HEBr1" localSheetId="65">'[20]4.4.10'!$C$40:$C$41</definedName>
    <definedName name="HEBr1" localSheetId="66">'[20]4.4.10'!$C$40:$C$41</definedName>
    <definedName name="HEBr1" localSheetId="71">[45]Boilers!$H$17:$H$18</definedName>
    <definedName name="HEBr1" localSheetId="72">[44]Boilers!$H$17:$H$18</definedName>
    <definedName name="HEBr1" localSheetId="73">[44]Boilers!$H$17:$H$18</definedName>
    <definedName name="HEBr1" localSheetId="67">[46]Boilers!$H$17:$H$18</definedName>
    <definedName name="HEBr1" localSheetId="68">[44]Boilers!$H$17:$H$18</definedName>
    <definedName name="HEBr1">'[19]4.4.10'!$C$40:$C$41</definedName>
    <definedName name="HEBr2" localSheetId="13">'[18]4.4.10'!#REF!</definedName>
    <definedName name="HEBr2" localSheetId="7">'[18]4.4.10'!#REF!</definedName>
    <definedName name="HEBr2" localSheetId="23">'[18]4.4.10'!#REF!</definedName>
    <definedName name="HEBr2" localSheetId="34">'[18]4.4.10'!#REF!</definedName>
    <definedName name="HEBr2" localSheetId="35">'[18]4.4.10'!#REF!</definedName>
    <definedName name="HEBr2" localSheetId="36">'[18]4.4.10'!#REF!</definedName>
    <definedName name="HEBr2" localSheetId="37">'[18]4.4.10'!#REF!</definedName>
    <definedName name="HEBr2" localSheetId="40">'[18]4.4.10'!#REF!</definedName>
    <definedName name="HEBr2" localSheetId="41">'[18]4.4.10'!#REF!</definedName>
    <definedName name="HEBr2" localSheetId="42">'[18]4.4.10'!#REF!</definedName>
    <definedName name="HEBr2" localSheetId="61">[44]Boilers!#REF!</definedName>
    <definedName name="HEBr2" localSheetId="72">[44]Boilers!#REF!</definedName>
    <definedName name="HEBr2" localSheetId="73">[44]Boilers!#REF!</definedName>
    <definedName name="HEBr2" localSheetId="67">[46]Boilers!#REF!</definedName>
    <definedName name="HEBr2" localSheetId="2">[47]Boilers!#REF!</definedName>
    <definedName name="HEBr2" localSheetId="68">[44]Boilers!#REF!</definedName>
    <definedName name="HEBr2">[45]Boilers!#REF!</definedName>
    <definedName name="HEBr3" localSheetId="13">'[18]4.4.10'!$N$32:$N$36</definedName>
    <definedName name="HEBr3" localSheetId="7">'[18]4.4.10'!$N$32:$N$36</definedName>
    <definedName name="HEBr3" localSheetId="23">'[18]4.4.10'!$N$32:$N$36</definedName>
    <definedName name="HEBr3" localSheetId="28">'4.4.10'!$D$49:$D$54</definedName>
    <definedName name="HEBr3" localSheetId="34">'[18]4.4.10'!$N$32:$N$36</definedName>
    <definedName name="HEBr3" localSheetId="35">'[18]4.4.10'!$N$32:$N$36</definedName>
    <definedName name="HEBr3" localSheetId="36">'[18]4.4.10'!$N$32:$N$36</definedName>
    <definedName name="HEBr3" localSheetId="37">'[18]4.4.10'!$N$32:$N$36</definedName>
    <definedName name="HEBr3" localSheetId="38">'4.4.10'!$D$49:$D$54</definedName>
    <definedName name="HEBr3" localSheetId="39">'[23]4.4.10'!$D$53:$D$58</definedName>
    <definedName name="HEBr3" localSheetId="40">'[20]4.4.10'!$D$45:$D$49</definedName>
    <definedName name="HEBr3" localSheetId="41">'[20]4.4.10'!$D$45:$D$49</definedName>
    <definedName name="HEBr3" localSheetId="43">'4.4.10'!$D$49:$D$54</definedName>
    <definedName name="HEBr3" localSheetId="44">'4.4.10'!$D$49:$D$54</definedName>
    <definedName name="HEBr3" localSheetId="42">'[18]4.4.10'!$N$32:$N$36</definedName>
    <definedName name="HEBr3" localSheetId="49">'[20]4.4.10'!$D$45:$D$49</definedName>
    <definedName name="HEBr3" localSheetId="50">'[20]4.4.10'!$D$45:$D$49</definedName>
    <definedName name="HEBr3" localSheetId="51">'[20]4.4.10'!$D$45:$D$49</definedName>
    <definedName name="HEBr3" localSheetId="52">'[20]4.4.10'!$D$45:$D$49</definedName>
    <definedName name="HEBr3" localSheetId="59">'[20]4.4.10'!$D$45:$D$49</definedName>
    <definedName name="HEBr3" localSheetId="54">'[20]4.4.10'!$D$45:$D$49</definedName>
    <definedName name="HEBr3" localSheetId="58">'[20]4.4.10'!$D$45:$D$49</definedName>
    <definedName name="HEBr3" localSheetId="61">[44]Boilers!$N$29:$N$33</definedName>
    <definedName name="HEBr3" localSheetId="63">'[20]4.4.10'!$D$45:$D$49</definedName>
    <definedName name="HEBr3" localSheetId="65">'[20]4.4.10'!$D$45:$D$49</definedName>
    <definedName name="HEBr3" localSheetId="66">'[20]4.4.10'!$D$45:$D$49</definedName>
    <definedName name="HEBr3" localSheetId="71">[45]Boilers!$N$29:$N$33</definedName>
    <definedName name="HEBr3" localSheetId="72">[44]Boilers!$N$29:$N$33</definedName>
    <definedName name="HEBr3" localSheetId="73">[44]Boilers!$N$29:$N$33</definedName>
    <definedName name="HEBr3" localSheetId="67">[46]Boilers!$N$29:$N$33</definedName>
    <definedName name="HEBr3" localSheetId="68">[44]Boilers!$N$29:$N$33</definedName>
    <definedName name="HEBr3">'[19]4.4.10'!$D$45:$D$49</definedName>
    <definedName name="HEBr4" localSheetId="28">'4.4.10'!$B$74:$B$90</definedName>
    <definedName name="HEBr4" localSheetId="38">'4.4.10'!$B$74:$B$90</definedName>
    <definedName name="HEBr4" localSheetId="43">'4.4.10'!$B$74:$B$90</definedName>
    <definedName name="HEBr4" localSheetId="44">'4.4.10'!$B$74:$B$90</definedName>
    <definedName name="HEBr4" localSheetId="61">[44]Boilers!$B$29:$B$45</definedName>
    <definedName name="HEBr4" localSheetId="71">[45]Boilers!$B$29:$B$45</definedName>
    <definedName name="HEBr4" localSheetId="72">[44]Boilers!$B$29:$B$45</definedName>
    <definedName name="HEBr4" localSheetId="73">[44]Boilers!$B$29:$B$45</definedName>
    <definedName name="HEBr4" localSheetId="67">[46]Boilers!$B$29:$B$45</definedName>
    <definedName name="HEBr4" localSheetId="68">[44]Boilers!$B$29:$B$45</definedName>
    <definedName name="HEBr4">[47]Boilers!$B$29:$B$45</definedName>
    <definedName name="HEBr5" localSheetId="13">'[18]4.4.10'!$J$31:$J$40</definedName>
    <definedName name="HEBr5" localSheetId="7">'[18]4.4.10'!$J$31:$J$40</definedName>
    <definedName name="HEBr5" localSheetId="23">'[18]4.4.10'!$J$31:$J$40</definedName>
    <definedName name="HEBr5" localSheetId="28">'4.4.10'!$A$57:$A$66</definedName>
    <definedName name="HEBr5" localSheetId="34">'[18]4.4.10'!$J$31:$J$40</definedName>
    <definedName name="HEBr5" localSheetId="35">'[18]4.4.10'!$J$31:$J$40</definedName>
    <definedName name="HEBr5" localSheetId="36">'[18]4.4.10'!$J$31:$J$40</definedName>
    <definedName name="HEBr5" localSheetId="37">'[18]4.4.10'!$J$31:$J$40</definedName>
    <definedName name="HEBr5" localSheetId="38">'4.4.10'!$A$57:$A$66</definedName>
    <definedName name="HEBr5" localSheetId="39">'[23]4.4.10'!$A$61:$A$70</definedName>
    <definedName name="HEBr5" localSheetId="40">'[20]4.4.10'!$A$53:$A$62</definedName>
    <definedName name="HEBr5" localSheetId="41">'[20]4.4.10'!$A$53:$A$62</definedName>
    <definedName name="HEBr5" localSheetId="43">'4.4.10'!$A$57:$A$66</definedName>
    <definedName name="HEBr5" localSheetId="44">'4.4.10'!$A$57:$A$66</definedName>
    <definedName name="HEBr5" localSheetId="42">'[18]4.4.10'!$J$31:$J$40</definedName>
    <definedName name="HEBr5" localSheetId="49">'[20]4.4.10'!$A$53:$A$62</definedName>
    <definedName name="HEBr5" localSheetId="50">'[20]4.4.10'!$A$53:$A$62</definedName>
    <definedName name="HEBr5" localSheetId="51">'[20]4.4.10'!$A$53:$A$62</definedName>
    <definedName name="HEBr5" localSheetId="52">'[20]4.4.10'!$A$53:$A$62</definedName>
    <definedName name="HEBr5" localSheetId="59">'[20]4.4.10'!$A$53:$A$62</definedName>
    <definedName name="HEBr5" localSheetId="54">'[20]4.4.10'!$A$53:$A$62</definedName>
    <definedName name="HEBr5" localSheetId="58">'[20]4.4.10'!$A$53:$A$62</definedName>
    <definedName name="HEBr5" localSheetId="61">[44]Boilers!$J$28:$J$37</definedName>
    <definedName name="HEBr5" localSheetId="63">'[20]4.4.10'!$A$53:$A$62</definedName>
    <definedName name="HEBr5" localSheetId="65">'[20]4.4.10'!$A$53:$A$62</definedName>
    <definedName name="HEBr5" localSheetId="66">'[20]4.4.10'!$A$53:$A$62</definedName>
    <definedName name="HEBr5" localSheetId="71">[45]Boilers!$J$28:$J$37</definedName>
    <definedName name="HEBr5" localSheetId="72">[44]Boilers!$J$28:$J$37</definedName>
    <definedName name="HEBr5" localSheetId="73">[44]Boilers!$J$28:$J$37</definedName>
    <definedName name="HEBr5" localSheetId="67">[46]Boilers!$J$28:$J$37</definedName>
    <definedName name="HEBr5" localSheetId="68">[44]Boilers!$J$28:$J$37</definedName>
    <definedName name="HEBr5">'[19]4.4.10'!$A$53:$A$62</definedName>
    <definedName name="HEFr1" localSheetId="13">'[18]4.4.11'!$J$29:$J$30</definedName>
    <definedName name="HEFr1" localSheetId="7">'[18]4.4.11'!$J$29:$J$30</definedName>
    <definedName name="HEFr1" localSheetId="23">'[18]4.4.11'!$J$29:$J$30</definedName>
    <definedName name="HEFr1" localSheetId="28">'[22]4.4.11'!$B$120:$B$121</definedName>
    <definedName name="HEFr1" localSheetId="34">'[18]4.4.11'!$J$29:$J$30</definedName>
    <definedName name="HEFr1" localSheetId="35">'[18]4.4.11'!$J$29:$J$30</definedName>
    <definedName name="HEFr1" localSheetId="36">'[18]4.4.11'!$J$29:$J$30</definedName>
    <definedName name="HEFr1" localSheetId="37">'[18]4.4.11'!$J$29:$J$30</definedName>
    <definedName name="HEFr1" localSheetId="38">'[22]4.4.11'!$B$120:$B$121</definedName>
    <definedName name="HEFr1" localSheetId="39">'[23]4.4.11'!$B$120:$B$121</definedName>
    <definedName name="HEFr1" localSheetId="40">'[20]4.4.11'!$B$96:$B$97</definedName>
    <definedName name="HEFr1" localSheetId="41">'[20]4.4.11'!$B$96:$B$97</definedName>
    <definedName name="HEFr1" localSheetId="43">'[22]4.4.11'!$B$120:$B$121</definedName>
    <definedName name="HEFr1" localSheetId="44">'[22]4.4.11'!$B$120:$B$121</definedName>
    <definedName name="HEFr1" localSheetId="42">'[18]4.4.11'!$J$29:$J$30</definedName>
    <definedName name="HEFr1" localSheetId="49">'[20]4.4.11'!$B$96:$B$97</definedName>
    <definedName name="HEFr1" localSheetId="50">'[20]4.4.11'!$B$96:$B$97</definedName>
    <definedName name="HEFr1" localSheetId="51">'[20]4.4.11'!$B$96:$B$97</definedName>
    <definedName name="HEFr1" localSheetId="52">'[20]4.4.11'!$B$96:$B$97</definedName>
    <definedName name="HEFr1" localSheetId="59">'[20]4.4.11'!$B$96:$B$97</definedName>
    <definedName name="HEFr1" localSheetId="54">'[20]4.4.11'!$B$96:$B$97</definedName>
    <definedName name="HEFr1" localSheetId="58">'[20]4.4.11'!$B$96:$B$97</definedName>
    <definedName name="HEFr1" localSheetId="61">'[20]4.4.11'!$B$96:$B$97</definedName>
    <definedName name="HEFr1" localSheetId="63">'[20]4.4.11'!$B$96:$B$97</definedName>
    <definedName name="HEFr1" localSheetId="65">'[20]4.4.11'!$B$96:$B$97</definedName>
    <definedName name="HEFr1" localSheetId="66">'[20]4.4.11'!$B$96:$B$97</definedName>
    <definedName name="HEFr1" localSheetId="71">'[20]4.4.11'!$B$96:$B$97</definedName>
    <definedName name="HEFr1" localSheetId="72">'[20]4.4.11'!$B$96:$B$97</definedName>
    <definedName name="HEFr1" localSheetId="73">'[20]4.4.11'!$B$96:$B$97</definedName>
    <definedName name="HEFr1" localSheetId="67">'[20]4.4.11'!$B$96:$B$97</definedName>
    <definedName name="HEFr1" localSheetId="68">'[20]4.4.11'!$B$96:$B$97</definedName>
    <definedName name="HEFr1">'[19]4.4.11'!$B$96:$B$97</definedName>
    <definedName name="HEFr2" localSheetId="13">'[18]4.4.11'!$B$29:$B$31</definedName>
    <definedName name="HEFr2" localSheetId="7">'[18]4.4.11'!$B$29:$B$31</definedName>
    <definedName name="HEFr2" localSheetId="23">'[18]4.4.11'!$B$29:$B$31</definedName>
    <definedName name="HEFr2" localSheetId="28">'[22]4.4.11'!$B$80:$B$82</definedName>
    <definedName name="HEFr2" localSheetId="34">'[18]4.4.11'!$B$29:$B$31</definedName>
    <definedName name="HEFr2" localSheetId="35">'[18]4.4.11'!$B$29:$B$31</definedName>
    <definedName name="HEFr2" localSheetId="36">'[18]4.4.11'!$B$29:$B$31</definedName>
    <definedName name="HEFr2" localSheetId="37">'[18]4.4.11'!$B$29:$B$31</definedName>
    <definedName name="HEFr2" localSheetId="38">'[22]4.4.11'!$B$80:$B$82</definedName>
    <definedName name="HEFr2" localSheetId="39">'[23]4.4.11'!$B$80:$B$82</definedName>
    <definedName name="HEFr2" localSheetId="40">'[20]4.4.11'!$B$56:$B$58</definedName>
    <definedName name="HEFr2" localSheetId="41">'[20]4.4.11'!$B$56:$B$58</definedName>
    <definedName name="HEFr2" localSheetId="43">'[22]4.4.11'!$B$80:$B$82</definedName>
    <definedName name="HEFr2" localSheetId="44">'[22]4.4.11'!$B$80:$B$82</definedName>
    <definedName name="HEFr2" localSheetId="42">'[18]4.4.11'!$B$29:$B$31</definedName>
    <definedName name="HEFr2" localSheetId="49">'[20]4.4.11'!$B$56:$B$58</definedName>
    <definedName name="HEFr2" localSheetId="50">'[20]4.4.11'!$B$56:$B$58</definedName>
    <definedName name="HEFr2" localSheetId="51">'[20]4.4.11'!$B$56:$B$58</definedName>
    <definedName name="HEFr2" localSheetId="52">'[20]4.4.11'!$B$56:$B$58</definedName>
    <definedName name="HEFr2" localSheetId="59">'[20]4.4.11'!$B$56:$B$58</definedName>
    <definedName name="HEFr2" localSheetId="54">'[20]4.4.11'!$B$56:$B$58</definedName>
    <definedName name="HEFr2" localSheetId="58">'[20]4.4.11'!$B$56:$B$58</definedName>
    <definedName name="HEFr2" localSheetId="61">'[20]4.4.11'!$B$56:$B$58</definedName>
    <definedName name="HEFr2" localSheetId="63">'[20]4.4.11'!$B$56:$B$58</definedName>
    <definedName name="HEFr2" localSheetId="65">'[20]4.4.11'!$B$56:$B$58</definedName>
    <definedName name="HEFr2" localSheetId="66">'[20]4.4.11'!$B$56:$B$58</definedName>
    <definedName name="HEFr2" localSheetId="71">'[20]4.4.11'!$B$56:$B$58</definedName>
    <definedName name="HEFr2" localSheetId="72">'[20]4.4.11'!$B$56:$B$58</definedName>
    <definedName name="HEFr2" localSheetId="73">'[20]4.4.11'!$B$56:$B$58</definedName>
    <definedName name="HEFr2" localSheetId="67">'[20]4.4.11'!$B$56:$B$58</definedName>
    <definedName name="HEFr2" localSheetId="68">'[20]4.4.11'!$B$56:$B$58</definedName>
    <definedName name="HEFr2">'[19]4.4.11'!$B$56:$B$58</definedName>
    <definedName name="HEFr3">'4.4.11'!$B$71:$B$75</definedName>
    <definedName name="HEFr4">'4.4.11'!$A$91:$A$107</definedName>
    <definedName name="HEPRSV1" localSheetId="13">'[18]4.2.11'!$K$13:$K$15</definedName>
    <definedName name="HEPRSV1" localSheetId="7">'[18]4.2.11'!$K$13:$K$15</definedName>
    <definedName name="HEPRSV1" localSheetId="23">'[18]4.2.11'!$K$13:$K$15</definedName>
    <definedName name="HEPRSV1" localSheetId="28">'[22]4.2.11'!$A$63:$A$65</definedName>
    <definedName name="HEPRSV1" localSheetId="33">'[19]4.2.11'!$A$62:$A$64</definedName>
    <definedName name="HEPRSV1" localSheetId="34">'[18]4.2.11'!$K$13:$K$15</definedName>
    <definedName name="HEPRSV1" localSheetId="35">'[18]4.2.11'!$K$13:$K$15</definedName>
    <definedName name="HEPRSV1" localSheetId="36">'[18]4.2.11'!$K$13:$K$15</definedName>
    <definedName name="HEPRSV1" localSheetId="37">'[18]4.2.11'!$K$13:$K$15</definedName>
    <definedName name="HEPRSV1" localSheetId="38">'[22]4.2.11'!$A$63:$A$65</definedName>
    <definedName name="HEPRSV1" localSheetId="39">'[23]4.2.11'!$A$63:$A$65</definedName>
    <definedName name="HEPRSV1" localSheetId="40">'[20]4.2.11'!$A$57:$A$59</definedName>
    <definedName name="HEPRSV1" localSheetId="41">'[20]4.2.11'!$A$57:$A$59</definedName>
    <definedName name="HEPRSV1" localSheetId="43">'[22]4.2.11'!$A$63:$A$65</definedName>
    <definedName name="HEPRSV1" localSheetId="44">'[22]4.2.11'!$A$63:$A$65</definedName>
    <definedName name="HEPRSV1" localSheetId="42">'[18]4.2.11'!$K$13:$K$15</definedName>
    <definedName name="HEPRSV1" localSheetId="49">'[20]4.2.11'!$A$57:$A$59</definedName>
    <definedName name="HEPRSV1" localSheetId="50">'[20]4.2.11'!$A$57:$A$59</definedName>
    <definedName name="HEPRSV1" localSheetId="51">'[20]4.2.11'!$A$57:$A$59</definedName>
    <definedName name="HEPRSV1" localSheetId="52">'[20]4.2.11'!$A$57:$A$59</definedName>
    <definedName name="HEPRSV1" localSheetId="59">'[20]4.2.11'!$A$57:$A$59</definedName>
    <definedName name="HEPRSV1" localSheetId="54">'[20]4.2.11'!$A$57:$A$59</definedName>
    <definedName name="HEPRSV1" localSheetId="58">'[20]4.2.11'!$A$57:$A$59</definedName>
    <definedName name="HEPRSV1" localSheetId="61">'[20]4.2.11'!$A$57:$A$59</definedName>
    <definedName name="HEPRSV1" localSheetId="63">'[20]4.2.11'!$A$57:$A$59</definedName>
    <definedName name="HEPRSV1" localSheetId="65">'[20]4.2.11'!$A$57:$A$59</definedName>
    <definedName name="HEPRSV1" localSheetId="66">'[20]4.2.11'!$A$57:$A$59</definedName>
    <definedName name="HEPRSV1" localSheetId="71">'[20]4.2.11'!$A$57:$A$59</definedName>
    <definedName name="HEPRSV1" localSheetId="72">'[20]4.2.11'!$A$57:$A$59</definedName>
    <definedName name="HEPRSV1" localSheetId="73">'[20]4.2.11'!$A$57:$A$59</definedName>
    <definedName name="HEPRSV1" localSheetId="67">'[20]4.2.11'!$A$57:$A$59</definedName>
    <definedName name="HEPRSV1" localSheetId="70">'[19]4.2.11'!$A$62:$A$64</definedName>
    <definedName name="HEPRSV1" localSheetId="68">'[20]4.2.11'!$A$57:$A$59</definedName>
    <definedName name="HEPRSV1">'[19]4.2.11'!$A$57:$A$59</definedName>
    <definedName name="HEPRSV2" localSheetId="13">'[18]4.2.11'!$B$30:$B$32</definedName>
    <definedName name="HEPRSV2" localSheetId="7">'[18]4.2.11'!$B$30:$B$32</definedName>
    <definedName name="HEPRSV2" localSheetId="23">'[18]4.2.11'!$B$30:$B$32</definedName>
    <definedName name="HEPRSV2" localSheetId="28">'[22]4.2.11'!$A$50:$A$52</definedName>
    <definedName name="HEPRSV2" localSheetId="33">'[19]4.2.11'!$A$49:$A$51</definedName>
    <definedName name="HEPRSV2" localSheetId="34">'[18]4.2.11'!$B$30:$B$32</definedName>
    <definedName name="HEPRSV2" localSheetId="35">'[18]4.2.11'!$B$30:$B$32</definedName>
    <definedName name="HEPRSV2" localSheetId="36">'[18]4.2.11'!$B$30:$B$32</definedName>
    <definedName name="HEPRSV2" localSheetId="37">'[18]4.2.11'!$B$30:$B$32</definedName>
    <definedName name="HEPRSV2" localSheetId="38">'[22]4.2.11'!$A$50:$A$52</definedName>
    <definedName name="HEPRSV2" localSheetId="39">'[23]4.2.11'!$A$50:$A$52</definedName>
    <definedName name="HEPRSV2" localSheetId="40">'[20]4.2.11'!$A$44:$A$46</definedName>
    <definedName name="HEPRSV2" localSheetId="41">'[20]4.2.11'!$A$44:$A$46</definedName>
    <definedName name="HEPRSV2" localSheetId="43">'[22]4.2.11'!$A$50:$A$52</definedName>
    <definedName name="HEPRSV2" localSheetId="44">'[22]4.2.11'!$A$50:$A$52</definedName>
    <definedName name="HEPRSV2" localSheetId="42">'[18]4.2.11'!$B$30:$B$32</definedName>
    <definedName name="HEPRSV2" localSheetId="49">'[20]4.2.11'!$A$44:$A$46</definedName>
    <definedName name="HEPRSV2" localSheetId="50">'[20]4.2.11'!$A$44:$A$46</definedName>
    <definedName name="HEPRSV2" localSheetId="51">'[20]4.2.11'!$A$44:$A$46</definedName>
    <definedName name="HEPRSV2" localSheetId="52">'[20]4.2.11'!$A$44:$A$46</definedName>
    <definedName name="HEPRSV2" localSheetId="59">'[20]4.2.11'!$A$44:$A$46</definedName>
    <definedName name="HEPRSV2" localSheetId="54">'[20]4.2.11'!$A$44:$A$46</definedName>
    <definedName name="HEPRSV2" localSheetId="58">'[20]4.2.11'!$A$44:$A$46</definedName>
    <definedName name="HEPRSV2" localSheetId="61">'[20]4.2.11'!$A$44:$A$46</definedName>
    <definedName name="HEPRSV2" localSheetId="63">'[20]4.2.11'!$A$44:$A$46</definedName>
    <definedName name="HEPRSV2" localSheetId="65">'[20]4.2.11'!$A$44:$A$46</definedName>
    <definedName name="HEPRSV2" localSheetId="66">'[20]4.2.11'!$A$44:$A$46</definedName>
    <definedName name="HEPRSV2" localSheetId="71">'[20]4.2.11'!$A$44:$A$46</definedName>
    <definedName name="HEPRSV2" localSheetId="72">'[20]4.2.11'!$A$44:$A$46</definedName>
    <definedName name="HEPRSV2" localSheetId="73">'[20]4.2.11'!$A$44:$A$46</definedName>
    <definedName name="HEPRSV2" localSheetId="67">'[20]4.2.11'!$A$44:$A$46</definedName>
    <definedName name="HEPRSV2" localSheetId="70">'[19]4.2.11'!$A$49:$A$51</definedName>
    <definedName name="HEPRSV2" localSheetId="68">'[20]4.2.11'!$A$44:$A$46</definedName>
    <definedName name="HEPRSV2">'[19]4.2.11'!$A$44:$A$46</definedName>
    <definedName name="HourlyLoadProfileNames" localSheetId="13">'[48]Load Profile Input'!$C$6:$V$6</definedName>
    <definedName name="HourlyLoadProfileNames" localSheetId="7">'[48]Load Profile Input'!$C$6:$V$6</definedName>
    <definedName name="HourlyLoadProfileNames" localSheetId="23">'[48]Load Profile Input'!$C$6:$V$6</definedName>
    <definedName name="HourlyLoadProfileNames" localSheetId="28">'[48]Load Profile Input'!$C$6:$V$6</definedName>
    <definedName name="HourlyLoadProfileNames" localSheetId="34">'[48]Load Profile Input'!$C$6:$V$6</definedName>
    <definedName name="HourlyLoadProfileNames" localSheetId="35">'[48]Load Profile Input'!$C$6:$V$6</definedName>
    <definedName name="HourlyLoadProfileNames" localSheetId="36">'[48]Load Profile Input'!$C$6:$V$6</definedName>
    <definedName name="HourlyLoadProfileNames" localSheetId="37">'[48]Load Profile Input'!$C$6:$V$6</definedName>
    <definedName name="HourlyLoadProfileNames" localSheetId="38">'[48]Load Profile Input'!$C$6:$V$6</definedName>
    <definedName name="HourlyLoadProfileNames" localSheetId="39">'[48]Load Profile Input'!$C$6:$V$6</definedName>
    <definedName name="HourlyLoadProfileNames" localSheetId="40">'[48]Load Profile Input'!$C$6:$V$6</definedName>
    <definedName name="HourlyLoadProfileNames" localSheetId="41">'[48]Load Profile Input'!$C$6:$V$6</definedName>
    <definedName name="HourlyLoadProfileNames" localSheetId="43">'[48]Load Profile Input'!$C$6:$V$6</definedName>
    <definedName name="HourlyLoadProfileNames" localSheetId="44">'[48]Load Profile Input'!$C$6:$V$6</definedName>
    <definedName name="HourlyLoadProfileNames" localSheetId="42">'[48]Load Profile Input'!$C$6:$V$6</definedName>
    <definedName name="HourlyLoadProfileNames" localSheetId="49">'[48]Load Profile Input'!$C$6:$V$6</definedName>
    <definedName name="HourlyLoadProfileNames" localSheetId="51">'[48]Load Profile Input'!$C$6:$V$6</definedName>
    <definedName name="HourlyLoadProfileNames" localSheetId="52">'[48]Load Profile Input'!$C$6:$V$6</definedName>
    <definedName name="HourlyLoadProfileNames" localSheetId="45">'[48]Load Profile Input'!$C$6:$V$6</definedName>
    <definedName name="HourlyLoadProfileNames" localSheetId="46">'[48]Load Profile Input'!$C$6:$V$6</definedName>
    <definedName name="HourlyLoadProfileNames" localSheetId="53">'[48]Load Profile Input'!$C$6:$V$6</definedName>
    <definedName name="HourlyLoadProfileNames" localSheetId="59">'[48]Load Profile Input'!$C$6:$V$6</definedName>
    <definedName name="HourlyLoadProfileNames" localSheetId="54">'[48]Load Profile Input'!$C$6:$V$6</definedName>
    <definedName name="HourlyLoadProfileNames" localSheetId="55">'[48]Load Profile Input'!$C$6:$V$6</definedName>
    <definedName name="HourlyLoadProfileNames" localSheetId="57">'[48]Load Profile Input'!$C$6:$V$6</definedName>
    <definedName name="HourlyLoadProfileNames" localSheetId="61">'[49]Load Profile Input'!$C$6:$V$6</definedName>
    <definedName name="HourlyLoadProfileNames" localSheetId="62">'[48]Load Profile Input'!$C$6:$V$6</definedName>
    <definedName name="HourlyLoadProfileNames" localSheetId="63">'[48]Load Profile Input'!$C$6:$V$6</definedName>
    <definedName name="HourlyLoadProfileNames" localSheetId="66">'[48]Load Profile Input'!$C$6:$V$6</definedName>
    <definedName name="HourlyLoadProfileNames" localSheetId="71">'[48]Load Profile Input'!$C$6:$V$6</definedName>
    <definedName name="HourlyLoadProfileNames" localSheetId="72">'[49]Load Profile Input'!$C$6:$V$6</definedName>
    <definedName name="HourlyLoadProfileNames" localSheetId="73">'[49]Load Profile Input'!$C$6:$V$6</definedName>
    <definedName name="HourlyLoadProfileNames" localSheetId="67">'[48]Load Profile Input'!$C$6:$V$6</definedName>
    <definedName name="HourlyLoadProfileNames" localSheetId="70">'[48]Load Profile Input'!$C$6:$V$6</definedName>
    <definedName name="HourlyLoadProfileNames" localSheetId="68">'[49]Load Profile Input'!$C$6:$V$6</definedName>
    <definedName name="HourlyLoadProfileNames">'[50]Load Profile Input'!$C$6:$V$6</definedName>
    <definedName name="howmanymeasures">'[8]Measures Yr 1'!$BZ$5:$BZ$10</definedName>
    <definedName name="HPSy1" localSheetId="13">'[5]4.4.9'!$G$36:$H$36</definedName>
    <definedName name="HPSy1" localSheetId="7">'[5]4.4.9'!$G$36:$H$36</definedName>
    <definedName name="HPSy1" localSheetId="23">'[5]4.4.9'!$G$36:$H$36</definedName>
    <definedName name="HPSy1" localSheetId="34">'[6]4.4.9'!$G$36:$H$36</definedName>
    <definedName name="HPSy1" localSheetId="35">'[6]4.4.9'!$G$36:$H$36</definedName>
    <definedName name="HPSy1" localSheetId="36">'[5]4.4.9'!$G$36:$H$36</definedName>
    <definedName name="HPSy1" localSheetId="37">'[5]4.4.9'!$G$36:$H$36</definedName>
    <definedName name="HPSy1" localSheetId="40">'[5]4.4.9'!$G$36:$H$36</definedName>
    <definedName name="HPSy1" localSheetId="41">'[5]4.4.9'!$G$36:$H$36</definedName>
    <definedName name="HPSy1" localSheetId="42">'[6]4.4.9'!$G$36:$H$36</definedName>
    <definedName name="HPSy1">'[7]4.4.9'!$G$36:$H$36</definedName>
    <definedName name="HPSy2" localSheetId="13">'[5]4.4.9'!$L$10:$L$16</definedName>
    <definedName name="HPSy2" localSheetId="7">'[5]4.4.9'!$L$10:$L$16</definedName>
    <definedName name="HPSy2" localSheetId="23">'[5]4.4.9'!$L$10:$L$16</definedName>
    <definedName name="HPSy2" localSheetId="34">'[6]4.4.9'!$L$10:$L$16</definedName>
    <definedName name="HPSy2" localSheetId="35">'[6]4.4.9'!$L$10:$L$16</definedName>
    <definedName name="HPSy2" localSheetId="36">'[5]4.4.9'!$L$10:$L$16</definedName>
    <definedName name="HPSy2" localSheetId="37">'[5]4.4.9'!$L$10:$L$16</definedName>
    <definedName name="HPSy2" localSheetId="40">'[5]4.4.9'!$L$10:$L$16</definedName>
    <definedName name="HPSy2" localSheetId="41">'[5]4.4.9'!$L$10:$L$16</definedName>
    <definedName name="HPSy2" localSheetId="42">'[6]4.4.9'!$L$10:$L$16</definedName>
    <definedName name="HPSy2">'[7]4.4.9'!$L$10:$L$16</definedName>
    <definedName name="HPT8FL2" localSheetId="13">'[18]4.5.3'!$J$26:$J$30</definedName>
    <definedName name="HPT8FL2" localSheetId="7">'[18]4.5.3'!$J$26:$J$30</definedName>
    <definedName name="HPT8FL2" localSheetId="23">'[18]4.5.3'!$J$26:$J$30</definedName>
    <definedName name="HPT8FL2" localSheetId="28">'[22]4.5.3'!$J$26:$J$30</definedName>
    <definedName name="HPT8FL2" localSheetId="34">'[18]4.5.3'!$J$26:$J$30</definedName>
    <definedName name="HPT8FL2" localSheetId="35">'[18]4.5.3'!$J$26:$J$30</definedName>
    <definedName name="HPT8FL2" localSheetId="36">'[18]4.5.3'!$J$26:$J$30</definedName>
    <definedName name="HPT8FL2" localSheetId="37">'[18]4.5.3'!$J$26:$J$30</definedName>
    <definedName name="HPT8FL2" localSheetId="38">'[22]4.5.3'!$J$26:$J$30</definedName>
    <definedName name="HPT8FL2" localSheetId="39">'[23]4.5.3'!$J$26:$J$30</definedName>
    <definedName name="HPT8FL2" localSheetId="40">'[20]4.5.3'!$J$26:$J$30</definedName>
    <definedName name="HPT8FL2" localSheetId="41">'[20]4.5.3'!$J$26:$J$30</definedName>
    <definedName name="HPT8FL2" localSheetId="43">'[22]4.5.3'!$J$26:$J$30</definedName>
    <definedName name="HPT8FL2" localSheetId="44">'[22]4.5.3'!$J$26:$J$30</definedName>
    <definedName name="HPT8FL2" localSheetId="42">'[18]4.5.3'!$J$26:$J$30</definedName>
    <definedName name="HPT8FL2" localSheetId="49">'[20]4.5.3'!$J$26:$J$30</definedName>
    <definedName name="HPT8FL2" localSheetId="50">'[20]4.5.3'!$J$26:$J$30</definedName>
    <definedName name="HPT8FL2" localSheetId="51">'[20]4.5.3'!$J$26:$J$30</definedName>
    <definedName name="HPT8FL2" localSheetId="52">'[20]4.5.3'!$J$26:$J$30</definedName>
    <definedName name="HPT8FL2" localSheetId="59">'[20]4.5.3'!$J$26:$J$30</definedName>
    <definedName name="HPT8FL2" localSheetId="54">'[20]4.5.3'!$J$26:$J$30</definedName>
    <definedName name="HPT8FL2" localSheetId="58">'[20]4.5.3'!$J$26:$J$30</definedName>
    <definedName name="HPT8FL2" localSheetId="61">'[20]4.5.3'!$J$26:$J$30</definedName>
    <definedName name="HPT8FL2" localSheetId="63">'[20]4.5.3'!$J$26:$J$30</definedName>
    <definedName name="HPT8FL2" localSheetId="65">'[20]4.5.3'!$J$26:$J$30</definedName>
    <definedName name="HPT8FL2" localSheetId="66">'[20]4.5.3'!$J$26:$J$30</definedName>
    <definedName name="HPT8FL2" localSheetId="71">'[20]4.5.3'!$J$26:$J$30</definedName>
    <definedName name="HPT8FL2" localSheetId="72">'[20]4.5.3'!$J$26:$J$30</definedName>
    <definedName name="HPT8FL2" localSheetId="73">'[20]4.5.3'!$J$26:$J$30</definedName>
    <definedName name="HPT8FL2" localSheetId="67">'[20]4.5.3'!$J$26:$J$30</definedName>
    <definedName name="HPT8FL2" localSheetId="68">'[20]4.5.3'!$J$26:$J$30</definedName>
    <definedName name="HPT8FL2">'[19]4.5.3'!$J$26:$J$30</definedName>
    <definedName name="HPT8FL3" localSheetId="13">'[18]4.5.3'!$B$22:$B$44</definedName>
    <definedName name="HPT8FL3" localSheetId="7">'[18]4.5.3'!$B$22:$B$44</definedName>
    <definedName name="HPT8FL3" localSheetId="23">'[18]4.5.3'!$B$22:$B$44</definedName>
    <definedName name="HPT8FL3" localSheetId="28">'[22]4.5.3'!$B$22:$B$44</definedName>
    <definedName name="HPT8FL3" localSheetId="34">'[18]4.5.3'!$B$22:$B$44</definedName>
    <definedName name="HPT8FL3" localSheetId="35">'[18]4.5.3'!$B$22:$B$44</definedName>
    <definedName name="HPT8FL3" localSheetId="36">'[18]4.5.3'!$B$22:$B$44</definedName>
    <definedName name="HPT8FL3" localSheetId="37">'[18]4.5.3'!$B$22:$B$44</definedName>
    <definedName name="HPT8FL3" localSheetId="38">'[22]4.5.3'!$B$22:$B$44</definedName>
    <definedName name="HPT8FL3" localSheetId="39">'[23]4.5.3'!$B$22:$B$44</definedName>
    <definedName name="HPT8FL3" localSheetId="40">'[20]4.5.3'!$B$22:$B$44</definedName>
    <definedName name="HPT8FL3" localSheetId="41">'[20]4.5.3'!$B$22:$B$44</definedName>
    <definedName name="HPT8FL3" localSheetId="43">'[22]4.5.3'!$B$22:$B$44</definedName>
    <definedName name="HPT8FL3" localSheetId="44">'[22]4.5.3'!$B$22:$B$44</definedName>
    <definedName name="HPT8FL3" localSheetId="42">'[18]4.5.3'!$B$22:$B$44</definedName>
    <definedName name="HPT8FL3" localSheetId="49">'[20]4.5.3'!$B$22:$B$44</definedName>
    <definedName name="HPT8FL3" localSheetId="50">'[20]4.5.3'!$B$22:$B$44</definedName>
    <definedName name="HPT8FL3" localSheetId="51">'[20]4.5.3'!$B$22:$B$44</definedName>
    <definedName name="HPT8FL3" localSheetId="52">'[20]4.5.3'!$B$22:$B$44</definedName>
    <definedName name="HPT8FL3" localSheetId="59">'[20]4.5.3'!$B$22:$B$44</definedName>
    <definedName name="HPT8FL3" localSheetId="54">'[20]4.5.3'!$B$22:$B$44</definedName>
    <definedName name="HPT8FL3" localSheetId="58">'[20]4.5.3'!$B$22:$B$44</definedName>
    <definedName name="HPT8FL3" localSheetId="61">'[20]4.5.3'!$B$22:$B$44</definedName>
    <definedName name="HPT8FL3" localSheetId="63">'[20]4.5.3'!$B$22:$B$44</definedName>
    <definedName name="HPT8FL3" localSheetId="65">'[20]4.5.3'!$B$22:$B$44</definedName>
    <definedName name="HPT8FL3" localSheetId="66">'[20]4.5.3'!$B$22:$B$44</definedName>
    <definedName name="HPT8FL3" localSheetId="71">'[20]4.5.3'!$B$22:$B$44</definedName>
    <definedName name="HPT8FL3" localSheetId="72">'[20]4.5.3'!$B$22:$B$44</definedName>
    <definedName name="HPT8FL3" localSheetId="73">'[20]4.5.3'!$B$22:$B$44</definedName>
    <definedName name="HPT8FL3" localSheetId="67">'[20]4.5.3'!$B$22:$B$44</definedName>
    <definedName name="HPT8FL3" localSheetId="68">'[20]4.5.3'!$B$22:$B$44</definedName>
    <definedName name="HPT8FL3">'[19]4.5.3'!$B$22:$B$44</definedName>
    <definedName name="HPT8FL4" localSheetId="13">'[18]4.5.3'!$N$28:$N$42</definedName>
    <definedName name="HPT8FL4" localSheetId="7">'[18]4.5.3'!$N$28:$N$42</definedName>
    <definedName name="HPT8FL4" localSheetId="23">'[18]4.5.3'!$N$28:$N$42</definedName>
    <definedName name="HPT8FL4" localSheetId="28">'[22]4.5.3'!$N$28:$N$42</definedName>
    <definedName name="HPT8FL4" localSheetId="34">'[18]4.5.3'!$N$28:$N$42</definedName>
    <definedName name="HPT8FL4" localSheetId="35">'[18]4.5.3'!$N$28:$N$42</definedName>
    <definedName name="HPT8FL4" localSheetId="36">'[18]4.5.3'!$N$28:$N$42</definedName>
    <definedName name="HPT8FL4" localSheetId="37">'[18]4.5.3'!$N$28:$N$42</definedName>
    <definedName name="HPT8FL4" localSheetId="38">'[22]4.5.3'!$N$28:$N$42</definedName>
    <definedName name="HPT8FL4" localSheetId="39">'[23]4.5.3'!$N$28:$N$42</definedName>
    <definedName name="HPT8FL4" localSheetId="40">'[20]4.5.3'!$N$28:$N$42</definedName>
    <definedName name="HPT8FL4" localSheetId="41">'[20]4.5.3'!$N$28:$N$42</definedName>
    <definedName name="HPT8FL4" localSheetId="43">'[22]4.5.3'!$N$28:$N$42</definedName>
    <definedName name="HPT8FL4" localSheetId="44">'[22]4.5.3'!$N$28:$N$42</definedName>
    <definedName name="HPT8FL4" localSheetId="42">'[18]4.5.3'!$N$28:$N$42</definedName>
    <definedName name="HPT8FL4" localSheetId="49">'[20]4.5.3'!$N$28:$N$42</definedName>
    <definedName name="HPT8FL4" localSheetId="50">'[20]4.5.3'!$N$28:$N$42</definedName>
    <definedName name="HPT8FL4" localSheetId="51">'[20]4.5.3'!$N$28:$N$42</definedName>
    <definedName name="HPT8FL4" localSheetId="52">'[20]4.5.3'!$N$28:$N$42</definedName>
    <definedName name="HPT8FL4" localSheetId="59">'[20]4.5.3'!$N$28:$N$42</definedName>
    <definedName name="HPT8FL4" localSheetId="54">'[20]4.5.3'!$N$28:$N$42</definedName>
    <definedName name="HPT8FL4" localSheetId="58">'[20]4.5.3'!$N$28:$N$42</definedName>
    <definedName name="HPT8FL4" localSheetId="61">'[20]4.5.3'!$N$28:$N$42</definedName>
    <definedName name="HPT8FL4" localSheetId="63">'[20]4.5.3'!$N$28:$N$42</definedName>
    <definedName name="HPT8FL4" localSheetId="65">'[20]4.5.3'!$N$28:$N$42</definedName>
    <definedName name="HPT8FL4" localSheetId="66">'[20]4.5.3'!$N$28:$N$42</definedName>
    <definedName name="HPT8FL4" localSheetId="71">'[20]4.5.3'!$N$28:$N$42</definedName>
    <definedName name="HPT8FL4" localSheetId="72">'[20]4.5.3'!$N$28:$N$42</definedName>
    <definedName name="HPT8FL4" localSheetId="73">'[20]4.5.3'!$N$28:$N$42</definedName>
    <definedName name="HPT8FL4" localSheetId="67">'[20]4.5.3'!$N$28:$N$42</definedName>
    <definedName name="HPT8FL4" localSheetId="68">'[20]4.5.3'!$N$28:$N$42</definedName>
    <definedName name="HPT8FL4">'[19]4.5.3'!$N$28:$N$42</definedName>
    <definedName name="HPWH1" localSheetId="13">'[9]5.4.3'!$L$21:$L$23</definedName>
    <definedName name="HPWH1" localSheetId="7">'[9]5.4.3'!$L$21:$L$23</definedName>
    <definedName name="HPWH1" localSheetId="23">'[9]5.4.3'!$L$21:$L$23</definedName>
    <definedName name="HPWH1" localSheetId="28">'[10]5.4.3'!$L$21:$L$23</definedName>
    <definedName name="HPWH1" localSheetId="33">'[10]5.4.3'!$L$21:$L$23</definedName>
    <definedName name="HPWH1" localSheetId="34">'[9]5.4.3'!$L$21:$L$23</definedName>
    <definedName name="HPWH1" localSheetId="35">'[9]5.4.3'!$L$21:$L$23</definedName>
    <definedName name="HPWH1" localSheetId="36">'[9]5.4.3'!$L$21:$L$23</definedName>
    <definedName name="HPWH1" localSheetId="37">'[9]5.4.3'!$L$21:$L$23</definedName>
    <definedName name="HPWH1" localSheetId="38">'[10]5.4.3'!$L$21:$L$23</definedName>
    <definedName name="HPWH1" localSheetId="39">'[10]5.4.3'!$L$21:$L$23</definedName>
    <definedName name="HPWH1" localSheetId="40">'[10]5.4.3'!$L$21:$L$23</definedName>
    <definedName name="HPWH1" localSheetId="41">'[10]5.4.3'!$L$21:$L$23</definedName>
    <definedName name="HPWH1" localSheetId="43">'[10]5.4.3'!$L$21:$L$23</definedName>
    <definedName name="HPWH1" localSheetId="44">'[10]5.4.3'!$L$21:$L$23</definedName>
    <definedName name="HPWH1" localSheetId="42">'[9]5.4.3'!$L$21:$L$23</definedName>
    <definedName name="HPWH1" localSheetId="49">'[10]5.4.3'!$L$21:$L$23</definedName>
    <definedName name="HPWH1" localSheetId="50">'[11]5.4.3'!$L$21:$L$23</definedName>
    <definedName name="HPWH1" localSheetId="51">'[10]5.4.3'!$L$21:$L$23</definedName>
    <definedName name="HPWH1" localSheetId="52">'[10]5.4.3'!$L$21:$L$23</definedName>
    <definedName name="HPWH1" localSheetId="45">'[10]5.4.3'!$L$21:$L$23</definedName>
    <definedName name="HPWH1" localSheetId="47">'[12]5.4.3'!$L$21:$L$23</definedName>
    <definedName name="HPWH1" localSheetId="53">'[10]5.4.3'!$L$21:$L$23</definedName>
    <definedName name="HPWH1" localSheetId="59">'[10]5.4.3'!$L$21:$L$23</definedName>
    <definedName name="HPWH1" localSheetId="54">'[13]5.4.3'!$L$21:$L$23</definedName>
    <definedName name="HPWH1" localSheetId="57">'[10]5.4.3'!$L$21:$L$23</definedName>
    <definedName name="HPWH1" localSheetId="58">'[11]5.4.3'!$L$21:$L$23</definedName>
    <definedName name="HPWH1" localSheetId="61">'[11]5.4.3'!$L$21:$L$23</definedName>
    <definedName name="HPWH1" localSheetId="63">'[10]5.4.3'!$L$21:$L$23</definedName>
    <definedName name="HPWH1" localSheetId="65">'[11]5.4.3'!$L$21:$L$23</definedName>
    <definedName name="HPWH1" localSheetId="66">'[10]5.4.3'!$L$21:$L$23</definedName>
    <definedName name="HPWH1" localSheetId="72">'[11]5.4.3'!$L$21:$L$23</definedName>
    <definedName name="HPWH1" localSheetId="73">'[11]5.4.3'!$L$21:$L$23</definedName>
    <definedName name="HPWH1" localSheetId="70">'[10]5.4.3'!$L$21:$L$23</definedName>
    <definedName name="HPWH1" localSheetId="68">'[11]5.4.3'!$L$21:$L$23</definedName>
    <definedName name="HPWH1">'[14]5.4.3'!$L$21:$L$23</definedName>
    <definedName name="HPWH2" localSheetId="13">'[9]5.4.3'!$B$34:$B$35</definedName>
    <definedName name="HPWH2" localSheetId="7">'[9]5.4.3'!$B$34:$B$35</definedName>
    <definedName name="HPWH2" localSheetId="23">'[9]5.4.3'!$B$34:$B$35</definedName>
    <definedName name="HPWH2" localSheetId="28">'[10]5.4.3'!$B$34:$B$35</definedName>
    <definedName name="HPWH2" localSheetId="33">'[10]5.4.3'!$B$34:$B$35</definedName>
    <definedName name="HPWH2" localSheetId="34">'[9]5.4.3'!$B$34:$B$35</definedName>
    <definedName name="HPWH2" localSheetId="35">'[9]5.4.3'!$B$34:$B$35</definedName>
    <definedName name="HPWH2" localSheetId="36">'[9]5.4.3'!$B$34:$B$35</definedName>
    <definedName name="HPWH2" localSheetId="37">'[9]5.4.3'!$B$34:$B$35</definedName>
    <definedName name="HPWH2" localSheetId="38">'[10]5.4.3'!$B$34:$B$35</definedName>
    <definedName name="HPWH2" localSheetId="39">'[10]5.4.3'!$B$34:$B$35</definedName>
    <definedName name="HPWH2" localSheetId="40">'[10]5.4.3'!$B$34:$B$35</definedName>
    <definedName name="HPWH2" localSheetId="41">'[10]5.4.3'!$B$34:$B$35</definedName>
    <definedName name="HPWH2" localSheetId="43">'[10]5.4.3'!$B$34:$B$35</definedName>
    <definedName name="HPWH2" localSheetId="44">'[10]5.4.3'!$B$34:$B$35</definedName>
    <definedName name="HPWH2" localSheetId="42">'[9]5.4.3'!$B$34:$B$35</definedName>
    <definedName name="HPWH2" localSheetId="49">'[10]5.4.3'!$B$34:$B$35</definedName>
    <definedName name="HPWH2" localSheetId="50">'[11]5.4.3'!$B$34:$B$35</definedName>
    <definedName name="HPWH2" localSheetId="51">'[10]5.4.3'!$B$34:$B$35</definedName>
    <definedName name="HPWH2" localSheetId="52">'[10]5.4.3'!$B$34:$B$35</definedName>
    <definedName name="HPWH2" localSheetId="45">'[10]5.4.3'!$B$34:$B$35</definedName>
    <definedName name="HPWH2" localSheetId="47">'[12]5.4.3'!$B$34:$B$35</definedName>
    <definedName name="HPWH2" localSheetId="53">'[10]5.4.3'!$B$34:$B$35</definedName>
    <definedName name="HPWH2" localSheetId="59">'[10]5.4.3'!$B$34:$B$35</definedName>
    <definedName name="HPWH2" localSheetId="54">'[13]5.4.3'!$B$34:$B$35</definedName>
    <definedName name="HPWH2" localSheetId="57">'[10]5.4.3'!$B$34:$B$35</definedName>
    <definedName name="HPWH2" localSheetId="58">'[11]5.4.3'!$B$34:$B$35</definedName>
    <definedName name="HPWH2" localSheetId="61">'[11]5.4.3'!$B$34:$B$35</definedName>
    <definedName name="HPWH2" localSheetId="63">'[10]5.4.3'!$B$34:$B$35</definedName>
    <definedName name="HPWH2" localSheetId="65">'[11]5.4.3'!$B$34:$B$35</definedName>
    <definedName name="HPWH2" localSheetId="66">'[10]5.4.3'!$B$34:$B$35</definedName>
    <definedName name="HPWH2" localSheetId="72">'[11]5.4.3'!$B$34:$B$35</definedName>
    <definedName name="HPWH2" localSheetId="73">'[11]5.4.3'!$B$34:$B$35</definedName>
    <definedName name="HPWH2" localSheetId="70">'[10]5.4.3'!$B$34:$B$35</definedName>
    <definedName name="HPWH2" localSheetId="68">'[11]5.4.3'!$B$34:$B$35</definedName>
    <definedName name="HPWH2">'[14]5.4.3'!$B$34:$B$35</definedName>
    <definedName name="HPWH3" localSheetId="13">'[9]5.4.3'!$K$16:$K$18</definedName>
    <definedName name="HPWH3" localSheetId="7">'[9]5.4.3'!$K$16:$K$18</definedName>
    <definedName name="HPWH3" localSheetId="23">'[9]5.4.3'!$K$16:$K$18</definedName>
    <definedName name="HPWH3" localSheetId="28">'[10]5.4.3'!$K$16:$K$18</definedName>
    <definedName name="HPWH3" localSheetId="33">'[10]5.4.3'!$K$16:$K$18</definedName>
    <definedName name="HPWH3" localSheetId="34">'[9]5.4.3'!$K$16:$K$18</definedName>
    <definedName name="HPWH3" localSheetId="35">'[9]5.4.3'!$K$16:$K$18</definedName>
    <definedName name="HPWH3" localSheetId="36">'[9]5.4.3'!$K$16:$K$18</definedName>
    <definedName name="HPWH3" localSheetId="37">'[9]5.4.3'!$K$16:$K$18</definedName>
    <definedName name="HPWH3" localSheetId="38">'[10]5.4.3'!$K$16:$K$18</definedName>
    <definedName name="HPWH3" localSheetId="39">'[10]5.4.3'!$K$16:$K$18</definedName>
    <definedName name="HPWH3" localSheetId="40">'[10]5.4.3'!$K$16:$K$18</definedName>
    <definedName name="HPWH3" localSheetId="41">'[10]5.4.3'!$K$16:$K$18</definedName>
    <definedName name="HPWH3" localSheetId="43">'[10]5.4.3'!$K$16:$K$18</definedName>
    <definedName name="HPWH3" localSheetId="44">'[10]5.4.3'!$K$16:$K$18</definedName>
    <definedName name="HPWH3" localSheetId="42">'[9]5.4.3'!$K$16:$K$18</definedName>
    <definedName name="HPWH3" localSheetId="49">'[10]5.4.3'!$K$16:$K$18</definedName>
    <definedName name="HPWH3" localSheetId="50">'[11]5.4.3'!$K$16:$K$18</definedName>
    <definedName name="HPWH3" localSheetId="51">'[10]5.4.3'!$K$16:$K$18</definedName>
    <definedName name="HPWH3" localSheetId="52">'[10]5.4.3'!$K$16:$K$18</definedName>
    <definedName name="HPWH3" localSheetId="45">'[10]5.4.3'!$K$16:$K$18</definedName>
    <definedName name="HPWH3" localSheetId="47">'[12]5.4.3'!$K$16:$K$18</definedName>
    <definedName name="HPWH3" localSheetId="53">'[10]5.4.3'!$K$16:$K$18</definedName>
    <definedName name="HPWH3" localSheetId="59">'[10]5.4.3'!$K$16:$K$18</definedName>
    <definedName name="HPWH3" localSheetId="54">'[13]5.4.3'!$K$16:$K$18</definedName>
    <definedName name="HPWH3" localSheetId="57">'[10]5.4.3'!$K$16:$K$18</definedName>
    <definedName name="HPWH3" localSheetId="58">'[11]5.4.3'!$K$16:$K$18</definedName>
    <definedName name="HPWH3" localSheetId="61">'[11]5.4.3'!$K$16:$K$18</definedName>
    <definedName name="HPWH3" localSheetId="63">'[10]5.4.3'!$K$16:$K$18</definedName>
    <definedName name="HPWH3" localSheetId="65">'[11]5.4.3'!$K$16:$K$18</definedName>
    <definedName name="HPWH3" localSheetId="66">'[10]5.4.3'!$K$16:$K$18</definedName>
    <definedName name="HPWH3" localSheetId="72">'[11]5.4.3'!$K$16:$K$18</definedName>
    <definedName name="HPWH3" localSheetId="73">'[11]5.4.3'!$K$16:$K$18</definedName>
    <definedName name="HPWH3" localSheetId="70">'[10]5.4.3'!$K$16:$K$18</definedName>
    <definedName name="HPWH3" localSheetId="68">'[11]5.4.3'!$K$16:$K$18</definedName>
    <definedName name="HPWH3">'[14]5.4.3'!$K$16:$K$18</definedName>
    <definedName name="HPWH4" localSheetId="13">'[9]5.4.3'!$F$34:$F$36</definedName>
    <definedName name="HPWH4" localSheetId="7">'[9]5.4.3'!$F$34:$F$36</definedName>
    <definedName name="HPWH4" localSheetId="23">'[9]5.4.3'!$F$34:$F$36</definedName>
    <definedName name="HPWH4" localSheetId="28">'[10]5.4.3'!$F$34:$F$36</definedName>
    <definedName name="HPWH4" localSheetId="33">'[10]5.4.3'!$F$34:$F$36</definedName>
    <definedName name="HPWH4" localSheetId="34">'[9]5.4.3'!$F$34:$F$36</definedName>
    <definedName name="HPWH4" localSheetId="35">'[9]5.4.3'!$F$34:$F$36</definedName>
    <definedName name="HPWH4" localSheetId="36">'[9]5.4.3'!$F$34:$F$36</definedName>
    <definedName name="HPWH4" localSheetId="37">'[9]5.4.3'!$F$34:$F$36</definedName>
    <definedName name="HPWH4" localSheetId="38">'[10]5.4.3'!$F$34:$F$36</definedName>
    <definedName name="HPWH4" localSheetId="39">'[10]5.4.3'!$F$34:$F$36</definedName>
    <definedName name="HPWH4" localSheetId="40">'[10]5.4.3'!$F$34:$F$36</definedName>
    <definedName name="HPWH4" localSheetId="41">'[10]5.4.3'!$F$34:$F$36</definedName>
    <definedName name="HPWH4" localSheetId="43">'[10]5.4.3'!$F$34:$F$36</definedName>
    <definedName name="HPWH4" localSheetId="44">'[10]5.4.3'!$F$34:$F$36</definedName>
    <definedName name="HPWH4" localSheetId="42">'[9]5.4.3'!$F$34:$F$36</definedName>
    <definedName name="HPWH4" localSheetId="49">'[10]5.4.3'!$F$34:$F$36</definedName>
    <definedName name="HPWH4" localSheetId="50">'[11]5.4.3'!$F$34:$F$37</definedName>
    <definedName name="HPWH4" localSheetId="51">'[10]5.4.3'!$F$34:$F$36</definedName>
    <definedName name="HPWH4" localSheetId="52">'[10]5.4.3'!$F$34:$F$36</definedName>
    <definedName name="HPWH4" localSheetId="45">'[10]5.4.3'!$F$34:$F$36</definedName>
    <definedName name="HPWH4" localSheetId="47">'[12]5.4.3'!$F$34:$F$36</definedName>
    <definedName name="HPWH4" localSheetId="53">'[10]5.4.3'!$F$34:$F$36</definedName>
    <definedName name="HPWH4" localSheetId="59">'[10]5.4.3'!$F$34:$F$36</definedName>
    <definedName name="HPWH4" localSheetId="54">'[13]5.4.3'!$F$34:$F$37</definedName>
    <definedName name="HPWH4" localSheetId="57">'[10]5.4.3'!$F$34:$F$36</definedName>
    <definedName name="HPWH4" localSheetId="58">'[11]5.4.3'!$F$34:$F$37</definedName>
    <definedName name="HPWH4" localSheetId="61">'[11]5.4.3'!$F$34:$F$37</definedName>
    <definedName name="HPWH4" localSheetId="63">'[10]5.4.3'!$F$34:$F$36</definedName>
    <definedName name="HPWH4" localSheetId="65">'[11]5.4.3'!$F$34:$F$37</definedName>
    <definedName name="HPWH4" localSheetId="66">'[10]5.4.3'!$F$34:$F$36</definedName>
    <definedName name="HPWH4" localSheetId="72">'[11]5.4.3'!$F$34:$F$37</definedName>
    <definedName name="HPWH4" localSheetId="73">'[11]5.4.3'!$F$34:$F$37</definedName>
    <definedName name="HPWH4" localSheetId="70">'[10]5.4.3'!$F$34:$F$36</definedName>
    <definedName name="HPWH4" localSheetId="68">'[11]5.4.3'!$F$34:$F$37</definedName>
    <definedName name="HPWH4">'[14]5.4.3'!$F$34:$F$36</definedName>
    <definedName name="HPWH5" localSheetId="13">'[9]5.4.3'!$G$34:$G$35</definedName>
    <definedName name="HPWH5" localSheetId="7">'[9]5.4.3'!$G$34:$G$35</definedName>
    <definedName name="HPWH5" localSheetId="23">'[9]5.4.3'!$G$34:$G$35</definedName>
    <definedName name="HPWH5" localSheetId="28">'[10]5.4.3'!$G$34:$G$35</definedName>
    <definedName name="HPWH5" localSheetId="33">'[10]5.4.3'!$G$34:$G$35</definedName>
    <definedName name="HPWH5" localSheetId="34">'[9]5.4.3'!$G$34:$G$35</definedName>
    <definedName name="HPWH5" localSheetId="35">'[9]5.4.3'!$G$34:$G$35</definedName>
    <definedName name="HPWH5" localSheetId="36">'[9]5.4.3'!$G$34:$G$35</definedName>
    <definedName name="HPWH5" localSheetId="37">'[9]5.4.3'!$G$34:$G$35</definedName>
    <definedName name="HPWH5" localSheetId="38">'[10]5.4.3'!$G$34:$G$35</definedName>
    <definedName name="HPWH5" localSheetId="39">'[10]5.4.3'!$G$34:$G$35</definedName>
    <definedName name="HPWH5" localSheetId="40">'[10]5.4.3'!$G$34:$G$35</definedName>
    <definedName name="HPWH5" localSheetId="41">'[10]5.4.3'!$G$34:$G$35</definedName>
    <definedName name="HPWH5" localSheetId="43">'[10]5.4.3'!$G$34:$G$35</definedName>
    <definedName name="HPWH5" localSheetId="44">'[10]5.4.3'!$G$34:$G$35</definedName>
    <definedName name="HPWH5" localSheetId="42">'[9]5.4.3'!$G$34:$G$35</definedName>
    <definedName name="HPWH5" localSheetId="49">'[10]5.4.3'!$G$34:$G$35</definedName>
    <definedName name="HPWH5" localSheetId="50">'[11]5.4.3'!$G$34:$G$35</definedName>
    <definedName name="HPWH5" localSheetId="51">'[10]5.4.3'!$G$34:$G$35</definedName>
    <definedName name="HPWH5" localSheetId="52">'[10]5.4.3'!$G$34:$G$35</definedName>
    <definedName name="HPWH5" localSheetId="45">'[10]5.4.3'!$G$34:$G$35</definedName>
    <definedName name="HPWH5" localSheetId="47">'[12]5.4.3'!$G$34:$G$35</definedName>
    <definedName name="HPWH5" localSheetId="53">'[10]5.4.3'!$G$34:$G$35</definedName>
    <definedName name="HPWH5" localSheetId="59">'[10]5.4.3'!$G$34:$G$35</definedName>
    <definedName name="HPWH5" localSheetId="54">'[13]5.4.3'!$G$34:$G$35</definedName>
    <definedName name="HPWH5" localSheetId="57">'[10]5.4.3'!$G$34:$G$35</definedName>
    <definedName name="HPWH5" localSheetId="58">'[11]5.4.3'!$G$34:$G$35</definedName>
    <definedName name="HPWH5" localSheetId="61">'[11]5.4.3'!$G$34:$G$35</definedName>
    <definedName name="HPWH5" localSheetId="63">'[10]5.4.3'!$G$34:$G$35</definedName>
    <definedName name="HPWH5" localSheetId="65">'[11]5.4.3'!$G$34:$G$35</definedName>
    <definedName name="HPWH5" localSheetId="66">'[10]5.4.3'!$G$34:$G$35</definedName>
    <definedName name="HPWH5" localSheetId="72">'[11]5.4.3'!$G$34:$G$35</definedName>
    <definedName name="HPWH5" localSheetId="73">'[11]5.4.3'!$G$34:$G$35</definedName>
    <definedName name="HPWH5" localSheetId="70">'[10]5.4.3'!$G$34:$G$35</definedName>
    <definedName name="HPWH5" localSheetId="68">'[11]5.4.3'!$G$34:$G$35</definedName>
    <definedName name="HPWH5">'[14]5.4.3'!$G$34:$G$35</definedName>
    <definedName name="HSF" localSheetId="13">'[5]4.1.3'!$B$11:$B$13</definedName>
    <definedName name="HSF" localSheetId="7">'[5]4.1.3'!$B$11:$B$13</definedName>
    <definedName name="HSF" localSheetId="23">'[5]4.1.3'!$B$11:$B$13</definedName>
    <definedName name="HSF" localSheetId="34">'[6]4.1.3'!$B$11:$B$13</definedName>
    <definedName name="HSF" localSheetId="35">'[6]4.1.3'!$B$11:$B$13</definedName>
    <definedName name="HSF" localSheetId="36">'[5]4.1.3'!$B$11:$B$13</definedName>
    <definedName name="HSF" localSheetId="37">'[5]4.1.3'!$B$11:$B$13</definedName>
    <definedName name="HSF" localSheetId="40">'[5]4.1.3'!$B$11:$B$13</definedName>
    <definedName name="HSF" localSheetId="41">'[5]4.1.3'!$B$11:$B$13</definedName>
    <definedName name="HSF" localSheetId="42">'[6]4.1.3'!$B$11:$B$13</definedName>
    <definedName name="HSF">'[7]4.1.3'!$B$11:$B$13</definedName>
    <definedName name="HT8FL1" localSheetId="13">'[18]4.5.3'!$B$49:$B$71</definedName>
    <definedName name="HT8FL1" localSheetId="7">'[18]4.5.3'!$B$49:$B$71</definedName>
    <definedName name="HT8FL1" localSheetId="23">'[18]4.5.3'!$B$49:$B$71</definedName>
    <definedName name="HT8FL1" localSheetId="28">'[22]4.5.3'!$B$49:$B$71</definedName>
    <definedName name="HT8FL1" localSheetId="34">'[18]4.5.3'!$B$49:$B$71</definedName>
    <definedName name="HT8FL1" localSheetId="35">'[18]4.5.3'!$B$49:$B$71</definedName>
    <definedName name="HT8FL1" localSheetId="36">'[18]4.5.3'!$B$49:$B$71</definedName>
    <definedName name="HT8FL1" localSheetId="37">'[18]4.5.3'!$B$49:$B$71</definedName>
    <definedName name="HT8FL1" localSheetId="38">'[22]4.5.3'!$B$49:$B$71</definedName>
    <definedName name="HT8FL1" localSheetId="39">'[23]4.5.3'!$B$49:$B$71</definedName>
    <definedName name="HT8FL1" localSheetId="40">'[20]4.5.3'!$B$49:$B$71</definedName>
    <definedName name="HT8FL1" localSheetId="41">'[20]4.5.3'!$B$49:$B$71</definedName>
    <definedName name="HT8FL1" localSheetId="43">'[22]4.5.3'!$B$49:$B$71</definedName>
    <definedName name="HT8FL1" localSheetId="44">'[22]4.5.3'!$B$49:$B$71</definedName>
    <definedName name="HT8FL1" localSheetId="42">'[18]4.5.3'!$B$49:$B$71</definedName>
    <definedName name="HT8FL1" localSheetId="49">'[20]4.5.3'!$B$49:$B$71</definedName>
    <definedName name="HT8FL1" localSheetId="50">'[20]4.5.3'!$B$49:$B$71</definedName>
    <definedName name="HT8FL1" localSheetId="51">'[20]4.5.3'!$B$49:$B$71</definedName>
    <definedName name="HT8FL1" localSheetId="52">'[20]4.5.3'!$B$49:$B$71</definedName>
    <definedName name="HT8FL1" localSheetId="59">'[20]4.5.3'!$B$49:$B$71</definedName>
    <definedName name="HT8FL1" localSheetId="54">'[20]4.5.3'!$B$49:$B$71</definedName>
    <definedName name="HT8FL1" localSheetId="58">'[20]4.5.3'!$B$49:$B$71</definedName>
    <definedName name="HT8FL1" localSheetId="61">'[20]4.5.3'!$B$49:$B$71</definedName>
    <definedName name="HT8FL1" localSheetId="63">'[20]4.5.3'!$B$49:$B$71</definedName>
    <definedName name="HT8FL1" localSheetId="65">'[20]4.5.3'!$B$49:$B$71</definedName>
    <definedName name="HT8FL1" localSheetId="66">'[20]4.5.3'!$B$49:$B$71</definedName>
    <definedName name="HT8FL1" localSheetId="71">'[20]4.5.3'!$B$49:$B$71</definedName>
    <definedName name="HT8FL1" localSheetId="72">'[20]4.5.3'!$B$49:$B$71</definedName>
    <definedName name="HT8FL1" localSheetId="73">'[20]4.5.3'!$B$49:$B$71</definedName>
    <definedName name="HT8FL1" localSheetId="67">'[20]4.5.3'!$B$49:$B$71</definedName>
    <definedName name="HT8FL1" localSheetId="68">'[20]4.5.3'!$B$49:$B$71</definedName>
    <definedName name="HT8FL1">'[19]4.5.3'!$B$49:$B$71</definedName>
    <definedName name="HVACT1" localSheetId="13">'[38]5.3.8'!$M$7:$M$8</definedName>
    <definedName name="HVACT1" localSheetId="7">'[38]5.3.8'!$M$7:$M$8</definedName>
    <definedName name="HVACT1" localSheetId="23">'[38]5.3.8'!$M$7:$M$8</definedName>
    <definedName name="HVACT1" localSheetId="28">'[39]5.3.10'!$M$7:$M$8</definedName>
    <definedName name="HVACT1" localSheetId="34">'[38]5.3.8'!$M$7:$M$8</definedName>
    <definedName name="HVACT1" localSheetId="35">'[38]5.3.8'!$M$7:$M$8</definedName>
    <definedName name="HVACT1" localSheetId="36">'[38]5.3.8'!$M$7:$M$8</definedName>
    <definedName name="HVACT1" localSheetId="37">'[38]5.3.8'!$M$7:$M$8</definedName>
    <definedName name="HVACT1" localSheetId="38">'[39]5.3.10'!$M$7:$M$8</definedName>
    <definedName name="HVACT1" localSheetId="39">'[39]5.3.10'!$M$7:$M$8</definedName>
    <definedName name="HVACT1" localSheetId="40">'[25]5.3.10'!$M$7:$M$8</definedName>
    <definedName name="HVACT1" localSheetId="41">'[25]5.3.10'!$M$7:$M$8</definedName>
    <definedName name="HVACT1" localSheetId="43">'[39]5.3.10'!$M$7:$M$8</definedName>
    <definedName name="HVACT1" localSheetId="44">'[39]5.3.10'!$M$7:$M$8</definedName>
    <definedName name="HVACT1" localSheetId="42">'[38]5.3.8'!$M$7:$M$8</definedName>
    <definedName name="HVACT1" localSheetId="49">'5.3.13'!#REF!</definedName>
    <definedName name="HVACT1" localSheetId="50">'[39]5.3.10'!$M$7:$M$8</definedName>
    <definedName name="HVACT1" localSheetId="51">'[27]5.3.10'!$M$7:$M$8</definedName>
    <definedName name="HVACT1" localSheetId="52">'[25]5.3.10'!$M$7:$M$8</definedName>
    <definedName name="HVACT1" localSheetId="59">'[25]5.3.10'!$M$7:$M$8</definedName>
    <definedName name="HVACT1" localSheetId="54">'[39]5.3.10'!$M$7:$M$8</definedName>
    <definedName name="HVACT1" localSheetId="58">'[39]5.3.10'!$M$7:$M$8</definedName>
    <definedName name="HVACT1" localSheetId="61">'[39]5.3.10'!$M$7:$M$8</definedName>
    <definedName name="HVACT1" localSheetId="63">'[26]5.3.10'!$M$7:$M$8</definedName>
    <definedName name="HVACT1" localSheetId="65">'[39]5.3.10'!$M$7:$M$8</definedName>
    <definedName name="HVACT1" localSheetId="66">'[25]5.3.10'!$M$7:$M$8</definedName>
    <definedName name="HVACT1" localSheetId="71">'[39]5.3.10'!$M$7:$M$8</definedName>
    <definedName name="HVACT1" localSheetId="72">'[39]5.3.10'!$M$7:$M$8</definedName>
    <definedName name="HVACT1" localSheetId="73">'[39]5.3.10'!$M$7:$M$8</definedName>
    <definedName name="HVACT1" localSheetId="67">'[39]5.3.10'!$M$7:$M$8</definedName>
    <definedName name="HVACT1" localSheetId="68">'[39]5.3.10'!$M$7:$M$8</definedName>
    <definedName name="HVACT1">'[28]5.3.10'!$M$7:$M$8</definedName>
    <definedName name="HVLSF1" localSheetId="13">'[5]4.1.2'!$B$11:$B$13</definedName>
    <definedName name="HVLSF1" localSheetId="7">'[5]4.1.2'!$B$11:$B$13</definedName>
    <definedName name="HVLSF1" localSheetId="23">'[5]4.1.2'!$B$11:$B$13</definedName>
    <definedName name="HVLSF1" localSheetId="34">'[6]4.1.2'!$B$11:$B$13</definedName>
    <definedName name="HVLSF1" localSheetId="35">'[6]4.1.2'!$B$11:$B$13</definedName>
    <definedName name="HVLSF1" localSheetId="36">'[5]4.1.2'!$B$11:$B$13</definedName>
    <definedName name="HVLSF1" localSheetId="37">'[5]4.1.2'!$B$11:$B$13</definedName>
    <definedName name="HVLSF1" localSheetId="40">'[5]4.1.2'!$B$11:$B$13</definedName>
    <definedName name="HVLSF1" localSheetId="41">'[5]4.1.2'!$B$11:$B$13</definedName>
    <definedName name="HVLSF1" localSheetId="42">'[6]4.1.2'!$B$11:$B$13</definedName>
    <definedName name="HVLSF1">'[7]4.1.2'!$B$11:$B$13</definedName>
    <definedName name="ID">#REF!</definedName>
    <definedName name="IHCFL1" localSheetId="23">#REF!</definedName>
    <definedName name="IHCFL1" localSheetId="34">#REF!</definedName>
    <definedName name="IHCFL1" localSheetId="35">#REF!</definedName>
    <definedName name="IHCFL1" localSheetId="36">#REF!</definedName>
    <definedName name="IHCFL1" localSheetId="37">#REF!</definedName>
    <definedName name="IHCFL1" localSheetId="40">#REF!</definedName>
    <definedName name="IHCFL1" localSheetId="41">#REF!</definedName>
    <definedName name="IHCFL1" localSheetId="42">#REF!</definedName>
    <definedName name="IHCFL1" localSheetId="2">#REF!</definedName>
    <definedName name="IHCFL1">#REF!</definedName>
    <definedName name="IHCFL2" localSheetId="23">#REF!</definedName>
    <definedName name="IHCFL2" localSheetId="34">#REF!</definedName>
    <definedName name="IHCFL2" localSheetId="35">#REF!</definedName>
    <definedName name="IHCFL2" localSheetId="36">#REF!</definedName>
    <definedName name="IHCFL2" localSheetId="37">#REF!</definedName>
    <definedName name="IHCFL2" localSheetId="40">#REF!</definedName>
    <definedName name="IHCFL2" localSheetId="41">#REF!</definedName>
    <definedName name="IHCFL2" localSheetId="42">#REF!</definedName>
    <definedName name="IHCFL2" localSheetId="2">#REF!</definedName>
    <definedName name="IHCFL2">#REF!</definedName>
    <definedName name="IHCFL3" localSheetId="23">#REF!</definedName>
    <definedName name="IHCFL3" localSheetId="34">#REF!</definedName>
    <definedName name="IHCFL3" localSheetId="35">#REF!</definedName>
    <definedName name="IHCFL3" localSheetId="36">#REF!</definedName>
    <definedName name="IHCFL3" localSheetId="37">#REF!</definedName>
    <definedName name="IHCFL3" localSheetId="40">#REF!</definedName>
    <definedName name="IHCFL3" localSheetId="41">#REF!</definedName>
    <definedName name="IHCFL3" localSheetId="42">#REF!</definedName>
    <definedName name="IHCFL3" localSheetId="2">#REF!</definedName>
    <definedName name="IHCFL3">#REF!</definedName>
    <definedName name="IHCFLF1" localSheetId="13">'[38]5.5.5'!$J$11:$J$12</definedName>
    <definedName name="IHCFLF1" localSheetId="7">'[38]5.5.5'!$J$11:$J$12</definedName>
    <definedName name="IHCFLF1" localSheetId="23">'[38]5.5.5'!$J$11:$J$12</definedName>
    <definedName name="IHCFLF1" localSheetId="28">'[39]5.5.5'!$J$11:$J$12</definedName>
    <definedName name="IHCFLF1" localSheetId="34">'[38]5.5.5'!$J$11:$J$12</definedName>
    <definedName name="IHCFLF1" localSheetId="35">'[38]5.5.5'!$J$11:$J$12</definedName>
    <definedName name="IHCFLF1" localSheetId="36">'[38]5.5.5'!$J$11:$J$12</definedName>
    <definedName name="IHCFLF1" localSheetId="37">'[38]5.5.5'!$J$11:$J$12</definedName>
    <definedName name="IHCFLF1" localSheetId="38">'[39]5.5.5'!$J$11:$J$12</definedName>
    <definedName name="IHCFLF1" localSheetId="39">'[39]5.5.5'!$J$11:$J$12</definedName>
    <definedName name="IHCFLF1" localSheetId="40">'[25]5.5.5'!$J$11:$J$12</definedName>
    <definedName name="IHCFLF1" localSheetId="41">'[25]5.5.5'!$J$11:$J$12</definedName>
    <definedName name="IHCFLF1" localSheetId="43">'[39]5.5.5'!$J$11:$J$12</definedName>
    <definedName name="IHCFLF1" localSheetId="44">'[39]5.5.5'!$J$11:$J$12</definedName>
    <definedName name="IHCFLF1" localSheetId="42">'[38]5.5.5'!$J$11:$J$12</definedName>
    <definedName name="IHCFLF1" localSheetId="49">'[26]5.5.5'!$J$11:$J$12</definedName>
    <definedName name="IHCFLF1" localSheetId="50">'[39]5.5.5'!$J$11:$J$12</definedName>
    <definedName name="IHCFLF1" localSheetId="51">'[27]5.5.5'!$J$11:$J$12</definedName>
    <definedName name="IHCFLF1" localSheetId="52">'[25]5.5.5'!$J$11:$J$12</definedName>
    <definedName name="IHCFLF1" localSheetId="59">'[25]5.5.5'!$J$11:$J$12</definedName>
    <definedName name="IHCFLF1" localSheetId="54">'[39]5.5.5'!$J$11:$J$12</definedName>
    <definedName name="IHCFLF1" localSheetId="58">'[39]5.5.5'!$J$11:$J$12</definedName>
    <definedName name="IHCFLF1" localSheetId="61">'[39]5.5.5'!$J$11:$J$12</definedName>
    <definedName name="IHCFLF1" localSheetId="63">'[26]5.5.5'!$J$11:$J$12</definedName>
    <definedName name="IHCFLF1" localSheetId="65">'[39]5.5.5'!$J$11:$J$12</definedName>
    <definedName name="IHCFLF1" localSheetId="66">'[25]5.5.5'!$J$11:$J$12</definedName>
    <definedName name="IHCFLF1" localSheetId="71">'[39]5.5.5'!$J$11:$J$12</definedName>
    <definedName name="IHCFLF1" localSheetId="72">'[39]5.5.5'!$J$11:$J$12</definedName>
    <definedName name="IHCFLF1" localSheetId="73">'[39]5.5.5'!$J$11:$J$12</definedName>
    <definedName name="IHCFLF1" localSheetId="67">'[39]5.5.5'!$J$11:$J$12</definedName>
    <definedName name="IHCFLF1" localSheetId="68">'[39]5.5.5'!$J$11:$J$12</definedName>
    <definedName name="IHCFLF1">'[28]5.5.5'!$J$11:$J$12</definedName>
    <definedName name="IHCFLF2" localSheetId="13">'[38]5.5.5'!$C$30:$C$37</definedName>
    <definedName name="IHCFLF2" localSheetId="7">'[38]5.5.5'!$C$30:$C$37</definedName>
    <definedName name="IHCFLF2" localSheetId="23">'[38]5.5.5'!$C$30:$C$37</definedName>
    <definedName name="IHCFLF2" localSheetId="28">'[39]5.5.5'!$C$30:$C$37</definedName>
    <definedName name="IHCFLF2" localSheetId="34">'[38]5.5.5'!$C$30:$C$37</definedName>
    <definedName name="IHCFLF2" localSheetId="35">'[38]5.5.5'!$C$30:$C$37</definedName>
    <definedName name="IHCFLF2" localSheetId="36">'[38]5.5.5'!$C$30:$C$37</definedName>
    <definedName name="IHCFLF2" localSheetId="37">'[38]5.5.5'!$C$30:$C$37</definedName>
    <definedName name="IHCFLF2" localSheetId="38">'[39]5.5.5'!$C$30:$C$37</definedName>
    <definedName name="IHCFLF2" localSheetId="39">'[39]5.5.5'!$C$30:$C$37</definedName>
    <definedName name="IHCFLF2" localSheetId="40">'[25]5.5.5'!$C$30:$C$37</definedName>
    <definedName name="IHCFLF2" localSheetId="41">'[25]5.5.5'!$C$30:$C$37</definedName>
    <definedName name="IHCFLF2" localSheetId="43">'[39]5.5.5'!$C$30:$C$37</definedName>
    <definedName name="IHCFLF2" localSheetId="44">'[39]5.5.5'!$C$30:$C$37</definedName>
    <definedName name="IHCFLF2" localSheetId="42">'[38]5.5.5'!$C$30:$C$37</definedName>
    <definedName name="IHCFLF2" localSheetId="49">'[26]5.5.5'!$C$30:$C$37</definedName>
    <definedName name="IHCFLF2" localSheetId="50">'[39]5.5.5'!$C$30:$C$37</definedName>
    <definedName name="IHCFLF2" localSheetId="51">'[27]5.5.5'!$C$30:$C$37</definedName>
    <definedName name="IHCFLF2" localSheetId="52">'[25]5.5.5'!$C$30:$C$37</definedName>
    <definedName name="IHCFLF2" localSheetId="59">'[25]5.5.5'!$C$30:$C$37</definedName>
    <definedName name="IHCFLF2" localSheetId="54">'[39]5.5.5'!$C$30:$C$37</definedName>
    <definedName name="IHCFLF2" localSheetId="58">'[39]5.5.5'!$C$30:$C$37</definedName>
    <definedName name="IHCFLF2" localSheetId="61">'[39]5.5.5'!$C$30:$C$37</definedName>
    <definedName name="IHCFLF2" localSheetId="63">'[26]5.5.5'!$C$30:$C$37</definedName>
    <definedName name="IHCFLF2" localSheetId="65">'[39]5.5.5'!$C$30:$C$37</definedName>
    <definedName name="IHCFLF2" localSheetId="66">'[25]5.5.5'!$C$30:$C$37</definedName>
    <definedName name="IHCFLF2" localSheetId="71">'[39]5.5.5'!$C$30:$C$37</definedName>
    <definedName name="IHCFLF2" localSheetId="72">'[39]5.5.5'!$C$30:$C$37</definedName>
    <definedName name="IHCFLF2" localSheetId="73">'[39]5.5.5'!$C$30:$C$37</definedName>
    <definedName name="IHCFLF2" localSheetId="67">'[39]5.5.5'!$C$30:$C$37</definedName>
    <definedName name="IHCFLF2" localSheetId="68">'[39]5.5.5'!$C$30:$C$37</definedName>
    <definedName name="IHCFLF2">'[28]5.5.5'!$C$30:$C$37</definedName>
    <definedName name="IHCFLF3" localSheetId="13">'[38]5.5.5'!$K$31:$K$34</definedName>
    <definedName name="IHCFLF3" localSheetId="7">'[38]5.5.5'!$K$31:$K$34</definedName>
    <definedName name="IHCFLF3" localSheetId="23">'[38]5.5.5'!$K$31:$K$34</definedName>
    <definedName name="IHCFLF3" localSheetId="28">'[39]5.5.5'!$K$31:$K$34</definedName>
    <definedName name="IHCFLF3" localSheetId="34">'[38]5.5.5'!$K$31:$K$34</definedName>
    <definedName name="IHCFLF3" localSheetId="35">'[38]5.5.5'!$K$31:$K$34</definedName>
    <definedName name="IHCFLF3" localSheetId="36">'[38]5.5.5'!$K$31:$K$34</definedName>
    <definedName name="IHCFLF3" localSheetId="37">'[38]5.5.5'!$K$31:$K$34</definedName>
    <definedName name="IHCFLF3" localSheetId="38">'[39]5.5.5'!$K$31:$K$34</definedName>
    <definedName name="IHCFLF3" localSheetId="39">'[39]5.5.5'!$K$31:$K$34</definedName>
    <definedName name="IHCFLF3" localSheetId="40">'[25]5.5.5'!$K$31:$K$34</definedName>
    <definedName name="IHCFLF3" localSheetId="41">'[25]5.5.5'!$K$31:$K$34</definedName>
    <definedName name="IHCFLF3" localSheetId="43">'[39]5.5.5'!$K$31:$K$34</definedName>
    <definedName name="IHCFLF3" localSheetId="44">'[39]5.5.5'!$K$31:$K$34</definedName>
    <definedName name="IHCFLF3" localSheetId="42">'[38]5.5.5'!$K$31:$K$34</definedName>
    <definedName name="IHCFLF3" localSheetId="49">'[26]5.5.5'!$K$31:$K$34</definedName>
    <definedName name="IHCFLF3" localSheetId="50">'[39]5.5.5'!$K$31:$K$34</definedName>
    <definedName name="IHCFLF3" localSheetId="51">'[27]5.5.5'!$K$31:$K$34</definedName>
    <definedName name="IHCFLF3" localSheetId="52">'[25]5.5.5'!$K$31:$K$34</definedName>
    <definedName name="IHCFLF3" localSheetId="59">'[25]5.5.5'!$K$31:$K$34</definedName>
    <definedName name="IHCFLF3" localSheetId="54">'[39]5.5.5'!$K$31:$K$34</definedName>
    <definedName name="IHCFLF3" localSheetId="58">'[39]5.5.5'!$K$31:$K$34</definedName>
    <definedName name="IHCFLF3" localSheetId="61">'[39]5.5.5'!$K$31:$K$34</definedName>
    <definedName name="IHCFLF3" localSheetId="63">'[26]5.5.5'!$K$31:$K$34</definedName>
    <definedName name="IHCFLF3" localSheetId="65">'[39]5.5.5'!$K$31:$K$34</definedName>
    <definedName name="IHCFLF3" localSheetId="66">'[25]5.5.5'!$K$31:$K$34</definedName>
    <definedName name="IHCFLF3" localSheetId="71">'[39]5.5.5'!$K$31:$K$34</definedName>
    <definedName name="IHCFLF3" localSheetId="72">'[39]5.5.5'!$K$31:$K$34</definedName>
    <definedName name="IHCFLF3" localSheetId="73">'[39]5.5.5'!$K$31:$K$34</definedName>
    <definedName name="IHCFLF3" localSheetId="67">'[39]5.5.5'!$K$31:$K$34</definedName>
    <definedName name="IHCFLF3" localSheetId="68">'[39]5.5.5'!$K$31:$K$34</definedName>
    <definedName name="IHCFLF3">'[28]5.5.5'!$K$31:$K$34</definedName>
    <definedName name="IHCFLF4" localSheetId="13">'[38]5.5.5'!$I$42:$I$45</definedName>
    <definedName name="IHCFLF4" localSheetId="7">'[38]5.5.5'!$I$42:$I$45</definedName>
    <definedName name="IHCFLF4" localSheetId="23">'[38]5.5.5'!$I$42:$I$45</definedName>
    <definedName name="IHCFLF4" localSheetId="28">'[39]5.5.5'!$I$42:$I$45</definedName>
    <definedName name="IHCFLF4" localSheetId="34">'[38]5.5.5'!$I$42:$I$45</definedName>
    <definedName name="IHCFLF4" localSheetId="35">'[38]5.5.5'!$I$42:$I$45</definedName>
    <definedName name="IHCFLF4" localSheetId="36">'[38]5.5.5'!$I$42:$I$45</definedName>
    <definedName name="IHCFLF4" localSheetId="37">'[38]5.5.5'!$I$42:$I$45</definedName>
    <definedName name="IHCFLF4" localSheetId="38">'[39]5.5.5'!$I$42:$I$45</definedName>
    <definedName name="IHCFLF4" localSheetId="39">'[39]5.5.5'!$I$42:$I$45</definedName>
    <definedName name="IHCFLF4" localSheetId="40">'[25]5.5.5'!$I$42:$I$45</definedName>
    <definedName name="IHCFLF4" localSheetId="41">'[25]5.5.5'!$I$42:$I$45</definedName>
    <definedName name="IHCFLF4" localSheetId="43">'[39]5.5.5'!$I$42:$I$45</definedName>
    <definedName name="IHCFLF4" localSheetId="44">'[39]5.5.5'!$I$42:$I$45</definedName>
    <definedName name="IHCFLF4" localSheetId="42">'[38]5.5.5'!$I$42:$I$45</definedName>
    <definedName name="IHCFLF4" localSheetId="49">'[26]5.5.5'!$I$42:$I$45</definedName>
    <definedName name="IHCFLF4" localSheetId="50">'[39]5.5.5'!$I$42:$I$45</definedName>
    <definedName name="IHCFLF4" localSheetId="51">'[27]5.5.5'!$I$42:$I$45</definedName>
    <definedName name="IHCFLF4" localSheetId="52">'[25]5.5.5'!$I$42:$I$45</definedName>
    <definedName name="IHCFLF4" localSheetId="59">'[25]5.5.5'!$I$42:$I$45</definedName>
    <definedName name="IHCFLF4" localSheetId="54">'[39]5.5.5'!$I$42:$I$45</definedName>
    <definedName name="IHCFLF4" localSheetId="58">'[39]5.5.5'!$I$42:$I$45</definedName>
    <definedName name="IHCFLF4" localSheetId="61">'[39]5.5.5'!$I$42:$I$45</definedName>
    <definedName name="IHCFLF4" localSheetId="63">'[26]5.5.5'!$I$42:$I$45</definedName>
    <definedName name="IHCFLF4" localSheetId="65">'[39]5.5.5'!$I$42:$I$45</definedName>
    <definedName name="IHCFLF4" localSheetId="66">'[25]5.5.5'!$I$42:$I$45</definedName>
    <definedName name="IHCFLF4" localSheetId="71">'[39]5.5.5'!$I$42:$I$45</definedName>
    <definedName name="IHCFLF4" localSheetId="72">'[39]5.5.5'!$I$42:$I$45</definedName>
    <definedName name="IHCFLF4" localSheetId="73">'[39]5.5.5'!$I$42:$I$45</definedName>
    <definedName name="IHCFLF4" localSheetId="67">'[39]5.5.5'!$I$42:$I$45</definedName>
    <definedName name="IHCFLF4" localSheetId="68">'[39]5.5.5'!$I$42:$I$45</definedName>
    <definedName name="IHCFLF4">'[28]5.5.5'!$I$42:$I$45</definedName>
    <definedName name="Incremental_Cost_Sources" localSheetId="61">#REF!</definedName>
    <definedName name="Incremental_Cost_Sources" localSheetId="72">#REF!</definedName>
    <definedName name="Incremental_Cost_Sources" localSheetId="73">#REF!</definedName>
    <definedName name="Incremental_Cost_Sources" localSheetId="67">#REF!</definedName>
    <definedName name="Incremental_Cost_Sources" localSheetId="2">#REF!</definedName>
    <definedName name="Incremental_Cost_Sources" localSheetId="68">#REF!</definedName>
    <definedName name="Incremental_Cost_Sources">#REF!</definedName>
    <definedName name="Indoor_Outdoor" localSheetId="13">'[5]4.3.4'!$B$43:$B$44</definedName>
    <definedName name="Indoor_Outdoor" localSheetId="7">'[5]4.3.4'!$B$43:$B$44</definedName>
    <definedName name="Indoor_Outdoor" localSheetId="23">'[5]4.3.4'!$B$43:$B$44</definedName>
    <definedName name="Indoor_Outdoor" localSheetId="34">'[6]4.3.4'!$B$43:$B$44</definedName>
    <definedName name="Indoor_Outdoor" localSheetId="35">'[6]4.3.4'!$B$43:$B$44</definedName>
    <definedName name="Indoor_Outdoor" localSheetId="36">'[5]4.3.4'!$B$43:$B$44</definedName>
    <definedName name="Indoor_Outdoor" localSheetId="37">'[5]4.3.4'!$B$43:$B$44</definedName>
    <definedName name="Indoor_Outdoor" localSheetId="40">'[5]4.3.4'!$B$43:$B$44</definedName>
    <definedName name="Indoor_Outdoor" localSheetId="41">'[5]4.3.4'!$B$43:$B$44</definedName>
    <definedName name="Indoor_Outdoor" localSheetId="42">'[6]4.3.4'!$B$43:$B$44</definedName>
    <definedName name="Indoor_Outdoor" localSheetId="2">'[15]4.3.4'!$B$37:$B$38</definedName>
    <definedName name="Indoor_Outdoor">'4.3.4'!$B$38:$B$39</definedName>
    <definedName name="InflationRate">'[8]Discounting Tables'!$B$6</definedName>
    <definedName name="InputEndUses" localSheetId="13">'[48]Main Input'!$M$6:$M$20</definedName>
    <definedName name="InputEndUses" localSheetId="7">'[48]Main Input'!$M$6:$M$20</definedName>
    <definedName name="InputEndUses" localSheetId="23">'[48]Main Input'!$M$6:$M$20</definedName>
    <definedName name="InputEndUses" localSheetId="28">'[48]Main Input'!$M$6:$M$20</definedName>
    <definedName name="InputEndUses" localSheetId="34">'[48]Main Input'!$M$6:$M$20</definedName>
    <definedName name="InputEndUses" localSheetId="35">'[48]Main Input'!$M$6:$M$20</definedName>
    <definedName name="InputEndUses" localSheetId="36">'[48]Main Input'!$M$6:$M$20</definedName>
    <definedName name="InputEndUses" localSheetId="37">'[48]Main Input'!$M$6:$M$20</definedName>
    <definedName name="InputEndUses" localSheetId="38">'[48]Main Input'!$M$6:$M$20</definedName>
    <definedName name="InputEndUses" localSheetId="39">'[48]Main Input'!$M$6:$M$20</definedName>
    <definedName name="InputEndUses" localSheetId="40">'[48]Main Input'!$M$6:$M$20</definedName>
    <definedName name="InputEndUses" localSheetId="41">'[48]Main Input'!$M$6:$M$20</definedName>
    <definedName name="InputEndUses" localSheetId="43">'[48]Main Input'!$M$6:$M$20</definedName>
    <definedName name="InputEndUses" localSheetId="44">'[48]Main Input'!$M$6:$M$20</definedName>
    <definedName name="InputEndUses" localSheetId="42">'[48]Main Input'!$M$6:$M$20</definedName>
    <definedName name="InputEndUses" localSheetId="49">'[48]Main Input'!$M$6:$M$20</definedName>
    <definedName name="InputEndUses" localSheetId="51">'[48]Main Input'!$M$6:$M$20</definedName>
    <definedName name="InputEndUses" localSheetId="52">'[48]Main Input'!$M$6:$M$20</definedName>
    <definedName name="InputEndUses" localSheetId="45">'[48]Main Input'!$M$6:$M$20</definedName>
    <definedName name="InputEndUses" localSheetId="46">'[48]Main Input'!$M$6:$M$20</definedName>
    <definedName name="InputEndUses" localSheetId="53">'[48]Main Input'!$M$6:$M$20</definedName>
    <definedName name="InputEndUses" localSheetId="59">'[48]Main Input'!$M$6:$M$20</definedName>
    <definedName name="InputEndUses" localSheetId="54">'[48]Main Input'!$M$6:$M$20</definedName>
    <definedName name="InputEndUses" localSheetId="55">'[48]Main Input'!$M$6:$M$20</definedName>
    <definedName name="InputEndUses" localSheetId="57">'[48]Main Input'!$M$6:$M$20</definedName>
    <definedName name="InputEndUses" localSheetId="61">'[49]Main Input'!$M$6:$M$20</definedName>
    <definedName name="InputEndUses" localSheetId="62">'[48]Main Input'!$M$6:$M$20</definedName>
    <definedName name="InputEndUses" localSheetId="63">'[48]Main Input'!$M$6:$M$20</definedName>
    <definedName name="InputEndUses" localSheetId="66">'[48]Main Input'!$M$6:$M$20</definedName>
    <definedName name="InputEndUses" localSheetId="71">'[48]Main Input'!$M$6:$M$20</definedName>
    <definedName name="InputEndUses" localSheetId="72">'[49]Main Input'!$M$6:$M$20</definedName>
    <definedName name="InputEndUses" localSheetId="73">'[49]Main Input'!$M$6:$M$20</definedName>
    <definedName name="InputEndUses" localSheetId="67">'[48]Main Input'!$M$6:$M$20</definedName>
    <definedName name="InputEndUses" localSheetId="70">'[48]Main Input'!$M$6:$M$20</definedName>
    <definedName name="InputEndUses" localSheetId="68">'[49]Main Input'!$M$6:$M$20</definedName>
    <definedName name="InputEndUses">'[50]Main Input'!$M$6:$M$20</definedName>
    <definedName name="IntroPrintArea" hidden="1">#REF!</definedName>
    <definedName name="jj" localSheetId="2">#REF!</definedName>
    <definedName name="jj" localSheetId="1">#REF!</definedName>
    <definedName name="KDVC1" localSheetId="13">'4.2.16'!$B$12:$B$13</definedName>
    <definedName name="KDVC1" localSheetId="7">'[5]4.2.16'!$B$12:$B$13</definedName>
    <definedName name="KDVC1" localSheetId="23">'[5]4.2.16'!$B$12:$B$13</definedName>
    <definedName name="KDVC1" localSheetId="34">'[6]4.2.16'!$B$12:$B$13</definedName>
    <definedName name="KDVC1" localSheetId="35">'[6]4.2.16'!$B$12:$B$13</definedName>
    <definedName name="KDVC1" localSheetId="36">'[5]4.2.16'!$B$12:$B$13</definedName>
    <definedName name="KDVC1" localSheetId="37">'[5]4.2.16'!$B$12:$B$13</definedName>
    <definedName name="KDVC1" localSheetId="40">'[5]4.2.16'!$B$12:$B$13</definedName>
    <definedName name="KDVC1" localSheetId="41">'[5]4.2.16'!$B$12:$B$13</definedName>
    <definedName name="KDVC1" localSheetId="42">'[6]4.2.16'!$B$12:$B$13</definedName>
    <definedName name="KDVC1">'[7]4.2.16'!$B$11:$B$12</definedName>
    <definedName name="LEDBF1" localSheetId="13">'[18]4.5.4'!$H$10:$H$19</definedName>
    <definedName name="LEDBF1" localSheetId="7">'[18]4.5.4'!$H$10:$H$19</definedName>
    <definedName name="LEDBF1" localSheetId="23">'[18]4.5.4'!$H$10:$H$19</definedName>
    <definedName name="LEDBF1" localSheetId="28">'[22]4.5.4'!$H$10:$H$19</definedName>
    <definedName name="LEDBF1" localSheetId="34">'[18]4.5.4'!$H$10:$H$19</definedName>
    <definedName name="LEDBF1" localSheetId="35">'[18]4.5.4'!$H$10:$H$19</definedName>
    <definedName name="LEDBF1" localSheetId="36">'[18]4.5.4'!$H$10:$H$19</definedName>
    <definedName name="LEDBF1" localSheetId="37">'[18]4.5.4'!$H$10:$H$19</definedName>
    <definedName name="LEDBF1" localSheetId="38">'[22]4.5.4'!$H$10:$H$19</definedName>
    <definedName name="LEDBF1" localSheetId="39">'[23]4.5.4'!$H$10:$H$19</definedName>
    <definedName name="LEDBF1" localSheetId="40">'[20]4.5.4'!$H$10:$H$19</definedName>
    <definedName name="LEDBF1" localSheetId="41">'[20]4.5.4'!$H$10:$H$19</definedName>
    <definedName name="LEDBF1" localSheetId="43">'[22]4.5.4'!$H$10:$H$19</definedName>
    <definedName name="LEDBF1" localSheetId="44">'[22]4.5.4'!$H$10:$H$19</definedName>
    <definedName name="LEDBF1" localSheetId="42">'[18]4.5.4'!$H$10:$H$19</definedName>
    <definedName name="LEDBF1" localSheetId="49">'[20]4.5.4'!$H$10:$H$19</definedName>
    <definedName name="LEDBF1" localSheetId="50">'[20]4.5.4'!$H$10:$H$19</definedName>
    <definedName name="LEDBF1" localSheetId="51">'[20]4.5.4'!$H$10:$H$19</definedName>
    <definedName name="LEDBF1" localSheetId="52">'[20]4.5.4'!$H$10:$H$19</definedName>
    <definedName name="LEDBF1" localSheetId="59">'[20]4.5.4'!$H$10:$H$19</definedName>
    <definedName name="LEDBF1" localSheetId="54">'[20]4.5.4'!$H$10:$H$19</definedName>
    <definedName name="LEDBF1" localSheetId="58">'[20]4.5.4'!$H$10:$H$19</definedName>
    <definedName name="LEDBF1" localSheetId="61">'[20]4.5.4'!$H$10:$H$19</definedName>
    <definedName name="LEDBF1" localSheetId="63">'[20]4.5.4'!$H$10:$H$19</definedName>
    <definedName name="LEDBF1" localSheetId="65">'[20]4.5.4'!$H$10:$H$19</definedName>
    <definedName name="LEDBF1" localSheetId="66">'[20]4.5.4'!$H$10:$H$19</definedName>
    <definedName name="LEDBF1" localSheetId="71">'[20]4.5.4'!$H$10:$H$19</definedName>
    <definedName name="LEDBF1" localSheetId="72">'[20]4.5.4'!$H$10:$H$19</definedName>
    <definedName name="LEDBF1" localSheetId="73">'[20]4.5.4'!$H$10:$H$19</definedName>
    <definedName name="LEDBF1" localSheetId="67">'[20]4.5.4'!$H$10:$H$19</definedName>
    <definedName name="LEDBF1" localSheetId="68">'[20]4.5.4'!$H$10:$H$19</definedName>
    <definedName name="LEDBF1">'[19]4.5.4'!$H$10:$H$19</definedName>
    <definedName name="LEDBF2" localSheetId="13">'[18]4.5.4'!$M$6:$M$20</definedName>
    <definedName name="LEDBF2" localSheetId="7">'[18]4.5.4'!$M$6:$M$20</definedName>
    <definedName name="LEDBF2" localSheetId="23">'[18]4.5.4'!$M$6:$M$20</definedName>
    <definedName name="LEDBF2" localSheetId="28">'[22]4.5.4'!$M$6:$M$20</definedName>
    <definedName name="LEDBF2" localSheetId="34">'[18]4.5.4'!$M$6:$M$20</definedName>
    <definedName name="LEDBF2" localSheetId="35">'[18]4.5.4'!$M$6:$M$20</definedName>
    <definedName name="LEDBF2" localSheetId="36">'[18]4.5.4'!$M$6:$M$20</definedName>
    <definedName name="LEDBF2" localSheetId="37">'[18]4.5.4'!$M$6:$M$20</definedName>
    <definedName name="LEDBF2" localSheetId="38">'[22]4.5.4'!$M$6:$M$20</definedName>
    <definedName name="LEDBF2" localSheetId="39">'[23]4.5.4'!$M$6:$M$20</definedName>
    <definedName name="LEDBF2" localSheetId="40">'[20]4.5.4'!$M$6:$M$20</definedName>
    <definedName name="LEDBF2" localSheetId="41">'[20]4.5.4'!$M$6:$M$20</definedName>
    <definedName name="LEDBF2" localSheetId="43">'[22]4.5.4'!$M$6:$M$20</definedName>
    <definedName name="LEDBF2" localSheetId="44">'[22]4.5.4'!$M$6:$M$20</definedName>
    <definedName name="LEDBF2" localSheetId="42">'[18]4.5.4'!$M$6:$M$20</definedName>
    <definedName name="LEDBF2" localSheetId="49">'[20]4.5.4'!$M$6:$M$20</definedName>
    <definedName name="LEDBF2" localSheetId="50">'[20]4.5.4'!$M$6:$M$20</definedName>
    <definedName name="LEDBF2" localSheetId="51">'[20]4.5.4'!$M$6:$M$20</definedName>
    <definedName name="LEDBF2" localSheetId="52">'[20]4.5.4'!$M$6:$M$20</definedName>
    <definedName name="LEDBF2" localSheetId="59">'[20]4.5.4'!$M$6:$M$20</definedName>
    <definedName name="LEDBF2" localSheetId="54">'[20]4.5.4'!$M$6:$M$20</definedName>
    <definedName name="LEDBF2" localSheetId="58">'[20]4.5.4'!$M$6:$M$20</definedName>
    <definedName name="LEDBF2" localSheetId="61">'[20]4.5.4'!$M$6:$M$20</definedName>
    <definedName name="LEDBF2" localSheetId="63">'[20]4.5.4'!$M$6:$M$20</definedName>
    <definedName name="LEDBF2" localSheetId="65">'[20]4.5.4'!$M$6:$M$20</definedName>
    <definedName name="LEDBF2" localSheetId="66">'[20]4.5.4'!$M$6:$M$20</definedName>
    <definedName name="LEDBF2" localSheetId="71">'[20]4.5.4'!$M$6:$M$20</definedName>
    <definedName name="LEDBF2" localSheetId="72">'[20]4.5.4'!$M$6:$M$20</definedName>
    <definedName name="LEDBF2" localSheetId="73">'[20]4.5.4'!$M$6:$M$20</definedName>
    <definedName name="LEDBF2" localSheetId="67">'[20]4.5.4'!$M$6:$M$20</definedName>
    <definedName name="LEDBF2" localSheetId="68">'[20]4.5.4'!$M$6:$M$20</definedName>
    <definedName name="LEDBF2">'[19]4.5.4'!$M$6:$M$20</definedName>
    <definedName name="LEDBF3" localSheetId="13">'[18]4.5.4'!$R$36:$R$58</definedName>
    <definedName name="LEDBF3" localSheetId="7">'[18]4.5.4'!$R$36:$R$58</definedName>
    <definedName name="LEDBF3" localSheetId="23">'[18]4.5.4'!$R$36:$R$58</definedName>
    <definedName name="LEDBF3" localSheetId="28">'[22]4.5.4'!$R$36:$R$58</definedName>
    <definedName name="LEDBF3" localSheetId="34">'[18]4.5.4'!$R$36:$R$58</definedName>
    <definedName name="LEDBF3" localSheetId="35">'[18]4.5.4'!$R$36:$R$58</definedName>
    <definedName name="LEDBF3" localSheetId="36">'[18]4.5.4'!$R$36:$R$58</definedName>
    <definedName name="LEDBF3" localSheetId="37">'[18]4.5.4'!$R$36:$R$58</definedName>
    <definedName name="LEDBF3" localSheetId="38">'[22]4.5.4'!$R$36:$R$58</definedName>
    <definedName name="LEDBF3" localSheetId="39">'[23]4.5.4'!$R$36:$R$58</definedName>
    <definedName name="LEDBF3" localSheetId="40">'[20]4.5.4'!$R$36:$R$58</definedName>
    <definedName name="LEDBF3" localSheetId="41">'[20]4.5.4'!$R$36:$R$58</definedName>
    <definedName name="LEDBF3" localSheetId="43">'[22]4.5.4'!$R$36:$R$58</definedName>
    <definedName name="LEDBF3" localSheetId="44">'[22]4.5.4'!$R$36:$R$58</definedName>
    <definedName name="LEDBF3" localSheetId="42">'[18]4.5.4'!$R$36:$R$58</definedName>
    <definedName name="LEDBF3" localSheetId="49">'[20]4.5.4'!$R$36:$R$58</definedName>
    <definedName name="LEDBF3" localSheetId="50">'[20]4.5.4'!$R$36:$R$58</definedName>
    <definedName name="LEDBF3" localSheetId="51">'[20]4.5.4'!$R$36:$R$58</definedName>
    <definedName name="LEDBF3" localSheetId="52">'[20]4.5.4'!$R$36:$R$58</definedName>
    <definedName name="LEDBF3" localSheetId="59">'[20]4.5.4'!$R$36:$R$58</definedName>
    <definedName name="LEDBF3" localSheetId="54">'[20]4.5.4'!$R$36:$R$58</definedName>
    <definedName name="LEDBF3" localSheetId="58">'[20]4.5.4'!$R$36:$R$58</definedName>
    <definedName name="LEDBF3" localSheetId="61">'[20]4.5.4'!$R$36:$R$58</definedName>
    <definedName name="LEDBF3" localSheetId="63">'[20]4.5.4'!$R$36:$R$58</definedName>
    <definedName name="LEDBF3" localSheetId="65">'[20]4.5.4'!$R$36:$R$58</definedName>
    <definedName name="LEDBF3" localSheetId="66">'[20]4.5.4'!$R$36:$R$58</definedName>
    <definedName name="LEDBF3" localSheetId="71">'[20]4.5.4'!$R$36:$R$58</definedName>
    <definedName name="LEDBF3" localSheetId="72">'[20]4.5.4'!$R$36:$R$58</definedName>
    <definedName name="LEDBF3" localSheetId="73">'[20]4.5.4'!$R$36:$R$58</definedName>
    <definedName name="LEDBF3" localSheetId="67">'[20]4.5.4'!$R$36:$R$58</definedName>
    <definedName name="LEDBF3" localSheetId="68">'[20]4.5.4'!$R$36:$R$58</definedName>
    <definedName name="LEDBF3">'[19]4.5.4'!$R$36:$R$58</definedName>
    <definedName name="LEDBF4" localSheetId="13">'[18]4.5.4'!$B$88:$B$136</definedName>
    <definedName name="LEDBF4" localSheetId="7">'[18]4.5.4'!$B$88:$B$136</definedName>
    <definedName name="LEDBF4" localSheetId="23">'[18]4.5.4'!$B$88:$B$136</definedName>
    <definedName name="LEDBF4" localSheetId="28">'[22]4.5.4'!$B$88:$B$136</definedName>
    <definedName name="LEDBF4" localSheetId="34">'[18]4.5.4'!$B$88:$B$136</definedName>
    <definedName name="LEDBF4" localSheetId="35">'[18]4.5.4'!$B$88:$B$136</definedName>
    <definedName name="LEDBF4" localSheetId="36">'[18]4.5.4'!$B$88:$B$136</definedName>
    <definedName name="LEDBF4" localSheetId="37">'[18]4.5.4'!$B$88:$B$136</definedName>
    <definedName name="LEDBF4" localSheetId="38">'[22]4.5.4'!$B$88:$B$136</definedName>
    <definedName name="LEDBF4" localSheetId="39">'[23]4.5.4'!$B$88:$B$136</definedName>
    <definedName name="LEDBF4" localSheetId="40">'[20]4.5.4'!$B$88:$B$136</definedName>
    <definedName name="LEDBF4" localSheetId="41">'[20]4.5.4'!$B$88:$B$136</definedName>
    <definedName name="LEDBF4" localSheetId="43">'[22]4.5.4'!$B$88:$B$136</definedName>
    <definedName name="LEDBF4" localSheetId="44">'[22]4.5.4'!$B$88:$B$136</definedName>
    <definedName name="LEDBF4" localSheetId="42">'[18]4.5.4'!$B$88:$B$136</definedName>
    <definedName name="LEDBF4" localSheetId="49">'[20]4.5.4'!$B$88:$B$136</definedName>
    <definedName name="LEDBF4" localSheetId="50">'[20]4.5.4'!$B$88:$B$136</definedName>
    <definedName name="LEDBF4" localSheetId="51">'[20]4.5.4'!$B$88:$B$136</definedName>
    <definedName name="LEDBF4" localSheetId="52">'[20]4.5.4'!$B$88:$B$136</definedName>
    <definedName name="LEDBF4" localSheetId="59">'[20]4.5.4'!$B$88:$B$136</definedName>
    <definedName name="LEDBF4" localSheetId="54">'[20]4.5.4'!$B$88:$B$136</definedName>
    <definedName name="LEDBF4" localSheetId="58">'[20]4.5.4'!$B$88:$B$136</definedName>
    <definedName name="LEDBF4" localSheetId="61">'[20]4.5.4'!$B$88:$B$136</definedName>
    <definedName name="LEDBF4" localSheetId="63">'[20]4.5.4'!$B$88:$B$136</definedName>
    <definedName name="LEDBF4" localSheetId="65">'[20]4.5.4'!$B$88:$B$136</definedName>
    <definedName name="LEDBF4" localSheetId="66">'[20]4.5.4'!$B$88:$B$136</definedName>
    <definedName name="LEDBF4" localSheetId="71">'[20]4.5.4'!$B$88:$B$136</definedName>
    <definedName name="LEDBF4" localSheetId="72">'[20]4.5.4'!$B$88:$B$136</definedName>
    <definedName name="LEDBF4" localSheetId="73">'[20]4.5.4'!$B$88:$B$136</definedName>
    <definedName name="LEDBF4" localSheetId="67">'[20]4.5.4'!$B$88:$B$136</definedName>
    <definedName name="LEDBF4" localSheetId="68">'[20]4.5.4'!$B$88:$B$136</definedName>
    <definedName name="LEDBF4">'[19]4.5.4'!$B$88:$B$136</definedName>
    <definedName name="LEDBF5" localSheetId="23">'[18]4.5.4'!#REF!</definedName>
    <definedName name="LEDBF5" localSheetId="34">'[18]4.5.4'!#REF!</definedName>
    <definedName name="LEDBF5" localSheetId="35">'[18]4.5.4'!#REF!</definedName>
    <definedName name="LEDBF5" localSheetId="36">'[18]4.5.4'!#REF!</definedName>
    <definedName name="LEDBF5" localSheetId="37">'[18]4.5.4'!#REF!</definedName>
    <definedName name="LEDBF5" localSheetId="42">'[18]4.5.4'!#REF!</definedName>
    <definedName name="LEDBF5" localSheetId="2">'[18]4.5.4'!#REF!</definedName>
    <definedName name="LEDBF5">'[18]4.5.4'!#REF!</definedName>
    <definedName name="LEDD1" localSheetId="13">'[9]5.5.6'!$I$6:$I$7</definedName>
    <definedName name="LEDD1" localSheetId="7">'[9]5.5.6'!$I$6:$I$7</definedName>
    <definedName name="LEDD1" localSheetId="23">'[9]5.5.6'!$I$6:$I$7</definedName>
    <definedName name="LEDD1" localSheetId="28">'[10]5.5.6'!$I$6:$I$7</definedName>
    <definedName name="LEDD1" localSheetId="33">'[10]5.5.6'!$I$6:$I$7</definedName>
    <definedName name="LEDD1" localSheetId="34">'[9]5.5.6'!$I$6:$I$7</definedName>
    <definedName name="LEDD1" localSheetId="35">'[9]5.5.6'!$I$6:$I$7</definedName>
    <definedName name="LEDD1" localSheetId="36">'[9]5.5.6'!$I$6:$I$7</definedName>
    <definedName name="LEDD1" localSheetId="37">'[9]5.5.6'!$I$6:$I$7</definedName>
    <definedName name="LEDD1" localSheetId="38">'[10]5.5.6'!$I$6:$I$7</definedName>
    <definedName name="LEDD1" localSheetId="39">'[10]5.5.6'!$I$6:$I$7</definedName>
    <definedName name="LEDD1" localSheetId="40">'[10]5.5.6'!$I$6:$I$7</definedName>
    <definedName name="LEDD1" localSheetId="41">'[10]5.5.6'!$I$6:$I$7</definedName>
    <definedName name="LEDD1" localSheetId="43">'[10]5.5.6'!$I$6:$I$7</definedName>
    <definedName name="LEDD1" localSheetId="44">'[10]5.5.6'!$I$6:$I$7</definedName>
    <definedName name="LEDD1" localSheetId="42">'[9]5.5.6'!$I$6:$I$7</definedName>
    <definedName name="LEDD1" localSheetId="49">'[10]5.5.6'!$I$6:$I$7</definedName>
    <definedName name="LEDD1" localSheetId="50">'[11]5.5.6'!$I$6:$I$7</definedName>
    <definedName name="LEDD1" localSheetId="51">'[10]5.5.6'!$I$6:$I$7</definedName>
    <definedName name="LEDD1" localSheetId="52">'[10]5.5.6'!$I$6:$I$7</definedName>
    <definedName name="LEDD1" localSheetId="45">'[10]5.5.6'!$I$6:$I$7</definedName>
    <definedName name="LEDD1" localSheetId="47">'[12]5.5.6'!$I$6:$I$7</definedName>
    <definedName name="LEDD1" localSheetId="53">'[10]5.5.6'!$I$6:$I$7</definedName>
    <definedName name="LEDD1" localSheetId="59">'[10]5.5.6'!$I$6:$I$7</definedName>
    <definedName name="LEDD1" localSheetId="54">'[13]5.5.6'!$I$6:$I$7</definedName>
    <definedName name="LEDD1" localSheetId="57">'[10]5.5.6'!$I$6:$I$7</definedName>
    <definedName name="LEDD1" localSheetId="58">'[11]5.5.6'!$I$6:$I$7</definedName>
    <definedName name="LEDD1" localSheetId="61">'[11]5.5.6'!$I$6:$I$7</definedName>
    <definedName name="LEDD1" localSheetId="63">'[10]5.5.6'!$I$6:$I$7</definedName>
    <definedName name="LEDD1" localSheetId="65">'[11]5.5.6'!$I$6:$I$7</definedName>
    <definedName name="LEDD1" localSheetId="66">'[10]5.5.6'!$I$6:$I$7</definedName>
    <definedName name="LEDD1" localSheetId="72">'[11]5.5.6'!$I$6:$I$7</definedName>
    <definedName name="LEDD1" localSheetId="73">'[11]5.5.6'!$I$6:$I$7</definedName>
    <definedName name="LEDD1" localSheetId="70">'[10]5.5.6'!$I$6:$I$7</definedName>
    <definedName name="LEDD1" localSheetId="68">'[11]5.5.6'!$I$6:$I$7</definedName>
    <definedName name="LEDD1">'[14]5.5.6'!$I$6:$I$7</definedName>
    <definedName name="LEDD2" localSheetId="13">'[9]5.5.6'!$K$36:$K$39</definedName>
    <definedName name="LEDD2" localSheetId="7">'[9]5.5.6'!$K$36:$K$39</definedName>
    <definedName name="LEDD2" localSheetId="23">'[9]5.5.6'!$K$36:$K$39</definedName>
    <definedName name="LEDD2" localSheetId="28">'[10]5.5.6'!$K$36:$K$39</definedName>
    <definedName name="LEDD2" localSheetId="33">'[10]5.5.6'!$K$36:$K$39</definedName>
    <definedName name="LEDD2" localSheetId="34">'[9]5.5.6'!$K$36:$K$39</definedName>
    <definedName name="LEDD2" localSheetId="35">'[9]5.5.6'!$K$36:$K$39</definedName>
    <definedName name="LEDD2" localSheetId="36">'[9]5.5.6'!$K$36:$K$39</definedName>
    <definedName name="LEDD2" localSheetId="37">'[9]5.5.6'!$K$36:$K$39</definedName>
    <definedName name="LEDD2" localSheetId="38">'[10]5.5.6'!$K$36:$K$39</definedName>
    <definedName name="LEDD2" localSheetId="39">'[10]5.5.6'!$K$36:$K$39</definedName>
    <definedName name="LEDD2" localSheetId="40">'[10]5.5.6'!$K$36:$K$39</definedName>
    <definedName name="LEDD2" localSheetId="41">'[10]5.5.6'!$K$36:$K$39</definedName>
    <definedName name="LEDD2" localSheetId="43">'[10]5.5.6'!$K$36:$K$39</definedName>
    <definedName name="LEDD2" localSheetId="44">'[10]5.5.6'!$K$36:$K$39</definedName>
    <definedName name="LEDD2" localSheetId="42">'[9]5.5.6'!$K$36:$K$39</definedName>
    <definedName name="LEDD2" localSheetId="49">'[10]5.5.6'!$K$36:$K$39</definedName>
    <definedName name="LEDD2" localSheetId="50">'[11]5.5.6'!$K$36:$K$39</definedName>
    <definedName name="LEDD2" localSheetId="51">'[10]5.5.6'!$K$36:$K$39</definedName>
    <definedName name="LEDD2" localSheetId="52">'[10]5.5.6'!$K$36:$K$39</definedName>
    <definedName name="LEDD2" localSheetId="45">'[10]5.5.6'!$K$36:$K$39</definedName>
    <definedName name="LEDD2" localSheetId="47">'[12]5.5.6'!$K$36:$K$39</definedName>
    <definedName name="LEDD2" localSheetId="53">'[10]5.5.6'!$K$36:$K$39</definedName>
    <definedName name="LEDD2" localSheetId="59">'[10]5.5.6'!$K$36:$K$39</definedName>
    <definedName name="LEDD2" localSheetId="54">'[13]5.5.6'!$K$36:$K$39</definedName>
    <definedName name="LEDD2" localSheetId="57">'[10]5.5.6'!$K$36:$K$39</definedName>
    <definedName name="LEDD2" localSheetId="58">'[11]5.5.6'!$K$36:$K$39</definedName>
    <definedName name="LEDD2" localSheetId="61">'[11]5.5.6'!$K$36:$K$39</definedName>
    <definedName name="LEDD2" localSheetId="63">'[10]5.5.6'!$K$36:$K$39</definedName>
    <definedName name="LEDD2" localSheetId="65">'[11]5.5.6'!$K$36:$K$39</definedName>
    <definedName name="LEDD2" localSheetId="66">'[10]5.5.6'!$K$36:$K$39</definedName>
    <definedName name="LEDD2" localSheetId="72">'[11]5.5.6'!$K$36:$K$39</definedName>
    <definedName name="LEDD2" localSheetId="73">'[11]5.5.6'!$K$36:$K$39</definedName>
    <definedName name="LEDD2" localSheetId="70">'[10]5.5.6'!$K$36:$K$39</definedName>
    <definedName name="LEDD2" localSheetId="68">'[11]5.5.6'!$K$36:$K$39</definedName>
    <definedName name="LEDD2">'[14]5.5.6'!$K$36:$K$39</definedName>
    <definedName name="LEDD3" localSheetId="13">'[9]5.5.6'!$C$29:$C$32</definedName>
    <definedName name="LEDD3" localSheetId="7">'[9]5.5.6'!$C$29:$C$32</definedName>
    <definedName name="LEDD3" localSheetId="23">'[9]5.5.6'!$C$29:$C$32</definedName>
    <definedName name="LEDD3" localSheetId="28">'[10]5.5.6'!$C$29:$C$32</definedName>
    <definedName name="LEDD3" localSheetId="33">'[10]5.5.6'!$C$29:$C$32</definedName>
    <definedName name="LEDD3" localSheetId="34">'[9]5.5.6'!$C$29:$C$32</definedName>
    <definedName name="LEDD3" localSheetId="35">'[9]5.5.6'!$C$29:$C$32</definedName>
    <definedName name="LEDD3" localSheetId="36">'[9]5.5.6'!$C$29:$C$32</definedName>
    <definedName name="LEDD3" localSheetId="37">'[9]5.5.6'!$C$29:$C$32</definedName>
    <definedName name="LEDD3" localSheetId="38">'[10]5.5.6'!$C$29:$C$32</definedName>
    <definedName name="LEDD3" localSheetId="39">'[10]5.5.6'!$C$29:$C$32</definedName>
    <definedName name="LEDD3" localSheetId="40">'[10]5.5.6'!$C$29:$C$32</definedName>
    <definedName name="LEDD3" localSheetId="41">'[10]5.5.6'!$C$29:$C$32</definedName>
    <definedName name="LEDD3" localSheetId="43">'[10]5.5.6'!$C$29:$C$32</definedName>
    <definedName name="LEDD3" localSheetId="44">'[10]5.5.6'!$C$29:$C$32</definedName>
    <definedName name="LEDD3" localSheetId="42">'[9]5.5.6'!$C$29:$C$32</definedName>
    <definedName name="LEDD3" localSheetId="49">'[10]5.5.6'!$C$29:$C$32</definedName>
    <definedName name="LEDD3" localSheetId="50">'[11]5.5.6'!$C$29:$C$32</definedName>
    <definedName name="LEDD3" localSheetId="51">'[10]5.5.6'!$C$29:$C$32</definedName>
    <definedName name="LEDD3" localSheetId="52">'[10]5.5.6'!$C$29:$C$32</definedName>
    <definedName name="LEDD3" localSheetId="45">'[10]5.5.6'!$C$29:$C$32</definedName>
    <definedName name="LEDD3" localSheetId="47">'[12]5.5.6'!$C$29:$C$32</definedName>
    <definedName name="LEDD3" localSheetId="53">'[10]5.5.6'!$C$29:$C$32</definedName>
    <definedName name="LEDD3" localSheetId="59">'[10]5.5.6'!$C$29:$C$32</definedName>
    <definedName name="LEDD3" localSheetId="54">'[13]5.5.6'!$C$29:$C$32</definedName>
    <definedName name="LEDD3" localSheetId="57">'[10]5.5.6'!$C$29:$C$32</definedName>
    <definedName name="LEDD3" localSheetId="58">'[11]5.5.6'!$C$29:$C$32</definedName>
    <definedName name="LEDD3" localSheetId="61">'[11]5.5.6'!$C$29:$C$32</definedName>
    <definedName name="LEDD3" localSheetId="63">'[10]5.5.6'!$C$29:$C$32</definedName>
    <definedName name="LEDD3" localSheetId="65">'[11]5.5.6'!$C$29:$C$32</definedName>
    <definedName name="LEDD3" localSheetId="66">'[10]5.5.6'!$C$29:$C$32</definedName>
    <definedName name="LEDD3" localSheetId="72">'[11]5.5.6'!$C$29:$C$32</definedName>
    <definedName name="LEDD3" localSheetId="73">'[11]5.5.6'!$C$29:$C$32</definedName>
    <definedName name="LEDD3" localSheetId="70">'[10]5.5.6'!$C$29:$C$32</definedName>
    <definedName name="LEDD3" localSheetId="68">'[11]5.5.6'!$C$29:$C$32</definedName>
    <definedName name="LEDD3">'[14]5.5.6'!$C$29:$C$32</definedName>
    <definedName name="LEDD4" localSheetId="13">'[9]5.5.6'!$E$37:$E$47</definedName>
    <definedName name="LEDD4" localSheetId="7">'[9]5.5.6'!$E$37:$E$47</definedName>
    <definedName name="LEDD4" localSheetId="23">'[9]5.5.6'!$E$37:$E$47</definedName>
    <definedName name="LEDD4" localSheetId="28">'[10]5.5.6'!$E$37:$E$47</definedName>
    <definedName name="LEDD4" localSheetId="33">'[10]5.5.6'!$E$37:$E$47</definedName>
    <definedName name="LEDD4" localSheetId="34">'[9]5.5.6'!$E$37:$E$47</definedName>
    <definedName name="LEDD4" localSheetId="35">'[9]5.5.6'!$E$37:$E$47</definedName>
    <definedName name="LEDD4" localSheetId="36">'[9]5.5.6'!$E$37:$E$47</definedName>
    <definedName name="LEDD4" localSheetId="37">'[9]5.5.6'!$E$37:$E$47</definedName>
    <definedName name="LEDD4" localSheetId="38">'[10]5.5.6'!$E$37:$E$47</definedName>
    <definedName name="LEDD4" localSheetId="39">'[10]5.5.6'!$E$37:$E$47</definedName>
    <definedName name="LEDD4" localSheetId="40">'[10]5.5.6'!$E$37:$E$47</definedName>
    <definedName name="LEDD4" localSheetId="41">'[10]5.5.6'!$E$37:$E$47</definedName>
    <definedName name="LEDD4" localSheetId="43">'[10]5.5.6'!$E$37:$E$47</definedName>
    <definedName name="LEDD4" localSheetId="44">'[10]5.5.6'!$E$37:$E$47</definedName>
    <definedName name="LEDD4" localSheetId="42">'[9]5.5.6'!$E$37:$E$47</definedName>
    <definedName name="LEDD4" localSheetId="49">'[10]5.5.6'!$E$37:$E$47</definedName>
    <definedName name="LEDD4" localSheetId="50">'[11]5.5.6'!$E$37:$E$47</definedName>
    <definedName name="LEDD4" localSheetId="51">'[10]5.5.6'!$E$37:$E$47</definedName>
    <definedName name="LEDD4" localSheetId="52">'[10]5.5.6'!$E$37:$E$47</definedName>
    <definedName name="LEDD4" localSheetId="45">'[10]5.5.6'!$E$37:$E$47</definedName>
    <definedName name="LEDD4" localSheetId="47">'[12]5.5.6'!$E$37:$E$47</definedName>
    <definedName name="LEDD4" localSheetId="53">'[10]5.5.6'!$E$37:$E$47</definedName>
    <definedName name="LEDD4" localSheetId="59">'[10]5.5.6'!$E$37:$E$47</definedName>
    <definedName name="LEDD4" localSheetId="54">'[13]5.5.6'!$E$37:$E$47</definedName>
    <definedName name="LEDD4" localSheetId="57">'[10]5.5.6'!$E$37:$E$47</definedName>
    <definedName name="LEDD4" localSheetId="58">'[11]5.5.6'!$E$37:$E$47</definedName>
    <definedName name="LEDD4" localSheetId="61">'[11]5.5.6'!$E$37:$E$47</definedName>
    <definedName name="LEDD4" localSheetId="63">'[10]5.5.6'!$E$37:$E$47</definedName>
    <definedName name="LEDD4" localSheetId="65">'[11]5.5.6'!$E$37:$E$47</definedName>
    <definedName name="LEDD4" localSheetId="66">'[10]5.5.6'!$E$37:$E$47</definedName>
    <definedName name="LEDD4" localSheetId="72">'[11]5.5.6'!$E$37:$E$47</definedName>
    <definedName name="LEDD4" localSheetId="73">'[11]5.5.6'!$E$37:$E$47</definedName>
    <definedName name="LEDD4" localSheetId="70">'[10]5.5.6'!$E$37:$E$47</definedName>
    <definedName name="LEDD4" localSheetId="68">'[11]5.5.6'!$E$37:$E$47</definedName>
    <definedName name="LEDD4">'[14]5.5.6'!$E$37:$E$47</definedName>
    <definedName name="LEDES1" localSheetId="13">'[38]5.5.7'!$J$19:$J$21</definedName>
    <definedName name="LEDES1" localSheetId="7">'[38]5.5.7'!$J$19:$J$21</definedName>
    <definedName name="LEDES1" localSheetId="23">'[38]5.5.7'!$J$19:$J$21</definedName>
    <definedName name="LEDES1" localSheetId="28">'[39]5.5.7'!$J$19:$J$21</definedName>
    <definedName name="LEDES1" localSheetId="34">'[38]5.5.7'!$J$19:$J$21</definedName>
    <definedName name="LEDES1" localSheetId="35">'[38]5.5.7'!$J$19:$J$21</definedName>
    <definedName name="LEDES1" localSheetId="36">'[38]5.5.7'!$J$19:$J$21</definedName>
    <definedName name="LEDES1" localSheetId="37">'[38]5.5.7'!$J$19:$J$21</definedName>
    <definedName name="LEDES1" localSheetId="38">'[39]5.5.7'!$J$19:$J$21</definedName>
    <definedName name="LEDES1" localSheetId="39">'[39]5.5.7'!$J$19:$J$21</definedName>
    <definedName name="LEDES1" localSheetId="40">'4.4.49'!#REF!</definedName>
    <definedName name="LEDES1" localSheetId="41">'4.4.52'!#REF!</definedName>
    <definedName name="LEDES1" localSheetId="43">'[39]5.5.7'!$J$19:$J$21</definedName>
    <definedName name="LEDES1" localSheetId="44">'[39]5.5.7'!$J$19:$J$21</definedName>
    <definedName name="LEDES1" localSheetId="42">'[38]5.5.7'!$J$19:$J$21</definedName>
    <definedName name="LEDES1" localSheetId="49">'[26]5.5.7'!$J$19:$J$21</definedName>
    <definedName name="LEDES1" localSheetId="50">'[39]5.5.7'!$J$19:$J$21</definedName>
    <definedName name="LEDES1" localSheetId="51">'[27]5.5.7'!$J$19:$J$21</definedName>
    <definedName name="LEDES1" localSheetId="52">'5.3.19'!#REF!</definedName>
    <definedName name="LEDES1" localSheetId="59">'5.4.11'!#REF!</definedName>
    <definedName name="LEDES1" localSheetId="54">'[39]5.5.7'!$J$19:$J$21</definedName>
    <definedName name="LEDES1" localSheetId="58">'[39]5.5.7'!$J$19:$J$21</definedName>
    <definedName name="LEDES1" localSheetId="61">'[39]5.5.7'!$J$19:$J$21</definedName>
    <definedName name="LEDES1" localSheetId="63">'[26]5.5.7'!$J$19:$J$21</definedName>
    <definedName name="LEDES1" localSheetId="65">'[39]5.5.7'!$J$19:$J$21</definedName>
    <definedName name="LEDES1" localSheetId="66">'5.6.7'!#REF!</definedName>
    <definedName name="LEDES1" localSheetId="71">'[39]5.5.7'!$J$19:$J$21</definedName>
    <definedName name="LEDES1" localSheetId="72">'[39]5.5.7'!$J$19:$J$21</definedName>
    <definedName name="LEDES1" localSheetId="73">'[39]5.5.7'!$J$19:$J$21</definedName>
    <definedName name="LEDES1" localSheetId="67">'[39]5.5.7'!$J$19:$J$21</definedName>
    <definedName name="LEDES1" localSheetId="68">'[39]5.5.7'!$J$19:$J$21</definedName>
    <definedName name="LEDES1">'[28]5.5.7'!$J$19:$J$21</definedName>
    <definedName name="LEDTra1" localSheetId="13">'[18]4.5.6'!$E$22:$E$37</definedName>
    <definedName name="LEDTra1" localSheetId="7">'[18]4.5.6'!$E$22:$E$37</definedName>
    <definedName name="LEDTra1" localSheetId="23">'[18]4.5.6'!$E$22:$E$37</definedName>
    <definedName name="LEDTra1" localSheetId="28">'[22]4.5.6'!$E$22:$E$37</definedName>
    <definedName name="LEDTra1" localSheetId="34">'[18]4.5.6'!$E$22:$E$37</definedName>
    <definedName name="LEDTra1" localSheetId="35">'[18]4.5.6'!$E$22:$E$37</definedName>
    <definedName name="LEDTra1" localSheetId="36">'[18]4.5.6'!$E$22:$E$37</definedName>
    <definedName name="LEDTra1" localSheetId="37">'[18]4.5.6'!$E$22:$E$37</definedName>
    <definedName name="LEDTra1" localSheetId="38">'[22]4.5.6'!$E$22:$E$37</definedName>
    <definedName name="LEDTra1" localSheetId="39">'[23]4.5.6'!$E$22:$E$37</definedName>
    <definedName name="LEDTra1" localSheetId="40">'[20]4.5.6'!$E$22:$E$37</definedName>
    <definedName name="LEDTra1" localSheetId="41">'[20]4.5.6'!$E$22:$E$37</definedName>
    <definedName name="LEDTra1" localSheetId="43">'[22]4.5.6'!$E$22:$E$37</definedName>
    <definedName name="LEDTra1" localSheetId="44">'[22]4.5.6'!$E$22:$E$37</definedName>
    <definedName name="LEDTra1" localSheetId="42">'[18]4.5.6'!$E$22:$E$37</definedName>
    <definedName name="LEDTra1" localSheetId="49">'[20]4.5.6'!$E$22:$E$37</definedName>
    <definedName name="LEDTra1" localSheetId="50">'[20]4.5.6'!$E$22:$E$37</definedName>
    <definedName name="LEDTra1" localSheetId="51">'[20]4.5.6'!$E$22:$E$37</definedName>
    <definedName name="LEDTra1" localSheetId="52">'[20]4.5.6'!$E$22:$E$37</definedName>
    <definedName name="LEDTra1" localSheetId="59">'[20]4.5.6'!$E$22:$E$37</definedName>
    <definedName name="LEDTra1" localSheetId="54">'[20]4.5.6'!$E$22:$E$37</definedName>
    <definedName name="LEDTra1" localSheetId="58">'[20]4.5.6'!$E$22:$E$37</definedName>
    <definedName name="LEDTra1" localSheetId="61">'[20]4.5.6'!$E$22:$E$37</definedName>
    <definedName name="LEDTra1" localSheetId="63">'[20]4.5.6'!$E$22:$E$37</definedName>
    <definedName name="LEDTra1" localSheetId="65">'[20]4.5.6'!$E$22:$E$37</definedName>
    <definedName name="LEDTra1" localSheetId="66">'[20]4.5.6'!$E$22:$E$37</definedName>
    <definedName name="LEDTra1" localSheetId="71">'[20]4.5.6'!$E$22:$E$37</definedName>
    <definedName name="LEDTra1" localSheetId="72">'[20]4.5.6'!$E$22:$E$37</definedName>
    <definedName name="LEDTra1" localSheetId="73">'[20]4.5.6'!$E$22:$E$37</definedName>
    <definedName name="LEDTra1" localSheetId="67">'[20]4.5.6'!$E$22:$E$37</definedName>
    <definedName name="LEDTra1" localSheetId="68">'[20]4.5.6'!$E$22:$E$37</definedName>
    <definedName name="LEDTra1">'[19]4.5.6'!$E$22:$E$37</definedName>
    <definedName name="LEDTra2" localSheetId="13">'[18]4.5.6'!$M$7:$M$16</definedName>
    <definedName name="LEDTra2" localSheetId="7">'[18]4.5.6'!$M$7:$M$16</definedName>
    <definedName name="LEDTra2" localSheetId="23">'[18]4.5.6'!$M$7:$M$16</definedName>
    <definedName name="LEDTra2" localSheetId="28">'[22]4.5.6'!$M$7:$M$16</definedName>
    <definedName name="LEDTra2" localSheetId="34">'[18]4.5.6'!$M$7:$M$16</definedName>
    <definedName name="LEDTra2" localSheetId="35">'[18]4.5.6'!$M$7:$M$16</definedName>
    <definedName name="LEDTra2" localSheetId="36">'[18]4.5.6'!$M$7:$M$16</definedName>
    <definedName name="LEDTra2" localSheetId="37">'[18]4.5.6'!$M$7:$M$16</definedName>
    <definedName name="LEDTra2" localSheetId="38">'[22]4.5.6'!$M$7:$M$16</definedName>
    <definedName name="LEDTra2" localSheetId="39">'[23]4.5.6'!$M$7:$M$16</definedName>
    <definedName name="LEDTra2" localSheetId="40">'[20]4.5.6'!$M$7:$M$16</definedName>
    <definedName name="LEDTra2" localSheetId="41">'[20]4.5.6'!$M$7:$M$16</definedName>
    <definedName name="LEDTra2" localSheetId="43">'[22]4.5.6'!$M$7:$M$16</definedName>
    <definedName name="LEDTra2" localSheetId="44">'[22]4.5.6'!$M$7:$M$16</definedName>
    <definedName name="LEDTra2" localSheetId="42">'[18]4.5.6'!$M$7:$M$16</definedName>
    <definedName name="LEDTra2" localSheetId="49">'[20]4.5.6'!$M$7:$M$16</definedName>
    <definedName name="LEDTra2" localSheetId="50">'[20]4.5.6'!$M$7:$M$16</definedName>
    <definedName name="LEDTra2" localSheetId="51">'[20]4.5.6'!$M$7:$M$16</definedName>
    <definedName name="LEDTra2" localSheetId="52">'[20]4.5.6'!$M$7:$M$16</definedName>
    <definedName name="LEDTra2" localSheetId="59">'[20]4.5.6'!$M$7:$M$16</definedName>
    <definedName name="LEDTra2" localSheetId="54">'[20]4.5.6'!$M$7:$M$16</definedName>
    <definedName name="LEDTra2" localSheetId="58">'[20]4.5.6'!$M$7:$M$16</definedName>
    <definedName name="LEDTra2" localSheetId="61">'[20]4.5.6'!$M$7:$M$16</definedName>
    <definedName name="LEDTra2" localSheetId="63">'[20]4.5.6'!$M$7:$M$16</definedName>
    <definedName name="LEDTra2" localSheetId="65">'[20]4.5.6'!$M$7:$M$16</definedName>
    <definedName name="LEDTra2" localSheetId="66">'[20]4.5.6'!$M$7:$M$16</definedName>
    <definedName name="LEDTra2" localSheetId="71">'[20]4.5.6'!$M$7:$M$16</definedName>
    <definedName name="LEDTra2" localSheetId="72">'[20]4.5.6'!$M$7:$M$16</definedName>
    <definedName name="LEDTra2" localSheetId="73">'[20]4.5.6'!$M$7:$M$16</definedName>
    <definedName name="LEDTra2" localSheetId="67">'[20]4.5.6'!$M$7:$M$16</definedName>
    <definedName name="LEDTra2" localSheetId="68">'[20]4.5.6'!$M$7:$M$16</definedName>
    <definedName name="LEDTra2">'[19]4.5.6'!$M$7:$M$16</definedName>
    <definedName name="LFFA1" localSheetId="23">#REF!</definedName>
    <definedName name="LFFA1" localSheetId="36">#REF!</definedName>
    <definedName name="LFFA1" localSheetId="37">#REF!</definedName>
    <definedName name="LFFA1" localSheetId="55">'5.4.4'!$B$87:$B$89</definedName>
    <definedName name="LFFA1">'4.3.2'!$E$63:$E$65</definedName>
    <definedName name="LFFA2" localSheetId="23">#REF!</definedName>
    <definedName name="LFFA2" localSheetId="36">#REF!</definedName>
    <definedName name="LFFA2" localSheetId="37">#REF!</definedName>
    <definedName name="LFFA2" localSheetId="55">'5.4.4'!$B$114:$B$118</definedName>
    <definedName name="LFFA2">'4.3.2'!$B$73:$B$85</definedName>
    <definedName name="LFSh1" localSheetId="13">'[5]4.3.3'!$E$63:$E$66</definedName>
    <definedName name="LFSh1" localSheetId="7">'[5]4.3.3'!$E$63:$E$66</definedName>
    <definedName name="LFSh1" localSheetId="21">'4.3.4'!$E$67:$E$70</definedName>
    <definedName name="LFSh1" localSheetId="23">#REF!</definedName>
    <definedName name="LFSh1" localSheetId="34">'[6]4.3.3'!$E$63:$E$66</definedName>
    <definedName name="LFSh1" localSheetId="35">'[6]4.3.3'!$E$63:$E$66</definedName>
    <definedName name="LFSh1" localSheetId="36">#REF!</definedName>
    <definedName name="LFSh1" localSheetId="37">#REF!</definedName>
    <definedName name="LFSh1" localSheetId="40">'[5]4.3.3'!$E$63:$E$66</definedName>
    <definedName name="LFSh1" localSheetId="41">'[5]4.3.3'!$E$63:$E$66</definedName>
    <definedName name="LFSh1" localSheetId="42">'[6]4.3.3'!$E$63:$E$66</definedName>
    <definedName name="LFSh1" localSheetId="56">'5.4.5'!$F$88:$F$91</definedName>
    <definedName name="LFSh1" localSheetId="58">'5.4.9'!$F$66:$F$69</definedName>
    <definedName name="LFSh1" localSheetId="61">'[44]5.4.5'!$F$33:$F$35</definedName>
    <definedName name="LFSh1" localSheetId="71">'[45]5.4.5'!$F$33:$F$35</definedName>
    <definedName name="LFSh1" localSheetId="72">'[44]5.4.5'!$F$33:$F$35</definedName>
    <definedName name="LFSh1" localSheetId="73">'[44]5.4.5'!$F$33:$F$35</definedName>
    <definedName name="LFSh1" localSheetId="67">'[46]5.4.5'!$F$33:$F$35</definedName>
    <definedName name="LFSh1" localSheetId="68">'[44]5.4.5'!$F$33:$F$35</definedName>
    <definedName name="LFSh1">'[47]5.4.5'!$F$33:$F$35</definedName>
    <definedName name="LFSh2" localSheetId="13">#REF!</definedName>
    <definedName name="LFSh2" localSheetId="7">#REF!</definedName>
    <definedName name="LFSh2" localSheetId="23">#REF!</definedName>
    <definedName name="LFSh2" localSheetId="34">#REF!</definedName>
    <definedName name="LFSh2" localSheetId="35">#REF!</definedName>
    <definedName name="LFSh2" localSheetId="36">#REF!</definedName>
    <definedName name="LFSh2" localSheetId="37">#REF!</definedName>
    <definedName name="LFSh2" localSheetId="40">#REF!</definedName>
    <definedName name="LFSh2" localSheetId="41">#REF!</definedName>
    <definedName name="LFSh2" localSheetId="42">#REF!</definedName>
    <definedName name="LFSh2" localSheetId="56">'5.4.5'!$I$88:$I$91</definedName>
    <definedName name="LFSh2" localSheetId="58">'5.4.9'!$I$66:$I$69</definedName>
    <definedName name="LFSh2" localSheetId="61">'[44]5.4.5'!$I$33:$I$35</definedName>
    <definedName name="LFSh2" localSheetId="71">'[45]5.4.5'!$I$33:$I$35</definedName>
    <definedName name="LFSh2" localSheetId="72">'[44]5.4.5'!$I$33:$I$35</definedName>
    <definedName name="LFSh2" localSheetId="73">'[44]5.4.5'!$I$33:$I$35</definedName>
    <definedName name="LFSh2" localSheetId="67">'[46]5.4.5'!$I$33:$I$35</definedName>
    <definedName name="LFSh2" localSheetId="68">'[44]5.4.5'!$I$33:$I$35</definedName>
    <definedName name="LFSh2">'[47]5.4.5'!$I$33:$I$35</definedName>
    <definedName name="LightTable">#REF!</definedName>
    <definedName name="LineLosses">'[51]Economic Inputs'!$A$6</definedName>
    <definedName name="ListAdoptionCurves" localSheetId="13">[48]Lookups!$H$25:$H$44</definedName>
    <definedName name="ListAdoptionCurves" localSheetId="7">[48]Lookups!$H$25:$H$44</definedName>
    <definedName name="ListAdoptionCurves" localSheetId="23">[48]Lookups!$H$25:$H$44</definedName>
    <definedName name="ListAdoptionCurves" localSheetId="28">[48]Lookups!$H$25:$H$44</definedName>
    <definedName name="ListAdoptionCurves" localSheetId="34">[48]Lookups!$H$25:$H$44</definedName>
    <definedName name="ListAdoptionCurves" localSheetId="35">[48]Lookups!$H$25:$H$44</definedName>
    <definedName name="ListAdoptionCurves" localSheetId="36">[48]Lookups!$H$25:$H$44</definedName>
    <definedName name="ListAdoptionCurves" localSheetId="37">[48]Lookups!$H$25:$H$44</definedName>
    <definedName name="ListAdoptionCurves" localSheetId="38">[48]Lookups!$H$25:$H$44</definedName>
    <definedName name="ListAdoptionCurves" localSheetId="39">[48]Lookups!$H$25:$H$44</definedName>
    <definedName name="ListAdoptionCurves" localSheetId="40">[48]Lookups!$H$25:$H$44</definedName>
    <definedName name="ListAdoptionCurves" localSheetId="41">[48]Lookups!$H$25:$H$44</definedName>
    <definedName name="ListAdoptionCurves" localSheetId="43">[48]Lookups!$H$25:$H$44</definedName>
    <definedName name="ListAdoptionCurves" localSheetId="44">[48]Lookups!$H$25:$H$44</definedName>
    <definedName name="ListAdoptionCurves" localSheetId="42">[48]Lookups!$H$25:$H$44</definedName>
    <definedName name="ListAdoptionCurves" localSheetId="49">[48]Lookups!$H$25:$H$44</definedName>
    <definedName name="ListAdoptionCurves" localSheetId="51">[48]Lookups!$H$25:$H$44</definedName>
    <definedName name="ListAdoptionCurves" localSheetId="52">[48]Lookups!$H$25:$H$44</definedName>
    <definedName name="ListAdoptionCurves" localSheetId="45">[48]Lookups!$H$25:$H$44</definedName>
    <definedName name="ListAdoptionCurves" localSheetId="46">[48]Lookups!$H$25:$H$44</definedName>
    <definedName name="ListAdoptionCurves" localSheetId="53">[48]Lookups!$H$25:$H$44</definedName>
    <definedName name="ListAdoptionCurves" localSheetId="59">[48]Lookups!$H$25:$H$44</definedName>
    <definedName name="ListAdoptionCurves" localSheetId="54">[48]Lookups!$H$25:$H$44</definedName>
    <definedName name="ListAdoptionCurves" localSheetId="55">[48]Lookups!$H$25:$H$44</definedName>
    <definedName name="ListAdoptionCurves" localSheetId="57">[48]Lookups!$H$25:$H$44</definedName>
    <definedName name="ListAdoptionCurves" localSheetId="61">[49]Lookups!$H$25:$H$44</definedName>
    <definedName name="ListAdoptionCurves" localSheetId="62">[48]Lookups!$H$25:$H$44</definedName>
    <definedName name="ListAdoptionCurves" localSheetId="63">[48]Lookups!$H$25:$H$44</definedName>
    <definedName name="ListAdoptionCurves" localSheetId="66">[48]Lookups!$H$25:$H$44</definedName>
    <definedName name="ListAdoptionCurves" localSheetId="71">[48]Lookups!$H$25:$H$44</definedName>
    <definedName name="ListAdoptionCurves" localSheetId="72">[49]Lookups!$H$25:$H$44</definedName>
    <definedName name="ListAdoptionCurves" localSheetId="73">[49]Lookups!$H$25:$H$44</definedName>
    <definedName name="ListAdoptionCurves" localSheetId="67">[48]Lookups!$H$25:$H$44</definedName>
    <definedName name="ListAdoptionCurves" localSheetId="70">[48]Lookups!$H$25:$H$44</definedName>
    <definedName name="ListAdoptionCurves" localSheetId="68">[49]Lookups!$H$25:$H$44</definedName>
    <definedName name="ListAdoptionCurves">[50]Lookups!$H$25:$H$44</definedName>
    <definedName name="ListEquipTypes" localSheetId="13">[48]Lookups!$C$20:$C$94</definedName>
    <definedName name="ListEquipTypes" localSheetId="7">[48]Lookups!$C$20:$C$94</definedName>
    <definedName name="ListEquipTypes" localSheetId="23">[48]Lookups!$C$20:$C$94</definedName>
    <definedName name="ListEquipTypes" localSheetId="28">[48]Lookups!$C$20:$C$94</definedName>
    <definedName name="ListEquipTypes" localSheetId="34">[48]Lookups!$C$20:$C$94</definedName>
    <definedName name="ListEquipTypes" localSheetId="35">[48]Lookups!$C$20:$C$94</definedName>
    <definedName name="ListEquipTypes" localSheetId="36">[48]Lookups!$C$20:$C$94</definedName>
    <definedName name="ListEquipTypes" localSheetId="37">[48]Lookups!$C$20:$C$94</definedName>
    <definedName name="ListEquipTypes" localSheetId="38">[48]Lookups!$C$20:$C$94</definedName>
    <definedName name="ListEquipTypes" localSheetId="39">[48]Lookups!$C$20:$C$94</definedName>
    <definedName name="ListEquipTypes" localSheetId="40">[48]Lookups!$C$20:$C$94</definedName>
    <definedName name="ListEquipTypes" localSheetId="41">[48]Lookups!$C$20:$C$94</definedName>
    <definedName name="ListEquipTypes" localSheetId="43">[48]Lookups!$C$20:$C$94</definedName>
    <definedName name="ListEquipTypes" localSheetId="44">[48]Lookups!$C$20:$C$94</definedName>
    <definedName name="ListEquipTypes" localSheetId="42">[48]Lookups!$C$20:$C$94</definedName>
    <definedName name="ListEquipTypes" localSheetId="49">[48]Lookups!$C$20:$C$94</definedName>
    <definedName name="ListEquipTypes" localSheetId="51">[48]Lookups!$C$20:$C$94</definedName>
    <definedName name="ListEquipTypes" localSheetId="52">[48]Lookups!$C$20:$C$94</definedName>
    <definedName name="ListEquipTypes" localSheetId="45">[48]Lookups!$C$20:$C$94</definedName>
    <definedName name="ListEquipTypes" localSheetId="46">[48]Lookups!$C$20:$C$94</definedName>
    <definedName name="ListEquipTypes" localSheetId="53">[48]Lookups!$C$20:$C$94</definedName>
    <definedName name="ListEquipTypes" localSheetId="59">[48]Lookups!$C$20:$C$94</definedName>
    <definedName name="ListEquipTypes" localSheetId="54">[48]Lookups!$C$20:$C$94</definedName>
    <definedName name="ListEquipTypes" localSheetId="55">[48]Lookups!$C$20:$C$94</definedName>
    <definedName name="ListEquipTypes" localSheetId="57">[48]Lookups!$C$20:$C$94</definedName>
    <definedName name="ListEquipTypes" localSheetId="61">[49]Lookups!$C$20:$C$94</definedName>
    <definedName name="ListEquipTypes" localSheetId="62">[48]Lookups!$C$20:$C$94</definedName>
    <definedName name="ListEquipTypes" localSheetId="63">[48]Lookups!$C$20:$C$94</definedName>
    <definedName name="ListEquipTypes" localSheetId="66">[48]Lookups!$C$20:$C$94</definedName>
    <definedName name="ListEquipTypes" localSheetId="71">[48]Lookups!$C$20:$C$94</definedName>
    <definedName name="ListEquipTypes" localSheetId="72">[49]Lookups!$C$20:$C$94</definedName>
    <definedName name="ListEquipTypes" localSheetId="73">[49]Lookups!$C$20:$C$94</definedName>
    <definedName name="ListEquipTypes" localSheetId="67">[48]Lookups!$C$20:$C$94</definedName>
    <definedName name="ListEquipTypes" localSheetId="70">[48]Lookups!$C$20:$C$94</definedName>
    <definedName name="ListEquipTypes" localSheetId="68">[49]Lookups!$C$20:$C$94</definedName>
    <definedName name="ListEquipTypes">[50]Lookups!$C$20:$C$94</definedName>
    <definedName name="LoadshapeNames">[52]Loadshapes!$B$4:$B$137</definedName>
    <definedName name="Locator">#REF!</definedName>
    <definedName name="lookup_building_codes" localSheetId="0">'[21]BenCost Input Summary'!#REF!</definedName>
    <definedName name="lookup_building_codes" localSheetId="2">'[21]BenCost Input Summary'!#REF!</definedName>
    <definedName name="lookup_building_codes" localSheetId="1">'[21]BenCost Input Summary'!#REF!</definedName>
    <definedName name="lookup_buliding_tuneup" localSheetId="0">'[21]BenCost Input Summary'!#REF!</definedName>
    <definedName name="lookup_buliding_tuneup" localSheetId="2">'[21]BenCost Input Summary'!#REF!</definedName>
    <definedName name="lookup_buliding_tuneup" localSheetId="1">'[21]BenCost Input Summary'!#REF!</definedName>
    <definedName name="Lookup_CI_RC" localSheetId="0">'[21]BenCost Input Summary'!#REF!</definedName>
    <definedName name="Lookup_CI_RC" localSheetId="2">'[21]BenCost Input Summary'!#REF!</definedName>
    <definedName name="Lookup_CI_RC" localSheetId="1">'[21]BenCost Input Summary'!#REF!</definedName>
    <definedName name="lookup_process_tuneup" localSheetId="0">'[21]BenCost Input Summary'!#REF!</definedName>
    <definedName name="lookup_process_tuneup" localSheetId="2">'[21]BenCost Input Summary'!#REF!</definedName>
    <definedName name="lookup_process_tuneup" localSheetId="1">'[21]BenCost Input Summary'!#REF!</definedName>
    <definedName name="LPDy1" localSheetId="13">'[18]4.5.7'!$G$9:$G$10</definedName>
    <definedName name="LPDy1" localSheetId="7">'[18]4.5.7'!$G$9:$G$10</definedName>
    <definedName name="LPDy1" localSheetId="23">'[18]4.5.7'!$G$9:$G$10</definedName>
    <definedName name="LPDy1" localSheetId="28">'[22]4.5.7'!$G$9:$G$10</definedName>
    <definedName name="LPDy1" localSheetId="34">'[18]4.5.7'!$G$9:$G$10</definedName>
    <definedName name="LPDy1" localSheetId="35">'[18]4.5.7'!$G$9:$G$10</definedName>
    <definedName name="LPDy1" localSheetId="36">'[18]4.5.7'!$G$9:$G$10</definedName>
    <definedName name="LPDy1" localSheetId="37">'[18]4.5.7'!$G$9:$G$10</definedName>
    <definedName name="LPDy1" localSheetId="38">'[22]4.5.7'!$G$9:$G$10</definedName>
    <definedName name="LPDy1" localSheetId="39">'[23]4.5.7'!$G$9:$G$10</definedName>
    <definedName name="LPDy1" localSheetId="40">'[20]4.5.7'!$G$9:$G$10</definedName>
    <definedName name="LPDy1" localSheetId="41">'[20]4.5.7'!$G$9:$G$10</definedName>
    <definedName name="LPDy1" localSheetId="43">'[22]4.5.7'!$G$9:$G$10</definedName>
    <definedName name="LPDy1" localSheetId="44">'[22]4.5.7'!$G$9:$G$10</definedName>
    <definedName name="LPDy1" localSheetId="42">'[18]4.5.7'!$G$9:$G$10</definedName>
    <definedName name="LPDy1" localSheetId="49">'[20]4.5.7'!$G$9:$G$10</definedName>
    <definedName name="LPDy1" localSheetId="50">'[20]4.5.7'!$G$9:$G$10</definedName>
    <definedName name="LPDy1" localSheetId="51">'[20]4.5.7'!$G$9:$G$10</definedName>
    <definedName name="LPDy1" localSheetId="52">'[20]4.5.7'!$G$9:$G$10</definedName>
    <definedName name="LPDy1" localSheetId="59">'[20]4.5.7'!$G$9:$G$10</definedName>
    <definedName name="LPDy1" localSheetId="54">'[20]4.5.7'!$G$9:$G$10</definedName>
    <definedName name="LPDy1" localSheetId="58">'[20]4.5.7'!$G$9:$G$10</definedName>
    <definedName name="LPDy1" localSheetId="61">'[20]4.5.7'!$G$9:$G$10</definedName>
    <definedName name="LPDy1" localSheetId="63">'[20]4.5.7'!$G$9:$G$10</definedName>
    <definedName name="LPDy1" localSheetId="65">'[20]4.5.7'!$G$9:$G$10</definedName>
    <definedName name="LPDy1" localSheetId="66">'[20]4.5.7'!$G$9:$G$10</definedName>
    <definedName name="LPDy1" localSheetId="71">'[20]4.5.7'!$G$9:$G$10</definedName>
    <definedName name="LPDy1" localSheetId="72">'[20]4.5.7'!$G$9:$G$10</definedName>
    <definedName name="LPDy1" localSheetId="73">'[20]4.5.7'!$G$9:$G$10</definedName>
    <definedName name="LPDy1" localSheetId="67">'[20]4.5.7'!$G$9:$G$10</definedName>
    <definedName name="LPDy1" localSheetId="68">'[20]4.5.7'!$G$9:$G$10</definedName>
    <definedName name="LPDy1">'[19]4.5.7'!$G$9:$G$10</definedName>
    <definedName name="LPDy2" localSheetId="13">'[18]4.5.7'!$B$66:$B$88</definedName>
    <definedName name="LPDy2" localSheetId="7">'[18]4.5.7'!$B$66:$B$88</definedName>
    <definedName name="LPDy2" localSheetId="23">'[18]4.5.7'!$B$66:$B$88</definedName>
    <definedName name="LPDy2" localSheetId="28">'[22]4.5.7'!$B$66:$B$88</definedName>
    <definedName name="LPDy2" localSheetId="34">'[18]4.5.7'!$B$66:$B$88</definedName>
    <definedName name="LPDy2" localSheetId="35">'[18]4.5.7'!$B$66:$B$88</definedName>
    <definedName name="LPDy2" localSheetId="36">'[18]4.5.7'!$B$66:$B$88</definedName>
    <definedName name="LPDy2" localSheetId="37">'[18]4.5.7'!$B$66:$B$88</definedName>
    <definedName name="LPDy2" localSheetId="38">'[22]4.5.7'!$B$66:$B$88</definedName>
    <definedName name="LPDy2" localSheetId="39">'[23]4.5.7'!$B$66:$B$88</definedName>
    <definedName name="LPDy2" localSheetId="40">'[20]4.5.7'!$B$66:$B$88</definedName>
    <definedName name="LPDy2" localSheetId="41">'[20]4.5.7'!$B$66:$B$88</definedName>
    <definedName name="LPDy2" localSheetId="43">'[22]4.5.7'!$B$66:$B$88</definedName>
    <definedName name="LPDy2" localSheetId="44">'[22]4.5.7'!$B$66:$B$88</definedName>
    <definedName name="LPDy2" localSheetId="42">'[18]4.5.7'!$B$66:$B$88</definedName>
    <definedName name="LPDy2" localSheetId="49">'[20]4.5.7'!$B$66:$B$88</definedName>
    <definedName name="LPDy2" localSheetId="50">'[20]4.5.7'!$B$66:$B$88</definedName>
    <definedName name="LPDy2" localSheetId="51">'[20]4.5.7'!$B$66:$B$88</definedName>
    <definedName name="LPDy2" localSheetId="52">'[20]4.5.7'!$B$66:$B$88</definedName>
    <definedName name="LPDy2" localSheetId="59">'[20]4.5.7'!$B$66:$B$88</definedName>
    <definedName name="LPDy2" localSheetId="54">'[20]4.5.7'!$B$66:$B$88</definedName>
    <definedName name="LPDy2" localSheetId="58">'[20]4.5.7'!$B$66:$B$88</definedName>
    <definedName name="LPDy2" localSheetId="61">'[20]4.5.7'!$B$66:$B$88</definedName>
    <definedName name="LPDy2" localSheetId="63">'[20]4.5.7'!$B$66:$B$88</definedName>
    <definedName name="LPDy2" localSheetId="65">'[20]4.5.7'!$B$66:$B$88</definedName>
    <definedName name="LPDy2" localSheetId="66">'[20]4.5.7'!$B$66:$B$88</definedName>
    <definedName name="LPDy2" localSheetId="71">'[20]4.5.7'!$B$66:$B$88</definedName>
    <definedName name="LPDy2" localSheetId="72">'[20]4.5.7'!$B$66:$B$88</definedName>
    <definedName name="LPDy2" localSheetId="73">'[20]4.5.7'!$B$66:$B$88</definedName>
    <definedName name="LPDy2" localSheetId="67">'[20]4.5.7'!$B$66:$B$88</definedName>
    <definedName name="LPDy2" localSheetId="68">'[20]4.5.7'!$B$66:$B$88</definedName>
    <definedName name="LPDy2">'[19]4.5.7'!$B$66:$B$88</definedName>
    <definedName name="LPDy3" localSheetId="13">'[18]4.5.7'!$F$27:$F$31</definedName>
    <definedName name="LPDy3" localSheetId="7">'[18]4.5.7'!$F$27:$F$31</definedName>
    <definedName name="LPDy3" localSheetId="23">'[18]4.5.7'!$F$27:$F$31</definedName>
    <definedName name="LPDy3" localSheetId="28">'[22]4.5.7'!$F$27:$F$31</definedName>
    <definedName name="LPDy3" localSheetId="34">'[18]4.5.7'!$F$27:$F$31</definedName>
    <definedName name="LPDy3" localSheetId="35">'[18]4.5.7'!$F$27:$F$31</definedName>
    <definedName name="LPDy3" localSheetId="36">'[18]4.5.7'!$F$27:$F$31</definedName>
    <definedName name="LPDy3" localSheetId="37">'[18]4.5.7'!$F$27:$F$31</definedName>
    <definedName name="LPDy3" localSheetId="38">'[22]4.5.7'!$F$27:$F$31</definedName>
    <definedName name="LPDy3" localSheetId="39">'[23]4.5.7'!$F$27:$F$31</definedName>
    <definedName name="LPDy3" localSheetId="40">'[20]4.5.7'!$F$27:$F$31</definedName>
    <definedName name="LPDy3" localSheetId="41">'[20]4.5.7'!$F$27:$F$31</definedName>
    <definedName name="LPDy3" localSheetId="43">'[22]4.5.7'!$F$27:$F$31</definedName>
    <definedName name="LPDy3" localSheetId="44">'[22]4.5.7'!$F$27:$F$31</definedName>
    <definedName name="LPDy3" localSheetId="42">'[18]4.5.7'!$F$27:$F$31</definedName>
    <definedName name="LPDy3" localSheetId="49">'[20]4.5.7'!$F$27:$F$31</definedName>
    <definedName name="LPDy3" localSheetId="50">'[20]4.5.7'!$F$27:$F$31</definedName>
    <definedName name="LPDy3" localSheetId="51">'[20]4.5.7'!$F$27:$F$31</definedName>
    <definedName name="LPDy3" localSheetId="52">'[20]4.5.7'!$F$27:$F$31</definedName>
    <definedName name="LPDy3" localSheetId="59">'[20]4.5.7'!$F$27:$F$31</definedName>
    <definedName name="LPDy3" localSheetId="54">'[20]4.5.7'!$F$27:$F$31</definedName>
    <definedName name="LPDy3" localSheetId="58">'[20]4.5.7'!$F$27:$F$31</definedName>
    <definedName name="LPDy3" localSheetId="61">'[20]4.5.7'!$F$27:$F$31</definedName>
    <definedName name="LPDy3" localSheetId="63">'[20]4.5.7'!$F$27:$F$31</definedName>
    <definedName name="LPDy3" localSheetId="65">'[20]4.5.7'!$F$27:$F$31</definedName>
    <definedName name="LPDy3" localSheetId="66">'[20]4.5.7'!$F$27:$F$31</definedName>
    <definedName name="LPDy3" localSheetId="71">'[20]4.5.7'!$F$27:$F$31</definedName>
    <definedName name="LPDy3" localSheetId="72">'[20]4.5.7'!$F$27:$F$31</definedName>
    <definedName name="LPDy3" localSheetId="73">'[20]4.5.7'!$F$27:$F$31</definedName>
    <definedName name="LPDy3" localSheetId="67">'[20]4.5.7'!$F$27:$F$31</definedName>
    <definedName name="LPDy3" localSheetId="68">'[20]4.5.7'!$F$27:$F$31</definedName>
    <definedName name="LPDy3">'[19]4.5.7'!$F$27:$F$31</definedName>
    <definedName name="LPDy4" localSheetId="13">'[18]4.5.7'!$B$28:$B$59</definedName>
    <definedName name="LPDy4" localSheetId="7">'[18]4.5.7'!$B$28:$B$59</definedName>
    <definedName name="LPDy4" localSheetId="23">'[18]4.5.7'!$B$28:$B$59</definedName>
    <definedName name="LPDy4" localSheetId="28">'[22]4.5.7'!$B$28:$B$59</definedName>
    <definedName name="LPDy4" localSheetId="34">'[18]4.5.7'!$B$28:$B$59</definedName>
    <definedName name="LPDy4" localSheetId="35">'[18]4.5.7'!$B$28:$B$59</definedName>
    <definedName name="LPDy4" localSheetId="36">'[18]4.5.7'!$B$28:$B$59</definedName>
    <definedName name="LPDy4" localSheetId="37">'[18]4.5.7'!$B$28:$B$59</definedName>
    <definedName name="LPDy4" localSheetId="38">'[22]4.5.7'!$B$28:$B$59</definedName>
    <definedName name="LPDy4" localSheetId="39">'[23]4.5.7'!$B$28:$B$59</definedName>
    <definedName name="LPDy4" localSheetId="40">'[20]4.5.7'!$B$28:$B$59</definedName>
    <definedName name="LPDy4" localSheetId="41">'[20]4.5.7'!$B$28:$B$59</definedName>
    <definedName name="LPDy4" localSheetId="43">'[22]4.5.7'!$B$28:$B$59</definedName>
    <definedName name="LPDy4" localSheetId="44">'[22]4.5.7'!$B$28:$B$59</definedName>
    <definedName name="LPDy4" localSheetId="42">'[18]4.5.7'!$B$28:$B$59</definedName>
    <definedName name="LPDy4" localSheetId="49">'[20]4.5.7'!$B$28:$B$59</definedName>
    <definedName name="LPDy4" localSheetId="50">'[20]4.5.7'!$B$28:$B$59</definedName>
    <definedName name="LPDy4" localSheetId="51">'[20]4.5.7'!$B$28:$B$59</definedName>
    <definedName name="LPDy4" localSheetId="52">'[20]4.5.7'!$B$28:$B$59</definedName>
    <definedName name="LPDy4" localSheetId="59">'[20]4.5.7'!$B$28:$B$59</definedName>
    <definedName name="LPDy4" localSheetId="54">'[20]4.5.7'!$B$28:$B$59</definedName>
    <definedName name="LPDy4" localSheetId="58">'[20]4.5.7'!$B$28:$B$59</definedName>
    <definedName name="LPDy4" localSheetId="61">'[20]4.5.7'!$B$28:$B$59</definedName>
    <definedName name="LPDy4" localSheetId="63">'[20]4.5.7'!$B$28:$B$59</definedName>
    <definedName name="LPDy4" localSheetId="65">'[20]4.5.7'!$B$28:$B$59</definedName>
    <definedName name="LPDy4" localSheetId="66">'[20]4.5.7'!$B$28:$B$59</definedName>
    <definedName name="LPDy4" localSheetId="71">'[20]4.5.7'!$B$28:$B$59</definedName>
    <definedName name="LPDy4" localSheetId="72">'[20]4.5.7'!$B$28:$B$59</definedName>
    <definedName name="LPDy4" localSheetId="73">'[20]4.5.7'!$B$28:$B$59</definedName>
    <definedName name="LPDy4" localSheetId="67">'[20]4.5.7'!$B$28:$B$59</definedName>
    <definedName name="LPDy4" localSheetId="68">'[20]4.5.7'!$B$28:$B$59</definedName>
    <definedName name="LPDy4">'[19]4.5.7'!$B$28:$B$59</definedName>
    <definedName name="LPDy5" localSheetId="13">'[18]4.5.7'!$G$36:$G$56</definedName>
    <definedName name="LPDy5" localSheetId="7">'[18]4.5.7'!$G$36:$G$56</definedName>
    <definedName name="LPDy5" localSheetId="23">'[18]4.5.7'!$G$36:$G$56</definedName>
    <definedName name="LPDy5" localSheetId="28">'[22]4.5.7'!$G$36:$G$56</definedName>
    <definedName name="LPDy5" localSheetId="34">'[18]4.5.7'!$G$36:$G$56</definedName>
    <definedName name="LPDy5" localSheetId="35">'[18]4.5.7'!$G$36:$G$56</definedName>
    <definedName name="LPDy5" localSheetId="36">'[18]4.5.7'!$G$36:$G$56</definedName>
    <definedName name="LPDy5" localSheetId="37">'[18]4.5.7'!$G$36:$G$56</definedName>
    <definedName name="LPDy5" localSheetId="38">'[22]4.5.7'!$G$36:$G$56</definedName>
    <definedName name="LPDy5" localSheetId="39">'[23]4.5.7'!$G$36:$G$56</definedName>
    <definedName name="LPDy5" localSheetId="40">'[20]4.5.7'!$G$36:$G$56</definedName>
    <definedName name="LPDy5" localSheetId="41">'[20]4.5.7'!$G$36:$G$56</definedName>
    <definedName name="LPDy5" localSheetId="43">'[22]4.5.7'!$G$36:$G$56</definedName>
    <definedName name="LPDy5" localSheetId="44">'[22]4.5.7'!$G$36:$G$56</definedName>
    <definedName name="LPDy5" localSheetId="42">'[18]4.5.7'!$G$36:$G$56</definedName>
    <definedName name="LPDy5" localSheetId="49">'[20]4.5.7'!$G$36:$G$56</definedName>
    <definedName name="LPDy5" localSheetId="50">'[20]4.5.7'!$G$36:$G$56</definedName>
    <definedName name="LPDy5" localSheetId="51">'[20]4.5.7'!$G$36:$G$56</definedName>
    <definedName name="LPDy5" localSheetId="52">'[20]4.5.7'!$G$36:$G$56</definedName>
    <definedName name="LPDy5" localSheetId="59">'[20]4.5.7'!$G$36:$G$56</definedName>
    <definedName name="LPDy5" localSheetId="54">'[20]4.5.7'!$G$36:$G$56</definedName>
    <definedName name="LPDy5" localSheetId="58">'[20]4.5.7'!$G$36:$G$56</definedName>
    <definedName name="LPDy5" localSheetId="61">'[20]4.5.7'!$G$36:$G$56</definedName>
    <definedName name="LPDy5" localSheetId="63">'[20]4.5.7'!$G$36:$G$56</definedName>
    <definedName name="LPDy5" localSheetId="65">'[20]4.5.7'!$G$36:$G$56</definedName>
    <definedName name="LPDy5" localSheetId="66">'[20]4.5.7'!$G$36:$G$56</definedName>
    <definedName name="LPDy5" localSheetId="71">'[20]4.5.7'!$G$36:$G$56</definedName>
    <definedName name="LPDy5" localSheetId="72">'[20]4.5.7'!$G$36:$G$56</definedName>
    <definedName name="LPDy5" localSheetId="73">'[20]4.5.7'!$G$36:$G$56</definedName>
    <definedName name="LPDy5" localSheetId="67">'[20]4.5.7'!$G$36:$G$56</definedName>
    <definedName name="LPDy5" localSheetId="68">'[20]4.5.7'!$G$36:$G$56</definedName>
    <definedName name="LPDy5">'[19]4.5.7'!$G$36:$G$56</definedName>
    <definedName name="LPDy6" localSheetId="13">'[18]4.5.7'!$G$57:$G$60</definedName>
    <definedName name="LPDy6" localSheetId="7">'[18]4.5.7'!$G$57:$G$60</definedName>
    <definedName name="LPDy6" localSheetId="23">'[18]4.5.7'!$G$57:$G$60</definedName>
    <definedName name="LPDy6" localSheetId="28">'[22]4.5.7'!$G$57:$G$60</definedName>
    <definedName name="LPDy6" localSheetId="34">'[18]4.5.7'!$G$57:$G$60</definedName>
    <definedName name="LPDy6" localSheetId="35">'[18]4.5.7'!$G$57:$G$60</definedName>
    <definedName name="LPDy6" localSheetId="36">'[18]4.5.7'!$G$57:$G$60</definedName>
    <definedName name="LPDy6" localSheetId="37">'[18]4.5.7'!$G$57:$G$60</definedName>
    <definedName name="LPDy6" localSheetId="38">'[22]4.5.7'!$G$57:$G$60</definedName>
    <definedName name="LPDy6" localSheetId="39">'[23]4.5.7'!$G$57:$G$60</definedName>
    <definedName name="LPDy6" localSheetId="40">'[20]4.5.7'!$G$57:$G$60</definedName>
    <definedName name="LPDy6" localSheetId="41">'[20]4.5.7'!$G$57:$G$60</definedName>
    <definedName name="LPDy6" localSheetId="43">'[22]4.5.7'!$G$57:$G$60</definedName>
    <definedName name="LPDy6" localSheetId="44">'[22]4.5.7'!$G$57:$G$60</definedName>
    <definedName name="LPDy6" localSheetId="42">'[18]4.5.7'!$G$57:$G$60</definedName>
    <definedName name="LPDy6" localSheetId="49">'[20]4.5.7'!$G$57:$G$60</definedName>
    <definedName name="LPDy6" localSheetId="50">'[20]4.5.7'!$G$57:$G$60</definedName>
    <definedName name="LPDy6" localSheetId="51">'[20]4.5.7'!$G$57:$G$60</definedName>
    <definedName name="LPDy6" localSheetId="52">'[20]4.5.7'!$G$57:$G$60</definedName>
    <definedName name="LPDy6" localSheetId="59">'[20]4.5.7'!$G$57:$G$60</definedName>
    <definedName name="LPDy6" localSheetId="54">'[20]4.5.7'!$G$57:$G$60</definedName>
    <definedName name="LPDy6" localSheetId="58">'[20]4.5.7'!$G$57:$G$60</definedName>
    <definedName name="LPDy6" localSheetId="61">'[20]4.5.7'!$G$57:$G$60</definedName>
    <definedName name="LPDy6" localSheetId="63">'[20]4.5.7'!$G$57:$G$60</definedName>
    <definedName name="LPDy6" localSheetId="65">'[20]4.5.7'!$G$57:$G$60</definedName>
    <definedName name="LPDy6" localSheetId="66">'[20]4.5.7'!$G$57:$G$60</definedName>
    <definedName name="LPDy6" localSheetId="71">'[20]4.5.7'!$G$57:$G$60</definedName>
    <definedName name="LPDy6" localSheetId="72">'[20]4.5.7'!$G$57:$G$60</definedName>
    <definedName name="LPDy6" localSheetId="73">'[20]4.5.7'!$G$57:$G$60</definedName>
    <definedName name="LPDy6" localSheetId="67">'[20]4.5.7'!$G$57:$G$60</definedName>
    <definedName name="LPDy6" localSheetId="68">'[20]4.5.7'!$G$57:$G$60</definedName>
    <definedName name="LPDy6">'[19]4.5.7'!$G$57:$G$60</definedName>
    <definedName name="LPDy7" localSheetId="13">'[18]4.5.7'!$O$14:$O$28</definedName>
    <definedName name="LPDy7" localSheetId="7">'[18]4.5.7'!$O$14:$O$28</definedName>
    <definedName name="LPDy7" localSheetId="23">'[18]4.5.7'!$O$14:$O$28</definedName>
    <definedName name="LPDy7" localSheetId="28">'[22]4.5.7'!$O$14:$O$28</definedName>
    <definedName name="LPDy7" localSheetId="34">'[18]4.5.7'!$O$14:$O$28</definedName>
    <definedName name="LPDy7" localSheetId="35">'[18]4.5.7'!$O$14:$O$28</definedName>
    <definedName name="LPDy7" localSheetId="36">'[18]4.5.7'!$O$14:$O$28</definedName>
    <definedName name="LPDy7" localSheetId="37">'[18]4.5.7'!$O$14:$O$28</definedName>
    <definedName name="LPDy7" localSheetId="38">'[22]4.5.7'!$O$14:$O$28</definedName>
    <definedName name="LPDy7" localSheetId="39">'[23]4.5.7'!$O$14:$O$28</definedName>
    <definedName name="LPDy7" localSheetId="40">'[20]4.5.7'!$O$14:$O$28</definedName>
    <definedName name="LPDy7" localSheetId="41">'[20]4.5.7'!$O$14:$O$28</definedName>
    <definedName name="LPDy7" localSheetId="43">'[22]4.5.7'!$O$14:$O$28</definedName>
    <definedName name="LPDy7" localSheetId="44">'[22]4.5.7'!$O$14:$O$28</definedName>
    <definedName name="LPDy7" localSheetId="42">'[18]4.5.7'!$O$14:$O$28</definedName>
    <definedName name="LPDy7" localSheetId="49">'[20]4.5.7'!$O$14:$O$28</definedName>
    <definedName name="LPDy7" localSheetId="50">'[20]4.5.7'!$O$14:$O$28</definedName>
    <definedName name="LPDy7" localSheetId="51">'[20]4.5.7'!$O$14:$O$28</definedName>
    <definedName name="LPDy7" localSheetId="52">'[20]4.5.7'!$O$14:$O$28</definedName>
    <definedName name="LPDy7" localSheetId="59">'[20]4.5.7'!$O$14:$O$28</definedName>
    <definedName name="LPDy7" localSheetId="54">'[20]4.5.7'!$O$14:$O$28</definedName>
    <definedName name="LPDy7" localSheetId="58">'[20]4.5.7'!$O$14:$O$28</definedName>
    <definedName name="LPDy7" localSheetId="61">'[20]4.5.7'!$O$14:$O$28</definedName>
    <definedName name="LPDy7" localSheetId="63">'[20]4.5.7'!$O$14:$O$28</definedName>
    <definedName name="LPDy7" localSheetId="65">'[20]4.5.7'!$O$14:$O$28</definedName>
    <definedName name="LPDy7" localSheetId="66">'[20]4.5.7'!$O$14:$O$28</definedName>
    <definedName name="LPDy7" localSheetId="71">'[20]4.5.7'!$O$14:$O$28</definedName>
    <definedName name="LPDy7" localSheetId="72">'[20]4.5.7'!$O$14:$O$28</definedName>
    <definedName name="LPDy7" localSheetId="73">'[20]4.5.7'!$O$14:$O$28</definedName>
    <definedName name="LPDy7" localSheetId="67">'[20]4.5.7'!$O$14:$O$28</definedName>
    <definedName name="LPDy7" localSheetId="68">'[20]4.5.7'!$O$14:$O$28</definedName>
    <definedName name="LPDy7">'[19]4.5.7'!$O$14:$O$28</definedName>
    <definedName name="LU_facilitytype">[53]HOO!$A$2:$C$17</definedName>
    <definedName name="Measure_Factor" localSheetId="13">'[5]List for Segments - TEAPOt'!$C$306:$K$347</definedName>
    <definedName name="Measure_Factor" localSheetId="7">'[5]List for Segments - TEAPOt'!$C$306:$K$347</definedName>
    <definedName name="Measure_Factor" localSheetId="23">'[5]List for Segments - TEAPOt'!$C$306:$K$347</definedName>
    <definedName name="Measure_Factor" localSheetId="28">'[22]List for Segments - TEAPOt'!$C$316:$G$356</definedName>
    <definedName name="Measure_Factor" localSheetId="36">'[5]List for Segments - TEAPOt'!$C$306:$K$347</definedName>
    <definedName name="Measure_Factor" localSheetId="37">'[5]List for Segments - TEAPOt'!$C$306:$K$347</definedName>
    <definedName name="Measure_Factor" localSheetId="38">'[22]List for Segments - TEAPOt'!$C$316:$G$356</definedName>
    <definedName name="Measure_Factor" localSheetId="39">'[23]List for Segments - TEAPOt'!$C$289:$G$329</definedName>
    <definedName name="Measure_Factor" localSheetId="40">'[5]List for Segments - TEAPOt'!$C$306:$K$347</definedName>
    <definedName name="Measure_Factor" localSheetId="41">'[5]List for Segments - TEAPOt'!$C$306:$K$347</definedName>
    <definedName name="Measure_Factor" localSheetId="43">'[22]List for Segments - TEAPOt'!$C$316:$G$356</definedName>
    <definedName name="Measure_Factor" localSheetId="44">'[22]List for Segments - TEAPOt'!$C$316:$G$356</definedName>
    <definedName name="Measure_Factor">'[6]List for Segments - TEAPOt'!$C$317:$J$358</definedName>
    <definedName name="Measure_Iterations_to_Consider" localSheetId="61">#REF!</definedName>
    <definedName name="Measure_Iterations_to_Consider" localSheetId="72">#REF!</definedName>
    <definedName name="Measure_Iterations_to_Consider" localSheetId="73">#REF!</definedName>
    <definedName name="Measure_Iterations_to_Consider" localSheetId="67">#REF!</definedName>
    <definedName name="Measure_Iterations_to_Consider" localSheetId="2">#REF!</definedName>
    <definedName name="Measure_Iterations_to_Consider" localSheetId="68">#REF!</definedName>
    <definedName name="Measure_Iterations_to_Consider">#REF!</definedName>
    <definedName name="Measure_Life_Source" localSheetId="61">#REF!</definedName>
    <definedName name="Measure_Life_Source" localSheetId="72">#REF!</definedName>
    <definedName name="Measure_Life_Source" localSheetId="73">#REF!</definedName>
    <definedName name="Measure_Life_Source" localSheetId="67">#REF!</definedName>
    <definedName name="Measure_Life_Source" localSheetId="2">#REF!</definedName>
    <definedName name="Measure_Life_Source" localSheetId="68">#REF!</definedName>
    <definedName name="Measure_Life_Source">#REF!</definedName>
    <definedName name="Measure_Mapping" localSheetId="13">'[31]Measure Mapping List'!$B$2:$E$368</definedName>
    <definedName name="Measure_Mapping" localSheetId="7">'[31]Measure Mapping List'!$B$2:$E$368</definedName>
    <definedName name="Measure_Mapping" localSheetId="23">'[31]Measure Mapping List'!$B$2:$E$368</definedName>
    <definedName name="Measure_Mapping" localSheetId="28">'[31]Measure Mapping List'!$B$2:$E$368</definedName>
    <definedName name="Measure_Mapping" localSheetId="34">'[31]Measure Mapping List'!$B$2:$E$360</definedName>
    <definedName name="Measure_Mapping" localSheetId="35">'[31]Measure Mapping List'!$B$2:$E$360</definedName>
    <definedName name="Measure_Mapping" localSheetId="36">'[31]Measure Mapping List'!$B$2:$E$368</definedName>
    <definedName name="Measure_Mapping" localSheetId="37">'[31]Measure Mapping List'!$B$2:$E$368</definedName>
    <definedName name="Measure_Mapping" localSheetId="38">'[31]Measure Mapping List'!$B$2:$E$368</definedName>
    <definedName name="Measure_Mapping" localSheetId="39">'[31]Measure Mapping List'!$B$2:$E$368</definedName>
    <definedName name="Measure_Mapping" localSheetId="40">'[31]Measure Mapping List'!$B$2:$E$368</definedName>
    <definedName name="Measure_Mapping" localSheetId="41">'[31]Measure Mapping List'!$B$2:$E$368</definedName>
    <definedName name="Measure_Mapping" localSheetId="43">'[31]Measure Mapping List'!$B$2:$E$368</definedName>
    <definedName name="Measure_Mapping" localSheetId="44">'[31]Measure Mapping List'!$B$2:$E$368</definedName>
    <definedName name="Measure_Mapping" localSheetId="42">'[31]Measure Mapping List'!$B$2:$E$360</definedName>
    <definedName name="Measure_Mapping" localSheetId="50">'[31]Measure Mapping List'!$B$2:$E$368</definedName>
    <definedName name="Measure_Mapping" localSheetId="51">'[31]Measure Mapping List'!$B$2:$E$368</definedName>
    <definedName name="Measure_Mapping" localSheetId="52">'[31]Measure Mapping List'!$B$2:$E$368</definedName>
    <definedName name="Measure_Mapping" localSheetId="59">'[31]Measure Mapping List'!$B$2:$E$368</definedName>
    <definedName name="Measure_Mapping" localSheetId="58">'[31]Measure Mapping List'!$B$2:$E$368</definedName>
    <definedName name="Measure_Mapping" localSheetId="61">'[31]Measure Mapping List'!$B$2:$E$364</definedName>
    <definedName name="Measure_Mapping" localSheetId="65">'[31]Measure Mapping List'!$B$2:$E$368</definedName>
    <definedName name="Measure_Mapping" localSheetId="66">'[31]Measure Mapping List'!$B$2:$E$368</definedName>
    <definedName name="Measure_Mapping" localSheetId="71">'[31]Measure Mapping List'!$B$2:$E$364</definedName>
    <definedName name="Measure_Mapping" localSheetId="72">'[31]Measure Mapping List'!$B$2:$E$364</definedName>
    <definedName name="Measure_Mapping" localSheetId="73">'[31]Measure Mapping List'!$B$2:$E$364</definedName>
    <definedName name="Measure_Mapping" localSheetId="68">'[31]Measure Mapping List'!$B$2:$E$364</definedName>
    <definedName name="Measure_Mapping">'[31]Measure Mapping List'!$B$2:$E$358</definedName>
    <definedName name="Measure_Naming_Convention" localSheetId="61">#REF!</definedName>
    <definedName name="Measure_Naming_Convention" localSheetId="72">#REF!</definedName>
    <definedName name="Measure_Naming_Convention" localSheetId="73">#REF!</definedName>
    <definedName name="Measure_Naming_Convention" localSheetId="67">#REF!</definedName>
    <definedName name="Measure_Naming_Convention" localSheetId="2">#REF!</definedName>
    <definedName name="Measure_Naming_Convention" localSheetId="68">#REF!</definedName>
    <definedName name="Measure_Naming_Convention">#REF!</definedName>
    <definedName name="Measure_Options">OFFSET(Measure_Type,0,0,COUNTA(Measure_Type),1)</definedName>
    <definedName name="Measure_Saturation" localSheetId="28">'[22]List for Segments - TEAPOt'!$A$361:$C$379</definedName>
    <definedName name="Measure_Saturation" localSheetId="38">'[22]List for Segments - TEAPOt'!$A$361:$C$379</definedName>
    <definedName name="Measure_Saturation" localSheetId="43">'[22]List for Segments - TEAPOt'!$A$361:$C$379</definedName>
    <definedName name="Measure_Saturation" localSheetId="44">'[22]List for Segments - TEAPOt'!$A$361:$C$379</definedName>
    <definedName name="Measure_Saturation">'[23]List for Segments - TEAPOt'!$A$334:$C$352</definedName>
    <definedName name="Measure_Type">INDEX(#REF!,0,MATCH(#REF!,#REF!,0))</definedName>
    <definedName name="Measure_Type_List">#REF!</definedName>
    <definedName name="Measures" localSheetId="0">#REF!</definedName>
    <definedName name="Measures" localSheetId="2">#REF!</definedName>
    <definedName name="Measures" localSheetId="1">#REF!</definedName>
    <definedName name="MeasureType" localSheetId="13">[5]Lists!$B$3:$B$27</definedName>
    <definedName name="MeasureType" localSheetId="7">[5]Lists!$B$3:$B$27</definedName>
    <definedName name="MeasureType" localSheetId="23">[18]List!$B$3:$B$25</definedName>
    <definedName name="MeasureType" localSheetId="28">[39]Lists!$B$3:$B$25</definedName>
    <definedName name="MeasureType" localSheetId="33">[28]Lists!$B$3:$B$25</definedName>
    <definedName name="MeasureType" localSheetId="34">[6]Lists!$B$3:$B$25</definedName>
    <definedName name="MeasureType" localSheetId="35">[6]Lists!$B$3:$B$25</definedName>
    <definedName name="MeasureType" localSheetId="36">[18]List!$B$3:$B$25</definedName>
    <definedName name="MeasureType" localSheetId="37">[5]Lists!$B$3:$B$27</definedName>
    <definedName name="MeasureType" localSheetId="38">[39]Lists!$B$3:$B$25</definedName>
    <definedName name="MeasureType" localSheetId="39">[39]Lists!$B$3:$B$25</definedName>
    <definedName name="MeasureType" localSheetId="40">[25]Lists!$B$3:$B$25</definedName>
    <definedName name="MeasureType" localSheetId="41">[25]Lists!$B$3:$B$25</definedName>
    <definedName name="MeasureType" localSheetId="43">[39]Lists!$B$3:$B$25</definedName>
    <definedName name="MeasureType" localSheetId="44">[39]Lists!$B$3:$B$25</definedName>
    <definedName name="MeasureType" localSheetId="42">[6]Lists!$B$3:$B$25</definedName>
    <definedName name="MeasureType" localSheetId="49">[26]Lists!$B$3:$B$25</definedName>
    <definedName name="MeasureType" localSheetId="50">[11]List!$B$3:$B$26</definedName>
    <definedName name="MeasureType" localSheetId="51">[27]Lists!$B$3:$B$25</definedName>
    <definedName name="MeasureType" localSheetId="52">[25]Lists!$B$3:$B$25</definedName>
    <definedName name="MeasureType" localSheetId="45">[28]Input_Data!$B$111:$B$137</definedName>
    <definedName name="MeasureType" localSheetId="47">[12]List!$B$3:$B$25</definedName>
    <definedName name="MeasureType" localSheetId="53">[28]Input_Data!$B$111:$B$137</definedName>
    <definedName name="MeasureType" localSheetId="59">[25]Lists!$B$3:$B$25</definedName>
    <definedName name="MeasureType" localSheetId="54">[13]List!$B$3:$B$25</definedName>
    <definedName name="MeasureType" localSheetId="57">[28]Input_Data!$B$111:$B$137</definedName>
    <definedName name="MeasureType" localSheetId="58">[11]List!$B$3:$B$26</definedName>
    <definedName name="MeasureType" localSheetId="61">[11]List!$B$3:$B$26</definedName>
    <definedName name="MeasureType" localSheetId="63">[26]Lists!$B$3:$B$25</definedName>
    <definedName name="MeasureType" localSheetId="65">[11]List!$B$3:$B$26</definedName>
    <definedName name="MeasureType" localSheetId="66">[25]Lists!$B$3:$B$25</definedName>
    <definedName name="MeasureType" localSheetId="72">[11]List!$B$3:$B$26</definedName>
    <definedName name="MeasureType" localSheetId="73">[11]List!$B$3:$B$26</definedName>
    <definedName name="MeasureType" localSheetId="70">[28]Lists!$B$3:$B$25</definedName>
    <definedName name="MeasureType" localSheetId="68">[11]List!$B$3:$B$26</definedName>
    <definedName name="MeasureType">[14]List!$B$3:$B$25</definedName>
    <definedName name="Million">1000000</definedName>
    <definedName name="MLLS1" localSheetId="13">'[18]4.5.9'!$L$7:$L$21</definedName>
    <definedName name="MLLS1" localSheetId="7">'[18]4.5.9'!$L$7:$L$21</definedName>
    <definedName name="MLLS1" localSheetId="23">'[18]4.5.9'!$L$7:$L$21</definedName>
    <definedName name="MLLS1" localSheetId="28">'[22]4.5.9'!$L$7:$L$21</definedName>
    <definedName name="MLLS1" localSheetId="34">'[18]4.5.9'!$L$7:$L$21</definedName>
    <definedName name="MLLS1" localSheetId="35">'[18]4.5.9'!$L$7:$L$21</definedName>
    <definedName name="MLLS1" localSheetId="36">'[18]4.5.9'!$L$7:$L$21</definedName>
    <definedName name="MLLS1" localSheetId="37">'[18]4.5.9'!$L$7:$L$21</definedName>
    <definedName name="MLLS1" localSheetId="38">'[22]4.5.9'!$L$7:$L$21</definedName>
    <definedName name="MLLS1" localSheetId="39">'[23]4.5.9'!$L$7:$L$21</definedName>
    <definedName name="MLLS1" localSheetId="40">'[20]4.5.9'!$L$7:$L$21</definedName>
    <definedName name="MLLS1" localSheetId="41">'[20]4.5.9'!$L$7:$L$21</definedName>
    <definedName name="MLLS1" localSheetId="43">'[22]4.5.9'!$L$7:$L$21</definedName>
    <definedName name="MLLS1" localSheetId="44">'[22]4.5.9'!$L$7:$L$21</definedName>
    <definedName name="MLLS1" localSheetId="42">'[18]4.5.9'!$L$7:$L$21</definedName>
    <definedName name="MLLS1" localSheetId="49">'[20]4.5.9'!$L$7:$L$21</definedName>
    <definedName name="MLLS1" localSheetId="50">'[20]4.5.9'!$L$7:$L$21</definedName>
    <definedName name="MLLS1" localSheetId="51">'[20]4.5.9'!$L$7:$L$21</definedName>
    <definedName name="MLLS1" localSheetId="52">'[20]4.5.9'!$L$7:$L$21</definedName>
    <definedName name="MLLS1" localSheetId="59">'[20]4.5.9'!$L$7:$L$21</definedName>
    <definedName name="MLLS1" localSheetId="54">'[20]4.5.9'!$L$7:$L$21</definedName>
    <definedName name="MLLS1" localSheetId="58">'[20]4.5.9'!$L$7:$L$21</definedName>
    <definedName name="MLLS1" localSheetId="61">'[20]4.5.9'!$L$7:$L$21</definedName>
    <definedName name="MLLS1" localSheetId="63">'[20]4.5.9'!$L$7:$L$21</definedName>
    <definedName name="MLLS1" localSheetId="65">'[20]4.5.9'!$L$7:$L$21</definedName>
    <definedName name="MLLS1" localSheetId="66">'[20]4.5.9'!$L$7:$L$21</definedName>
    <definedName name="MLLS1" localSheetId="71">'[20]4.5.9'!$L$7:$L$21</definedName>
    <definedName name="MLLS1" localSheetId="72">'[20]4.5.9'!$L$7:$L$21</definedName>
    <definedName name="MLLS1" localSheetId="73">'[20]4.5.9'!$L$7:$L$21</definedName>
    <definedName name="MLLS1" localSheetId="67">'[20]4.5.9'!$L$7:$L$21</definedName>
    <definedName name="MLLS1" localSheetId="68">'[20]4.5.9'!$L$7:$L$21</definedName>
    <definedName name="MLLS1">'[19]4.5.9'!$L$7:$L$21</definedName>
    <definedName name="MLLS2" localSheetId="13">'[18]4.5.9'!$B$24:$B$48</definedName>
    <definedName name="MLLS2" localSheetId="7">'[18]4.5.9'!$B$24:$B$48</definedName>
    <definedName name="MLLS2" localSheetId="23">'[18]4.5.9'!$B$24:$B$48</definedName>
    <definedName name="MLLS2" localSheetId="28">'[22]4.5.9'!$B$24:$B$48</definedName>
    <definedName name="MLLS2" localSheetId="34">'[18]4.5.9'!$B$24:$B$48</definedName>
    <definedName name="MLLS2" localSheetId="35">'[18]4.5.9'!$B$24:$B$48</definedName>
    <definedName name="MLLS2" localSheetId="36">'[18]4.5.9'!$B$24:$B$48</definedName>
    <definedName name="MLLS2" localSheetId="37">'[18]4.5.9'!$B$24:$B$48</definedName>
    <definedName name="MLLS2" localSheetId="38">'[22]4.5.9'!$B$24:$B$48</definedName>
    <definedName name="MLLS2" localSheetId="39">'[23]4.5.9'!$B$24:$B$48</definedName>
    <definedName name="MLLS2" localSheetId="40">'[20]4.5.9'!$B$24:$B$48</definedName>
    <definedName name="MLLS2" localSheetId="41">'[20]4.5.9'!$B$24:$B$48</definedName>
    <definedName name="MLLS2" localSheetId="43">'[22]4.5.9'!$B$24:$B$48</definedName>
    <definedName name="MLLS2" localSheetId="44">'[22]4.5.9'!$B$24:$B$48</definedName>
    <definedName name="MLLS2" localSheetId="42">'[18]4.5.9'!$B$24:$B$48</definedName>
    <definedName name="MLLS2" localSheetId="49">'[20]4.5.9'!$B$24:$B$48</definedName>
    <definedName name="MLLS2" localSheetId="50">'[20]4.5.9'!$B$24:$B$48</definedName>
    <definedName name="MLLS2" localSheetId="51">'[20]4.5.9'!$B$24:$B$48</definedName>
    <definedName name="MLLS2" localSheetId="52">'[20]4.5.9'!$B$24:$B$48</definedName>
    <definedName name="MLLS2" localSheetId="59">'[20]4.5.9'!$B$24:$B$48</definedName>
    <definedName name="MLLS2" localSheetId="54">'[20]4.5.9'!$B$24:$B$48</definedName>
    <definedName name="MLLS2" localSheetId="58">'[20]4.5.9'!$B$24:$B$48</definedName>
    <definedName name="MLLS2" localSheetId="61">'[20]4.5.9'!$B$24:$B$48</definedName>
    <definedName name="MLLS2" localSheetId="63">'[20]4.5.9'!$B$24:$B$48</definedName>
    <definedName name="MLLS2" localSheetId="65">'[20]4.5.9'!$B$24:$B$48</definedName>
    <definedName name="MLLS2" localSheetId="66">'[20]4.5.9'!$B$24:$B$48</definedName>
    <definedName name="MLLS2" localSheetId="71">'[20]4.5.9'!$B$24:$B$48</definedName>
    <definedName name="MLLS2" localSheetId="72">'[20]4.5.9'!$B$24:$B$48</definedName>
    <definedName name="MLLS2" localSheetId="73">'[20]4.5.9'!$B$24:$B$48</definedName>
    <definedName name="MLLS2" localSheetId="67">'[20]4.5.9'!$B$24:$B$48</definedName>
    <definedName name="MLLS2" localSheetId="68">'[20]4.5.9'!$B$24:$B$48</definedName>
    <definedName name="MLLS2">'[19]4.5.9'!$B$24:$B$48</definedName>
    <definedName name="MLLS3" localSheetId="13">'[18]4.5.9'!$K$24:$K$28</definedName>
    <definedName name="MLLS3" localSheetId="7">'[18]4.5.9'!$K$24:$K$28</definedName>
    <definedName name="MLLS3" localSheetId="23">'[18]4.5.9'!$K$24:$K$28</definedName>
    <definedName name="MLLS3" localSheetId="28">'[22]4.5.9'!$K$24:$K$28</definedName>
    <definedName name="MLLS3" localSheetId="34">'[18]4.5.9'!$K$24:$K$28</definedName>
    <definedName name="MLLS3" localSheetId="35">'[18]4.5.9'!$K$24:$K$28</definedName>
    <definedName name="MLLS3" localSheetId="36">'[18]4.5.9'!$K$24:$K$28</definedName>
    <definedName name="MLLS3" localSheetId="37">'[18]4.5.9'!$K$24:$K$28</definedName>
    <definedName name="MLLS3" localSheetId="38">'[22]4.5.9'!$K$24:$K$28</definedName>
    <definedName name="MLLS3" localSheetId="39">'[23]4.5.9'!$K$24:$K$28</definedName>
    <definedName name="MLLS3" localSheetId="40">'[20]4.5.9'!$K$24:$K$28</definedName>
    <definedName name="MLLS3" localSheetId="41">'[20]4.5.9'!$K$24:$K$28</definedName>
    <definedName name="MLLS3" localSheetId="43">'[22]4.5.9'!$K$24:$K$28</definedName>
    <definedName name="MLLS3" localSheetId="44">'[22]4.5.9'!$K$24:$K$28</definedName>
    <definedName name="MLLS3" localSheetId="42">'[18]4.5.9'!$K$24:$K$28</definedName>
    <definedName name="MLLS3" localSheetId="49">'[20]4.5.9'!$K$24:$K$28</definedName>
    <definedName name="MLLS3" localSheetId="50">'[20]4.5.9'!$K$24:$K$28</definedName>
    <definedName name="MLLS3" localSheetId="51">'[20]4.5.9'!$K$24:$K$28</definedName>
    <definedName name="MLLS3" localSheetId="52">'[20]4.5.9'!$K$24:$K$28</definedName>
    <definedName name="MLLS3" localSheetId="59">'[20]4.5.9'!$K$24:$K$28</definedName>
    <definedName name="MLLS3" localSheetId="54">'[20]4.5.9'!$K$24:$K$28</definedName>
    <definedName name="MLLS3" localSheetId="58">'[20]4.5.9'!$K$24:$K$28</definedName>
    <definedName name="MLLS3" localSheetId="61">'[20]4.5.9'!$K$24:$K$28</definedName>
    <definedName name="MLLS3" localSheetId="63">'[20]4.5.9'!$K$24:$K$28</definedName>
    <definedName name="MLLS3" localSheetId="65">'[20]4.5.9'!$K$24:$K$28</definedName>
    <definedName name="MLLS3" localSheetId="66">'[20]4.5.9'!$K$24:$K$28</definedName>
    <definedName name="MLLS3" localSheetId="71">'[20]4.5.9'!$K$24:$K$28</definedName>
    <definedName name="MLLS3" localSheetId="72">'[20]4.5.9'!$K$24:$K$28</definedName>
    <definedName name="MLLS3" localSheetId="73">'[20]4.5.9'!$K$24:$K$28</definedName>
    <definedName name="MLLS3" localSheetId="67">'[20]4.5.9'!$K$24:$K$28</definedName>
    <definedName name="MLLS3" localSheetId="68">'[20]4.5.9'!$K$24:$K$28</definedName>
    <definedName name="MLLS3">'[19]4.5.9'!$K$24:$K$28</definedName>
    <definedName name="N" localSheetId="0">#REF!</definedName>
    <definedName name="N" localSheetId="2">#REF!</definedName>
    <definedName name="N" localSheetId="1">#REF!</definedName>
    <definedName name="New_X_38">[16]RES!$D$35</definedName>
    <definedName name="non_gas_damage_escalation">'[29]GENERAL INPUTS'!$D$31</definedName>
    <definedName name="non_gas_escalation">'[29]GENERAL INPUTS'!$D$14</definedName>
    <definedName name="Non_Gas_Fuel_Cost">'[29]GENERAL INPUTS'!$B$25</definedName>
    <definedName name="Non_Gas_Fuel_Environmental_Damage_Factor">'[29]GENERAL INPUTS'!$B$31</definedName>
    <definedName name="Non_Gas_Fuel_Loss_Factor">'[29]GENERAL INPUTS'!$B$27</definedName>
    <definedName name="Non_Gas_Fuel_Retail_Rate">'[29]GENERAL INPUTS'!$B$14</definedName>
    <definedName name="nonop">#REF!</definedName>
    <definedName name="NorthShore_LineLoss">'[35]General Inputs'!$C$12</definedName>
    <definedName name="NorthShore_NonRes_Rate">'[35]General Inputs'!$C$16</definedName>
    <definedName name="NorthShore_Res_Rate">'[35]General Inputs'!$C$15</definedName>
    <definedName name="notes">#REF!</definedName>
    <definedName name="NSG_DiscountRate">'[34]General Inputs'!$C$5</definedName>
    <definedName name="NSG_LineLoss">'[34]General Inputs'!$C$6</definedName>
    <definedName name="numfixt">#REF!</definedName>
    <definedName name="numnewfixt">#REF!</definedName>
    <definedName name="old_1" hidden="1">[54]old!$V$5</definedName>
    <definedName name="OLE_LINK1" localSheetId="3">'4.2.1'!$F$29</definedName>
    <definedName name="Options">OFFSET(Options_Measures,0,0,COUNTA(Options_Measures),1)</definedName>
    <definedName name="Options_Measures">INDEX(#REF!,0,MATCH(#REF!,#REF!,0))</definedName>
    <definedName name="OSLC1" localSheetId="13">'[18]4.5.10'!$B$23:$B$25</definedName>
    <definedName name="OSLC1" localSheetId="7">'[18]4.5.10'!$B$23:$B$25</definedName>
    <definedName name="OSLC1" localSheetId="23">'[18]4.5.10'!$B$23:$B$25</definedName>
    <definedName name="OSLC1" localSheetId="28">'[22]4.5.10'!$B$23:$B$34</definedName>
    <definedName name="OSLC1" localSheetId="34">'[18]4.5.10'!$B$23:$B$25</definedName>
    <definedName name="OSLC1" localSheetId="35">'[18]4.5.10'!$B$23:$B$25</definedName>
    <definedName name="OSLC1" localSheetId="36">'[18]4.5.10'!$B$23:$B$25</definedName>
    <definedName name="OSLC1" localSheetId="37">'[18]4.5.10'!$B$23:$B$25</definedName>
    <definedName name="OSLC1" localSheetId="38">'[22]4.5.10'!$B$23:$B$34</definedName>
    <definedName name="OSLC1" localSheetId="39">'[23]4.5.10'!$B$23:$B$34</definedName>
    <definedName name="OSLC1" localSheetId="40">'[20]4.5.10'!$B$23:$B$25</definedName>
    <definedName name="OSLC1" localSheetId="41">'[20]4.5.10'!$B$23:$B$25</definedName>
    <definedName name="OSLC1" localSheetId="43">'[22]4.5.10'!$B$23:$B$34</definedName>
    <definedName name="OSLC1" localSheetId="44">'[22]4.5.10'!$B$23:$B$34</definedName>
    <definedName name="OSLC1" localSheetId="42">'[18]4.5.10'!$B$23:$B$25</definedName>
    <definedName name="OSLC1" localSheetId="49">'[20]4.5.10'!$B$23:$B$25</definedName>
    <definedName name="OSLC1" localSheetId="50">'[20]4.5.10'!$B$23:$B$25</definedName>
    <definedName name="OSLC1" localSheetId="51">'[20]4.5.10'!$B$23:$B$25</definedName>
    <definedName name="OSLC1" localSheetId="52">'[20]4.5.10'!$B$23:$B$25</definedName>
    <definedName name="OSLC1" localSheetId="59">'[20]4.5.10'!$B$23:$B$25</definedName>
    <definedName name="OSLC1" localSheetId="54">'[20]4.5.10'!$B$23:$B$25</definedName>
    <definedName name="OSLC1" localSheetId="58">'[20]4.5.10'!$B$23:$B$25</definedName>
    <definedName name="OSLC1" localSheetId="61">'[20]4.5.10'!$B$23:$B$25</definedName>
    <definedName name="OSLC1" localSheetId="63">'[20]4.5.10'!$B$23:$B$25</definedName>
    <definedName name="OSLC1" localSheetId="65">'[20]4.5.10'!$B$23:$B$25</definedName>
    <definedName name="OSLC1" localSheetId="66">'[20]4.5.10'!$B$23:$B$25</definedName>
    <definedName name="OSLC1" localSheetId="71">'[20]4.5.10'!$B$23:$B$25</definedName>
    <definedName name="OSLC1" localSheetId="72">'[20]4.5.10'!$B$23:$B$25</definedName>
    <definedName name="OSLC1" localSheetId="73">'[20]4.5.10'!$B$23:$B$25</definedName>
    <definedName name="OSLC1" localSheetId="67">'[20]4.5.10'!$B$23:$B$25</definedName>
    <definedName name="OSLC1" localSheetId="68">'[20]4.5.10'!$B$23:$B$25</definedName>
    <definedName name="OSLC1">'[19]4.5.10'!$B$23:$B$25</definedName>
    <definedName name="OSLC2" localSheetId="13">'[18]4.5.10'!$B$29:$B$43</definedName>
    <definedName name="OSLC2" localSheetId="7">'[18]4.5.10'!$B$29:$B$43</definedName>
    <definedName name="OSLC2" localSheetId="23">'[18]4.5.10'!$B$29:$B$43</definedName>
    <definedName name="OSLC2" localSheetId="28">'[22]4.5.10'!$B$38:$B$52</definedName>
    <definedName name="OSLC2" localSheetId="34">'[18]4.5.10'!$B$29:$B$43</definedName>
    <definedName name="OSLC2" localSheetId="35">'[18]4.5.10'!$B$29:$B$43</definedName>
    <definedName name="OSLC2" localSheetId="36">'[18]4.5.10'!$B$29:$B$43</definedName>
    <definedName name="OSLC2" localSheetId="37">'[18]4.5.10'!$B$29:$B$43</definedName>
    <definedName name="OSLC2" localSheetId="38">'[22]4.5.10'!$B$38:$B$52</definedName>
    <definedName name="OSLC2" localSheetId="39">'[23]4.5.10'!$B$38:$B$52</definedName>
    <definedName name="OSLC2" localSheetId="40">'[20]4.5.10'!$B$29:$B$43</definedName>
    <definedName name="OSLC2" localSheetId="41">'[20]4.5.10'!$B$29:$B$43</definedName>
    <definedName name="OSLC2" localSheetId="43">'[22]4.5.10'!$B$38:$B$52</definedName>
    <definedName name="OSLC2" localSheetId="44">'[22]4.5.10'!$B$38:$B$52</definedName>
    <definedName name="OSLC2" localSheetId="42">'[18]4.5.10'!$B$29:$B$43</definedName>
    <definedName name="OSLC2" localSheetId="49">'[20]4.5.10'!$B$29:$B$43</definedName>
    <definedName name="OSLC2" localSheetId="50">'[20]4.5.10'!$B$29:$B$43</definedName>
    <definedName name="OSLC2" localSheetId="51">'[20]4.5.10'!$B$29:$B$43</definedName>
    <definedName name="OSLC2" localSheetId="52">'[20]4.5.10'!$B$29:$B$43</definedName>
    <definedName name="OSLC2" localSheetId="59">'[20]4.5.10'!$B$29:$B$43</definedName>
    <definedName name="OSLC2" localSheetId="54">'[20]4.5.10'!$B$29:$B$43</definedName>
    <definedName name="OSLC2" localSheetId="58">'[20]4.5.10'!$B$29:$B$43</definedName>
    <definedName name="OSLC2" localSheetId="61">'[20]4.5.10'!$B$29:$B$43</definedName>
    <definedName name="OSLC2" localSheetId="63">'[20]4.5.10'!$B$29:$B$43</definedName>
    <definedName name="OSLC2" localSheetId="65">'[20]4.5.10'!$B$29:$B$43</definedName>
    <definedName name="OSLC2" localSheetId="66">'[20]4.5.10'!$B$29:$B$43</definedName>
    <definedName name="OSLC2" localSheetId="71">'[20]4.5.10'!$B$29:$B$43</definedName>
    <definedName name="OSLC2" localSheetId="72">'[20]4.5.10'!$B$29:$B$43</definedName>
    <definedName name="OSLC2" localSheetId="73">'[20]4.5.10'!$B$29:$B$43</definedName>
    <definedName name="OSLC2" localSheetId="67">'[20]4.5.10'!$B$29:$B$43</definedName>
    <definedName name="OSLC2" localSheetId="68">'[20]4.5.10'!$B$29:$B$43</definedName>
    <definedName name="OSLC2">'[19]4.5.10'!$B$29:$B$43</definedName>
    <definedName name="OSLC3" localSheetId="13">'[18]4.5.10'!$G$23:$G$45</definedName>
    <definedName name="OSLC3" localSheetId="7">'[18]4.5.10'!$G$23:$G$45</definedName>
    <definedName name="OSLC3" localSheetId="23">'[18]4.5.10'!$G$23:$G$45</definedName>
    <definedName name="OSLC3" localSheetId="28">'[22]4.5.10'!$G$23:$G$45</definedName>
    <definedName name="OSLC3" localSheetId="34">'[18]4.5.10'!$G$23:$G$45</definedName>
    <definedName name="OSLC3" localSheetId="35">'[18]4.5.10'!$G$23:$G$45</definedName>
    <definedName name="OSLC3" localSheetId="36">'[18]4.5.10'!$G$23:$G$45</definedName>
    <definedName name="OSLC3" localSheetId="37">'[18]4.5.10'!$G$23:$G$45</definedName>
    <definedName name="OSLC3" localSheetId="38">'[22]4.5.10'!$G$23:$G$45</definedName>
    <definedName name="OSLC3" localSheetId="39">'[23]4.5.10'!$G$23:$G$45</definedName>
    <definedName name="OSLC3" localSheetId="40">'[20]4.5.10'!$G$23:$G$45</definedName>
    <definedName name="OSLC3" localSheetId="41">'[20]4.5.10'!$G$23:$G$45</definedName>
    <definedName name="OSLC3" localSheetId="43">'[22]4.5.10'!$G$23:$G$45</definedName>
    <definedName name="OSLC3" localSheetId="44">'[22]4.5.10'!$G$23:$G$45</definedName>
    <definedName name="OSLC3" localSheetId="42">'[18]4.5.10'!$G$23:$G$45</definedName>
    <definedName name="OSLC3" localSheetId="49">'[20]4.5.10'!$G$23:$G$45</definedName>
    <definedName name="OSLC3" localSheetId="50">'[20]4.5.10'!$G$23:$G$45</definedName>
    <definedName name="OSLC3" localSheetId="51">'[20]4.5.10'!$G$23:$G$45</definedName>
    <definedName name="OSLC3" localSheetId="52">'[20]4.5.10'!$G$23:$G$45</definedName>
    <definedName name="OSLC3" localSheetId="59">'[20]4.5.10'!$G$23:$G$45</definedName>
    <definedName name="OSLC3" localSheetId="54">'[20]4.5.10'!$G$23:$G$45</definedName>
    <definedName name="OSLC3" localSheetId="58">'[20]4.5.10'!$G$23:$G$45</definedName>
    <definedName name="OSLC3" localSheetId="61">'[20]4.5.10'!$G$23:$G$45</definedName>
    <definedName name="OSLC3" localSheetId="63">'[20]4.5.10'!$G$23:$G$45</definedName>
    <definedName name="OSLC3" localSheetId="65">'[20]4.5.10'!$G$23:$G$45</definedName>
    <definedName name="OSLC3" localSheetId="66">'[20]4.5.10'!$G$23:$G$45</definedName>
    <definedName name="OSLC3" localSheetId="71">'[20]4.5.10'!$G$23:$G$45</definedName>
    <definedName name="OSLC3" localSheetId="72">'[20]4.5.10'!$G$23:$G$45</definedName>
    <definedName name="OSLC3" localSheetId="73">'[20]4.5.10'!$G$23:$G$45</definedName>
    <definedName name="OSLC3" localSheetId="67">'[20]4.5.10'!$G$23:$G$45</definedName>
    <definedName name="OSLC3" localSheetId="68">'[20]4.5.10'!$G$23:$G$45</definedName>
    <definedName name="OSLC3">'[19]4.5.10'!$G$23:$G$45</definedName>
    <definedName name="P">"P"</definedName>
    <definedName name="PAdmDR">'[41]General Inputs'!$D$35</definedName>
    <definedName name="PartDR">'[17]General Inputs'!#REF!</definedName>
    <definedName name="participant_discount_comm">'[29]GENERAL INPUTS'!$B$34</definedName>
    <definedName name="participant_discount_res">'[29]GENERAL INPUTS'!$B$33</definedName>
    <definedName name="pcontrol">#REF!</definedName>
    <definedName name="PCTdrate">'[51]Economic Inputs'!$A$5</definedName>
    <definedName name="PCTFactors">'[51]Economic Inputs'!$AQ$2:$BA$192</definedName>
    <definedName name="Peak_Line_Loss">'[17]General Inputs'!$B$10</definedName>
    <definedName name="peak_reduction_factor">'[29]GENERAL INPUTS'!$B$21</definedName>
    <definedName name="Peer_Review" localSheetId="61">#REF!</definedName>
    <definedName name="Peer_Review" localSheetId="72">#REF!</definedName>
    <definedName name="Peer_Review" localSheetId="73">#REF!</definedName>
    <definedName name="Peer_Review" localSheetId="67">#REF!</definedName>
    <definedName name="Peer_Review" localSheetId="2">#REF!</definedName>
    <definedName name="Peer_Review" localSheetId="68">#REF!</definedName>
    <definedName name="Peer_Review">#REF!</definedName>
    <definedName name="Peoples_DiscountRate">'[34]General Inputs'!$B$5</definedName>
    <definedName name="Peoples_LineLoss">'[34]General Inputs'!$B$6</definedName>
    <definedName name="Peoples_NonRes_Rate">'[17]General Inputs'!$B$35</definedName>
    <definedName name="Peoples_Res_Rate">'[17]General Inputs'!$B$34</definedName>
    <definedName name="PgTs1" localSheetId="13">'[9]5.3.11'!$L$12:$L$15</definedName>
    <definedName name="PgTs1" localSheetId="7">'[9]5.3.11'!$L$12:$L$15</definedName>
    <definedName name="PgTs1" localSheetId="23">'[9]5.3.11'!$L$12:$L$15</definedName>
    <definedName name="PgTs1" localSheetId="28">'[10]5.3.11'!$L$13:$L$16</definedName>
    <definedName name="PgTs1" localSheetId="33">'[10]5.3.11'!$L$13:$L$16</definedName>
    <definedName name="PgTs1" localSheetId="34">'4.4.18'!$B$90:$B$93</definedName>
    <definedName name="PgTs1" localSheetId="35">'[9]5.3.11'!$L$12:$L$15</definedName>
    <definedName name="PgTs1" localSheetId="36">'[9]5.3.11'!$L$12:$L$15</definedName>
    <definedName name="PgTs1" localSheetId="37">'[9]5.3.11'!$L$12:$L$15</definedName>
    <definedName name="PgTs1" localSheetId="38">'[10]5.3.11'!$L$13:$L$16</definedName>
    <definedName name="PgTs1" localSheetId="39">'[10]5.3.11'!$L$13:$L$16</definedName>
    <definedName name="PgTs1" localSheetId="40">'[10]5.3.11'!$L$13:$L$16</definedName>
    <definedName name="PgTs1" localSheetId="41">'[10]5.3.11'!$L$13:$L$16</definedName>
    <definedName name="PgTs1" localSheetId="43">'[10]5.3.11'!$L$13:$L$16</definedName>
    <definedName name="PgTs1" localSheetId="44">'[10]5.3.11'!$L$13:$L$16</definedName>
    <definedName name="PgTs1" localSheetId="42">'[9]5.3.11'!$L$12:$L$15</definedName>
    <definedName name="PgTs1" localSheetId="49">'[10]5.3.11'!$L$13:$L$16</definedName>
    <definedName name="PgTs1" localSheetId="50">'5.3.16'!$E$125:$E$129</definedName>
    <definedName name="PgTs1" localSheetId="51">'[10]5.3.11'!$L$13:$L$16</definedName>
    <definedName name="PgTs1" localSheetId="52">'[10]5.3.11'!$L$13:$L$16</definedName>
    <definedName name="PgTs1" localSheetId="45">'[10]5.3.11'!$L$13:$L$16</definedName>
    <definedName name="PgTs1" localSheetId="47">'[12]5.3.11'!$L$13:$L$16</definedName>
    <definedName name="PgTs1" localSheetId="53">'[10]5.3.11'!$L$13:$L$16</definedName>
    <definedName name="PgTs1" localSheetId="59">'[10]5.3.11'!$L$13:$L$16</definedName>
    <definedName name="PgTs1" localSheetId="54">'[13]5.3.11'!$G$57:$G$60</definedName>
    <definedName name="PgTs1" localSheetId="57">'[10]5.3.11'!$L$13:$L$16</definedName>
    <definedName name="PgTs1" localSheetId="58">'[11]5.3.11'!$G$66:$G$71</definedName>
    <definedName name="PgTs1" localSheetId="61">'[11]5.3.11'!$G$59:$G$64</definedName>
    <definedName name="PgTs1" localSheetId="63">'[10]5.3.11'!$L$13:$L$16</definedName>
    <definedName name="PgTs1" localSheetId="65">'[11]5.3.11'!$G$66:$G$71</definedName>
    <definedName name="PgTs1" localSheetId="66">'[10]5.3.11'!$L$13:$L$16</definedName>
    <definedName name="PgTs1" localSheetId="72">'[11]5.3.11'!$G$59:$G$64</definedName>
    <definedName name="PgTs1" localSheetId="73">'[11]5.3.11'!$G$59:$G$64</definedName>
    <definedName name="PgTs1" localSheetId="70">'[10]5.3.11'!$L$13:$L$16</definedName>
    <definedName name="PgTs1" localSheetId="68">'[11]5.3.11'!$G$59:$G$64</definedName>
    <definedName name="PgTs1">'[14]5.3.11'!$G$58:$G$61</definedName>
    <definedName name="PgTs2" localSheetId="13">'[9]5.3.11'!$I$23:$K$23</definedName>
    <definedName name="PgTs2" localSheetId="7">'[9]5.3.11'!$I$23:$K$23</definedName>
    <definedName name="PgTs2" localSheetId="23">'[9]5.3.11'!$I$23:$K$23</definedName>
    <definedName name="PgTs2" localSheetId="28">'[10]5.3.11'!$I$24:$K$24</definedName>
    <definedName name="PgTs2" localSheetId="33">'[10]5.3.11'!$I$24:$K$24</definedName>
    <definedName name="PgTs2" localSheetId="34">'4.4.18'!#REF!</definedName>
    <definedName name="PgTs2" localSheetId="35">'[9]5.3.11'!$I$23:$K$23</definedName>
    <definedName name="PgTs2" localSheetId="36">'[9]5.3.11'!$I$23:$K$23</definedName>
    <definedName name="PgTs2" localSheetId="37">'[9]5.3.11'!$I$23:$K$23</definedName>
    <definedName name="PgTs2" localSheetId="38">'[10]5.3.11'!$I$24:$K$24</definedName>
    <definedName name="PgTs2" localSheetId="39">'[10]5.3.11'!$I$24:$K$24</definedName>
    <definedName name="PgTs2" localSheetId="40">'[10]5.3.11'!$I$24:$K$24</definedName>
    <definedName name="PgTs2" localSheetId="41">'[10]5.3.11'!$I$24:$K$24</definedName>
    <definedName name="PgTs2" localSheetId="43">'[10]5.3.11'!$I$24:$K$24</definedName>
    <definedName name="PgTs2" localSheetId="44">'[10]5.3.11'!$I$24:$K$24</definedName>
    <definedName name="PgTs2" localSheetId="42">'[9]5.3.11'!$I$23:$K$23</definedName>
    <definedName name="PgTs2" localSheetId="49">'[10]5.3.11'!$I$24:$K$24</definedName>
    <definedName name="PgTs2" localSheetId="50">'5.3.16'!$B$98:$D$98</definedName>
    <definedName name="PgTs2" localSheetId="51">'[10]5.3.11'!$I$24:$K$24</definedName>
    <definedName name="PgTs2" localSheetId="52">'[10]5.3.11'!$I$24:$K$24</definedName>
    <definedName name="PgTs2" localSheetId="45">'[10]5.3.11'!$I$24:$K$24</definedName>
    <definedName name="PgTs2" localSheetId="47">'[12]5.3.11'!$I$24:$K$24</definedName>
    <definedName name="PgTs2" localSheetId="53">'[10]5.3.11'!$I$24:$K$24</definedName>
    <definedName name="PgTs2" localSheetId="59">'[10]5.3.11'!$I$24:$K$24</definedName>
    <definedName name="PgTs2" localSheetId="54">'[13]5.3.11'!$B$63:$D$63</definedName>
    <definedName name="PgTs2" localSheetId="57">'[10]5.3.11'!$I$24:$K$24</definedName>
    <definedName name="PgTs2" localSheetId="58">'[11]5.3.11'!$B$74:$D$74</definedName>
    <definedName name="PgTs2" localSheetId="61">'[11]5.3.11'!$B$67:$D$67</definedName>
    <definedName name="PgTs2" localSheetId="63">'[10]5.3.11'!$I$24:$K$24</definedName>
    <definedName name="PgTs2" localSheetId="65">'[11]5.3.11'!$B$74:$D$74</definedName>
    <definedName name="PgTs2" localSheetId="66">'[10]5.3.11'!$I$24:$K$24</definedName>
    <definedName name="PgTs2" localSheetId="72">'[11]5.3.11'!$B$67:$D$67</definedName>
    <definedName name="PgTs2" localSheetId="73">'[11]5.3.11'!$B$67:$D$67</definedName>
    <definedName name="PgTs2" localSheetId="70">'[10]5.3.11'!$I$24:$K$24</definedName>
    <definedName name="PgTs2" localSheetId="68">'[11]5.3.11'!$B$67:$D$67</definedName>
    <definedName name="PgTs2">'[14]5.3.11'!$B$64:$D$64</definedName>
    <definedName name="PgTs3" localSheetId="13">'[9]5.3.11'!$L$18:$L$19</definedName>
    <definedName name="PgTs3" localSheetId="7">'[9]5.3.11'!$L$18:$L$19</definedName>
    <definedName name="PgTs3" localSheetId="23">'[9]5.3.11'!$L$18:$L$19</definedName>
    <definedName name="PgTs3" localSheetId="28">'[10]5.3.11'!$L$19:$L$20</definedName>
    <definedName name="PgTs3" localSheetId="33">'[10]5.3.11'!$L$19:$L$20</definedName>
    <definedName name="PgTs3" localSheetId="34">'4.4.18'!#REF!</definedName>
    <definedName name="PgTs3" localSheetId="35">'[9]5.3.11'!$L$18:$L$19</definedName>
    <definedName name="PgTs3" localSheetId="36">'[9]5.3.11'!$L$18:$L$19</definedName>
    <definedName name="PgTs3" localSheetId="37">'[9]5.3.11'!$L$18:$L$19</definedName>
    <definedName name="PgTs3" localSheetId="38">'[10]5.3.11'!$L$19:$L$20</definedName>
    <definedName name="PgTs3" localSheetId="39">'[10]5.3.11'!$L$19:$L$20</definedName>
    <definedName name="PgTs3" localSheetId="40">'[10]5.3.11'!$L$19:$L$20</definedName>
    <definedName name="PgTs3" localSheetId="41">'[10]5.3.11'!$L$19:$L$20</definedName>
    <definedName name="PgTs3" localSheetId="43">'[10]5.3.11'!$L$19:$L$20</definedName>
    <definedName name="PgTs3" localSheetId="44">'[10]5.3.11'!$L$19:$L$20</definedName>
    <definedName name="PgTs3" localSheetId="42">'[9]5.3.11'!$L$18:$L$19</definedName>
    <definedName name="PgTs3" localSheetId="49">'[10]5.3.11'!$L$19:$L$20</definedName>
    <definedName name="PgTs3" localSheetId="50">'5.3.16'!$L$44:$L$45</definedName>
    <definedName name="PgTs3" localSheetId="51">'[10]5.3.11'!$L$19:$L$20</definedName>
    <definedName name="PgTs3" localSheetId="52">'[10]5.3.11'!$L$19:$L$20</definedName>
    <definedName name="PgTs3" localSheetId="45">'[10]5.3.11'!$L$19:$L$20</definedName>
    <definedName name="PgTs3" localSheetId="47">'[12]5.3.11'!$L$19:$L$20</definedName>
    <definedName name="PgTs3" localSheetId="53">'[10]5.3.11'!$L$19:$L$20</definedName>
    <definedName name="PgTs3" localSheetId="59">'[10]5.3.11'!$L$19:$L$20</definedName>
    <definedName name="PgTs3" localSheetId="54">'[13]5.3.11'!$L$26:$L$27</definedName>
    <definedName name="PgTs3" localSheetId="57">'[10]5.3.11'!$L$19:$L$20</definedName>
    <definedName name="PgTs3" localSheetId="58">'[11]5.3.11'!$L$35:$L$36</definedName>
    <definedName name="PgTs3" localSheetId="61">'[11]5.3.11'!$L$28:$L$29</definedName>
    <definedName name="PgTs3" localSheetId="63">'[10]5.3.11'!$L$19:$L$20</definedName>
    <definedName name="PgTs3" localSheetId="65">'[11]5.3.11'!$L$35:$L$36</definedName>
    <definedName name="PgTs3" localSheetId="66">'[10]5.3.11'!$L$19:$L$20</definedName>
    <definedName name="PgTs3" localSheetId="72">'[11]5.3.11'!$L$28:$L$29</definedName>
    <definedName name="PgTs3" localSheetId="73">'[11]5.3.11'!$L$28:$L$29</definedName>
    <definedName name="PgTs3" localSheetId="70">'[10]5.3.11'!$L$19:$L$20</definedName>
    <definedName name="PgTs3" localSheetId="68">'[11]5.3.11'!$L$28:$L$29</definedName>
    <definedName name="PgTs3">'[14]5.3.11'!$L$27:$L$28</definedName>
    <definedName name="PR5625A">[55]Output!$A$150:$H$167</definedName>
    <definedName name="_xlnm.Print_Area" localSheetId="10">'4.2.11'!$A$1:$AH$68</definedName>
    <definedName name="_xlnm.Print_Area" localSheetId="18">'4.3.1'!$A$2:$AK$91</definedName>
    <definedName name="_xlnm.Print_Area" localSheetId="19">'4.3.2'!$A$2:$AF$88</definedName>
    <definedName name="_xlnm.Print_Area" localSheetId="20">'4.3.3'!$A$2:$AF$79</definedName>
    <definedName name="_xlnm.Print_Area" localSheetId="21">'4.3.4'!$A$2:$T$56</definedName>
    <definedName name="_xlnm.Print_Area" localSheetId="22">'4.3.6'!$A$2:$AC$39</definedName>
    <definedName name="_xlnm.Print_Area" localSheetId="30">'4.4.12'!$A$1:$Y$22</definedName>
    <definedName name="_xlnm.Print_Area" localSheetId="33">'4.4.16'!$A$2:$AK$130</definedName>
    <definedName name="_xlnm.Print_Area" localSheetId="25">'4.4.3'!$A$2:$T$28</definedName>
    <definedName name="_xlnm.Print_Area" localSheetId="26">'4.4.4'!$A$2:$U$35</definedName>
    <definedName name="_xlnm.Print_Area" localSheetId="64">'5.6.4&amp;5.6.5'!$A$1:$AV$143</definedName>
    <definedName name="_xlnm.Print_Area" localSheetId="67">Kits!$A$2:$AB$340</definedName>
    <definedName name="_xlnm.Print_Area" localSheetId="2">'Measure-Level Adjustments'!$A$1:$DN$623</definedName>
    <definedName name="_xlnm.Print_Area" localSheetId="1">'Program-Level Adjustments'!$A$1:$AU$33</definedName>
    <definedName name="_xlnm.Print_Titles" localSheetId="2">'Measure-Level Adjustments'!$A:$B</definedName>
    <definedName name="_xlnm.Print_Titles" localSheetId="1">'Program-Level Adjustments'!$A:$A</definedName>
    <definedName name="process_tuneup" localSheetId="0">'[21]BenCost Input Summary'!#REF!</definedName>
    <definedName name="process_tuneup" localSheetId="2">'[21]BenCost Input Summary'!#REF!</definedName>
    <definedName name="process_tuneup" localSheetId="1">'[21]BenCost Input Summary'!#REF!</definedName>
    <definedName name="Prog_Type_List">#REF!</definedName>
    <definedName name="Prog_Type_List2">#REF!</definedName>
    <definedName name="Program_Area" localSheetId="0">#REF!</definedName>
    <definedName name="Program_Area" localSheetId="2">#REF!</definedName>
    <definedName name="Program_Area" localSheetId="1">#REF!</definedName>
    <definedName name="Program_Manager_Data_Collection" localSheetId="61">#REF!</definedName>
    <definedName name="Program_Manager_Data_Collection" localSheetId="72">#REF!</definedName>
    <definedName name="Program_Manager_Data_Collection" localSheetId="73">#REF!</definedName>
    <definedName name="Program_Manager_Data_Collection" localSheetId="67">#REF!</definedName>
    <definedName name="Program_Manager_Data_Collection" localSheetId="2">#REF!</definedName>
    <definedName name="Program_Manager_Data_Collection" localSheetId="68">#REF!</definedName>
    <definedName name="Program_Manager_Data_Collection">#REF!</definedName>
    <definedName name="Program_Type">'[56]Data Validation '!$A$2:$A$11</definedName>
    <definedName name="ProgramCodes">'[57]Program Data'!$B$13:$B$42</definedName>
    <definedName name="Project_Analysis_Year_1">'[29]GENERAL INPUTS'!$B$42</definedName>
    <definedName name="Project_Analysis_Year_2">'[29]GENERAL INPUTS'!$B$43</definedName>
    <definedName name="Project_Analysis_Year_3">'[29]GENERAL INPUTS'!$B$44</definedName>
    <definedName name="PTACHP3" localSheetId="13">'[5]4.4.13'!$J$32:$J$34</definedName>
    <definedName name="PTACHP3" localSheetId="7">'[5]4.4.13'!$J$32:$J$34</definedName>
    <definedName name="PTACHP3" localSheetId="23">'[5]4.4.13'!$J$32:$J$34</definedName>
    <definedName name="PTACHP3" localSheetId="34">'[6]4.4.13'!$J$32:$J$34</definedName>
    <definedName name="PTACHP3" localSheetId="35">'[6]4.4.13'!$J$32:$J$34</definedName>
    <definedName name="PTACHP3" localSheetId="36">'[5]4.4.13'!$J$32:$J$34</definedName>
    <definedName name="PTACHP3" localSheetId="37">'[5]4.4.13'!$J$32:$J$34</definedName>
    <definedName name="PTACHP3" localSheetId="40">'[5]4.4.13'!$J$32:$J$34</definedName>
    <definedName name="PTACHP3" localSheetId="41">'[5]4.4.13'!$J$32:$J$34</definedName>
    <definedName name="PTACHP3" localSheetId="42">'[6]4.4.13'!$J$32:$J$34</definedName>
    <definedName name="PTACHP3">'[7]4.4.13'!$J$32:$J$34</definedName>
    <definedName name="RateClasses" localSheetId="13">'[48]Main Input'!$B$125:$B$130</definedName>
    <definedName name="RateClasses" localSheetId="7">'[48]Main Input'!$B$125:$B$130</definedName>
    <definedName name="RateClasses" localSheetId="23">'[48]Main Input'!$B$125:$B$130</definedName>
    <definedName name="RateClasses" localSheetId="28">'[48]Main Input'!$B$125:$B$130</definedName>
    <definedName name="RateClasses" localSheetId="34">'[48]Main Input'!$B$125:$B$130</definedName>
    <definedName name="RateClasses" localSheetId="35">'[48]Main Input'!$B$125:$B$130</definedName>
    <definedName name="RateClasses" localSheetId="36">'[48]Main Input'!$B$125:$B$130</definedName>
    <definedName name="RateClasses" localSheetId="37">'[48]Main Input'!$B$125:$B$130</definedName>
    <definedName name="RateClasses" localSheetId="38">'[48]Main Input'!$B$125:$B$130</definedName>
    <definedName name="RateClasses" localSheetId="39">'[48]Main Input'!$B$125:$B$130</definedName>
    <definedName name="RateClasses" localSheetId="40">'[48]Main Input'!$B$125:$B$130</definedName>
    <definedName name="RateClasses" localSheetId="41">'[48]Main Input'!$B$125:$B$130</definedName>
    <definedName name="RateClasses" localSheetId="43">'[48]Main Input'!$B$125:$B$130</definedName>
    <definedName name="RateClasses" localSheetId="44">'[48]Main Input'!$B$125:$B$130</definedName>
    <definedName name="RateClasses" localSheetId="42">'[48]Main Input'!$B$125:$B$130</definedName>
    <definedName name="RateClasses" localSheetId="49">'[48]Main Input'!$B$125:$B$130</definedName>
    <definedName name="RateClasses" localSheetId="51">'[48]Main Input'!$B$125:$B$130</definedName>
    <definedName name="RateClasses" localSheetId="52">'[48]Main Input'!$B$125:$B$130</definedName>
    <definedName name="RateClasses" localSheetId="45">'[48]Main Input'!$B$125:$B$130</definedName>
    <definedName name="RateClasses" localSheetId="46">'[48]Main Input'!$B$125:$B$130</definedName>
    <definedName name="RateClasses" localSheetId="53">'[48]Main Input'!$B$125:$B$130</definedName>
    <definedName name="RateClasses" localSheetId="59">'[48]Main Input'!$B$125:$B$130</definedName>
    <definedName name="RateClasses" localSheetId="54">'[48]Main Input'!$B$125:$B$130</definedName>
    <definedName name="RateClasses" localSheetId="55">'[48]Main Input'!$B$125:$B$130</definedName>
    <definedName name="RateClasses" localSheetId="57">'[48]Main Input'!$B$125:$B$130</definedName>
    <definedName name="RateClasses" localSheetId="61">'[49]Main Input'!$B$125:$B$130</definedName>
    <definedName name="RateClasses" localSheetId="62">'[48]Main Input'!$B$125:$B$130</definedName>
    <definedName name="RateClasses" localSheetId="63">'[48]Main Input'!$B$125:$B$130</definedName>
    <definedName name="RateClasses" localSheetId="66">'[48]Main Input'!$B$125:$B$130</definedName>
    <definedName name="RateClasses" localSheetId="71">'[48]Main Input'!$B$125:$B$130</definedName>
    <definedName name="RateClasses" localSheetId="72">'[49]Main Input'!$B$125:$B$130</definedName>
    <definedName name="RateClasses" localSheetId="73">'[49]Main Input'!$B$125:$B$130</definedName>
    <definedName name="RateClasses" localSheetId="67">'[48]Main Input'!$B$125:$B$130</definedName>
    <definedName name="RateClasses" localSheetId="70">'[48]Main Input'!$B$125:$B$130</definedName>
    <definedName name="RateClasses" localSheetId="68">'[49]Main Input'!$B$125:$B$130</definedName>
    <definedName name="RateClasses">'[50]Main Input'!$B$125:$B$130</definedName>
    <definedName name="rawdata">#REF!</definedName>
    <definedName name="rawdata2">#REF!</definedName>
    <definedName name="RAWDATA3">#REF!</definedName>
    <definedName name="RDR" localSheetId="23">#REF!</definedName>
    <definedName name="RDR" localSheetId="34">#REF!</definedName>
    <definedName name="RDR" localSheetId="35">#REF!</definedName>
    <definedName name="RDR" localSheetId="36">#REF!</definedName>
    <definedName name="RDR" localSheetId="37">#REF!</definedName>
    <definedName name="RDR" localSheetId="40">#REF!</definedName>
    <definedName name="RDR" localSheetId="41">#REF!</definedName>
    <definedName name="RDR" localSheetId="42">#REF!</definedName>
    <definedName name="RDR" localSheetId="2">#REF!</definedName>
    <definedName name="RDR">#REF!</definedName>
    <definedName name="Res_MFDI">'[24]PY2 Summary'!$54:$58</definedName>
    <definedName name="Res_MFDI_Measures">'[24]PY2 Summary'!$E$54:$E$58</definedName>
    <definedName name="Res_Rx">'[24]PY2 Summary'!$59:$73</definedName>
    <definedName name="Res_Rx_Measures">'[24]PY2 Summary'!$E$59:$E$73</definedName>
    <definedName name="Res_SFDI">'[24]PY2 Summary'!$74:$80</definedName>
    <definedName name="Res_SFDI_Measures">'[24]PY2 Summary'!$E$74:$E$80</definedName>
    <definedName name="retail_rate_commercial">'[29]GENERAL INPUTS'!$B$12</definedName>
    <definedName name="retail_rate_residential">'[29]GENERAL INPUTS'!$B$11</definedName>
    <definedName name="retire_furnace" localSheetId="13">'[9]5.3.7'!$B$128:$B$130</definedName>
    <definedName name="retire_furnace" localSheetId="7">'[9]5.3.7'!$B$128:$B$130</definedName>
    <definedName name="retire_furnace" localSheetId="23">'[9]5.3.7'!$B$128:$B$130</definedName>
    <definedName name="retire_furnace" localSheetId="28">#REF!</definedName>
    <definedName name="retire_furnace" localSheetId="33">#REF!</definedName>
    <definedName name="retire_furnace" localSheetId="34">'[9]5.3.7'!$B$128:$B$130</definedName>
    <definedName name="retire_furnace" localSheetId="35">'[9]5.3.7'!$B$128:$B$130</definedName>
    <definedName name="retire_furnace" localSheetId="36">'[9]5.3.7'!$B$128:$B$130</definedName>
    <definedName name="retire_furnace" localSheetId="37">'[9]5.3.7'!$B$128:$B$130</definedName>
    <definedName name="retire_furnace" localSheetId="38">#REF!</definedName>
    <definedName name="retire_furnace" localSheetId="40">#REF!</definedName>
    <definedName name="retire_furnace" localSheetId="41">#REF!</definedName>
    <definedName name="retire_furnace" localSheetId="43">#REF!</definedName>
    <definedName name="retire_furnace" localSheetId="44">#REF!</definedName>
    <definedName name="retire_furnace" localSheetId="42">'[9]5.3.7'!$B$128:$B$130</definedName>
    <definedName name="retire_furnace" localSheetId="48">#REF!</definedName>
    <definedName name="retire_furnace" localSheetId="49">#REF!</definedName>
    <definedName name="retire_furnace" localSheetId="50">#REF!</definedName>
    <definedName name="retire_furnace" localSheetId="51">#REF!</definedName>
    <definedName name="retire_furnace" localSheetId="52">#REF!</definedName>
    <definedName name="retire_furnace" localSheetId="45">#REF!</definedName>
    <definedName name="retire_furnace" localSheetId="46">#REF!</definedName>
    <definedName name="retire_furnace" localSheetId="47">'5.3.7'!$B$157:$B$159</definedName>
    <definedName name="retire_furnace" localSheetId="53">#REF!</definedName>
    <definedName name="retire_furnace" localSheetId="59">#REF!</definedName>
    <definedName name="retire_furnace" localSheetId="54">#REF!</definedName>
    <definedName name="retire_furnace" localSheetId="55">#REF!</definedName>
    <definedName name="retire_furnace" localSheetId="56">#REF!</definedName>
    <definedName name="retire_furnace" localSheetId="57">#REF!</definedName>
    <definedName name="retire_furnace" localSheetId="58">#REF!</definedName>
    <definedName name="retire_furnace" localSheetId="60">#REF!</definedName>
    <definedName name="retire_furnace" localSheetId="61">#REF!</definedName>
    <definedName name="retire_furnace" localSheetId="62">#REF!</definedName>
    <definedName name="retire_furnace" localSheetId="63">#REF!</definedName>
    <definedName name="retire_furnace" localSheetId="64">#REF!</definedName>
    <definedName name="retire_furnace" localSheetId="65">#REF!</definedName>
    <definedName name="retire_furnace" localSheetId="66">#REF!</definedName>
    <definedName name="retire_furnace" localSheetId="72">#REF!</definedName>
    <definedName name="retire_furnace" localSheetId="73">#REF!</definedName>
    <definedName name="retire_furnace" localSheetId="70">#REF!</definedName>
    <definedName name="retire_furnace" localSheetId="2">#REF!</definedName>
    <definedName name="retire_furnace" localSheetId="68">#REF!</definedName>
    <definedName name="retire_furnace">#REF!</definedName>
    <definedName name="RFRCy1" localSheetId="13">'[9]5.1.8'!$J$26:$J$30</definedName>
    <definedName name="RFRCy1" localSheetId="7">'[9]5.1.8'!$J$26:$J$30</definedName>
    <definedName name="RFRCy1" localSheetId="23">'[9]5.1.8'!$J$26:$J$30</definedName>
    <definedName name="RFRCy1" localSheetId="28">'[10]5.1.8'!$J$26:$J$30</definedName>
    <definedName name="RFRCy1" localSheetId="33">'[10]5.1.8'!$J$26:$J$30</definedName>
    <definedName name="RFRCy1" localSheetId="34">'[9]5.1.8'!$J$26:$J$30</definedName>
    <definedName name="RFRCy1" localSheetId="35">'[9]5.1.8'!$J$26:$J$30</definedName>
    <definedName name="RFRCy1" localSheetId="36">'[9]5.1.8'!$J$26:$J$30</definedName>
    <definedName name="RFRCy1" localSheetId="37">'[9]5.1.8'!$J$26:$J$30</definedName>
    <definedName name="RFRCy1" localSheetId="38">'[10]5.1.8'!$J$26:$J$30</definedName>
    <definedName name="RFRCy1" localSheetId="39">'[10]5.1.8'!$J$26:$J$30</definedName>
    <definedName name="RFRCy1" localSheetId="40">'[10]5.1.8'!$J$26:$J$30</definedName>
    <definedName name="RFRCy1" localSheetId="41">'[10]5.1.8'!$J$26:$J$30</definedName>
    <definedName name="RFRCy1" localSheetId="43">'[10]5.1.8'!$J$26:$J$30</definedName>
    <definedName name="RFRCy1" localSheetId="44">'[10]5.1.8'!$J$26:$J$30</definedName>
    <definedName name="RFRCy1" localSheetId="42">'[9]5.1.8'!$J$26:$J$30</definedName>
    <definedName name="RFRCy1" localSheetId="49">'[10]5.1.8'!$J$26:$J$30</definedName>
    <definedName name="RFRCy1" localSheetId="50">'[11]5.1.8'!$J$26:$J$30</definedName>
    <definedName name="RFRCy1" localSheetId="51">'[10]5.1.8'!$J$26:$J$30</definedName>
    <definedName name="RFRCy1" localSheetId="52">'[10]5.1.8'!$J$26:$J$30</definedName>
    <definedName name="RFRCy1" localSheetId="45">'[10]5.1.8'!$J$26:$J$30</definedName>
    <definedName name="RFRCy1" localSheetId="47">'[12]5.1.8'!$J$26:$J$30</definedName>
    <definedName name="RFRCy1" localSheetId="53">'[10]5.1.8'!$J$26:$J$30</definedName>
    <definedName name="RFRCy1" localSheetId="59">'[10]5.1.8'!$J$26:$J$30</definedName>
    <definedName name="RFRCy1" localSheetId="54">'[13]5.1.8'!$J$26:$J$30</definedName>
    <definedName name="RFRCy1" localSheetId="57">'[10]5.1.8'!$J$26:$J$30</definedName>
    <definedName name="RFRCy1" localSheetId="58">'[11]5.1.8'!$J$26:$J$30</definedName>
    <definedName name="RFRCy1" localSheetId="61">'[11]5.1.8'!$J$26:$J$30</definedName>
    <definedName name="RFRCy1" localSheetId="63">'[10]5.1.8'!$J$26:$J$30</definedName>
    <definedName name="RFRCy1" localSheetId="65">'[11]5.1.8'!$J$26:$J$30</definedName>
    <definedName name="RFRCy1" localSheetId="66">'[10]5.1.8'!$J$26:$J$30</definedName>
    <definedName name="RFRCy1" localSheetId="72">'[11]5.1.8'!$J$26:$J$30</definedName>
    <definedName name="RFRCy1" localSheetId="73">'[11]5.1.8'!$J$26:$J$30</definedName>
    <definedName name="RFRCy1" localSheetId="70">'[10]5.1.8'!$J$26:$J$30</definedName>
    <definedName name="RFRCy1" localSheetId="68">'[11]5.1.8'!$J$26:$J$30</definedName>
    <definedName name="RFRCy1">'[14]5.1.8'!$J$26:$J$30</definedName>
    <definedName name="RFRCy3" localSheetId="13">'[9]5.1.8'!$L$17:$L$19</definedName>
    <definedName name="RFRCy3" localSheetId="7">'[9]5.1.8'!$L$17:$L$19</definedName>
    <definedName name="RFRCy3" localSheetId="23">'[9]5.1.8'!$L$17:$L$19</definedName>
    <definedName name="RFRCy3" localSheetId="28">'[10]5.1.8'!$L$17:$L$19</definedName>
    <definedName name="RFRCy3" localSheetId="33">'[10]5.1.8'!$L$17:$L$19</definedName>
    <definedName name="RFRCy3" localSheetId="34">'[9]5.1.8'!$L$17:$L$19</definedName>
    <definedName name="RFRCy3" localSheetId="35">'[9]5.1.8'!$L$17:$L$19</definedName>
    <definedName name="RFRCy3" localSheetId="36">'[9]5.1.8'!$L$17:$L$19</definedName>
    <definedName name="RFRCy3" localSheetId="37">'[9]5.1.8'!$L$17:$L$19</definedName>
    <definedName name="RFRCy3" localSheetId="38">'[10]5.1.8'!$L$17:$L$19</definedName>
    <definedName name="RFRCy3" localSheetId="39">'[10]5.1.8'!$L$17:$L$19</definedName>
    <definedName name="RFRCy3" localSheetId="40">'[10]5.1.8'!$L$17:$L$19</definedName>
    <definedName name="RFRCy3" localSheetId="41">'[10]5.1.8'!$L$17:$L$19</definedName>
    <definedName name="RFRCy3" localSheetId="43">'[10]5.1.8'!$L$17:$L$19</definedName>
    <definedName name="RFRCy3" localSheetId="44">'[10]5.1.8'!$L$17:$L$19</definedName>
    <definedName name="RFRCy3" localSheetId="42">'[9]5.1.8'!$L$17:$L$19</definedName>
    <definedName name="RFRCy3" localSheetId="49">'[10]5.1.8'!$L$17:$L$19</definedName>
    <definedName name="RFRCy3" localSheetId="50">'[11]5.1.8'!$L$17:$L$19</definedName>
    <definedName name="RFRCy3" localSheetId="51">'[10]5.1.8'!$L$17:$L$19</definedName>
    <definedName name="RFRCy3" localSheetId="52">'[10]5.1.8'!$L$17:$L$19</definedName>
    <definedName name="RFRCy3" localSheetId="45">'[10]5.1.8'!$L$17:$L$19</definedName>
    <definedName name="RFRCy3" localSheetId="47">'[12]5.1.8'!$L$17:$L$19</definedName>
    <definedName name="RFRCy3" localSheetId="53">'[10]5.1.8'!$L$17:$L$19</definedName>
    <definedName name="RFRCy3" localSheetId="59">'[10]5.1.8'!$L$17:$L$19</definedName>
    <definedName name="RFRCy3" localSheetId="54">'[13]5.1.8'!$L$17:$L$19</definedName>
    <definedName name="RFRCy3" localSheetId="57">'[10]5.1.8'!$L$17:$L$19</definedName>
    <definedName name="RFRCy3" localSheetId="58">'[11]5.1.8'!$L$17:$L$19</definedName>
    <definedName name="RFRCy3" localSheetId="61">'[11]5.1.8'!$L$17:$L$19</definedName>
    <definedName name="RFRCy3" localSheetId="63">'[10]5.1.8'!$L$17:$L$19</definedName>
    <definedName name="RFRCy3" localSheetId="65">'[11]5.1.8'!$L$17:$L$19</definedName>
    <definedName name="RFRCy3" localSheetId="66">'[10]5.1.8'!$L$17:$L$19</definedName>
    <definedName name="RFRCy3" localSheetId="72">'[11]5.1.8'!$L$17:$L$19</definedName>
    <definedName name="RFRCy3" localSheetId="73">'[11]5.1.8'!$L$17:$L$19</definedName>
    <definedName name="RFRCy3" localSheetId="70">'[10]5.1.8'!$L$17:$L$19</definedName>
    <definedName name="RFRCy3" localSheetId="68">'[11]5.1.8'!$L$17:$L$19</definedName>
    <definedName name="RFRCy3">'[14]5.1.8'!$L$17:$L$19</definedName>
    <definedName name="RPayDR">'[17]General Inputs'!#REF!</definedName>
    <definedName name="Savings_Unit" localSheetId="61">#REF!</definedName>
    <definedName name="Savings_Unit" localSheetId="72">#REF!</definedName>
    <definedName name="Savings_Unit" localSheetId="73">#REF!</definedName>
    <definedName name="Savings_Unit" localSheetId="67">#REF!</definedName>
    <definedName name="Savings_Unit" localSheetId="2">#REF!</definedName>
    <definedName name="Savings_Unit" localSheetId="68">#REF!</definedName>
    <definedName name="Savings_Unit">#REF!</definedName>
    <definedName name="SCTdrate">'[51]Economic Inputs'!$A$4</definedName>
    <definedName name="SCTFactors">'[51]Economic Inputs'!$AD$2:$AN$192</definedName>
    <definedName name="SCWCF1" localSheetId="13">'[5]4.6.7'!$F$8:$F$9</definedName>
    <definedName name="SCWCF1" localSheetId="7">'[5]4.6.7'!$F$8:$F$9</definedName>
    <definedName name="SCWCF1" localSheetId="23">'[5]4.6.7'!$F$8:$F$9</definedName>
    <definedName name="SCWCF1" localSheetId="34">'[6]4.6.7'!$F$8:$F$9</definedName>
    <definedName name="SCWCF1" localSheetId="35">'[6]4.6.7'!$F$8:$F$9</definedName>
    <definedName name="SCWCF1" localSheetId="36">'[5]4.6.7'!$F$8:$F$9</definedName>
    <definedName name="SCWCF1" localSheetId="37">'[5]4.6.7'!$F$8:$F$9</definedName>
    <definedName name="SCWCF1" localSheetId="40">'[5]4.6.7'!$F$8:$F$9</definedName>
    <definedName name="SCWCF1" localSheetId="41">'[5]4.6.7'!$F$8:$F$9</definedName>
    <definedName name="SCWCF1" localSheetId="42">'[6]4.6.7'!$F$8:$F$9</definedName>
    <definedName name="SCWCF1">'[7]4.6.7'!$F$8:$F$9</definedName>
    <definedName name="segment1">'[37]Main Input'!$K$6</definedName>
    <definedName name="segment2">'[37]Main Input'!$K$7</definedName>
    <definedName name="Segments" localSheetId="13">'[48]Main Input'!$K$6:$K$20</definedName>
    <definedName name="Segments" localSheetId="7">'[48]Main Input'!$K$6:$K$20</definedName>
    <definedName name="Segments" localSheetId="23">'[48]Main Input'!$K$6:$K$20</definedName>
    <definedName name="Segments" localSheetId="28">'[48]Main Input'!$K$6:$K$20</definedName>
    <definedName name="Segments" localSheetId="34">'[48]Main Input'!$K$6:$K$20</definedName>
    <definedName name="Segments" localSheetId="35">'[48]Main Input'!$K$6:$K$20</definedName>
    <definedName name="Segments" localSheetId="36">'[48]Main Input'!$K$6:$K$20</definedName>
    <definedName name="Segments" localSheetId="37">'[48]Main Input'!$K$6:$K$20</definedName>
    <definedName name="Segments" localSheetId="38">'[48]Main Input'!$K$6:$K$20</definedName>
    <definedName name="Segments" localSheetId="39">'[48]Main Input'!$K$6:$K$20</definedName>
    <definedName name="Segments" localSheetId="40">'[48]Main Input'!$K$6:$K$20</definedName>
    <definedName name="Segments" localSheetId="41">'[48]Main Input'!$K$6:$K$20</definedName>
    <definedName name="Segments" localSheetId="43">'[48]Main Input'!$K$6:$K$20</definedName>
    <definedName name="Segments" localSheetId="44">'[48]Main Input'!$K$6:$K$20</definedName>
    <definedName name="Segments" localSheetId="42">'[48]Main Input'!$K$6:$K$20</definedName>
    <definedName name="Segments" localSheetId="49">'[48]Main Input'!$K$6:$K$20</definedName>
    <definedName name="Segments" localSheetId="51">'[48]Main Input'!$K$6:$K$20</definedName>
    <definedName name="Segments" localSheetId="52">'[48]Main Input'!$K$6:$K$20</definedName>
    <definedName name="Segments" localSheetId="45">'[48]Main Input'!$K$6:$K$20</definedName>
    <definedName name="Segments" localSheetId="46">'[48]Main Input'!$K$6:$K$20</definedName>
    <definedName name="Segments" localSheetId="53">'[48]Main Input'!$K$6:$K$20</definedName>
    <definedName name="Segments" localSheetId="59">'[48]Main Input'!$K$6:$K$20</definedName>
    <definedName name="Segments" localSheetId="54">'[48]Main Input'!$K$6:$K$20</definedName>
    <definedName name="Segments" localSheetId="55">'[48]Main Input'!$K$6:$K$20</definedName>
    <definedName name="Segments" localSheetId="57">'[48]Main Input'!$K$6:$K$20</definedName>
    <definedName name="Segments" localSheetId="61">'[49]Main Input'!$K$6:$K$20</definedName>
    <definedName name="Segments" localSheetId="62">'[48]Main Input'!$K$6:$K$20</definedName>
    <definedName name="Segments" localSheetId="63">'[48]Main Input'!$K$6:$K$20</definedName>
    <definedName name="Segments" localSheetId="66">'[48]Main Input'!$K$6:$K$20</definedName>
    <definedName name="Segments" localSheetId="71">'[48]Main Input'!$K$6:$K$20</definedName>
    <definedName name="Segments" localSheetId="72">'[49]Main Input'!$K$6:$K$20</definedName>
    <definedName name="Segments" localSheetId="73">'[49]Main Input'!$K$6:$K$20</definedName>
    <definedName name="Segments" localSheetId="67">'[48]Main Input'!$K$6:$K$20</definedName>
    <definedName name="Segments" localSheetId="70">'[48]Main Input'!$K$6:$K$20</definedName>
    <definedName name="Segments" localSheetId="68">'[49]Main Input'!$K$6:$K$20</definedName>
    <definedName name="Segments">'[50]Main Input'!$K$6:$K$20</definedName>
    <definedName name="Select_CFM_OSA_Table">#REF!</definedName>
    <definedName name="sellername">#REF!</definedName>
    <definedName name="SHBTU1" localSheetId="13">'[18]4.4.2'!$B$28:$B$44</definedName>
    <definedName name="SHBTU1" localSheetId="7">'[18]4.4.2'!$B$28:$B$44</definedName>
    <definedName name="SHBTU1" localSheetId="23">'[18]4.4.2'!$B$28:$B$44</definedName>
    <definedName name="SHBTU1" localSheetId="33">'[19]4.4.2'!$B$75:$B$91</definedName>
    <definedName name="SHBTU1" localSheetId="34">'[18]4.4.2'!$B$28:$B$44</definedName>
    <definedName name="SHBTU1" localSheetId="35">'[18]4.4.2'!$B$28:$B$44</definedName>
    <definedName name="SHBTU1" localSheetId="36">'[18]4.4.2'!$B$28:$B$44</definedName>
    <definedName name="SHBTU1" localSheetId="37">'[18]4.4.2'!$B$28:$B$44</definedName>
    <definedName name="SHBTU1" localSheetId="40">'[20]4.4.2'!$B$74:$B$90</definedName>
    <definedName name="SHBTU1" localSheetId="41">'[20]4.4.2'!$B$74:$B$90</definedName>
    <definedName name="SHBTU1" localSheetId="42">'[18]4.4.2'!$B$28:$B$44</definedName>
    <definedName name="SHBTU1" localSheetId="49">'[20]4.4.2'!$B$74:$B$90</definedName>
    <definedName name="SHBTU1" localSheetId="50">'[20]4.4.2'!$B$74:$B$90</definedName>
    <definedName name="SHBTU1" localSheetId="51">'[20]4.4.2'!$B$74:$B$90</definedName>
    <definedName name="SHBTU1" localSheetId="52">'[20]4.4.2'!$B$74:$B$90</definedName>
    <definedName name="SHBTU1" localSheetId="59">'[20]4.4.2'!$B$74:$B$90</definedName>
    <definedName name="SHBTU1" localSheetId="54">'[20]4.4.2'!$B$74:$B$90</definedName>
    <definedName name="SHBTU1" localSheetId="58">'[20]4.4.2'!$B$74:$B$90</definedName>
    <definedName name="SHBTU1" localSheetId="61">'[20]4.4.2'!$B$74:$B$90</definedName>
    <definedName name="SHBTU1" localSheetId="63">'[20]4.4.2'!$B$74:$B$90</definedName>
    <definedName name="SHBTU1" localSheetId="65">'[20]4.4.2'!$B$74:$B$90</definedName>
    <definedName name="SHBTU1" localSheetId="66">'[20]4.4.2'!$B$74:$B$90</definedName>
    <definedName name="SHBTU1" localSheetId="71">'[20]4.4.2'!$B$74:$B$90</definedName>
    <definedName name="SHBTU1" localSheetId="72">'[20]4.4.2'!$B$74:$B$90</definedName>
    <definedName name="SHBTU1" localSheetId="73">'[20]4.4.2'!$B$74:$B$90</definedName>
    <definedName name="SHBTU1" localSheetId="67">'[20]4.4.2'!$B$74:$B$90</definedName>
    <definedName name="SHBTU1" localSheetId="70">'[19]4.4.2'!$B$75:$B$91</definedName>
    <definedName name="SHBTU1" localSheetId="68">'[20]4.4.2'!$B$74:$B$90</definedName>
    <definedName name="SHBTU1">'[19]4.4.2'!$B$74:$B$90</definedName>
    <definedName name="sitename">#REF!</definedName>
    <definedName name="Small_Biz">'[24]PY2 Summary'!$81:$126</definedName>
    <definedName name="Small_Biz_Measures">'[24]PY2 Summary'!$E$81:$E$126</definedName>
    <definedName name="SocDR">'[17]General Inputs'!#REF!</definedName>
    <definedName name="societal_discount">'[29]GENERAL INPUTS'!$B$38</definedName>
    <definedName name="SPSSUAC1" localSheetId="13">'[5]4.4.15'!$K$7:$K$8</definedName>
    <definedName name="SPSSUAC1" localSheetId="7">'[5]4.4.15'!$K$7:$K$8</definedName>
    <definedName name="SPSSUAC1" localSheetId="23">'[5]4.4.15'!$K$7:$K$8</definedName>
    <definedName name="SPSSUAC1" localSheetId="34">'[6]4.4.15'!$K$7:$K$8</definedName>
    <definedName name="SPSSUAC1" localSheetId="35">'[6]4.4.15'!$K$7:$K$8</definedName>
    <definedName name="SPSSUAC1" localSheetId="36">'[5]4.4.15'!$K$7:$K$8</definedName>
    <definedName name="SPSSUAC1" localSheetId="37">'[5]4.4.15'!$K$7:$K$8</definedName>
    <definedName name="SPSSUAC1" localSheetId="40">'[5]4.4.15'!$K$7:$K$8</definedName>
    <definedName name="SPSSUAC1" localSheetId="41">'[5]4.4.15'!$K$7:$K$8</definedName>
    <definedName name="SPSSUAC1" localSheetId="42">'[6]4.4.15'!$K$7:$K$8</definedName>
    <definedName name="SPSSUAC1">'[7]4.4.15'!$K$7:$K$8</definedName>
    <definedName name="SPSSUAC2" localSheetId="13">'[5]4.4.15'!$B$25:$B$27</definedName>
    <definedName name="SPSSUAC2" localSheetId="7">'[5]4.4.15'!$B$25:$B$27</definedName>
    <definedName name="SPSSUAC2" localSheetId="23">'[5]4.4.15'!$B$25:$B$27</definedName>
    <definedName name="SPSSUAC2" localSheetId="34">'[6]4.4.15'!$B$25:$B$27</definedName>
    <definedName name="SPSSUAC2" localSheetId="35">'[6]4.4.15'!$B$25:$B$27</definedName>
    <definedName name="SPSSUAC2" localSheetId="36">'[5]4.4.15'!$B$25:$B$27</definedName>
    <definedName name="SPSSUAC2" localSheetId="37">'[5]4.4.15'!$B$25:$B$27</definedName>
    <definedName name="SPSSUAC2" localSheetId="40">'[5]4.4.15'!$B$25:$B$27</definedName>
    <definedName name="SPSSUAC2" localSheetId="41">'[5]4.4.15'!$B$25:$B$27</definedName>
    <definedName name="SPSSUAC2" localSheetId="42">'[6]4.4.15'!$B$25:$B$27</definedName>
    <definedName name="SPSSUAC2">'[7]4.4.15'!$B$25:$B$27</definedName>
    <definedName name="SPSSUAC3" localSheetId="13">'[5]4.4.15'!$L$21:$L$22</definedName>
    <definedName name="SPSSUAC3" localSheetId="7">'[5]4.4.15'!$L$21:$L$22</definedName>
    <definedName name="SPSSUAC3" localSheetId="23">'[5]4.4.15'!$L$21:$L$22</definedName>
    <definedName name="SPSSUAC3" localSheetId="34">'[6]4.4.15'!$L$21:$L$22</definedName>
    <definedName name="SPSSUAC3" localSheetId="35">'[6]4.4.15'!$L$21:$L$22</definedName>
    <definedName name="SPSSUAC3" localSheetId="36">'[5]4.4.15'!$L$21:$L$22</definedName>
    <definedName name="SPSSUAC3" localSheetId="37">'[5]4.4.15'!$L$21:$L$22</definedName>
    <definedName name="SPSSUAC3" localSheetId="40">'[5]4.4.15'!$L$21:$L$22</definedName>
    <definedName name="SPSSUAC3" localSheetId="41">'[5]4.4.15'!$L$21:$L$22</definedName>
    <definedName name="SPSSUAC3" localSheetId="42">'[6]4.4.15'!$L$21:$L$22</definedName>
    <definedName name="SPSSUAC3">'[7]4.4.15'!$L$21:$L$22</definedName>
    <definedName name="SStp1" localSheetId="13">'[38]5.2.1'!$F$7:$F$9</definedName>
    <definedName name="SStp1" localSheetId="7">'[38]5.2.1'!$F$7:$F$9</definedName>
    <definedName name="SStp1" localSheetId="23">'[38]5.2.1'!$F$7:$F$9</definedName>
    <definedName name="SStp1" localSheetId="28">'[39]5.2.1'!$F$7:$F$9</definedName>
    <definedName name="SStp1" localSheetId="34">'[38]5.2.1'!$F$7:$F$9</definedName>
    <definedName name="SStp1" localSheetId="35">'[38]5.2.1'!$F$7:$F$9</definedName>
    <definedName name="SStp1" localSheetId="36">'[38]5.2.1'!$F$7:$F$9</definedName>
    <definedName name="SStp1" localSheetId="37">'[38]5.2.1'!$F$7:$F$9</definedName>
    <definedName name="SStp1" localSheetId="38">'[39]5.2.1'!$F$7:$F$9</definedName>
    <definedName name="SStp1" localSheetId="39">'[39]5.2.1'!$F$7:$F$9</definedName>
    <definedName name="SStp1" localSheetId="40">'[25]5.2.1'!$F$7:$F$9</definedName>
    <definedName name="SStp1" localSheetId="41">'[25]5.2.1'!$F$7:$F$9</definedName>
    <definedName name="SStp1" localSheetId="43">'[39]5.2.1'!$F$7:$F$9</definedName>
    <definedName name="SStp1" localSheetId="44">'[39]5.2.1'!$F$7:$F$9</definedName>
    <definedName name="SStp1" localSheetId="42">'[38]5.2.1'!$F$7:$F$9</definedName>
    <definedName name="SStp1" localSheetId="49">'[26]5.2.1'!$F$7:$F$9</definedName>
    <definedName name="SStp1" localSheetId="50">'[39]5.2.1'!$F$7:$F$9</definedName>
    <definedName name="SStp1" localSheetId="51">'[27]5.2.1'!$F$7:$F$9</definedName>
    <definedName name="SStp1" localSheetId="52">'[25]5.2.1'!$F$7:$F$9</definedName>
    <definedName name="SStp1" localSheetId="59">'[25]5.2.1'!$F$7:$F$9</definedName>
    <definedName name="SStp1" localSheetId="54">'[39]5.2.1'!$F$7:$F$9</definedName>
    <definedName name="SStp1" localSheetId="58">'[39]5.2.1'!$F$7:$F$9</definedName>
    <definedName name="SStp1" localSheetId="61">'[39]5.2.1'!$F$7:$F$9</definedName>
    <definedName name="SStp1" localSheetId="63">'[26]5.2.1'!$F$7:$F$9</definedName>
    <definedName name="SStp1" localSheetId="65">'[39]5.2.1'!$F$7:$F$9</definedName>
    <definedName name="SStp1" localSheetId="66">'[25]5.2.1'!$F$7:$F$9</definedName>
    <definedName name="SStp1" localSheetId="71">'[39]5.2.1'!$F$7:$F$9</definedName>
    <definedName name="SStp1" localSheetId="72">'[39]5.2.1'!$F$7:$F$9</definedName>
    <definedName name="SStp1" localSheetId="73">'[39]5.2.1'!$F$7:$F$9</definedName>
    <definedName name="SStp1" localSheetId="67">'[39]5.2.1'!$F$7:$F$9</definedName>
    <definedName name="SStp1" localSheetId="68">'[39]5.2.1'!$F$7:$F$9</definedName>
    <definedName name="SStp1">'[28]5.2.1'!$F$7:$F$9</definedName>
    <definedName name="SStp2" localSheetId="13">'[38]5.2.1'!$H$7:$H$8</definedName>
    <definedName name="SStp2" localSheetId="7">'[38]5.2.1'!$H$7:$H$8</definedName>
    <definedName name="SStp2" localSheetId="23">'[38]5.2.1'!$H$7:$H$8</definedName>
    <definedName name="SStp2" localSheetId="28">'[39]5.2.1'!$H$7:$H$8</definedName>
    <definedName name="SStp2" localSheetId="34">'[38]5.2.1'!$H$7:$H$8</definedName>
    <definedName name="SStp2" localSheetId="35">'[38]5.2.1'!$H$7:$H$8</definedName>
    <definedName name="SStp2" localSheetId="36">'[38]5.2.1'!$H$7:$H$8</definedName>
    <definedName name="SStp2" localSheetId="37">'[38]5.2.1'!$H$7:$H$8</definedName>
    <definedName name="SStp2" localSheetId="38">'[39]5.2.1'!$H$7:$H$8</definedName>
    <definedName name="SStp2" localSheetId="39">'[39]5.2.1'!$H$7:$H$8</definedName>
    <definedName name="SStp2" localSheetId="40">'[25]5.2.1'!$H$7:$H$8</definedName>
    <definedName name="SStp2" localSheetId="41">'[25]5.2.1'!$H$7:$H$8</definedName>
    <definedName name="SStp2" localSheetId="43">'[39]5.2.1'!$H$7:$H$8</definedName>
    <definedName name="SStp2" localSheetId="44">'[39]5.2.1'!$H$7:$H$8</definedName>
    <definedName name="SStp2" localSheetId="42">'[38]5.2.1'!$H$7:$H$8</definedName>
    <definedName name="SStp2" localSheetId="49">'[26]5.2.1'!$H$7:$H$8</definedName>
    <definedName name="SStp2" localSheetId="50">'[39]5.2.1'!$H$7:$H$8</definedName>
    <definedName name="SStp2" localSheetId="51">'[27]5.2.1'!$H$7:$H$8</definedName>
    <definedName name="SStp2" localSheetId="52">'[25]5.2.1'!$H$7:$H$8</definedName>
    <definedName name="SStp2" localSheetId="59">'[25]5.2.1'!$H$7:$H$8</definedName>
    <definedName name="SStp2" localSheetId="54">'[39]5.2.1'!$H$7:$H$8</definedName>
    <definedName name="SStp2" localSheetId="58">'[39]5.2.1'!$H$7:$H$8</definedName>
    <definedName name="SStp2" localSheetId="61">'[39]5.2.1'!$H$7:$H$8</definedName>
    <definedName name="SStp2" localSheetId="63">'[26]5.2.1'!$H$7:$H$8</definedName>
    <definedName name="SStp2" localSheetId="65">'[39]5.2.1'!$H$7:$H$8</definedName>
    <definedName name="SStp2" localSheetId="66">'[25]5.2.1'!$H$7:$H$8</definedName>
    <definedName name="SStp2" localSheetId="71">'[39]5.2.1'!$H$7:$H$8</definedName>
    <definedName name="SStp2" localSheetId="72">'[39]5.2.1'!$H$7:$H$8</definedName>
    <definedName name="SStp2" localSheetId="73">'[39]5.2.1'!$H$7:$H$8</definedName>
    <definedName name="SStp2" localSheetId="67">'[39]5.2.1'!$H$7:$H$8</definedName>
    <definedName name="SStp2" localSheetId="68">'[39]5.2.1'!$H$7:$H$8</definedName>
    <definedName name="SStp2">'[28]5.2.1'!$H$7:$H$8</definedName>
    <definedName name="SStp3" localSheetId="13">'[38]5.2.1'!$J$7:$J$8</definedName>
    <definedName name="SStp3" localSheetId="7">'[38]5.2.1'!$J$7:$J$8</definedName>
    <definedName name="SStp3" localSheetId="23">'[38]5.2.1'!$J$7:$J$8</definedName>
    <definedName name="SStp3" localSheetId="28">'[39]5.2.1'!$J$7:$J$8</definedName>
    <definedName name="SStp3" localSheetId="34">'[38]5.2.1'!$J$7:$J$8</definedName>
    <definedName name="SStp3" localSheetId="35">'[38]5.2.1'!$J$7:$J$8</definedName>
    <definedName name="SStp3" localSheetId="36">'[38]5.2.1'!$J$7:$J$8</definedName>
    <definedName name="SStp3" localSheetId="37">'[38]5.2.1'!$J$7:$J$8</definedName>
    <definedName name="SStp3" localSheetId="38">'[39]5.2.1'!$J$7:$J$8</definedName>
    <definedName name="SStp3" localSheetId="39">'[39]5.2.1'!$J$7:$J$8</definedName>
    <definedName name="SStp3" localSheetId="40">'[25]5.2.1'!$J$7:$J$8</definedName>
    <definedName name="SStp3" localSheetId="41">'[25]5.2.1'!$J$7:$J$8</definedName>
    <definedName name="SStp3" localSheetId="43">'[39]5.2.1'!$J$7:$J$8</definedName>
    <definedName name="SStp3" localSheetId="44">'[39]5.2.1'!$J$7:$J$8</definedName>
    <definedName name="SStp3" localSheetId="42">'[38]5.2.1'!$J$7:$J$8</definedName>
    <definedName name="SStp3" localSheetId="49">'[26]5.2.1'!$J$7:$J$8</definedName>
    <definedName name="SStp3" localSheetId="50">'[39]5.2.1'!$J$7:$J$8</definedName>
    <definedName name="SStp3" localSheetId="51">'[27]5.2.1'!$J$7:$J$8</definedName>
    <definedName name="SStp3" localSheetId="52">'[25]5.2.1'!$J$7:$J$8</definedName>
    <definedName name="SStp3" localSheetId="59">'[25]5.2.1'!$J$7:$J$8</definedName>
    <definedName name="SStp3" localSheetId="54">'[39]5.2.1'!$J$7:$J$8</definedName>
    <definedName name="SStp3" localSheetId="58">'[39]5.2.1'!$J$7:$J$8</definedName>
    <definedName name="SStp3" localSheetId="61">'[39]5.2.1'!$J$7:$J$8</definedName>
    <definedName name="SStp3" localSheetId="63">'[26]5.2.1'!$J$7:$J$8</definedName>
    <definedName name="SStp3" localSheetId="65">'[39]5.2.1'!$J$7:$J$8</definedName>
    <definedName name="SStp3" localSheetId="66">'[25]5.2.1'!$J$7:$J$8</definedName>
    <definedName name="SStp3" localSheetId="71">'[39]5.2.1'!$J$7:$J$8</definedName>
    <definedName name="SStp3" localSheetId="72">'[39]5.2.1'!$J$7:$J$8</definedName>
    <definedName name="SStp3" localSheetId="73">'[39]5.2.1'!$J$7:$J$8</definedName>
    <definedName name="SStp3" localSheetId="67">'[39]5.2.1'!$J$7:$J$8</definedName>
    <definedName name="SStp3" localSheetId="68">'[39]5.2.1'!$J$7:$J$8</definedName>
    <definedName name="SStp3">'[28]5.2.1'!$J$7:$J$8</definedName>
    <definedName name="StartYear">'[37]Main Input'!$I$20</definedName>
    <definedName name="STRRr1">'4.4.16'!$D$82:$D$83</definedName>
    <definedName name="STRRr2" localSheetId="13">'[18]4.4.16'!$B$26:$B$34</definedName>
    <definedName name="STRRr2" localSheetId="7">'[18]4.4.16'!$B$26:$B$34</definedName>
    <definedName name="STRRr2" localSheetId="23">'[18]4.4.16'!$B$26:$B$34</definedName>
    <definedName name="STRRr2" localSheetId="28">'[22]4.4.16'!$B$91:$B$99</definedName>
    <definedName name="STRRr2" localSheetId="33">'4.4.16'!$B$88:$B$96</definedName>
    <definedName name="STRRr2" localSheetId="34">'[18]4.4.16'!$B$26:$B$34</definedName>
    <definedName name="STRRr2" localSheetId="35">'[18]4.4.16'!$B$26:$B$34</definedName>
    <definedName name="STRRr2" localSheetId="36">'[18]4.4.16'!$B$26:$B$34</definedName>
    <definedName name="STRRr2" localSheetId="37">'[18]4.4.16'!$B$26:$B$34</definedName>
    <definedName name="STRRr2" localSheetId="38">'[22]4.4.16'!$B$91:$B$99</definedName>
    <definedName name="STRRr2" localSheetId="39">'[23]4.4.16'!$B$76:$B$84</definedName>
    <definedName name="STRRr2" localSheetId="40">'[20]4.4.16'!$B$72:$B$80</definedName>
    <definedName name="STRRr2" localSheetId="41">'[20]4.4.16'!$B$72:$B$80</definedName>
    <definedName name="STRRr2" localSheetId="43">'[22]4.4.16'!$B$91:$B$99</definedName>
    <definedName name="STRRr2" localSheetId="44">'[22]4.4.16'!$B$91:$B$99</definedName>
    <definedName name="STRRr2" localSheetId="42">'[18]4.4.16'!$B$26:$B$34</definedName>
    <definedName name="STRRr2" localSheetId="49">'[20]4.4.16'!$B$72:$B$80</definedName>
    <definedName name="STRRr2" localSheetId="50">'[20]4.4.16'!$B$72:$B$80</definedName>
    <definedName name="STRRr2" localSheetId="51">'[20]4.4.16'!$B$72:$B$80</definedName>
    <definedName name="STRRr2" localSheetId="52">'[20]4.4.16'!$B$72:$B$80</definedName>
    <definedName name="STRRr2" localSheetId="59">'[20]4.4.16'!$B$72:$B$80</definedName>
    <definedName name="STRRr2" localSheetId="54">'[20]4.4.16'!$B$72:$B$80</definedName>
    <definedName name="STRRr2" localSheetId="58">'[20]4.4.16'!$B$72:$B$80</definedName>
    <definedName name="STRRr2" localSheetId="61">'[20]4.4.16'!$B$72:$B$80</definedName>
    <definedName name="STRRr2" localSheetId="63">'[20]4.4.16'!$B$72:$B$80</definedName>
    <definedName name="STRRr2" localSheetId="65">'[20]4.4.16'!$B$72:$B$80</definedName>
    <definedName name="STRRr2" localSheetId="66">'[20]4.4.16'!$B$72:$B$80</definedName>
    <definedName name="STRRr2" localSheetId="71">'[20]4.4.16'!$B$72:$B$80</definedName>
    <definedName name="STRRr2" localSheetId="72">'[20]4.4.16'!$B$72:$B$80</definedName>
    <definedName name="STRRr2" localSheetId="73">'[20]4.4.16'!$B$72:$B$80</definedName>
    <definedName name="STRRr2" localSheetId="67">'[20]4.4.16'!$B$72:$B$80</definedName>
    <definedName name="STRRr2" localSheetId="70">'[19]4.4.16'!$B$70:$B$78</definedName>
    <definedName name="STRRr2" localSheetId="68">'[20]4.4.16'!$B$72:$B$80</definedName>
    <definedName name="STRRr2">'[19]4.4.16'!$B$72:$B$80</definedName>
    <definedName name="SWHr1" localSheetId="13">'[5]4.3.1'!$A$72:$A$74</definedName>
    <definedName name="SWHr1" localSheetId="7">'[5]4.3.1'!$A$72:$A$74</definedName>
    <definedName name="SWHr1" localSheetId="23">'[5]4.3.1'!$A$72:$A$74</definedName>
    <definedName name="SWHr1" localSheetId="34">'[6]4.3.1'!$A$72:$A$74</definedName>
    <definedName name="SWHr1" localSheetId="35">'[6]4.3.1'!$A$72:$A$74</definedName>
    <definedName name="SWHr1" localSheetId="36">'[5]4.3.1'!$A$72:$A$74</definedName>
    <definedName name="SWHr1" localSheetId="37">'[5]4.3.1'!$A$72:$A$74</definedName>
    <definedName name="SWHr1" localSheetId="40">'[5]4.3.1'!$A$72:$A$74</definedName>
    <definedName name="SWHr1" localSheetId="41">'[5]4.3.1'!$A$72:$A$74</definedName>
    <definedName name="SWHr1" localSheetId="42">'[6]4.3.1'!$A$72:$A$74</definedName>
    <definedName name="SWHr1" localSheetId="2">'[15]4.3.1'!$A$58:$A$60</definedName>
    <definedName name="SWHr1">'4.3.1'!$A$60:$A$62</definedName>
    <definedName name="SWHr2" localSheetId="13">'[5]4.3.1'!$A$77:$A$79</definedName>
    <definedName name="SWHr2" localSheetId="7">'[5]4.3.1'!$A$77:$A$79</definedName>
    <definedName name="SWHr2" localSheetId="23">'[5]4.3.1'!$A$77:$A$79</definedName>
    <definedName name="SWHr2" localSheetId="34">'[6]4.3.1'!$A$77:$A$79</definedName>
    <definedName name="SWHr2" localSheetId="35">'[6]4.3.1'!$A$77:$A$79</definedName>
    <definedName name="SWHr2" localSheetId="36">'[5]4.3.1'!$A$77:$A$79</definedName>
    <definedName name="SWHr2" localSheetId="37">'[5]4.3.1'!$A$77:$A$79</definedName>
    <definedName name="SWHr2" localSheetId="40">'[5]4.3.1'!$A$77:$A$79</definedName>
    <definedName name="SWHr2" localSheetId="41">'[5]4.3.1'!$A$77:$A$79</definedName>
    <definedName name="SWHr2" localSheetId="42">'[6]4.3.1'!$A$77:$A$79</definedName>
    <definedName name="SWHr2" localSheetId="2">'[15]4.3.1'!#REF!</definedName>
    <definedName name="SWHr2">'4.3.1'!#REF!</definedName>
    <definedName name="SWHr3" localSheetId="13">'[5]4.3.1'!$A$83:$A$85</definedName>
    <definedName name="SWHr3" localSheetId="7">'[5]4.3.1'!$A$83:$A$85</definedName>
    <definedName name="SWHr3" localSheetId="23">'[5]4.3.1'!$A$83:$A$85</definedName>
    <definedName name="SWHr3" localSheetId="34">'[6]4.3.1'!$A$83:$A$85</definedName>
    <definedName name="SWHr3" localSheetId="35">'[6]4.3.1'!$A$83:$A$85</definedName>
    <definedName name="SWHr3" localSheetId="36">'[5]4.3.1'!$A$83:$A$85</definedName>
    <definedName name="SWHr3" localSheetId="37">'[5]4.3.1'!$A$83:$A$85</definedName>
    <definedName name="SWHr3" localSheetId="40">'[5]4.3.1'!$A$83:$A$85</definedName>
    <definedName name="SWHr3" localSheetId="41">'[5]4.3.1'!$A$83:$A$85</definedName>
    <definedName name="SWHr3" localSheetId="42">'[6]4.3.1'!$A$83:$A$85</definedName>
    <definedName name="SWHr3" localSheetId="2">'[15]4.3.1'!$A$63:$A$65</definedName>
    <definedName name="SWHr3">'4.3.1'!$A$65:$A$67</definedName>
    <definedName name="SWHr4" localSheetId="13">'[5]4.3.1'!#REF!</definedName>
    <definedName name="SWHr4" localSheetId="7">'[5]4.3.1'!#REF!</definedName>
    <definedName name="SWHr4" localSheetId="23">'[5]4.3.1'!#REF!</definedName>
    <definedName name="SWHr4" localSheetId="34">'[6]4.3.1'!#REF!</definedName>
    <definedName name="SWHr4" localSheetId="35">'[6]4.3.1'!#REF!</definedName>
    <definedName name="SWHr4" localSheetId="36">'[5]4.3.1'!#REF!</definedName>
    <definedName name="SWHr4" localSheetId="37">'[5]4.3.1'!#REF!</definedName>
    <definedName name="SWHr4" localSheetId="40">'[5]4.3.1'!#REF!</definedName>
    <definedName name="SWHr4" localSheetId="41">'[5]4.3.1'!#REF!</definedName>
    <definedName name="SWHr4" localSheetId="42">'[6]4.3.1'!#REF!</definedName>
    <definedName name="SWHr4">'4.3.1'!$A$85:$A$90</definedName>
    <definedName name="System1" localSheetId="23">#REF!</definedName>
    <definedName name="System1" localSheetId="31">'4.4.14'!#REF!</definedName>
    <definedName name="System1" localSheetId="34">#REF!</definedName>
    <definedName name="System1" localSheetId="35">#REF!</definedName>
    <definedName name="System1" localSheetId="32">'4.4.24 '!$O$12:$O$15</definedName>
    <definedName name="System1" localSheetId="36">#REF!</definedName>
    <definedName name="System1" localSheetId="37">#REF!</definedName>
    <definedName name="System1" localSheetId="40">#REF!</definedName>
    <definedName name="System1" localSheetId="41">#REF!</definedName>
    <definedName name="System1" localSheetId="42">#REF!</definedName>
    <definedName name="System1" localSheetId="2">#REF!</definedName>
    <definedName name="System1">#REF!</definedName>
    <definedName name="System2" localSheetId="23">#REF!</definedName>
    <definedName name="System2" localSheetId="31">'4.4.14'!$G$144:$G$145</definedName>
    <definedName name="System2" localSheetId="34">#REF!</definedName>
    <definedName name="System2" localSheetId="35">#REF!</definedName>
    <definedName name="System2" localSheetId="32">'4.4.24 '!$O$37:$O$40</definedName>
    <definedName name="System2" localSheetId="36">#REF!</definedName>
    <definedName name="System2" localSheetId="37">#REF!</definedName>
    <definedName name="System2" localSheetId="40">#REF!</definedName>
    <definedName name="System2" localSheetId="41">#REF!</definedName>
    <definedName name="System2" localSheetId="42">#REF!</definedName>
    <definedName name="System2" localSheetId="2">#REF!</definedName>
    <definedName name="System2">#REF!</definedName>
    <definedName name="System3" localSheetId="23">#REF!</definedName>
    <definedName name="System3" localSheetId="31">'4.4.14'!$G$146:$G$149</definedName>
    <definedName name="System3" localSheetId="34">#REF!</definedName>
    <definedName name="System3" localSheetId="35">#REF!</definedName>
    <definedName name="System3" localSheetId="32">'4.4.24 '!$O$41:$O$44</definedName>
    <definedName name="System3" localSheetId="36">#REF!</definedName>
    <definedName name="System3" localSheetId="37">#REF!</definedName>
    <definedName name="System3" localSheetId="40">#REF!</definedName>
    <definedName name="System3" localSheetId="41">#REF!</definedName>
    <definedName name="System3" localSheetId="42">#REF!</definedName>
    <definedName name="System3" localSheetId="2">#REF!</definedName>
    <definedName name="System3">#REF!</definedName>
    <definedName name="System4" localSheetId="23">#REF!</definedName>
    <definedName name="System4" localSheetId="31">'4.4.14'!$G$150</definedName>
    <definedName name="System4" localSheetId="34">#REF!</definedName>
    <definedName name="System4" localSheetId="35">#REF!</definedName>
    <definedName name="System4" localSheetId="32">'4.4.24 '!$O$45</definedName>
    <definedName name="System4" localSheetId="36">#REF!</definedName>
    <definedName name="System4" localSheetId="37">#REF!</definedName>
    <definedName name="System4" localSheetId="40">#REF!</definedName>
    <definedName name="System4" localSheetId="41">#REF!</definedName>
    <definedName name="System4" localSheetId="42">#REF!</definedName>
    <definedName name="System4" localSheetId="2">#REF!</definedName>
    <definedName name="System4">#REF!</definedName>
    <definedName name="T5FL1" localSheetId="13">'[18]4.5.12'!$H$7:$H$8</definedName>
    <definedName name="T5FL1" localSheetId="7">'[18]4.5.12'!$H$7:$H$8</definedName>
    <definedName name="T5FL1" localSheetId="23">'[18]4.5.12'!$H$7:$H$8</definedName>
    <definedName name="T5FL1" localSheetId="28">'[22]4.5.12'!$H$7:$H$8</definedName>
    <definedName name="T5FL1" localSheetId="34">'[18]4.5.12'!$H$7:$H$8</definedName>
    <definedName name="T5FL1" localSheetId="35">'[18]4.5.12'!$H$7:$H$8</definedName>
    <definedName name="T5FL1" localSheetId="36">'[18]4.5.12'!$H$7:$H$8</definedName>
    <definedName name="T5FL1" localSheetId="37">'[18]4.5.12'!$H$7:$H$8</definedName>
    <definedName name="T5FL1" localSheetId="38">'[22]4.5.12'!$H$7:$H$8</definedName>
    <definedName name="T5FL1" localSheetId="39">'[23]4.5.12'!$H$7:$H$8</definedName>
    <definedName name="T5FL1" localSheetId="40">'[20]4.5.12'!$H$7:$H$8</definedName>
    <definedName name="T5FL1" localSheetId="41">'[20]4.5.12'!$H$7:$H$8</definedName>
    <definedName name="T5FL1" localSheetId="43">'[22]4.5.12'!$H$7:$H$8</definedName>
    <definedName name="T5FL1" localSheetId="44">'[22]4.5.12'!$H$7:$H$8</definedName>
    <definedName name="T5FL1" localSheetId="42">'[18]4.5.12'!$H$7:$H$8</definedName>
    <definedName name="T5FL1" localSheetId="49">'[20]4.5.12'!$H$7:$H$8</definedName>
    <definedName name="T5FL1" localSheetId="50">'[20]4.5.12'!$H$7:$H$8</definedName>
    <definedName name="T5FL1" localSheetId="51">'[20]4.5.12'!$H$7:$H$8</definedName>
    <definedName name="T5FL1" localSheetId="52">'[20]4.5.12'!$H$7:$H$8</definedName>
    <definedName name="T5FL1" localSheetId="59">'[20]4.5.12'!$H$7:$H$8</definedName>
    <definedName name="T5FL1" localSheetId="54">'[20]4.5.12'!$H$7:$H$8</definedName>
    <definedName name="T5FL1" localSheetId="58">'[20]4.5.12'!$H$7:$H$8</definedName>
    <definedName name="T5FL1" localSheetId="61">'[20]4.5.12'!$H$7:$H$8</definedName>
    <definedName name="T5FL1" localSheetId="63">'[20]4.5.12'!$H$7:$H$8</definedName>
    <definedName name="T5FL1" localSheetId="65">'[20]4.5.12'!$H$7:$H$8</definedName>
    <definedName name="T5FL1" localSheetId="66">'[20]4.5.12'!$H$7:$H$8</definedName>
    <definedName name="T5FL1" localSheetId="71">'[20]4.5.12'!$H$7:$H$8</definedName>
    <definedName name="T5FL1" localSheetId="72">'[20]4.5.12'!$H$7:$H$8</definedName>
    <definedName name="T5FL1" localSheetId="73">'[20]4.5.12'!$H$7:$H$8</definedName>
    <definedName name="T5FL1" localSheetId="67">'[20]4.5.12'!$H$7:$H$8</definedName>
    <definedName name="T5FL1" localSheetId="68">'[20]4.5.12'!$H$7:$H$8</definedName>
    <definedName name="T5FL1">'[19]4.5.12'!$H$7:$H$8</definedName>
    <definedName name="T5FL2" localSheetId="13">'[18]4.5.12'!$H$50:$H$62</definedName>
    <definedName name="T5FL2" localSheetId="7">'[18]4.5.12'!$H$50:$H$62</definedName>
    <definedName name="T5FL2" localSheetId="23">'[18]4.5.12'!$H$50:$H$62</definedName>
    <definedName name="T5FL2" localSheetId="28">'[22]4.5.12'!$H$50:$H$62</definedName>
    <definedName name="T5FL2" localSheetId="34">'[18]4.5.12'!$H$50:$H$62</definedName>
    <definedName name="T5FL2" localSheetId="35">'[18]4.5.12'!$H$50:$H$62</definedName>
    <definedName name="T5FL2" localSheetId="36">'[18]4.5.12'!$H$50:$H$62</definedName>
    <definedName name="T5FL2" localSheetId="37">'[18]4.5.12'!$H$50:$H$62</definedName>
    <definedName name="T5FL2" localSheetId="38">'[22]4.5.12'!$H$50:$H$62</definedName>
    <definedName name="T5FL2" localSheetId="39">'[23]4.5.12'!$H$50:$H$62</definedName>
    <definedName name="T5FL2" localSheetId="40">'[20]4.5.12'!$H$50:$H$62</definedName>
    <definedName name="T5FL2" localSheetId="41">'[20]4.5.12'!$H$50:$H$62</definedName>
    <definedName name="T5FL2" localSheetId="43">'[22]4.5.12'!$H$50:$H$62</definedName>
    <definedName name="T5FL2" localSheetId="44">'[22]4.5.12'!$H$50:$H$62</definedName>
    <definedName name="T5FL2" localSheetId="42">'[18]4.5.12'!$H$50:$H$62</definedName>
    <definedName name="T5FL2" localSheetId="49">'[20]4.5.12'!$H$50:$H$62</definedName>
    <definedName name="T5FL2" localSheetId="50">'[20]4.5.12'!$H$50:$H$62</definedName>
    <definedName name="T5FL2" localSheetId="51">'[20]4.5.12'!$H$50:$H$62</definedName>
    <definedName name="T5FL2" localSheetId="52">'[20]4.5.12'!$H$50:$H$62</definedName>
    <definedName name="T5FL2" localSheetId="59">'[20]4.5.12'!$H$50:$H$62</definedName>
    <definedName name="T5FL2" localSheetId="54">'[20]4.5.12'!$H$50:$H$62</definedName>
    <definedName name="T5FL2" localSheetId="58">'[20]4.5.12'!$H$50:$H$62</definedName>
    <definedName name="T5FL2" localSheetId="61">'[20]4.5.12'!$H$50:$H$62</definedName>
    <definedName name="T5FL2" localSheetId="63">'[20]4.5.12'!$H$50:$H$62</definedName>
    <definedName name="T5FL2" localSheetId="65">'[20]4.5.12'!$H$50:$H$62</definedName>
    <definedName name="T5FL2" localSheetId="66">'[20]4.5.12'!$H$50:$H$62</definedName>
    <definedName name="T5FL2" localSheetId="71">'[20]4.5.12'!$H$50:$H$62</definedName>
    <definedName name="T5FL2" localSheetId="72">'[20]4.5.12'!$H$50:$H$62</definedName>
    <definedName name="T5FL2" localSheetId="73">'[20]4.5.12'!$H$50:$H$62</definedName>
    <definedName name="T5FL2" localSheetId="67">'[20]4.5.12'!$H$50:$H$62</definedName>
    <definedName name="T5FL2" localSheetId="68">'[20]4.5.12'!$H$50:$H$62</definedName>
    <definedName name="T5FL2">'[19]4.5.12'!$H$50:$H$62</definedName>
    <definedName name="T5FL3" localSheetId="13">'[18]4.5.12'!$E$50:$E$70</definedName>
    <definedName name="T5FL3" localSheetId="7">'[18]4.5.12'!$E$50:$E$70</definedName>
    <definedName name="T5FL3" localSheetId="23">'[18]4.5.12'!$E$50:$E$70</definedName>
    <definedName name="T5FL3" localSheetId="28">'[22]4.5.12'!$E$50:$E$70</definedName>
    <definedName name="T5FL3" localSheetId="34">'[18]4.5.12'!$E$50:$E$70</definedName>
    <definedName name="T5FL3" localSheetId="35">'[18]4.5.12'!$E$50:$E$70</definedName>
    <definedName name="T5FL3" localSheetId="36">'[18]4.5.12'!$E$50:$E$70</definedName>
    <definedName name="T5FL3" localSheetId="37">'[18]4.5.12'!$E$50:$E$70</definedName>
    <definedName name="T5FL3" localSheetId="38">'[22]4.5.12'!$E$50:$E$70</definedName>
    <definedName name="T5FL3" localSheetId="39">'[23]4.5.12'!$E$50:$E$70</definedName>
    <definedName name="T5FL3" localSheetId="40">'[20]4.5.12'!$E$50:$E$70</definedName>
    <definedName name="T5FL3" localSheetId="41">'[20]4.5.12'!$E$50:$E$70</definedName>
    <definedName name="T5FL3" localSheetId="43">'[22]4.5.12'!$E$50:$E$70</definedName>
    <definedName name="T5FL3" localSheetId="44">'[22]4.5.12'!$E$50:$E$70</definedName>
    <definedName name="T5FL3" localSheetId="42">'[18]4.5.12'!$E$50:$E$70</definedName>
    <definedName name="T5FL3" localSheetId="49">'[20]4.5.12'!$E$50:$E$70</definedName>
    <definedName name="T5FL3" localSheetId="50">'[20]4.5.12'!$E$50:$E$70</definedName>
    <definedName name="T5FL3" localSheetId="51">'[20]4.5.12'!$E$50:$E$70</definedName>
    <definedName name="T5FL3" localSheetId="52">'[20]4.5.12'!$E$50:$E$70</definedName>
    <definedName name="T5FL3" localSheetId="59">'[20]4.5.12'!$E$50:$E$70</definedName>
    <definedName name="T5FL3" localSheetId="54">'[20]4.5.12'!$E$50:$E$70</definedName>
    <definedName name="T5FL3" localSheetId="58">'[20]4.5.12'!$E$50:$E$70</definedName>
    <definedName name="T5FL3" localSheetId="61">'[20]4.5.12'!$E$50:$E$70</definedName>
    <definedName name="T5FL3" localSheetId="63">'[20]4.5.12'!$E$50:$E$70</definedName>
    <definedName name="T5FL3" localSheetId="65">'[20]4.5.12'!$E$50:$E$70</definedName>
    <definedName name="T5FL3" localSheetId="66">'[20]4.5.12'!$E$50:$E$70</definedName>
    <definedName name="T5FL3" localSheetId="71">'[20]4.5.12'!$E$50:$E$70</definedName>
    <definedName name="T5FL3" localSheetId="72">'[20]4.5.12'!$E$50:$E$70</definedName>
    <definedName name="T5FL3" localSheetId="73">'[20]4.5.12'!$E$50:$E$70</definedName>
    <definedName name="T5FL3" localSheetId="67">'[20]4.5.12'!$E$50:$E$70</definedName>
    <definedName name="T5FL3" localSheetId="68">'[20]4.5.12'!$E$50:$E$70</definedName>
    <definedName name="T5FL3">'[19]4.5.12'!$E$50:$E$70</definedName>
    <definedName name="T5FL4" localSheetId="13">'[18]4.5.12'!$I$64:$I$78</definedName>
    <definedName name="T5FL4" localSheetId="7">'[18]4.5.12'!$I$64:$I$78</definedName>
    <definedName name="T5FL4" localSheetId="23">'[18]4.5.12'!$I$64:$I$78</definedName>
    <definedName name="T5FL4" localSheetId="28">'[22]4.5.12'!$I$64:$I$78</definedName>
    <definedName name="T5FL4" localSheetId="34">'[18]4.5.12'!$I$64:$I$78</definedName>
    <definedName name="T5FL4" localSheetId="35">'[18]4.5.12'!$I$64:$I$78</definedName>
    <definedName name="T5FL4" localSheetId="36">'[18]4.5.12'!$I$64:$I$78</definedName>
    <definedName name="T5FL4" localSheetId="37">'[18]4.5.12'!$I$64:$I$78</definedName>
    <definedName name="T5FL4" localSheetId="38">'[22]4.5.12'!$I$64:$I$78</definedName>
    <definedName name="T5FL4" localSheetId="39">'[23]4.5.12'!$I$64:$I$78</definedName>
    <definedName name="T5FL4" localSheetId="40">'[20]4.5.12'!$I$64:$I$78</definedName>
    <definedName name="T5FL4" localSheetId="41">'[20]4.5.12'!$I$64:$I$78</definedName>
    <definedName name="T5FL4" localSheetId="43">'[22]4.5.12'!$I$64:$I$78</definedName>
    <definedName name="T5FL4" localSheetId="44">'[22]4.5.12'!$I$64:$I$78</definedName>
    <definedName name="T5FL4" localSheetId="42">'[18]4.5.12'!$I$64:$I$78</definedName>
    <definedName name="T5FL4" localSheetId="49">'[20]4.5.12'!$I$64:$I$78</definedName>
    <definedName name="T5FL4" localSheetId="50">'[20]4.5.12'!$I$64:$I$78</definedName>
    <definedName name="T5FL4" localSheetId="51">'[20]4.5.12'!$I$64:$I$78</definedName>
    <definedName name="T5FL4" localSheetId="52">'[20]4.5.12'!$I$64:$I$78</definedName>
    <definedName name="T5FL4" localSheetId="59">'[20]4.5.12'!$I$64:$I$78</definedName>
    <definedName name="T5FL4" localSheetId="54">'[20]4.5.12'!$I$64:$I$78</definedName>
    <definedName name="T5FL4" localSheetId="58">'[20]4.5.12'!$I$64:$I$78</definedName>
    <definedName name="T5FL4" localSheetId="61">'[20]4.5.12'!$I$64:$I$78</definedName>
    <definedName name="T5FL4" localSheetId="63">'[20]4.5.12'!$I$64:$I$78</definedName>
    <definedName name="T5FL4" localSheetId="65">'[20]4.5.12'!$I$64:$I$78</definedName>
    <definedName name="T5FL4" localSheetId="66">'[20]4.5.12'!$I$64:$I$78</definedName>
    <definedName name="T5FL4" localSheetId="71">'[20]4.5.12'!$I$64:$I$78</definedName>
    <definedName name="T5FL4" localSheetId="72">'[20]4.5.12'!$I$64:$I$78</definedName>
    <definedName name="T5FL4" localSheetId="73">'[20]4.5.12'!$I$64:$I$78</definedName>
    <definedName name="T5FL4" localSheetId="67">'[20]4.5.12'!$I$64:$I$78</definedName>
    <definedName name="T5FL4" localSheetId="68">'[20]4.5.12'!$I$64:$I$78</definedName>
    <definedName name="T5FL4">'[19]4.5.12'!$I$64:$I$78</definedName>
    <definedName name="T5FL5" localSheetId="13">'[18]4.5.12'!$B$23:$B$45</definedName>
    <definedName name="T5FL5" localSheetId="7">'[18]4.5.12'!$B$23:$B$45</definedName>
    <definedName name="T5FL5" localSheetId="23">'[18]4.5.12'!$B$23:$B$45</definedName>
    <definedName name="T5FL5" localSheetId="28">'[22]4.5.12'!$B$23:$B$45</definedName>
    <definedName name="T5FL5" localSheetId="34">'[18]4.5.12'!$B$23:$B$45</definedName>
    <definedName name="T5FL5" localSheetId="35">'[18]4.5.12'!$B$23:$B$45</definedName>
    <definedName name="T5FL5" localSheetId="36">'[18]4.5.12'!$B$23:$B$45</definedName>
    <definedName name="T5FL5" localSheetId="37">'[18]4.5.12'!$B$23:$B$45</definedName>
    <definedName name="T5FL5" localSheetId="38">'[22]4.5.12'!$B$23:$B$45</definedName>
    <definedName name="T5FL5" localSheetId="39">'[23]4.5.12'!$B$23:$B$45</definedName>
    <definedName name="T5FL5" localSheetId="40">'[20]4.5.12'!$B$23:$B$45</definedName>
    <definedName name="T5FL5" localSheetId="41">'[20]4.5.12'!$B$23:$B$45</definedName>
    <definedName name="T5FL5" localSheetId="43">'[22]4.5.12'!$B$23:$B$45</definedName>
    <definedName name="T5FL5" localSheetId="44">'[22]4.5.12'!$B$23:$B$45</definedName>
    <definedName name="T5FL5" localSheetId="42">'[18]4.5.12'!$B$23:$B$45</definedName>
    <definedName name="T5FL5" localSheetId="49">'[20]4.5.12'!$B$23:$B$45</definedName>
    <definedName name="T5FL5" localSheetId="50">'[20]4.5.12'!$B$23:$B$45</definedName>
    <definedName name="T5FL5" localSheetId="51">'[20]4.5.12'!$B$23:$B$45</definedName>
    <definedName name="T5FL5" localSheetId="52">'[20]4.5.12'!$B$23:$B$45</definedName>
    <definedName name="T5FL5" localSheetId="59">'[20]4.5.12'!$B$23:$B$45</definedName>
    <definedName name="T5FL5" localSheetId="54">'[20]4.5.12'!$B$23:$B$45</definedName>
    <definedName name="T5FL5" localSheetId="58">'[20]4.5.12'!$B$23:$B$45</definedName>
    <definedName name="T5FL5" localSheetId="61">'[20]4.5.12'!$B$23:$B$45</definedName>
    <definedName name="T5FL5" localSheetId="63">'[20]4.5.12'!$B$23:$B$45</definedName>
    <definedName name="T5FL5" localSheetId="65">'[20]4.5.12'!$B$23:$B$45</definedName>
    <definedName name="T5FL5" localSheetId="66">'[20]4.5.12'!$B$23:$B$45</definedName>
    <definedName name="T5FL5" localSheetId="71">'[20]4.5.12'!$B$23:$B$45</definedName>
    <definedName name="T5FL5" localSheetId="72">'[20]4.5.12'!$B$23:$B$45</definedName>
    <definedName name="T5FL5" localSheetId="73">'[20]4.5.12'!$B$23:$B$45</definedName>
    <definedName name="T5FL5" localSheetId="67">'[20]4.5.12'!$B$23:$B$45</definedName>
    <definedName name="T5FL5" localSheetId="68">'[20]4.5.12'!$B$23:$B$45</definedName>
    <definedName name="T5FL5">'[19]4.5.12'!$B$23:$B$45</definedName>
    <definedName name="tabledate">#REF!</definedName>
    <definedName name="Teapot_Summary" localSheetId="13">'[5]Teapot Summary'!$A$3:$W$238</definedName>
    <definedName name="Teapot_Summary" localSheetId="7">'[5]Teapot Summary'!$A$3:$W$238</definedName>
    <definedName name="Teapot_Summary" localSheetId="23">'[5]Teapot Summary'!$A$3:$W$238</definedName>
    <definedName name="Teapot_Summary" localSheetId="36">'[5]Teapot Summary'!$A$3:$W$238</definedName>
    <definedName name="Teapot_Summary" localSheetId="37">'[5]Teapot Summary'!$A$3:$W$238</definedName>
    <definedName name="Teapot_Summary" localSheetId="40">'[5]Teapot Summary'!$A$3:$W$238</definedName>
    <definedName name="Teapot_Summary" localSheetId="41">'[5]Teapot Summary'!$A$3:$W$238</definedName>
    <definedName name="Teapot_Summary">'[6]Teapot Summary'!$A$3:$W$237</definedName>
    <definedName name="Thousand">1000</definedName>
    <definedName name="Total_Incremental_Cost" localSheetId="0">#REF!</definedName>
    <definedName name="Total_Incremental_Cost" localSheetId="2">#REF!</definedName>
    <definedName name="Total_Incremental_Cost" localSheetId="1">#REF!</definedName>
    <definedName name="TRCdrate">'[51]Economic Inputs'!$A$3</definedName>
    <definedName name="TRCFactors">'[51]Economic Inputs'!$Q$2:$AA$192</definedName>
    <definedName name="TRCNomDR">'[17]General Inputs'!$B$16</definedName>
    <definedName name="TrFl" localSheetId="13">'[9]5.1.8'!$I$16:$I$17</definedName>
    <definedName name="TrFl" localSheetId="7">'[9]5.1.8'!$I$16:$I$17</definedName>
    <definedName name="TrFl" localSheetId="23">'[9]5.1.8'!$I$16:$I$17</definedName>
    <definedName name="TrFl" localSheetId="28">'[10]5.1.8'!$I$16:$I$17</definedName>
    <definedName name="TrFl" localSheetId="33">'[10]5.1.8'!$I$16:$I$17</definedName>
    <definedName name="TrFl" localSheetId="34">'[9]5.1.8'!$I$16:$I$17</definedName>
    <definedName name="TrFl" localSheetId="35">'[9]5.1.8'!$I$16:$I$17</definedName>
    <definedName name="TrFl" localSheetId="36">'[9]5.1.8'!$I$16:$I$17</definedName>
    <definedName name="TrFl" localSheetId="37">'[9]5.1.8'!$I$16:$I$17</definedName>
    <definedName name="TrFl" localSheetId="38">'[10]5.1.8'!$I$16:$I$17</definedName>
    <definedName name="TrFl" localSheetId="39">'[10]5.1.8'!$I$16:$I$17</definedName>
    <definedName name="TrFl" localSheetId="40">'[10]5.1.8'!$I$16:$I$17</definedName>
    <definedName name="TrFl" localSheetId="41">'[10]5.1.8'!$I$16:$I$17</definedName>
    <definedName name="TrFl" localSheetId="43">'[10]5.1.8'!$I$16:$I$17</definedName>
    <definedName name="TrFl" localSheetId="44">'[10]5.1.8'!$I$16:$I$17</definedName>
    <definedName name="TrFl" localSheetId="42">'[9]5.1.8'!$I$16:$I$17</definedName>
    <definedName name="TrFl" localSheetId="49">'[10]5.1.8'!$I$16:$I$17</definedName>
    <definedName name="TrFl" localSheetId="50">'[11]5.1.8'!$I$16:$I$17</definedName>
    <definedName name="TrFl" localSheetId="51">'[10]5.1.8'!$I$16:$I$17</definedName>
    <definedName name="TrFl" localSheetId="52">'[10]5.1.8'!$I$16:$I$17</definedName>
    <definedName name="TrFl" localSheetId="45">'[10]5.1.8'!$I$16:$I$17</definedName>
    <definedName name="TrFl" localSheetId="47">'[12]5.1.8'!$I$16:$I$17</definedName>
    <definedName name="TrFl" localSheetId="53">'[10]5.1.8'!$I$16:$I$17</definedName>
    <definedName name="TrFl" localSheetId="59">'[10]5.1.8'!$I$16:$I$17</definedName>
    <definedName name="TrFl" localSheetId="54">'[13]5.1.8'!$I$16:$I$17</definedName>
    <definedName name="TrFl" localSheetId="57">'[10]5.1.8'!$I$16:$I$17</definedName>
    <definedName name="TrFl" localSheetId="58">'[11]5.1.8'!$I$16:$I$17</definedName>
    <definedName name="TrFl" localSheetId="61">'[11]5.1.8'!$I$16:$I$17</definedName>
    <definedName name="TrFl" localSheetId="63">'[10]5.1.8'!$I$16:$I$17</definedName>
    <definedName name="TrFl" localSheetId="65">'[11]5.1.8'!$I$16:$I$17</definedName>
    <definedName name="TrFl" localSheetId="66">'[10]5.1.8'!$I$16:$I$17</definedName>
    <definedName name="TrFl" localSheetId="72">'[11]5.1.8'!$I$16:$I$17</definedName>
    <definedName name="TrFl" localSheetId="73">'[11]5.1.8'!$I$16:$I$17</definedName>
    <definedName name="TrFl" localSheetId="70">'[10]5.1.8'!$I$16:$I$17</definedName>
    <definedName name="TrFl" localSheetId="68">'[11]5.1.8'!$I$16:$I$17</definedName>
    <definedName name="TrFl">'[14]5.1.8'!$I$16:$I$17</definedName>
    <definedName name="TrFl1" localSheetId="13">'[38]5.1.7'!$K$7:$K$8</definedName>
    <definedName name="TrFl1" localSheetId="7">'[38]5.1.7'!$K$7:$K$8</definedName>
    <definedName name="TrFl1" localSheetId="23">'[38]5.1.7'!$K$7:$K$8</definedName>
    <definedName name="TrFl1" localSheetId="28">'[39]5.1.7'!$K$7:$K$8</definedName>
    <definedName name="TrFl1" localSheetId="34">'[38]5.1.7'!$K$7:$K$8</definedName>
    <definedName name="TrFl1" localSheetId="35">'[38]5.1.7'!$K$7:$K$8</definedName>
    <definedName name="TrFl1" localSheetId="36">'[38]5.1.7'!$K$7:$K$8</definedName>
    <definedName name="TrFl1" localSheetId="37">'[38]5.1.7'!$K$7:$K$8</definedName>
    <definedName name="TrFl1" localSheetId="38">'[39]5.1.7'!$K$7:$K$8</definedName>
    <definedName name="TrFl1" localSheetId="39">'[39]5.1.7'!$K$7:$K$8</definedName>
    <definedName name="TrFl1" localSheetId="40">'[25]5.1.7'!$K$7:$K$8</definedName>
    <definedName name="TrFl1" localSheetId="41">'[25]5.1.7'!$K$7:$K$8</definedName>
    <definedName name="TrFl1" localSheetId="43">'[39]5.1.7'!$K$7:$K$8</definedName>
    <definedName name="TrFl1" localSheetId="44">'[39]5.1.7'!$K$7:$K$8</definedName>
    <definedName name="TrFl1" localSheetId="42">'[38]5.1.7'!$K$7:$K$8</definedName>
    <definedName name="TrFl1" localSheetId="49">'[26]5.1.7'!$K$7:$K$8</definedName>
    <definedName name="TrFl1" localSheetId="50">'[39]5.1.7'!$K$7:$K$8</definedName>
    <definedName name="TrFl1" localSheetId="51">'[27]5.1.7'!$K$7:$K$8</definedName>
    <definedName name="TrFl1" localSheetId="52">'[25]5.1.7'!$K$7:$K$8</definedName>
    <definedName name="TrFl1" localSheetId="59">'[25]5.1.7'!$K$7:$K$8</definedName>
    <definedName name="TrFl1" localSheetId="54">'[39]5.1.7'!$K$7:$K$8</definedName>
    <definedName name="TrFl1" localSheetId="58">'[39]5.1.7'!$K$7:$K$8</definedName>
    <definedName name="TrFl1" localSheetId="61">'[39]5.1.7'!$K$7:$K$8</definedName>
    <definedName name="TrFl1" localSheetId="63">'[26]5.1.7'!$K$7:$K$8</definedName>
    <definedName name="TrFl1" localSheetId="65">'[39]5.1.7'!$K$7:$K$8</definedName>
    <definedName name="TrFl1" localSheetId="66">'[25]5.1.7'!$K$7:$K$8</definedName>
    <definedName name="TrFl1" localSheetId="71">'[39]5.1.7'!$K$7:$K$8</definedName>
    <definedName name="TrFl1" localSheetId="72">'[39]5.1.7'!$K$7:$K$8</definedName>
    <definedName name="TrFl1" localSheetId="73">'[39]5.1.7'!$K$7:$K$8</definedName>
    <definedName name="TrFl1" localSheetId="67">'[39]5.1.7'!$K$7:$K$8</definedName>
    <definedName name="TrFl1" localSheetId="68">'[39]5.1.7'!$K$7:$K$8</definedName>
    <definedName name="TrFl1">'[28]5.1.7'!$K$7:$K$8</definedName>
    <definedName name="tufixt">#REF!</definedName>
    <definedName name="tule1">#REF!</definedName>
    <definedName name="tutype">#REF!</definedName>
    <definedName name="TWHr1" localSheetId="13">'[18]4.3.5'!$K$8:$K$10</definedName>
    <definedName name="TWHr1" localSheetId="7">'[18]4.3.5'!$K$8:$K$10</definedName>
    <definedName name="TWHr1" localSheetId="23">'4.3.8'!#REF!</definedName>
    <definedName name="TWHr1" localSheetId="28">'[22]4.3.5'!$B$65:$B$67</definedName>
    <definedName name="TWHr1" localSheetId="33">'[19]4.3.5'!$B$64:$B$66</definedName>
    <definedName name="TWHr1" localSheetId="34">'[18]4.3.5'!$K$8:$K$10</definedName>
    <definedName name="TWHr1" localSheetId="35">'[18]4.3.5'!$K$8:$K$10</definedName>
    <definedName name="TWHr1" localSheetId="36">'[18]4.3.5'!$K$8:$K$10</definedName>
    <definedName name="TWHr1" localSheetId="37">'4.4.38'!#REF!</definedName>
    <definedName name="TWHr1" localSheetId="38">'[22]4.3.5'!$B$65:$B$67</definedName>
    <definedName name="TWHr1" localSheetId="39">'[23]4.3.5'!$B$65:$B$67</definedName>
    <definedName name="TWHr1" localSheetId="40">'[20]4.3.5'!$B$63:$B$65</definedName>
    <definedName name="TWHr1" localSheetId="41">'[20]4.3.5'!$B$63:$B$65</definedName>
    <definedName name="TWHr1" localSheetId="43">'[22]4.3.5'!$B$65:$B$67</definedName>
    <definedName name="TWHr1" localSheetId="44">'[22]4.3.5'!$B$65:$B$67</definedName>
    <definedName name="TWHr1" localSheetId="42">'[18]4.3.5'!$K$8:$K$10</definedName>
    <definedName name="TWHr1" localSheetId="49">'[20]4.3.5'!$B$63:$B$65</definedName>
    <definedName name="TWHr1" localSheetId="50">'[20]4.3.5'!$B$63:$B$65</definedName>
    <definedName name="TWHr1" localSheetId="51">'[20]4.3.5'!$B$63:$B$65</definedName>
    <definedName name="TWHr1" localSheetId="52">'[20]4.3.5'!$B$63:$B$65</definedName>
    <definedName name="TWHr1" localSheetId="59">'[20]4.3.5'!$B$63:$B$65</definedName>
    <definedName name="TWHr1" localSheetId="54">'[20]4.3.5'!$B$63:$B$65</definedName>
    <definedName name="TWHr1" localSheetId="58">'[20]4.3.5'!$B$63:$B$65</definedName>
    <definedName name="TWHr1" localSheetId="61">'[20]4.3.5'!$B$63:$B$65</definedName>
    <definedName name="TWHr1" localSheetId="63">'[20]4.3.5'!$B$63:$B$65</definedName>
    <definedName name="TWHr1" localSheetId="65">'[20]4.3.5'!$B$63:$B$65</definedName>
    <definedName name="TWHr1" localSheetId="66">'[20]4.3.5'!$B$63:$B$65</definedName>
    <definedName name="TWHr1" localSheetId="71">'[20]4.3.5'!$B$63:$B$65</definedName>
    <definedName name="TWHr1" localSheetId="72">'[20]4.3.5'!$B$63:$B$65</definedName>
    <definedName name="TWHr1" localSheetId="73">'[20]4.3.5'!$B$63:$B$65</definedName>
    <definedName name="TWHr1" localSheetId="67">'[20]4.3.5'!$B$63:$B$65</definedName>
    <definedName name="TWHr1" localSheetId="70">'[19]4.3.5'!$B$64:$B$66</definedName>
    <definedName name="TWHr1" localSheetId="68">'[20]4.3.5'!$B$63:$B$65</definedName>
    <definedName name="TWHr1">'[19]4.3.5'!$B$63:$B$65</definedName>
    <definedName name="TWHr2" localSheetId="13">'[18]4.3.5'!$H$14:$H$16</definedName>
    <definedName name="TWHr2" localSheetId="7">'[18]4.3.5'!$H$14:$H$16</definedName>
    <definedName name="TWHr2" localSheetId="23">'4.3.8'!#REF!</definedName>
    <definedName name="TWHr2" localSheetId="28">'[22]4.3.5'!$A$53:$A$55</definedName>
    <definedName name="TWHr2" localSheetId="33">'[19]4.3.5'!$A$53:$A$55</definedName>
    <definedName name="TWHr2" localSheetId="34">'[18]4.3.5'!$H$14:$H$16</definedName>
    <definedName name="TWHr2" localSheetId="35">'[18]4.3.5'!$H$14:$H$16</definedName>
    <definedName name="TWHr2" localSheetId="36">'[18]4.3.5'!$H$14:$H$16</definedName>
    <definedName name="TWHr2" localSheetId="37">'4.4.38'!#REF!</definedName>
    <definedName name="TWHr2" localSheetId="38">'[22]4.3.5'!$A$53:$A$55</definedName>
    <definedName name="TWHr2" localSheetId="39">'[23]4.3.5'!$A$53:$A$55</definedName>
    <definedName name="TWHr2" localSheetId="40">'[20]4.3.5'!$A$52:$A$54</definedName>
    <definedName name="TWHr2" localSheetId="41">'[20]4.3.5'!$A$52:$A$54</definedName>
    <definedName name="TWHr2" localSheetId="43">'[22]4.3.5'!$A$53:$A$55</definedName>
    <definedName name="TWHr2" localSheetId="44">'[22]4.3.5'!$A$53:$A$55</definedName>
    <definedName name="TWHr2" localSheetId="42">'[18]4.3.5'!$H$14:$H$16</definedName>
    <definedName name="TWHr2" localSheetId="49">'[20]4.3.5'!$A$52:$A$54</definedName>
    <definedName name="TWHr2" localSheetId="50">'[20]4.3.5'!$A$52:$A$54</definedName>
    <definedName name="TWHr2" localSheetId="51">'[20]4.3.5'!$A$52:$A$54</definedName>
    <definedName name="TWHr2" localSheetId="52">'[20]4.3.5'!$A$52:$A$54</definedName>
    <definedName name="TWHr2" localSheetId="59">'[20]4.3.5'!$A$52:$A$54</definedName>
    <definedName name="TWHr2" localSheetId="54">'[20]4.3.5'!$A$52:$A$54</definedName>
    <definedName name="TWHr2" localSheetId="58">'[20]4.3.5'!$A$52:$A$54</definedName>
    <definedName name="TWHr2" localSheetId="61">'[20]4.3.5'!$A$52:$A$54</definedName>
    <definedName name="TWHr2" localSheetId="63">'[20]4.3.5'!$A$52:$A$54</definedName>
    <definedName name="TWHr2" localSheetId="65">'[20]4.3.5'!$A$52:$A$54</definedName>
    <definedName name="TWHr2" localSheetId="66">'[20]4.3.5'!$A$52:$A$54</definedName>
    <definedName name="TWHr2" localSheetId="71">'[20]4.3.5'!$A$52:$A$54</definedName>
    <definedName name="TWHr2" localSheetId="72">'[20]4.3.5'!$A$52:$A$54</definedName>
    <definedName name="TWHr2" localSheetId="73">'[20]4.3.5'!$A$52:$A$54</definedName>
    <definedName name="TWHr2" localSheetId="67">'[20]4.3.5'!$A$52:$A$54</definedName>
    <definedName name="TWHr2" localSheetId="70">'[19]4.3.5'!$A$53:$A$55</definedName>
    <definedName name="TWHr2" localSheetId="68">'[20]4.3.5'!$A$52:$A$54</definedName>
    <definedName name="TWHr2">'[19]4.3.5'!$A$52:$A$54</definedName>
    <definedName name="TWHr3" localSheetId="23">'4.3.8'!#REF!</definedName>
    <definedName name="TWHr3" localSheetId="37">'4.4.38'!#REF!</definedName>
    <definedName name="Unit1" localSheetId="13">'[9]5.6.1'!$I$36:$J$36</definedName>
    <definedName name="Unit1" localSheetId="7">'[9]5.6.1'!$I$36:$J$36</definedName>
    <definedName name="Unit1" localSheetId="23">'[9]5.6.1'!$I$36:$J$36</definedName>
    <definedName name="Unit1" localSheetId="28">'[10]5.6.1'!$I$36:$J$36</definedName>
    <definedName name="Unit1" localSheetId="33">'[10]5.6.1'!$I$36:$J$36</definedName>
    <definedName name="Unit1" localSheetId="34">'[9]5.6.1'!$I$36:$J$36</definedName>
    <definedName name="Unit1" localSheetId="35">'[9]5.6.1'!$I$36:$J$36</definedName>
    <definedName name="Unit1" localSheetId="36">'[9]5.6.1'!$I$36:$J$36</definedName>
    <definedName name="Unit1" localSheetId="37">'[9]5.6.1'!$I$36:$J$36</definedName>
    <definedName name="Unit1" localSheetId="38">'[10]5.6.1'!$I$36:$J$36</definedName>
    <definedName name="Unit1" localSheetId="39">'[10]5.6.1'!$I$36:$J$36</definedName>
    <definedName name="Unit1" localSheetId="40">'[10]5.6.1'!$I$36:$J$36</definedName>
    <definedName name="Unit1" localSheetId="41">'[10]5.6.1'!$I$36:$J$36</definedName>
    <definedName name="Unit1" localSheetId="43">'[10]5.6.1'!$I$36:$J$36</definedName>
    <definedName name="Unit1" localSheetId="44">'[10]5.6.1'!$I$36:$J$36</definedName>
    <definedName name="Unit1" localSheetId="42">'[9]5.6.1'!$I$36:$J$36</definedName>
    <definedName name="Unit1" localSheetId="49">'[10]5.6.1'!$I$36:$J$36</definedName>
    <definedName name="Unit1" localSheetId="50">'[11]5.6.1'!$I$120:$J$120</definedName>
    <definedName name="Unit1" localSheetId="51">'[10]5.6.1'!$I$36:$J$36</definedName>
    <definedName name="Unit1" localSheetId="52">'[10]5.6.1'!$I$36:$J$36</definedName>
    <definedName name="Unit1" localSheetId="45">'[10]5.6.1'!$I$36:$J$36</definedName>
    <definedName name="Unit1" localSheetId="47">'[12]5.6.1'!$I$36:$J$36</definedName>
    <definedName name="Unit1" localSheetId="53">'[10]5.6.1'!$I$36:$J$36</definedName>
    <definedName name="Unit1" localSheetId="59">'[10]5.6.1'!$I$36:$J$36</definedName>
    <definedName name="Unit1" localSheetId="54">'[13]5.6.1'!$I$109:$J$109</definedName>
    <definedName name="Unit1" localSheetId="57">'[10]5.6.1'!$I$36:$J$36</definedName>
    <definedName name="Unit1" localSheetId="58">'[11]5.6.1'!$I$120:$J$120</definedName>
    <definedName name="Unit1" localSheetId="61">'[11]5.6.1'!$I$111:$J$111</definedName>
    <definedName name="Unit1" localSheetId="63">'[10]5.6.1'!$I$36:$J$36</definedName>
    <definedName name="Unit1" localSheetId="65">'[11]5.6.1'!$I$120:$J$120</definedName>
    <definedName name="Unit1" localSheetId="66">'[10]5.6.1'!$I$36:$J$36</definedName>
    <definedName name="Unit1" localSheetId="72">'[11]5.6.1'!$I$111:$J$111</definedName>
    <definedName name="Unit1" localSheetId="73">'[11]5.6.1'!$I$111:$J$111</definedName>
    <definedName name="Unit1" localSheetId="70">'[10]5.6.1'!$I$36:$J$36</definedName>
    <definedName name="Unit1" localSheetId="68">'[11]5.6.1'!$I$111:$J$111</definedName>
    <definedName name="Unit1">'[14]5.6.1'!$I$109:$J$109</definedName>
    <definedName name="Units_of_Quantity">#REF!</definedName>
    <definedName name="Units_of_size">#REF!</definedName>
    <definedName name="usage">#REF!</definedName>
    <definedName name="Util_Prog_List">#REF!</definedName>
    <definedName name="utility_discount">'[29]GENERAL INPUTS'!$B$36</definedName>
    <definedName name="utype">#REF!</definedName>
    <definedName name="variable_OM">'[29]GENERAL INPUTS'!$B$23</definedName>
    <definedName name="VSDAC1" localSheetId="13">'[5]4.7.1'!$E$20:$E$23</definedName>
    <definedName name="VSDAC1" localSheetId="7">'[5]4.7.1'!$E$20:$E$23</definedName>
    <definedName name="VSDAC1" localSheetId="23">'[5]4.7.1'!$E$20:$E$23</definedName>
    <definedName name="VSDAC1" localSheetId="34">'[6]4.7.1'!$E$20:$E$23</definedName>
    <definedName name="VSDAC1" localSheetId="35">'[6]4.7.1'!$E$20:$E$23</definedName>
    <definedName name="VSDAC1" localSheetId="36">'[5]4.7.1'!$E$20:$E$23</definedName>
    <definedName name="VSDAC1" localSheetId="37">'[5]4.7.1'!$E$20:$E$23</definedName>
    <definedName name="VSDAC1" localSheetId="40">'[5]4.7.1'!$E$20:$E$23</definedName>
    <definedName name="VSDAC1" localSheetId="41">'[5]4.7.1'!$E$20:$E$23</definedName>
    <definedName name="VSDAC1" localSheetId="42">'[6]4.7.1'!$E$20:$E$23</definedName>
    <definedName name="VSDAC1">'[7]4.7.1'!$E$20:$E$23</definedName>
    <definedName name="VSDfH1" localSheetId="13">'[18]4.4.17'!$B$20:$B$25</definedName>
    <definedName name="VSDfH1" localSheetId="7">'[18]4.4.17'!$B$20:$B$25</definedName>
    <definedName name="VSDfH1" localSheetId="23">'[18]4.4.17'!$B$20:$B$25</definedName>
    <definedName name="VSDfH1" localSheetId="28">'[22]4.4.17'!$B$20:$B$25</definedName>
    <definedName name="VSDfH1" localSheetId="34">'[18]4.4.17'!$B$20:$B$25</definedName>
    <definedName name="VSDfH1" localSheetId="35">'[18]4.4.17'!$B$20:$B$25</definedName>
    <definedName name="VSDfH1" localSheetId="36">'[18]4.4.17'!$B$20:$B$25</definedName>
    <definedName name="VSDfH1" localSheetId="37">'[18]4.4.17'!$B$20:$B$25</definedName>
    <definedName name="VSDfH1" localSheetId="38">'[22]4.4.17'!$B$20:$B$25</definedName>
    <definedName name="VSDfH1" localSheetId="39">'[23]4.4.17'!$B$20:$B$25</definedName>
    <definedName name="VSDfH1" localSheetId="40">'[20]4.4.17'!$B$20:$B$25</definedName>
    <definedName name="VSDfH1" localSheetId="41">'[20]4.4.17'!$B$20:$B$25</definedName>
    <definedName name="VSDfH1" localSheetId="43">'[22]4.4.17'!$B$20:$B$25</definedName>
    <definedName name="VSDfH1" localSheetId="44">'[22]4.4.17'!$B$20:$B$25</definedName>
    <definedName name="VSDfH1" localSheetId="42">'[18]4.4.17'!$B$20:$B$25</definedName>
    <definedName name="VSDfH1" localSheetId="49">'[20]4.4.17'!$B$20:$B$25</definedName>
    <definedName name="VSDfH1" localSheetId="50">'[20]4.4.17'!$B$20:$B$25</definedName>
    <definedName name="VSDfH1" localSheetId="51">'[20]4.4.17'!$B$20:$B$25</definedName>
    <definedName name="VSDfH1" localSheetId="52">'[20]4.4.17'!$B$20:$B$25</definedName>
    <definedName name="VSDfH1" localSheetId="59">'[20]4.4.17'!$B$20:$B$25</definedName>
    <definedName name="VSDfH1" localSheetId="54">'[20]4.4.17'!$B$20:$B$25</definedName>
    <definedName name="VSDfH1" localSheetId="58">'[20]4.4.17'!$B$20:$B$25</definedName>
    <definedName name="VSDfH1" localSheetId="61">'[20]4.4.17'!$B$20:$B$25</definedName>
    <definedName name="VSDfH1" localSheetId="63">'[20]4.4.17'!$B$20:$B$25</definedName>
    <definedName name="VSDfH1" localSheetId="65">'[20]4.4.17'!$B$20:$B$25</definedName>
    <definedName name="VSDfH1" localSheetId="66">'[20]4.4.17'!$B$20:$B$25</definedName>
    <definedName name="VSDfH1" localSheetId="71">'[20]4.4.17'!$B$20:$B$25</definedName>
    <definedName name="VSDfH1" localSheetId="72">'[20]4.4.17'!$B$20:$B$25</definedName>
    <definedName name="VSDfH1" localSheetId="73">'[20]4.4.17'!$B$20:$B$25</definedName>
    <definedName name="VSDfH1" localSheetId="67">'[20]4.4.17'!$B$20:$B$25</definedName>
    <definedName name="VSDfH1" localSheetId="68">'[20]4.4.17'!$B$20:$B$25</definedName>
    <definedName name="VSDfH1">'[19]4.4.17'!$B$20:$B$25</definedName>
    <definedName name="VSDfH2" localSheetId="13">'[18]4.4.17'!$A$29:$A$30</definedName>
    <definedName name="VSDfH2" localSheetId="7">'[18]4.4.17'!$A$29:$A$30</definedName>
    <definedName name="VSDfH2" localSheetId="23">'[18]4.4.17'!$A$29:$A$30</definedName>
    <definedName name="VSDfH2" localSheetId="28">'[22]4.4.17'!$A$29:$A$30</definedName>
    <definedName name="VSDfH2" localSheetId="34">'[18]4.4.17'!$A$29:$A$30</definedName>
    <definedName name="VSDfH2" localSheetId="35">'[18]4.4.17'!$A$29:$A$30</definedName>
    <definedName name="VSDfH2" localSheetId="36">'[18]4.4.17'!$A$29:$A$30</definedName>
    <definedName name="VSDfH2" localSheetId="37">'[18]4.4.17'!$A$29:$A$30</definedName>
    <definedName name="VSDfH2" localSheetId="38">'[22]4.4.17'!$A$29:$A$30</definedName>
    <definedName name="VSDfH2" localSheetId="39">'[23]4.4.17'!$A$29:$A$30</definedName>
    <definedName name="VSDfH2" localSheetId="40">'[20]4.4.17'!$A$29:$A$30</definedName>
    <definedName name="VSDfH2" localSheetId="41">'[20]4.4.17'!$A$29:$A$30</definedName>
    <definedName name="VSDfH2" localSheetId="43">'[22]4.4.17'!$A$29:$A$30</definedName>
    <definedName name="VSDfH2" localSheetId="44">'[22]4.4.17'!$A$29:$A$30</definedName>
    <definedName name="VSDfH2" localSheetId="42">'[18]4.4.17'!$A$29:$A$30</definedName>
    <definedName name="VSDfH2" localSheetId="49">'[20]4.4.17'!$A$29:$A$30</definedName>
    <definedName name="VSDfH2" localSheetId="50">'[20]4.4.17'!$A$29:$A$30</definedName>
    <definedName name="VSDfH2" localSheetId="51">'[20]4.4.17'!$A$29:$A$30</definedName>
    <definedName name="VSDfH2" localSheetId="52">'[20]4.4.17'!$A$29:$A$30</definedName>
    <definedName name="VSDfH2" localSheetId="59">'[20]4.4.17'!$A$29:$A$30</definedName>
    <definedName name="VSDfH2" localSheetId="54">'[20]4.4.17'!$A$29:$A$30</definedName>
    <definedName name="VSDfH2" localSheetId="58">'[20]4.4.17'!$A$29:$A$30</definedName>
    <definedName name="VSDfH2" localSheetId="61">'[20]4.4.17'!$A$29:$A$30</definedName>
    <definedName name="VSDfH2" localSheetId="63">'[20]4.4.17'!$A$29:$A$30</definedName>
    <definedName name="VSDfH2" localSheetId="65">'[20]4.4.17'!$A$29:$A$30</definedName>
    <definedName name="VSDfH2" localSheetId="66">'[20]4.4.17'!$A$29:$A$30</definedName>
    <definedName name="VSDfH2" localSheetId="71">'[20]4.4.17'!$A$29:$A$30</definedName>
    <definedName name="VSDfH2" localSheetId="72">'[20]4.4.17'!$A$29:$A$30</definedName>
    <definedName name="VSDfH2" localSheetId="73">'[20]4.4.17'!$A$29:$A$30</definedName>
    <definedName name="VSDfH2" localSheetId="67">'[20]4.4.17'!$A$29:$A$30</definedName>
    <definedName name="VSDfH2" localSheetId="68">'[20]4.4.17'!$A$29:$A$30</definedName>
    <definedName name="VSDfH2">'[19]4.4.17'!$A$29:$A$30</definedName>
    <definedName name="VSDfH3" localSheetId="13">'[18]4.4.17'!$D$29:$D$33</definedName>
    <definedName name="VSDfH3" localSheetId="7">'[18]4.4.17'!$D$29:$D$33</definedName>
    <definedName name="VSDfH3" localSheetId="23">'[18]4.4.17'!$D$29:$D$33</definedName>
    <definedName name="VSDfH3" localSheetId="28">'[22]4.4.17'!$D$29:$D$33</definedName>
    <definedName name="VSDfH3" localSheetId="34">'[18]4.4.17'!$D$29:$D$33</definedName>
    <definedName name="VSDfH3" localSheetId="35">'[18]4.4.17'!$D$29:$D$33</definedName>
    <definedName name="VSDfH3" localSheetId="36">'[18]4.4.17'!$D$29:$D$33</definedName>
    <definedName name="VSDfH3" localSheetId="37">'[18]4.4.17'!$D$29:$D$33</definedName>
    <definedName name="VSDfH3" localSheetId="38">'[22]4.4.17'!$D$29:$D$33</definedName>
    <definedName name="VSDfH3" localSheetId="39">'[23]4.4.17'!$D$29:$D$33</definedName>
    <definedName name="VSDfH3" localSheetId="40">'[20]4.4.17'!$D$29:$D$33</definedName>
    <definedName name="VSDfH3" localSheetId="41">'[20]4.4.17'!$D$29:$D$33</definedName>
    <definedName name="VSDfH3" localSheetId="43">'[22]4.4.17'!$D$29:$D$33</definedName>
    <definedName name="VSDfH3" localSheetId="44">'[22]4.4.17'!$D$29:$D$33</definedName>
    <definedName name="VSDfH3" localSheetId="42">'[18]4.4.17'!$D$29:$D$33</definedName>
    <definedName name="VSDfH3" localSheetId="49">'[20]4.4.17'!$D$29:$D$33</definedName>
    <definedName name="VSDfH3" localSheetId="50">'[20]4.4.17'!$D$29:$D$33</definedName>
    <definedName name="VSDfH3" localSheetId="51">'[20]4.4.17'!$D$29:$D$33</definedName>
    <definedName name="VSDfH3" localSheetId="52">'[20]4.4.17'!$D$29:$D$33</definedName>
    <definedName name="VSDfH3" localSheetId="59">'[20]4.4.17'!$D$29:$D$33</definedName>
    <definedName name="VSDfH3" localSheetId="54">'[20]4.4.17'!$D$29:$D$33</definedName>
    <definedName name="VSDfH3" localSheetId="58">'[20]4.4.17'!$D$29:$D$33</definedName>
    <definedName name="VSDfH3" localSheetId="61">'[20]4.4.17'!$D$29:$D$33</definedName>
    <definedName name="VSDfH3" localSheetId="63">'[20]4.4.17'!$D$29:$D$33</definedName>
    <definedName name="VSDfH3" localSheetId="65">'[20]4.4.17'!$D$29:$D$33</definedName>
    <definedName name="VSDfH3" localSheetId="66">'[20]4.4.17'!$D$29:$D$33</definedName>
    <definedName name="VSDfH3" localSheetId="71">'[20]4.4.17'!$D$29:$D$33</definedName>
    <definedName name="VSDfH3" localSheetId="72">'[20]4.4.17'!$D$29:$D$33</definedName>
    <definedName name="VSDfH3" localSheetId="73">'[20]4.4.17'!$D$29:$D$33</definedName>
    <definedName name="VSDfH3" localSheetId="67">'[20]4.4.17'!$D$29:$D$33</definedName>
    <definedName name="VSDfH3" localSheetId="68">'[20]4.4.17'!$D$29:$D$33</definedName>
    <definedName name="VSDfH3">'[19]4.4.17'!$D$29:$D$33</definedName>
    <definedName name="VSDfH4" localSheetId="13">'[18]4.4.17'!$L$8:$L$15</definedName>
    <definedName name="VSDfH4" localSheetId="7">'[18]4.4.17'!$L$8:$L$15</definedName>
    <definedName name="VSDfH4" localSheetId="23">'[18]4.4.17'!$L$8:$L$15</definedName>
    <definedName name="VSDfH4" localSheetId="28">'[22]4.4.17'!$L$8:$L$15</definedName>
    <definedName name="VSDfH4" localSheetId="34">'[18]4.4.17'!$L$8:$L$15</definedName>
    <definedName name="VSDfH4" localSheetId="35">'[18]4.4.17'!$L$8:$L$15</definedName>
    <definedName name="VSDfH4" localSheetId="36">'[18]4.4.17'!$L$8:$L$15</definedName>
    <definedName name="VSDfH4" localSheetId="37">'[18]4.4.17'!$L$8:$L$15</definedName>
    <definedName name="VSDfH4" localSheetId="38">'[22]4.4.17'!$L$8:$L$15</definedName>
    <definedName name="VSDfH4" localSheetId="39">'[23]4.4.17'!$L$8:$L$15</definedName>
    <definedName name="VSDfH4" localSheetId="40">'[20]4.4.17'!$L$8:$L$15</definedName>
    <definedName name="VSDfH4" localSheetId="41">'[20]4.4.17'!$L$8:$L$15</definedName>
    <definedName name="VSDfH4" localSheetId="43">'[22]4.4.17'!$L$8:$L$15</definedName>
    <definedName name="VSDfH4" localSheetId="44">'[22]4.4.17'!$L$8:$L$15</definedName>
    <definedName name="VSDfH4" localSheetId="42">'[18]4.4.17'!$L$8:$L$15</definedName>
    <definedName name="VSDfH4" localSheetId="49">'[20]4.4.17'!$L$8:$L$15</definedName>
    <definedName name="VSDfH4" localSheetId="50">'[20]4.4.17'!$L$8:$L$15</definedName>
    <definedName name="VSDfH4" localSheetId="51">'[20]4.4.17'!$L$8:$L$15</definedName>
    <definedName name="VSDfH4" localSheetId="52">'[20]4.4.17'!$L$8:$L$15</definedName>
    <definedName name="VSDfH4" localSheetId="59">'[20]4.4.17'!$L$8:$L$15</definedName>
    <definedName name="VSDfH4" localSheetId="54">'[20]4.4.17'!$L$8:$L$15</definedName>
    <definedName name="VSDfH4" localSheetId="58">'[20]4.4.17'!$L$8:$L$15</definedName>
    <definedName name="VSDfH4" localSheetId="61">'[20]4.4.17'!$L$8:$L$15</definedName>
    <definedName name="VSDfH4" localSheetId="63">'[20]4.4.17'!$L$8:$L$15</definedName>
    <definedName name="VSDfH4" localSheetId="65">'[20]4.4.17'!$L$8:$L$15</definedName>
    <definedName name="VSDfH4" localSheetId="66">'[20]4.4.17'!$L$8:$L$15</definedName>
    <definedName name="VSDfH4" localSheetId="71">'[20]4.4.17'!$L$8:$L$15</definedName>
    <definedName name="VSDfH4" localSheetId="72">'[20]4.4.17'!$L$8:$L$15</definedName>
    <definedName name="VSDfH4" localSheetId="73">'[20]4.4.17'!$L$8:$L$15</definedName>
    <definedName name="VSDfH4" localSheetId="67">'[20]4.4.17'!$L$8:$L$15</definedName>
    <definedName name="VSDfH4" localSheetId="68">'[20]4.4.17'!$L$8:$L$15</definedName>
    <definedName name="VSDfH4">'[19]4.4.17'!$L$8:$L$15</definedName>
    <definedName name="VSDfH5" localSheetId="13">'[18]4.4.17'!$A$37:$A$48</definedName>
    <definedName name="VSDfH5" localSheetId="7">'[18]4.4.17'!$A$37:$A$48</definedName>
    <definedName name="VSDfH5" localSheetId="23">'[18]4.4.17'!$A$37:$A$48</definedName>
    <definedName name="VSDfH5" localSheetId="28">'[22]4.4.17'!$A$37:$A$48</definedName>
    <definedName name="VSDfH5" localSheetId="34">'[18]4.4.17'!$A$37:$A$48</definedName>
    <definedName name="VSDfH5" localSheetId="35">'[18]4.4.17'!$A$37:$A$48</definedName>
    <definedName name="VSDfH5" localSheetId="36">'[18]4.4.17'!$A$37:$A$48</definedName>
    <definedName name="VSDfH5" localSheetId="37">'[18]4.4.17'!$A$37:$A$48</definedName>
    <definedName name="VSDfH5" localSheetId="38">'[22]4.4.17'!$A$37:$A$48</definedName>
    <definedName name="VSDfH5" localSheetId="39">'[23]4.4.17'!$A$37:$A$48</definedName>
    <definedName name="VSDfH5" localSheetId="40">'[20]4.4.17'!$A$37:$A$48</definedName>
    <definedName name="VSDfH5" localSheetId="41">'[20]4.4.17'!$A$37:$A$48</definedName>
    <definedName name="VSDfH5" localSheetId="43">'[22]4.4.17'!$A$37:$A$48</definedName>
    <definedName name="VSDfH5" localSheetId="44">'[22]4.4.17'!$A$37:$A$48</definedName>
    <definedName name="VSDfH5" localSheetId="42">'[18]4.4.17'!$A$37:$A$48</definedName>
    <definedName name="VSDfH5" localSheetId="49">'[20]4.4.17'!$A$37:$A$48</definedName>
    <definedName name="VSDfH5" localSheetId="50">'[20]4.4.17'!$A$37:$A$48</definedName>
    <definedName name="VSDfH5" localSheetId="51">'[20]4.4.17'!$A$37:$A$48</definedName>
    <definedName name="VSDfH5" localSheetId="52">'[20]4.4.17'!$A$37:$A$48</definedName>
    <definedName name="VSDfH5" localSheetId="59">'[20]4.4.17'!$A$37:$A$48</definedName>
    <definedName name="VSDfH5" localSheetId="54">'[20]4.4.17'!$A$37:$A$48</definedName>
    <definedName name="VSDfH5" localSheetId="58">'[20]4.4.17'!$A$37:$A$48</definedName>
    <definedName name="VSDfH5" localSheetId="61">'[20]4.4.17'!$A$37:$A$48</definedName>
    <definedName name="VSDfH5" localSheetId="63">'[20]4.4.17'!$A$37:$A$48</definedName>
    <definedName name="VSDfH5" localSheetId="65">'[20]4.4.17'!$A$37:$A$48</definedName>
    <definedName name="VSDfH5" localSheetId="66">'[20]4.4.17'!$A$37:$A$48</definedName>
    <definedName name="VSDfH5" localSheetId="71">'[20]4.4.17'!$A$37:$A$48</definedName>
    <definedName name="VSDfH5" localSheetId="72">'[20]4.4.17'!$A$37:$A$48</definedName>
    <definedName name="VSDfH5" localSheetId="73">'[20]4.4.17'!$A$37:$A$48</definedName>
    <definedName name="VSDfH5" localSheetId="67">'[20]4.4.17'!$A$37:$A$48</definedName>
    <definedName name="VSDfH5" localSheetId="68">'[20]4.4.17'!$A$37:$A$48</definedName>
    <definedName name="VSDfH5">'[19]4.4.17'!$A$37:$A$48</definedName>
    <definedName name="WACC" localSheetId="13">[5]Input_Data!$D$8</definedName>
    <definedName name="WACC" localSheetId="7">[5]Input_Data!$D$8</definedName>
    <definedName name="WACC" localSheetId="23">[18]Input_Data!$D$8</definedName>
    <definedName name="WACC" localSheetId="28">[22]Input_Data!$D$8</definedName>
    <definedName name="WACC" localSheetId="33">[19]Input_Data!$D$8</definedName>
    <definedName name="WACC" localSheetId="34">[6]Input_Data!$D$8</definedName>
    <definedName name="WACC" localSheetId="35">[6]Input_Data!$D$8</definedName>
    <definedName name="WACC" localSheetId="36">[18]Input_Data!$D$8</definedName>
    <definedName name="WACC" localSheetId="37">[18]Input_Data!$D$8</definedName>
    <definedName name="WACC" localSheetId="38">[22]Input_Data!$D$8</definedName>
    <definedName name="WACC" localSheetId="39">[23]Input_Data!$D$8</definedName>
    <definedName name="WACC" localSheetId="40">[25]Input_Data!$D$8</definedName>
    <definedName name="WACC" localSheetId="41">[25]Input_Data!$D$8</definedName>
    <definedName name="WACC" localSheetId="43">[22]Input_Data!$D$8</definedName>
    <definedName name="WACC" localSheetId="44">[22]Input_Data!$D$8</definedName>
    <definedName name="WACC" localSheetId="42">[6]Input_Data!$D$8</definedName>
    <definedName name="WACC" localSheetId="49">[26]Input_Data!$D$8</definedName>
    <definedName name="WACC" localSheetId="50">[11]Input_Data!$D$8</definedName>
    <definedName name="WACC" localSheetId="51">[27]Input_Data!$D$8</definedName>
    <definedName name="WACC" localSheetId="52">[25]Input_Data!$D$8</definedName>
    <definedName name="WACC" localSheetId="45">[28]Input_Data!$D$8</definedName>
    <definedName name="WACC" localSheetId="47">[12]Input_Data!$D$8</definedName>
    <definedName name="WACC" localSheetId="53">[28]Input_Data!$D$8</definedName>
    <definedName name="WACC" localSheetId="59">[25]Input_Data!$D$8</definedName>
    <definedName name="WACC" localSheetId="54">[13]Input_Data!$D$8</definedName>
    <definedName name="WACC" localSheetId="57">[28]Input_Data!$D$8</definedName>
    <definedName name="WACC" localSheetId="58">[11]Input_Data!$D$8</definedName>
    <definedName name="WACC" localSheetId="61">[44]Input_Data!$D$8</definedName>
    <definedName name="WACC" localSheetId="63">[26]Input_Data!$D$8</definedName>
    <definedName name="WACC" localSheetId="65">[11]Input_Data!$D$8</definedName>
    <definedName name="WACC" localSheetId="66">[25]Input_Data!$D$8</definedName>
    <definedName name="WACC" localSheetId="72">[44]Input_Data!$D$8</definedName>
    <definedName name="WACC" localSheetId="73">[44]Input_Data!$D$8</definedName>
    <definedName name="WACC" localSheetId="70">[19]Input_Data!$D$8</definedName>
    <definedName name="WACC" localSheetId="68">[44]Input_Data!$D$8</definedName>
    <definedName name="WACC">[14]Input_Data!$D$8</definedName>
    <definedName name="Weather_Zones" localSheetId="61">#REF!</definedName>
    <definedName name="Weather_Zones" localSheetId="72">#REF!</definedName>
    <definedName name="Weather_Zones" localSheetId="73">#REF!</definedName>
    <definedName name="Weather_Zones" localSheetId="67">#REF!</definedName>
    <definedName name="Weather_Zones" localSheetId="2">#REF!</definedName>
    <definedName name="Weather_Zones" localSheetId="68">#REF!</definedName>
    <definedName name="Weather_Zones">#REF!</definedName>
    <definedName name="WHWp1" localSheetId="13">'[38]5.4.7'!$F$7:$F$8</definedName>
    <definedName name="WHWp1" localSheetId="7">'[38]5.4.7'!$F$7:$F$8</definedName>
    <definedName name="WHWp1" localSheetId="23">'[38]5.4.7'!$F$7:$F$8</definedName>
    <definedName name="WHWp1" localSheetId="28">'[39]5.4.7'!$F$7:$F$8</definedName>
    <definedName name="WHWp1" localSheetId="34">'[38]5.4.7'!$F$7:$F$8</definedName>
    <definedName name="WHWp1" localSheetId="35">'[38]5.4.7'!$F$7:$F$8</definedName>
    <definedName name="WHWp1" localSheetId="36">'[38]5.4.7'!$F$7:$F$8</definedName>
    <definedName name="WHWp1" localSheetId="37">'[38]5.4.7'!$F$7:$F$8</definedName>
    <definedName name="WHWp1" localSheetId="38">'[39]5.4.7'!$F$7:$F$8</definedName>
    <definedName name="WHWp1" localSheetId="39">'[39]5.4.7'!$F$7:$F$8</definedName>
    <definedName name="WHWp1" localSheetId="40">'[25]5.4.7'!$F$7:$F$8</definedName>
    <definedName name="WHWp1" localSheetId="41">'[25]5.4.7'!$F$7:$F$8</definedName>
    <definedName name="WHWp1" localSheetId="43">'[39]5.4.7'!$F$7:$F$8</definedName>
    <definedName name="WHWp1" localSheetId="44">'[39]5.4.7'!$F$7:$F$8</definedName>
    <definedName name="WHWp1" localSheetId="42">'[38]5.4.7'!$F$7:$F$8</definedName>
    <definedName name="WHWp1" localSheetId="49">'[26]5.4.7'!$F$7:$F$8</definedName>
    <definedName name="WHWp1" localSheetId="50">'[39]5.4.7'!$F$7:$F$8</definedName>
    <definedName name="WHWp1" localSheetId="51">'[27]5.4.7'!$F$7:$F$8</definedName>
    <definedName name="WHWp1" localSheetId="52">'[25]5.4.7'!$F$7:$F$8</definedName>
    <definedName name="WHWp1" localSheetId="59">'[25]5.4.7'!$F$7:$F$8</definedName>
    <definedName name="WHWp1" localSheetId="54">'[39]5.4.7'!$F$7:$F$8</definedName>
    <definedName name="WHWp1" localSheetId="58">'[39]5.4.7'!$F$7:$F$8</definedName>
    <definedName name="WHWp1" localSheetId="61">'[39]5.4.7'!$F$7:$F$8</definedName>
    <definedName name="WHWp1" localSheetId="63">'[26]5.4.7'!$F$7:$F$8</definedName>
    <definedName name="WHWp1" localSheetId="65">'[39]5.4.7'!$F$7:$F$8</definedName>
    <definedName name="WHWp1" localSheetId="66">'[25]5.4.7'!$F$7:$F$8</definedName>
    <definedName name="WHWp1" localSheetId="71">'[39]5.4.7'!$F$7:$F$8</definedName>
    <definedName name="WHWp1" localSheetId="72">'[39]5.4.7'!$F$7:$F$8</definedName>
    <definedName name="WHWp1" localSheetId="73">'[39]5.4.7'!$F$7:$F$8</definedName>
    <definedName name="WHWp1" localSheetId="67">'[39]5.4.7'!$F$7:$F$8</definedName>
    <definedName name="WHWp1" localSheetId="68">'[39]5.4.7'!$F$7:$F$8</definedName>
    <definedName name="WHWp1">'[28]5.4.7'!$F$7:$F$8</definedName>
    <definedName name="WHWp2" localSheetId="13">'[38]5.4.7'!$B$14:$B$17</definedName>
    <definedName name="WHWp2" localSheetId="7">'[38]5.4.7'!$B$14:$B$17</definedName>
    <definedName name="WHWp2" localSheetId="23">'[38]5.4.7'!$B$14:$B$17</definedName>
    <definedName name="WHWp2" localSheetId="28">'[39]5.4.7'!$B$14:$B$17</definedName>
    <definedName name="WHWp2" localSheetId="34">'[38]5.4.7'!$B$14:$B$17</definedName>
    <definedName name="WHWp2" localSheetId="35">'[38]5.4.7'!$B$14:$B$17</definedName>
    <definedName name="WHWp2" localSheetId="36">'[38]5.4.7'!$B$14:$B$17</definedName>
    <definedName name="WHWp2" localSheetId="37">'[38]5.4.7'!$B$14:$B$17</definedName>
    <definedName name="WHWp2" localSheetId="38">'[39]5.4.7'!$B$14:$B$17</definedName>
    <definedName name="WHWp2" localSheetId="39">'[39]5.4.7'!$B$14:$B$17</definedName>
    <definedName name="WHWp2" localSheetId="40">'[25]5.4.7'!$B$14:$B$17</definedName>
    <definedName name="WHWp2" localSheetId="41">'[25]5.4.7'!$B$14:$B$17</definedName>
    <definedName name="WHWp2" localSheetId="43">'[39]5.4.7'!$B$14:$B$17</definedName>
    <definedName name="WHWp2" localSheetId="44">'[39]5.4.7'!$B$14:$B$17</definedName>
    <definedName name="WHWp2" localSheetId="42">'[38]5.4.7'!$B$14:$B$17</definedName>
    <definedName name="WHWp2" localSheetId="49">'[26]5.4.7'!$B$14:$B$17</definedName>
    <definedName name="WHWp2" localSheetId="50">'[39]5.4.7'!$B$14:$B$17</definedName>
    <definedName name="WHWp2" localSheetId="51">'[27]5.4.7'!$B$14:$B$17</definedName>
    <definedName name="WHWp2" localSheetId="52">'[25]5.4.7'!$B$14:$B$17</definedName>
    <definedName name="WHWp2" localSheetId="59">'[25]5.4.7'!$B$14:$B$17</definedName>
    <definedName name="WHWp2" localSheetId="54">'[39]5.4.7'!$B$14:$B$17</definedName>
    <definedName name="WHWp2" localSheetId="58">'[39]5.4.7'!$B$14:$B$17</definedName>
    <definedName name="WHWp2" localSheetId="61">'[39]5.4.7'!$B$14:$B$17</definedName>
    <definedName name="WHWp2" localSheetId="63">'[26]5.4.7'!$B$14:$B$17</definedName>
    <definedName name="WHWp2" localSheetId="65">'[39]5.4.7'!$B$14:$B$17</definedName>
    <definedName name="WHWp2" localSheetId="66">'[25]5.4.7'!$B$14:$B$17</definedName>
    <definedName name="WHWp2" localSheetId="71">'[39]5.4.7'!$B$14:$B$17</definedName>
    <definedName name="WHWp2" localSheetId="72">'[39]5.4.7'!$B$14:$B$17</definedName>
    <definedName name="WHWp2" localSheetId="73">'[39]5.4.7'!$B$14:$B$17</definedName>
    <definedName name="WHWp2" localSheetId="67">'[39]5.4.7'!$B$14:$B$17</definedName>
    <definedName name="WHWp2" localSheetId="68">'[39]5.4.7'!$B$14:$B$17</definedName>
    <definedName name="WHWp2">'[28]5.4.7'!$B$14:$B$17</definedName>
    <definedName name="WHWp3" localSheetId="13">'[38]5.4.7'!$C$14:$C$16</definedName>
    <definedName name="WHWp3" localSheetId="7">'[38]5.4.7'!$C$14:$C$16</definedName>
    <definedName name="WHWp3" localSheetId="23">'[38]5.4.7'!$C$14:$C$16</definedName>
    <definedName name="WHWp3" localSheetId="28">'[39]5.4.7'!$C$14:$C$16</definedName>
    <definedName name="WHWp3" localSheetId="34">'[38]5.4.7'!$C$14:$C$16</definedName>
    <definedName name="WHWp3" localSheetId="35">'[38]5.4.7'!$C$14:$C$16</definedName>
    <definedName name="WHWp3" localSheetId="36">'[38]5.4.7'!$C$14:$C$16</definedName>
    <definedName name="WHWp3" localSheetId="37">'[38]5.4.7'!$C$14:$C$16</definedName>
    <definedName name="WHWp3" localSheetId="38">'[39]5.4.7'!$C$14:$C$16</definedName>
    <definedName name="WHWp3" localSheetId="39">'[39]5.4.7'!$C$14:$C$16</definedName>
    <definedName name="WHWp3" localSheetId="40">'[25]5.4.7'!$C$14:$C$16</definedName>
    <definedName name="WHWp3" localSheetId="41">'[25]5.4.7'!$C$14:$C$16</definedName>
    <definedName name="WHWp3" localSheetId="43">'[39]5.4.7'!$C$14:$C$16</definedName>
    <definedName name="WHWp3" localSheetId="44">'[39]5.4.7'!$C$14:$C$16</definedName>
    <definedName name="WHWp3" localSheetId="42">'[38]5.4.7'!$C$14:$C$16</definedName>
    <definedName name="WHWp3" localSheetId="49">'[26]5.4.7'!$C$14:$C$16</definedName>
    <definedName name="WHWp3" localSheetId="50">'[39]5.4.7'!$C$14:$C$16</definedName>
    <definedName name="WHWp3" localSheetId="51">'[27]5.4.7'!$C$14:$C$16</definedName>
    <definedName name="WHWp3" localSheetId="52">'[25]5.4.7'!$C$14:$C$16</definedName>
    <definedName name="WHWp3" localSheetId="59">'[25]5.4.7'!$C$14:$C$16</definedName>
    <definedName name="WHWp3" localSheetId="54">'[39]5.4.7'!$C$14:$C$16</definedName>
    <definedName name="WHWp3" localSheetId="58">'[39]5.4.7'!$C$14:$C$16</definedName>
    <definedName name="WHWp3" localSheetId="61">'[39]5.4.7'!$C$14:$C$16</definedName>
    <definedName name="WHWp3" localSheetId="63">'[26]5.4.7'!$C$14:$C$16</definedName>
    <definedName name="WHWp3" localSheetId="65">'[39]5.4.7'!$C$14:$C$16</definedName>
    <definedName name="WHWp3" localSheetId="66">'[25]5.4.7'!$C$14:$C$16</definedName>
    <definedName name="WHWp3" localSheetId="71">'[39]5.4.7'!$C$14:$C$16</definedName>
    <definedName name="WHWp3" localSheetId="72">'[39]5.4.7'!$C$14:$C$16</definedName>
    <definedName name="WHWp3" localSheetId="73">'[39]5.4.7'!$C$14:$C$16</definedName>
    <definedName name="WHWp3" localSheetId="67">'[39]5.4.7'!$C$14:$C$16</definedName>
    <definedName name="WHWp3" localSheetId="68">'[39]5.4.7'!$C$14:$C$16</definedName>
    <definedName name="WHWp3">'[28]5.4.7'!$C$14:$C$16</definedName>
    <definedName name="WHWp4" localSheetId="13">'[38]5.4.7'!$D$14:$D$17</definedName>
    <definedName name="WHWp4" localSheetId="7">'[38]5.4.7'!$D$14:$D$17</definedName>
    <definedName name="WHWp4" localSheetId="23">'[38]5.4.7'!$D$14:$D$17</definedName>
    <definedName name="WHWp4" localSheetId="28">'[39]5.4.7'!$D$14:$D$17</definedName>
    <definedName name="WHWp4" localSheetId="34">'[38]5.4.7'!$D$14:$D$17</definedName>
    <definedName name="WHWp4" localSheetId="35">'[38]5.4.7'!$D$14:$D$17</definedName>
    <definedName name="WHWp4" localSheetId="36">'[38]5.4.7'!$D$14:$D$17</definedName>
    <definedName name="WHWp4" localSheetId="37">'[38]5.4.7'!$D$14:$D$17</definedName>
    <definedName name="WHWp4" localSheetId="38">'[39]5.4.7'!$D$14:$D$17</definedName>
    <definedName name="WHWp4" localSheetId="39">'[39]5.4.7'!$D$14:$D$17</definedName>
    <definedName name="WHWp4" localSheetId="40">'[25]5.4.7'!$D$14:$D$17</definedName>
    <definedName name="WHWp4" localSheetId="41">'[25]5.4.7'!$D$14:$D$17</definedName>
    <definedName name="WHWp4" localSheetId="43">'[39]5.4.7'!$D$14:$D$17</definedName>
    <definedName name="WHWp4" localSheetId="44">'[39]5.4.7'!$D$14:$D$17</definedName>
    <definedName name="WHWp4" localSheetId="42">'[38]5.4.7'!$D$14:$D$17</definedName>
    <definedName name="WHWp4" localSheetId="49">'[26]5.4.7'!$D$14:$D$17</definedName>
    <definedName name="WHWp4" localSheetId="50">'[39]5.4.7'!$D$14:$D$17</definedName>
    <definedName name="WHWp4" localSheetId="51">'[27]5.4.7'!$D$14:$D$17</definedName>
    <definedName name="WHWp4" localSheetId="52">'[25]5.4.7'!$D$14:$D$17</definedName>
    <definedName name="WHWp4" localSheetId="59">'[25]5.4.7'!$D$14:$D$17</definedName>
    <definedName name="WHWp4" localSheetId="54">'[39]5.4.7'!$D$14:$D$17</definedName>
    <definedName name="WHWp4" localSheetId="58">'[39]5.4.7'!$D$14:$D$17</definedName>
    <definedName name="WHWp4" localSheetId="61">'[39]5.4.7'!$D$14:$D$17</definedName>
    <definedName name="WHWp4" localSheetId="63">'[26]5.4.7'!$D$14:$D$17</definedName>
    <definedName name="WHWp4" localSheetId="65">'[39]5.4.7'!$D$14:$D$17</definedName>
    <definedName name="WHWp4" localSheetId="66">'[25]5.4.7'!$D$14:$D$17</definedName>
    <definedName name="WHWp4" localSheetId="71">'[39]5.4.7'!$D$14:$D$17</definedName>
    <definedName name="WHWp4" localSheetId="72">'[39]5.4.7'!$D$14:$D$17</definedName>
    <definedName name="WHWp4" localSheetId="73">'[39]5.4.7'!$D$14:$D$17</definedName>
    <definedName name="WHWp4" localSheetId="67">'[39]5.4.7'!$D$14:$D$17</definedName>
    <definedName name="WHWp4" localSheetId="68">'[39]5.4.7'!$D$14:$D$17</definedName>
    <definedName name="WHWp4">'[28]5.4.7'!$D$14:$D$17</definedName>
    <definedName name="xx" localSheetId="23">#REF!</definedName>
    <definedName name="xx" localSheetId="34">#REF!</definedName>
    <definedName name="xx" localSheetId="35">#REF!</definedName>
    <definedName name="xx" localSheetId="36">#REF!</definedName>
    <definedName name="xx" localSheetId="37">#REF!</definedName>
    <definedName name="xx" localSheetId="40">#REF!</definedName>
    <definedName name="xx" localSheetId="41">#REF!</definedName>
    <definedName name="xx" localSheetId="42">#REF!</definedName>
    <definedName name="xx" localSheetId="2">#REF!</definedName>
    <definedName name="xx">#REF!</definedName>
    <definedName name="xxx" localSheetId="23">#REF!</definedName>
    <definedName name="xxx" localSheetId="34">#REF!</definedName>
    <definedName name="xxx" localSheetId="35">#REF!</definedName>
    <definedName name="xxx" localSheetId="36">#REF!</definedName>
    <definedName name="xxx" localSheetId="37">#REF!</definedName>
    <definedName name="xxx" localSheetId="40">#REF!</definedName>
    <definedName name="xxx" localSheetId="41">#REF!</definedName>
    <definedName name="xxx" localSheetId="42">#REF!</definedName>
    <definedName name="xxx" localSheetId="2">#REF!</definedName>
    <definedName name="xxx">#REF!</definedName>
    <definedName name="xxxx" localSheetId="23">#REF!</definedName>
    <definedName name="xxxx" localSheetId="34">#REF!</definedName>
    <definedName name="xxxx" localSheetId="35">#REF!</definedName>
    <definedName name="xxxx" localSheetId="36">#REF!</definedName>
    <definedName name="xxxx" localSheetId="37">#REF!</definedName>
    <definedName name="xxxx" localSheetId="40">#REF!</definedName>
    <definedName name="xxxx" localSheetId="41">#REF!</definedName>
    <definedName name="xxxx" localSheetId="42">#REF!</definedName>
    <definedName name="xxxx" localSheetId="2">#REF!</definedName>
    <definedName name="xxxx">#REF!</definedName>
    <definedName name="xxxxx" localSheetId="23">#REF!</definedName>
    <definedName name="xxxxx" localSheetId="34">#REF!</definedName>
    <definedName name="xxxxx" localSheetId="35">#REF!</definedName>
    <definedName name="xxxxx" localSheetId="36">#REF!</definedName>
    <definedName name="xxxxx" localSheetId="37">#REF!</definedName>
    <definedName name="xxxxx" localSheetId="40">#REF!</definedName>
    <definedName name="xxxxx" localSheetId="41">#REF!</definedName>
    <definedName name="xxxxx" localSheetId="42">#REF!</definedName>
    <definedName name="xxxxx" localSheetId="2">#REF!</definedName>
    <definedName name="xxxxx">#REF!</definedName>
    <definedName name="xxxxxx" localSheetId="23">#REF!</definedName>
    <definedName name="xxxxxx" localSheetId="34">#REF!</definedName>
    <definedName name="xxxxxx" localSheetId="35">#REF!</definedName>
    <definedName name="xxxxxx" localSheetId="36">#REF!</definedName>
    <definedName name="xxxxxx" localSheetId="37">#REF!</definedName>
    <definedName name="xxxxxx" localSheetId="40">#REF!</definedName>
    <definedName name="xxxxxx" localSheetId="41">#REF!</definedName>
    <definedName name="xxxxxx" localSheetId="42">#REF!</definedName>
    <definedName name="xxxxxx" localSheetId="2">#REF!</definedName>
    <definedName name="xxxxxx">#REF!</definedName>
    <definedName name="xxxxxxx" localSheetId="23">#REF!</definedName>
    <definedName name="xxxxxxx" localSheetId="34">#REF!</definedName>
    <definedName name="xxxxxxx" localSheetId="35">#REF!</definedName>
    <definedName name="xxxxxxx" localSheetId="36">#REF!</definedName>
    <definedName name="xxxxxxx" localSheetId="37">#REF!</definedName>
    <definedName name="xxxxxxx" localSheetId="40">#REF!</definedName>
    <definedName name="xxxxxxx" localSheetId="41">#REF!</definedName>
    <definedName name="xxxxxxx" localSheetId="42">#REF!</definedName>
    <definedName name="xxxxxxx" localSheetId="2">#REF!</definedName>
    <definedName name="xxxxxxx">#REF!</definedName>
    <definedName name="z" localSheetId="23">#REF!</definedName>
    <definedName name="z" localSheetId="34">#REF!</definedName>
    <definedName name="z" localSheetId="35">#REF!</definedName>
    <definedName name="z" localSheetId="36">#REF!</definedName>
    <definedName name="z" localSheetId="37">#REF!</definedName>
    <definedName name="z" localSheetId="40">#REF!</definedName>
    <definedName name="z" localSheetId="41">#REF!</definedName>
    <definedName name="z" localSheetId="42">#REF!</definedName>
    <definedName name="z" localSheetId="2">#REF!</definedName>
    <definedName name="z">#REF!</definedName>
    <definedName name="Z_11DE45F5_F478_4ED6_8DFF_12002C22A637_.wvu.FilterData" localSheetId="56" hidden="1">'5.4.5'!$A$3:$AI$7</definedName>
    <definedName name="Z_11DE45F5_F478_4ED6_8DFF_12002C22A637_.wvu.FilterData" localSheetId="2" hidden="1">'Measure-Level Adjustments'!$B$8:$CK$619</definedName>
    <definedName name="Z_11DE45F5_F478_4ED6_8DFF_12002C22A637_.wvu.PrintArea" localSheetId="10" hidden="1">'4.2.11'!$A$1:$AH$68</definedName>
    <definedName name="Z_11DE45F5_F478_4ED6_8DFF_12002C22A637_.wvu.PrintArea" localSheetId="18" hidden="1">'4.3.1'!$A$2:$AK$91</definedName>
    <definedName name="Z_11DE45F5_F478_4ED6_8DFF_12002C22A637_.wvu.PrintArea" localSheetId="19" hidden="1">'4.3.2'!$A$2:$AF$88</definedName>
    <definedName name="Z_11DE45F5_F478_4ED6_8DFF_12002C22A637_.wvu.PrintArea" localSheetId="20" hidden="1">'4.3.3'!$A$2:$AF$79</definedName>
    <definedName name="Z_11DE45F5_F478_4ED6_8DFF_12002C22A637_.wvu.PrintArea" localSheetId="21" hidden="1">'4.3.4'!$A$2:$T$56</definedName>
    <definedName name="Z_11DE45F5_F478_4ED6_8DFF_12002C22A637_.wvu.PrintArea" localSheetId="22" hidden="1">'4.3.6'!$A$2:$AC$39</definedName>
    <definedName name="Z_11DE45F5_F478_4ED6_8DFF_12002C22A637_.wvu.PrintArea" localSheetId="33" hidden="1">'4.4.16'!$A$2:$AK$130</definedName>
    <definedName name="Z_11DE45F5_F478_4ED6_8DFF_12002C22A637_.wvu.PrintArea" localSheetId="25" hidden="1">'4.4.3'!$A$2:$T$28</definedName>
    <definedName name="Z_11DE45F5_F478_4ED6_8DFF_12002C22A637_.wvu.PrintArea" localSheetId="26" hidden="1">'4.4.4'!$A$2:$U$35</definedName>
    <definedName name="Z_11DE45F5_F478_4ED6_8DFF_12002C22A637_.wvu.PrintArea" localSheetId="64" hidden="1">'5.6.4&amp;5.6.5'!$A$1:$AV$143</definedName>
    <definedName name="Z_11DE45F5_F478_4ED6_8DFF_12002C22A637_.wvu.PrintArea" localSheetId="67" hidden="1">Kits!$A$2:$AB$340</definedName>
    <definedName name="Z_11DE45F5_F478_4ED6_8DFF_12002C22A637_.wvu.PrintArea" localSheetId="2" hidden="1">'Measure-Level Adjustments'!$A$1:$CJ$623</definedName>
    <definedName name="Z_11DE45F5_F478_4ED6_8DFF_12002C22A637_.wvu.PrintArea" localSheetId="1" hidden="1">'Program-Level Adjustments'!$A$1:$AI$29</definedName>
    <definedName name="Z_11DE45F5_F478_4ED6_8DFF_12002C22A637_.wvu.PrintTitles" localSheetId="2" hidden="1">'Measure-Level Adjustments'!$A:$B</definedName>
    <definedName name="Z_11DE45F5_F478_4ED6_8DFF_12002C22A637_.wvu.PrintTitles" localSheetId="1" hidden="1">'Program-Level Adjustments'!$A:$A</definedName>
    <definedName name="Z_11DE45F5_F478_4ED6_8DFF_12002C22A637_.wvu.Rows" localSheetId="10" hidden="1">'4.2.11'!$5:$5</definedName>
    <definedName name="Z_11DE45F5_F478_4ED6_8DFF_12002C22A637_.wvu.Rows" localSheetId="33" hidden="1">'4.4.16'!$12:$12</definedName>
    <definedName name="Z_11DE45F5_F478_4ED6_8DFF_12002C22A637_.wvu.Rows" localSheetId="34" hidden="1">'4.4.18'!$4:$9,'4.4.18'!$11:$11</definedName>
    <definedName name="Z_11DE45F5_F478_4ED6_8DFF_12002C22A637_.wvu.Rows" localSheetId="24" hidden="1">'4.4.2'!$6:$11</definedName>
    <definedName name="Z_11DE45F5_F478_4ED6_8DFF_12002C22A637_.wvu.Rows" localSheetId="47" hidden="1">'5.3.7'!$73:$82,'5.3.7'!$124:$149</definedName>
    <definedName name="Z_11DE45F5_F478_4ED6_8DFF_12002C22A637_.wvu.Rows" localSheetId="64" hidden="1">'5.6.4&amp;5.6.5'!#REF!</definedName>
    <definedName name="Z_38A2130F_B560_490D_A3D0_6FD158F35A5E_.wvu.FilterData" localSheetId="58" hidden="1">'5.4.9'!$A$3:$AH$4</definedName>
    <definedName name="Z_A9CD8512_0C3F_4D1E_8312_327E35DB8744_.wvu.FilterData" localSheetId="58" hidden="1">'5.4.9'!$A$3:$AH$4</definedName>
    <definedName name="Z_DF5430C4_6620_465A_9F9C_EA59CD531898_.wvu.FilterData" localSheetId="58" hidden="1">'5.4.9'!$A$3:$AH$4</definedName>
    <definedName name="Z_ECD6FE6A_9548_414E_B8AA_6998703C57E0_.wvu.FilterData" localSheetId="56" hidden="1">'5.4.5'!$A$3:$AI$7</definedName>
    <definedName name="Z_ECD6FE6A_9548_414E_B8AA_6998703C57E0_.wvu.FilterData" localSheetId="2" hidden="1">'Measure-Level Adjustments'!$B$8:$CK$619</definedName>
    <definedName name="Z_ECD6FE6A_9548_414E_B8AA_6998703C57E0_.wvu.PrintArea" localSheetId="10" hidden="1">'4.2.11'!$A$1:$AH$68</definedName>
    <definedName name="Z_ECD6FE6A_9548_414E_B8AA_6998703C57E0_.wvu.PrintArea" localSheetId="18" hidden="1">'4.3.1'!$A$2:$AK$91</definedName>
    <definedName name="Z_ECD6FE6A_9548_414E_B8AA_6998703C57E0_.wvu.PrintArea" localSheetId="19" hidden="1">'4.3.2'!$A$2:$AF$88</definedName>
    <definedName name="Z_ECD6FE6A_9548_414E_B8AA_6998703C57E0_.wvu.PrintArea" localSheetId="20" hidden="1">'4.3.3'!$A$2:$AF$79</definedName>
    <definedName name="Z_ECD6FE6A_9548_414E_B8AA_6998703C57E0_.wvu.PrintArea" localSheetId="21" hidden="1">'4.3.4'!$A$2:$T$56</definedName>
    <definedName name="Z_ECD6FE6A_9548_414E_B8AA_6998703C57E0_.wvu.PrintArea" localSheetId="22" hidden="1">'4.3.6'!$A$2:$AC$39</definedName>
    <definedName name="Z_ECD6FE6A_9548_414E_B8AA_6998703C57E0_.wvu.PrintArea" localSheetId="33" hidden="1">'4.4.16'!$A$2:$AK$130</definedName>
    <definedName name="Z_ECD6FE6A_9548_414E_B8AA_6998703C57E0_.wvu.PrintArea" localSheetId="25" hidden="1">'4.4.3'!$A$2:$T$28</definedName>
    <definedName name="Z_ECD6FE6A_9548_414E_B8AA_6998703C57E0_.wvu.PrintArea" localSheetId="26" hidden="1">'4.4.4'!$A$2:$U$35</definedName>
    <definedName name="Z_ECD6FE6A_9548_414E_B8AA_6998703C57E0_.wvu.PrintArea" localSheetId="64" hidden="1">'5.6.4&amp;5.6.5'!$A$1:$AV$143</definedName>
    <definedName name="Z_ECD6FE6A_9548_414E_B8AA_6998703C57E0_.wvu.PrintArea" localSheetId="67" hidden="1">Kits!$A$2:$AB$340</definedName>
    <definedName name="Z_ECD6FE6A_9548_414E_B8AA_6998703C57E0_.wvu.PrintArea" localSheetId="2" hidden="1">'Measure-Level Adjustments'!$A$1:$CJ$623</definedName>
    <definedName name="Z_ECD6FE6A_9548_414E_B8AA_6998703C57E0_.wvu.PrintArea" localSheetId="1" hidden="1">'Program-Level Adjustments'!$A$1:$AI$29</definedName>
    <definedName name="Z_ECD6FE6A_9548_414E_B8AA_6998703C57E0_.wvu.PrintTitles" localSheetId="2" hidden="1">'Measure-Level Adjustments'!$A:$B</definedName>
    <definedName name="Z_ECD6FE6A_9548_414E_B8AA_6998703C57E0_.wvu.PrintTitles" localSheetId="1" hidden="1">'Program-Level Adjustments'!$A:$A</definedName>
    <definedName name="Z_ECD6FE6A_9548_414E_B8AA_6998703C57E0_.wvu.Rows" localSheetId="10" hidden="1">'4.2.11'!$5:$5</definedName>
    <definedName name="Z_ECD6FE6A_9548_414E_B8AA_6998703C57E0_.wvu.Rows" localSheetId="33" hidden="1">'4.4.16'!$12:$12</definedName>
    <definedName name="Z_ECD6FE6A_9548_414E_B8AA_6998703C57E0_.wvu.Rows" localSheetId="34" hidden="1">'4.4.18'!$4:$9,'4.4.18'!$11:$11</definedName>
    <definedName name="Z_ECD6FE6A_9548_414E_B8AA_6998703C57E0_.wvu.Rows" localSheetId="24" hidden="1">'4.4.2'!$6:$11</definedName>
    <definedName name="Z_ECD6FE6A_9548_414E_B8AA_6998703C57E0_.wvu.Rows" localSheetId="47" hidden="1">'5.3.7'!$73:$82,'5.3.7'!$124:$149</definedName>
    <definedName name="Z_ECD6FE6A_9548_414E_B8AA_6998703C57E0_.wvu.Rows" localSheetId="64" hidden="1">'5.6.4&amp;5.6.5'!#REF!</definedName>
    <definedName name="Zone1" localSheetId="13">'[5]4.4.6'!$H$11:$H$15</definedName>
    <definedName name="Zone1" localSheetId="7">'[5]4.4.6'!$H$11:$H$15</definedName>
    <definedName name="Zone1" localSheetId="23">'[5]4.4.6'!$H$11:$H$15</definedName>
    <definedName name="Zone1" localSheetId="34">'[6]4.4.6'!$H$11:$H$15</definedName>
    <definedName name="Zone1" localSheetId="35">'[6]4.4.6'!$H$11:$H$15</definedName>
    <definedName name="Zone1" localSheetId="36">'[5]4.4.6'!$H$11:$H$15</definedName>
    <definedName name="Zone1" localSheetId="37">'[5]4.4.6'!$H$11:$H$15</definedName>
    <definedName name="Zone1" localSheetId="40">'[5]4.4.6'!$H$11:$H$15</definedName>
    <definedName name="Zone1" localSheetId="41">'[5]4.4.6'!$H$11:$H$15</definedName>
    <definedName name="Zone1" localSheetId="42">'[6]4.4.6'!$H$11:$H$15</definedName>
    <definedName name="Zone1">'[7]4.4.6'!$H$11:$H$15</definedName>
    <definedName name="zz" localSheetId="23">#REF!</definedName>
    <definedName name="zz" localSheetId="34">#REF!</definedName>
    <definedName name="zz" localSheetId="35">#REF!</definedName>
    <definedName name="zz" localSheetId="36">#REF!</definedName>
    <definedName name="zz" localSheetId="37">#REF!</definedName>
    <definedName name="zz" localSheetId="40">#REF!</definedName>
    <definedName name="zz" localSheetId="41">#REF!</definedName>
    <definedName name="zz" localSheetId="42">#REF!</definedName>
    <definedName name="zz" localSheetId="2">#REF!</definedName>
    <definedName name="zz">#REF!</definedName>
    <definedName name="zzz" localSheetId="23">'[18]4.4.10'!#REF!</definedName>
    <definedName name="zzz" localSheetId="34">'[18]4.4.10'!#REF!</definedName>
    <definedName name="zzz" localSheetId="35">'[18]4.4.10'!#REF!</definedName>
    <definedName name="zzz" localSheetId="36">'[18]4.4.10'!#REF!</definedName>
    <definedName name="zzz" localSheetId="37">'[18]4.4.10'!#REF!</definedName>
    <definedName name="zzz" localSheetId="42">'[18]4.4.10'!#REF!</definedName>
    <definedName name="zzz" localSheetId="2">'[18]4.4.10'!#REF!</definedName>
    <definedName name="zzz">'[18]4.4.10'!#REF!</definedName>
    <definedName name="zzzz" localSheetId="23">'[18]4.5.4'!#REF!</definedName>
    <definedName name="zzzz" localSheetId="34">'[18]4.5.4'!#REF!</definedName>
    <definedName name="zzzz" localSheetId="36">'[18]4.5.4'!#REF!</definedName>
    <definedName name="zzzz" localSheetId="37">'[18]4.5.4'!#REF!</definedName>
    <definedName name="zzzz" localSheetId="42">'[18]4.5.4'!#REF!</definedName>
    <definedName name="zzzz" localSheetId="2">'[18]4.5.4'!#REF!</definedName>
    <definedName name="zzzz">'[18]4.5.4'!#REF!</definedName>
    <definedName name="zzzzz" localSheetId="23">#REF!</definedName>
    <definedName name="zzzzz" localSheetId="34">#REF!</definedName>
    <definedName name="zzzzz" localSheetId="35">#REF!</definedName>
    <definedName name="zzzzz" localSheetId="36">#REF!</definedName>
    <definedName name="zzzzz" localSheetId="37">#REF!</definedName>
    <definedName name="zzzzz" localSheetId="40">#REF!</definedName>
    <definedName name="zzzzz" localSheetId="41">#REF!</definedName>
    <definedName name="zzzzz" localSheetId="42">#REF!</definedName>
    <definedName name="zzzzz" localSheetId="2">#REF!</definedName>
    <definedName name="zzzzz">#REF!</definedName>
    <definedName name="zzzzzz" localSheetId="23">#REF!</definedName>
    <definedName name="zzzzzz" localSheetId="34">#REF!</definedName>
    <definedName name="zzzzzz" localSheetId="35">#REF!</definedName>
    <definedName name="zzzzzz" localSheetId="36">#REF!</definedName>
    <definedName name="zzzzzz" localSheetId="37">#REF!</definedName>
    <definedName name="zzzzzz" localSheetId="40">#REF!</definedName>
    <definedName name="zzzzzz" localSheetId="41">#REF!</definedName>
    <definedName name="zzzzzz" localSheetId="42">#REF!</definedName>
    <definedName name="zzzzzz" localSheetId="2">#REF!</definedName>
    <definedName name="zzzzzz">#REF!</definedName>
  </definedNames>
  <calcPr calcId="181029"/>
  <customWorkbookViews>
    <customWorkbookView name="Choong, Linda L. - Personal View" guid="{ECD6FE6A-9548-414E-B8AA-6998703C57E0}" mergeInterval="0" personalView="1" maximized="1" xWindow="-1928" windowWidth="1936" windowHeight="1056" tabRatio="573" activeSheetId="4"/>
    <customWorkbookView name="Liu, Bruce - Personal View" guid="{11DE45F5-F478-4ED6-8DFF-12002C22A637}" mergeInterval="0" personalView="1" maximized="1" xWindow="1912" yWindow="-8" windowWidth="1936" windowHeight="1056" tabRatio="898" activeSheetId="4"/>
  </customWorkbookViews>
  <pivotCaches>
    <pivotCache cacheId="0" r:id="rId134"/>
    <pivotCache cacheId="1" r:id="rId135"/>
    <pivotCache cacheId="2" r:id="rId136"/>
    <pivotCache cacheId="3" r:id="rId137"/>
  </pivotCaches>
  <extLst>
    <ext xmlns:x15="http://schemas.microsoft.com/office/spreadsheetml/2010/11/main" uri="{FCE2AD5D-F65C-4FA6-A056-5C36A1767C68}">
      <x15:dataModel>
        <x15:modelTables>
          <x15:modelTable id="Range 2-c930575b-d68c-4451-9c5c-01b36d6c9777" name="Range 2 1" connection="WorksheetConnection_HEER Adv Thermostat Data!$A:$I1"/>
          <x15:modelTable id="Table1_2-c2c532ef-5425-4183-aad6-2e514279ee8d" name="Table1_2 1" connection="WorksheetConnection_Boiler Input Capacity All Programs PY5-7.xlsx!Table1_21"/>
          <x15:modelTable id="Table1_2-9f7c3c2e-83c6-4322-b466-f93255f1e9aa" name="Table1_2" connection="WorksheetConnection_Boiler Input Capacity All Programs PY5-7.xlsx!Table1_2"/>
        </x15:modelTables>
      </x15:dataModel>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4" i="43" l="1"/>
  <c r="V5" i="43"/>
  <c r="V6" i="43"/>
  <c r="V7" i="43"/>
  <c r="CT15" i="88"/>
  <c r="CU15" i="88"/>
  <c r="CV15" i="88"/>
  <c r="CS15" i="88"/>
  <c r="CL15" i="88"/>
  <c r="CL14" i="88"/>
  <c r="BX9" i="4"/>
  <c r="BY9" i="4"/>
  <c r="BZ9" i="4"/>
  <c r="CA9" i="4"/>
  <c r="BX10" i="4"/>
  <c r="BY10" i="4"/>
  <c r="CB10" i="4" s="1"/>
  <c r="BZ10" i="4"/>
  <c r="CA10" i="4"/>
  <c r="BX11" i="4"/>
  <c r="BY11" i="4"/>
  <c r="CB11" i="4" s="1"/>
  <c r="BZ11" i="4"/>
  <c r="CA11" i="4"/>
  <c r="BX12" i="4"/>
  <c r="BY12" i="4"/>
  <c r="CB12" i="4" s="1"/>
  <c r="BZ12" i="4"/>
  <c r="CA12" i="4"/>
  <c r="BX13" i="4"/>
  <c r="BY13" i="4"/>
  <c r="BZ13" i="4"/>
  <c r="CA13" i="4"/>
  <c r="BX14" i="4"/>
  <c r="BY14" i="4"/>
  <c r="BZ14" i="4"/>
  <c r="CA14" i="4"/>
  <c r="BX15" i="4"/>
  <c r="BY15" i="4"/>
  <c r="CB15" i="4" s="1"/>
  <c r="BZ15" i="4"/>
  <c r="CA15" i="4"/>
  <c r="BX16" i="4"/>
  <c r="BY16" i="4"/>
  <c r="BZ16" i="4"/>
  <c r="CA16" i="4"/>
  <c r="BX17" i="4"/>
  <c r="BY17" i="4"/>
  <c r="BZ17" i="4"/>
  <c r="CA17" i="4"/>
  <c r="BX18" i="4"/>
  <c r="BY18" i="4"/>
  <c r="BZ18" i="4"/>
  <c r="CA18" i="4"/>
  <c r="BX19" i="4"/>
  <c r="BY19" i="4"/>
  <c r="BZ19" i="4"/>
  <c r="CA19" i="4"/>
  <c r="BX20" i="4"/>
  <c r="BY20" i="4"/>
  <c r="BZ20" i="4"/>
  <c r="CA20" i="4"/>
  <c r="BX21" i="4"/>
  <c r="BY21" i="4"/>
  <c r="BZ21" i="4"/>
  <c r="CA21" i="4"/>
  <c r="BX22" i="4"/>
  <c r="BY22" i="4"/>
  <c r="BZ22" i="4"/>
  <c r="CA22" i="4"/>
  <c r="BX23" i="4"/>
  <c r="BY23" i="4"/>
  <c r="BZ23" i="4"/>
  <c r="CA23" i="4"/>
  <c r="BX24" i="4"/>
  <c r="BY24" i="4"/>
  <c r="BZ24" i="4"/>
  <c r="CA24" i="4"/>
  <c r="BX25" i="4"/>
  <c r="BY25" i="4"/>
  <c r="BZ25" i="4"/>
  <c r="CA25" i="4"/>
  <c r="BX26" i="4"/>
  <c r="BY26" i="4"/>
  <c r="BZ26" i="4"/>
  <c r="CA26" i="4"/>
  <c r="BX27" i="4"/>
  <c r="BY27" i="4"/>
  <c r="BZ27" i="4"/>
  <c r="CA27" i="4"/>
  <c r="BX28" i="4"/>
  <c r="BY28" i="4"/>
  <c r="BZ28" i="4"/>
  <c r="CA28" i="4"/>
  <c r="BX29" i="4"/>
  <c r="BY29" i="4"/>
  <c r="BZ29" i="4"/>
  <c r="CA29" i="4"/>
  <c r="BX30" i="4"/>
  <c r="BY30" i="4"/>
  <c r="BZ30" i="4"/>
  <c r="CA30" i="4"/>
  <c r="BX31" i="4"/>
  <c r="CB31" i="4" s="1"/>
  <c r="BY31" i="4"/>
  <c r="BZ31" i="4"/>
  <c r="CA31" i="4"/>
  <c r="BX32" i="4"/>
  <c r="BY32" i="4"/>
  <c r="BZ32" i="4"/>
  <c r="CA32" i="4"/>
  <c r="BX33" i="4"/>
  <c r="BY33" i="4"/>
  <c r="BZ33" i="4"/>
  <c r="CA33" i="4"/>
  <c r="BX34" i="4"/>
  <c r="BY34" i="4"/>
  <c r="BZ34" i="4"/>
  <c r="CA34" i="4"/>
  <c r="BX35" i="4"/>
  <c r="BY35" i="4"/>
  <c r="BZ35" i="4"/>
  <c r="CA35" i="4"/>
  <c r="BX36" i="4"/>
  <c r="BY36" i="4"/>
  <c r="BZ36" i="4"/>
  <c r="CA36" i="4"/>
  <c r="BX37" i="4"/>
  <c r="BY37" i="4"/>
  <c r="BZ37" i="4"/>
  <c r="CA37" i="4"/>
  <c r="BX38" i="4"/>
  <c r="BY38" i="4"/>
  <c r="BZ38" i="4"/>
  <c r="CA38" i="4"/>
  <c r="BX39" i="4"/>
  <c r="BY39" i="4"/>
  <c r="BZ39" i="4"/>
  <c r="CA39" i="4"/>
  <c r="BX40" i="4"/>
  <c r="BY40" i="4"/>
  <c r="BZ40" i="4"/>
  <c r="CA40" i="4"/>
  <c r="BX41" i="4"/>
  <c r="BY41" i="4"/>
  <c r="BZ41" i="4"/>
  <c r="CA41" i="4"/>
  <c r="BX42" i="4"/>
  <c r="BY42" i="4"/>
  <c r="BZ42" i="4"/>
  <c r="CA42" i="4"/>
  <c r="BX43" i="4"/>
  <c r="BY43" i="4"/>
  <c r="BZ43" i="4"/>
  <c r="CA43" i="4"/>
  <c r="BX44" i="4"/>
  <c r="BY44" i="4"/>
  <c r="BZ44" i="4"/>
  <c r="CA44" i="4"/>
  <c r="BX45" i="4"/>
  <c r="BY45" i="4"/>
  <c r="BZ45" i="4"/>
  <c r="CA45" i="4"/>
  <c r="BX46" i="4"/>
  <c r="BY46" i="4"/>
  <c r="BZ46" i="4"/>
  <c r="CA46" i="4"/>
  <c r="BX47" i="4"/>
  <c r="BY47" i="4"/>
  <c r="BZ47" i="4"/>
  <c r="CA47" i="4"/>
  <c r="CB47" i="4"/>
  <c r="BX48" i="4"/>
  <c r="BY48" i="4"/>
  <c r="BZ48" i="4"/>
  <c r="CA48" i="4"/>
  <c r="CB48" i="4" s="1"/>
  <c r="BX49" i="4"/>
  <c r="BY49" i="4"/>
  <c r="BZ49" i="4"/>
  <c r="CA49" i="4"/>
  <c r="BX50" i="4"/>
  <c r="BY50" i="4"/>
  <c r="BZ50" i="4"/>
  <c r="CA50" i="4"/>
  <c r="BX51" i="4"/>
  <c r="BY51" i="4"/>
  <c r="BZ51" i="4"/>
  <c r="CA51" i="4"/>
  <c r="BX52" i="4"/>
  <c r="BY52" i="4"/>
  <c r="BZ52" i="4"/>
  <c r="CA52" i="4"/>
  <c r="BX53" i="4"/>
  <c r="BY53" i="4"/>
  <c r="BZ53" i="4"/>
  <c r="CA53" i="4"/>
  <c r="BX54" i="4"/>
  <c r="BY54" i="4"/>
  <c r="BZ54" i="4"/>
  <c r="CA54" i="4"/>
  <c r="BX55" i="4"/>
  <c r="BY55" i="4"/>
  <c r="BZ55" i="4"/>
  <c r="CA55" i="4"/>
  <c r="BX56" i="4"/>
  <c r="BY56" i="4"/>
  <c r="BZ56" i="4"/>
  <c r="CA56" i="4"/>
  <c r="BX57" i="4"/>
  <c r="BY57" i="4"/>
  <c r="BZ57" i="4"/>
  <c r="CA57" i="4"/>
  <c r="BX58" i="4"/>
  <c r="BY58" i="4"/>
  <c r="BZ58" i="4"/>
  <c r="CA58" i="4"/>
  <c r="BX59" i="4"/>
  <c r="BY59" i="4"/>
  <c r="BZ59" i="4"/>
  <c r="CA59" i="4"/>
  <c r="BX60" i="4"/>
  <c r="BY60" i="4"/>
  <c r="BZ60" i="4"/>
  <c r="CA60" i="4"/>
  <c r="BX61" i="4"/>
  <c r="BY61" i="4"/>
  <c r="BZ61" i="4"/>
  <c r="CA61" i="4"/>
  <c r="BX62" i="4"/>
  <c r="BY62" i="4"/>
  <c r="BZ62" i="4"/>
  <c r="CA62" i="4"/>
  <c r="BX63" i="4"/>
  <c r="BY63" i="4"/>
  <c r="BZ63" i="4"/>
  <c r="CA63" i="4"/>
  <c r="BX64" i="4"/>
  <c r="BY64" i="4"/>
  <c r="BZ64" i="4"/>
  <c r="CA64" i="4"/>
  <c r="BX65" i="4"/>
  <c r="BY65" i="4"/>
  <c r="BZ65" i="4"/>
  <c r="CA65" i="4"/>
  <c r="BX66" i="4"/>
  <c r="BY66" i="4"/>
  <c r="BZ66" i="4"/>
  <c r="CA66" i="4"/>
  <c r="BX67" i="4"/>
  <c r="BY67" i="4"/>
  <c r="BZ67" i="4"/>
  <c r="CA67" i="4"/>
  <c r="BX68" i="4"/>
  <c r="BY68" i="4"/>
  <c r="BZ68" i="4"/>
  <c r="CA68" i="4"/>
  <c r="BX69" i="4"/>
  <c r="BY69" i="4"/>
  <c r="BZ69" i="4"/>
  <c r="CA69" i="4"/>
  <c r="BX70" i="4"/>
  <c r="BY70" i="4"/>
  <c r="BZ70" i="4"/>
  <c r="CA70" i="4"/>
  <c r="BX71" i="4"/>
  <c r="BY71" i="4"/>
  <c r="BZ71" i="4"/>
  <c r="CB71" i="4" s="1"/>
  <c r="CA71" i="4"/>
  <c r="BX72" i="4"/>
  <c r="BY72" i="4"/>
  <c r="BZ72" i="4"/>
  <c r="CA72" i="4"/>
  <c r="BX73" i="4"/>
  <c r="BY73" i="4"/>
  <c r="BZ73" i="4"/>
  <c r="CA73" i="4"/>
  <c r="BX74" i="4"/>
  <c r="BY74" i="4"/>
  <c r="BZ74" i="4"/>
  <c r="CA74" i="4"/>
  <c r="BX75" i="4"/>
  <c r="BY75" i="4"/>
  <c r="BZ75" i="4"/>
  <c r="CA75" i="4"/>
  <c r="BX76" i="4"/>
  <c r="BY76" i="4"/>
  <c r="CB76" i="4" s="1"/>
  <c r="BZ76" i="4"/>
  <c r="CA76" i="4"/>
  <c r="BX77" i="4"/>
  <c r="BY77" i="4"/>
  <c r="BZ77" i="4"/>
  <c r="CA77" i="4"/>
  <c r="BX78" i="4"/>
  <c r="BY78" i="4"/>
  <c r="BZ78" i="4"/>
  <c r="CA78" i="4"/>
  <c r="BX79" i="4"/>
  <c r="BY79" i="4"/>
  <c r="CB79" i="4" s="1"/>
  <c r="BZ79" i="4"/>
  <c r="CA79" i="4"/>
  <c r="BX80" i="4"/>
  <c r="BY80" i="4"/>
  <c r="BZ80" i="4"/>
  <c r="CA80" i="4"/>
  <c r="BX81" i="4"/>
  <c r="BY81" i="4"/>
  <c r="BZ81" i="4"/>
  <c r="CA81" i="4"/>
  <c r="BX82" i="4"/>
  <c r="BY82" i="4"/>
  <c r="BZ82" i="4"/>
  <c r="CA82" i="4"/>
  <c r="BX83" i="4"/>
  <c r="BY83" i="4"/>
  <c r="BZ83" i="4"/>
  <c r="CA83" i="4"/>
  <c r="BX84" i="4"/>
  <c r="BY84" i="4"/>
  <c r="BZ84" i="4"/>
  <c r="CA84" i="4"/>
  <c r="BX85" i="4"/>
  <c r="BY85" i="4"/>
  <c r="BZ85" i="4"/>
  <c r="CA85" i="4"/>
  <c r="BX86" i="4"/>
  <c r="BY86" i="4"/>
  <c r="BZ86" i="4"/>
  <c r="CA86" i="4"/>
  <c r="BX87" i="4"/>
  <c r="BY87" i="4"/>
  <c r="BZ87" i="4"/>
  <c r="CA87" i="4"/>
  <c r="BX88" i="4"/>
  <c r="BY88" i="4"/>
  <c r="BZ88" i="4"/>
  <c r="CA88" i="4"/>
  <c r="BX89" i="4"/>
  <c r="BY89" i="4"/>
  <c r="BZ89" i="4"/>
  <c r="CA89" i="4"/>
  <c r="BX90" i="4"/>
  <c r="BY90" i="4"/>
  <c r="CB90" i="4" s="1"/>
  <c r="BZ90" i="4"/>
  <c r="CA90" i="4"/>
  <c r="BX91" i="4"/>
  <c r="BY91" i="4"/>
  <c r="CB91" i="4" s="1"/>
  <c r="BZ91" i="4"/>
  <c r="CA91" i="4"/>
  <c r="BX92" i="4"/>
  <c r="BY92" i="4"/>
  <c r="CB92" i="4" s="1"/>
  <c r="BZ92" i="4"/>
  <c r="CA92" i="4"/>
  <c r="BX93" i="4"/>
  <c r="BY93" i="4"/>
  <c r="BZ93" i="4"/>
  <c r="CA93" i="4"/>
  <c r="BX94" i="4"/>
  <c r="BY94" i="4"/>
  <c r="BZ94" i="4"/>
  <c r="CA94" i="4"/>
  <c r="BX95" i="4"/>
  <c r="BY95" i="4"/>
  <c r="BZ95" i="4"/>
  <c r="CA95" i="4"/>
  <c r="BX96" i="4"/>
  <c r="BY96" i="4"/>
  <c r="BZ96" i="4"/>
  <c r="CA96" i="4"/>
  <c r="BX97" i="4"/>
  <c r="BY97" i="4"/>
  <c r="BZ97" i="4"/>
  <c r="CA97" i="4"/>
  <c r="BX98" i="4"/>
  <c r="BY98" i="4"/>
  <c r="BZ98" i="4"/>
  <c r="CA98" i="4"/>
  <c r="BX99" i="4"/>
  <c r="BY99" i="4"/>
  <c r="BZ99" i="4"/>
  <c r="CA99" i="4"/>
  <c r="BX100" i="4"/>
  <c r="BY100" i="4"/>
  <c r="BZ100" i="4"/>
  <c r="CA100" i="4"/>
  <c r="BX101" i="4"/>
  <c r="BY101" i="4"/>
  <c r="BZ101" i="4"/>
  <c r="CA101" i="4"/>
  <c r="BX102" i="4"/>
  <c r="BY102" i="4"/>
  <c r="BZ102" i="4"/>
  <c r="CA102" i="4"/>
  <c r="BX103" i="4"/>
  <c r="BY103" i="4"/>
  <c r="BZ103" i="4"/>
  <c r="CA103" i="4"/>
  <c r="BX104" i="4"/>
  <c r="BY104" i="4"/>
  <c r="BZ104" i="4"/>
  <c r="CA104" i="4"/>
  <c r="BX105" i="4"/>
  <c r="BY105" i="4"/>
  <c r="BZ105" i="4"/>
  <c r="CA105" i="4"/>
  <c r="BX106" i="4"/>
  <c r="BY106" i="4"/>
  <c r="CB106" i="4" s="1"/>
  <c r="BZ106" i="4"/>
  <c r="CA106" i="4"/>
  <c r="BX107" i="4"/>
  <c r="BY107" i="4"/>
  <c r="CB107" i="4" s="1"/>
  <c r="BZ107" i="4"/>
  <c r="CA107" i="4"/>
  <c r="BX108" i="4"/>
  <c r="BY108" i="4"/>
  <c r="CB108" i="4" s="1"/>
  <c r="BZ108" i="4"/>
  <c r="CA108" i="4"/>
  <c r="BX109" i="4"/>
  <c r="BY109" i="4"/>
  <c r="BZ109" i="4"/>
  <c r="CA109" i="4"/>
  <c r="BX110" i="4"/>
  <c r="BY110" i="4"/>
  <c r="BZ110" i="4"/>
  <c r="CA110" i="4"/>
  <c r="BX111" i="4"/>
  <c r="BY111" i="4"/>
  <c r="CB111" i="4" s="1"/>
  <c r="BZ111" i="4"/>
  <c r="CA111" i="4"/>
  <c r="BX112" i="4"/>
  <c r="BY112" i="4"/>
  <c r="BZ112" i="4"/>
  <c r="CA112" i="4"/>
  <c r="BX113" i="4"/>
  <c r="BY113" i="4"/>
  <c r="BZ113" i="4"/>
  <c r="CA113" i="4"/>
  <c r="BX114" i="4"/>
  <c r="BY114" i="4"/>
  <c r="BZ114" i="4"/>
  <c r="CA114" i="4"/>
  <c r="BX115" i="4"/>
  <c r="BY115" i="4"/>
  <c r="BZ115" i="4"/>
  <c r="CA115" i="4"/>
  <c r="BX116" i="4"/>
  <c r="BY116" i="4"/>
  <c r="BZ116" i="4"/>
  <c r="CA116" i="4"/>
  <c r="BX117" i="4"/>
  <c r="BY117" i="4"/>
  <c r="BZ117" i="4"/>
  <c r="CA117" i="4"/>
  <c r="BX118" i="4"/>
  <c r="BY118" i="4"/>
  <c r="BZ118" i="4"/>
  <c r="CA118" i="4"/>
  <c r="BX119" i="4"/>
  <c r="BY119" i="4"/>
  <c r="BZ119" i="4"/>
  <c r="CA119" i="4"/>
  <c r="BX120" i="4"/>
  <c r="BY120" i="4"/>
  <c r="BZ120" i="4"/>
  <c r="CA120" i="4"/>
  <c r="BX121" i="4"/>
  <c r="BY121" i="4"/>
  <c r="BZ121" i="4"/>
  <c r="CA121" i="4"/>
  <c r="BX122" i="4"/>
  <c r="BY122" i="4"/>
  <c r="BZ122" i="4"/>
  <c r="CA122" i="4"/>
  <c r="BX123" i="4"/>
  <c r="BY123" i="4"/>
  <c r="BZ123" i="4"/>
  <c r="CA123" i="4"/>
  <c r="BX124" i="4"/>
  <c r="BY124" i="4"/>
  <c r="BZ124" i="4"/>
  <c r="CA124" i="4"/>
  <c r="BX125" i="4"/>
  <c r="BY125" i="4"/>
  <c r="BZ125" i="4"/>
  <c r="CA125" i="4"/>
  <c r="BX126" i="4"/>
  <c r="BY126" i="4"/>
  <c r="BZ126" i="4"/>
  <c r="CA126" i="4"/>
  <c r="BX127" i="4"/>
  <c r="BY127" i="4"/>
  <c r="BZ127" i="4"/>
  <c r="CA127" i="4"/>
  <c r="CB127" i="4"/>
  <c r="BX128" i="4"/>
  <c r="BY128" i="4"/>
  <c r="BZ128" i="4"/>
  <c r="CA128" i="4"/>
  <c r="CB128" i="4" s="1"/>
  <c r="BX129" i="4"/>
  <c r="BY129" i="4"/>
  <c r="BZ129" i="4"/>
  <c r="CA129" i="4"/>
  <c r="BX130" i="4"/>
  <c r="BY130" i="4"/>
  <c r="BZ130" i="4"/>
  <c r="CA130" i="4"/>
  <c r="BX131" i="4"/>
  <c r="BY131" i="4"/>
  <c r="BZ131" i="4"/>
  <c r="CA131" i="4"/>
  <c r="BX132" i="4"/>
  <c r="BY132" i="4"/>
  <c r="BZ132" i="4"/>
  <c r="CA132" i="4"/>
  <c r="BX133" i="4"/>
  <c r="BY133" i="4"/>
  <c r="BZ133" i="4"/>
  <c r="CA133" i="4"/>
  <c r="BX134" i="4"/>
  <c r="BY134" i="4"/>
  <c r="BZ134" i="4"/>
  <c r="CA134" i="4"/>
  <c r="BX135" i="4"/>
  <c r="BY135" i="4"/>
  <c r="BZ135" i="4"/>
  <c r="CA135" i="4"/>
  <c r="BX136" i="4"/>
  <c r="BY136" i="4"/>
  <c r="BZ136" i="4"/>
  <c r="CA136" i="4"/>
  <c r="BX137" i="4"/>
  <c r="BY137" i="4"/>
  <c r="BZ137" i="4"/>
  <c r="CA137" i="4"/>
  <c r="BX138" i="4"/>
  <c r="BY138" i="4"/>
  <c r="BZ138" i="4"/>
  <c r="CA138" i="4"/>
  <c r="BX139" i="4"/>
  <c r="BY139" i="4"/>
  <c r="BZ139" i="4"/>
  <c r="CA139" i="4"/>
  <c r="BX140" i="4"/>
  <c r="BY140" i="4"/>
  <c r="BZ140" i="4"/>
  <c r="CA140" i="4"/>
  <c r="BX141" i="4"/>
  <c r="BY141" i="4"/>
  <c r="BZ141" i="4"/>
  <c r="CA141" i="4"/>
  <c r="BX142" i="4"/>
  <c r="BY142" i="4"/>
  <c r="BZ142" i="4"/>
  <c r="CA142" i="4"/>
  <c r="BX143" i="4"/>
  <c r="BY143" i="4"/>
  <c r="CB143" i="4" s="1"/>
  <c r="BZ143" i="4"/>
  <c r="CA143" i="4"/>
  <c r="BX144" i="4"/>
  <c r="BY144" i="4"/>
  <c r="BZ144" i="4"/>
  <c r="CA144" i="4"/>
  <c r="BX145" i="4"/>
  <c r="BY145" i="4"/>
  <c r="BZ145" i="4"/>
  <c r="CA145" i="4"/>
  <c r="BX146" i="4"/>
  <c r="BY146" i="4"/>
  <c r="BZ146" i="4"/>
  <c r="CA146" i="4"/>
  <c r="BX147" i="4"/>
  <c r="BY147" i="4"/>
  <c r="BZ147" i="4"/>
  <c r="CA147" i="4"/>
  <c r="BX148" i="4"/>
  <c r="BY148" i="4"/>
  <c r="BZ148" i="4"/>
  <c r="CA148" i="4"/>
  <c r="BX149" i="4"/>
  <c r="BY149" i="4"/>
  <c r="BZ149" i="4"/>
  <c r="CA149" i="4"/>
  <c r="BX150" i="4"/>
  <c r="BY150" i="4"/>
  <c r="BZ150" i="4"/>
  <c r="CA150" i="4"/>
  <c r="BX151" i="4"/>
  <c r="BY151" i="4"/>
  <c r="BZ151" i="4"/>
  <c r="CA151" i="4"/>
  <c r="BX152" i="4"/>
  <c r="BY152" i="4"/>
  <c r="BZ152" i="4"/>
  <c r="CA152" i="4"/>
  <c r="BX153" i="4"/>
  <c r="BY153" i="4"/>
  <c r="CB153" i="4" s="1"/>
  <c r="BZ153" i="4"/>
  <c r="CA153" i="4"/>
  <c r="BX154" i="4"/>
  <c r="BY154" i="4"/>
  <c r="CB154" i="4" s="1"/>
  <c r="BZ154" i="4"/>
  <c r="CA154" i="4"/>
  <c r="BX155" i="4"/>
  <c r="BY155" i="4"/>
  <c r="CB155" i="4" s="1"/>
  <c r="BZ155" i="4"/>
  <c r="CA155" i="4"/>
  <c r="BX156" i="4"/>
  <c r="BY156" i="4"/>
  <c r="BZ156" i="4"/>
  <c r="CA156" i="4"/>
  <c r="BX157" i="4"/>
  <c r="BY157" i="4"/>
  <c r="BZ157" i="4"/>
  <c r="CA157" i="4"/>
  <c r="BX158" i="4"/>
  <c r="BY158" i="4"/>
  <c r="BZ158" i="4"/>
  <c r="CA158" i="4"/>
  <c r="BX159" i="4"/>
  <c r="BY159" i="4"/>
  <c r="BZ159" i="4"/>
  <c r="CA159" i="4"/>
  <c r="BX160" i="4"/>
  <c r="BY160" i="4"/>
  <c r="BZ160" i="4"/>
  <c r="CA160" i="4"/>
  <c r="BX161" i="4"/>
  <c r="BY161" i="4"/>
  <c r="BZ161" i="4"/>
  <c r="CA161" i="4"/>
  <c r="BX162" i="4"/>
  <c r="BY162" i="4"/>
  <c r="BZ162" i="4"/>
  <c r="CA162" i="4"/>
  <c r="BX163" i="4"/>
  <c r="BY163" i="4"/>
  <c r="BZ163" i="4"/>
  <c r="CA163" i="4"/>
  <c r="BX164" i="4"/>
  <c r="BY164" i="4"/>
  <c r="BZ164" i="4"/>
  <c r="CA164" i="4"/>
  <c r="BX165" i="4"/>
  <c r="BY165" i="4"/>
  <c r="BZ165" i="4"/>
  <c r="CA165" i="4"/>
  <c r="BX166" i="4"/>
  <c r="BY166" i="4"/>
  <c r="BZ166" i="4"/>
  <c r="CA166" i="4"/>
  <c r="BX167" i="4"/>
  <c r="BY167" i="4"/>
  <c r="BZ167" i="4"/>
  <c r="CA167" i="4"/>
  <c r="BX168" i="4"/>
  <c r="BY168" i="4"/>
  <c r="BZ168" i="4"/>
  <c r="CA168" i="4"/>
  <c r="BX169" i="4"/>
  <c r="BY169" i="4"/>
  <c r="BZ169" i="4"/>
  <c r="CA169" i="4"/>
  <c r="BX170" i="4"/>
  <c r="BY170" i="4"/>
  <c r="CB170" i="4" s="1"/>
  <c r="BZ170" i="4"/>
  <c r="CA170" i="4"/>
  <c r="BX171" i="4"/>
  <c r="BY171" i="4"/>
  <c r="CB171" i="4" s="1"/>
  <c r="BZ171" i="4"/>
  <c r="CA171" i="4"/>
  <c r="BX172" i="4"/>
  <c r="BY172" i="4"/>
  <c r="BZ172" i="4"/>
  <c r="CA172" i="4"/>
  <c r="BX173" i="4"/>
  <c r="BY173" i="4"/>
  <c r="BZ173" i="4"/>
  <c r="CA173" i="4"/>
  <c r="BX174" i="4"/>
  <c r="BY174" i="4"/>
  <c r="BZ174" i="4"/>
  <c r="CA174" i="4"/>
  <c r="BX175" i="4"/>
  <c r="BY175" i="4"/>
  <c r="CB175" i="4" s="1"/>
  <c r="BZ175" i="4"/>
  <c r="CA175" i="4"/>
  <c r="BX176" i="4"/>
  <c r="BY176" i="4"/>
  <c r="BZ176" i="4"/>
  <c r="CA176" i="4"/>
  <c r="BX177" i="4"/>
  <c r="BY177" i="4"/>
  <c r="BZ177" i="4"/>
  <c r="CA177" i="4"/>
  <c r="BX178" i="4"/>
  <c r="BY178" i="4"/>
  <c r="BZ178" i="4"/>
  <c r="CA178" i="4"/>
  <c r="BX179" i="4"/>
  <c r="BY179" i="4"/>
  <c r="BZ179" i="4"/>
  <c r="CA179" i="4"/>
  <c r="BX180" i="4"/>
  <c r="BY180" i="4"/>
  <c r="BZ180" i="4"/>
  <c r="CA180" i="4"/>
  <c r="BX181" i="4"/>
  <c r="BY181" i="4"/>
  <c r="BZ181" i="4"/>
  <c r="CA181" i="4"/>
  <c r="BX182" i="4"/>
  <c r="BY182" i="4"/>
  <c r="BZ182" i="4"/>
  <c r="CA182" i="4"/>
  <c r="BX183" i="4"/>
  <c r="BY183" i="4"/>
  <c r="BZ183" i="4"/>
  <c r="CA183" i="4"/>
  <c r="BX184" i="4"/>
  <c r="BY184" i="4"/>
  <c r="BZ184" i="4"/>
  <c r="CA184" i="4"/>
  <c r="BX185" i="4"/>
  <c r="BY185" i="4"/>
  <c r="BZ185" i="4"/>
  <c r="CA185" i="4"/>
  <c r="BX186" i="4"/>
  <c r="BY186" i="4"/>
  <c r="CB186" i="4" s="1"/>
  <c r="BZ186" i="4"/>
  <c r="CA186" i="4"/>
  <c r="BX187" i="4"/>
  <c r="BY187" i="4"/>
  <c r="CB187" i="4" s="1"/>
  <c r="BZ187" i="4"/>
  <c r="CA187" i="4"/>
  <c r="BX188" i="4"/>
  <c r="BY188" i="4"/>
  <c r="BZ188" i="4"/>
  <c r="CA188" i="4"/>
  <c r="BX189" i="4"/>
  <c r="BY189" i="4"/>
  <c r="BZ189" i="4"/>
  <c r="CA189" i="4"/>
  <c r="BX190" i="4"/>
  <c r="BY190" i="4"/>
  <c r="BZ190" i="4"/>
  <c r="CA190" i="4"/>
  <c r="BX191" i="4"/>
  <c r="BY191" i="4"/>
  <c r="CB191" i="4" s="1"/>
  <c r="BZ191" i="4"/>
  <c r="CA191" i="4"/>
  <c r="BX192" i="4"/>
  <c r="BY192" i="4"/>
  <c r="BZ192" i="4"/>
  <c r="CA192" i="4"/>
  <c r="BX193" i="4"/>
  <c r="BY193" i="4"/>
  <c r="BZ193" i="4"/>
  <c r="CA193" i="4"/>
  <c r="BX194" i="4"/>
  <c r="BY194" i="4"/>
  <c r="BZ194" i="4"/>
  <c r="CA194" i="4"/>
  <c r="BX195" i="4"/>
  <c r="BY195" i="4"/>
  <c r="BZ195" i="4"/>
  <c r="CA195" i="4"/>
  <c r="BX196" i="4"/>
  <c r="BY196" i="4"/>
  <c r="BZ196" i="4"/>
  <c r="CA196" i="4"/>
  <c r="BX197" i="4"/>
  <c r="BY197" i="4"/>
  <c r="BZ197" i="4"/>
  <c r="CA197" i="4"/>
  <c r="BX198" i="4"/>
  <c r="BY198" i="4"/>
  <c r="BZ198" i="4"/>
  <c r="CA198" i="4"/>
  <c r="BX199" i="4"/>
  <c r="BY199" i="4"/>
  <c r="BZ199" i="4"/>
  <c r="CA199" i="4"/>
  <c r="BX200" i="4"/>
  <c r="BY200" i="4"/>
  <c r="BZ200" i="4"/>
  <c r="CA200" i="4"/>
  <c r="BX201" i="4"/>
  <c r="BY201" i="4"/>
  <c r="BZ201" i="4"/>
  <c r="CA201" i="4"/>
  <c r="BX202" i="4"/>
  <c r="BY202" i="4"/>
  <c r="BZ202" i="4"/>
  <c r="CA202" i="4"/>
  <c r="BX203" i="4"/>
  <c r="BY203" i="4"/>
  <c r="BZ203" i="4"/>
  <c r="CA203" i="4"/>
  <c r="BX204" i="4"/>
  <c r="BY204" i="4"/>
  <c r="BZ204" i="4"/>
  <c r="CA204" i="4"/>
  <c r="BX205" i="4"/>
  <c r="BY205" i="4"/>
  <c r="BZ205" i="4"/>
  <c r="CA205" i="4"/>
  <c r="BX206" i="4"/>
  <c r="BY206" i="4"/>
  <c r="BZ206" i="4"/>
  <c r="CA206" i="4"/>
  <c r="BX207" i="4"/>
  <c r="BY207" i="4"/>
  <c r="BZ207" i="4"/>
  <c r="CA207" i="4"/>
  <c r="BX208" i="4"/>
  <c r="BY208" i="4"/>
  <c r="BZ208" i="4"/>
  <c r="CA208" i="4"/>
  <c r="BX209" i="4"/>
  <c r="BY209" i="4"/>
  <c r="BZ209" i="4"/>
  <c r="CA209" i="4"/>
  <c r="BX210" i="4"/>
  <c r="BY210" i="4"/>
  <c r="BZ210" i="4"/>
  <c r="CA210" i="4"/>
  <c r="BX211" i="4"/>
  <c r="BY211" i="4"/>
  <c r="BZ211" i="4"/>
  <c r="CA211" i="4"/>
  <c r="CB211" i="4"/>
  <c r="BX212" i="4"/>
  <c r="BY212" i="4"/>
  <c r="BZ212" i="4"/>
  <c r="CA212" i="4"/>
  <c r="CB212" i="4" s="1"/>
  <c r="BX213" i="4"/>
  <c r="BY213" i="4"/>
  <c r="BZ213" i="4"/>
  <c r="CA213" i="4"/>
  <c r="BX214" i="4"/>
  <c r="BY214" i="4"/>
  <c r="BZ214" i="4"/>
  <c r="CA214" i="4"/>
  <c r="BX215" i="4"/>
  <c r="BY215" i="4"/>
  <c r="BZ215" i="4"/>
  <c r="CA215" i="4"/>
  <c r="BX216" i="4"/>
  <c r="BY216" i="4"/>
  <c r="BZ216" i="4"/>
  <c r="CA216" i="4"/>
  <c r="BX217" i="4"/>
  <c r="BY217" i="4"/>
  <c r="BZ217" i="4"/>
  <c r="CA217" i="4"/>
  <c r="BX218" i="4"/>
  <c r="BY218" i="4"/>
  <c r="BZ218" i="4"/>
  <c r="CA218" i="4"/>
  <c r="BX219" i="4"/>
  <c r="BY219" i="4"/>
  <c r="BZ219" i="4"/>
  <c r="CA219" i="4"/>
  <c r="BX220" i="4"/>
  <c r="BY220" i="4"/>
  <c r="BZ220" i="4"/>
  <c r="CA220" i="4"/>
  <c r="BX221" i="4"/>
  <c r="BY221" i="4"/>
  <c r="BZ221" i="4"/>
  <c r="CA221" i="4"/>
  <c r="BX222" i="4"/>
  <c r="BY222" i="4"/>
  <c r="BZ222" i="4"/>
  <c r="CA222" i="4"/>
  <c r="BX223" i="4"/>
  <c r="BY223" i="4"/>
  <c r="BZ223" i="4"/>
  <c r="CA223" i="4"/>
  <c r="BX224" i="4"/>
  <c r="BY224" i="4"/>
  <c r="BZ224" i="4"/>
  <c r="CA224" i="4"/>
  <c r="BX225" i="4"/>
  <c r="BY225" i="4"/>
  <c r="BZ225" i="4"/>
  <c r="CA225" i="4"/>
  <c r="BX226" i="4"/>
  <c r="BY226" i="4"/>
  <c r="BZ226" i="4"/>
  <c r="CA226" i="4"/>
  <c r="BX227" i="4"/>
  <c r="BY227" i="4"/>
  <c r="BZ227" i="4"/>
  <c r="CA227" i="4"/>
  <c r="BX228" i="4"/>
  <c r="BY228" i="4"/>
  <c r="BZ228" i="4"/>
  <c r="CA228" i="4"/>
  <c r="BX229" i="4"/>
  <c r="BY229" i="4"/>
  <c r="BZ229" i="4"/>
  <c r="CA229" i="4"/>
  <c r="BX230" i="4"/>
  <c r="BY230" i="4"/>
  <c r="BZ230" i="4"/>
  <c r="CA230" i="4"/>
  <c r="BX231" i="4"/>
  <c r="BY231" i="4"/>
  <c r="BZ231" i="4"/>
  <c r="CA231" i="4"/>
  <c r="BX232" i="4"/>
  <c r="BY232" i="4"/>
  <c r="BZ232" i="4"/>
  <c r="CA232" i="4"/>
  <c r="BX233" i="4"/>
  <c r="BY233" i="4"/>
  <c r="BZ233" i="4"/>
  <c r="CA233" i="4"/>
  <c r="BX234" i="4"/>
  <c r="BY234" i="4"/>
  <c r="BZ234" i="4"/>
  <c r="CA234" i="4"/>
  <c r="BX235" i="4"/>
  <c r="BY235" i="4"/>
  <c r="BZ235" i="4"/>
  <c r="CA235" i="4"/>
  <c r="BX236" i="4"/>
  <c r="BY236" i="4"/>
  <c r="BZ236" i="4"/>
  <c r="CA236" i="4"/>
  <c r="BX237" i="4"/>
  <c r="BY237" i="4"/>
  <c r="BZ237" i="4"/>
  <c r="CA237" i="4"/>
  <c r="BX238" i="4"/>
  <c r="BY238" i="4"/>
  <c r="BZ238" i="4"/>
  <c r="CA238" i="4"/>
  <c r="BX239" i="4"/>
  <c r="BY239" i="4"/>
  <c r="CB239" i="4" s="1"/>
  <c r="BZ239" i="4"/>
  <c r="CA239" i="4"/>
  <c r="BX240" i="4"/>
  <c r="BY240" i="4"/>
  <c r="CB240" i="4" s="1"/>
  <c r="BZ240" i="4"/>
  <c r="CA240" i="4"/>
  <c r="BX241" i="4"/>
  <c r="BY241" i="4"/>
  <c r="BZ241" i="4"/>
  <c r="CA241" i="4"/>
  <c r="BX242" i="4"/>
  <c r="BY242" i="4"/>
  <c r="BZ242" i="4"/>
  <c r="CA242" i="4"/>
  <c r="BX243" i="4"/>
  <c r="BY243" i="4"/>
  <c r="CB243" i="4" s="1"/>
  <c r="BZ243" i="4"/>
  <c r="CA243" i="4"/>
  <c r="BX244" i="4"/>
  <c r="BY244" i="4"/>
  <c r="BZ244" i="4"/>
  <c r="CA244" i="4"/>
  <c r="BX245" i="4"/>
  <c r="BY245" i="4"/>
  <c r="BZ245" i="4"/>
  <c r="CA245" i="4"/>
  <c r="BX246" i="4"/>
  <c r="BY246" i="4"/>
  <c r="BZ246" i="4"/>
  <c r="CA246" i="4"/>
  <c r="BX247" i="4"/>
  <c r="BY247" i="4"/>
  <c r="BZ247" i="4"/>
  <c r="CA247" i="4"/>
  <c r="BX248" i="4"/>
  <c r="BY248" i="4"/>
  <c r="BZ248" i="4"/>
  <c r="CA248" i="4"/>
  <c r="BX249" i="4"/>
  <c r="BY249" i="4"/>
  <c r="BZ249" i="4"/>
  <c r="CA249" i="4"/>
  <c r="BX250" i="4"/>
  <c r="BY250" i="4"/>
  <c r="BZ250" i="4"/>
  <c r="CA250" i="4"/>
  <c r="BX251" i="4"/>
  <c r="BY251" i="4"/>
  <c r="BZ251" i="4"/>
  <c r="CA251" i="4"/>
  <c r="BX252" i="4"/>
  <c r="BY252" i="4"/>
  <c r="BZ252" i="4"/>
  <c r="CA252" i="4"/>
  <c r="BX253" i="4"/>
  <c r="BY253" i="4"/>
  <c r="BZ253" i="4"/>
  <c r="CA253" i="4"/>
  <c r="BX254" i="4"/>
  <c r="BY254" i="4"/>
  <c r="BZ254" i="4"/>
  <c r="CA254" i="4"/>
  <c r="BX255" i="4"/>
  <c r="BY255" i="4"/>
  <c r="CB255" i="4" s="1"/>
  <c r="BZ255" i="4"/>
  <c r="CA255" i="4"/>
  <c r="BX256" i="4"/>
  <c r="BY256" i="4"/>
  <c r="CB256" i="4" s="1"/>
  <c r="BZ256" i="4"/>
  <c r="CA256" i="4"/>
  <c r="BX257" i="4"/>
  <c r="BY257" i="4"/>
  <c r="BZ257" i="4"/>
  <c r="CA257" i="4"/>
  <c r="BX258" i="4"/>
  <c r="BY258" i="4"/>
  <c r="BZ258" i="4"/>
  <c r="CA258" i="4"/>
  <c r="BX259" i="4"/>
  <c r="BY259" i="4"/>
  <c r="CB259" i="4" s="1"/>
  <c r="BZ259" i="4"/>
  <c r="CA259" i="4"/>
  <c r="BX260" i="4"/>
  <c r="BY260" i="4"/>
  <c r="BZ260" i="4"/>
  <c r="CA260" i="4"/>
  <c r="BX261" i="4"/>
  <c r="BY261" i="4"/>
  <c r="BZ261" i="4"/>
  <c r="CA261" i="4"/>
  <c r="BX262" i="4"/>
  <c r="BY262" i="4"/>
  <c r="BZ262" i="4"/>
  <c r="CA262" i="4"/>
  <c r="BX263" i="4"/>
  <c r="BY263" i="4"/>
  <c r="BZ263" i="4"/>
  <c r="CA263" i="4"/>
  <c r="BX264" i="4"/>
  <c r="BY264" i="4"/>
  <c r="BZ264" i="4"/>
  <c r="CA264" i="4"/>
  <c r="BX265" i="4"/>
  <c r="BY265" i="4"/>
  <c r="BZ265" i="4"/>
  <c r="CA265" i="4"/>
  <c r="BX266" i="4"/>
  <c r="BY266" i="4"/>
  <c r="BZ266" i="4"/>
  <c r="CA266" i="4"/>
  <c r="BX267" i="4"/>
  <c r="BY267" i="4"/>
  <c r="BZ267" i="4"/>
  <c r="CA267" i="4"/>
  <c r="BX268" i="4"/>
  <c r="BY268" i="4"/>
  <c r="BZ268" i="4"/>
  <c r="CA268" i="4"/>
  <c r="BX269" i="4"/>
  <c r="BY269" i="4"/>
  <c r="BZ269" i="4"/>
  <c r="CA269" i="4"/>
  <c r="BX270" i="4"/>
  <c r="BY270" i="4"/>
  <c r="BZ270" i="4"/>
  <c r="CA270" i="4"/>
  <c r="BX271" i="4"/>
  <c r="BY271" i="4"/>
  <c r="BZ271" i="4"/>
  <c r="CA271" i="4"/>
  <c r="BX272" i="4"/>
  <c r="BY272" i="4"/>
  <c r="BZ272" i="4"/>
  <c r="CA272" i="4"/>
  <c r="BX273" i="4"/>
  <c r="BY273" i="4"/>
  <c r="BZ273" i="4"/>
  <c r="CA273" i="4"/>
  <c r="BX274" i="4"/>
  <c r="BY274" i="4"/>
  <c r="BZ274" i="4"/>
  <c r="CA274" i="4"/>
  <c r="BX275" i="4"/>
  <c r="BY275" i="4"/>
  <c r="BZ275" i="4"/>
  <c r="CA275" i="4"/>
  <c r="CB275" i="4"/>
  <c r="BX276" i="4"/>
  <c r="BY276" i="4"/>
  <c r="BZ276" i="4"/>
  <c r="CA276" i="4"/>
  <c r="CB276" i="4" s="1"/>
  <c r="BX277" i="4"/>
  <c r="BY277" i="4"/>
  <c r="BZ277" i="4"/>
  <c r="CA277" i="4"/>
  <c r="BX278" i="4"/>
  <c r="BY278" i="4"/>
  <c r="BZ278" i="4"/>
  <c r="CA278" i="4"/>
  <c r="BX279" i="4"/>
  <c r="BY279" i="4"/>
  <c r="BZ279" i="4"/>
  <c r="CA279" i="4"/>
  <c r="BX280" i="4"/>
  <c r="BY280" i="4"/>
  <c r="BZ280" i="4"/>
  <c r="CA280" i="4"/>
  <c r="BX281" i="4"/>
  <c r="BY281" i="4"/>
  <c r="BZ281" i="4"/>
  <c r="CA281" i="4"/>
  <c r="BX282" i="4"/>
  <c r="BY282" i="4"/>
  <c r="BZ282" i="4"/>
  <c r="CA282" i="4"/>
  <c r="BX283" i="4"/>
  <c r="BY283" i="4"/>
  <c r="BZ283" i="4"/>
  <c r="CA283" i="4"/>
  <c r="BX284" i="4"/>
  <c r="BY284" i="4"/>
  <c r="BZ284" i="4"/>
  <c r="CA284" i="4"/>
  <c r="BX285" i="4"/>
  <c r="BY285" i="4"/>
  <c r="BZ285" i="4"/>
  <c r="CA285" i="4"/>
  <c r="BX286" i="4"/>
  <c r="BY286" i="4"/>
  <c r="BZ286" i="4"/>
  <c r="CA286" i="4"/>
  <c r="BX287" i="4"/>
  <c r="BY287" i="4"/>
  <c r="BZ287" i="4"/>
  <c r="CA287" i="4"/>
  <c r="BX288" i="4"/>
  <c r="BY288" i="4"/>
  <c r="BZ288" i="4"/>
  <c r="CA288" i="4"/>
  <c r="BX289" i="4"/>
  <c r="BY289" i="4"/>
  <c r="BZ289" i="4"/>
  <c r="CA289" i="4"/>
  <c r="BX290" i="4"/>
  <c r="BY290" i="4"/>
  <c r="BZ290" i="4"/>
  <c r="CA290" i="4"/>
  <c r="BX291" i="4"/>
  <c r="BY291" i="4"/>
  <c r="CB291" i="4" s="1"/>
  <c r="BZ291" i="4"/>
  <c r="CA291" i="4"/>
  <c r="BX292" i="4"/>
  <c r="BY292" i="4"/>
  <c r="BZ292" i="4"/>
  <c r="CA292" i="4"/>
  <c r="BX293" i="4"/>
  <c r="BY293" i="4"/>
  <c r="BZ293" i="4"/>
  <c r="CA293" i="4"/>
  <c r="BX294" i="4"/>
  <c r="BY294" i="4"/>
  <c r="BZ294" i="4"/>
  <c r="CA294" i="4"/>
  <c r="BX295" i="4"/>
  <c r="BY295" i="4"/>
  <c r="BZ295" i="4"/>
  <c r="CA295" i="4"/>
  <c r="BX296" i="4"/>
  <c r="BY296" i="4"/>
  <c r="BZ296" i="4"/>
  <c r="CA296" i="4"/>
  <c r="BX297" i="4"/>
  <c r="BY297" i="4"/>
  <c r="BZ297" i="4"/>
  <c r="CA297" i="4"/>
  <c r="BX298" i="4"/>
  <c r="BY298" i="4"/>
  <c r="BZ298" i="4"/>
  <c r="CA298" i="4"/>
  <c r="BX299" i="4"/>
  <c r="BY299" i="4"/>
  <c r="BZ299" i="4"/>
  <c r="CA299" i="4"/>
  <c r="BX300" i="4"/>
  <c r="BY300" i="4"/>
  <c r="BZ300" i="4"/>
  <c r="CA300" i="4"/>
  <c r="BX301" i="4"/>
  <c r="BY301" i="4"/>
  <c r="BZ301" i="4"/>
  <c r="CA301" i="4"/>
  <c r="BX302" i="4"/>
  <c r="BY302" i="4"/>
  <c r="BZ302" i="4"/>
  <c r="CA302" i="4"/>
  <c r="BX303" i="4"/>
  <c r="BY303" i="4"/>
  <c r="CB303" i="4" s="1"/>
  <c r="BZ303" i="4"/>
  <c r="CA303" i="4"/>
  <c r="BX304" i="4"/>
  <c r="BY304" i="4"/>
  <c r="CB304" i="4" s="1"/>
  <c r="BZ304" i="4"/>
  <c r="CA304" i="4"/>
  <c r="BX305" i="4"/>
  <c r="BY305" i="4"/>
  <c r="BZ305" i="4"/>
  <c r="CA305" i="4"/>
  <c r="BX306" i="4"/>
  <c r="BY306" i="4"/>
  <c r="BZ306" i="4"/>
  <c r="CA306" i="4"/>
  <c r="BX307" i="4"/>
  <c r="BY307" i="4"/>
  <c r="CB307" i="4" s="1"/>
  <c r="BZ307" i="4"/>
  <c r="CA307" i="4"/>
  <c r="BX308" i="4"/>
  <c r="BY308" i="4"/>
  <c r="BZ308" i="4"/>
  <c r="CA308" i="4"/>
  <c r="BX309" i="4"/>
  <c r="BY309" i="4"/>
  <c r="BZ309" i="4"/>
  <c r="CA309" i="4"/>
  <c r="BX310" i="4"/>
  <c r="BY310" i="4"/>
  <c r="BZ310" i="4"/>
  <c r="CA310" i="4"/>
  <c r="BX311" i="4"/>
  <c r="BY311" i="4"/>
  <c r="BZ311" i="4"/>
  <c r="CA311" i="4"/>
  <c r="BX312" i="4"/>
  <c r="BY312" i="4"/>
  <c r="CB312" i="4" s="1"/>
  <c r="BZ312" i="4"/>
  <c r="CA312" i="4"/>
  <c r="BX313" i="4"/>
  <c r="BY313" i="4"/>
  <c r="BZ313" i="4"/>
  <c r="CA313" i="4"/>
  <c r="BX314" i="4"/>
  <c r="BY314" i="4"/>
  <c r="BZ314" i="4"/>
  <c r="CA314" i="4"/>
  <c r="BX315" i="4"/>
  <c r="BY315" i="4"/>
  <c r="BZ315" i="4"/>
  <c r="CA315" i="4"/>
  <c r="BX316" i="4"/>
  <c r="BY316" i="4"/>
  <c r="BZ316" i="4"/>
  <c r="CA316" i="4"/>
  <c r="BX317" i="4"/>
  <c r="BY317" i="4"/>
  <c r="BZ317" i="4"/>
  <c r="CA317" i="4"/>
  <c r="BX318" i="4"/>
  <c r="BY318" i="4"/>
  <c r="BZ318" i="4"/>
  <c r="CA318" i="4"/>
  <c r="BX319" i="4"/>
  <c r="BY319" i="4"/>
  <c r="CB319" i="4" s="1"/>
  <c r="BZ319" i="4"/>
  <c r="CA319" i="4"/>
  <c r="BX320" i="4"/>
  <c r="BY320" i="4"/>
  <c r="CB320" i="4" s="1"/>
  <c r="BZ320" i="4"/>
  <c r="CA320" i="4"/>
  <c r="BX321" i="4"/>
  <c r="BY321" i="4"/>
  <c r="BZ321" i="4"/>
  <c r="CA321" i="4"/>
  <c r="BX322" i="4"/>
  <c r="BY322" i="4"/>
  <c r="BZ322" i="4"/>
  <c r="CA322" i="4"/>
  <c r="BX323" i="4"/>
  <c r="BY323" i="4"/>
  <c r="CB323" i="4" s="1"/>
  <c r="BZ323" i="4"/>
  <c r="CA323" i="4"/>
  <c r="BX324" i="4"/>
  <c r="BY324" i="4"/>
  <c r="BZ324" i="4"/>
  <c r="CA324" i="4"/>
  <c r="BX325" i="4"/>
  <c r="BY325" i="4"/>
  <c r="BZ325" i="4"/>
  <c r="CA325" i="4"/>
  <c r="BX326" i="4"/>
  <c r="BY326" i="4"/>
  <c r="BZ326" i="4"/>
  <c r="CA326" i="4"/>
  <c r="BX327" i="4"/>
  <c r="BY327" i="4"/>
  <c r="BZ327" i="4"/>
  <c r="CA327" i="4"/>
  <c r="BX328" i="4"/>
  <c r="BY328" i="4"/>
  <c r="BZ328" i="4"/>
  <c r="CA328" i="4"/>
  <c r="BX329" i="4"/>
  <c r="BY329" i="4"/>
  <c r="BZ329" i="4"/>
  <c r="CA329" i="4"/>
  <c r="BX330" i="4"/>
  <c r="BY330" i="4"/>
  <c r="BZ330" i="4"/>
  <c r="CA330" i="4"/>
  <c r="BX331" i="4"/>
  <c r="BY331" i="4"/>
  <c r="BZ331" i="4"/>
  <c r="CA331" i="4"/>
  <c r="BX332" i="4"/>
  <c r="BY332" i="4"/>
  <c r="BZ332" i="4"/>
  <c r="CA332" i="4"/>
  <c r="BX333" i="4"/>
  <c r="BY333" i="4"/>
  <c r="BZ333" i="4"/>
  <c r="CA333" i="4"/>
  <c r="BX334" i="4"/>
  <c r="BY334" i="4"/>
  <c r="BZ334" i="4"/>
  <c r="CA334" i="4"/>
  <c r="BX335" i="4"/>
  <c r="BY335" i="4"/>
  <c r="BZ335" i="4"/>
  <c r="CA335" i="4"/>
  <c r="BX336" i="4"/>
  <c r="BY336" i="4"/>
  <c r="BZ336" i="4"/>
  <c r="CA336" i="4"/>
  <c r="BX337" i="4"/>
  <c r="BY337" i="4"/>
  <c r="BZ337" i="4"/>
  <c r="CA337" i="4"/>
  <c r="BX338" i="4"/>
  <c r="BY338" i="4"/>
  <c r="BZ338" i="4"/>
  <c r="CA338" i="4"/>
  <c r="BX339" i="4"/>
  <c r="BY339" i="4"/>
  <c r="BZ339" i="4"/>
  <c r="CA339" i="4"/>
  <c r="CB339" i="4"/>
  <c r="BX340" i="4"/>
  <c r="BY340" i="4"/>
  <c r="BZ340" i="4"/>
  <c r="CA340" i="4"/>
  <c r="CB340" i="4" s="1"/>
  <c r="BX341" i="4"/>
  <c r="BY341" i="4"/>
  <c r="BZ341" i="4"/>
  <c r="CA341" i="4"/>
  <c r="BX342" i="4"/>
  <c r="BY342" i="4"/>
  <c r="BZ342" i="4"/>
  <c r="CA342" i="4"/>
  <c r="BX343" i="4"/>
  <c r="BY343" i="4"/>
  <c r="BZ343" i="4"/>
  <c r="CA343" i="4"/>
  <c r="BX344" i="4"/>
  <c r="BY344" i="4"/>
  <c r="BZ344" i="4"/>
  <c r="CA344" i="4"/>
  <c r="BX345" i="4"/>
  <c r="BY345" i="4"/>
  <c r="BZ345" i="4"/>
  <c r="CA345" i="4"/>
  <c r="BX346" i="4"/>
  <c r="BY346" i="4"/>
  <c r="BZ346" i="4"/>
  <c r="CA346" i="4"/>
  <c r="BX347" i="4"/>
  <c r="BY347" i="4"/>
  <c r="BZ347" i="4"/>
  <c r="CA347" i="4"/>
  <c r="BX348" i="4"/>
  <c r="BY348" i="4"/>
  <c r="BZ348" i="4"/>
  <c r="CA348" i="4"/>
  <c r="BX349" i="4"/>
  <c r="BY349" i="4"/>
  <c r="BZ349" i="4"/>
  <c r="CA349" i="4"/>
  <c r="BX350" i="4"/>
  <c r="BY350" i="4"/>
  <c r="BZ350" i="4"/>
  <c r="CA350" i="4"/>
  <c r="BX351" i="4"/>
  <c r="BY351" i="4"/>
  <c r="BZ351" i="4"/>
  <c r="CA351" i="4"/>
  <c r="BX352" i="4"/>
  <c r="BY352" i="4"/>
  <c r="BZ352" i="4"/>
  <c r="CA352" i="4"/>
  <c r="BX353" i="4"/>
  <c r="BY353" i="4"/>
  <c r="BZ353" i="4"/>
  <c r="CA353" i="4"/>
  <c r="BX354" i="4"/>
  <c r="BY354" i="4"/>
  <c r="BZ354" i="4"/>
  <c r="CA354" i="4"/>
  <c r="BX355" i="4"/>
  <c r="BY355" i="4"/>
  <c r="BZ355" i="4"/>
  <c r="CA355" i="4"/>
  <c r="BX356" i="4"/>
  <c r="BY356" i="4"/>
  <c r="BZ356" i="4"/>
  <c r="CA356" i="4"/>
  <c r="BX357" i="4"/>
  <c r="BY357" i="4"/>
  <c r="BZ357" i="4"/>
  <c r="CA357" i="4"/>
  <c r="BX358" i="4"/>
  <c r="BY358" i="4"/>
  <c r="BZ358" i="4"/>
  <c r="CA358" i="4"/>
  <c r="BX359" i="4"/>
  <c r="BY359" i="4"/>
  <c r="BZ359" i="4"/>
  <c r="CA359" i="4"/>
  <c r="BX360" i="4"/>
  <c r="BY360" i="4"/>
  <c r="BZ360" i="4"/>
  <c r="CA360" i="4"/>
  <c r="BX361" i="4"/>
  <c r="BY361" i="4"/>
  <c r="BZ361" i="4"/>
  <c r="CA361" i="4"/>
  <c r="BX362" i="4"/>
  <c r="BY362" i="4"/>
  <c r="BZ362" i="4"/>
  <c r="CA362" i="4"/>
  <c r="BX363" i="4"/>
  <c r="BY363" i="4"/>
  <c r="BZ363" i="4"/>
  <c r="CA363" i="4"/>
  <c r="BX364" i="4"/>
  <c r="BY364" i="4"/>
  <c r="BZ364" i="4"/>
  <c r="CA364" i="4"/>
  <c r="BX365" i="4"/>
  <c r="BY365" i="4"/>
  <c r="BZ365" i="4"/>
  <c r="CA365" i="4"/>
  <c r="BX366" i="4"/>
  <c r="BY366" i="4"/>
  <c r="BZ366" i="4"/>
  <c r="CA366" i="4"/>
  <c r="BX367" i="4"/>
  <c r="BY367" i="4"/>
  <c r="BZ367" i="4"/>
  <c r="CA367" i="4"/>
  <c r="BX368" i="4"/>
  <c r="BY368" i="4"/>
  <c r="BZ368" i="4"/>
  <c r="CA368" i="4"/>
  <c r="BX369" i="4"/>
  <c r="BY369" i="4"/>
  <c r="BZ369" i="4"/>
  <c r="CA369" i="4"/>
  <c r="BX370" i="4"/>
  <c r="BY370" i="4"/>
  <c r="BZ370" i="4"/>
  <c r="CA370" i="4"/>
  <c r="BX371" i="4"/>
  <c r="BY371" i="4"/>
  <c r="BZ371" i="4"/>
  <c r="CA371" i="4"/>
  <c r="BX372" i="4"/>
  <c r="BY372" i="4"/>
  <c r="BZ372" i="4"/>
  <c r="CA372" i="4"/>
  <c r="BX373" i="4"/>
  <c r="BY373" i="4"/>
  <c r="BZ373" i="4"/>
  <c r="CA373" i="4"/>
  <c r="BX374" i="4"/>
  <c r="BY374" i="4"/>
  <c r="CB374" i="4" s="1"/>
  <c r="BZ374" i="4"/>
  <c r="CA374" i="4"/>
  <c r="BX375" i="4"/>
  <c r="BY375" i="4"/>
  <c r="BZ375" i="4"/>
  <c r="CA375" i="4"/>
  <c r="BX376" i="4"/>
  <c r="BY376" i="4"/>
  <c r="BZ376" i="4"/>
  <c r="CA376" i="4"/>
  <c r="BX377" i="4"/>
  <c r="BY377" i="4"/>
  <c r="BZ377" i="4"/>
  <c r="CA377" i="4"/>
  <c r="BX378" i="4"/>
  <c r="BY378" i="4"/>
  <c r="BZ378" i="4"/>
  <c r="CA378" i="4"/>
  <c r="BX379" i="4"/>
  <c r="BY379" i="4"/>
  <c r="BZ379" i="4"/>
  <c r="CA379" i="4"/>
  <c r="BX380" i="4"/>
  <c r="BY380" i="4"/>
  <c r="CB380" i="4" s="1"/>
  <c r="BZ380" i="4"/>
  <c r="CA380" i="4"/>
  <c r="BX381" i="4"/>
  <c r="BY381" i="4"/>
  <c r="CB381" i="4" s="1"/>
  <c r="BZ381" i="4"/>
  <c r="CA381" i="4"/>
  <c r="BX382" i="4"/>
  <c r="BY382" i="4"/>
  <c r="CB382" i="4" s="1"/>
  <c r="BZ382" i="4"/>
  <c r="CA382" i="4"/>
  <c r="BX383" i="4"/>
  <c r="BY383" i="4"/>
  <c r="BZ383" i="4"/>
  <c r="CA383" i="4"/>
  <c r="BX384" i="4"/>
  <c r="BY384" i="4"/>
  <c r="BZ384" i="4"/>
  <c r="CA384" i="4"/>
  <c r="BX385" i="4"/>
  <c r="BY385" i="4"/>
  <c r="BZ385" i="4"/>
  <c r="CA385" i="4"/>
  <c r="BX386" i="4"/>
  <c r="BY386" i="4"/>
  <c r="CB386" i="4" s="1"/>
  <c r="BZ386" i="4"/>
  <c r="CA386" i="4"/>
  <c r="BX387" i="4"/>
  <c r="BY387" i="4"/>
  <c r="BZ387" i="4"/>
  <c r="CA387" i="4"/>
  <c r="BX388" i="4"/>
  <c r="BY388" i="4"/>
  <c r="BZ388" i="4"/>
  <c r="CA388" i="4"/>
  <c r="BX389" i="4"/>
  <c r="BY389" i="4"/>
  <c r="CB389" i="4" s="1"/>
  <c r="BZ389" i="4"/>
  <c r="CA389" i="4"/>
  <c r="BX390" i="4"/>
  <c r="BY390" i="4"/>
  <c r="BZ390" i="4"/>
  <c r="CA390" i="4"/>
  <c r="BX391" i="4"/>
  <c r="BY391" i="4"/>
  <c r="BZ391" i="4"/>
  <c r="CA391" i="4"/>
  <c r="BX392" i="4"/>
  <c r="BY392" i="4"/>
  <c r="BZ392" i="4"/>
  <c r="CA392" i="4"/>
  <c r="BX393" i="4"/>
  <c r="BY393" i="4"/>
  <c r="BZ393" i="4"/>
  <c r="CA393" i="4"/>
  <c r="BX394" i="4"/>
  <c r="BY394" i="4"/>
  <c r="BZ394" i="4"/>
  <c r="CA394" i="4"/>
  <c r="BX395" i="4"/>
  <c r="BY395" i="4"/>
  <c r="BZ395" i="4"/>
  <c r="CA395" i="4"/>
  <c r="BX396" i="4"/>
  <c r="BY396" i="4"/>
  <c r="BZ396" i="4"/>
  <c r="CA396" i="4"/>
  <c r="BX397" i="4"/>
  <c r="BY397" i="4"/>
  <c r="BZ397" i="4"/>
  <c r="CA397" i="4"/>
  <c r="BX398" i="4"/>
  <c r="BY398" i="4"/>
  <c r="CB398" i="4" s="1"/>
  <c r="BZ398" i="4"/>
  <c r="CA398" i="4"/>
  <c r="BX399" i="4"/>
  <c r="BY399" i="4"/>
  <c r="BZ399" i="4"/>
  <c r="CA399" i="4"/>
  <c r="BX400" i="4"/>
  <c r="BY400" i="4"/>
  <c r="BZ400" i="4"/>
  <c r="CA400" i="4"/>
  <c r="BX401" i="4"/>
  <c r="BY401" i="4"/>
  <c r="BZ401" i="4"/>
  <c r="CA401" i="4"/>
  <c r="BX402" i="4"/>
  <c r="BY402" i="4"/>
  <c r="BZ402" i="4"/>
  <c r="CA402" i="4"/>
  <c r="BX403" i="4"/>
  <c r="BY403" i="4"/>
  <c r="BZ403" i="4"/>
  <c r="CA403" i="4"/>
  <c r="BX404" i="4"/>
  <c r="BY404" i="4"/>
  <c r="BZ404" i="4"/>
  <c r="CA404" i="4"/>
  <c r="BX405" i="4"/>
  <c r="BY405" i="4"/>
  <c r="BZ405" i="4"/>
  <c r="CA405" i="4"/>
  <c r="BX406" i="4"/>
  <c r="BY406" i="4"/>
  <c r="BZ406" i="4"/>
  <c r="CA406" i="4"/>
  <c r="BX407" i="4"/>
  <c r="BY407" i="4"/>
  <c r="BZ407" i="4"/>
  <c r="CA407" i="4"/>
  <c r="BX408" i="4"/>
  <c r="BY408" i="4"/>
  <c r="BZ408" i="4"/>
  <c r="CA408" i="4"/>
  <c r="BX409" i="4"/>
  <c r="BY409" i="4"/>
  <c r="BZ409" i="4"/>
  <c r="CA409" i="4"/>
  <c r="BX410" i="4"/>
  <c r="BY410" i="4"/>
  <c r="BZ410" i="4"/>
  <c r="CA410" i="4"/>
  <c r="BX411" i="4"/>
  <c r="BY411" i="4"/>
  <c r="BZ411" i="4"/>
  <c r="CA411" i="4"/>
  <c r="BX412" i="4"/>
  <c r="BY412" i="4"/>
  <c r="BZ412" i="4"/>
  <c r="CA412" i="4"/>
  <c r="BX413" i="4"/>
  <c r="BY413" i="4"/>
  <c r="BZ413" i="4"/>
  <c r="CA413" i="4"/>
  <c r="BX414" i="4"/>
  <c r="BY414" i="4"/>
  <c r="BZ414" i="4"/>
  <c r="CA414" i="4"/>
  <c r="BX415" i="4"/>
  <c r="BY415" i="4"/>
  <c r="BZ415" i="4"/>
  <c r="CA415" i="4"/>
  <c r="BX416" i="4"/>
  <c r="BY416" i="4"/>
  <c r="BZ416" i="4"/>
  <c r="CA416" i="4"/>
  <c r="BX417" i="4"/>
  <c r="BY417" i="4"/>
  <c r="BZ417" i="4"/>
  <c r="CA417" i="4"/>
  <c r="BX418" i="4"/>
  <c r="BY418" i="4"/>
  <c r="BZ418" i="4"/>
  <c r="CA418" i="4"/>
  <c r="BX419" i="4"/>
  <c r="BY419" i="4"/>
  <c r="BZ419" i="4"/>
  <c r="CA419" i="4"/>
  <c r="BX420" i="4"/>
  <c r="BY420" i="4"/>
  <c r="BZ420" i="4"/>
  <c r="CA420" i="4"/>
  <c r="BX421" i="4"/>
  <c r="CB421" i="4" s="1"/>
  <c r="BY421" i="4"/>
  <c r="BZ421" i="4"/>
  <c r="CA421" i="4"/>
  <c r="BX422" i="4"/>
  <c r="BY422" i="4"/>
  <c r="BZ422" i="4"/>
  <c r="CA422" i="4"/>
  <c r="BX423" i="4"/>
  <c r="BY423" i="4"/>
  <c r="BZ423" i="4"/>
  <c r="CA423" i="4"/>
  <c r="BX424" i="4"/>
  <c r="BY424" i="4"/>
  <c r="BZ424" i="4"/>
  <c r="CA424" i="4"/>
  <c r="BX425" i="4"/>
  <c r="BY425" i="4"/>
  <c r="CB425" i="4" s="1"/>
  <c r="BZ425" i="4"/>
  <c r="CA425" i="4"/>
  <c r="BX426" i="4"/>
  <c r="BY426" i="4"/>
  <c r="BZ426" i="4"/>
  <c r="CA426" i="4"/>
  <c r="BX427" i="4"/>
  <c r="BY427" i="4"/>
  <c r="BZ427" i="4"/>
  <c r="CA427" i="4"/>
  <c r="BX428" i="4"/>
  <c r="BY428" i="4"/>
  <c r="BZ428" i="4"/>
  <c r="CA428" i="4"/>
  <c r="BX429" i="4"/>
  <c r="BY429" i="4"/>
  <c r="BZ429" i="4"/>
  <c r="CA429" i="4"/>
  <c r="BX430" i="4"/>
  <c r="BY430" i="4"/>
  <c r="BZ430" i="4"/>
  <c r="CA430" i="4"/>
  <c r="BX431" i="4"/>
  <c r="BY431" i="4"/>
  <c r="BZ431" i="4"/>
  <c r="CA431" i="4"/>
  <c r="BX432" i="4"/>
  <c r="BY432" i="4"/>
  <c r="CB432" i="4" s="1"/>
  <c r="BZ432" i="4"/>
  <c r="CA432" i="4"/>
  <c r="BX433" i="4"/>
  <c r="BY433" i="4"/>
  <c r="CB433" i="4" s="1"/>
  <c r="BZ433" i="4"/>
  <c r="CA433" i="4"/>
  <c r="BX434" i="4"/>
  <c r="BY434" i="4"/>
  <c r="BZ434" i="4"/>
  <c r="CA434" i="4"/>
  <c r="BX435" i="4"/>
  <c r="BY435" i="4"/>
  <c r="BZ435" i="4"/>
  <c r="CA435" i="4"/>
  <c r="BX436" i="4"/>
  <c r="BY436" i="4"/>
  <c r="BZ436" i="4"/>
  <c r="CA436" i="4"/>
  <c r="BX437" i="4"/>
  <c r="BY437" i="4"/>
  <c r="BZ437" i="4"/>
  <c r="CA437" i="4"/>
  <c r="BX438" i="4"/>
  <c r="BY438" i="4"/>
  <c r="BZ438" i="4"/>
  <c r="CA438" i="4"/>
  <c r="BX439" i="4"/>
  <c r="BY439" i="4"/>
  <c r="BZ439" i="4"/>
  <c r="CA439" i="4"/>
  <c r="BX440" i="4"/>
  <c r="BY440" i="4"/>
  <c r="CB440" i="4" s="1"/>
  <c r="BZ440" i="4"/>
  <c r="CA440" i="4"/>
  <c r="BX441" i="4"/>
  <c r="BY441" i="4"/>
  <c r="CB441" i="4" s="1"/>
  <c r="BZ441" i="4"/>
  <c r="CA441" i="4"/>
  <c r="BX442" i="4"/>
  <c r="BY442" i="4"/>
  <c r="BZ442" i="4"/>
  <c r="CA442" i="4"/>
  <c r="BX443" i="4"/>
  <c r="BY443" i="4"/>
  <c r="BZ443" i="4"/>
  <c r="CA443" i="4"/>
  <c r="BX444" i="4"/>
  <c r="BY444" i="4"/>
  <c r="BZ444" i="4"/>
  <c r="CA444" i="4"/>
  <c r="BX445" i="4"/>
  <c r="BY445" i="4"/>
  <c r="CB445" i="4" s="1"/>
  <c r="BZ445" i="4"/>
  <c r="CA445" i="4"/>
  <c r="BX446" i="4"/>
  <c r="BY446" i="4"/>
  <c r="BZ446" i="4"/>
  <c r="CA446" i="4"/>
  <c r="BX447" i="4"/>
  <c r="BY447" i="4"/>
  <c r="BZ447" i="4"/>
  <c r="CA447" i="4"/>
  <c r="BX448" i="4"/>
  <c r="BY448" i="4"/>
  <c r="BZ448" i="4"/>
  <c r="CA448" i="4"/>
  <c r="BX449" i="4"/>
  <c r="BY449" i="4"/>
  <c r="BZ449" i="4"/>
  <c r="CA449" i="4"/>
  <c r="BX450" i="4"/>
  <c r="BY450" i="4"/>
  <c r="BZ450" i="4"/>
  <c r="CA450" i="4"/>
  <c r="BX451" i="4"/>
  <c r="BY451" i="4"/>
  <c r="BZ451" i="4"/>
  <c r="CA451" i="4"/>
  <c r="BX452" i="4"/>
  <c r="BY452" i="4"/>
  <c r="BZ452" i="4"/>
  <c r="CA452" i="4"/>
  <c r="BX453" i="4"/>
  <c r="BY453" i="4"/>
  <c r="CB453" i="4" s="1"/>
  <c r="BZ453" i="4"/>
  <c r="CA453" i="4"/>
  <c r="BX454" i="4"/>
  <c r="BY454" i="4"/>
  <c r="BZ454" i="4"/>
  <c r="CA454" i="4"/>
  <c r="BX455" i="4"/>
  <c r="BY455" i="4"/>
  <c r="BZ455" i="4"/>
  <c r="CA455" i="4"/>
  <c r="BX456" i="4"/>
  <c r="BY456" i="4"/>
  <c r="BZ456" i="4"/>
  <c r="CA456" i="4"/>
  <c r="BX457" i="4"/>
  <c r="BY457" i="4"/>
  <c r="BZ457" i="4"/>
  <c r="CA457" i="4"/>
  <c r="BX458" i="4"/>
  <c r="BY458" i="4"/>
  <c r="BZ458" i="4"/>
  <c r="CA458" i="4"/>
  <c r="BX459" i="4"/>
  <c r="BY459" i="4"/>
  <c r="BZ459" i="4"/>
  <c r="CA459" i="4"/>
  <c r="BX460" i="4"/>
  <c r="BY460" i="4"/>
  <c r="BZ460" i="4"/>
  <c r="CA460" i="4"/>
  <c r="BX461" i="4"/>
  <c r="BY461" i="4"/>
  <c r="BZ461" i="4"/>
  <c r="CA461" i="4"/>
  <c r="BX462" i="4"/>
  <c r="BY462" i="4"/>
  <c r="BZ462" i="4"/>
  <c r="CA462" i="4"/>
  <c r="BX463" i="4"/>
  <c r="BY463" i="4"/>
  <c r="BZ463" i="4"/>
  <c r="CA463" i="4"/>
  <c r="BX464" i="4"/>
  <c r="BY464" i="4"/>
  <c r="BZ464" i="4"/>
  <c r="CA464" i="4"/>
  <c r="BX465" i="4"/>
  <c r="BY465" i="4"/>
  <c r="BZ465" i="4"/>
  <c r="CA465" i="4"/>
  <c r="BX466" i="4"/>
  <c r="BY466" i="4"/>
  <c r="BZ466" i="4"/>
  <c r="CA466" i="4"/>
  <c r="BX467" i="4"/>
  <c r="BY467" i="4"/>
  <c r="BZ467" i="4"/>
  <c r="CA467" i="4"/>
  <c r="BX468" i="4"/>
  <c r="BY468" i="4"/>
  <c r="BZ468" i="4"/>
  <c r="CA468" i="4"/>
  <c r="BX469" i="4"/>
  <c r="BY469" i="4"/>
  <c r="BZ469" i="4"/>
  <c r="CA469" i="4"/>
  <c r="BX470" i="4"/>
  <c r="BY470" i="4"/>
  <c r="BZ470" i="4"/>
  <c r="CA470" i="4"/>
  <c r="BX471" i="4"/>
  <c r="BY471" i="4"/>
  <c r="BZ471" i="4"/>
  <c r="CA471" i="4"/>
  <c r="BX472" i="4"/>
  <c r="BY472" i="4"/>
  <c r="BZ472" i="4"/>
  <c r="CA472" i="4"/>
  <c r="BX473" i="4"/>
  <c r="BY473" i="4"/>
  <c r="BZ473" i="4"/>
  <c r="CA473" i="4"/>
  <c r="BX474" i="4"/>
  <c r="BY474" i="4"/>
  <c r="BZ474" i="4"/>
  <c r="CA474" i="4"/>
  <c r="CB474" i="4"/>
  <c r="BX475" i="4"/>
  <c r="BY475" i="4"/>
  <c r="BZ475" i="4"/>
  <c r="CA475" i="4"/>
  <c r="BX476" i="4"/>
  <c r="BY476" i="4"/>
  <c r="BZ476" i="4"/>
  <c r="CA476" i="4"/>
  <c r="BX477" i="4"/>
  <c r="BY477" i="4"/>
  <c r="BZ477" i="4"/>
  <c r="CA477" i="4"/>
  <c r="BX478" i="4"/>
  <c r="BY478" i="4"/>
  <c r="BZ478" i="4"/>
  <c r="CA478" i="4"/>
  <c r="BX479" i="4"/>
  <c r="BY479" i="4"/>
  <c r="BZ479" i="4"/>
  <c r="CA479" i="4"/>
  <c r="BX480" i="4"/>
  <c r="BY480" i="4"/>
  <c r="BZ480" i="4"/>
  <c r="CA480" i="4"/>
  <c r="BX481" i="4"/>
  <c r="BY481" i="4"/>
  <c r="BZ481" i="4"/>
  <c r="CA481" i="4"/>
  <c r="BX482" i="4"/>
  <c r="BY482" i="4"/>
  <c r="BZ482" i="4"/>
  <c r="CA482" i="4"/>
  <c r="BX483" i="4"/>
  <c r="BY483" i="4"/>
  <c r="BZ483" i="4"/>
  <c r="CA483" i="4"/>
  <c r="BX484" i="4"/>
  <c r="BY484" i="4"/>
  <c r="BZ484" i="4"/>
  <c r="CA484" i="4"/>
  <c r="BX485" i="4"/>
  <c r="BY485" i="4"/>
  <c r="CB485" i="4" s="1"/>
  <c r="BZ485" i="4"/>
  <c r="CA485" i="4"/>
  <c r="BX486" i="4"/>
  <c r="BY486" i="4"/>
  <c r="BZ486" i="4"/>
  <c r="CA486" i="4"/>
  <c r="BX487" i="4"/>
  <c r="BY487" i="4"/>
  <c r="BZ487" i="4"/>
  <c r="CA487" i="4"/>
  <c r="BX488" i="4"/>
  <c r="BY488" i="4"/>
  <c r="BZ488" i="4"/>
  <c r="CA488" i="4"/>
  <c r="BX489" i="4"/>
  <c r="BY489" i="4"/>
  <c r="BZ489" i="4"/>
  <c r="CA489" i="4"/>
  <c r="BX490" i="4"/>
  <c r="BY490" i="4"/>
  <c r="BZ490" i="4"/>
  <c r="CA490" i="4"/>
  <c r="BX491" i="4"/>
  <c r="BY491" i="4"/>
  <c r="BZ491" i="4"/>
  <c r="CA491" i="4"/>
  <c r="BX492" i="4"/>
  <c r="BY492" i="4"/>
  <c r="BZ492" i="4"/>
  <c r="CA492" i="4"/>
  <c r="BX493" i="4"/>
  <c r="BY493" i="4"/>
  <c r="CB493" i="4" s="1"/>
  <c r="BZ493" i="4"/>
  <c r="CA493" i="4"/>
  <c r="BX494" i="4"/>
  <c r="BY494" i="4"/>
  <c r="BZ494" i="4"/>
  <c r="CA494" i="4"/>
  <c r="BX495" i="4"/>
  <c r="BY495" i="4"/>
  <c r="BZ495" i="4"/>
  <c r="CA495" i="4"/>
  <c r="BX496" i="4"/>
  <c r="BY496" i="4"/>
  <c r="BZ496" i="4"/>
  <c r="CA496" i="4"/>
  <c r="BX497" i="4"/>
  <c r="BY497" i="4"/>
  <c r="CB497" i="4" s="1"/>
  <c r="BZ497" i="4"/>
  <c r="CA497" i="4"/>
  <c r="BX498" i="4"/>
  <c r="BY498" i="4"/>
  <c r="BZ498" i="4"/>
  <c r="CA498" i="4"/>
  <c r="BX499" i="4"/>
  <c r="BY499" i="4"/>
  <c r="BZ499" i="4"/>
  <c r="CA499" i="4"/>
  <c r="BX500" i="4"/>
  <c r="BY500" i="4"/>
  <c r="BZ500" i="4"/>
  <c r="CA500" i="4"/>
  <c r="BX501" i="4"/>
  <c r="BY501" i="4"/>
  <c r="BZ501" i="4"/>
  <c r="CA501" i="4"/>
  <c r="BX502" i="4"/>
  <c r="BY502" i="4"/>
  <c r="BZ502" i="4"/>
  <c r="CA502" i="4"/>
  <c r="BX503" i="4"/>
  <c r="BY503" i="4"/>
  <c r="BZ503" i="4"/>
  <c r="CA503" i="4"/>
  <c r="BX504" i="4"/>
  <c r="BY504" i="4"/>
  <c r="BZ504" i="4"/>
  <c r="CA504" i="4"/>
  <c r="BX505" i="4"/>
  <c r="BY505" i="4"/>
  <c r="BZ505" i="4"/>
  <c r="CA505" i="4"/>
  <c r="BX506" i="4"/>
  <c r="BY506" i="4"/>
  <c r="BZ506" i="4"/>
  <c r="CA506" i="4"/>
  <c r="BX507" i="4"/>
  <c r="BY507" i="4"/>
  <c r="CB507" i="4" s="1"/>
  <c r="BZ507" i="4"/>
  <c r="CA507" i="4"/>
  <c r="BX508" i="4"/>
  <c r="BY508" i="4"/>
  <c r="BZ508" i="4"/>
  <c r="CA508" i="4"/>
  <c r="BX509" i="4"/>
  <c r="BY509" i="4"/>
  <c r="BZ509" i="4"/>
  <c r="CA509" i="4"/>
  <c r="BX510" i="4"/>
  <c r="BY510" i="4"/>
  <c r="BZ510" i="4"/>
  <c r="CA510" i="4"/>
  <c r="BX511" i="4"/>
  <c r="BY511" i="4"/>
  <c r="BZ511" i="4"/>
  <c r="CA511" i="4"/>
  <c r="BX512" i="4"/>
  <c r="BY512" i="4"/>
  <c r="BZ512" i="4"/>
  <c r="CA512" i="4"/>
  <c r="BX513" i="4"/>
  <c r="BY513" i="4"/>
  <c r="BZ513" i="4"/>
  <c r="CA513" i="4"/>
  <c r="BX514" i="4"/>
  <c r="BY514" i="4"/>
  <c r="BZ514" i="4"/>
  <c r="CA514" i="4"/>
  <c r="BX515" i="4"/>
  <c r="BY515" i="4"/>
  <c r="BZ515" i="4"/>
  <c r="CA515" i="4"/>
  <c r="BX516" i="4"/>
  <c r="BY516" i="4"/>
  <c r="BZ516" i="4"/>
  <c r="CA516" i="4"/>
  <c r="BX517" i="4"/>
  <c r="BY517" i="4"/>
  <c r="BZ517" i="4"/>
  <c r="CA517" i="4"/>
  <c r="BX518" i="4"/>
  <c r="BY518" i="4"/>
  <c r="BZ518" i="4"/>
  <c r="CA518" i="4"/>
  <c r="BX519" i="4"/>
  <c r="BY519" i="4"/>
  <c r="BZ519" i="4"/>
  <c r="CA519" i="4"/>
  <c r="BX520" i="4"/>
  <c r="BY520" i="4"/>
  <c r="BZ520" i="4"/>
  <c r="CA520" i="4"/>
  <c r="BX521" i="4"/>
  <c r="BY521" i="4"/>
  <c r="BZ521" i="4"/>
  <c r="CA521" i="4"/>
  <c r="BX522" i="4"/>
  <c r="BY522" i="4"/>
  <c r="BZ522" i="4"/>
  <c r="CA522" i="4"/>
  <c r="BX523" i="4"/>
  <c r="BY523" i="4"/>
  <c r="BZ523" i="4"/>
  <c r="CA523" i="4"/>
  <c r="BX524" i="4"/>
  <c r="BY524" i="4"/>
  <c r="BZ524" i="4"/>
  <c r="CA524" i="4"/>
  <c r="BX525" i="4"/>
  <c r="BY525" i="4"/>
  <c r="BZ525" i="4"/>
  <c r="CA525" i="4"/>
  <c r="BX526" i="4"/>
  <c r="BY526" i="4"/>
  <c r="BZ526" i="4"/>
  <c r="CA526" i="4"/>
  <c r="BX527" i="4"/>
  <c r="BY527" i="4"/>
  <c r="BZ527" i="4"/>
  <c r="CA527" i="4"/>
  <c r="BX528" i="4"/>
  <c r="BY528" i="4"/>
  <c r="BZ528" i="4"/>
  <c r="CA528" i="4"/>
  <c r="BX529" i="4"/>
  <c r="BY529" i="4"/>
  <c r="BZ529" i="4"/>
  <c r="CA529" i="4"/>
  <c r="BX530" i="4"/>
  <c r="BY530" i="4"/>
  <c r="BZ530" i="4"/>
  <c r="CA530" i="4"/>
  <c r="BX531" i="4"/>
  <c r="BY531" i="4"/>
  <c r="BZ531" i="4"/>
  <c r="CA531" i="4"/>
  <c r="CB531" i="4"/>
  <c r="BX532" i="4"/>
  <c r="BY532" i="4"/>
  <c r="BZ532" i="4"/>
  <c r="CA532" i="4"/>
  <c r="CB532" i="4" s="1"/>
  <c r="BX533" i="4"/>
  <c r="BY533" i="4"/>
  <c r="BZ533" i="4"/>
  <c r="CA533" i="4"/>
  <c r="BX534" i="4"/>
  <c r="BY534" i="4"/>
  <c r="BZ534" i="4"/>
  <c r="CA534" i="4"/>
  <c r="BX535" i="4"/>
  <c r="BY535" i="4"/>
  <c r="BZ535" i="4"/>
  <c r="CA535" i="4"/>
  <c r="BX536" i="4"/>
  <c r="BY536" i="4"/>
  <c r="BZ536" i="4"/>
  <c r="CA536" i="4"/>
  <c r="BX537" i="4"/>
  <c r="BY537" i="4"/>
  <c r="BZ537" i="4"/>
  <c r="CA537" i="4"/>
  <c r="BX538" i="4"/>
  <c r="BY538" i="4"/>
  <c r="BZ538" i="4"/>
  <c r="CA538" i="4"/>
  <c r="BX539" i="4"/>
  <c r="BY539" i="4"/>
  <c r="CB539" i="4" s="1"/>
  <c r="BZ539" i="4"/>
  <c r="CA539" i="4"/>
  <c r="BX540" i="4"/>
  <c r="BY540" i="4"/>
  <c r="BZ540" i="4"/>
  <c r="CA540" i="4"/>
  <c r="BX541" i="4"/>
  <c r="BY541" i="4"/>
  <c r="BZ541" i="4"/>
  <c r="CA541" i="4"/>
  <c r="BX542" i="4"/>
  <c r="BY542" i="4"/>
  <c r="BZ542" i="4"/>
  <c r="CA542" i="4"/>
  <c r="BX543" i="4"/>
  <c r="BY543" i="4"/>
  <c r="BZ543" i="4"/>
  <c r="CA543" i="4"/>
  <c r="BX544" i="4"/>
  <c r="BY544" i="4"/>
  <c r="BZ544" i="4"/>
  <c r="CA544" i="4"/>
  <c r="BX545" i="4"/>
  <c r="BY545" i="4"/>
  <c r="BZ545" i="4"/>
  <c r="CA545" i="4"/>
  <c r="BX546" i="4"/>
  <c r="BY546" i="4"/>
  <c r="BZ546" i="4"/>
  <c r="CA546" i="4"/>
  <c r="BX547" i="4"/>
  <c r="BY547" i="4"/>
  <c r="BZ547" i="4"/>
  <c r="CA547" i="4"/>
  <c r="BX548" i="4"/>
  <c r="BY548" i="4"/>
  <c r="BZ548" i="4"/>
  <c r="CA548" i="4"/>
  <c r="BX549" i="4"/>
  <c r="BY549" i="4"/>
  <c r="BZ549" i="4"/>
  <c r="CA549" i="4"/>
  <c r="BX550" i="4"/>
  <c r="BY550" i="4"/>
  <c r="CB550" i="4" s="1"/>
  <c r="BZ550" i="4"/>
  <c r="CA550" i="4"/>
  <c r="BX551" i="4"/>
  <c r="BY551" i="4"/>
  <c r="CB551" i="4" s="1"/>
  <c r="BZ551" i="4"/>
  <c r="CA551" i="4"/>
  <c r="BX552" i="4"/>
  <c r="BY552" i="4"/>
  <c r="BZ552" i="4"/>
  <c r="CA552" i="4"/>
  <c r="BX553" i="4"/>
  <c r="BY553" i="4"/>
  <c r="BZ553" i="4"/>
  <c r="CA553" i="4"/>
  <c r="BX554" i="4"/>
  <c r="BY554" i="4"/>
  <c r="BZ554" i="4"/>
  <c r="CA554" i="4"/>
  <c r="BX555" i="4"/>
  <c r="BY555" i="4"/>
  <c r="BZ555" i="4"/>
  <c r="CA555" i="4"/>
  <c r="BX556" i="4"/>
  <c r="BY556" i="4"/>
  <c r="BZ556" i="4"/>
  <c r="CA556" i="4"/>
  <c r="BX557" i="4"/>
  <c r="BY557" i="4"/>
  <c r="BZ557" i="4"/>
  <c r="CA557" i="4"/>
  <c r="BX558" i="4"/>
  <c r="BY558" i="4"/>
  <c r="CB558" i="4" s="1"/>
  <c r="BZ558" i="4"/>
  <c r="CA558" i="4"/>
  <c r="BX559" i="4"/>
  <c r="BY559" i="4"/>
  <c r="CB559" i="4" s="1"/>
  <c r="BZ559" i="4"/>
  <c r="CA559" i="4"/>
  <c r="BX560" i="4"/>
  <c r="BY560" i="4"/>
  <c r="BZ560" i="4"/>
  <c r="CA560" i="4"/>
  <c r="BX561" i="4"/>
  <c r="BY561" i="4"/>
  <c r="BZ561" i="4"/>
  <c r="CA561" i="4"/>
  <c r="BX562" i="4"/>
  <c r="BY562" i="4"/>
  <c r="BZ562" i="4"/>
  <c r="CA562" i="4"/>
  <c r="BX563" i="4"/>
  <c r="BY563" i="4"/>
  <c r="CB563" i="4" s="1"/>
  <c r="BZ563" i="4"/>
  <c r="CA563" i="4"/>
  <c r="BX564" i="4"/>
  <c r="BY564" i="4"/>
  <c r="BZ564" i="4"/>
  <c r="CA564" i="4"/>
  <c r="BX565" i="4"/>
  <c r="BY565" i="4"/>
  <c r="BZ565" i="4"/>
  <c r="CA565" i="4"/>
  <c r="BX566" i="4"/>
  <c r="BY566" i="4"/>
  <c r="BZ566" i="4"/>
  <c r="CA566" i="4"/>
  <c r="BX567" i="4"/>
  <c r="BY567" i="4"/>
  <c r="BZ567" i="4"/>
  <c r="CA567" i="4"/>
  <c r="BX568" i="4"/>
  <c r="BY568" i="4"/>
  <c r="BZ568" i="4"/>
  <c r="CA568" i="4"/>
  <c r="BX569" i="4"/>
  <c r="BY569" i="4"/>
  <c r="BZ569" i="4"/>
  <c r="CA569" i="4"/>
  <c r="BX570" i="4"/>
  <c r="BY570" i="4"/>
  <c r="BZ570" i="4"/>
  <c r="CA570" i="4"/>
  <c r="BX571" i="4"/>
  <c r="BY571" i="4"/>
  <c r="CB571" i="4" s="1"/>
  <c r="BZ571" i="4"/>
  <c r="CA571" i="4"/>
  <c r="BX572" i="4"/>
  <c r="BY572" i="4"/>
  <c r="BZ572" i="4"/>
  <c r="CA572" i="4"/>
  <c r="BX573" i="4"/>
  <c r="BY573" i="4"/>
  <c r="BZ573" i="4"/>
  <c r="CA573" i="4"/>
  <c r="BX574" i="4"/>
  <c r="BY574" i="4"/>
  <c r="BZ574" i="4"/>
  <c r="CA574" i="4"/>
  <c r="BX575" i="4"/>
  <c r="BY575" i="4"/>
  <c r="BZ575" i="4"/>
  <c r="CA575" i="4"/>
  <c r="BX576" i="4"/>
  <c r="BY576" i="4"/>
  <c r="BZ576" i="4"/>
  <c r="CA576" i="4"/>
  <c r="BX577" i="4"/>
  <c r="BY577" i="4"/>
  <c r="BZ577" i="4"/>
  <c r="CA577" i="4"/>
  <c r="BX578" i="4"/>
  <c r="BY578" i="4"/>
  <c r="BZ578" i="4"/>
  <c r="CA578" i="4"/>
  <c r="BX579" i="4"/>
  <c r="BY579" i="4"/>
  <c r="BZ579" i="4"/>
  <c r="CA579" i="4"/>
  <c r="BX580" i="4"/>
  <c r="BY580" i="4"/>
  <c r="BZ580" i="4"/>
  <c r="CA580" i="4"/>
  <c r="BX581" i="4"/>
  <c r="BY581" i="4"/>
  <c r="BZ581" i="4"/>
  <c r="CA581" i="4"/>
  <c r="BX582" i="4"/>
  <c r="BY582" i="4"/>
  <c r="BZ582" i="4"/>
  <c r="CA582" i="4"/>
  <c r="BX583" i="4"/>
  <c r="BY583" i="4"/>
  <c r="BZ583" i="4"/>
  <c r="CA583" i="4"/>
  <c r="BX584" i="4"/>
  <c r="BY584" i="4"/>
  <c r="BZ584" i="4"/>
  <c r="CA584" i="4"/>
  <c r="BX585" i="4"/>
  <c r="BY585" i="4"/>
  <c r="BZ585" i="4"/>
  <c r="CA585" i="4"/>
  <c r="BX586" i="4"/>
  <c r="BY586" i="4"/>
  <c r="BZ586" i="4"/>
  <c r="CA586" i="4"/>
  <c r="BX587" i="4"/>
  <c r="BY587" i="4"/>
  <c r="BZ587" i="4"/>
  <c r="CA587" i="4"/>
  <c r="BX588" i="4"/>
  <c r="BY588" i="4"/>
  <c r="BZ588" i="4"/>
  <c r="CA588" i="4"/>
  <c r="BX589" i="4"/>
  <c r="BY589" i="4"/>
  <c r="BZ589" i="4"/>
  <c r="CA589" i="4"/>
  <c r="BX590" i="4"/>
  <c r="BY590" i="4"/>
  <c r="BZ590" i="4"/>
  <c r="CA590" i="4"/>
  <c r="BX591" i="4"/>
  <c r="BY591" i="4"/>
  <c r="BZ591" i="4"/>
  <c r="CA591" i="4"/>
  <c r="BX592" i="4"/>
  <c r="BY592" i="4"/>
  <c r="BZ592" i="4"/>
  <c r="CA592" i="4"/>
  <c r="BX593" i="4"/>
  <c r="BY593" i="4"/>
  <c r="BZ593" i="4"/>
  <c r="CA593" i="4"/>
  <c r="BX594" i="4"/>
  <c r="BY594" i="4"/>
  <c r="BZ594" i="4"/>
  <c r="CA594" i="4"/>
  <c r="BX595" i="4"/>
  <c r="CB595" i="4" s="1"/>
  <c r="BY595" i="4"/>
  <c r="BZ595" i="4"/>
  <c r="CA595" i="4"/>
  <c r="BX596" i="4"/>
  <c r="BY596" i="4"/>
  <c r="BZ596" i="4"/>
  <c r="CA596" i="4"/>
  <c r="CB596" i="4" s="1"/>
  <c r="BX597" i="4"/>
  <c r="BY597" i="4"/>
  <c r="BZ597" i="4"/>
  <c r="CA597" i="4"/>
  <c r="BX598" i="4"/>
  <c r="BY598" i="4"/>
  <c r="BZ598" i="4"/>
  <c r="CA598" i="4"/>
  <c r="BX599" i="4"/>
  <c r="BY599" i="4"/>
  <c r="BZ599" i="4"/>
  <c r="CA599" i="4"/>
  <c r="BX600" i="4"/>
  <c r="BY600" i="4"/>
  <c r="BZ600" i="4"/>
  <c r="CA600" i="4"/>
  <c r="BX601" i="4"/>
  <c r="BY601" i="4"/>
  <c r="BZ601" i="4"/>
  <c r="CA601" i="4"/>
  <c r="BX602" i="4"/>
  <c r="BY602" i="4"/>
  <c r="BZ602" i="4"/>
  <c r="CA602" i="4"/>
  <c r="BX603" i="4"/>
  <c r="BY603" i="4"/>
  <c r="BZ603" i="4"/>
  <c r="CA603" i="4"/>
  <c r="BX604" i="4"/>
  <c r="BY604" i="4"/>
  <c r="BZ604" i="4"/>
  <c r="CA604" i="4"/>
  <c r="BX605" i="4"/>
  <c r="BY605" i="4"/>
  <c r="BZ605" i="4"/>
  <c r="CA605" i="4"/>
  <c r="BX606" i="4"/>
  <c r="BY606" i="4"/>
  <c r="BZ606" i="4"/>
  <c r="CA606" i="4"/>
  <c r="BX607" i="4"/>
  <c r="BY607" i="4"/>
  <c r="BZ607" i="4"/>
  <c r="CA607" i="4"/>
  <c r="BX608" i="4"/>
  <c r="BY608" i="4"/>
  <c r="BZ608" i="4"/>
  <c r="CA608" i="4"/>
  <c r="BX609" i="4"/>
  <c r="BY609" i="4"/>
  <c r="BZ609" i="4"/>
  <c r="CA609" i="4"/>
  <c r="BX610" i="4"/>
  <c r="BY610" i="4"/>
  <c r="BZ610" i="4"/>
  <c r="CA610" i="4"/>
  <c r="BX611" i="4"/>
  <c r="BY611" i="4"/>
  <c r="BZ611" i="4"/>
  <c r="CA611" i="4"/>
  <c r="BX612" i="4"/>
  <c r="BY612" i="4"/>
  <c r="BZ612" i="4"/>
  <c r="CA612" i="4"/>
  <c r="BX613" i="4"/>
  <c r="BY613" i="4"/>
  <c r="BZ613" i="4"/>
  <c r="CA613" i="4"/>
  <c r="BX614" i="4"/>
  <c r="BY614" i="4"/>
  <c r="CB614" i="4" s="1"/>
  <c r="BZ614" i="4"/>
  <c r="CA614" i="4"/>
  <c r="BX615" i="4"/>
  <c r="BY615" i="4"/>
  <c r="CB615" i="4" s="1"/>
  <c r="BZ615" i="4"/>
  <c r="CA615" i="4"/>
  <c r="BX616" i="4"/>
  <c r="BY616" i="4"/>
  <c r="BZ616" i="4"/>
  <c r="CA616" i="4"/>
  <c r="BX617" i="4"/>
  <c r="BY617" i="4"/>
  <c r="BZ617" i="4"/>
  <c r="CA617" i="4"/>
  <c r="BX618" i="4"/>
  <c r="BY618" i="4"/>
  <c r="BZ618" i="4"/>
  <c r="CA618" i="4"/>
  <c r="BX619" i="4"/>
  <c r="BY619" i="4"/>
  <c r="BZ619" i="4"/>
  <c r="CA619" i="4"/>
  <c r="BZ8" i="4"/>
  <c r="CA8" i="4"/>
  <c r="BY8" i="4"/>
  <c r="BY15" i="88"/>
  <c r="BZ15" i="88"/>
  <c r="CA15" i="88"/>
  <c r="BX15" i="88"/>
  <c r="BX8" i="4"/>
  <c r="AI77" i="4"/>
  <c r="AJ77" i="4"/>
  <c r="AK77" i="4"/>
  <c r="AL77" i="4"/>
  <c r="AI78" i="4"/>
  <c r="AJ78" i="4"/>
  <c r="AK78" i="4"/>
  <c r="AL78" i="4"/>
  <c r="AI79" i="4"/>
  <c r="AJ79" i="4"/>
  <c r="AM79" i="4" s="1"/>
  <c r="AK79" i="4"/>
  <c r="AL79" i="4"/>
  <c r="AI80" i="4"/>
  <c r="AJ80" i="4"/>
  <c r="AM80" i="4" s="1"/>
  <c r="AK80" i="4"/>
  <c r="AL80" i="4"/>
  <c r="AI81" i="4"/>
  <c r="AJ81" i="4"/>
  <c r="AK81" i="4"/>
  <c r="AL81" i="4"/>
  <c r="AI82" i="4"/>
  <c r="AJ82" i="4"/>
  <c r="AM82" i="4" s="1"/>
  <c r="AK82" i="4"/>
  <c r="AL82" i="4"/>
  <c r="AI83" i="4"/>
  <c r="AJ83" i="4"/>
  <c r="AK83" i="4"/>
  <c r="AL83" i="4"/>
  <c r="AI84" i="4"/>
  <c r="AJ84" i="4"/>
  <c r="AK84" i="4"/>
  <c r="AL84" i="4"/>
  <c r="AI85" i="4"/>
  <c r="AJ85" i="4"/>
  <c r="AK85" i="4"/>
  <c r="AL85" i="4"/>
  <c r="AI86" i="4"/>
  <c r="AJ86" i="4"/>
  <c r="AK86" i="4"/>
  <c r="AL86" i="4"/>
  <c r="AI87" i="4"/>
  <c r="AJ87" i="4"/>
  <c r="AK87" i="4"/>
  <c r="AL87" i="4"/>
  <c r="AI88" i="4"/>
  <c r="AJ88" i="4"/>
  <c r="AK88" i="4"/>
  <c r="AL88" i="4"/>
  <c r="AI89" i="4"/>
  <c r="AJ89" i="4"/>
  <c r="AK89" i="4"/>
  <c r="AL89" i="4"/>
  <c r="AI90" i="4"/>
  <c r="AJ90" i="4"/>
  <c r="AK90" i="4"/>
  <c r="AL90" i="4"/>
  <c r="AI91" i="4"/>
  <c r="AJ91" i="4"/>
  <c r="AK91" i="4"/>
  <c r="AL91" i="4"/>
  <c r="AI92" i="4"/>
  <c r="AJ92" i="4"/>
  <c r="AK92" i="4"/>
  <c r="AL92" i="4"/>
  <c r="AI93" i="4"/>
  <c r="AJ93" i="4"/>
  <c r="AK93" i="4"/>
  <c r="AL93" i="4"/>
  <c r="AI94" i="4"/>
  <c r="AJ94" i="4"/>
  <c r="AK94" i="4"/>
  <c r="AL94" i="4"/>
  <c r="AI95" i="4"/>
  <c r="AJ95" i="4"/>
  <c r="AK95" i="4"/>
  <c r="AL95" i="4"/>
  <c r="AI96" i="4"/>
  <c r="AJ96" i="4"/>
  <c r="AK96" i="4"/>
  <c r="AL96" i="4"/>
  <c r="AM96" i="4"/>
  <c r="AI97" i="4"/>
  <c r="AJ97" i="4"/>
  <c r="AK97" i="4"/>
  <c r="AL97" i="4"/>
  <c r="AI98" i="4"/>
  <c r="AJ98" i="4"/>
  <c r="AK98" i="4"/>
  <c r="AL98" i="4"/>
  <c r="AI99" i="4"/>
  <c r="AJ99" i="4"/>
  <c r="AK99" i="4"/>
  <c r="AL99" i="4"/>
  <c r="AI100" i="4"/>
  <c r="AJ100" i="4"/>
  <c r="AK100" i="4"/>
  <c r="AL100" i="4"/>
  <c r="AI101" i="4"/>
  <c r="AJ101" i="4"/>
  <c r="AK101" i="4"/>
  <c r="AL101" i="4"/>
  <c r="AI102" i="4"/>
  <c r="AJ102" i="4"/>
  <c r="AK102" i="4"/>
  <c r="AL102" i="4"/>
  <c r="AI103" i="4"/>
  <c r="AJ103" i="4"/>
  <c r="AK103" i="4"/>
  <c r="AL103" i="4"/>
  <c r="AI104" i="4"/>
  <c r="AJ104" i="4"/>
  <c r="AK104" i="4"/>
  <c r="AL104" i="4"/>
  <c r="AI105" i="4"/>
  <c r="AJ105" i="4"/>
  <c r="AK105" i="4"/>
  <c r="AL105" i="4"/>
  <c r="AI106" i="4"/>
  <c r="AJ106" i="4"/>
  <c r="AK106" i="4"/>
  <c r="AL106" i="4"/>
  <c r="AI107" i="4"/>
  <c r="AJ107" i="4"/>
  <c r="AK107" i="4"/>
  <c r="AL107" i="4"/>
  <c r="AI108" i="4"/>
  <c r="AJ108" i="4"/>
  <c r="AK108" i="4"/>
  <c r="AL108" i="4"/>
  <c r="AI109" i="4"/>
  <c r="AJ109" i="4"/>
  <c r="AK109" i="4"/>
  <c r="AL109" i="4"/>
  <c r="AI110" i="4"/>
  <c r="AJ110" i="4"/>
  <c r="AK110" i="4"/>
  <c r="AL110" i="4"/>
  <c r="AI111" i="4"/>
  <c r="AJ111" i="4"/>
  <c r="AK111" i="4"/>
  <c r="AL111" i="4"/>
  <c r="AI112" i="4"/>
  <c r="AJ112" i="4"/>
  <c r="AK112" i="4"/>
  <c r="AL112" i="4"/>
  <c r="AI113" i="4"/>
  <c r="AJ113" i="4"/>
  <c r="AK113" i="4"/>
  <c r="AL113" i="4"/>
  <c r="AI114" i="4"/>
  <c r="AJ114" i="4"/>
  <c r="AK114" i="4"/>
  <c r="AL114" i="4"/>
  <c r="AI115" i="4"/>
  <c r="AJ115" i="4"/>
  <c r="AK115" i="4"/>
  <c r="AL115" i="4"/>
  <c r="AI116" i="4"/>
  <c r="AJ116" i="4"/>
  <c r="AK116" i="4"/>
  <c r="AL116" i="4"/>
  <c r="AI117" i="4"/>
  <c r="AJ117" i="4"/>
  <c r="AK117" i="4"/>
  <c r="AL117" i="4"/>
  <c r="AI118" i="4"/>
  <c r="AJ118" i="4"/>
  <c r="AK118" i="4"/>
  <c r="AL118" i="4"/>
  <c r="AI119" i="4"/>
  <c r="AJ119" i="4"/>
  <c r="AK119" i="4"/>
  <c r="AL119" i="4"/>
  <c r="AM119" i="4" s="1"/>
  <c r="AI120" i="4"/>
  <c r="AJ120" i="4"/>
  <c r="AK120" i="4"/>
  <c r="AL120" i="4"/>
  <c r="AI121" i="4"/>
  <c r="AJ121" i="4"/>
  <c r="AK121" i="4"/>
  <c r="AL121" i="4"/>
  <c r="AI122" i="4"/>
  <c r="AJ122" i="4"/>
  <c r="AK122" i="4"/>
  <c r="AL122" i="4"/>
  <c r="AI123" i="4"/>
  <c r="AJ123" i="4"/>
  <c r="AK123" i="4"/>
  <c r="AL123" i="4"/>
  <c r="AI124" i="4"/>
  <c r="AJ124" i="4"/>
  <c r="AK124" i="4"/>
  <c r="AL124" i="4"/>
  <c r="AI125" i="4"/>
  <c r="AJ125" i="4"/>
  <c r="AK125" i="4"/>
  <c r="AL125" i="4"/>
  <c r="AI126" i="4"/>
  <c r="AJ126" i="4"/>
  <c r="AK126" i="4"/>
  <c r="AL126" i="4"/>
  <c r="AI127" i="4"/>
  <c r="AJ127" i="4"/>
  <c r="AK127" i="4"/>
  <c r="AL127" i="4"/>
  <c r="AI128" i="4"/>
  <c r="AJ128" i="4"/>
  <c r="AK128" i="4"/>
  <c r="AL128" i="4"/>
  <c r="AI129" i="4"/>
  <c r="AJ129" i="4"/>
  <c r="AK129" i="4"/>
  <c r="AL129" i="4"/>
  <c r="AI130" i="4"/>
  <c r="AJ130" i="4"/>
  <c r="AK130" i="4"/>
  <c r="AL130" i="4"/>
  <c r="AI131" i="4"/>
  <c r="AJ131" i="4"/>
  <c r="AK131" i="4"/>
  <c r="AL131" i="4"/>
  <c r="AI132" i="4"/>
  <c r="AJ132" i="4"/>
  <c r="AK132" i="4"/>
  <c r="AL132" i="4"/>
  <c r="AI133" i="4"/>
  <c r="AJ133" i="4"/>
  <c r="AK133" i="4"/>
  <c r="AL133" i="4"/>
  <c r="AI134" i="4"/>
  <c r="AJ134" i="4"/>
  <c r="AK134" i="4"/>
  <c r="AL134" i="4"/>
  <c r="AI135" i="4"/>
  <c r="AJ135" i="4"/>
  <c r="AK135" i="4"/>
  <c r="AL135" i="4"/>
  <c r="AI136" i="4"/>
  <c r="AJ136" i="4"/>
  <c r="AK136" i="4"/>
  <c r="AL136" i="4"/>
  <c r="AI137" i="4"/>
  <c r="AJ137" i="4"/>
  <c r="AK137" i="4"/>
  <c r="AL137" i="4"/>
  <c r="AI138" i="4"/>
  <c r="AJ138" i="4"/>
  <c r="AK138" i="4"/>
  <c r="AL138" i="4"/>
  <c r="AI139" i="4"/>
  <c r="AJ139" i="4"/>
  <c r="AK139" i="4"/>
  <c r="AL139" i="4"/>
  <c r="AI140" i="4"/>
  <c r="AJ140" i="4"/>
  <c r="AK140" i="4"/>
  <c r="AL140" i="4"/>
  <c r="AI141" i="4"/>
  <c r="AJ141" i="4"/>
  <c r="AK141" i="4"/>
  <c r="AL141" i="4"/>
  <c r="AI142" i="4"/>
  <c r="AJ142" i="4"/>
  <c r="AK142" i="4"/>
  <c r="AL142" i="4"/>
  <c r="AI143" i="4"/>
  <c r="AJ143" i="4"/>
  <c r="AK143" i="4"/>
  <c r="AL143" i="4"/>
  <c r="AI144" i="4"/>
  <c r="AJ144" i="4"/>
  <c r="AK144" i="4"/>
  <c r="AL144" i="4"/>
  <c r="AI145" i="4"/>
  <c r="AJ145" i="4"/>
  <c r="AK145" i="4"/>
  <c r="AL145" i="4"/>
  <c r="AI146" i="4"/>
  <c r="AJ146" i="4"/>
  <c r="AK146" i="4"/>
  <c r="AL146" i="4"/>
  <c r="AI147" i="4"/>
  <c r="AJ147" i="4"/>
  <c r="AK147" i="4"/>
  <c r="AL147" i="4"/>
  <c r="AI148" i="4"/>
  <c r="AM148" i="4" s="1"/>
  <c r="AJ148" i="4"/>
  <c r="AK148" i="4"/>
  <c r="AL148" i="4"/>
  <c r="AI149" i="4"/>
  <c r="AJ149" i="4"/>
  <c r="AK149" i="4"/>
  <c r="AL149" i="4"/>
  <c r="AI150" i="4"/>
  <c r="AJ150" i="4"/>
  <c r="AK150" i="4"/>
  <c r="AL150" i="4"/>
  <c r="AI151" i="4"/>
  <c r="AM151" i="4" s="1"/>
  <c r="AJ151" i="4"/>
  <c r="AK151" i="4"/>
  <c r="AL151" i="4"/>
  <c r="AI152" i="4"/>
  <c r="AJ152" i="4"/>
  <c r="AK152" i="4"/>
  <c r="AL152" i="4"/>
  <c r="AI153" i="4"/>
  <c r="AJ153" i="4"/>
  <c r="AK153" i="4"/>
  <c r="AL153" i="4"/>
  <c r="AI154" i="4"/>
  <c r="AJ154" i="4"/>
  <c r="AK154" i="4"/>
  <c r="AL154" i="4"/>
  <c r="AI155" i="4"/>
  <c r="AJ155" i="4"/>
  <c r="AK155" i="4"/>
  <c r="AL155" i="4"/>
  <c r="AI156" i="4"/>
  <c r="AJ156" i="4"/>
  <c r="AK156" i="4"/>
  <c r="AL156" i="4"/>
  <c r="AI157" i="4"/>
  <c r="AJ157" i="4"/>
  <c r="AK157" i="4"/>
  <c r="AL157" i="4"/>
  <c r="AI158" i="4"/>
  <c r="AJ158" i="4"/>
  <c r="AK158" i="4"/>
  <c r="AL158" i="4"/>
  <c r="AI159" i="4"/>
  <c r="AJ159" i="4"/>
  <c r="AK159" i="4"/>
  <c r="AL159" i="4"/>
  <c r="AI160" i="4"/>
  <c r="AJ160" i="4"/>
  <c r="AM160" i="4" s="1"/>
  <c r="AK160" i="4"/>
  <c r="AL160" i="4"/>
  <c r="AI161" i="4"/>
  <c r="AJ161" i="4"/>
  <c r="AK161" i="4"/>
  <c r="AL161" i="4"/>
  <c r="AI162" i="4"/>
  <c r="AJ162" i="4"/>
  <c r="AK162" i="4"/>
  <c r="AL162" i="4"/>
  <c r="AI163" i="4"/>
  <c r="AJ163" i="4"/>
  <c r="AK163" i="4"/>
  <c r="AL163" i="4"/>
  <c r="AI164" i="4"/>
  <c r="AJ164" i="4"/>
  <c r="AK164" i="4"/>
  <c r="AM164" i="4" s="1"/>
  <c r="AL164" i="4"/>
  <c r="AI165" i="4"/>
  <c r="AJ165" i="4"/>
  <c r="AK165" i="4"/>
  <c r="AL165" i="4"/>
  <c r="AI166" i="4"/>
  <c r="AJ166" i="4"/>
  <c r="AK166" i="4"/>
  <c r="AM166" i="4" s="1"/>
  <c r="AL166" i="4"/>
  <c r="AI167" i="4"/>
  <c r="AJ167" i="4"/>
  <c r="AK167" i="4"/>
  <c r="AL167" i="4"/>
  <c r="AI168" i="4"/>
  <c r="AJ168" i="4"/>
  <c r="AK168" i="4"/>
  <c r="AL168" i="4"/>
  <c r="AI169" i="4"/>
  <c r="AJ169" i="4"/>
  <c r="AK169" i="4"/>
  <c r="AL169" i="4"/>
  <c r="AI170" i="4"/>
  <c r="AJ170" i="4"/>
  <c r="AK170" i="4"/>
  <c r="AL170" i="4"/>
  <c r="AI171" i="4"/>
  <c r="AJ171" i="4"/>
  <c r="AK171" i="4"/>
  <c r="AL171" i="4"/>
  <c r="AI172" i="4"/>
  <c r="AJ172" i="4"/>
  <c r="AK172" i="4"/>
  <c r="AL172" i="4"/>
  <c r="AI173" i="4"/>
  <c r="AJ173" i="4"/>
  <c r="AK173" i="4"/>
  <c r="AL173" i="4"/>
  <c r="AI174" i="4"/>
  <c r="AJ174" i="4"/>
  <c r="AK174" i="4"/>
  <c r="AL174" i="4"/>
  <c r="AI175" i="4"/>
  <c r="AJ175" i="4"/>
  <c r="AK175" i="4"/>
  <c r="AL175" i="4"/>
  <c r="AI176" i="4"/>
  <c r="AJ176" i="4"/>
  <c r="AK176" i="4"/>
  <c r="AM176" i="4" s="1"/>
  <c r="AL176" i="4"/>
  <c r="AI177" i="4"/>
  <c r="AJ177" i="4"/>
  <c r="AK177" i="4"/>
  <c r="AL177" i="4"/>
  <c r="AI178" i="4"/>
  <c r="AJ178" i="4"/>
  <c r="AK178" i="4"/>
  <c r="AL178" i="4"/>
  <c r="AI179" i="4"/>
  <c r="AJ179" i="4"/>
  <c r="AK179" i="4"/>
  <c r="AL179" i="4"/>
  <c r="AI180" i="4"/>
  <c r="AJ180" i="4"/>
  <c r="AK180" i="4"/>
  <c r="AL180" i="4"/>
  <c r="AI181" i="4"/>
  <c r="AJ181" i="4"/>
  <c r="AK181" i="4"/>
  <c r="AL181" i="4"/>
  <c r="AI182" i="4"/>
  <c r="AJ182" i="4"/>
  <c r="AK182" i="4"/>
  <c r="AL182" i="4"/>
  <c r="AI183" i="4"/>
  <c r="AJ183" i="4"/>
  <c r="AK183" i="4"/>
  <c r="AM183" i="4" s="1"/>
  <c r="AL183" i="4"/>
  <c r="AI184" i="4"/>
  <c r="AJ184" i="4"/>
  <c r="AK184" i="4"/>
  <c r="AL184" i="4"/>
  <c r="AI185" i="4"/>
  <c r="AJ185" i="4"/>
  <c r="AK185" i="4"/>
  <c r="AL185" i="4"/>
  <c r="AI186" i="4"/>
  <c r="AJ186" i="4"/>
  <c r="AK186" i="4"/>
  <c r="AL186" i="4"/>
  <c r="AI187" i="4"/>
  <c r="AJ187" i="4"/>
  <c r="AM187" i="4" s="1"/>
  <c r="AK187" i="4"/>
  <c r="AL187" i="4"/>
  <c r="AI188" i="4"/>
  <c r="AJ188" i="4"/>
  <c r="AK188" i="4"/>
  <c r="AL188" i="4"/>
  <c r="AI189" i="4"/>
  <c r="AJ189" i="4"/>
  <c r="AK189" i="4"/>
  <c r="AL189" i="4"/>
  <c r="AI190" i="4"/>
  <c r="AJ190" i="4"/>
  <c r="AK190" i="4"/>
  <c r="AL190" i="4"/>
  <c r="AI191" i="4"/>
  <c r="AJ191" i="4"/>
  <c r="AK191" i="4"/>
  <c r="AL191" i="4"/>
  <c r="AI192" i="4"/>
  <c r="AJ192" i="4"/>
  <c r="AM192" i="4" s="1"/>
  <c r="AK192" i="4"/>
  <c r="AL192" i="4"/>
  <c r="AI193" i="4"/>
  <c r="AJ193" i="4"/>
  <c r="AK193" i="4"/>
  <c r="AL193" i="4"/>
  <c r="AI194" i="4"/>
  <c r="AJ194" i="4"/>
  <c r="AK194" i="4"/>
  <c r="AL194" i="4"/>
  <c r="AI195" i="4"/>
  <c r="AJ195" i="4"/>
  <c r="AK195" i="4"/>
  <c r="AL195" i="4"/>
  <c r="AI196" i="4"/>
  <c r="AJ196" i="4"/>
  <c r="AK196" i="4"/>
  <c r="AL196" i="4"/>
  <c r="AI197" i="4"/>
  <c r="AJ197" i="4"/>
  <c r="AK197" i="4"/>
  <c r="AL197" i="4"/>
  <c r="AI198" i="4"/>
  <c r="AJ198" i="4"/>
  <c r="AM198" i="4" s="1"/>
  <c r="AK198" i="4"/>
  <c r="AL198" i="4"/>
  <c r="AI199" i="4"/>
  <c r="AJ199" i="4"/>
  <c r="AK199" i="4"/>
  <c r="AL199" i="4"/>
  <c r="AI200" i="4"/>
  <c r="AJ200" i="4"/>
  <c r="AK200" i="4"/>
  <c r="AL200" i="4"/>
  <c r="AI201" i="4"/>
  <c r="AJ201" i="4"/>
  <c r="AK201" i="4"/>
  <c r="AL201" i="4"/>
  <c r="AI202" i="4"/>
  <c r="AJ202" i="4"/>
  <c r="AK202" i="4"/>
  <c r="AL202" i="4"/>
  <c r="AI203" i="4"/>
  <c r="AJ203" i="4"/>
  <c r="AK203" i="4"/>
  <c r="AL203" i="4"/>
  <c r="AI204" i="4"/>
  <c r="AJ204" i="4"/>
  <c r="AK204" i="4"/>
  <c r="AL204" i="4"/>
  <c r="AI205" i="4"/>
  <c r="AJ205" i="4"/>
  <c r="AK205" i="4"/>
  <c r="AL205" i="4"/>
  <c r="AI206" i="4"/>
  <c r="AJ206" i="4"/>
  <c r="AK206" i="4"/>
  <c r="AL206" i="4"/>
  <c r="AI207" i="4"/>
  <c r="AJ207" i="4"/>
  <c r="AK207" i="4"/>
  <c r="AL207" i="4"/>
  <c r="AI208" i="4"/>
  <c r="AJ208" i="4"/>
  <c r="AK208" i="4"/>
  <c r="AL208" i="4"/>
  <c r="AI209" i="4"/>
  <c r="AJ209" i="4"/>
  <c r="AK209" i="4"/>
  <c r="AL209" i="4"/>
  <c r="AI210" i="4"/>
  <c r="AJ210" i="4"/>
  <c r="AK210" i="4"/>
  <c r="AL210" i="4"/>
  <c r="AI211" i="4"/>
  <c r="AJ211" i="4"/>
  <c r="AK211" i="4"/>
  <c r="AL211" i="4"/>
  <c r="AI212" i="4"/>
  <c r="AJ212" i="4"/>
  <c r="AK212" i="4"/>
  <c r="AL212" i="4"/>
  <c r="AI213" i="4"/>
  <c r="AJ213" i="4"/>
  <c r="AK213" i="4"/>
  <c r="AL213" i="4"/>
  <c r="AI214" i="4"/>
  <c r="AJ214" i="4"/>
  <c r="AK214" i="4"/>
  <c r="AL214" i="4"/>
  <c r="AI215" i="4"/>
  <c r="AJ215" i="4"/>
  <c r="AK215" i="4"/>
  <c r="AL215" i="4"/>
  <c r="AI216" i="4"/>
  <c r="AJ216" i="4"/>
  <c r="AK216" i="4"/>
  <c r="AL216" i="4"/>
  <c r="AI217" i="4"/>
  <c r="AJ217" i="4"/>
  <c r="AK217" i="4"/>
  <c r="AL217" i="4"/>
  <c r="AI218" i="4"/>
  <c r="AJ218" i="4"/>
  <c r="AK218" i="4"/>
  <c r="AL218" i="4"/>
  <c r="AI219" i="4"/>
  <c r="AJ219" i="4"/>
  <c r="AK219" i="4"/>
  <c r="AL219" i="4"/>
  <c r="AM219" i="4"/>
  <c r="AI220" i="4"/>
  <c r="AJ220" i="4"/>
  <c r="AK220" i="4"/>
  <c r="AL220" i="4"/>
  <c r="AM220" i="4" s="1"/>
  <c r="AI221" i="4"/>
  <c r="AJ221" i="4"/>
  <c r="AK221" i="4"/>
  <c r="AL221" i="4"/>
  <c r="AI222" i="4"/>
  <c r="AJ222" i="4"/>
  <c r="AK222" i="4"/>
  <c r="AL222" i="4"/>
  <c r="AI223" i="4"/>
  <c r="AJ223" i="4"/>
  <c r="AK223" i="4"/>
  <c r="AL223" i="4"/>
  <c r="AI224" i="4"/>
  <c r="AJ224" i="4"/>
  <c r="AK224" i="4"/>
  <c r="AL224" i="4"/>
  <c r="AM224" i="4" s="1"/>
  <c r="AI225" i="4"/>
  <c r="AJ225" i="4"/>
  <c r="AK225" i="4"/>
  <c r="AL225" i="4"/>
  <c r="AI226" i="4"/>
  <c r="AJ226" i="4"/>
  <c r="AK226" i="4"/>
  <c r="AL226" i="4"/>
  <c r="AI227" i="4"/>
  <c r="AJ227" i="4"/>
  <c r="AK227" i="4"/>
  <c r="AL227" i="4"/>
  <c r="AI228" i="4"/>
  <c r="AJ228" i="4"/>
  <c r="AK228" i="4"/>
  <c r="AL228" i="4"/>
  <c r="AI229" i="4"/>
  <c r="AJ229" i="4"/>
  <c r="AK229" i="4"/>
  <c r="AL229" i="4"/>
  <c r="AI230" i="4"/>
  <c r="AJ230" i="4"/>
  <c r="AK230" i="4"/>
  <c r="AL230" i="4"/>
  <c r="AI231" i="4"/>
  <c r="AJ231" i="4"/>
  <c r="AK231" i="4"/>
  <c r="AL231" i="4"/>
  <c r="AI232" i="4"/>
  <c r="AJ232" i="4"/>
  <c r="AK232" i="4"/>
  <c r="AL232" i="4"/>
  <c r="AI233" i="4"/>
  <c r="AJ233" i="4"/>
  <c r="AK233" i="4"/>
  <c r="AL233" i="4"/>
  <c r="AI234" i="4"/>
  <c r="AJ234" i="4"/>
  <c r="AK234" i="4"/>
  <c r="AL234" i="4"/>
  <c r="AI235" i="4"/>
  <c r="AJ235" i="4"/>
  <c r="AK235" i="4"/>
  <c r="AL235" i="4"/>
  <c r="AI236" i="4"/>
  <c r="AJ236" i="4"/>
  <c r="AK236" i="4"/>
  <c r="AL236" i="4"/>
  <c r="AI237" i="4"/>
  <c r="AJ237" i="4"/>
  <c r="AK237" i="4"/>
  <c r="AL237" i="4"/>
  <c r="AI238" i="4"/>
  <c r="AJ238" i="4"/>
  <c r="AK238" i="4"/>
  <c r="AL238" i="4"/>
  <c r="AI239" i="4"/>
  <c r="AJ239" i="4"/>
  <c r="AK239" i="4"/>
  <c r="AL239" i="4"/>
  <c r="AI240" i="4"/>
  <c r="AJ240" i="4"/>
  <c r="AK240" i="4"/>
  <c r="AL240" i="4"/>
  <c r="AM240" i="4" s="1"/>
  <c r="AI241" i="4"/>
  <c r="AJ241" i="4"/>
  <c r="AK241" i="4"/>
  <c r="AL241" i="4"/>
  <c r="AI242" i="4"/>
  <c r="AJ242" i="4"/>
  <c r="AK242" i="4"/>
  <c r="AL242" i="4"/>
  <c r="AI243" i="4"/>
  <c r="AJ243" i="4"/>
  <c r="AK243" i="4"/>
  <c r="AL243" i="4"/>
  <c r="AI244" i="4"/>
  <c r="AJ244" i="4"/>
  <c r="AK244" i="4"/>
  <c r="AL244" i="4"/>
  <c r="AI245" i="4"/>
  <c r="AJ245" i="4"/>
  <c r="AK245" i="4"/>
  <c r="AL245" i="4"/>
  <c r="AI246" i="4"/>
  <c r="AJ246" i="4"/>
  <c r="AK246" i="4"/>
  <c r="AL246" i="4"/>
  <c r="AI247" i="4"/>
  <c r="AJ247" i="4"/>
  <c r="AK247" i="4"/>
  <c r="AL247" i="4"/>
  <c r="AI248" i="4"/>
  <c r="AJ248" i="4"/>
  <c r="AK248" i="4"/>
  <c r="AL248" i="4"/>
  <c r="AI249" i="4"/>
  <c r="AJ249" i="4"/>
  <c r="AK249" i="4"/>
  <c r="AL249" i="4"/>
  <c r="AI250" i="4"/>
  <c r="AJ250" i="4"/>
  <c r="AK250" i="4"/>
  <c r="AL250" i="4"/>
  <c r="AI251" i="4"/>
  <c r="AJ251" i="4"/>
  <c r="AK251" i="4"/>
  <c r="AL251" i="4"/>
  <c r="AM251" i="4" s="1"/>
  <c r="AI252" i="4"/>
  <c r="AJ252" i="4"/>
  <c r="AK252" i="4"/>
  <c r="AL252" i="4"/>
  <c r="AI253" i="4"/>
  <c r="AJ253" i="4"/>
  <c r="AK253" i="4"/>
  <c r="AL253" i="4"/>
  <c r="AI254" i="4"/>
  <c r="AJ254" i="4"/>
  <c r="AK254" i="4"/>
  <c r="AL254" i="4"/>
  <c r="AI255" i="4"/>
  <c r="AJ255" i="4"/>
  <c r="AK255" i="4"/>
  <c r="AL255" i="4"/>
  <c r="AI256" i="4"/>
  <c r="AJ256" i="4"/>
  <c r="AK256" i="4"/>
  <c r="AL256" i="4"/>
  <c r="AI257" i="4"/>
  <c r="AJ257" i="4"/>
  <c r="AK257" i="4"/>
  <c r="AL257" i="4"/>
  <c r="AI258" i="4"/>
  <c r="AJ258" i="4"/>
  <c r="AK258" i="4"/>
  <c r="AL258" i="4"/>
  <c r="AI259" i="4"/>
  <c r="AJ259" i="4"/>
  <c r="AK259" i="4"/>
  <c r="AL259" i="4"/>
  <c r="AI260" i="4"/>
  <c r="AJ260" i="4"/>
  <c r="AK260" i="4"/>
  <c r="AL260" i="4"/>
  <c r="AI261" i="4"/>
  <c r="AJ261" i="4"/>
  <c r="AK261" i="4"/>
  <c r="AL261" i="4"/>
  <c r="AI262" i="4"/>
  <c r="AJ262" i="4"/>
  <c r="AK262" i="4"/>
  <c r="AL262" i="4"/>
  <c r="AI263" i="4"/>
  <c r="AJ263" i="4"/>
  <c r="AK263" i="4"/>
  <c r="AL263" i="4"/>
  <c r="AI264" i="4"/>
  <c r="AJ264" i="4"/>
  <c r="AK264" i="4"/>
  <c r="AL264" i="4"/>
  <c r="AI265" i="4"/>
  <c r="AJ265" i="4"/>
  <c r="AK265" i="4"/>
  <c r="AL265" i="4"/>
  <c r="AI266" i="4"/>
  <c r="AJ266" i="4"/>
  <c r="AK266" i="4"/>
  <c r="AL266" i="4"/>
  <c r="AI267" i="4"/>
  <c r="AJ267" i="4"/>
  <c r="AK267" i="4"/>
  <c r="AL267" i="4"/>
  <c r="AI268" i="4"/>
  <c r="AJ268" i="4"/>
  <c r="AK268" i="4"/>
  <c r="AL268" i="4"/>
  <c r="AI269" i="4"/>
  <c r="AJ269" i="4"/>
  <c r="AK269" i="4"/>
  <c r="AL269" i="4"/>
  <c r="AI270" i="4"/>
  <c r="AJ270" i="4"/>
  <c r="AK270" i="4"/>
  <c r="AL270" i="4"/>
  <c r="AI271" i="4"/>
  <c r="AJ271" i="4"/>
  <c r="AK271" i="4"/>
  <c r="AL271" i="4"/>
  <c r="AI272" i="4"/>
  <c r="AJ272" i="4"/>
  <c r="AK272" i="4"/>
  <c r="AL272" i="4"/>
  <c r="AI273" i="4"/>
  <c r="AJ273" i="4"/>
  <c r="AK273" i="4"/>
  <c r="AL273" i="4"/>
  <c r="AI274" i="4"/>
  <c r="AJ274" i="4"/>
  <c r="AK274" i="4"/>
  <c r="AL274" i="4"/>
  <c r="AI275" i="4"/>
  <c r="AJ275" i="4"/>
  <c r="AK275" i="4"/>
  <c r="AL275" i="4"/>
  <c r="AI276" i="4"/>
  <c r="AJ276" i="4"/>
  <c r="AK276" i="4"/>
  <c r="AL276" i="4"/>
  <c r="AI277" i="4"/>
  <c r="AJ277" i="4"/>
  <c r="AK277" i="4"/>
  <c r="AL277" i="4"/>
  <c r="AI278" i="4"/>
  <c r="AJ278" i="4"/>
  <c r="AK278" i="4"/>
  <c r="AL278" i="4"/>
  <c r="AI279" i="4"/>
  <c r="AJ279" i="4"/>
  <c r="AK279" i="4"/>
  <c r="AL279" i="4"/>
  <c r="AI280" i="4"/>
  <c r="AJ280" i="4"/>
  <c r="AK280" i="4"/>
  <c r="AL280" i="4"/>
  <c r="AI281" i="4"/>
  <c r="AJ281" i="4"/>
  <c r="AK281" i="4"/>
  <c r="AL281" i="4"/>
  <c r="AI282" i="4"/>
  <c r="AJ282" i="4"/>
  <c r="AK282" i="4"/>
  <c r="AL282" i="4"/>
  <c r="AI283" i="4"/>
  <c r="AJ283" i="4"/>
  <c r="AK283" i="4"/>
  <c r="AM283" i="4" s="1"/>
  <c r="AL283" i="4"/>
  <c r="AI284" i="4"/>
  <c r="AJ284" i="4"/>
  <c r="AK284" i="4"/>
  <c r="AL284" i="4"/>
  <c r="AI285" i="4"/>
  <c r="AJ285" i="4"/>
  <c r="AK285" i="4"/>
  <c r="AL285" i="4"/>
  <c r="AI286" i="4"/>
  <c r="AJ286" i="4"/>
  <c r="AK286" i="4"/>
  <c r="AL286" i="4"/>
  <c r="AI287" i="4"/>
  <c r="AJ287" i="4"/>
  <c r="AK287" i="4"/>
  <c r="AL287" i="4"/>
  <c r="AI288" i="4"/>
  <c r="AJ288" i="4"/>
  <c r="AK288" i="4"/>
  <c r="AL288" i="4"/>
  <c r="AI289" i="4"/>
  <c r="AJ289" i="4"/>
  <c r="AK289" i="4"/>
  <c r="AL289" i="4"/>
  <c r="AI290" i="4"/>
  <c r="AJ290" i="4"/>
  <c r="AK290" i="4"/>
  <c r="AL290" i="4"/>
  <c r="AI291" i="4"/>
  <c r="AJ291" i="4"/>
  <c r="AK291" i="4"/>
  <c r="AL291" i="4"/>
  <c r="AI292" i="4"/>
  <c r="AJ292" i="4"/>
  <c r="AK292" i="4"/>
  <c r="AL292" i="4"/>
  <c r="AI293" i="4"/>
  <c r="AJ293" i="4"/>
  <c r="AK293" i="4"/>
  <c r="AL293" i="4"/>
  <c r="AI294" i="4"/>
  <c r="AJ294" i="4"/>
  <c r="AM294" i="4" s="1"/>
  <c r="AK294" i="4"/>
  <c r="AL294" i="4"/>
  <c r="AI295" i="4"/>
  <c r="AJ295" i="4"/>
  <c r="AK295" i="4"/>
  <c r="AL295" i="4"/>
  <c r="AI296" i="4"/>
  <c r="AJ296" i="4"/>
  <c r="AK296" i="4"/>
  <c r="AL296" i="4"/>
  <c r="AI297" i="4"/>
  <c r="AJ297" i="4"/>
  <c r="AM297" i="4" s="1"/>
  <c r="AK297" i="4"/>
  <c r="AL297" i="4"/>
  <c r="AI298" i="4"/>
  <c r="AJ298" i="4"/>
  <c r="AK298" i="4"/>
  <c r="AL298" i="4"/>
  <c r="AI299" i="4"/>
  <c r="AJ299" i="4"/>
  <c r="AM299" i="4" s="1"/>
  <c r="AK299" i="4"/>
  <c r="AL299" i="4"/>
  <c r="AI300" i="4"/>
  <c r="AJ300" i="4"/>
  <c r="AM300" i="4" s="1"/>
  <c r="AK300" i="4"/>
  <c r="AL300" i="4"/>
  <c r="AI301" i="4"/>
  <c r="AJ301" i="4"/>
  <c r="AK301" i="4"/>
  <c r="AL301" i="4"/>
  <c r="AI302" i="4"/>
  <c r="AJ302" i="4"/>
  <c r="AK302" i="4"/>
  <c r="AL302" i="4"/>
  <c r="AI303" i="4"/>
  <c r="AJ303" i="4"/>
  <c r="AK303" i="4"/>
  <c r="AL303" i="4"/>
  <c r="AI304" i="4"/>
  <c r="AJ304" i="4"/>
  <c r="AK304" i="4"/>
  <c r="AL304" i="4"/>
  <c r="AI305" i="4"/>
  <c r="AJ305" i="4"/>
  <c r="AK305" i="4"/>
  <c r="AL305" i="4"/>
  <c r="AI306" i="4"/>
  <c r="AJ306" i="4"/>
  <c r="AK306" i="4"/>
  <c r="AL306" i="4"/>
  <c r="AI307" i="4"/>
  <c r="AJ307" i="4"/>
  <c r="AK307" i="4"/>
  <c r="AL307" i="4"/>
  <c r="AI308" i="4"/>
  <c r="AJ308" i="4"/>
  <c r="AK308" i="4"/>
  <c r="AL308" i="4"/>
  <c r="AI309" i="4"/>
  <c r="AJ309" i="4"/>
  <c r="AK309" i="4"/>
  <c r="AL309" i="4"/>
  <c r="AI310" i="4"/>
  <c r="AJ310" i="4"/>
  <c r="AK310" i="4"/>
  <c r="AL310" i="4"/>
  <c r="AI311" i="4"/>
  <c r="AJ311" i="4"/>
  <c r="AK311" i="4"/>
  <c r="AL311" i="4"/>
  <c r="AI312" i="4"/>
  <c r="AJ312" i="4"/>
  <c r="AK312" i="4"/>
  <c r="AL312" i="4"/>
  <c r="AI313" i="4"/>
  <c r="AJ313" i="4"/>
  <c r="AK313" i="4"/>
  <c r="AL313" i="4"/>
  <c r="AI314" i="4"/>
  <c r="AJ314" i="4"/>
  <c r="AK314" i="4"/>
  <c r="AL314" i="4"/>
  <c r="AI315" i="4"/>
  <c r="AJ315" i="4"/>
  <c r="AK315" i="4"/>
  <c r="AL315" i="4"/>
  <c r="AI316" i="4"/>
  <c r="AJ316" i="4"/>
  <c r="AK316" i="4"/>
  <c r="AL316" i="4"/>
  <c r="AI317" i="4"/>
  <c r="AJ317" i="4"/>
  <c r="AK317" i="4"/>
  <c r="AL317" i="4"/>
  <c r="AI318" i="4"/>
  <c r="AJ318" i="4"/>
  <c r="AM318" i="4" s="1"/>
  <c r="AK318" i="4"/>
  <c r="AL318" i="4"/>
  <c r="AI319" i="4"/>
  <c r="AJ319" i="4"/>
  <c r="AM319" i="4" s="1"/>
  <c r="AK319" i="4"/>
  <c r="AL319" i="4"/>
  <c r="AI320" i="4"/>
  <c r="AJ320" i="4"/>
  <c r="AM320" i="4" s="1"/>
  <c r="AK320" i="4"/>
  <c r="AL320" i="4"/>
  <c r="AI321" i="4"/>
  <c r="AJ321" i="4"/>
  <c r="AK321" i="4"/>
  <c r="AL321" i="4"/>
  <c r="AI322" i="4"/>
  <c r="AJ322" i="4"/>
  <c r="AM322" i="4" s="1"/>
  <c r="AK322" i="4"/>
  <c r="AL322" i="4"/>
  <c r="AI323" i="4"/>
  <c r="AJ323" i="4"/>
  <c r="AK323" i="4"/>
  <c r="AL323" i="4"/>
  <c r="AI324" i="4"/>
  <c r="AJ324" i="4"/>
  <c r="AK324" i="4"/>
  <c r="AL324" i="4"/>
  <c r="AI325" i="4"/>
  <c r="AJ325" i="4"/>
  <c r="AK325" i="4"/>
  <c r="AL325" i="4"/>
  <c r="AI326" i="4"/>
  <c r="AJ326" i="4"/>
  <c r="AK326" i="4"/>
  <c r="AL326" i="4"/>
  <c r="AI327" i="4"/>
  <c r="AJ327" i="4"/>
  <c r="AK327" i="4"/>
  <c r="AL327" i="4"/>
  <c r="AI328" i="4"/>
  <c r="AJ328" i="4"/>
  <c r="AK328" i="4"/>
  <c r="AL328" i="4"/>
  <c r="AI329" i="4"/>
  <c r="AJ329" i="4"/>
  <c r="AK329" i="4"/>
  <c r="AL329" i="4"/>
  <c r="AI330" i="4"/>
  <c r="AJ330" i="4"/>
  <c r="AK330" i="4"/>
  <c r="AL330" i="4"/>
  <c r="AI331" i="4"/>
  <c r="AJ331" i="4"/>
  <c r="AK331" i="4"/>
  <c r="AL331" i="4"/>
  <c r="AI332" i="4"/>
  <c r="AJ332" i="4"/>
  <c r="AK332" i="4"/>
  <c r="AL332" i="4"/>
  <c r="AI333" i="4"/>
  <c r="AJ333" i="4"/>
  <c r="AK333" i="4"/>
  <c r="AL333" i="4"/>
  <c r="AI334" i="4"/>
  <c r="AJ334" i="4"/>
  <c r="AK334" i="4"/>
  <c r="AL334" i="4"/>
  <c r="AI335" i="4"/>
  <c r="AJ335" i="4"/>
  <c r="AK335" i="4"/>
  <c r="AL335" i="4"/>
  <c r="AI336" i="4"/>
  <c r="AJ336" i="4"/>
  <c r="AK336" i="4"/>
  <c r="AL336" i="4"/>
  <c r="AI337" i="4"/>
  <c r="AJ337" i="4"/>
  <c r="AK337" i="4"/>
  <c r="AL337" i="4"/>
  <c r="AI338" i="4"/>
  <c r="AM338" i="4" s="1"/>
  <c r="AJ338" i="4"/>
  <c r="AK338" i="4"/>
  <c r="AL338" i="4"/>
  <c r="AI339" i="4"/>
  <c r="AJ339" i="4"/>
  <c r="AK339" i="4"/>
  <c r="AL339" i="4"/>
  <c r="AI340" i="4"/>
  <c r="AJ340" i="4"/>
  <c r="AK340" i="4"/>
  <c r="AL340" i="4"/>
  <c r="AI341" i="4"/>
  <c r="AJ341" i="4"/>
  <c r="AK341" i="4"/>
  <c r="AL341" i="4"/>
  <c r="AI342" i="4"/>
  <c r="AJ342" i="4"/>
  <c r="AK342" i="4"/>
  <c r="AL342" i="4"/>
  <c r="AI343" i="4"/>
  <c r="AJ343" i="4"/>
  <c r="AK343" i="4"/>
  <c r="AL343" i="4"/>
  <c r="AM343" i="4" s="1"/>
  <c r="AI344" i="4"/>
  <c r="AJ344" i="4"/>
  <c r="AK344" i="4"/>
  <c r="AL344" i="4"/>
  <c r="AI345" i="4"/>
  <c r="AJ345" i="4"/>
  <c r="AK345" i="4"/>
  <c r="AL345" i="4"/>
  <c r="AI346" i="4"/>
  <c r="AJ346" i="4"/>
  <c r="AK346" i="4"/>
  <c r="AL346" i="4"/>
  <c r="AI347" i="4"/>
  <c r="AJ347" i="4"/>
  <c r="AK347" i="4"/>
  <c r="AL347" i="4"/>
  <c r="AI348" i="4"/>
  <c r="AJ348" i="4"/>
  <c r="AK348" i="4"/>
  <c r="AL348" i="4"/>
  <c r="AI349" i="4"/>
  <c r="AJ349" i="4"/>
  <c r="AK349" i="4"/>
  <c r="AL349" i="4"/>
  <c r="AI350" i="4"/>
  <c r="AJ350" i="4"/>
  <c r="AK350" i="4"/>
  <c r="AL350" i="4"/>
  <c r="AI351" i="4"/>
  <c r="AJ351" i="4"/>
  <c r="AK351" i="4"/>
  <c r="AL351" i="4"/>
  <c r="AI352" i="4"/>
  <c r="AJ352" i="4"/>
  <c r="AK352" i="4"/>
  <c r="AL352" i="4"/>
  <c r="AI353" i="4"/>
  <c r="AJ353" i="4"/>
  <c r="AK353" i="4"/>
  <c r="AL353" i="4"/>
  <c r="AI354" i="4"/>
  <c r="AJ354" i="4"/>
  <c r="AK354" i="4"/>
  <c r="AL354" i="4"/>
  <c r="AI355" i="4"/>
  <c r="AJ355" i="4"/>
  <c r="AK355" i="4"/>
  <c r="AL355" i="4"/>
  <c r="AI356" i="4"/>
  <c r="AJ356" i="4"/>
  <c r="AK356" i="4"/>
  <c r="AL356" i="4"/>
  <c r="AI357" i="4"/>
  <c r="AJ357" i="4"/>
  <c r="AK357" i="4"/>
  <c r="AL357" i="4"/>
  <c r="AI358" i="4"/>
  <c r="AJ358" i="4"/>
  <c r="AM358" i="4" s="1"/>
  <c r="AK358" i="4"/>
  <c r="AL358" i="4"/>
  <c r="AI359" i="4"/>
  <c r="AJ359" i="4"/>
  <c r="AK359" i="4"/>
  <c r="AL359" i="4"/>
  <c r="AI360" i="4"/>
  <c r="AJ360" i="4"/>
  <c r="AK360" i="4"/>
  <c r="AL360" i="4"/>
  <c r="AI361" i="4"/>
  <c r="AJ361" i="4"/>
  <c r="AK361" i="4"/>
  <c r="AL361" i="4"/>
  <c r="AI362" i="4"/>
  <c r="AJ362" i="4"/>
  <c r="AK362" i="4"/>
  <c r="AL362" i="4"/>
  <c r="AI363" i="4"/>
  <c r="AJ363" i="4"/>
  <c r="AK363" i="4"/>
  <c r="AL363" i="4"/>
  <c r="AI364" i="4"/>
  <c r="AJ364" i="4"/>
  <c r="AK364" i="4"/>
  <c r="AL364" i="4"/>
  <c r="AI365" i="4"/>
  <c r="AJ365" i="4"/>
  <c r="AK365" i="4"/>
  <c r="AL365" i="4"/>
  <c r="AI366" i="4"/>
  <c r="AJ366" i="4"/>
  <c r="AK366" i="4"/>
  <c r="AL366" i="4"/>
  <c r="AI367" i="4"/>
  <c r="AJ367" i="4"/>
  <c r="AK367" i="4"/>
  <c r="AL367" i="4"/>
  <c r="AI368" i="4"/>
  <c r="AJ368" i="4"/>
  <c r="AK368" i="4"/>
  <c r="AL368" i="4"/>
  <c r="AI369" i="4"/>
  <c r="AJ369" i="4"/>
  <c r="AK369" i="4"/>
  <c r="AL369" i="4"/>
  <c r="AI370" i="4"/>
  <c r="AJ370" i="4"/>
  <c r="AK370" i="4"/>
  <c r="AL370" i="4"/>
  <c r="AI371" i="4"/>
  <c r="AJ371" i="4"/>
  <c r="AK371" i="4"/>
  <c r="AL371" i="4"/>
  <c r="AI372" i="4"/>
  <c r="AJ372" i="4"/>
  <c r="AK372" i="4"/>
  <c r="AL372" i="4"/>
  <c r="AI373" i="4"/>
  <c r="AJ373" i="4"/>
  <c r="AK373" i="4"/>
  <c r="AL373" i="4"/>
  <c r="AI374" i="4"/>
  <c r="AJ374" i="4"/>
  <c r="AK374" i="4"/>
  <c r="AL374" i="4"/>
  <c r="AI375" i="4"/>
  <c r="AJ375" i="4"/>
  <c r="AK375" i="4"/>
  <c r="AL375" i="4"/>
  <c r="AI376" i="4"/>
  <c r="AJ376" i="4"/>
  <c r="AK376" i="4"/>
  <c r="AL376" i="4"/>
  <c r="AI377" i="4"/>
  <c r="AJ377" i="4"/>
  <c r="AK377" i="4"/>
  <c r="AL377" i="4"/>
  <c r="AI378" i="4"/>
  <c r="AJ378" i="4"/>
  <c r="AK378" i="4"/>
  <c r="AL378" i="4"/>
  <c r="AI379" i="4"/>
  <c r="AJ379" i="4"/>
  <c r="AK379" i="4"/>
  <c r="AL379" i="4"/>
  <c r="AI380" i="4"/>
  <c r="AJ380" i="4"/>
  <c r="AK380" i="4"/>
  <c r="AL380" i="4"/>
  <c r="AI381" i="4"/>
  <c r="AJ381" i="4"/>
  <c r="AK381" i="4"/>
  <c r="AL381" i="4"/>
  <c r="AI382" i="4"/>
  <c r="AJ382" i="4"/>
  <c r="AK382" i="4"/>
  <c r="AL382" i="4"/>
  <c r="AI383" i="4"/>
  <c r="AJ383" i="4"/>
  <c r="AK383" i="4"/>
  <c r="AL383" i="4"/>
  <c r="AI384" i="4"/>
  <c r="AJ384" i="4"/>
  <c r="AK384" i="4"/>
  <c r="AL384" i="4"/>
  <c r="AI385" i="4"/>
  <c r="AJ385" i="4"/>
  <c r="AK385" i="4"/>
  <c r="AL385" i="4"/>
  <c r="AI386" i="4"/>
  <c r="AJ386" i="4"/>
  <c r="AK386" i="4"/>
  <c r="AM386" i="4" s="1"/>
  <c r="AL386" i="4"/>
  <c r="AI387" i="4"/>
  <c r="AJ387" i="4"/>
  <c r="AK387" i="4"/>
  <c r="AL387" i="4"/>
  <c r="AI388" i="4"/>
  <c r="AJ388" i="4"/>
  <c r="AK388" i="4"/>
  <c r="AL388" i="4"/>
  <c r="AI389" i="4"/>
  <c r="AJ389" i="4"/>
  <c r="AK389" i="4"/>
  <c r="AL389" i="4"/>
  <c r="AI390" i="4"/>
  <c r="AJ390" i="4"/>
  <c r="AK390" i="4"/>
  <c r="AL390" i="4"/>
  <c r="AI391" i="4"/>
  <c r="AJ391" i="4"/>
  <c r="AK391" i="4"/>
  <c r="AL391" i="4"/>
  <c r="AI392" i="4"/>
  <c r="AJ392" i="4"/>
  <c r="AK392" i="4"/>
  <c r="AL392" i="4"/>
  <c r="AI393" i="4"/>
  <c r="AJ393" i="4"/>
  <c r="AK393" i="4"/>
  <c r="AL393" i="4"/>
  <c r="AI394" i="4"/>
  <c r="AJ394" i="4"/>
  <c r="AK394" i="4"/>
  <c r="AL394" i="4"/>
  <c r="AI395" i="4"/>
  <c r="AJ395" i="4"/>
  <c r="AK395" i="4"/>
  <c r="AL395" i="4"/>
  <c r="AI396" i="4"/>
  <c r="AJ396" i="4"/>
  <c r="AK396" i="4"/>
  <c r="AL396" i="4"/>
  <c r="AI397" i="4"/>
  <c r="AJ397" i="4"/>
  <c r="AK397" i="4"/>
  <c r="AL397" i="4"/>
  <c r="AI398" i="4"/>
  <c r="AJ398" i="4"/>
  <c r="AK398" i="4"/>
  <c r="AL398" i="4"/>
  <c r="AI399" i="4"/>
  <c r="AJ399" i="4"/>
  <c r="AK399" i="4"/>
  <c r="AM399" i="4" s="1"/>
  <c r="AL399" i="4"/>
  <c r="AI400" i="4"/>
  <c r="AJ400" i="4"/>
  <c r="AK400" i="4"/>
  <c r="AL400" i="4"/>
  <c r="AI401" i="4"/>
  <c r="AJ401" i="4"/>
  <c r="AK401" i="4"/>
  <c r="AL401" i="4"/>
  <c r="AI402" i="4"/>
  <c r="AJ402" i="4"/>
  <c r="AK402" i="4"/>
  <c r="AL402" i="4"/>
  <c r="AI403" i="4"/>
  <c r="AJ403" i="4"/>
  <c r="AK403" i="4"/>
  <c r="AL403" i="4"/>
  <c r="AI404" i="4"/>
  <c r="AJ404" i="4"/>
  <c r="AK404" i="4"/>
  <c r="AL404" i="4"/>
  <c r="AI405" i="4"/>
  <c r="AJ405" i="4"/>
  <c r="AK405" i="4"/>
  <c r="AL405" i="4"/>
  <c r="AI406" i="4"/>
  <c r="AJ406" i="4"/>
  <c r="AM406" i="4" s="1"/>
  <c r="AK406" i="4"/>
  <c r="AL406" i="4"/>
  <c r="AI407" i="4"/>
  <c r="AJ407" i="4"/>
  <c r="AK407" i="4"/>
  <c r="AL407" i="4"/>
  <c r="AI408" i="4"/>
  <c r="AJ408" i="4"/>
  <c r="AK408" i="4"/>
  <c r="AL408" i="4"/>
  <c r="AI409" i="4"/>
  <c r="AJ409" i="4"/>
  <c r="AK409" i="4"/>
  <c r="AL409" i="4"/>
  <c r="AI410" i="4"/>
  <c r="AJ410" i="4"/>
  <c r="AK410" i="4"/>
  <c r="AL410" i="4"/>
  <c r="AI411" i="4"/>
  <c r="AJ411" i="4"/>
  <c r="AM411" i="4" s="1"/>
  <c r="AK411" i="4"/>
  <c r="AL411" i="4"/>
  <c r="AI412" i="4"/>
  <c r="AJ412" i="4"/>
  <c r="AK412" i="4"/>
  <c r="AL412" i="4"/>
  <c r="AI413" i="4"/>
  <c r="AJ413" i="4"/>
  <c r="AK413" i="4"/>
  <c r="AL413" i="4"/>
  <c r="AI414" i="4"/>
  <c r="AJ414" i="4"/>
  <c r="AK414" i="4"/>
  <c r="AL414" i="4"/>
  <c r="AI415" i="4"/>
  <c r="AJ415" i="4"/>
  <c r="AK415" i="4"/>
  <c r="AL415" i="4"/>
  <c r="AI416" i="4"/>
  <c r="AJ416" i="4"/>
  <c r="AK416" i="4"/>
  <c r="AL416" i="4"/>
  <c r="AI417" i="4"/>
  <c r="AJ417" i="4"/>
  <c r="AK417" i="4"/>
  <c r="AL417" i="4"/>
  <c r="AI418" i="4"/>
  <c r="AJ418" i="4"/>
  <c r="AK418" i="4"/>
  <c r="AL418" i="4"/>
  <c r="AI419" i="4"/>
  <c r="AJ419" i="4"/>
  <c r="AK419" i="4"/>
  <c r="AL419" i="4"/>
  <c r="AI420" i="4"/>
  <c r="AJ420" i="4"/>
  <c r="AK420" i="4"/>
  <c r="AL420" i="4"/>
  <c r="AI421" i="4"/>
  <c r="AJ421" i="4"/>
  <c r="AK421" i="4"/>
  <c r="AL421" i="4"/>
  <c r="AI422" i="4"/>
  <c r="AJ422" i="4"/>
  <c r="AK422" i="4"/>
  <c r="AL422" i="4"/>
  <c r="AI423" i="4"/>
  <c r="AJ423" i="4"/>
  <c r="AK423" i="4"/>
  <c r="AL423" i="4"/>
  <c r="AI424" i="4"/>
  <c r="AJ424" i="4"/>
  <c r="AK424" i="4"/>
  <c r="AL424" i="4"/>
  <c r="AI425" i="4"/>
  <c r="AJ425" i="4"/>
  <c r="AK425" i="4"/>
  <c r="AL425" i="4"/>
  <c r="AI426" i="4"/>
  <c r="AJ426" i="4"/>
  <c r="AK426" i="4"/>
  <c r="AL426" i="4"/>
  <c r="AI427" i="4"/>
  <c r="AJ427" i="4"/>
  <c r="AK427" i="4"/>
  <c r="AL427" i="4"/>
  <c r="AI428" i="4"/>
  <c r="AJ428" i="4"/>
  <c r="AK428" i="4"/>
  <c r="AL428" i="4"/>
  <c r="AI429" i="4"/>
  <c r="AJ429" i="4"/>
  <c r="AK429" i="4"/>
  <c r="AL429" i="4"/>
  <c r="AI430" i="4"/>
  <c r="AJ430" i="4"/>
  <c r="AK430" i="4"/>
  <c r="AL430" i="4"/>
  <c r="AI431" i="4"/>
  <c r="AJ431" i="4"/>
  <c r="AK431" i="4"/>
  <c r="AL431" i="4"/>
  <c r="AI432" i="4"/>
  <c r="AJ432" i="4"/>
  <c r="AK432" i="4"/>
  <c r="AL432" i="4"/>
  <c r="AI433" i="4"/>
  <c r="AJ433" i="4"/>
  <c r="AK433" i="4"/>
  <c r="AL433" i="4"/>
  <c r="AI434" i="4"/>
  <c r="AJ434" i="4"/>
  <c r="AK434" i="4"/>
  <c r="AL434" i="4"/>
  <c r="AI435" i="4"/>
  <c r="AJ435" i="4"/>
  <c r="AK435" i="4"/>
  <c r="AL435" i="4"/>
  <c r="AI436" i="4"/>
  <c r="AJ436" i="4"/>
  <c r="AK436" i="4"/>
  <c r="AL436" i="4"/>
  <c r="AI437" i="4"/>
  <c r="AJ437" i="4"/>
  <c r="AK437" i="4"/>
  <c r="AL437" i="4"/>
  <c r="AM437" i="4"/>
  <c r="AI438" i="4"/>
  <c r="AJ438" i="4"/>
  <c r="AK438" i="4"/>
  <c r="AL438" i="4"/>
  <c r="AI439" i="4"/>
  <c r="AJ439" i="4"/>
  <c r="AK439" i="4"/>
  <c r="AL439" i="4"/>
  <c r="AI440" i="4"/>
  <c r="AJ440" i="4"/>
  <c r="AK440" i="4"/>
  <c r="AL440" i="4"/>
  <c r="AI441" i="4"/>
  <c r="AJ441" i="4"/>
  <c r="AK441" i="4"/>
  <c r="AL441" i="4"/>
  <c r="AI442" i="4"/>
  <c r="AJ442" i="4"/>
  <c r="AK442" i="4"/>
  <c r="AL442" i="4"/>
  <c r="AI443" i="4"/>
  <c r="AJ443" i="4"/>
  <c r="AK443" i="4"/>
  <c r="AL443" i="4"/>
  <c r="AI444" i="4"/>
  <c r="AJ444" i="4"/>
  <c r="AK444" i="4"/>
  <c r="AL444" i="4"/>
  <c r="AI445" i="4"/>
  <c r="AJ445" i="4"/>
  <c r="AK445" i="4"/>
  <c r="AL445" i="4"/>
  <c r="AI446" i="4"/>
  <c r="AJ446" i="4"/>
  <c r="AK446" i="4"/>
  <c r="AL446" i="4"/>
  <c r="AI447" i="4"/>
  <c r="AJ447" i="4"/>
  <c r="AK447" i="4"/>
  <c r="AL447" i="4"/>
  <c r="AI448" i="4"/>
  <c r="AJ448" i="4"/>
  <c r="AK448" i="4"/>
  <c r="AL448" i="4"/>
  <c r="AI449" i="4"/>
  <c r="AJ449" i="4"/>
  <c r="AK449" i="4"/>
  <c r="AL449" i="4"/>
  <c r="AI450" i="4"/>
  <c r="AJ450" i="4"/>
  <c r="AK450" i="4"/>
  <c r="AL450" i="4"/>
  <c r="AI451" i="4"/>
  <c r="AJ451" i="4"/>
  <c r="AK451" i="4"/>
  <c r="AL451" i="4"/>
  <c r="AI452" i="4"/>
  <c r="AJ452" i="4"/>
  <c r="AK452" i="4"/>
  <c r="AL452" i="4"/>
  <c r="AI453" i="4"/>
  <c r="AJ453" i="4"/>
  <c r="AK453" i="4"/>
  <c r="AL453" i="4"/>
  <c r="AI454" i="4"/>
  <c r="AJ454" i="4"/>
  <c r="AK454" i="4"/>
  <c r="AL454" i="4"/>
  <c r="AI455" i="4"/>
  <c r="AJ455" i="4"/>
  <c r="AM455" i="4" s="1"/>
  <c r="AK455" i="4"/>
  <c r="AL455" i="4"/>
  <c r="AI456" i="4"/>
  <c r="AJ456" i="4"/>
  <c r="AK456" i="4"/>
  <c r="AL456" i="4"/>
  <c r="AI457" i="4"/>
  <c r="AJ457" i="4"/>
  <c r="AK457" i="4"/>
  <c r="AL457" i="4"/>
  <c r="AI458" i="4"/>
  <c r="AJ458" i="4"/>
  <c r="AK458" i="4"/>
  <c r="AL458" i="4"/>
  <c r="AI459" i="4"/>
  <c r="AJ459" i="4"/>
  <c r="AK459" i="4"/>
  <c r="AL459" i="4"/>
  <c r="AI460" i="4"/>
  <c r="AJ460" i="4"/>
  <c r="AK460" i="4"/>
  <c r="AL460" i="4"/>
  <c r="AI461" i="4"/>
  <c r="AJ461" i="4"/>
  <c r="AK461" i="4"/>
  <c r="AL461" i="4"/>
  <c r="AI462" i="4"/>
  <c r="AJ462" i="4"/>
  <c r="AK462" i="4"/>
  <c r="AL462" i="4"/>
  <c r="AI463" i="4"/>
  <c r="AJ463" i="4"/>
  <c r="AK463" i="4"/>
  <c r="AL463" i="4"/>
  <c r="AI464" i="4"/>
  <c r="AJ464" i="4"/>
  <c r="AK464" i="4"/>
  <c r="AL464" i="4"/>
  <c r="AI465" i="4"/>
  <c r="AJ465" i="4"/>
  <c r="AK465" i="4"/>
  <c r="AL465" i="4"/>
  <c r="AI466" i="4"/>
  <c r="AJ466" i="4"/>
  <c r="AK466" i="4"/>
  <c r="AL466" i="4"/>
  <c r="AI467" i="4"/>
  <c r="AJ467" i="4"/>
  <c r="AK467" i="4"/>
  <c r="AL467" i="4"/>
  <c r="AI468" i="4"/>
  <c r="AJ468" i="4"/>
  <c r="AK468" i="4"/>
  <c r="AL468" i="4"/>
  <c r="AI469" i="4"/>
  <c r="AJ469" i="4"/>
  <c r="AK469" i="4"/>
  <c r="AL469" i="4"/>
  <c r="AI470" i="4"/>
  <c r="AJ470" i="4"/>
  <c r="AK470" i="4"/>
  <c r="AL470" i="4"/>
  <c r="AI471" i="4"/>
  <c r="AJ471" i="4"/>
  <c r="AK471" i="4"/>
  <c r="AL471" i="4"/>
  <c r="AI472" i="4"/>
  <c r="AJ472" i="4"/>
  <c r="AK472" i="4"/>
  <c r="AL472" i="4"/>
  <c r="AI473" i="4"/>
  <c r="AJ473" i="4"/>
  <c r="AK473" i="4"/>
  <c r="AL473" i="4"/>
  <c r="AI474" i="4"/>
  <c r="AJ474" i="4"/>
  <c r="AK474" i="4"/>
  <c r="AL474" i="4"/>
  <c r="AI475" i="4"/>
  <c r="AJ475" i="4"/>
  <c r="AK475" i="4"/>
  <c r="AL475" i="4"/>
  <c r="AI476" i="4"/>
  <c r="AJ476" i="4"/>
  <c r="AK476" i="4"/>
  <c r="AL476" i="4"/>
  <c r="AI477" i="4"/>
  <c r="AJ477" i="4"/>
  <c r="AK477" i="4"/>
  <c r="AL477" i="4"/>
  <c r="AI478" i="4"/>
  <c r="AJ478" i="4"/>
  <c r="AK478" i="4"/>
  <c r="AL478" i="4"/>
  <c r="AI479" i="4"/>
  <c r="AJ479" i="4"/>
  <c r="AK479" i="4"/>
  <c r="AL479" i="4"/>
  <c r="AI480" i="4"/>
  <c r="AJ480" i="4"/>
  <c r="AK480" i="4"/>
  <c r="AL480" i="4"/>
  <c r="AI481" i="4"/>
  <c r="AJ481" i="4"/>
  <c r="AK481" i="4"/>
  <c r="AL481" i="4"/>
  <c r="AI482" i="4"/>
  <c r="AJ482" i="4"/>
  <c r="AK482" i="4"/>
  <c r="AL482" i="4"/>
  <c r="AI483" i="4"/>
  <c r="AJ483" i="4"/>
  <c r="AK483" i="4"/>
  <c r="AL483" i="4"/>
  <c r="AI484" i="4"/>
  <c r="AJ484" i="4"/>
  <c r="AK484" i="4"/>
  <c r="AL484" i="4"/>
  <c r="AI485" i="4"/>
  <c r="AJ485" i="4"/>
  <c r="AK485" i="4"/>
  <c r="AL485" i="4"/>
  <c r="AI486" i="4"/>
  <c r="AJ486" i="4"/>
  <c r="AK486" i="4"/>
  <c r="AL486" i="4"/>
  <c r="AI487" i="4"/>
  <c r="AJ487" i="4"/>
  <c r="AK487" i="4"/>
  <c r="AL487" i="4"/>
  <c r="AI488" i="4"/>
  <c r="AJ488" i="4"/>
  <c r="AK488" i="4"/>
  <c r="AL488" i="4"/>
  <c r="AI489" i="4"/>
  <c r="AJ489" i="4"/>
  <c r="AK489" i="4"/>
  <c r="AL489" i="4"/>
  <c r="AI490" i="4"/>
  <c r="AJ490" i="4"/>
  <c r="AK490" i="4"/>
  <c r="AL490" i="4"/>
  <c r="AI491" i="4"/>
  <c r="AJ491" i="4"/>
  <c r="AK491" i="4"/>
  <c r="AL491" i="4"/>
  <c r="AI492" i="4"/>
  <c r="AJ492" i="4"/>
  <c r="AK492" i="4"/>
  <c r="AL492" i="4"/>
  <c r="AI493" i="4"/>
  <c r="AJ493" i="4"/>
  <c r="AK493" i="4"/>
  <c r="AL493" i="4"/>
  <c r="AI494" i="4"/>
  <c r="AJ494" i="4"/>
  <c r="AK494" i="4"/>
  <c r="AL494" i="4"/>
  <c r="AI495" i="4"/>
  <c r="AJ495" i="4"/>
  <c r="AK495" i="4"/>
  <c r="AL495" i="4"/>
  <c r="AI496" i="4"/>
  <c r="AJ496" i="4"/>
  <c r="AK496" i="4"/>
  <c r="AL496" i="4"/>
  <c r="AI497" i="4"/>
  <c r="AJ497" i="4"/>
  <c r="AK497" i="4"/>
  <c r="AL497" i="4"/>
  <c r="AI498" i="4"/>
  <c r="AJ498" i="4"/>
  <c r="AK498" i="4"/>
  <c r="AL498" i="4"/>
  <c r="AI499" i="4"/>
  <c r="AJ499" i="4"/>
  <c r="AK499" i="4"/>
  <c r="AL499" i="4"/>
  <c r="AI500" i="4"/>
  <c r="AJ500" i="4"/>
  <c r="AK500" i="4"/>
  <c r="AL500" i="4"/>
  <c r="AI501" i="4"/>
  <c r="AJ501" i="4"/>
  <c r="AK501" i="4"/>
  <c r="AM501" i="4" s="1"/>
  <c r="AL501" i="4"/>
  <c r="AI502" i="4"/>
  <c r="AJ502" i="4"/>
  <c r="AK502" i="4"/>
  <c r="AL502" i="4"/>
  <c r="AI503" i="4"/>
  <c r="AJ503" i="4"/>
  <c r="AK503" i="4"/>
  <c r="AL503" i="4"/>
  <c r="AI504" i="4"/>
  <c r="AJ504" i="4"/>
  <c r="AK504" i="4"/>
  <c r="AL504" i="4"/>
  <c r="AI505" i="4"/>
  <c r="AJ505" i="4"/>
  <c r="AK505" i="4"/>
  <c r="AL505" i="4"/>
  <c r="AI506" i="4"/>
  <c r="AJ506" i="4"/>
  <c r="AK506" i="4"/>
  <c r="AL506" i="4"/>
  <c r="AI507" i="4"/>
  <c r="AJ507" i="4"/>
  <c r="AK507" i="4"/>
  <c r="AL507" i="4"/>
  <c r="AI508" i="4"/>
  <c r="AJ508" i="4"/>
  <c r="AK508" i="4"/>
  <c r="AL508" i="4"/>
  <c r="AI509" i="4"/>
  <c r="AJ509" i="4"/>
  <c r="AM509" i="4" s="1"/>
  <c r="AK509" i="4"/>
  <c r="AL509" i="4"/>
  <c r="AI510" i="4"/>
  <c r="AJ510" i="4"/>
  <c r="AK510" i="4"/>
  <c r="AL510" i="4"/>
  <c r="AI511" i="4"/>
  <c r="AJ511" i="4"/>
  <c r="AK511" i="4"/>
  <c r="AL511" i="4"/>
  <c r="AI512" i="4"/>
  <c r="AJ512" i="4"/>
  <c r="AM512" i="4" s="1"/>
  <c r="AK512" i="4"/>
  <c r="AL512" i="4"/>
  <c r="AI513" i="4"/>
  <c r="AJ513" i="4"/>
  <c r="AM513" i="4" s="1"/>
  <c r="AK513" i="4"/>
  <c r="AL513" i="4"/>
  <c r="AI514" i="4"/>
  <c r="AJ514" i="4"/>
  <c r="AK514" i="4"/>
  <c r="AL514" i="4"/>
  <c r="AI515" i="4"/>
  <c r="AJ515" i="4"/>
  <c r="AM515" i="4" s="1"/>
  <c r="AK515" i="4"/>
  <c r="AL515" i="4"/>
  <c r="AI516" i="4"/>
  <c r="AJ516" i="4"/>
  <c r="AK516" i="4"/>
  <c r="AL516" i="4"/>
  <c r="AI517" i="4"/>
  <c r="AJ517" i="4"/>
  <c r="AK517" i="4"/>
  <c r="AL517" i="4"/>
  <c r="AI518" i="4"/>
  <c r="AJ518" i="4"/>
  <c r="AK518" i="4"/>
  <c r="AL518" i="4"/>
  <c r="AI519" i="4"/>
  <c r="AJ519" i="4"/>
  <c r="AK519" i="4"/>
  <c r="AL519" i="4"/>
  <c r="AI520" i="4"/>
  <c r="AJ520" i="4"/>
  <c r="AM520" i="4" s="1"/>
  <c r="AK520" i="4"/>
  <c r="AL520" i="4"/>
  <c r="AI521" i="4"/>
  <c r="AJ521" i="4"/>
  <c r="AK521" i="4"/>
  <c r="AL521" i="4"/>
  <c r="AI522" i="4"/>
  <c r="AJ522" i="4"/>
  <c r="AK522" i="4"/>
  <c r="AL522" i="4"/>
  <c r="AI523" i="4"/>
  <c r="AJ523" i="4"/>
  <c r="AK523" i="4"/>
  <c r="AL523" i="4"/>
  <c r="AI524" i="4"/>
  <c r="AJ524" i="4"/>
  <c r="AK524" i="4"/>
  <c r="AL524" i="4"/>
  <c r="AI525" i="4"/>
  <c r="AJ525" i="4"/>
  <c r="AK525" i="4"/>
  <c r="AL525" i="4"/>
  <c r="AI526" i="4"/>
  <c r="AJ526" i="4"/>
  <c r="AK526" i="4"/>
  <c r="AL526" i="4"/>
  <c r="AI527" i="4"/>
  <c r="AJ527" i="4"/>
  <c r="AK527" i="4"/>
  <c r="AL527" i="4"/>
  <c r="AI528" i="4"/>
  <c r="AJ528" i="4"/>
  <c r="AK528" i="4"/>
  <c r="AL528" i="4"/>
  <c r="AI529" i="4"/>
  <c r="AJ529" i="4"/>
  <c r="AK529" i="4"/>
  <c r="AL529" i="4"/>
  <c r="AI530" i="4"/>
  <c r="AJ530" i="4"/>
  <c r="AK530" i="4"/>
  <c r="AL530" i="4"/>
  <c r="AI531" i="4"/>
  <c r="AJ531" i="4"/>
  <c r="AK531" i="4"/>
  <c r="AL531" i="4"/>
  <c r="AI532" i="4"/>
  <c r="AJ532" i="4"/>
  <c r="AK532" i="4"/>
  <c r="AL532" i="4"/>
  <c r="AI533" i="4"/>
  <c r="AJ533" i="4"/>
  <c r="AK533" i="4"/>
  <c r="AL533" i="4"/>
  <c r="AI534" i="4"/>
  <c r="AJ534" i="4"/>
  <c r="AK534" i="4"/>
  <c r="AL534" i="4"/>
  <c r="AI535" i="4"/>
  <c r="AJ535" i="4"/>
  <c r="AK535" i="4"/>
  <c r="AL535" i="4"/>
  <c r="AI536" i="4"/>
  <c r="AJ536" i="4"/>
  <c r="AK536" i="4"/>
  <c r="AL536" i="4"/>
  <c r="AI537" i="4"/>
  <c r="AJ537" i="4"/>
  <c r="AK537" i="4"/>
  <c r="AL537" i="4"/>
  <c r="AI538" i="4"/>
  <c r="AJ538" i="4"/>
  <c r="AK538" i="4"/>
  <c r="AL538" i="4"/>
  <c r="AI539" i="4"/>
  <c r="AJ539" i="4"/>
  <c r="AK539" i="4"/>
  <c r="AL539" i="4"/>
  <c r="AI540" i="4"/>
  <c r="AJ540" i="4"/>
  <c r="AK540" i="4"/>
  <c r="AL540" i="4"/>
  <c r="AI541" i="4"/>
  <c r="AJ541" i="4"/>
  <c r="AK541" i="4"/>
  <c r="AL541" i="4"/>
  <c r="AI542" i="4"/>
  <c r="AJ542" i="4"/>
  <c r="AK542" i="4"/>
  <c r="AL542" i="4"/>
  <c r="AI543" i="4"/>
  <c r="AJ543" i="4"/>
  <c r="AK543" i="4"/>
  <c r="AL543" i="4"/>
  <c r="AI544" i="4"/>
  <c r="AJ544" i="4"/>
  <c r="AK544" i="4"/>
  <c r="AL544" i="4"/>
  <c r="AI545" i="4"/>
  <c r="AJ545" i="4"/>
  <c r="AK545" i="4"/>
  <c r="AL545" i="4"/>
  <c r="AI546" i="4"/>
  <c r="AJ546" i="4"/>
  <c r="AK546" i="4"/>
  <c r="AL546" i="4"/>
  <c r="AI547" i="4"/>
  <c r="AJ547" i="4"/>
  <c r="AK547" i="4"/>
  <c r="AL547" i="4"/>
  <c r="AI548" i="4"/>
  <c r="AJ548" i="4"/>
  <c r="AK548" i="4"/>
  <c r="AL548" i="4"/>
  <c r="AI549" i="4"/>
  <c r="AJ549" i="4"/>
  <c r="AK549" i="4"/>
  <c r="AL549" i="4"/>
  <c r="AI550" i="4"/>
  <c r="AJ550" i="4"/>
  <c r="AK550" i="4"/>
  <c r="AL550" i="4"/>
  <c r="AI551" i="4"/>
  <c r="AM551" i="4" s="1"/>
  <c r="AJ551" i="4"/>
  <c r="AK551" i="4"/>
  <c r="AL551" i="4"/>
  <c r="AI552" i="4"/>
  <c r="AJ552" i="4"/>
  <c r="AK552" i="4"/>
  <c r="AL552" i="4"/>
  <c r="AI553" i="4"/>
  <c r="AJ553" i="4"/>
  <c r="AK553" i="4"/>
  <c r="AL553" i="4"/>
  <c r="AI554" i="4"/>
  <c r="AJ554" i="4"/>
  <c r="AK554" i="4"/>
  <c r="AL554" i="4"/>
  <c r="AI555" i="4"/>
  <c r="AJ555" i="4"/>
  <c r="AK555" i="4"/>
  <c r="AL555" i="4"/>
  <c r="AI556" i="4"/>
  <c r="AM556" i="4" s="1"/>
  <c r="AJ556" i="4"/>
  <c r="AK556" i="4"/>
  <c r="AL556" i="4"/>
  <c r="AI557" i="4"/>
  <c r="AJ557" i="4"/>
  <c r="AK557" i="4"/>
  <c r="AL557" i="4"/>
  <c r="AI558" i="4"/>
  <c r="AJ558" i="4"/>
  <c r="AK558" i="4"/>
  <c r="AL558" i="4"/>
  <c r="AI559" i="4"/>
  <c r="AJ559" i="4"/>
  <c r="AK559" i="4"/>
  <c r="AL559" i="4"/>
  <c r="AI560" i="4"/>
  <c r="AJ560" i="4"/>
  <c r="AK560" i="4"/>
  <c r="AL560" i="4"/>
  <c r="AI561" i="4"/>
  <c r="AJ561" i="4"/>
  <c r="AK561" i="4"/>
  <c r="AL561" i="4"/>
  <c r="AM561" i="4"/>
  <c r="AI562" i="4"/>
  <c r="AJ562" i="4"/>
  <c r="AK562" i="4"/>
  <c r="AL562" i="4"/>
  <c r="AI563" i="4"/>
  <c r="AJ563" i="4"/>
  <c r="AK563" i="4"/>
  <c r="AL563" i="4"/>
  <c r="AI564" i="4"/>
  <c r="AJ564" i="4"/>
  <c r="AK564" i="4"/>
  <c r="AL564" i="4"/>
  <c r="AI565" i="4"/>
  <c r="AJ565" i="4"/>
  <c r="AK565" i="4"/>
  <c r="AL565" i="4"/>
  <c r="AI566" i="4"/>
  <c r="AJ566" i="4"/>
  <c r="AK566" i="4"/>
  <c r="AL566" i="4"/>
  <c r="AI567" i="4"/>
  <c r="AJ567" i="4"/>
  <c r="AK567" i="4"/>
  <c r="AL567" i="4"/>
  <c r="AI568" i="4"/>
  <c r="AJ568" i="4"/>
  <c r="AK568" i="4"/>
  <c r="AL568" i="4"/>
  <c r="AI569" i="4"/>
  <c r="AJ569" i="4"/>
  <c r="AK569" i="4"/>
  <c r="AL569" i="4"/>
  <c r="AI570" i="4"/>
  <c r="AJ570" i="4"/>
  <c r="AK570" i="4"/>
  <c r="AL570" i="4"/>
  <c r="AI571" i="4"/>
  <c r="AJ571" i="4"/>
  <c r="AK571" i="4"/>
  <c r="AL571" i="4"/>
  <c r="AI572" i="4"/>
  <c r="AJ572" i="4"/>
  <c r="AK572" i="4"/>
  <c r="AL572" i="4"/>
  <c r="AI573" i="4"/>
  <c r="AJ573" i="4"/>
  <c r="AK573" i="4"/>
  <c r="AL573" i="4"/>
  <c r="AI574" i="4"/>
  <c r="AJ574" i="4"/>
  <c r="AK574" i="4"/>
  <c r="AL574" i="4"/>
  <c r="AI575" i="4"/>
  <c r="AJ575" i="4"/>
  <c r="AK575" i="4"/>
  <c r="AL575" i="4"/>
  <c r="AI576" i="4"/>
  <c r="AJ576" i="4"/>
  <c r="AK576" i="4"/>
  <c r="AL576" i="4"/>
  <c r="AI577" i="4"/>
  <c r="AJ577" i="4"/>
  <c r="AK577" i="4"/>
  <c r="AL577" i="4"/>
  <c r="AI578" i="4"/>
  <c r="AJ578" i="4"/>
  <c r="AK578" i="4"/>
  <c r="AL578" i="4"/>
  <c r="AI579" i="4"/>
  <c r="AJ579" i="4"/>
  <c r="AK579" i="4"/>
  <c r="AL579" i="4"/>
  <c r="AI580" i="4"/>
  <c r="AJ580" i="4"/>
  <c r="AK580" i="4"/>
  <c r="AL580" i="4"/>
  <c r="AI581" i="4"/>
  <c r="AJ581" i="4"/>
  <c r="AK581" i="4"/>
  <c r="AL581" i="4"/>
  <c r="AI582" i="4"/>
  <c r="AJ582" i="4"/>
  <c r="AK582" i="4"/>
  <c r="AL582" i="4"/>
  <c r="AI583" i="4"/>
  <c r="AJ583" i="4"/>
  <c r="AK583" i="4"/>
  <c r="AL583" i="4"/>
  <c r="AI584" i="4"/>
  <c r="AJ584" i="4"/>
  <c r="AK584" i="4"/>
  <c r="AL584" i="4"/>
  <c r="AI585" i="4"/>
  <c r="AJ585" i="4"/>
  <c r="AK585" i="4"/>
  <c r="AL585" i="4"/>
  <c r="AI586" i="4"/>
  <c r="AJ586" i="4"/>
  <c r="AK586" i="4"/>
  <c r="AL586" i="4"/>
  <c r="AI587" i="4"/>
  <c r="AJ587" i="4"/>
  <c r="AK587" i="4"/>
  <c r="AL587" i="4"/>
  <c r="AI588" i="4"/>
  <c r="AJ588" i="4"/>
  <c r="AM588" i="4" s="1"/>
  <c r="AK588" i="4"/>
  <c r="AL588" i="4"/>
  <c r="AI589" i="4"/>
  <c r="AJ589" i="4"/>
  <c r="AK589" i="4"/>
  <c r="AL589" i="4"/>
  <c r="AI590" i="4"/>
  <c r="AJ590" i="4"/>
  <c r="AK590" i="4"/>
  <c r="AL590" i="4"/>
  <c r="AI591" i="4"/>
  <c r="AJ591" i="4"/>
  <c r="AK591" i="4"/>
  <c r="AL591" i="4"/>
  <c r="AI592" i="4"/>
  <c r="AJ592" i="4"/>
  <c r="AK592" i="4"/>
  <c r="AL592" i="4"/>
  <c r="AI593" i="4"/>
  <c r="AJ593" i="4"/>
  <c r="AK593" i="4"/>
  <c r="AL593" i="4"/>
  <c r="AI594" i="4"/>
  <c r="AJ594" i="4"/>
  <c r="AK594" i="4"/>
  <c r="AL594" i="4"/>
  <c r="AI595" i="4"/>
  <c r="AJ595" i="4"/>
  <c r="AK595" i="4"/>
  <c r="AL595" i="4"/>
  <c r="AI596" i="4"/>
  <c r="AJ596" i="4"/>
  <c r="AK596" i="4"/>
  <c r="AL596" i="4"/>
  <c r="AI597" i="4"/>
  <c r="AJ597" i="4"/>
  <c r="AK597" i="4"/>
  <c r="AL597" i="4"/>
  <c r="AI598" i="4"/>
  <c r="AJ598" i="4"/>
  <c r="AK598" i="4"/>
  <c r="AL598" i="4"/>
  <c r="AI599" i="4"/>
  <c r="AJ599" i="4"/>
  <c r="AK599" i="4"/>
  <c r="AL599" i="4"/>
  <c r="AI600" i="4"/>
  <c r="AJ600" i="4"/>
  <c r="AK600" i="4"/>
  <c r="AL600" i="4"/>
  <c r="AI601" i="4"/>
  <c r="AJ601" i="4"/>
  <c r="AK601" i="4"/>
  <c r="AM601" i="4" s="1"/>
  <c r="AL601" i="4"/>
  <c r="AI602" i="4"/>
  <c r="AJ602" i="4"/>
  <c r="AK602" i="4"/>
  <c r="AL602" i="4"/>
  <c r="AI603" i="4"/>
  <c r="AJ603" i="4"/>
  <c r="AK603" i="4"/>
  <c r="AL603" i="4"/>
  <c r="AI604" i="4"/>
  <c r="AJ604" i="4"/>
  <c r="AK604" i="4"/>
  <c r="AL604" i="4"/>
  <c r="AI605" i="4"/>
  <c r="AJ605" i="4"/>
  <c r="AK605" i="4"/>
  <c r="AL605" i="4"/>
  <c r="AI606" i="4"/>
  <c r="AJ606" i="4"/>
  <c r="AK606" i="4"/>
  <c r="AL606" i="4"/>
  <c r="AI607" i="4"/>
  <c r="AJ607" i="4"/>
  <c r="AK607" i="4"/>
  <c r="AL607" i="4"/>
  <c r="AI608" i="4"/>
  <c r="AJ608" i="4"/>
  <c r="AK608" i="4"/>
  <c r="AL608" i="4"/>
  <c r="AI609" i="4"/>
  <c r="AJ609" i="4"/>
  <c r="AK609" i="4"/>
  <c r="AL609" i="4"/>
  <c r="AI610" i="4"/>
  <c r="AJ610" i="4"/>
  <c r="AK610" i="4"/>
  <c r="AL610" i="4"/>
  <c r="AI611" i="4"/>
  <c r="AJ611" i="4"/>
  <c r="AK611" i="4"/>
  <c r="AM611" i="4" s="1"/>
  <c r="AL611" i="4"/>
  <c r="AI612" i="4"/>
  <c r="AJ612" i="4"/>
  <c r="AM612" i="4" s="1"/>
  <c r="AK612" i="4"/>
  <c r="AL612" i="4"/>
  <c r="AI613" i="4"/>
  <c r="AJ613" i="4"/>
  <c r="AK613" i="4"/>
  <c r="AL613" i="4"/>
  <c r="AI614" i="4"/>
  <c r="AJ614" i="4"/>
  <c r="AM614" i="4" s="1"/>
  <c r="AK614" i="4"/>
  <c r="AL614" i="4"/>
  <c r="AI615" i="4"/>
  <c r="AJ615" i="4"/>
  <c r="AM615" i="4" s="1"/>
  <c r="AK615" i="4"/>
  <c r="AL615" i="4"/>
  <c r="AI616" i="4"/>
  <c r="AJ616" i="4"/>
  <c r="AK616" i="4"/>
  <c r="AL616" i="4"/>
  <c r="AI617" i="4"/>
  <c r="AJ617" i="4"/>
  <c r="AK617" i="4"/>
  <c r="AL617" i="4"/>
  <c r="AI618" i="4"/>
  <c r="AJ618" i="4"/>
  <c r="AM618" i="4" s="1"/>
  <c r="AK618" i="4"/>
  <c r="AL618" i="4"/>
  <c r="AI619" i="4"/>
  <c r="AJ619" i="4"/>
  <c r="AM619" i="4" s="1"/>
  <c r="AK619" i="4"/>
  <c r="AL619" i="4"/>
  <c r="AI9" i="4"/>
  <c r="AJ9" i="4"/>
  <c r="AM9" i="4" s="1"/>
  <c r="AK9" i="4"/>
  <c r="AL9" i="4"/>
  <c r="AI10" i="4"/>
  <c r="AJ10" i="4"/>
  <c r="AM10" i="4" s="1"/>
  <c r="AK10" i="4"/>
  <c r="AL10" i="4"/>
  <c r="AI11" i="4"/>
  <c r="AJ11" i="4"/>
  <c r="AM11" i="4" s="1"/>
  <c r="AK11" i="4"/>
  <c r="AL11" i="4"/>
  <c r="AI12" i="4"/>
  <c r="AJ12" i="4"/>
  <c r="AK12" i="4"/>
  <c r="AL12" i="4"/>
  <c r="AI13" i="4"/>
  <c r="AJ13" i="4"/>
  <c r="AK13" i="4"/>
  <c r="AL13" i="4"/>
  <c r="AI14" i="4"/>
  <c r="AJ14" i="4"/>
  <c r="AK14" i="4"/>
  <c r="AL14" i="4"/>
  <c r="AI15" i="4"/>
  <c r="AJ15" i="4"/>
  <c r="AK15" i="4"/>
  <c r="AL15" i="4"/>
  <c r="AI16" i="4"/>
  <c r="AJ16" i="4"/>
  <c r="AM16" i="4" s="1"/>
  <c r="AK16" i="4"/>
  <c r="AL16" i="4"/>
  <c r="AI17" i="4"/>
  <c r="AJ17" i="4"/>
  <c r="AK17" i="4"/>
  <c r="AL17" i="4"/>
  <c r="AI18" i="4"/>
  <c r="AJ18" i="4"/>
  <c r="AK18" i="4"/>
  <c r="AL18" i="4"/>
  <c r="AI19" i="4"/>
  <c r="AJ19" i="4"/>
  <c r="AK19" i="4"/>
  <c r="AL19" i="4"/>
  <c r="AI20" i="4"/>
  <c r="AJ20" i="4"/>
  <c r="AK20" i="4"/>
  <c r="AL20" i="4"/>
  <c r="AI21" i="4"/>
  <c r="AJ21" i="4"/>
  <c r="AK21" i="4"/>
  <c r="AL21" i="4"/>
  <c r="AI22" i="4"/>
  <c r="AJ22" i="4"/>
  <c r="AK22" i="4"/>
  <c r="AL22" i="4"/>
  <c r="AI23" i="4"/>
  <c r="AJ23" i="4"/>
  <c r="AK23" i="4"/>
  <c r="AL23" i="4"/>
  <c r="AI24" i="4"/>
  <c r="AJ24" i="4"/>
  <c r="AK24" i="4"/>
  <c r="AL24" i="4"/>
  <c r="AI25" i="4"/>
  <c r="AJ25" i="4"/>
  <c r="AK25" i="4"/>
  <c r="AL25" i="4"/>
  <c r="AI26" i="4"/>
  <c r="AJ26" i="4"/>
  <c r="AK26" i="4"/>
  <c r="AL26" i="4"/>
  <c r="AI27" i="4"/>
  <c r="AJ27" i="4"/>
  <c r="AK27" i="4"/>
  <c r="AL27" i="4"/>
  <c r="AI28" i="4"/>
  <c r="AJ28" i="4"/>
  <c r="AK28" i="4"/>
  <c r="AL28" i="4"/>
  <c r="AI29" i="4"/>
  <c r="AJ29" i="4"/>
  <c r="AK29" i="4"/>
  <c r="AL29" i="4"/>
  <c r="AI30" i="4"/>
  <c r="AJ30" i="4"/>
  <c r="AK30" i="4"/>
  <c r="AL30" i="4"/>
  <c r="AI31" i="4"/>
  <c r="AJ31" i="4"/>
  <c r="AK31" i="4"/>
  <c r="AL31" i="4"/>
  <c r="AI32" i="4"/>
  <c r="AJ32" i="4"/>
  <c r="AK32" i="4"/>
  <c r="AL32" i="4"/>
  <c r="AM32" i="4"/>
  <c r="AI33" i="4"/>
  <c r="AJ33" i="4"/>
  <c r="AK33" i="4"/>
  <c r="AL33" i="4"/>
  <c r="AI34" i="4"/>
  <c r="AJ34" i="4"/>
  <c r="AK34" i="4"/>
  <c r="AL34" i="4"/>
  <c r="AI35" i="4"/>
  <c r="AJ35" i="4"/>
  <c r="AK35" i="4"/>
  <c r="AL35" i="4"/>
  <c r="AI36" i="4"/>
  <c r="AJ36" i="4"/>
  <c r="AK36" i="4"/>
  <c r="AL36" i="4"/>
  <c r="AI37" i="4"/>
  <c r="AJ37" i="4"/>
  <c r="AK37" i="4"/>
  <c r="AL37" i="4"/>
  <c r="AI38" i="4"/>
  <c r="AJ38" i="4"/>
  <c r="AK38" i="4"/>
  <c r="AL38" i="4"/>
  <c r="AI39" i="4"/>
  <c r="AJ39" i="4"/>
  <c r="AK39" i="4"/>
  <c r="AL39" i="4"/>
  <c r="AI40" i="4"/>
  <c r="AJ40" i="4"/>
  <c r="AK40" i="4"/>
  <c r="AL40" i="4"/>
  <c r="AI41" i="4"/>
  <c r="AJ41" i="4"/>
  <c r="AK41" i="4"/>
  <c r="AL41" i="4"/>
  <c r="AI42" i="4"/>
  <c r="AJ42" i="4"/>
  <c r="AK42" i="4"/>
  <c r="AL42" i="4"/>
  <c r="AI43" i="4"/>
  <c r="AJ43" i="4"/>
  <c r="AK43" i="4"/>
  <c r="AL43" i="4"/>
  <c r="AI44" i="4"/>
  <c r="AJ44" i="4"/>
  <c r="AK44" i="4"/>
  <c r="AL44" i="4"/>
  <c r="AI45" i="4"/>
  <c r="AJ45" i="4"/>
  <c r="AK45" i="4"/>
  <c r="AL45" i="4"/>
  <c r="AI46" i="4"/>
  <c r="AJ46" i="4"/>
  <c r="AK46" i="4"/>
  <c r="AL46" i="4"/>
  <c r="AI47" i="4"/>
  <c r="AJ47" i="4"/>
  <c r="AK47" i="4"/>
  <c r="AL47" i="4"/>
  <c r="AI48" i="4"/>
  <c r="AJ48" i="4"/>
  <c r="AM48" i="4" s="1"/>
  <c r="AK48" i="4"/>
  <c r="AL48" i="4"/>
  <c r="AI49" i="4"/>
  <c r="AJ49" i="4"/>
  <c r="AK49" i="4"/>
  <c r="AL49" i="4"/>
  <c r="AI50" i="4"/>
  <c r="AJ50" i="4"/>
  <c r="AK50" i="4"/>
  <c r="AL50" i="4"/>
  <c r="AI51" i="4"/>
  <c r="AJ51" i="4"/>
  <c r="AK51" i="4"/>
  <c r="AL51" i="4"/>
  <c r="AI52" i="4"/>
  <c r="AJ52" i="4"/>
  <c r="AK52" i="4"/>
  <c r="AL52" i="4"/>
  <c r="AI53" i="4"/>
  <c r="AJ53" i="4"/>
  <c r="AK53" i="4"/>
  <c r="AL53" i="4"/>
  <c r="AI54" i="4"/>
  <c r="AJ54" i="4"/>
  <c r="AK54" i="4"/>
  <c r="AL54" i="4"/>
  <c r="AI55" i="4"/>
  <c r="AJ55" i="4"/>
  <c r="AK55" i="4"/>
  <c r="AL55" i="4"/>
  <c r="AI56" i="4"/>
  <c r="AJ56" i="4"/>
  <c r="AK56" i="4"/>
  <c r="AL56" i="4"/>
  <c r="AI57" i="4"/>
  <c r="AJ57" i="4"/>
  <c r="AK57" i="4"/>
  <c r="AL57" i="4"/>
  <c r="AI58" i="4"/>
  <c r="AJ58" i="4"/>
  <c r="AK58" i="4"/>
  <c r="AL58" i="4"/>
  <c r="AI59" i="4"/>
  <c r="AJ59" i="4"/>
  <c r="AK59" i="4"/>
  <c r="AL59" i="4"/>
  <c r="AI60" i="4"/>
  <c r="AJ60" i="4"/>
  <c r="AK60" i="4"/>
  <c r="AL60" i="4"/>
  <c r="AI61" i="4"/>
  <c r="AJ61" i="4"/>
  <c r="AK61" i="4"/>
  <c r="AL61" i="4"/>
  <c r="AI62" i="4"/>
  <c r="AJ62" i="4"/>
  <c r="AK62" i="4"/>
  <c r="AL62" i="4"/>
  <c r="AI63" i="4"/>
  <c r="AJ63" i="4"/>
  <c r="AK63" i="4"/>
  <c r="AL63" i="4"/>
  <c r="AI64" i="4"/>
  <c r="AJ64" i="4"/>
  <c r="AK64" i="4"/>
  <c r="AL64" i="4"/>
  <c r="AI65" i="4"/>
  <c r="AJ65" i="4"/>
  <c r="AK65" i="4"/>
  <c r="AL65" i="4"/>
  <c r="AI66" i="4"/>
  <c r="AJ66" i="4"/>
  <c r="AK66" i="4"/>
  <c r="AL66" i="4"/>
  <c r="AI67" i="4"/>
  <c r="AJ67" i="4"/>
  <c r="AK67" i="4"/>
  <c r="AL67" i="4"/>
  <c r="AI68" i="4"/>
  <c r="AJ68" i="4"/>
  <c r="AK68" i="4"/>
  <c r="AM68" i="4" s="1"/>
  <c r="AL68" i="4"/>
  <c r="AI69" i="4"/>
  <c r="AJ69" i="4"/>
  <c r="AK69" i="4"/>
  <c r="AL69" i="4"/>
  <c r="AI70" i="4"/>
  <c r="AJ70" i="4"/>
  <c r="AK70" i="4"/>
  <c r="AL70" i="4"/>
  <c r="AI71" i="4"/>
  <c r="AJ71" i="4"/>
  <c r="AK71" i="4"/>
  <c r="AL71" i="4"/>
  <c r="AI72" i="4"/>
  <c r="AJ72" i="4"/>
  <c r="AM72" i="4" s="1"/>
  <c r="AK72" i="4"/>
  <c r="AL72" i="4"/>
  <c r="AI73" i="4"/>
  <c r="AJ73" i="4"/>
  <c r="AK73" i="4"/>
  <c r="AL73" i="4"/>
  <c r="AI74" i="4"/>
  <c r="AJ74" i="4"/>
  <c r="AK74" i="4"/>
  <c r="AL74" i="4"/>
  <c r="AI75" i="4"/>
  <c r="AJ75" i="4"/>
  <c r="AK75" i="4"/>
  <c r="AL75" i="4"/>
  <c r="AI76" i="4"/>
  <c r="AJ76" i="4"/>
  <c r="AM76" i="4" s="1"/>
  <c r="AK76" i="4"/>
  <c r="AL76" i="4"/>
  <c r="AJ8" i="4"/>
  <c r="AK8" i="4"/>
  <c r="AL8" i="4"/>
  <c r="AJ15" i="88"/>
  <c r="AK15" i="88"/>
  <c r="AL15" i="88"/>
  <c r="AI15" i="88"/>
  <c r="CH14" i="88"/>
  <c r="CI14" i="88"/>
  <c r="CJ14" i="88"/>
  <c r="CG14" i="88"/>
  <c r="BK14" i="88"/>
  <c r="BJ15" i="88"/>
  <c r="BJ14" i="88"/>
  <c r="AQ14" i="88"/>
  <c r="AR14" i="88"/>
  <c r="AR15" i="88"/>
  <c r="AJ14" i="88"/>
  <c r="AK14" i="88"/>
  <c r="AL14" i="88"/>
  <c r="AI14" i="88"/>
  <c r="AI8" i="4"/>
  <c r="CY14" i="88"/>
  <c r="CZ14" i="88"/>
  <c r="DA14" i="88"/>
  <c r="DB14" i="88"/>
  <c r="DC14" i="88"/>
  <c r="DD14" i="88"/>
  <c r="DE14" i="88"/>
  <c r="DF14" i="88"/>
  <c r="DG14" i="88"/>
  <c r="DH14" i="88"/>
  <c r="DD10" i="88"/>
  <c r="DE10" i="88"/>
  <c r="DF10" i="88"/>
  <c r="DG10" i="88"/>
  <c r="DH10" i="88"/>
  <c r="DD11" i="88"/>
  <c r="DE11" i="88"/>
  <c r="DF11" i="88"/>
  <c r="DG11" i="88"/>
  <c r="DH11" i="88"/>
  <c r="R14" i="88"/>
  <c r="S14" i="88"/>
  <c r="T14" i="88"/>
  <c r="U14" i="88"/>
  <c r="R10" i="88"/>
  <c r="S10" i="88"/>
  <c r="T10" i="88"/>
  <c r="U10" i="88"/>
  <c r="R11" i="88"/>
  <c r="S11" i="88"/>
  <c r="T11" i="88"/>
  <c r="U11" i="88"/>
  <c r="DE6" i="88"/>
  <c r="DF6" i="88"/>
  <c r="DG6" i="88"/>
  <c r="DH6" i="88"/>
  <c r="V6" i="88"/>
  <c r="R6" i="88"/>
  <c r="S6" i="88"/>
  <c r="T6" i="88"/>
  <c r="U6" i="88"/>
  <c r="BF11" i="88"/>
  <c r="N11" i="88"/>
  <c r="CT10" i="88"/>
  <c r="CT14" i="88" s="1"/>
  <c r="DD6" i="88"/>
  <c r="DC6" i="88"/>
  <c r="DC11" i="88" s="1"/>
  <c r="DB6" i="88"/>
  <c r="DB10" i="88" s="1"/>
  <c r="DA6" i="88"/>
  <c r="CZ6" i="88"/>
  <c r="CY6" i="88"/>
  <c r="CX6" i="88"/>
  <c r="CX11" i="88" s="1"/>
  <c r="CW6" i="88"/>
  <c r="CV6" i="88"/>
  <c r="CU6" i="88"/>
  <c r="CT6" i="88"/>
  <c r="CT11" i="88" s="1"/>
  <c r="CS6" i="88"/>
  <c r="CR6" i="88"/>
  <c r="CR11" i="88" s="1"/>
  <c r="CQ6" i="88"/>
  <c r="CP6" i="88"/>
  <c r="CP11" i="88" s="1"/>
  <c r="CO6" i="88"/>
  <c r="CN6" i="88"/>
  <c r="CM6" i="88"/>
  <c r="CM11" i="88" s="1"/>
  <c r="CL6" i="88"/>
  <c r="CL10" i="88" s="1"/>
  <c r="CK6" i="88"/>
  <c r="CK11" i="88" s="1"/>
  <c r="CJ6" i="88"/>
  <c r="CI6" i="88"/>
  <c r="CI11" i="88" s="1"/>
  <c r="CH6" i="88"/>
  <c r="CH10" i="88" s="1"/>
  <c r="CG6" i="88"/>
  <c r="CG11" i="88" s="1"/>
  <c r="CF6" i="88"/>
  <c r="CE6" i="88"/>
  <c r="CE11" i="88" s="1"/>
  <c r="CD6" i="88"/>
  <c r="CD10" i="88" s="1"/>
  <c r="CD14" i="88" s="1"/>
  <c r="CD15" i="88" s="1"/>
  <c r="CC6" i="88"/>
  <c r="CC11" i="88" s="1"/>
  <c r="CB6" i="88"/>
  <c r="CA6" i="88"/>
  <c r="CA11" i="88" s="1"/>
  <c r="BZ6" i="88"/>
  <c r="BZ10" i="88" s="1"/>
  <c r="BY6" i="88"/>
  <c r="BY11" i="88" s="1"/>
  <c r="BX6" i="88"/>
  <c r="BW6" i="88"/>
  <c r="BW11" i="88" s="1"/>
  <c r="BV6" i="88"/>
  <c r="BV10" i="88" s="1"/>
  <c r="BV14" i="88" s="1"/>
  <c r="BV15" i="88" s="1"/>
  <c r="BU6" i="88"/>
  <c r="BU11" i="88" s="1"/>
  <c r="BT6" i="88"/>
  <c r="BS6" i="88"/>
  <c r="BS11" i="88" s="1"/>
  <c r="BR6" i="88"/>
  <c r="BR10" i="88" s="1"/>
  <c r="BR14" i="88" s="1"/>
  <c r="BR15" i="88" s="1"/>
  <c r="BQ6" i="88"/>
  <c r="BQ11" i="88" s="1"/>
  <c r="BP6" i="88"/>
  <c r="BO6" i="88"/>
  <c r="BO11" i="88" s="1"/>
  <c r="BN6" i="88"/>
  <c r="BN10" i="88" s="1"/>
  <c r="BN14" i="88" s="1"/>
  <c r="BM6" i="88"/>
  <c r="BM11" i="88" s="1"/>
  <c r="BL6" i="88"/>
  <c r="BK6" i="88"/>
  <c r="BK11" i="88" s="1"/>
  <c r="BJ6" i="88"/>
  <c r="BJ10" i="88" s="1"/>
  <c r="BI6" i="88"/>
  <c r="BI11" i="88" s="1"/>
  <c r="BH6" i="88"/>
  <c r="BG6" i="88"/>
  <c r="BG11" i="88" s="1"/>
  <c r="BF6" i="88"/>
  <c r="BF10" i="88" s="1"/>
  <c r="BF14" i="88" s="1"/>
  <c r="BF15" i="88" s="1"/>
  <c r="BE6" i="88"/>
  <c r="BE11" i="88" s="1"/>
  <c r="BD6" i="88"/>
  <c r="BC6" i="88"/>
  <c r="BC11" i="88" s="1"/>
  <c r="BB6" i="88"/>
  <c r="BB10" i="88" s="1"/>
  <c r="BB14" i="88" s="1"/>
  <c r="BB15" i="88" s="1"/>
  <c r="BA6" i="88"/>
  <c r="BA11" i="88" s="1"/>
  <c r="AZ6" i="88"/>
  <c r="AY6" i="88"/>
  <c r="AY11" i="88" s="1"/>
  <c r="AX6" i="88"/>
  <c r="AX10" i="88" s="1"/>
  <c r="AW6" i="88"/>
  <c r="AW11" i="88" s="1"/>
  <c r="AV6" i="88"/>
  <c r="AU6" i="88"/>
  <c r="AU11" i="88" s="1"/>
  <c r="AT6" i="88"/>
  <c r="AT10" i="88" s="1"/>
  <c r="AT14" i="88" s="1"/>
  <c r="AT15" i="88" s="1"/>
  <c r="AS6" i="88"/>
  <c r="AS11" i="88" s="1"/>
  <c r="AR6" i="88"/>
  <c r="AQ6" i="88"/>
  <c r="AQ11" i="88" s="1"/>
  <c r="AP6" i="88"/>
  <c r="AP10" i="88" s="1"/>
  <c r="AP14" i="88" s="1"/>
  <c r="AO6" i="88"/>
  <c r="AO11" i="88" s="1"/>
  <c r="AN6" i="88"/>
  <c r="AM6" i="88"/>
  <c r="AM11" i="88" s="1"/>
  <c r="AL6" i="88"/>
  <c r="AL10" i="88" s="1"/>
  <c r="AK6" i="88"/>
  <c r="AK11" i="88" s="1"/>
  <c r="AJ6" i="88"/>
  <c r="AI6" i="88"/>
  <c r="AI11" i="88" s="1"/>
  <c r="AH6" i="88"/>
  <c r="AH10" i="88" s="1"/>
  <c r="AH14" i="88" s="1"/>
  <c r="AG6" i="88"/>
  <c r="AG11" i="88" s="1"/>
  <c r="AF6" i="88"/>
  <c r="AE6" i="88"/>
  <c r="AE11" i="88" s="1"/>
  <c r="AD6" i="88"/>
  <c r="AD10" i="88" s="1"/>
  <c r="AD14" i="88" s="1"/>
  <c r="AC6" i="88"/>
  <c r="AC11" i="88" s="1"/>
  <c r="AB6" i="88"/>
  <c r="AA6" i="88"/>
  <c r="AA11" i="88" s="1"/>
  <c r="Z6" i="88"/>
  <c r="Z10" i="88" s="1"/>
  <c r="Z14" i="88" s="1"/>
  <c r="Y6" i="88"/>
  <c r="Y11" i="88" s="1"/>
  <c r="X6" i="88"/>
  <c r="W6" i="88"/>
  <c r="W11" i="88" s="1"/>
  <c r="V10" i="88"/>
  <c r="V14" i="88" s="1"/>
  <c r="Q6" i="88"/>
  <c r="Q11" i="88" s="1"/>
  <c r="P6" i="88"/>
  <c r="O6" i="88"/>
  <c r="O11" i="88" s="1"/>
  <c r="N6" i="88"/>
  <c r="N10" i="88" s="1"/>
  <c r="N14" i="88" s="1"/>
  <c r="M6" i="88"/>
  <c r="M11" i="88" s="1"/>
  <c r="L6" i="88"/>
  <c r="K6" i="88"/>
  <c r="K11" i="88" s="1"/>
  <c r="J6" i="88"/>
  <c r="J10" i="88" s="1"/>
  <c r="J14" i="88" s="1"/>
  <c r="I6" i="88"/>
  <c r="I11" i="88" s="1"/>
  <c r="H6" i="88"/>
  <c r="H11" i="88" s="1"/>
  <c r="G6" i="88"/>
  <c r="G11" i="88" s="1"/>
  <c r="F6" i="88"/>
  <c r="F10" i="88" s="1"/>
  <c r="F14" i="88" s="1"/>
  <c r="E6" i="88"/>
  <c r="E11" i="88" s="1"/>
  <c r="D6" i="88"/>
  <c r="D11" i="88" s="1"/>
  <c r="C6" i="88"/>
  <c r="C11" i="88" s="1"/>
  <c r="B6" i="88"/>
  <c r="B10" i="88" s="1"/>
  <c r="B14" i="88" s="1"/>
  <c r="A6" i="88"/>
  <c r="A11" i="88" s="1"/>
  <c r="C16" i="52"/>
  <c r="I13" i="82"/>
  <c r="I14" i="82"/>
  <c r="I15" i="82"/>
  <c r="I16" i="82"/>
  <c r="I17" i="82"/>
  <c r="I18" i="82"/>
  <c r="I19" i="82"/>
  <c r="I20" i="82"/>
  <c r="I21" i="82"/>
  <c r="I22" i="82"/>
  <c r="I23" i="82"/>
  <c r="I24" i="82"/>
  <c r="I25" i="82"/>
  <c r="I26" i="82"/>
  <c r="I27" i="82"/>
  <c r="I28" i="82"/>
  <c r="I29" i="82"/>
  <c r="I30" i="82"/>
  <c r="I31" i="82"/>
  <c r="I32" i="82"/>
  <c r="I33" i="82"/>
  <c r="I34" i="82"/>
  <c r="I35" i="82"/>
  <c r="I36" i="82"/>
  <c r="I37" i="82"/>
  <c r="I38" i="82"/>
  <c r="I39" i="82"/>
  <c r="I40" i="82"/>
  <c r="I41" i="82"/>
  <c r="I42" i="82"/>
  <c r="I43" i="82"/>
  <c r="I44" i="82"/>
  <c r="I12" i="82"/>
  <c r="AC5" i="43"/>
  <c r="AB5" i="43" s="1"/>
  <c r="AC6" i="43"/>
  <c r="AB6" i="43" s="1"/>
  <c r="AC7" i="43"/>
  <c r="AB7" i="43" s="1"/>
  <c r="AC4" i="43"/>
  <c r="AB4" i="43"/>
  <c r="F53" i="43"/>
  <c r="F45" i="43"/>
  <c r="B35" i="43"/>
  <c r="AG7" i="39"/>
  <c r="R4" i="54"/>
  <c r="AC5" i="20"/>
  <c r="AC6" i="20"/>
  <c r="AC7" i="20"/>
  <c r="AC8" i="20"/>
  <c r="AC4" i="20"/>
  <c r="X5" i="20"/>
  <c r="X6" i="20"/>
  <c r="X7" i="20"/>
  <c r="X8" i="20"/>
  <c r="X4" i="20"/>
  <c r="W8" i="20"/>
  <c r="V8" i="20"/>
  <c r="W6" i="20"/>
  <c r="V6" i="20"/>
  <c r="N8" i="20"/>
  <c r="N6" i="20"/>
  <c r="Q6" i="19"/>
  <c r="Q4" i="19"/>
  <c r="B18" i="19"/>
  <c r="AH223" i="4"/>
  <c r="AG223" i="4"/>
  <c r="AF223" i="4"/>
  <c r="AE223" i="4"/>
  <c r="AD223" i="4"/>
  <c r="AC223" i="4"/>
  <c r="AB223" i="4"/>
  <c r="AA223" i="4"/>
  <c r="AH222" i="4"/>
  <c r="AG222" i="4"/>
  <c r="AF222" i="4"/>
  <c r="AE222" i="4"/>
  <c r="AD222" i="4"/>
  <c r="AC222" i="4"/>
  <c r="AB222" i="4"/>
  <c r="AA222" i="4"/>
  <c r="AH221" i="4"/>
  <c r="AG221" i="4"/>
  <c r="AF221" i="4"/>
  <c r="AE221" i="4"/>
  <c r="AD221" i="4"/>
  <c r="AC221" i="4"/>
  <c r="AB221" i="4"/>
  <c r="AA221" i="4"/>
  <c r="AH220" i="4"/>
  <c r="AG220" i="4"/>
  <c r="AF220" i="4"/>
  <c r="AE220" i="4"/>
  <c r="AD220" i="4"/>
  <c r="AC220" i="4"/>
  <c r="AB220" i="4"/>
  <c r="AA220" i="4"/>
  <c r="AH219" i="4"/>
  <c r="AG219" i="4"/>
  <c r="AF219" i="4"/>
  <c r="AE219" i="4"/>
  <c r="AD219" i="4"/>
  <c r="AC219" i="4"/>
  <c r="AB219" i="4"/>
  <c r="AA219" i="4"/>
  <c r="AH218" i="4"/>
  <c r="AG218" i="4"/>
  <c r="AF218" i="4"/>
  <c r="AE218" i="4"/>
  <c r="AD218" i="4"/>
  <c r="AC218" i="4"/>
  <c r="AB218" i="4"/>
  <c r="AA218" i="4"/>
  <c r="AH217" i="4"/>
  <c r="AG217" i="4"/>
  <c r="AF217" i="4"/>
  <c r="AE217" i="4"/>
  <c r="AD217" i="4"/>
  <c r="AC217" i="4"/>
  <c r="AB217" i="4"/>
  <c r="AA217" i="4"/>
  <c r="AH216" i="4"/>
  <c r="AG216" i="4"/>
  <c r="AF216" i="4"/>
  <c r="AE216" i="4"/>
  <c r="AD216" i="4"/>
  <c r="AC216" i="4"/>
  <c r="AB216" i="4"/>
  <c r="AA216" i="4"/>
  <c r="AH215" i="4"/>
  <c r="AG215" i="4"/>
  <c r="AF215" i="4"/>
  <c r="AE215" i="4"/>
  <c r="AD215" i="4"/>
  <c r="AC215" i="4"/>
  <c r="AB215" i="4"/>
  <c r="AA215" i="4"/>
  <c r="DD12" i="88"/>
  <c r="E12" i="88"/>
  <c r="AU12" i="88"/>
  <c r="Z12" i="88"/>
  <c r="BD12" i="88"/>
  <c r="BZ12" i="88"/>
  <c r="AW12" i="88"/>
  <c r="P12" i="88"/>
  <c r="CM12" i="88"/>
  <c r="BY12" i="88"/>
  <c r="AV12" i="88"/>
  <c r="BR12" i="88"/>
  <c r="U12" i="88"/>
  <c r="AY12" i="88"/>
  <c r="CO12" i="88"/>
  <c r="AH12" i="88"/>
  <c r="CY12" i="88"/>
  <c r="CR12" i="88"/>
  <c r="BI12" i="88"/>
  <c r="AL12" i="88"/>
  <c r="BB12" i="88"/>
  <c r="CN12" i="88"/>
  <c r="CC12" i="88"/>
  <c r="CE12" i="88"/>
  <c r="S12" i="88"/>
  <c r="BX12" i="88"/>
  <c r="BO12" i="88"/>
  <c r="AP12" i="88"/>
  <c r="BS12" i="88"/>
  <c r="DC12" i="88"/>
  <c r="M12" i="88"/>
  <c r="BK12" i="88"/>
  <c r="AX12" i="88"/>
  <c r="AS12" i="88"/>
  <c r="L12" i="88"/>
  <c r="B12" i="88"/>
  <c r="AK12" i="88"/>
  <c r="BW12" i="88"/>
  <c r="AQ12" i="88"/>
  <c r="BV12" i="88"/>
  <c r="AB12" i="88"/>
  <c r="V12" i="88"/>
  <c r="BP12" i="88"/>
  <c r="CS12" i="88"/>
  <c r="CU12" i="88"/>
  <c r="H12" i="88"/>
  <c r="AZ12" i="88"/>
  <c r="N12" i="88"/>
  <c r="CK12" i="88"/>
  <c r="BH12" i="88"/>
  <c r="CQ12" i="88"/>
  <c r="DA12" i="88"/>
  <c r="C12" i="88"/>
  <c r="DE12" i="88"/>
  <c r="CW12" i="88"/>
  <c r="AE12" i="88"/>
  <c r="CX12" i="88"/>
  <c r="AC12" i="88"/>
  <c r="CI12" i="88"/>
  <c r="A12" i="88"/>
  <c r="AD12" i="88"/>
  <c r="DF12" i="88"/>
  <c r="AI12" i="88"/>
  <c r="BU12" i="88"/>
  <c r="AR12" i="88"/>
  <c r="BJ12" i="88"/>
  <c r="CG12" i="88"/>
  <c r="CH12" i="88"/>
  <c r="R12" i="88"/>
  <c r="CF12" i="88"/>
  <c r="CV12" i="88"/>
  <c r="CZ12" i="88"/>
  <c r="I12" i="88"/>
  <c r="BC12" i="88"/>
  <c r="BF12" i="88"/>
  <c r="BT12" i="88"/>
  <c r="BN12" i="88"/>
  <c r="BE12" i="88"/>
  <c r="BA12" i="88"/>
  <c r="CT12" i="88"/>
  <c r="AT12" i="88"/>
  <c r="W12" i="88"/>
  <c r="AN12" i="88"/>
  <c r="AO12" i="88"/>
  <c r="G12" i="88"/>
  <c r="T12" i="88"/>
  <c r="DB12" i="88"/>
  <c r="Y12" i="88"/>
  <c r="CA12" i="88"/>
  <c r="AA12" i="88"/>
  <c r="CJ12" i="88"/>
  <c r="CD12" i="88"/>
  <c r="BM12" i="88"/>
  <c r="AJ12" i="88"/>
  <c r="BG12" i="88"/>
  <c r="CP12" i="88"/>
  <c r="BL12" i="88"/>
  <c r="O12" i="88"/>
  <c r="DH12" i="88"/>
  <c r="AM12" i="88"/>
  <c r="DG12" i="88"/>
  <c r="K12" i="88"/>
  <c r="X12" i="88"/>
  <c r="AG12" i="88"/>
  <c r="F12" i="88"/>
  <c r="AF12" i="88"/>
  <c r="BQ12" i="88"/>
  <c r="Q12" i="88"/>
  <c r="J12" i="88"/>
  <c r="CB12" i="88"/>
  <c r="D12" i="88"/>
  <c r="AJ620" i="4" l="1"/>
  <c r="AM64" i="4"/>
  <c r="AM63" i="4"/>
  <c r="AM62" i="4"/>
  <c r="AM61" i="4"/>
  <c r="AM60" i="4"/>
  <c r="AM56" i="4"/>
  <c r="AM12" i="4"/>
  <c r="AM609" i="4"/>
  <c r="AM608" i="4"/>
  <c r="AM607" i="4"/>
  <c r="AM517" i="4"/>
  <c r="AM496" i="4"/>
  <c r="AM472" i="4"/>
  <c r="AM471" i="4"/>
  <c r="AM470" i="4"/>
  <c r="AM468" i="4"/>
  <c r="AM465" i="4"/>
  <c r="AM464" i="4"/>
  <c r="AM463" i="4"/>
  <c r="AM462" i="4"/>
  <c r="AM460" i="4"/>
  <c r="AM441" i="4"/>
  <c r="AM417" i="4"/>
  <c r="AM396" i="4"/>
  <c r="AM395" i="4"/>
  <c r="AM370" i="4"/>
  <c r="AM368" i="4"/>
  <c r="AM326" i="4"/>
  <c r="AM304" i="4"/>
  <c r="AM303" i="4"/>
  <c r="AM279" i="4"/>
  <c r="AM278" i="4"/>
  <c r="AM277" i="4"/>
  <c r="AM275" i="4"/>
  <c r="AM274" i="4"/>
  <c r="AM268" i="4"/>
  <c r="AM262" i="4"/>
  <c r="AM261" i="4"/>
  <c r="AM199" i="4"/>
  <c r="CB619" i="4"/>
  <c r="CB617" i="4"/>
  <c r="CB611" i="4"/>
  <c r="CB609" i="4"/>
  <c r="CB572" i="4"/>
  <c r="CB489" i="4"/>
  <c r="CB487" i="4"/>
  <c r="CB454" i="4"/>
  <c r="CB385" i="4"/>
  <c r="CB383" i="4"/>
  <c r="CB378" i="4"/>
  <c r="CB375" i="4"/>
  <c r="CB362" i="4"/>
  <c r="CB359" i="4"/>
  <c r="CB346" i="4"/>
  <c r="CB324" i="4"/>
  <c r="CB235" i="4"/>
  <c r="CB219" i="4"/>
  <c r="CB192" i="4"/>
  <c r="CB55" i="4"/>
  <c r="CB32" i="4"/>
  <c r="CB16" i="4"/>
  <c r="AM44" i="4"/>
  <c r="AM42" i="4"/>
  <c r="AM40" i="4"/>
  <c r="AM38" i="4"/>
  <c r="AM36" i="4"/>
  <c r="AM581" i="4"/>
  <c r="AM579" i="4"/>
  <c r="AM575" i="4"/>
  <c r="AM572" i="4"/>
  <c r="AM570" i="4"/>
  <c r="AM565" i="4"/>
  <c r="AM453" i="4"/>
  <c r="AM375" i="4"/>
  <c r="AM354" i="4"/>
  <c r="AM351" i="4"/>
  <c r="AM347" i="4"/>
  <c r="AM328" i="4"/>
  <c r="AM290" i="4"/>
  <c r="AM284" i="4"/>
  <c r="AM144" i="4"/>
  <c r="CB603" i="4"/>
  <c r="CB481" i="4"/>
  <c r="CB227" i="4"/>
  <c r="CB75" i="4"/>
  <c r="CB74" i="4"/>
  <c r="CB68" i="4"/>
  <c r="CB63" i="4"/>
  <c r="AM43" i="4"/>
  <c r="AM41" i="4"/>
  <c r="AM39" i="4"/>
  <c r="AM37" i="4"/>
  <c r="AM580" i="4"/>
  <c r="AM576" i="4"/>
  <c r="AM571" i="4"/>
  <c r="AM568" i="4"/>
  <c r="AM537" i="4"/>
  <c r="AM504" i="4"/>
  <c r="AM475" i="4"/>
  <c r="AM452" i="4"/>
  <c r="AM419" i="4"/>
  <c r="AM402" i="4"/>
  <c r="AM400" i="4"/>
  <c r="AM380" i="4"/>
  <c r="AM350" i="4"/>
  <c r="AM306" i="4"/>
  <c r="AM134" i="4"/>
  <c r="CB370" i="4"/>
  <c r="AM28" i="4"/>
  <c r="AM27" i="4"/>
  <c r="AM26" i="4"/>
  <c r="AM25" i="4"/>
  <c r="AM589" i="4"/>
  <c r="AM583" i="4"/>
  <c r="AM548" i="4"/>
  <c r="AM547" i="4"/>
  <c r="AM544" i="4"/>
  <c r="AM543" i="4"/>
  <c r="AM456" i="4"/>
  <c r="AM433" i="4"/>
  <c r="AM432" i="4"/>
  <c r="AM431" i="4"/>
  <c r="AM430" i="4"/>
  <c r="AM428" i="4"/>
  <c r="AM427" i="4"/>
  <c r="AM426" i="4"/>
  <c r="AM421" i="4"/>
  <c r="AM383" i="4"/>
  <c r="AM364" i="4"/>
  <c r="AM359" i="4"/>
  <c r="AM336" i="4"/>
  <c r="AM256" i="4"/>
  <c r="AM252" i="4"/>
  <c r="AM236" i="4"/>
  <c r="AM215" i="4"/>
  <c r="AM210" i="4"/>
  <c r="AM196" i="4"/>
  <c r="AM146" i="4"/>
  <c r="AM140" i="4"/>
  <c r="AM139" i="4"/>
  <c r="AM128" i="4"/>
  <c r="AM112" i="4"/>
  <c r="AM102" i="4"/>
  <c r="AM100" i="4"/>
  <c r="CB555" i="4"/>
  <c r="CB553" i="4"/>
  <c r="CB547" i="4"/>
  <c r="CB545" i="4"/>
  <c r="CB437" i="4"/>
  <c r="CB435" i="4"/>
  <c r="CB429" i="4"/>
  <c r="CB427" i="4"/>
  <c r="CB299" i="4"/>
  <c r="CB283" i="4"/>
  <c r="CB260" i="4"/>
  <c r="CB167" i="4"/>
  <c r="CB165" i="4"/>
  <c r="CB151" i="4"/>
  <c r="CB149" i="4"/>
  <c r="CB135" i="4"/>
  <c r="CB112" i="4"/>
  <c r="CB95" i="4"/>
  <c r="CB587" i="4"/>
  <c r="CB585" i="4"/>
  <c r="CB579" i="4"/>
  <c r="CB577" i="4"/>
  <c r="CB564" i="4"/>
  <c r="CB523" i="4"/>
  <c r="CB521" i="4"/>
  <c r="CB515" i="4"/>
  <c r="CB513" i="4"/>
  <c r="CB498" i="4"/>
  <c r="CB469" i="4"/>
  <c r="CB467" i="4"/>
  <c r="CB461" i="4"/>
  <c r="CB459" i="4"/>
  <c r="CB446" i="4"/>
  <c r="CB413" i="4"/>
  <c r="CB411" i="4"/>
  <c r="CB405" i="4"/>
  <c r="CB403" i="4"/>
  <c r="CB390" i="4"/>
  <c r="CB366" i="4"/>
  <c r="CB365" i="4"/>
  <c r="CB364" i="4"/>
  <c r="CB350" i="4"/>
  <c r="CB349" i="4"/>
  <c r="CB348" i="4"/>
  <c r="CB347" i="4"/>
  <c r="CB331" i="4"/>
  <c r="CB308" i="4"/>
  <c r="CB288" i="4"/>
  <c r="CB287" i="4"/>
  <c r="CB267" i="4"/>
  <c r="CB244" i="4"/>
  <c r="CB224" i="4"/>
  <c r="CB223" i="4"/>
  <c r="CB199" i="4"/>
  <c r="CB197" i="4"/>
  <c r="CB176" i="4"/>
  <c r="CB159" i="4"/>
  <c r="CB140" i="4"/>
  <c r="CB139" i="4"/>
  <c r="CB132" i="4"/>
  <c r="CB119" i="4"/>
  <c r="CB96" i="4"/>
  <c r="CB80" i="4"/>
  <c r="CB60" i="4"/>
  <c r="CB59" i="4"/>
  <c r="CB58" i="4"/>
  <c r="CB57" i="4"/>
  <c r="CB39" i="4"/>
  <c r="CB23" i="4"/>
  <c r="AM335" i="4"/>
  <c r="AM308" i="4"/>
  <c r="AM292" i="4"/>
  <c r="AM272" i="4"/>
  <c r="AM247" i="4"/>
  <c r="AM246" i="4"/>
  <c r="AM245" i="4"/>
  <c r="AM243" i="4"/>
  <c r="AM230" i="4"/>
  <c r="AM229" i="4"/>
  <c r="AM208" i="4"/>
  <c r="AM178" i="4"/>
  <c r="AM172" i="4"/>
  <c r="AM171" i="4"/>
  <c r="AM169" i="4"/>
  <c r="AM135" i="4"/>
  <c r="AM114" i="4"/>
  <c r="AM108" i="4"/>
  <c r="AM107" i="4"/>
  <c r="AM106" i="4"/>
  <c r="AM105" i="4"/>
  <c r="CB604" i="4"/>
  <c r="CB591" i="4"/>
  <c r="CB590" i="4"/>
  <c r="CB583" i="4"/>
  <c r="CB582" i="4"/>
  <c r="CB540" i="4"/>
  <c r="CB527" i="4"/>
  <c r="CB526" i="4"/>
  <c r="CB519" i="4"/>
  <c r="CB518" i="4"/>
  <c r="CB516" i="4"/>
  <c r="CB482" i="4"/>
  <c r="CB473" i="4"/>
  <c r="CB472" i="4"/>
  <c r="CB465" i="4"/>
  <c r="CB464" i="4"/>
  <c r="CB417" i="4"/>
  <c r="CB416" i="4"/>
  <c r="CB409" i="4"/>
  <c r="CB408" i="4"/>
  <c r="CB354" i="4"/>
  <c r="CB336" i="4"/>
  <c r="CB335" i="4"/>
  <c r="CB328" i="4"/>
  <c r="CB315" i="4"/>
  <c r="CB292" i="4"/>
  <c r="CB272" i="4"/>
  <c r="CB271" i="4"/>
  <c r="CB264" i="4"/>
  <c r="CB251" i="4"/>
  <c r="CB228" i="4"/>
  <c r="CB203" i="4"/>
  <c r="CB195" i="4"/>
  <c r="CB183" i="4"/>
  <c r="CB181" i="4"/>
  <c r="CB160" i="4"/>
  <c r="CB147" i="4"/>
  <c r="CB144" i="4"/>
  <c r="CB124" i="4"/>
  <c r="CB123" i="4"/>
  <c r="CB122" i="4"/>
  <c r="CB103" i="4"/>
  <c r="CB87" i="4"/>
  <c r="CB64" i="4"/>
  <c r="CB44" i="4"/>
  <c r="CB43" i="4"/>
  <c r="CB42" i="4"/>
  <c r="CB41" i="4"/>
  <c r="CB28" i="4"/>
  <c r="CB27" i="4"/>
  <c r="CB26" i="4"/>
  <c r="CB25" i="4"/>
  <c r="AM8" i="4"/>
  <c r="AM74" i="4"/>
  <c r="AM58" i="4"/>
  <c r="AI620" i="4"/>
  <c r="AM595" i="4"/>
  <c r="AM577" i="4"/>
  <c r="AM525" i="4"/>
  <c r="AM485" i="4"/>
  <c r="AM483" i="4"/>
  <c r="AM477" i="4"/>
  <c r="AM404" i="4"/>
  <c r="AM332" i="4"/>
  <c r="AM258" i="4"/>
  <c r="AM73" i="4"/>
  <c r="AM57" i="4"/>
  <c r="AL620" i="4"/>
  <c r="AM71" i="4"/>
  <c r="AM70" i="4"/>
  <c r="AM69" i="4"/>
  <c r="AM55" i="4"/>
  <c r="AM54" i="4"/>
  <c r="AM53" i="4"/>
  <c r="AM52" i="4"/>
  <c r="AM51" i="4"/>
  <c r="AM24" i="4"/>
  <c r="AM23" i="4"/>
  <c r="AM22" i="4"/>
  <c r="AM21" i="4"/>
  <c r="AM20" i="4"/>
  <c r="AM604" i="4"/>
  <c r="AM603" i="4"/>
  <c r="AM602" i="4"/>
  <c r="AM598" i="4"/>
  <c r="AM597" i="4"/>
  <c r="AM540" i="4"/>
  <c r="AM539" i="4"/>
  <c r="AM538" i="4"/>
  <c r="AM536" i="4"/>
  <c r="AM533" i="4"/>
  <c r="AM493" i="4"/>
  <c r="AM492" i="4"/>
  <c r="AM491" i="4"/>
  <c r="AM488" i="4"/>
  <c r="AM449" i="4"/>
  <c r="AM448" i="4"/>
  <c r="AM443" i="4"/>
  <c r="AM442" i="4"/>
  <c r="AM439" i="4"/>
  <c r="AM388" i="4"/>
  <c r="AM315" i="4"/>
  <c r="AM242" i="4"/>
  <c r="AM75" i="4"/>
  <c r="AM59" i="4"/>
  <c r="AM67" i="4"/>
  <c r="AM66" i="4"/>
  <c r="AM65" i="4"/>
  <c r="AM613" i="4"/>
  <c r="AM569" i="4"/>
  <c r="AM549" i="4"/>
  <c r="AM545" i="4"/>
  <c r="AM505" i="4"/>
  <c r="AM497" i="4"/>
  <c r="AM457" i="4"/>
  <c r="AM425" i="4"/>
  <c r="AM226" i="4"/>
  <c r="AM50" i="4"/>
  <c r="AM49" i="4"/>
  <c r="AM35" i="4"/>
  <c r="AM34" i="4"/>
  <c r="AM33" i="4"/>
  <c r="AM19" i="4"/>
  <c r="AM18" i="4"/>
  <c r="AM17" i="4"/>
  <c r="AM616" i="4"/>
  <c r="AM605" i="4"/>
  <c r="AM599" i="4"/>
  <c r="AM596" i="4"/>
  <c r="AM592" i="4"/>
  <c r="AM591" i="4"/>
  <c r="AM585" i="4"/>
  <c r="AM567" i="4"/>
  <c r="AM564" i="4"/>
  <c r="AM563" i="4"/>
  <c r="AM557" i="4"/>
  <c r="AM553" i="4"/>
  <c r="AM535" i="4"/>
  <c r="AM532" i="4"/>
  <c r="AM531" i="4"/>
  <c r="AM528" i="4"/>
  <c r="AM527" i="4"/>
  <c r="AM523" i="4"/>
  <c r="AM522" i="4"/>
  <c r="AM508" i="4"/>
  <c r="AM507" i="4"/>
  <c r="AM499" i="4"/>
  <c r="AM487" i="4"/>
  <c r="AM486" i="4"/>
  <c r="AM484" i="4"/>
  <c r="AM480" i="4"/>
  <c r="AM479" i="4"/>
  <c r="AM478" i="4"/>
  <c r="AM476" i="4"/>
  <c r="AM459" i="4"/>
  <c r="AM458" i="4"/>
  <c r="AM444" i="4"/>
  <c r="AM435" i="4"/>
  <c r="AM423" i="4"/>
  <c r="AM420" i="4"/>
  <c r="AM407" i="4"/>
  <c r="AM390" i="4"/>
  <c r="AM387" i="4"/>
  <c r="AM360" i="4"/>
  <c r="AM352" i="4"/>
  <c r="AM331" i="4"/>
  <c r="AM329" i="4"/>
  <c r="AM324" i="4"/>
  <c r="AM310" i="4"/>
  <c r="AM309" i="4"/>
  <c r="AM307" i="4"/>
  <c r="AM293" i="4"/>
  <c r="AM263" i="4"/>
  <c r="AM231" i="4"/>
  <c r="AM212" i="4"/>
  <c r="AM204" i="4"/>
  <c r="AM203" i="4"/>
  <c r="AM201" i="4"/>
  <c r="AM137" i="4"/>
  <c r="AM47" i="4"/>
  <c r="AM46" i="4"/>
  <c r="AM45" i="4"/>
  <c r="AM31" i="4"/>
  <c r="AM30" i="4"/>
  <c r="AM29" i="4"/>
  <c r="AM15" i="4"/>
  <c r="AM14" i="4"/>
  <c r="AM13" i="4"/>
  <c r="AM617" i="4"/>
  <c r="AM600" i="4"/>
  <c r="AM593" i="4"/>
  <c r="AM587" i="4"/>
  <c r="AM586" i="4"/>
  <c r="AM584" i="4"/>
  <c r="AM573" i="4"/>
  <c r="AM560" i="4"/>
  <c r="AM559" i="4"/>
  <c r="AM555" i="4"/>
  <c r="AM554" i="4"/>
  <c r="AM552" i="4"/>
  <c r="AM541" i="4"/>
  <c r="AM529" i="4"/>
  <c r="AM524" i="4"/>
  <c r="AM519" i="4"/>
  <c r="AM503" i="4"/>
  <c r="AM500" i="4"/>
  <c r="AM481" i="4"/>
  <c r="AM469" i="4"/>
  <c r="AM467" i="4"/>
  <c r="AM451" i="4"/>
  <c r="AM440" i="4"/>
  <c r="AM436" i="4"/>
  <c r="AM424" i="4"/>
  <c r="AM416" i="4"/>
  <c r="AM408" i="4"/>
  <c r="AM391" i="4"/>
  <c r="AM382" i="4"/>
  <c r="AM378" i="4"/>
  <c r="AM372" i="4"/>
  <c r="AM367" i="4"/>
  <c r="AM363" i="4"/>
  <c r="AM361" i="4"/>
  <c r="AM356" i="4"/>
  <c r="AM348" i="4"/>
  <c r="AM342" i="4"/>
  <c r="AM341" i="4"/>
  <c r="AM339" i="4"/>
  <c r="AM325" i="4"/>
  <c r="AM316" i="4"/>
  <c r="AM311" i="4"/>
  <c r="AM295" i="4"/>
  <c r="AM286" i="4"/>
  <c r="AM271" i="4"/>
  <c r="AM264" i="4"/>
  <c r="AM254" i="4"/>
  <c r="AM239" i="4"/>
  <c r="AM232" i="4"/>
  <c r="AM223" i="4"/>
  <c r="AM222" i="4"/>
  <c r="AM194" i="4"/>
  <c r="AM162" i="4"/>
  <c r="AM143" i="4"/>
  <c r="AM130" i="4"/>
  <c r="AM98" i="4"/>
  <c r="CB607" i="4"/>
  <c r="CB606" i="4"/>
  <c r="CB601" i="4"/>
  <c r="CB588" i="4"/>
  <c r="CB575" i="4"/>
  <c r="CB574" i="4"/>
  <c r="CB569" i="4"/>
  <c r="CB556" i="4"/>
  <c r="CB543" i="4"/>
  <c r="CB542" i="4"/>
  <c r="CB537" i="4"/>
  <c r="CB524" i="4"/>
  <c r="CB511" i="4"/>
  <c r="CB510" i="4"/>
  <c r="CB508" i="4"/>
  <c r="CB505" i="4"/>
  <c r="CB503" i="4"/>
  <c r="CB490" i="4"/>
  <c r="AM410" i="4"/>
  <c r="AM409" i="4"/>
  <c r="AM392" i="4"/>
  <c r="AM384" i="4"/>
  <c r="AM379" i="4"/>
  <c r="AM374" i="4"/>
  <c r="AM373" i="4"/>
  <c r="AM371" i="4"/>
  <c r="AM357" i="4"/>
  <c r="AM340" i="4"/>
  <c r="AM327" i="4"/>
  <c r="AM296" i="4"/>
  <c r="AM288" i="4"/>
  <c r="AM276" i="4"/>
  <c r="AM267" i="4"/>
  <c r="AM265" i="4"/>
  <c r="AM260" i="4"/>
  <c r="AM244" i="4"/>
  <c r="AM235" i="4"/>
  <c r="AM233" i="4"/>
  <c r="AM228" i="4"/>
  <c r="AM180" i="4"/>
  <c r="AM167" i="4"/>
  <c r="AM155" i="4"/>
  <c r="AM123" i="4"/>
  <c r="AM116" i="4"/>
  <c r="AM103" i="4"/>
  <c r="AM87" i="4"/>
  <c r="AM86" i="4"/>
  <c r="AM85" i="4"/>
  <c r="AM83" i="4"/>
  <c r="CB612" i="4"/>
  <c r="CB599" i="4"/>
  <c r="CB598" i="4"/>
  <c r="CB593" i="4"/>
  <c r="CB580" i="4"/>
  <c r="CB567" i="4"/>
  <c r="CB566" i="4"/>
  <c r="CB561" i="4"/>
  <c r="CB548" i="4"/>
  <c r="CB535" i="4"/>
  <c r="CB534" i="4"/>
  <c r="CB529" i="4"/>
  <c r="CB501" i="4"/>
  <c r="CB495" i="4"/>
  <c r="AM207" i="4"/>
  <c r="AM200" i="4"/>
  <c r="AM191" i="4"/>
  <c r="AM190" i="4"/>
  <c r="AM175" i="4"/>
  <c r="AM168" i="4"/>
  <c r="AM159" i="4"/>
  <c r="AM158" i="4"/>
  <c r="AM136" i="4"/>
  <c r="AM127" i="4"/>
  <c r="AM126" i="4"/>
  <c r="AM111" i="4"/>
  <c r="AM104" i="4"/>
  <c r="AM95" i="4"/>
  <c r="AM94" i="4"/>
  <c r="AM91" i="4"/>
  <c r="AM84" i="4"/>
  <c r="CB618" i="4"/>
  <c r="CB613" i="4"/>
  <c r="CB608" i="4"/>
  <c r="CB602" i="4"/>
  <c r="CB597" i="4"/>
  <c r="CB592" i="4"/>
  <c r="CB586" i="4"/>
  <c r="CB581" i="4"/>
  <c r="CB576" i="4"/>
  <c r="CB570" i="4"/>
  <c r="CB565" i="4"/>
  <c r="CB560" i="4"/>
  <c r="CB554" i="4"/>
  <c r="CB549" i="4"/>
  <c r="CB544" i="4"/>
  <c r="CB538" i="4"/>
  <c r="CB533" i="4"/>
  <c r="CB528" i="4"/>
  <c r="CB522" i="4"/>
  <c r="CB517" i="4"/>
  <c r="CB506" i="4"/>
  <c r="CB499" i="4"/>
  <c r="CB494" i="4"/>
  <c r="CB483" i="4"/>
  <c r="CB478" i="4"/>
  <c r="CB248" i="4"/>
  <c r="CB179" i="4"/>
  <c r="CB116" i="4"/>
  <c r="CB52" i="4"/>
  <c r="CB484" i="4"/>
  <c r="CB479" i="4"/>
  <c r="CB470" i="4"/>
  <c r="CB457" i="4"/>
  <c r="CB456" i="4"/>
  <c r="CB451" i="4"/>
  <c r="CB438" i="4"/>
  <c r="CB426" i="4"/>
  <c r="CB423" i="4"/>
  <c r="CB414" i="4"/>
  <c r="CB401" i="4"/>
  <c r="CB400" i="4"/>
  <c r="CB395" i="4"/>
  <c r="CB358" i="4"/>
  <c r="CB296" i="4"/>
  <c r="CB232" i="4"/>
  <c r="CB163" i="4"/>
  <c r="CB100" i="4"/>
  <c r="CB36" i="4"/>
  <c r="AM214" i="4"/>
  <c r="AM213" i="4"/>
  <c r="AM211" i="4"/>
  <c r="AM197" i="4"/>
  <c r="AM188" i="4"/>
  <c r="AM182" i="4"/>
  <c r="AM181" i="4"/>
  <c r="AM179" i="4"/>
  <c r="AM165" i="4"/>
  <c r="AM156" i="4"/>
  <c r="AM150" i="4"/>
  <c r="AM149" i="4"/>
  <c r="AM147" i="4"/>
  <c r="AM133" i="4"/>
  <c r="AM124" i="4"/>
  <c r="AM118" i="4"/>
  <c r="AM117" i="4"/>
  <c r="AM115" i="4"/>
  <c r="AM101" i="4"/>
  <c r="AM92" i="4"/>
  <c r="CB616" i="4"/>
  <c r="CB610" i="4"/>
  <c r="CB605" i="4"/>
  <c r="CB600" i="4"/>
  <c r="CB594" i="4"/>
  <c r="CB589" i="4"/>
  <c r="CB584" i="4"/>
  <c r="CB578" i="4"/>
  <c r="CB573" i="4"/>
  <c r="CB568" i="4"/>
  <c r="CB562" i="4"/>
  <c r="CB557" i="4"/>
  <c r="CB552" i="4"/>
  <c r="CB546" i="4"/>
  <c r="CB541" i="4"/>
  <c r="CB536" i="4"/>
  <c r="CB530" i="4"/>
  <c r="CB525" i="4"/>
  <c r="CB520" i="4"/>
  <c r="CB514" i="4"/>
  <c r="CB512" i="4"/>
  <c r="CB509" i="4"/>
  <c r="CB502" i="4"/>
  <c r="CB491" i="4"/>
  <c r="CB486" i="4"/>
  <c r="CB480" i="4"/>
  <c r="CB477" i="4"/>
  <c r="CB476" i="4"/>
  <c r="CB462" i="4"/>
  <c r="CB449" i="4"/>
  <c r="CB448" i="4"/>
  <c r="CB443" i="4"/>
  <c r="CB430" i="4"/>
  <c r="CB422" i="4"/>
  <c r="CB419" i="4"/>
  <c r="CB406" i="4"/>
  <c r="CB394" i="4"/>
  <c r="CB393" i="4"/>
  <c r="CB392" i="4"/>
  <c r="CB387" i="4"/>
  <c r="CB344" i="4"/>
  <c r="CB280" i="4"/>
  <c r="CB216" i="4"/>
  <c r="CB84" i="4"/>
  <c r="CB20" i="4"/>
  <c r="CB471" i="4"/>
  <c r="CB466" i="4"/>
  <c r="CB460" i="4"/>
  <c r="CB455" i="4"/>
  <c r="CB450" i="4"/>
  <c r="CB444" i="4"/>
  <c r="CB439" i="4"/>
  <c r="CB434" i="4"/>
  <c r="CB428" i="4"/>
  <c r="CB420" i="4"/>
  <c r="CB415" i="4"/>
  <c r="CB410" i="4"/>
  <c r="CB404" i="4"/>
  <c r="CB399" i="4"/>
  <c r="CB388" i="4"/>
  <c r="CB377" i="4"/>
  <c r="CB376" i="4"/>
  <c r="CB371" i="4"/>
  <c r="CB361" i="4"/>
  <c r="CB360" i="4"/>
  <c r="CB355" i="4"/>
  <c r="CB341" i="4"/>
  <c r="CB325" i="4"/>
  <c r="CB309" i="4"/>
  <c r="CB293" i="4"/>
  <c r="CB277" i="4"/>
  <c r="CB261" i="4"/>
  <c r="CB245" i="4"/>
  <c r="CB229" i="4"/>
  <c r="CB208" i="4"/>
  <c r="CB204" i="4"/>
  <c r="CB193" i="4"/>
  <c r="CB188" i="4"/>
  <c r="CB177" i="4"/>
  <c r="CB172" i="4"/>
  <c r="CB161" i="4"/>
  <c r="CB156" i="4"/>
  <c r="CB145" i="4"/>
  <c r="CB129" i="4"/>
  <c r="CB113" i="4"/>
  <c r="CB102" i="4"/>
  <c r="CB97" i="4"/>
  <c r="CB86" i="4"/>
  <c r="CB81" i="4"/>
  <c r="CB70" i="4"/>
  <c r="CB54" i="4"/>
  <c r="CB38" i="4"/>
  <c r="CB33" i="4"/>
  <c r="CB22" i="4"/>
  <c r="CB373" i="4"/>
  <c r="CB372" i="4"/>
  <c r="CB367" i="4"/>
  <c r="CB357" i="4"/>
  <c r="CB356" i="4"/>
  <c r="CB351" i="4"/>
  <c r="CB343" i="4"/>
  <c r="CB332" i="4"/>
  <c r="CB327" i="4"/>
  <c r="CB316" i="4"/>
  <c r="CB311" i="4"/>
  <c r="CB300" i="4"/>
  <c r="CB295" i="4"/>
  <c r="CB284" i="4"/>
  <c r="CB279" i="4"/>
  <c r="CB268" i="4"/>
  <c r="CB263" i="4"/>
  <c r="CB252" i="4"/>
  <c r="CB247" i="4"/>
  <c r="CB236" i="4"/>
  <c r="CB231" i="4"/>
  <c r="CB220" i="4"/>
  <c r="CB215" i="4"/>
  <c r="CB209" i="4"/>
  <c r="CB205" i="4"/>
  <c r="CB200" i="4"/>
  <c r="CB194" i="4"/>
  <c r="CB184" i="4"/>
  <c r="CB178" i="4"/>
  <c r="CB173" i="4"/>
  <c r="CB168" i="4"/>
  <c r="CB162" i="4"/>
  <c r="CB157" i="4"/>
  <c r="CB152" i="4"/>
  <c r="CB146" i="4"/>
  <c r="CB136" i="4"/>
  <c r="CB131" i="4"/>
  <c r="CB130" i="4"/>
  <c r="CB120" i="4"/>
  <c r="CB115" i="4"/>
  <c r="CB114" i="4"/>
  <c r="CB104" i="4"/>
  <c r="CB99" i="4"/>
  <c r="CB98" i="4"/>
  <c r="CB88" i="4"/>
  <c r="CB83" i="4"/>
  <c r="CB82" i="4"/>
  <c r="CB72" i="4"/>
  <c r="CB67" i="4"/>
  <c r="CB66" i="4"/>
  <c r="CB65" i="4"/>
  <c r="CB56" i="4"/>
  <c r="CB51" i="4"/>
  <c r="CB50" i="4"/>
  <c r="CB49" i="4"/>
  <c r="CB40" i="4"/>
  <c r="CB35" i="4"/>
  <c r="CB34" i="4"/>
  <c r="CB24" i="4"/>
  <c r="CB19" i="4"/>
  <c r="CB18" i="4"/>
  <c r="CB17" i="4"/>
  <c r="CB475" i="4"/>
  <c r="CB468" i="4"/>
  <c r="CB463" i="4"/>
  <c r="CB458" i="4"/>
  <c r="CB452" i="4"/>
  <c r="CB447" i="4"/>
  <c r="CB442" i="4"/>
  <c r="CB436" i="4"/>
  <c r="CB431" i="4"/>
  <c r="CB424" i="4"/>
  <c r="CB418" i="4"/>
  <c r="CB412" i="4"/>
  <c r="CB407" i="4"/>
  <c r="CB402" i="4"/>
  <c r="CB397" i="4"/>
  <c r="CB396" i="4"/>
  <c r="CB391" i="4"/>
  <c r="CB384" i="4"/>
  <c r="CB379" i="4"/>
  <c r="CB369" i="4"/>
  <c r="CB368" i="4"/>
  <c r="CB363" i="4"/>
  <c r="CB353" i="4"/>
  <c r="CB352" i="4"/>
  <c r="CB333" i="4"/>
  <c r="CB317" i="4"/>
  <c r="CB301" i="4"/>
  <c r="CB285" i="4"/>
  <c r="CB269" i="4"/>
  <c r="CB253" i="4"/>
  <c r="CB237" i="4"/>
  <c r="CB207" i="4"/>
  <c r="CB201" i="4"/>
  <c r="CB196" i="4"/>
  <c r="CB185" i="4"/>
  <c r="CB180" i="4"/>
  <c r="CB169" i="4"/>
  <c r="CB164" i="4"/>
  <c r="CB148" i="4"/>
  <c r="CB137" i="4"/>
  <c r="CB121" i="4"/>
  <c r="CB110" i="4"/>
  <c r="CB105" i="4"/>
  <c r="CB94" i="4"/>
  <c r="CB89" i="4"/>
  <c r="CB78" i="4"/>
  <c r="CB73" i="4"/>
  <c r="CB62" i="4"/>
  <c r="CB46" i="4"/>
  <c r="CB30" i="4"/>
  <c r="CB14" i="4"/>
  <c r="CB500" i="4"/>
  <c r="CB492" i="4"/>
  <c r="CB504" i="4"/>
  <c r="CB496" i="4"/>
  <c r="CB488" i="4"/>
  <c r="CB342" i="4"/>
  <c r="CB334" i="4"/>
  <c r="CB326" i="4"/>
  <c r="CB318" i="4"/>
  <c r="CB310" i="4"/>
  <c r="CB302" i="4"/>
  <c r="CB294" i="4"/>
  <c r="CB286" i="4"/>
  <c r="CB278" i="4"/>
  <c r="CB270" i="4"/>
  <c r="CB262" i="4"/>
  <c r="CB254" i="4"/>
  <c r="CB246" i="4"/>
  <c r="CB238" i="4"/>
  <c r="CB230" i="4"/>
  <c r="CB222" i="4"/>
  <c r="CB221" i="4"/>
  <c r="CB214" i="4"/>
  <c r="CB213" i="4"/>
  <c r="CB206" i="4"/>
  <c r="CB198" i="4"/>
  <c r="CB190" i="4"/>
  <c r="CB189" i="4"/>
  <c r="CB182" i="4"/>
  <c r="CB174" i="4"/>
  <c r="CB166" i="4"/>
  <c r="CB158" i="4"/>
  <c r="CB150" i="4"/>
  <c r="CB142" i="4"/>
  <c r="CB134" i="4"/>
  <c r="CB126" i="4"/>
  <c r="CB118" i="4"/>
  <c r="CB69" i="4"/>
  <c r="CB61" i="4"/>
  <c r="CB53" i="4"/>
  <c r="CB45" i="4"/>
  <c r="CB29" i="4"/>
  <c r="CB21" i="4"/>
  <c r="CB13" i="4"/>
  <c r="CB345" i="4"/>
  <c r="CB337" i="4"/>
  <c r="CB329" i="4"/>
  <c r="CB321" i="4"/>
  <c r="CB313" i="4"/>
  <c r="CB305" i="4"/>
  <c r="CB297" i="4"/>
  <c r="CB289" i="4"/>
  <c r="CB281" i="4"/>
  <c r="CB273" i="4"/>
  <c r="CB265" i="4"/>
  <c r="CB257" i="4"/>
  <c r="CB249" i="4"/>
  <c r="CB241" i="4"/>
  <c r="CB233" i="4"/>
  <c r="CB225" i="4"/>
  <c r="CB217" i="4"/>
  <c r="CB338" i="4"/>
  <c r="CB330" i="4"/>
  <c r="CB322" i="4"/>
  <c r="CB314" i="4"/>
  <c r="CB306" i="4"/>
  <c r="CB298" i="4"/>
  <c r="CB290" i="4"/>
  <c r="CB282" i="4"/>
  <c r="CB274" i="4"/>
  <c r="CB266" i="4"/>
  <c r="CB258" i="4"/>
  <c r="CB250" i="4"/>
  <c r="CB242" i="4"/>
  <c r="CB234" i="4"/>
  <c r="CB226" i="4"/>
  <c r="CB218" i="4"/>
  <c r="CB210" i="4"/>
  <c r="CB202" i="4"/>
  <c r="CB138" i="4"/>
  <c r="CB9" i="4"/>
  <c r="CB141" i="4"/>
  <c r="CB133" i="4"/>
  <c r="CB125" i="4"/>
  <c r="CB117" i="4"/>
  <c r="CB109" i="4"/>
  <c r="CB101" i="4"/>
  <c r="CB93" i="4"/>
  <c r="CB85" i="4"/>
  <c r="CB77" i="4"/>
  <c r="CB37" i="4"/>
  <c r="AM606" i="4"/>
  <c r="AM590" i="4"/>
  <c r="AM574" i="4"/>
  <c r="AM558" i="4"/>
  <c r="AM542" i="4"/>
  <c r="AM526" i="4"/>
  <c r="AM506" i="4"/>
  <c r="AM489" i="4"/>
  <c r="AM445" i="4"/>
  <c r="AM412" i="4"/>
  <c r="AM376" i="4"/>
  <c r="AM362" i="4"/>
  <c r="AM312" i="4"/>
  <c r="AM298" i="4"/>
  <c r="AM610" i="4"/>
  <c r="AM594" i="4"/>
  <c r="AM578" i="4"/>
  <c r="AM562" i="4"/>
  <c r="AM546" i="4"/>
  <c r="AM530" i="4"/>
  <c r="AM518" i="4"/>
  <c r="AM511" i="4"/>
  <c r="AM510" i="4"/>
  <c r="AM490" i="4"/>
  <c r="AM473" i="4"/>
  <c r="AM447" i="4"/>
  <c r="AM446" i="4"/>
  <c r="AM415" i="4"/>
  <c r="AM414" i="4"/>
  <c r="AM413" i="4"/>
  <c r="AM394" i="4"/>
  <c r="AM393" i="4"/>
  <c r="AM582" i="4"/>
  <c r="AM566" i="4"/>
  <c r="AM550" i="4"/>
  <c r="AM534" i="4"/>
  <c r="AM521" i="4"/>
  <c r="AM516" i="4"/>
  <c r="AM502" i="4"/>
  <c r="AM495" i="4"/>
  <c r="AM494" i="4"/>
  <c r="AM474" i="4"/>
  <c r="AM461" i="4"/>
  <c r="AM429" i="4"/>
  <c r="AM344" i="4"/>
  <c r="AM330" i="4"/>
  <c r="AM287" i="4"/>
  <c r="AM280" i="4"/>
  <c r="AM266" i="4"/>
  <c r="AM255" i="4"/>
  <c r="AM248" i="4"/>
  <c r="AM234" i="4"/>
  <c r="AM216" i="4"/>
  <c r="AM202" i="4"/>
  <c r="AM184" i="4"/>
  <c r="AM170" i="4"/>
  <c r="AM152" i="4"/>
  <c r="AM138" i="4"/>
  <c r="AM120" i="4"/>
  <c r="AM88" i="4"/>
  <c r="AM514" i="4"/>
  <c r="AM498" i="4"/>
  <c r="AM482" i="4"/>
  <c r="AM466" i="4"/>
  <c r="AM450" i="4"/>
  <c r="AM434" i="4"/>
  <c r="AM418" i="4"/>
  <c r="AM405" i="4"/>
  <c r="AM398" i="4"/>
  <c r="AM397" i="4"/>
  <c r="AM377" i="4"/>
  <c r="AM366" i="4"/>
  <c r="AM355" i="4"/>
  <c r="AM345" i="4"/>
  <c r="AM334" i="4"/>
  <c r="AM323" i="4"/>
  <c r="AM313" i="4"/>
  <c r="AM302" i="4"/>
  <c r="AM291" i="4"/>
  <c r="AM281" i="4"/>
  <c r="AM270" i="4"/>
  <c r="AM259" i="4"/>
  <c r="AM249" i="4"/>
  <c r="AM238" i="4"/>
  <c r="AM227" i="4"/>
  <c r="AM217" i="4"/>
  <c r="AM206" i="4"/>
  <c r="AM195" i="4"/>
  <c r="AM185" i="4"/>
  <c r="AM174" i="4"/>
  <c r="AM163" i="4"/>
  <c r="AM153" i="4"/>
  <c r="AM142" i="4"/>
  <c r="AM131" i="4"/>
  <c r="AM122" i="4"/>
  <c r="AM121" i="4"/>
  <c r="AM110" i="4"/>
  <c r="AM99" i="4"/>
  <c r="AM90" i="4"/>
  <c r="AM89" i="4"/>
  <c r="AM78" i="4"/>
  <c r="AM454" i="4"/>
  <c r="AM438" i="4"/>
  <c r="AM422" i="4"/>
  <c r="AM403" i="4"/>
  <c r="AM389" i="4"/>
  <c r="AM381" i="4"/>
  <c r="AM346" i="4"/>
  <c r="AM314" i="4"/>
  <c r="AM282" i="4"/>
  <c r="AM250" i="4"/>
  <c r="AM218" i="4"/>
  <c r="AM186" i="4"/>
  <c r="AM154" i="4"/>
  <c r="AM132" i="4"/>
  <c r="AM365" i="4"/>
  <c r="AM349" i="4"/>
  <c r="AM301" i="4"/>
  <c r="AM285" i="4"/>
  <c r="AM269" i="4"/>
  <c r="AM189" i="4"/>
  <c r="AM173" i="4"/>
  <c r="AM109" i="4"/>
  <c r="AM93" i="4"/>
  <c r="AM333" i="4"/>
  <c r="AM317" i="4"/>
  <c r="AM253" i="4"/>
  <c r="AM237" i="4"/>
  <c r="AM221" i="4"/>
  <c r="AM205" i="4"/>
  <c r="AM157" i="4"/>
  <c r="AM141" i="4"/>
  <c r="AM125" i="4"/>
  <c r="AM77" i="4"/>
  <c r="AK620" i="4"/>
  <c r="AM401" i="4"/>
  <c r="AM385" i="4"/>
  <c r="AM369" i="4"/>
  <c r="AM353" i="4"/>
  <c r="AM337" i="4"/>
  <c r="AM321" i="4"/>
  <c r="AM305" i="4"/>
  <c r="AM289" i="4"/>
  <c r="AM273" i="4"/>
  <c r="AM257" i="4"/>
  <c r="AM241" i="4"/>
  <c r="AM225" i="4"/>
  <c r="AM209" i="4"/>
  <c r="AM193" i="4"/>
  <c r="AM177" i="4"/>
  <c r="AM161" i="4"/>
  <c r="AM145" i="4"/>
  <c r="AM129" i="4"/>
  <c r="AM113" i="4"/>
  <c r="AM97" i="4"/>
  <c r="AM81" i="4"/>
  <c r="CX10" i="88"/>
  <c r="CX14" i="88" s="1"/>
  <c r="CL11" i="88"/>
  <c r="CD11" i="88"/>
  <c r="AX11" i="88"/>
  <c r="Z11" i="88"/>
  <c r="D10" i="88"/>
  <c r="D14" i="88" s="1"/>
  <c r="BO10" i="88"/>
  <c r="BO14" i="88" s="1"/>
  <c r="AH11" i="88"/>
  <c r="BN11" i="88"/>
  <c r="AI10" i="88"/>
  <c r="AY10" i="88"/>
  <c r="O10" i="88"/>
  <c r="O14" i="88" s="1"/>
  <c r="CE10" i="88"/>
  <c r="CE14" i="88" s="1"/>
  <c r="CE15" i="88" s="1"/>
  <c r="F11" i="88"/>
  <c r="AP11" i="88"/>
  <c r="BV11" i="88"/>
  <c r="DB11" i="88"/>
  <c r="BZ14" i="88"/>
  <c r="CQ11" i="88"/>
  <c r="CQ10" i="88"/>
  <c r="CQ14" i="88" s="1"/>
  <c r="CQ15" i="88" s="1"/>
  <c r="W10" i="88"/>
  <c r="W14" i="88" s="1"/>
  <c r="AM10" i="88"/>
  <c r="AM14" i="88" s="1"/>
  <c r="BC10" i="88"/>
  <c r="BC14" i="88" s="1"/>
  <c r="BC15" i="88" s="1"/>
  <c r="BS10" i="88"/>
  <c r="BS14" i="88" s="1"/>
  <c r="BS15" i="88" s="1"/>
  <c r="CI10" i="88"/>
  <c r="P11" i="88"/>
  <c r="P10" i="88"/>
  <c r="P14" i="88" s="1"/>
  <c r="AB11" i="88"/>
  <c r="AB10" i="88"/>
  <c r="AB14" i="88" s="1"/>
  <c r="AJ11" i="88"/>
  <c r="AJ10" i="88"/>
  <c r="AR11" i="88"/>
  <c r="AR10" i="88"/>
  <c r="AZ11" i="88"/>
  <c r="AZ10" i="88"/>
  <c r="AZ14" i="88" s="1"/>
  <c r="AZ15" i="88" s="1"/>
  <c r="BH11" i="88"/>
  <c r="BH10" i="88"/>
  <c r="BH14" i="88" s="1"/>
  <c r="BH15" i="88" s="1"/>
  <c r="BP11" i="88"/>
  <c r="BP10" i="88"/>
  <c r="BP14" i="88" s="1"/>
  <c r="BX11" i="88"/>
  <c r="BX10" i="88"/>
  <c r="CF11" i="88"/>
  <c r="CF10" i="88"/>
  <c r="CF14" i="88" s="1"/>
  <c r="CF15" i="88" s="1"/>
  <c r="CJ11" i="88"/>
  <c r="CJ10" i="88"/>
  <c r="CN11" i="88"/>
  <c r="CN10" i="88"/>
  <c r="CN14" i="88" s="1"/>
  <c r="CN15" i="88" s="1"/>
  <c r="CV11" i="88"/>
  <c r="CV10" i="88"/>
  <c r="CZ11" i="88"/>
  <c r="CZ10" i="88"/>
  <c r="H10" i="88"/>
  <c r="H14" i="88" s="1"/>
  <c r="AQ10" i="88"/>
  <c r="BW10" i="88"/>
  <c r="BW14" i="88" s="1"/>
  <c r="BW15" i="88" s="1"/>
  <c r="CM10" i="88"/>
  <c r="CM14" i="88" s="1"/>
  <c r="CM15" i="88" s="1"/>
  <c r="CU10" i="88"/>
  <c r="CU11" i="88"/>
  <c r="CY11" i="88"/>
  <c r="CY10" i="88"/>
  <c r="G10" i="88"/>
  <c r="G14" i="88" s="1"/>
  <c r="L11" i="88"/>
  <c r="L10" i="88"/>
  <c r="L14" i="88" s="1"/>
  <c r="X11" i="88"/>
  <c r="X10" i="88"/>
  <c r="X14" i="88" s="1"/>
  <c r="AF11" i="88"/>
  <c r="AF10" i="88"/>
  <c r="AF14" i="88" s="1"/>
  <c r="AN11" i="88"/>
  <c r="AN10" i="88"/>
  <c r="AN14" i="88" s="1"/>
  <c r="AV11" i="88"/>
  <c r="AV10" i="88"/>
  <c r="AV14" i="88" s="1"/>
  <c r="AV15" i="88" s="1"/>
  <c r="BD11" i="88"/>
  <c r="BD10" i="88"/>
  <c r="BL11" i="88"/>
  <c r="BL10" i="88"/>
  <c r="BL14" i="88" s="1"/>
  <c r="BT11" i="88"/>
  <c r="BT10" i="88"/>
  <c r="BT14" i="88" s="1"/>
  <c r="BT15" i="88" s="1"/>
  <c r="CB11" i="88"/>
  <c r="CB10" i="88"/>
  <c r="AA10" i="88"/>
  <c r="AA14" i="88" s="1"/>
  <c r="BG10" i="88"/>
  <c r="BG14" i="88" s="1"/>
  <c r="BG15" i="88" s="1"/>
  <c r="DC10" i="88"/>
  <c r="C10" i="88"/>
  <c r="C14" i="88" s="1"/>
  <c r="K10" i="88"/>
  <c r="K14" i="88" s="1"/>
  <c r="AE10" i="88"/>
  <c r="AE14" i="88" s="1"/>
  <c r="AU10" i="88"/>
  <c r="AU14" i="88" s="1"/>
  <c r="AU15" i="88" s="1"/>
  <c r="BK10" i="88"/>
  <c r="CA10" i="88"/>
  <c r="CR10" i="88"/>
  <c r="CR14" i="88" s="1"/>
  <c r="CR15" i="88" s="1"/>
  <c r="CO11" i="88"/>
  <c r="CO10" i="88"/>
  <c r="CO14" i="88" s="1"/>
  <c r="CO15" i="88" s="1"/>
  <c r="CS11" i="88"/>
  <c r="CS10" i="88"/>
  <c r="CW11" i="88"/>
  <c r="CW10" i="88"/>
  <c r="DA11" i="88"/>
  <c r="DA10" i="88"/>
  <c r="A10" i="88"/>
  <c r="A14" i="88" s="1"/>
  <c r="E10" i="88"/>
  <c r="E14" i="88" s="1"/>
  <c r="I10" i="88"/>
  <c r="I14" i="88" s="1"/>
  <c r="M10" i="88"/>
  <c r="M14" i="88" s="1"/>
  <c r="Q10" i="88"/>
  <c r="Q14" i="88" s="1"/>
  <c r="Y10" i="88"/>
  <c r="Y14" i="88" s="1"/>
  <c r="AC10" i="88"/>
  <c r="AC14" i="88" s="1"/>
  <c r="AG10" i="88"/>
  <c r="AG14" i="88" s="1"/>
  <c r="AK10" i="88"/>
  <c r="AO10" i="88"/>
  <c r="AO14" i="88" s="1"/>
  <c r="AS10" i="88"/>
  <c r="AW10" i="88"/>
  <c r="BA10" i="88"/>
  <c r="BA14" i="88" s="1"/>
  <c r="BA15" i="88" s="1"/>
  <c r="BE10" i="88"/>
  <c r="BI10" i="88"/>
  <c r="BI14" i="88" s="1"/>
  <c r="BI15" i="88" s="1"/>
  <c r="BM10" i="88"/>
  <c r="BM14" i="88" s="1"/>
  <c r="BQ10" i="88"/>
  <c r="BQ14" i="88" s="1"/>
  <c r="BQ15" i="88" s="1"/>
  <c r="BU10" i="88"/>
  <c r="BU14" i="88" s="1"/>
  <c r="BU15" i="88" s="1"/>
  <c r="BY10" i="88"/>
  <c r="CC10" i="88"/>
  <c r="CC14" i="88" s="1"/>
  <c r="CC15" i="88" s="1"/>
  <c r="CG10" i="88"/>
  <c r="CK10" i="88"/>
  <c r="CP10" i="88"/>
  <c r="CP14" i="88" s="1"/>
  <c r="CP15" i="88" s="1"/>
  <c r="B11" i="88"/>
  <c r="J11" i="88"/>
  <c r="V11" i="88"/>
  <c r="AD11" i="88"/>
  <c r="AL11" i="88"/>
  <c r="AT11" i="88"/>
  <c r="BB11" i="88"/>
  <c r="BJ11" i="88"/>
  <c r="BR11" i="88"/>
  <c r="BZ11" i="88"/>
  <c r="CH11" i="88"/>
  <c r="D227" i="52"/>
  <c r="D249" i="52"/>
  <c r="C223" i="52"/>
  <c r="D59" i="52"/>
  <c r="D60" i="52"/>
  <c r="B49" i="78"/>
  <c r="E60" i="52"/>
  <c r="E59" i="52"/>
  <c r="W16" i="48"/>
  <c r="W15" i="48"/>
  <c r="B21" i="44"/>
  <c r="AB26" i="31"/>
  <c r="AB25" i="31"/>
  <c r="AB24" i="31"/>
  <c r="AB23" i="31"/>
  <c r="AB22" i="31"/>
  <c r="AY14" i="88" l="1"/>
  <c r="CH15" i="88"/>
  <c r="AY15" i="88"/>
  <c r="AX14" i="88"/>
  <c r="BX14" i="88"/>
  <c r="CI15" i="88"/>
  <c r="CG15" i="88"/>
  <c r="BK15" i="88"/>
  <c r="CB15" i="88"/>
  <c r="CB14" i="88"/>
  <c r="CK14" i="88"/>
  <c r="CK15" i="88"/>
  <c r="CW15" i="88"/>
  <c r="CW14" i="88"/>
  <c r="CA14" i="88"/>
  <c r="CJ15" i="88"/>
  <c r="AW14" i="88"/>
  <c r="AW15" i="88"/>
  <c r="CS14" i="88"/>
  <c r="BE14" i="88"/>
  <c r="BE15" i="88"/>
  <c r="CV14" i="88"/>
  <c r="BY14" i="88"/>
  <c r="AS14" i="88"/>
  <c r="AS15" i="88"/>
  <c r="BD14" i="88"/>
  <c r="BD15" i="88"/>
  <c r="CU14" i="88"/>
  <c r="AX15" i="88"/>
  <c r="AJ11" i="2"/>
  <c r="AK11" i="2"/>
  <c r="AL11" i="2"/>
  <c r="AM11" i="2"/>
  <c r="AJ12" i="2"/>
  <c r="AK12" i="2"/>
  <c r="AL12" i="2"/>
  <c r="AM12" i="2"/>
  <c r="AJ13" i="2"/>
  <c r="AK13" i="2"/>
  <c r="AL13" i="2"/>
  <c r="AM13" i="2"/>
  <c r="AJ14" i="2"/>
  <c r="AK14" i="2"/>
  <c r="AL14" i="2"/>
  <c r="AM14" i="2"/>
  <c r="AJ15" i="2"/>
  <c r="AK15" i="2"/>
  <c r="AL15" i="2"/>
  <c r="AM15" i="2"/>
  <c r="AJ16" i="2"/>
  <c r="AK16" i="2"/>
  <c r="AL16" i="2"/>
  <c r="AM16" i="2"/>
  <c r="AJ17" i="2"/>
  <c r="AK17" i="2"/>
  <c r="AL17" i="2"/>
  <c r="AM17" i="2"/>
  <c r="AJ18" i="2"/>
  <c r="AK18" i="2"/>
  <c r="AL18" i="2"/>
  <c r="AM18" i="2"/>
  <c r="AJ19" i="2"/>
  <c r="AK19" i="2"/>
  <c r="AL19" i="2"/>
  <c r="AM19" i="2"/>
  <c r="AJ20" i="2"/>
  <c r="AK20" i="2"/>
  <c r="AL20" i="2"/>
  <c r="AM20" i="2"/>
  <c r="AJ21" i="2"/>
  <c r="AK21" i="2"/>
  <c r="AL21" i="2"/>
  <c r="AM21" i="2"/>
  <c r="AJ22" i="2"/>
  <c r="AK22" i="2"/>
  <c r="AL22" i="2"/>
  <c r="AM22" i="2"/>
  <c r="AJ23" i="2"/>
  <c r="AK23" i="2"/>
  <c r="AL23" i="2"/>
  <c r="AM23" i="2"/>
  <c r="AM10" i="2"/>
  <c r="AL10" i="2"/>
  <c r="AK10" i="2"/>
  <c r="V11" i="2"/>
  <c r="V12" i="2"/>
  <c r="V13" i="2"/>
  <c r="V14" i="2"/>
  <c r="V15" i="2"/>
  <c r="V16" i="2"/>
  <c r="V17" i="2"/>
  <c r="V18" i="2"/>
  <c r="V19" i="2"/>
  <c r="V20" i="2"/>
  <c r="V21" i="2"/>
  <c r="V22" i="2"/>
  <c r="V23" i="2"/>
  <c r="V10" i="2"/>
  <c r="M11" i="2"/>
  <c r="M12" i="2"/>
  <c r="M13" i="2"/>
  <c r="M14" i="2"/>
  <c r="M15" i="2"/>
  <c r="M16" i="2"/>
  <c r="M17" i="2"/>
  <c r="M18" i="2"/>
  <c r="M19" i="2"/>
  <c r="M20" i="2"/>
  <c r="M21" i="2"/>
  <c r="M22" i="2"/>
  <c r="M23" i="2"/>
  <c r="M10" i="2"/>
  <c r="AJ10" i="2" l="1"/>
  <c r="Y5" i="75" l="1"/>
  <c r="Y6" i="75"/>
  <c r="Y7" i="75"/>
  <c r="Y4" i="75"/>
  <c r="AM6" i="50"/>
  <c r="B59" i="49"/>
  <c r="AP23" i="48"/>
  <c r="F11" i="2" l="1"/>
  <c r="F12" i="2"/>
  <c r="F13" i="2"/>
  <c r="F14" i="2"/>
  <c r="F15" i="2"/>
  <c r="F16" i="2"/>
  <c r="F17" i="2"/>
  <c r="F18" i="2"/>
  <c r="F19" i="2"/>
  <c r="F20" i="2"/>
  <c r="F21" i="2"/>
  <c r="F22" i="2"/>
  <c r="F23" i="2"/>
  <c r="F10" i="2"/>
  <c r="B11" i="2"/>
  <c r="B12" i="2"/>
  <c r="B13" i="2"/>
  <c r="B14" i="2"/>
  <c r="B15" i="2"/>
  <c r="B16" i="2"/>
  <c r="B17" i="2"/>
  <c r="B18" i="2"/>
  <c r="B19" i="2"/>
  <c r="B20" i="2"/>
  <c r="B21" i="2"/>
  <c r="B22" i="2"/>
  <c r="B23" i="2"/>
  <c r="B10" i="2"/>
  <c r="AR223" i="4"/>
  <c r="E223" i="4" s="1"/>
  <c r="BL223" i="4" l="1"/>
  <c r="AZ5" i="49" l="1"/>
  <c r="AZ6" i="49"/>
  <c r="AZ7" i="49"/>
  <c r="AZ4" i="49"/>
  <c r="C11" i="79"/>
  <c r="C10" i="79"/>
  <c r="C9" i="79"/>
  <c r="C8" i="79"/>
  <c r="C7" i="79"/>
  <c r="N7" i="79"/>
  <c r="N11" i="79"/>
  <c r="N10" i="79"/>
  <c r="N9" i="79"/>
  <c r="N8" i="79"/>
  <c r="M11" i="79"/>
  <c r="M10" i="79"/>
  <c r="M8" i="79"/>
  <c r="M9" i="79"/>
  <c r="M7" i="79"/>
  <c r="L11" i="79"/>
  <c r="L10" i="79"/>
  <c r="L9" i="79"/>
  <c r="L8" i="79"/>
  <c r="L7" i="79"/>
  <c r="B19" i="27"/>
  <c r="V5" i="45" l="1"/>
  <c r="V6" i="45"/>
  <c r="V7" i="45"/>
  <c r="V8" i="45"/>
  <c r="V9" i="45"/>
  <c r="V10" i="45"/>
  <c r="V11" i="45"/>
  <c r="V12" i="45"/>
  <c r="V13" i="45"/>
  <c r="V14" i="45"/>
  <c r="V15" i="45"/>
  <c r="V16" i="45"/>
  <c r="V17" i="45"/>
  <c r="V18" i="45"/>
  <c r="V19" i="45"/>
  <c r="V20" i="45"/>
  <c r="V21" i="45"/>
  <c r="V4" i="45"/>
  <c r="Y5" i="44" l="1"/>
  <c r="Y6" i="44"/>
  <c r="Y4" i="44"/>
  <c r="Y5" i="43" l="1"/>
  <c r="Y6" i="43"/>
  <c r="Y7" i="43"/>
  <c r="Y4" i="43"/>
  <c r="C45" i="43"/>
  <c r="AC8" i="39"/>
  <c r="AC7" i="39"/>
  <c r="AY5" i="37"/>
  <c r="AY6" i="37"/>
  <c r="AY7" i="37"/>
  <c r="AY4" i="37"/>
  <c r="AW5" i="37"/>
  <c r="AW6" i="37"/>
  <c r="AW7" i="37"/>
  <c r="AW4" i="37"/>
  <c r="AQ5" i="37"/>
  <c r="AQ6" i="37"/>
  <c r="AQ7" i="37"/>
  <c r="AQ4" i="37"/>
  <c r="W5" i="43" l="1"/>
  <c r="W4" i="43"/>
  <c r="T5" i="43"/>
  <c r="U5" i="43" s="1"/>
  <c r="T6" i="43"/>
  <c r="U6" i="43" s="1"/>
  <c r="T7" i="43"/>
  <c r="U7" i="43" s="1"/>
  <c r="T4" i="43"/>
  <c r="U4" i="43" s="1"/>
  <c r="W7" i="43"/>
  <c r="W6" i="43"/>
  <c r="K4" i="54" l="1"/>
  <c r="P4" i="54"/>
  <c r="Q4" i="54"/>
  <c r="F4" i="54"/>
  <c r="E4" i="54"/>
  <c r="U4" i="54"/>
  <c r="T4" i="54"/>
  <c r="D14" i="54"/>
  <c r="C112" i="31"/>
  <c r="C111" i="31" l="1"/>
  <c r="C110" i="31"/>
  <c r="C109" i="31"/>
  <c r="H74" i="64" l="1"/>
  <c r="H75" i="64"/>
  <c r="H76" i="64"/>
  <c r="H77" i="64"/>
  <c r="H78" i="64"/>
  <c r="H79" i="64"/>
  <c r="H80" i="64"/>
  <c r="H81" i="64"/>
  <c r="H82" i="64"/>
  <c r="H83" i="64"/>
  <c r="H84" i="64"/>
  <c r="H85" i="64"/>
  <c r="H86" i="64"/>
  <c r="H87" i="64"/>
  <c r="H88" i="64"/>
  <c r="H89" i="64"/>
  <c r="H90" i="64"/>
  <c r="H91" i="64"/>
  <c r="F6" i="27"/>
  <c r="F5" i="27"/>
  <c r="J6" i="27" l="1"/>
  <c r="J5" i="27"/>
  <c r="AE4" i="12"/>
  <c r="T4" i="12" s="1"/>
  <c r="AE5" i="12"/>
  <c r="T5" i="12" s="1"/>
  <c r="AE6" i="12"/>
  <c r="T6" i="12" s="1"/>
  <c r="AE3" i="12"/>
  <c r="T3" i="12" s="1"/>
  <c r="G3" i="10"/>
  <c r="F3" i="10"/>
  <c r="L3" i="10"/>
  <c r="D22" i="10"/>
  <c r="C22" i="10"/>
  <c r="B22" i="10" s="1"/>
  <c r="D21" i="10"/>
  <c r="C21" i="10"/>
  <c r="B21" i="10"/>
  <c r="D20" i="10"/>
  <c r="D23" i="10" s="1"/>
  <c r="C20" i="10"/>
  <c r="B20" i="10" s="1"/>
  <c r="C23" i="10" l="1"/>
  <c r="B23" i="10" s="1"/>
  <c r="L5" i="63" l="1"/>
  <c r="L6" i="63"/>
  <c r="L4" i="63"/>
  <c r="L97" i="63"/>
  <c r="N5" i="63"/>
  <c r="N6" i="63"/>
  <c r="N4" i="63"/>
  <c r="J6" i="63"/>
  <c r="J5" i="63"/>
  <c r="J4" i="63"/>
  <c r="L90" i="63"/>
  <c r="L91" i="63"/>
  <c r="L92" i="63"/>
  <c r="L93" i="63"/>
  <c r="L94" i="63"/>
  <c r="L95" i="63"/>
  <c r="L96" i="63"/>
  <c r="L89" i="63"/>
  <c r="K90" i="63"/>
  <c r="K91" i="63"/>
  <c r="K92" i="63"/>
  <c r="K93" i="63"/>
  <c r="K94" i="63"/>
  <c r="K95" i="63"/>
  <c r="K96" i="63"/>
  <c r="K97" i="63"/>
  <c r="K89" i="63"/>
  <c r="J90" i="63" l="1"/>
  <c r="J91" i="63"/>
  <c r="J92" i="63"/>
  <c r="J93" i="63"/>
  <c r="J94" i="63"/>
  <c r="J95" i="63"/>
  <c r="J96" i="63"/>
  <c r="J97" i="63"/>
  <c r="J89" i="63"/>
  <c r="I90" i="63"/>
  <c r="I91" i="63"/>
  <c r="I92" i="63"/>
  <c r="I93" i="63"/>
  <c r="I94" i="63"/>
  <c r="I95" i="63"/>
  <c r="I96" i="63"/>
  <c r="I97" i="63"/>
  <c r="I89" i="63"/>
  <c r="H94" i="63" l="1"/>
  <c r="H95" i="63"/>
  <c r="H96" i="63"/>
  <c r="H97" i="63"/>
  <c r="H93" i="63"/>
  <c r="G90" i="63"/>
  <c r="G91" i="63"/>
  <c r="G92" i="63"/>
  <c r="G93" i="63"/>
  <c r="G94" i="63"/>
  <c r="G95" i="63"/>
  <c r="G96" i="63"/>
  <c r="G97" i="63"/>
  <c r="G89" i="63"/>
  <c r="E90" i="63"/>
  <c r="E91" i="63"/>
  <c r="E92" i="63"/>
  <c r="E93" i="63"/>
  <c r="E94" i="63"/>
  <c r="E95" i="63"/>
  <c r="E96" i="63"/>
  <c r="E97" i="63"/>
  <c r="E89" i="63"/>
  <c r="AA195" i="4" l="1"/>
  <c r="AB195" i="4"/>
  <c r="AC195" i="4"/>
  <c r="AD195" i="4"/>
  <c r="AA196" i="4"/>
  <c r="AB196" i="4"/>
  <c r="AC196" i="4"/>
  <c r="AD196" i="4"/>
  <c r="AA197" i="4"/>
  <c r="AB197" i="4"/>
  <c r="AC197" i="4"/>
  <c r="AD197" i="4"/>
  <c r="AA198" i="4"/>
  <c r="AB198" i="4"/>
  <c r="AC198" i="4"/>
  <c r="AD198" i="4"/>
  <c r="AR191" i="4" l="1"/>
  <c r="BL191" i="4" s="1"/>
  <c r="AA191" i="4"/>
  <c r="AB191" i="4"/>
  <c r="AC191" i="4"/>
  <c r="AD191" i="4"/>
  <c r="BH532" i="4"/>
  <c r="BB532" i="4"/>
  <c r="AV532" i="4"/>
  <c r="AP532" i="4"/>
  <c r="F20" i="87"/>
  <c r="G20" i="87"/>
  <c r="F21" i="87"/>
  <c r="G21" i="87"/>
  <c r="F22" i="87"/>
  <c r="G22" i="87"/>
  <c r="F23" i="87"/>
  <c r="G23" i="87"/>
  <c r="H23" i="87"/>
  <c r="H13" i="87"/>
  <c r="C6" i="86"/>
  <c r="AN63" i="4"/>
  <c r="F16" i="40" l="1"/>
  <c r="F15" i="40"/>
  <c r="F12" i="40"/>
  <c r="F10" i="40"/>
  <c r="F7" i="40"/>
  <c r="F5" i="40"/>
  <c r="F4" i="40"/>
  <c r="K5" i="30"/>
  <c r="K4" i="30"/>
  <c r="Q5" i="30"/>
  <c r="Q4" i="30"/>
  <c r="H8" i="53" l="1"/>
  <c r="H9" i="53"/>
  <c r="H10" i="53"/>
  <c r="H11" i="53"/>
  <c r="H12" i="53"/>
  <c r="H13" i="53"/>
  <c r="H14" i="53"/>
  <c r="H15" i="53"/>
  <c r="H16" i="53"/>
  <c r="H17" i="53"/>
  <c r="H18" i="53"/>
  <c r="H19" i="53"/>
  <c r="H20" i="53"/>
  <c r="H21" i="53"/>
  <c r="H22" i="53"/>
  <c r="H23" i="53"/>
  <c r="H24" i="53"/>
  <c r="H25" i="53"/>
  <c r="H26" i="53"/>
  <c r="H27" i="53"/>
  <c r="H28" i="53"/>
  <c r="H29" i="53"/>
  <c r="H30" i="53"/>
  <c r="H31" i="53"/>
  <c r="H32" i="53"/>
  <c r="H33" i="53"/>
  <c r="H34" i="53"/>
  <c r="H35" i="53"/>
  <c r="H36" i="53"/>
  <c r="H37" i="53"/>
  <c r="H38" i="53"/>
  <c r="H39" i="53"/>
  <c r="H40" i="53"/>
  <c r="H41" i="53"/>
  <c r="H42" i="53"/>
  <c r="H43" i="53"/>
  <c r="H7" i="53"/>
  <c r="AA16" i="64"/>
  <c r="BH611" i="4" l="1"/>
  <c r="BH600" i="4"/>
  <c r="BH583" i="4"/>
  <c r="BH572" i="4"/>
  <c r="BH571" i="4"/>
  <c r="BH569" i="4"/>
  <c r="BH568" i="4"/>
  <c r="BH567" i="4"/>
  <c r="BH566" i="4"/>
  <c r="BH565" i="4"/>
  <c r="BH563" i="4"/>
  <c r="BH556" i="4"/>
  <c r="BH555" i="4"/>
  <c r="BH551" i="4"/>
  <c r="BH539" i="4"/>
  <c r="BH531" i="4"/>
  <c r="BH530" i="4"/>
  <c r="BH519" i="4"/>
  <c r="BH518" i="4"/>
  <c r="BH517" i="4"/>
  <c r="BH516" i="4"/>
  <c r="BH515" i="4"/>
  <c r="BH512" i="4"/>
  <c r="BH504" i="4"/>
  <c r="BH484" i="4"/>
  <c r="BH476" i="4"/>
  <c r="BH461" i="4"/>
  <c r="BH460" i="4"/>
  <c r="BH456" i="4"/>
  <c r="BH454" i="4"/>
  <c r="BH453" i="4"/>
  <c r="BH445" i="4"/>
  <c r="BH427" i="4"/>
  <c r="BH415" i="4"/>
  <c r="BH412" i="4"/>
  <c r="BH395" i="4"/>
  <c r="BH392" i="4"/>
  <c r="BH377" i="4"/>
  <c r="BH375" i="4"/>
  <c r="BH360" i="4"/>
  <c r="BH358" i="4"/>
  <c r="BH350" i="4"/>
  <c r="BH335" i="4"/>
  <c r="BH318" i="4"/>
  <c r="BH305" i="4"/>
  <c r="BH295" i="4"/>
  <c r="BH294" i="4"/>
  <c r="BH292" i="4"/>
  <c r="BH283" i="4"/>
  <c r="BH282" i="4"/>
  <c r="BH278" i="4"/>
  <c r="BH270" i="4"/>
  <c r="BH263" i="4"/>
  <c r="BH236" i="4"/>
  <c r="BH220" i="4"/>
  <c r="BH219" i="4"/>
  <c r="BH217" i="4"/>
  <c r="BH216" i="4"/>
  <c r="BH215" i="4"/>
  <c r="BH186" i="4"/>
  <c r="BH185" i="4"/>
  <c r="BH184" i="4"/>
  <c r="BH183" i="4"/>
  <c r="BH182" i="4"/>
  <c r="BH181" i="4"/>
  <c r="BH180" i="4"/>
  <c r="BH179" i="4"/>
  <c r="BH177" i="4"/>
  <c r="BH176" i="4"/>
  <c r="BH175" i="4"/>
  <c r="BH174" i="4"/>
  <c r="BH173" i="4"/>
  <c r="BH172" i="4"/>
  <c r="BH161" i="4"/>
  <c r="BH160" i="4"/>
  <c r="BH159" i="4"/>
  <c r="BH158" i="4"/>
  <c r="BH157" i="4"/>
  <c r="BH138" i="4"/>
  <c r="BH132" i="4"/>
  <c r="BH131" i="4"/>
  <c r="BH130" i="4"/>
  <c r="BH129" i="4"/>
  <c r="BH128" i="4"/>
  <c r="BH127" i="4"/>
  <c r="BH126" i="4"/>
  <c r="BH125" i="4"/>
  <c r="BH123" i="4"/>
  <c r="BH122" i="4"/>
  <c r="BH121" i="4"/>
  <c r="BH120" i="4"/>
  <c r="BH119" i="4"/>
  <c r="BH118" i="4"/>
  <c r="BH106" i="4"/>
  <c r="BH105" i="4"/>
  <c r="BH104" i="4"/>
  <c r="BH103" i="4"/>
  <c r="BH102" i="4"/>
  <c r="BH101" i="4"/>
  <c r="BH100" i="4"/>
  <c r="BH99" i="4"/>
  <c r="BH87" i="4"/>
  <c r="BH77" i="4"/>
  <c r="BH76" i="4"/>
  <c r="BH75" i="4"/>
  <c r="BH74" i="4"/>
  <c r="BH73" i="4"/>
  <c r="BH72" i="4"/>
  <c r="BH71" i="4"/>
  <c r="BH70" i="4"/>
  <c r="BH47" i="4"/>
  <c r="BH42" i="4"/>
  <c r="BH40" i="4"/>
  <c r="BH39" i="4"/>
  <c r="BH38" i="4"/>
  <c r="BH37" i="4"/>
  <c r="BH36" i="4"/>
  <c r="BH35" i="4"/>
  <c r="BH32" i="4"/>
  <c r="BH31" i="4"/>
  <c r="BH29" i="4"/>
  <c r="BH28" i="4"/>
  <c r="BH27" i="4"/>
  <c r="BH26" i="4"/>
  <c r="BH24" i="4"/>
  <c r="BH23" i="4"/>
  <c r="BH22" i="4"/>
  <c r="BH21" i="4"/>
  <c r="BH20" i="4"/>
  <c r="BH19" i="4"/>
  <c r="BH18" i="4"/>
  <c r="BH8" i="4"/>
  <c r="BB611" i="4"/>
  <c r="BB600" i="4"/>
  <c r="BB583" i="4"/>
  <c r="BB572" i="4"/>
  <c r="BB571" i="4"/>
  <c r="BB569" i="4"/>
  <c r="BB568" i="4"/>
  <c r="BB567" i="4"/>
  <c r="BB566" i="4"/>
  <c r="BB565" i="4"/>
  <c r="BB563" i="4"/>
  <c r="BB556" i="4"/>
  <c r="BB555" i="4"/>
  <c r="BB551" i="4"/>
  <c r="BB539" i="4"/>
  <c r="BB531" i="4"/>
  <c r="BB530" i="4"/>
  <c r="BB519" i="4"/>
  <c r="BB518" i="4"/>
  <c r="BB517" i="4"/>
  <c r="BB516" i="4"/>
  <c r="BB515" i="4"/>
  <c r="BB512" i="4"/>
  <c r="BB504" i="4"/>
  <c r="BB484" i="4"/>
  <c r="BB476" i="4"/>
  <c r="BB461" i="4"/>
  <c r="BB460" i="4"/>
  <c r="BB456" i="4"/>
  <c r="BB454" i="4"/>
  <c r="BB453" i="4"/>
  <c r="BB445" i="4"/>
  <c r="BB427" i="4"/>
  <c r="BB415" i="4"/>
  <c r="BB412" i="4"/>
  <c r="BB395" i="4"/>
  <c r="BB392" i="4"/>
  <c r="BB377" i="4"/>
  <c r="BB375" i="4"/>
  <c r="BB360" i="4"/>
  <c r="BB358" i="4"/>
  <c r="BB350" i="4"/>
  <c r="BB335" i="4"/>
  <c r="BB318" i="4"/>
  <c r="BB305" i="4"/>
  <c r="BB295" i="4"/>
  <c r="BB294" i="4"/>
  <c r="BB292" i="4"/>
  <c r="BB283" i="4"/>
  <c r="BB282" i="4"/>
  <c r="BB278" i="4"/>
  <c r="BB270" i="4"/>
  <c r="BB263" i="4"/>
  <c r="BB236" i="4"/>
  <c r="BB220" i="4"/>
  <c r="BB219" i="4"/>
  <c r="BB217" i="4"/>
  <c r="BB216" i="4"/>
  <c r="BB215" i="4"/>
  <c r="BB186" i="4"/>
  <c r="BB185" i="4"/>
  <c r="BB184" i="4"/>
  <c r="BB183" i="4"/>
  <c r="BB182" i="4"/>
  <c r="BB181" i="4"/>
  <c r="BB180" i="4"/>
  <c r="BB179" i="4"/>
  <c r="BB177" i="4"/>
  <c r="BB176" i="4"/>
  <c r="BB175" i="4"/>
  <c r="BB174" i="4"/>
  <c r="BB173" i="4"/>
  <c r="BB172" i="4"/>
  <c r="BB161" i="4"/>
  <c r="BB160" i="4"/>
  <c r="BB159" i="4"/>
  <c r="BB158" i="4"/>
  <c r="BB157" i="4"/>
  <c r="BB138" i="4"/>
  <c r="BB132" i="4"/>
  <c r="BB131" i="4"/>
  <c r="BB130" i="4"/>
  <c r="BB129" i="4"/>
  <c r="BB128" i="4"/>
  <c r="BB127" i="4"/>
  <c r="BB126" i="4"/>
  <c r="BB125" i="4"/>
  <c r="BB123" i="4"/>
  <c r="BB122" i="4"/>
  <c r="BB121" i="4"/>
  <c r="BB120" i="4"/>
  <c r="BB119" i="4"/>
  <c r="BB118" i="4"/>
  <c r="BB106" i="4"/>
  <c r="BB105" i="4"/>
  <c r="BB104" i="4"/>
  <c r="BB103" i="4"/>
  <c r="BB102" i="4"/>
  <c r="BB101" i="4"/>
  <c r="BB100" i="4"/>
  <c r="BB99" i="4"/>
  <c r="BB87" i="4"/>
  <c r="BB77" i="4"/>
  <c r="BB76" i="4"/>
  <c r="BB75" i="4"/>
  <c r="BB74" i="4"/>
  <c r="BB73" i="4"/>
  <c r="BB72" i="4"/>
  <c r="BB71" i="4"/>
  <c r="BB70" i="4"/>
  <c r="BB47" i="4"/>
  <c r="BB42" i="4"/>
  <c r="BB40" i="4"/>
  <c r="BB39" i="4"/>
  <c r="BB38" i="4"/>
  <c r="BB37" i="4"/>
  <c r="BB36" i="4"/>
  <c r="BB35" i="4"/>
  <c r="BB32" i="4"/>
  <c r="BB31" i="4"/>
  <c r="BB29" i="4"/>
  <c r="BB28" i="4"/>
  <c r="BB27" i="4"/>
  <c r="BB26" i="4"/>
  <c r="BB24" i="4"/>
  <c r="BB23" i="4"/>
  <c r="BB22" i="4"/>
  <c r="BB21" i="4"/>
  <c r="BB20" i="4"/>
  <c r="BB19" i="4"/>
  <c r="BB18" i="4"/>
  <c r="BB8" i="4"/>
  <c r="AV611" i="4"/>
  <c r="AV600" i="4"/>
  <c r="AV583" i="4"/>
  <c r="AV572" i="4"/>
  <c r="AV571" i="4"/>
  <c r="AV569" i="4"/>
  <c r="AV568" i="4"/>
  <c r="AV567" i="4"/>
  <c r="AV566" i="4"/>
  <c r="AV565" i="4"/>
  <c r="AV563" i="4"/>
  <c r="AV556" i="4"/>
  <c r="AV555" i="4"/>
  <c r="AV551" i="4"/>
  <c r="AV539" i="4"/>
  <c r="AV531" i="4"/>
  <c r="AV530" i="4"/>
  <c r="AV519" i="4"/>
  <c r="AV518" i="4"/>
  <c r="AV517" i="4"/>
  <c r="AV516" i="4"/>
  <c r="AV515" i="4"/>
  <c r="AV512" i="4"/>
  <c r="AV504" i="4"/>
  <c r="AV484" i="4"/>
  <c r="AV476" i="4"/>
  <c r="AV461" i="4"/>
  <c r="AV460" i="4"/>
  <c r="AV456" i="4"/>
  <c r="AV454" i="4"/>
  <c r="AV453" i="4"/>
  <c r="AV445" i="4"/>
  <c r="AV427" i="4"/>
  <c r="AV415" i="4"/>
  <c r="AV412" i="4"/>
  <c r="AV395" i="4"/>
  <c r="AV392" i="4"/>
  <c r="AV377" i="4"/>
  <c r="AV375" i="4"/>
  <c r="AV360" i="4"/>
  <c r="AV358" i="4"/>
  <c r="AV350" i="4"/>
  <c r="AV335" i="4"/>
  <c r="AV318" i="4"/>
  <c r="AV305" i="4"/>
  <c r="AV295" i="4"/>
  <c r="AV294" i="4"/>
  <c r="AV292" i="4"/>
  <c r="AV283" i="4"/>
  <c r="AV282" i="4"/>
  <c r="AV278" i="4"/>
  <c r="AV270" i="4"/>
  <c r="AV263" i="4"/>
  <c r="AV236" i="4"/>
  <c r="AV220" i="4"/>
  <c r="AV219" i="4"/>
  <c r="AV217" i="4"/>
  <c r="AV216" i="4"/>
  <c r="AV215" i="4"/>
  <c r="AV186" i="4"/>
  <c r="AV185" i="4"/>
  <c r="AV184" i="4"/>
  <c r="AV183" i="4"/>
  <c r="AV182" i="4"/>
  <c r="AV181" i="4"/>
  <c r="AV180" i="4"/>
  <c r="AV179" i="4"/>
  <c r="AV177" i="4"/>
  <c r="AV176" i="4"/>
  <c r="AV175" i="4"/>
  <c r="AV174" i="4"/>
  <c r="AV173" i="4"/>
  <c r="AV172" i="4"/>
  <c r="AV161" i="4"/>
  <c r="AV160" i="4"/>
  <c r="AV159" i="4"/>
  <c r="AV158" i="4"/>
  <c r="AV157" i="4"/>
  <c r="AV138" i="4"/>
  <c r="AV132" i="4"/>
  <c r="AV131" i="4"/>
  <c r="AV130" i="4"/>
  <c r="AV129" i="4"/>
  <c r="AV128" i="4"/>
  <c r="AV127" i="4"/>
  <c r="AV126" i="4"/>
  <c r="AV125" i="4"/>
  <c r="AV123" i="4"/>
  <c r="AV122" i="4"/>
  <c r="AV121" i="4"/>
  <c r="AV120" i="4"/>
  <c r="AV119" i="4"/>
  <c r="AV118" i="4"/>
  <c r="AV106" i="4"/>
  <c r="AV105" i="4"/>
  <c r="AV104" i="4"/>
  <c r="AV103" i="4"/>
  <c r="AV102" i="4"/>
  <c r="AV101" i="4"/>
  <c r="AV100" i="4"/>
  <c r="AV99" i="4"/>
  <c r="AV87" i="4"/>
  <c r="AV77" i="4"/>
  <c r="AV76" i="4"/>
  <c r="AV75" i="4"/>
  <c r="AV74" i="4"/>
  <c r="AV73" i="4"/>
  <c r="AV72" i="4"/>
  <c r="AV71" i="4"/>
  <c r="AV70" i="4"/>
  <c r="AV47" i="4"/>
  <c r="AV42" i="4"/>
  <c r="AV40" i="4"/>
  <c r="AV39" i="4"/>
  <c r="AV38" i="4"/>
  <c r="AV37" i="4"/>
  <c r="AV36" i="4"/>
  <c r="AV35" i="4"/>
  <c r="AV32" i="4"/>
  <c r="AV31" i="4"/>
  <c r="AV29" i="4"/>
  <c r="AV28" i="4"/>
  <c r="AV27" i="4"/>
  <c r="AV26" i="4"/>
  <c r="AV24" i="4"/>
  <c r="AV23" i="4"/>
  <c r="AV22" i="4"/>
  <c r="AV21" i="4"/>
  <c r="AV20" i="4"/>
  <c r="AV19" i="4"/>
  <c r="AV18" i="4"/>
  <c r="AV8" i="4"/>
  <c r="AP484" i="4" l="1"/>
  <c r="AP278" i="4"/>
  <c r="F16" i="86" l="1"/>
  <c r="F15" i="86"/>
  <c r="F14" i="86"/>
  <c r="F13" i="86"/>
  <c r="F12" i="86"/>
  <c r="F11" i="86"/>
  <c r="D6" i="86"/>
  <c r="C4" i="86" l="1"/>
  <c r="D4" i="86"/>
  <c r="C5" i="86"/>
  <c r="D5" i="86"/>
  <c r="AP611" i="4"/>
  <c r="AP583" i="4"/>
  <c r="AP563" i="4"/>
  <c r="AP556" i="4"/>
  <c r="AP555" i="4"/>
  <c r="AP551" i="4"/>
  <c r="AP539" i="4"/>
  <c r="AP519" i="4"/>
  <c r="AP518" i="4"/>
  <c r="AP516" i="4"/>
  <c r="AP515" i="4"/>
  <c r="AP512" i="4"/>
  <c r="AP504" i="4"/>
  <c r="AP461" i="4"/>
  <c r="AP460" i="4"/>
  <c r="AP456" i="4"/>
  <c r="AP445" i="4"/>
  <c r="AP427" i="4"/>
  <c r="AP415" i="4"/>
  <c r="AP395" i="4"/>
  <c r="AP377" i="4"/>
  <c r="AP360" i="4"/>
  <c r="AP350" i="4"/>
  <c r="AP335" i="4"/>
  <c r="AP318" i="4"/>
  <c r="AP305" i="4"/>
  <c r="AP295" i="4"/>
  <c r="AP283" i="4"/>
  <c r="AP282" i="4"/>
  <c r="AP236" i="4"/>
  <c r="AP220" i="4"/>
  <c r="AP219" i="4"/>
  <c r="AP216" i="4"/>
  <c r="AP215" i="4"/>
  <c r="AP177" i="4"/>
  <c r="AP176" i="4"/>
  <c r="AP175" i="4"/>
  <c r="AP174" i="4"/>
  <c r="AP173" i="4"/>
  <c r="AP172" i="4"/>
  <c r="AP138" i="4"/>
  <c r="AP118" i="4"/>
  <c r="AP87" i="4"/>
  <c r="AP77" i="4"/>
  <c r="AP76" i="4"/>
  <c r="AP75" i="4"/>
  <c r="AP74" i="4"/>
  <c r="AP73" i="4"/>
  <c r="AP72" i="4"/>
  <c r="AP71" i="4"/>
  <c r="AP70" i="4"/>
  <c r="AP47" i="4"/>
  <c r="AP42" i="4"/>
  <c r="AP40" i="4"/>
  <c r="AP39" i="4"/>
  <c r="AP38" i="4"/>
  <c r="AP37" i="4"/>
  <c r="AP36" i="4"/>
  <c r="F26" i="31"/>
  <c r="G26" i="31"/>
  <c r="AA26" i="31"/>
  <c r="AC26" i="31"/>
  <c r="AP531" i="4" l="1"/>
  <c r="AP530" i="4"/>
  <c r="F25" i="31"/>
  <c r="G25" i="31"/>
  <c r="Z25" i="31"/>
  <c r="AA25" i="31"/>
  <c r="AC25" i="31"/>
  <c r="B17" i="85" l="1"/>
  <c r="F31" i="85"/>
  <c r="E31" i="85"/>
  <c r="D31" i="85"/>
  <c r="C31" i="85"/>
  <c r="B31" i="85"/>
  <c r="A31" i="85"/>
  <c r="F30" i="85"/>
  <c r="E30" i="85"/>
  <c r="D30" i="85"/>
  <c r="C30" i="85"/>
  <c r="B30" i="85"/>
  <c r="A30" i="85"/>
  <c r="F29" i="85"/>
  <c r="E29" i="85"/>
  <c r="D29" i="85"/>
  <c r="C29" i="85"/>
  <c r="B29" i="85"/>
  <c r="A29" i="85"/>
  <c r="F28" i="85"/>
  <c r="E28" i="85"/>
  <c r="D28" i="85"/>
  <c r="C28" i="85"/>
  <c r="B28" i="85"/>
  <c r="A28" i="85"/>
  <c r="Z4" i="85"/>
  <c r="W4" i="85"/>
  <c r="V4" i="85"/>
  <c r="Q4" i="85"/>
  <c r="E4" i="85"/>
  <c r="P4" i="85" s="1"/>
  <c r="B4" i="85"/>
  <c r="E32" i="85" l="1"/>
  <c r="Y4" i="85"/>
  <c r="O4" i="85" s="1"/>
  <c r="C32" i="85"/>
  <c r="D32" i="85"/>
  <c r="B32" i="85"/>
  <c r="F32" i="85"/>
  <c r="BH279" i="4" l="1"/>
  <c r="AV279" i="4"/>
  <c r="BH485" i="4"/>
  <c r="AV485" i="4"/>
  <c r="BB485" i="4"/>
  <c r="BB279" i="4"/>
  <c r="AP279" i="4"/>
  <c r="AP485" i="4"/>
  <c r="R4" i="85"/>
  <c r="Z24" i="31"/>
  <c r="AA23" i="31"/>
  <c r="AA24" i="31"/>
  <c r="AA10" i="31"/>
  <c r="AA11" i="31"/>
  <c r="AA12" i="31"/>
  <c r="AA13" i="31"/>
  <c r="AA14" i="31"/>
  <c r="AA15" i="31"/>
  <c r="AA16" i="31"/>
  <c r="AA17" i="31"/>
  <c r="AA18" i="31"/>
  <c r="AA4" i="31"/>
  <c r="AA5" i="31"/>
  <c r="AA6" i="31"/>
  <c r="AA7" i="31"/>
  <c r="AA8" i="31"/>
  <c r="AA9" i="31"/>
  <c r="AA22" i="31"/>
  <c r="G24" i="31" l="1"/>
  <c r="AC23" i="31"/>
  <c r="AC24" i="31"/>
  <c r="AC22" i="31"/>
  <c r="F9" i="65"/>
  <c r="D46" i="52"/>
  <c r="E46" i="52"/>
  <c r="E47" i="52"/>
  <c r="D45" i="52"/>
  <c r="E45" i="52"/>
  <c r="D44" i="52"/>
  <c r="E44" i="52"/>
  <c r="E41" i="52"/>
  <c r="D40" i="52"/>
  <c r="E40" i="52"/>
  <c r="D39" i="52"/>
  <c r="E39" i="52"/>
  <c r="D38" i="52"/>
  <c r="E38" i="52"/>
  <c r="C52" i="52"/>
  <c r="C53" i="52"/>
  <c r="C54" i="52"/>
  <c r="C55" i="52"/>
  <c r="C241" i="52"/>
  <c r="C265" i="52"/>
  <c r="C264" i="52"/>
  <c r="C303" i="52"/>
  <c r="C302" i="52"/>
  <c r="C298" i="52"/>
  <c r="C299" i="52"/>
  <c r="C297" i="52"/>
  <c r="C296" i="52"/>
  <c r="C295" i="52"/>
  <c r="AU16" i="48"/>
  <c r="AS16" i="48"/>
  <c r="AS15" i="48"/>
  <c r="AT15" i="48"/>
  <c r="V6" i="78"/>
  <c r="X6" i="78"/>
  <c r="Y6" i="78"/>
  <c r="Z6" i="78"/>
  <c r="AA6" i="78"/>
  <c r="AB6" i="78"/>
  <c r="AC6" i="78"/>
  <c r="AD6" i="78"/>
  <c r="AE6" i="78"/>
  <c r="AF6" i="78"/>
  <c r="AG6" i="78"/>
  <c r="AH6" i="78"/>
  <c r="B14" i="83" l="1"/>
  <c r="B19" i="83" s="1"/>
  <c r="B25" i="83" l="1"/>
  <c r="E45" i="82" l="1"/>
  <c r="F44" i="82" s="1"/>
  <c r="H44" i="82"/>
  <c r="D44" i="82" s="1"/>
  <c r="H43" i="82"/>
  <c r="D43" i="82" s="1"/>
  <c r="H42" i="82"/>
  <c r="D42" i="82" s="1"/>
  <c r="H41" i="82"/>
  <c r="D41" i="82" s="1"/>
  <c r="H40" i="82"/>
  <c r="D40" i="82" s="1"/>
  <c r="H39" i="82"/>
  <c r="D39" i="82" s="1"/>
  <c r="H38" i="82"/>
  <c r="D38" i="82" s="1"/>
  <c r="H37" i="82"/>
  <c r="D37" i="82" s="1"/>
  <c r="H36" i="82"/>
  <c r="D36" i="82" s="1"/>
  <c r="H35" i="82"/>
  <c r="D35" i="82" s="1"/>
  <c r="H34" i="82"/>
  <c r="D34" i="82" s="1"/>
  <c r="H33" i="82"/>
  <c r="D33" i="82" s="1"/>
  <c r="D32" i="82"/>
  <c r="F32" i="82"/>
  <c r="H31" i="82"/>
  <c r="D31" i="82" s="1"/>
  <c r="F31" i="82"/>
  <c r="H30" i="82"/>
  <c r="D30" i="82" s="1"/>
  <c r="H29" i="82"/>
  <c r="D29" i="82" s="1"/>
  <c r="H28" i="82"/>
  <c r="D28" i="82" s="1"/>
  <c r="F28" i="82"/>
  <c r="H27" i="82"/>
  <c r="D27" i="82" s="1"/>
  <c r="F27" i="82"/>
  <c r="H26" i="82"/>
  <c r="D26" i="82" s="1"/>
  <c r="H25" i="82"/>
  <c r="D25" i="82" s="1"/>
  <c r="H24" i="82"/>
  <c r="D24" i="82" s="1"/>
  <c r="F24" i="82"/>
  <c r="H23" i="82"/>
  <c r="D23" i="82" s="1"/>
  <c r="F23" i="82"/>
  <c r="H22" i="82"/>
  <c r="D22" i="82" s="1"/>
  <c r="H21" i="82"/>
  <c r="D21" i="82" s="1"/>
  <c r="H20" i="82"/>
  <c r="D20" i="82" s="1"/>
  <c r="F20" i="82"/>
  <c r="H19" i="82"/>
  <c r="D19" i="82" s="1"/>
  <c r="F19" i="82"/>
  <c r="H18" i="82"/>
  <c r="D18" i="82" s="1"/>
  <c r="H17" i="82"/>
  <c r="D17" i="82" s="1"/>
  <c r="H16" i="82"/>
  <c r="D16" i="82" s="1"/>
  <c r="F16" i="82"/>
  <c r="H15" i="82"/>
  <c r="D15" i="82" s="1"/>
  <c r="F15" i="82"/>
  <c r="H14" i="82"/>
  <c r="D14" i="82" s="1"/>
  <c r="H13" i="82"/>
  <c r="D13" i="82" s="1"/>
  <c r="H12" i="82"/>
  <c r="D12" i="82" s="1"/>
  <c r="F13" i="82" l="1"/>
  <c r="F17" i="82"/>
  <c r="F21" i="82"/>
  <c r="F25" i="82"/>
  <c r="F29" i="82"/>
  <c r="F14" i="82"/>
  <c r="F18" i="82"/>
  <c r="F22" i="82"/>
  <c r="F26" i="82"/>
  <c r="F30" i="82"/>
  <c r="G12" i="82"/>
  <c r="C51" i="82" s="1"/>
  <c r="F12" i="82"/>
  <c r="F33" i="82"/>
  <c r="F34" i="82"/>
  <c r="F35" i="82"/>
  <c r="F36" i="82"/>
  <c r="F37" i="82"/>
  <c r="F38" i="82"/>
  <c r="F39" i="82"/>
  <c r="F40" i="82"/>
  <c r="F41" i="82"/>
  <c r="F42" i="82"/>
  <c r="F43" i="82"/>
  <c r="BH69" i="4" l="1"/>
  <c r="BB69" i="4"/>
  <c r="AV69" i="4"/>
  <c r="BH554" i="4"/>
  <c r="BB554" i="4"/>
  <c r="AV554" i="4"/>
  <c r="AP554" i="4"/>
  <c r="AP69" i="4"/>
  <c r="G31" i="85"/>
  <c r="G30" i="85"/>
  <c r="G29" i="85"/>
  <c r="G28" i="85"/>
  <c r="G32" i="85" l="1"/>
  <c r="P51" i="79" l="1"/>
  <c r="O51" i="79"/>
  <c r="N51" i="79"/>
  <c r="M51" i="79"/>
  <c r="L51" i="79"/>
  <c r="P41" i="79"/>
  <c r="O41" i="79"/>
  <c r="N41" i="79"/>
  <c r="M41" i="79"/>
  <c r="L41" i="79"/>
  <c r="F41" i="79"/>
  <c r="E41" i="79"/>
  <c r="D41" i="79"/>
  <c r="C41" i="79"/>
  <c r="B41" i="79"/>
  <c r="L16" i="79"/>
  <c r="L15" i="79"/>
  <c r="B12" i="79"/>
  <c r="M12" i="79" l="1"/>
  <c r="L12" i="79"/>
  <c r="N12" i="79"/>
  <c r="C12" i="79" l="1"/>
  <c r="AV311" i="4" l="1"/>
  <c r="BB311" i="4"/>
  <c r="AV528" i="4"/>
  <c r="BH311" i="4"/>
  <c r="BB528" i="4"/>
  <c r="BH528" i="4"/>
  <c r="AP528" i="4"/>
  <c r="AP311" i="4"/>
  <c r="D12" i="79"/>
  <c r="C93" i="78" l="1"/>
  <c r="W6" i="78" s="1"/>
  <c r="P6" i="78" s="1"/>
  <c r="AH5" i="78"/>
  <c r="AG5" i="78"/>
  <c r="AF5" i="78"/>
  <c r="AE5" i="78"/>
  <c r="AD5" i="78"/>
  <c r="AC5" i="78"/>
  <c r="AB5" i="78"/>
  <c r="AA5" i="78"/>
  <c r="Z5" i="78"/>
  <c r="Y5" i="78"/>
  <c r="X5" i="78"/>
  <c r="W5" i="78"/>
  <c r="V5" i="78"/>
  <c r="N5" i="78" s="1"/>
  <c r="G5" i="78"/>
  <c r="B5" i="78"/>
  <c r="AH4" i="78"/>
  <c r="AG4" i="78"/>
  <c r="AF4" i="78"/>
  <c r="AE4" i="78"/>
  <c r="AD4" i="78"/>
  <c r="AC4" i="78"/>
  <c r="AB4" i="78"/>
  <c r="AA4" i="78"/>
  <c r="Z4" i="78"/>
  <c r="Y4" i="78"/>
  <c r="X4" i="78"/>
  <c r="W4" i="78"/>
  <c r="V4" i="78"/>
  <c r="G4" i="78"/>
  <c r="B4" i="78"/>
  <c r="H139" i="77"/>
  <c r="H138" i="77"/>
  <c r="H137" i="77"/>
  <c r="H136" i="77"/>
  <c r="H135" i="77"/>
  <c r="H134" i="77"/>
  <c r="H133" i="77"/>
  <c r="H132" i="77"/>
  <c r="H131" i="77"/>
  <c r="H130" i="77"/>
  <c r="H129" i="77"/>
  <c r="H128" i="77"/>
  <c r="H127" i="77"/>
  <c r="H126" i="77"/>
  <c r="H125" i="77"/>
  <c r="H124" i="77"/>
  <c r="H123" i="77"/>
  <c r="H122" i="77"/>
  <c r="H121" i="77"/>
  <c r="H120" i="77"/>
  <c r="C119" i="77"/>
  <c r="D119" i="77" s="1"/>
  <c r="E119" i="77" s="1"/>
  <c r="F119" i="77" s="1"/>
  <c r="G119" i="77" s="1"/>
  <c r="H119" i="77" s="1"/>
  <c r="H113" i="77"/>
  <c r="H112" i="77"/>
  <c r="H111" i="77"/>
  <c r="H110" i="77"/>
  <c r="H109" i="77"/>
  <c r="H108" i="77"/>
  <c r="H107" i="77"/>
  <c r="H106" i="77"/>
  <c r="H105" i="77"/>
  <c r="H104" i="77"/>
  <c r="H103" i="77"/>
  <c r="H102" i="77"/>
  <c r="H101" i="77"/>
  <c r="H100" i="77"/>
  <c r="H99" i="77"/>
  <c r="H98" i="77"/>
  <c r="I98" i="77" s="1"/>
  <c r="H97" i="77"/>
  <c r="I97" i="77" s="1"/>
  <c r="H96" i="77"/>
  <c r="I96" i="77" s="1"/>
  <c r="H95" i="77"/>
  <c r="I95" i="77" s="1"/>
  <c r="H94" i="77"/>
  <c r="I94" i="77" s="1"/>
  <c r="D84" i="77"/>
  <c r="C84" i="77"/>
  <c r="B84" i="77"/>
  <c r="G82" i="77"/>
  <c r="G81" i="77"/>
  <c r="G80" i="77"/>
  <c r="G84" i="77" s="1"/>
  <c r="F5" i="77"/>
  <c r="B5" i="77"/>
  <c r="C5" i="77" s="1"/>
  <c r="F4" i="77"/>
  <c r="B4" i="77"/>
  <c r="C4" i="77" s="1"/>
  <c r="P4" i="78" l="1"/>
  <c r="T4" i="78" s="1"/>
  <c r="E61" i="52"/>
  <c r="E62" i="52" s="1"/>
  <c r="T6" i="78"/>
  <c r="G83" i="77"/>
  <c r="G85" i="77" s="1"/>
  <c r="Q5" i="78"/>
  <c r="U5" i="78" s="1"/>
  <c r="P5" i="78"/>
  <c r="N4" i="78"/>
  <c r="Q4" i="78"/>
  <c r="U4" i="78" s="1"/>
  <c r="X4" i="77"/>
  <c r="X5" i="77"/>
  <c r="BB249" i="4" l="1"/>
  <c r="BH249" i="4"/>
  <c r="AV249" i="4"/>
  <c r="AP249" i="4"/>
  <c r="BB503" i="4"/>
  <c r="BH503" i="4"/>
  <c r="AV503" i="4"/>
  <c r="AP503" i="4"/>
  <c r="T5" i="78"/>
  <c r="AM5" i="77"/>
  <c r="AI5" i="77"/>
  <c r="AE5" i="77"/>
  <c r="AG5" i="77"/>
  <c r="AF5" i="77"/>
  <c r="AL5" i="77"/>
  <c r="AH5" i="77"/>
  <c r="AD5" i="77"/>
  <c r="AK5" i="77"/>
  <c r="AJ5" i="77"/>
  <c r="AM4" i="77"/>
  <c r="AI4" i="77"/>
  <c r="AE4" i="77"/>
  <c r="AK4" i="77"/>
  <c r="AG4" i="77"/>
  <c r="AJ4" i="77"/>
  <c r="AF4" i="77"/>
  <c r="AL4" i="77"/>
  <c r="AH4" i="77"/>
  <c r="AD4" i="77"/>
  <c r="Q4" i="77" l="1"/>
  <c r="T4" i="77" s="1"/>
  <c r="Q5" i="77"/>
  <c r="T6" i="38"/>
  <c r="U6" i="38"/>
  <c r="V6" i="38"/>
  <c r="T7" i="38"/>
  <c r="U7" i="38"/>
  <c r="V7" i="38"/>
  <c r="E5" i="76"/>
  <c r="E4" i="76"/>
  <c r="Z4" i="50"/>
  <c r="AA4" i="50"/>
  <c r="AB4" i="50"/>
  <c r="AC4" i="50"/>
  <c r="AD4" i="50"/>
  <c r="AE4" i="50"/>
  <c r="AF4" i="50"/>
  <c r="AG4" i="50"/>
  <c r="AH4" i="50"/>
  <c r="AI4" i="50"/>
  <c r="AJ4" i="50"/>
  <c r="AK4" i="50"/>
  <c r="AL4" i="50"/>
  <c r="AM4" i="50"/>
  <c r="T6" i="44"/>
  <c r="Z6" i="44"/>
  <c r="AA6" i="44"/>
  <c r="S6" i="44" s="1"/>
  <c r="O6" i="44" s="1"/>
  <c r="T4" i="44"/>
  <c r="Z4" i="44"/>
  <c r="AA4" i="44"/>
  <c r="S4" i="44" s="1"/>
  <c r="O4" i="44" s="1"/>
  <c r="X14" i="32"/>
  <c r="W14" i="32" s="1"/>
  <c r="Y14" i="32"/>
  <c r="Z14" i="32"/>
  <c r="AA14" i="32"/>
  <c r="AB14" i="32"/>
  <c r="AC14" i="32"/>
  <c r="V14" i="32"/>
  <c r="AG14" i="32"/>
  <c r="AI14" i="32"/>
  <c r="AK14" i="32"/>
  <c r="AJ14" i="32" s="1"/>
  <c r="M5" i="76" l="1"/>
  <c r="P5" i="76" s="1"/>
  <c r="BH323" i="4"/>
  <c r="BB323" i="4"/>
  <c r="AV323" i="4"/>
  <c r="AP323" i="4"/>
  <c r="R4" i="44"/>
  <c r="M4" i="76"/>
  <c r="AV334" i="4" s="1"/>
  <c r="BH340" i="4"/>
  <c r="BB340" i="4"/>
  <c r="AV340" i="4"/>
  <c r="AP340" i="4"/>
  <c r="BH334" i="4"/>
  <c r="BH317" i="4"/>
  <c r="AV317" i="4"/>
  <c r="BH444" i="4"/>
  <c r="AV444" i="4"/>
  <c r="BB444" i="4"/>
  <c r="AP444" i="4"/>
  <c r="P4" i="76"/>
  <c r="AP334" i="4"/>
  <c r="AP317" i="4"/>
  <c r="R6" i="44"/>
  <c r="P6" i="38"/>
  <c r="S6" i="38" s="1"/>
  <c r="P7" i="38"/>
  <c r="S7" i="38" s="1"/>
  <c r="T5" i="77"/>
  <c r="X4" i="50"/>
  <c r="T4" i="50"/>
  <c r="AE14" i="32"/>
  <c r="BH394" i="4" l="1"/>
  <c r="AV394" i="4"/>
  <c r="BB394" i="4"/>
  <c r="AP394" i="4"/>
  <c r="BB334" i="4"/>
  <c r="BB317" i="4"/>
  <c r="Y4" i="50"/>
  <c r="AB226" i="75" l="1"/>
  <c r="AA226" i="75"/>
  <c r="Z226" i="75"/>
  <c r="X226" i="75"/>
  <c r="AB225" i="75"/>
  <c r="AA225" i="75"/>
  <c r="Z225" i="75"/>
  <c r="X225" i="75"/>
  <c r="AB224" i="75"/>
  <c r="AA224" i="75"/>
  <c r="Z224" i="75"/>
  <c r="X224" i="75"/>
  <c r="AB223" i="75"/>
  <c r="AA223" i="75"/>
  <c r="Z223" i="75"/>
  <c r="X223" i="75"/>
  <c r="AB222" i="75"/>
  <c r="AA222" i="75"/>
  <c r="Z222" i="75"/>
  <c r="X222" i="75"/>
  <c r="AB221" i="75"/>
  <c r="AA221" i="75"/>
  <c r="Z221" i="75"/>
  <c r="X221" i="75"/>
  <c r="AB220" i="75"/>
  <c r="AA220" i="75"/>
  <c r="Z220" i="75"/>
  <c r="X220" i="75"/>
  <c r="AB219" i="75"/>
  <c r="AA219" i="75"/>
  <c r="Z219" i="75"/>
  <c r="X219" i="75"/>
  <c r="AB218" i="75"/>
  <c r="AA218" i="75"/>
  <c r="Z218" i="75"/>
  <c r="X218" i="75"/>
  <c r="AB201" i="75"/>
  <c r="AA201" i="75"/>
  <c r="Z201" i="75"/>
  <c r="Y201" i="75"/>
  <c r="W201" i="75"/>
  <c r="AB200" i="75"/>
  <c r="AA200" i="75"/>
  <c r="Z200" i="75"/>
  <c r="Y200" i="75"/>
  <c r="W200" i="75"/>
  <c r="AB199" i="75"/>
  <c r="AA199" i="75"/>
  <c r="Z199" i="75"/>
  <c r="Y199" i="75"/>
  <c r="W199" i="75"/>
  <c r="AB198" i="75"/>
  <c r="AA198" i="75"/>
  <c r="Z198" i="75"/>
  <c r="Y198" i="75"/>
  <c r="AB197" i="75"/>
  <c r="AA197" i="75"/>
  <c r="Z197" i="75"/>
  <c r="Y197" i="75"/>
  <c r="W197" i="75"/>
  <c r="AB196" i="75"/>
  <c r="AA196" i="75"/>
  <c r="Z196" i="75"/>
  <c r="Y196" i="75"/>
  <c r="W196" i="75"/>
  <c r="AB195" i="75"/>
  <c r="AA195" i="75"/>
  <c r="Z195" i="75"/>
  <c r="Y195" i="75"/>
  <c r="W195" i="75"/>
  <c r="AB179" i="75"/>
  <c r="AA179" i="75"/>
  <c r="Z179" i="75"/>
  <c r="Y179" i="75"/>
  <c r="W179" i="75"/>
  <c r="AB178" i="75"/>
  <c r="AA178" i="75"/>
  <c r="Z178" i="75"/>
  <c r="Y178" i="75"/>
  <c r="W178" i="75"/>
  <c r="AB177" i="75"/>
  <c r="AA177" i="75"/>
  <c r="Z177" i="75"/>
  <c r="Y177" i="75"/>
  <c r="W177" i="75"/>
  <c r="AB176" i="75"/>
  <c r="AA176" i="75"/>
  <c r="Z176" i="75"/>
  <c r="Y176" i="75"/>
  <c r="AB175" i="75"/>
  <c r="AA175" i="75"/>
  <c r="Z175" i="75"/>
  <c r="Y175" i="75"/>
  <c r="W175" i="75"/>
  <c r="AB174" i="75"/>
  <c r="AA174" i="75"/>
  <c r="Z174" i="75"/>
  <c r="Y174" i="75"/>
  <c r="W174" i="75"/>
  <c r="AB173" i="75"/>
  <c r="AA173" i="75"/>
  <c r="Z173" i="75"/>
  <c r="Y173" i="75"/>
  <c r="W173" i="75"/>
  <c r="C155" i="75"/>
  <c r="H84" i="75"/>
  <c r="G84" i="75"/>
  <c r="F84" i="75"/>
  <c r="E84" i="75"/>
  <c r="AU5" i="75" s="1"/>
  <c r="D84" i="75"/>
  <c r="C84" i="75"/>
  <c r="AO4" i="75" s="1"/>
  <c r="AY7" i="75"/>
  <c r="AX7" i="75"/>
  <c r="AV7" i="75"/>
  <c r="AT7" i="75"/>
  <c r="AS7" i="75"/>
  <c r="AR7" i="75"/>
  <c r="AQ7" i="75"/>
  <c r="AP7" i="75"/>
  <c r="AN7" i="75"/>
  <c r="AM7" i="75"/>
  <c r="AL7" i="75"/>
  <c r="AK7" i="75"/>
  <c r="AJ7" i="75"/>
  <c r="AI7" i="75"/>
  <c r="AH7" i="75"/>
  <c r="AY6" i="75"/>
  <c r="AX6" i="75"/>
  <c r="AV6" i="75"/>
  <c r="AT6" i="75"/>
  <c r="AS6" i="75"/>
  <c r="AQ6" i="75"/>
  <c r="AP6" i="75"/>
  <c r="AN6" i="75"/>
  <c r="AM6" i="75"/>
  <c r="AK6" i="75"/>
  <c r="AJ6" i="75"/>
  <c r="AI6" i="75"/>
  <c r="AH6" i="75"/>
  <c r="AY5" i="75"/>
  <c r="AX5" i="75"/>
  <c r="AV5" i="75"/>
  <c r="AT5" i="75"/>
  <c r="AS5" i="75"/>
  <c r="AR5" i="75"/>
  <c r="AQ5" i="75"/>
  <c r="AP5" i="75"/>
  <c r="AN5" i="75"/>
  <c r="AM5" i="75"/>
  <c r="AL5" i="75"/>
  <c r="AK5" i="75"/>
  <c r="AJ5" i="75"/>
  <c r="AI5" i="75"/>
  <c r="AH5" i="75"/>
  <c r="AY4" i="75"/>
  <c r="AX4" i="75"/>
  <c r="AV4" i="75"/>
  <c r="AT4" i="75"/>
  <c r="AS4" i="75"/>
  <c r="AQ4" i="75"/>
  <c r="AP4" i="75"/>
  <c r="AN4" i="75"/>
  <c r="AM4" i="75"/>
  <c r="AL4" i="75"/>
  <c r="AK4" i="75"/>
  <c r="AJ4" i="75"/>
  <c r="AI4" i="75"/>
  <c r="AH4" i="75"/>
  <c r="B4" i="75"/>
  <c r="K4" i="74"/>
  <c r="J4" i="74"/>
  <c r="I4" i="74"/>
  <c r="O4" i="74" l="1"/>
  <c r="AO6" i="75"/>
  <c r="AO7" i="75"/>
  <c r="AF7" i="75" s="1"/>
  <c r="AO5" i="75"/>
  <c r="AF5" i="75" s="1"/>
  <c r="AL6" i="75"/>
  <c r="AF6" i="75" s="1"/>
  <c r="AU4" i="75"/>
  <c r="X5" i="75"/>
  <c r="X7" i="75"/>
  <c r="H155" i="75"/>
  <c r="AF4" i="75"/>
  <c r="I155" i="75"/>
  <c r="AU7" i="75"/>
  <c r="AR4" i="75"/>
  <c r="X4" i="75" s="1"/>
  <c r="AR6" i="75"/>
  <c r="AU6" i="75"/>
  <c r="G155" i="75"/>
  <c r="F155" i="75" s="1"/>
  <c r="Y4" i="41"/>
  <c r="U4" i="41"/>
  <c r="X4" i="41"/>
  <c r="W4" i="41"/>
  <c r="N4" i="41"/>
  <c r="U4" i="40"/>
  <c r="V4" i="40"/>
  <c r="W4" i="40"/>
  <c r="X4" i="40"/>
  <c r="Y4" i="40"/>
  <c r="Z4" i="40"/>
  <c r="AA4" i="40"/>
  <c r="Q4" i="40" s="1"/>
  <c r="AB4" i="40"/>
  <c r="U5" i="40"/>
  <c r="V5" i="40"/>
  <c r="W5" i="40"/>
  <c r="X5" i="40"/>
  <c r="Y5" i="40"/>
  <c r="Z5" i="40"/>
  <c r="AA5" i="40"/>
  <c r="Q5" i="40" s="1"/>
  <c r="T5" i="40" s="1"/>
  <c r="AB5" i="40"/>
  <c r="U9" i="40"/>
  <c r="V9" i="40"/>
  <c r="W9" i="40"/>
  <c r="X9" i="40"/>
  <c r="Y9" i="40"/>
  <c r="Z9" i="40"/>
  <c r="AA9" i="40"/>
  <c r="Q9" i="40" s="1"/>
  <c r="T9" i="40" s="1"/>
  <c r="AB9" i="40"/>
  <c r="U10" i="40"/>
  <c r="V10" i="40"/>
  <c r="W10" i="40"/>
  <c r="X10" i="40"/>
  <c r="Y10" i="40"/>
  <c r="Z10" i="40"/>
  <c r="AA10" i="40"/>
  <c r="Q10" i="40" s="1"/>
  <c r="AB10" i="40"/>
  <c r="U11" i="40"/>
  <c r="V11" i="40"/>
  <c r="W11" i="40"/>
  <c r="X11" i="40"/>
  <c r="Y11" i="40"/>
  <c r="Z11" i="40"/>
  <c r="AA11" i="40"/>
  <c r="Q11" i="40" s="1"/>
  <c r="AB11" i="40"/>
  <c r="U12" i="40"/>
  <c r="V12" i="40"/>
  <c r="W12" i="40"/>
  <c r="X12" i="40"/>
  <c r="Y12" i="40"/>
  <c r="Z12" i="40"/>
  <c r="AA12" i="40"/>
  <c r="Q12" i="40" s="1"/>
  <c r="AB12" i="40"/>
  <c r="U13" i="40"/>
  <c r="V13" i="40"/>
  <c r="W13" i="40"/>
  <c r="X13" i="40"/>
  <c r="Y13" i="40"/>
  <c r="Z13" i="40"/>
  <c r="AA13" i="40"/>
  <c r="Q13" i="40" s="1"/>
  <c r="AB13" i="40"/>
  <c r="U14" i="40"/>
  <c r="V14" i="40"/>
  <c r="W14" i="40"/>
  <c r="X14" i="40"/>
  <c r="Y14" i="40"/>
  <c r="Z14" i="40"/>
  <c r="AA14" i="40"/>
  <c r="Q14" i="40" s="1"/>
  <c r="T14" i="40" s="1"/>
  <c r="AB14" i="40"/>
  <c r="U15" i="40"/>
  <c r="V15" i="40"/>
  <c r="W15" i="40"/>
  <c r="X15" i="40"/>
  <c r="Y15" i="40"/>
  <c r="Z15" i="40"/>
  <c r="AA15" i="40"/>
  <c r="Q15" i="40" s="1"/>
  <c r="AB15" i="40"/>
  <c r="U16" i="40"/>
  <c r="V16" i="40"/>
  <c r="W16" i="40"/>
  <c r="X16" i="40"/>
  <c r="Y16" i="40"/>
  <c r="Z16" i="40"/>
  <c r="AA16" i="40"/>
  <c r="Q16" i="40" s="1"/>
  <c r="AB16" i="40"/>
  <c r="X5" i="43"/>
  <c r="Z5" i="43"/>
  <c r="AA5" i="43"/>
  <c r="X6" i="43"/>
  <c r="Z6" i="43"/>
  <c r="AA6" i="43"/>
  <c r="X7" i="43"/>
  <c r="Z7" i="43"/>
  <c r="AA7" i="43"/>
  <c r="L4" i="73"/>
  <c r="J4" i="73"/>
  <c r="I4" i="73"/>
  <c r="P4" i="73" s="1"/>
  <c r="L3" i="73"/>
  <c r="K3" i="73"/>
  <c r="J3" i="73"/>
  <c r="I3" i="73"/>
  <c r="AB4" i="45"/>
  <c r="B4" i="45"/>
  <c r="B5" i="45"/>
  <c r="B6" i="45"/>
  <c r="B7" i="45"/>
  <c r="B8" i="45"/>
  <c r="B9" i="45"/>
  <c r="U10" i="45"/>
  <c r="X10" i="45"/>
  <c r="Y10" i="45"/>
  <c r="Z10" i="45"/>
  <c r="AA10" i="45"/>
  <c r="AB10" i="45"/>
  <c r="AC10" i="45"/>
  <c r="AE10" i="45"/>
  <c r="AF10" i="45"/>
  <c r="AG10" i="45"/>
  <c r="AH10" i="45"/>
  <c r="AI10" i="45"/>
  <c r="AD10" i="45" s="1"/>
  <c r="U11" i="45"/>
  <c r="X11" i="45"/>
  <c r="Y11" i="45"/>
  <c r="Z11" i="45"/>
  <c r="AA11" i="45"/>
  <c r="AB11" i="45"/>
  <c r="AC11" i="45"/>
  <c r="AE11" i="45"/>
  <c r="AF11" i="45"/>
  <c r="AG11" i="45"/>
  <c r="AH11" i="45"/>
  <c r="AI11" i="45"/>
  <c r="AD11" i="45" s="1"/>
  <c r="U12" i="45"/>
  <c r="X12" i="45"/>
  <c r="Y12" i="45"/>
  <c r="Z12" i="45"/>
  <c r="AA12" i="45"/>
  <c r="AB12" i="45"/>
  <c r="AC12" i="45"/>
  <c r="AE12" i="45"/>
  <c r="AF12" i="45"/>
  <c r="AG12" i="45"/>
  <c r="AH12" i="45"/>
  <c r="AI12" i="45"/>
  <c r="AD12" i="45" s="1"/>
  <c r="U13" i="45"/>
  <c r="X13" i="45"/>
  <c r="Y13" i="45"/>
  <c r="Z13" i="45"/>
  <c r="AA13" i="45"/>
  <c r="AB13" i="45"/>
  <c r="AC13" i="45"/>
  <c r="AE13" i="45"/>
  <c r="AF13" i="45"/>
  <c r="AG13" i="45"/>
  <c r="AH13" i="45"/>
  <c r="AI13" i="45"/>
  <c r="AD13" i="45" s="1"/>
  <c r="U14" i="45"/>
  <c r="X14" i="45"/>
  <c r="Y14" i="45"/>
  <c r="Z14" i="45"/>
  <c r="AA14" i="45"/>
  <c r="AB14" i="45"/>
  <c r="AC14" i="45"/>
  <c r="AE14" i="45"/>
  <c r="AF14" i="45"/>
  <c r="AG14" i="45"/>
  <c r="AH14" i="45"/>
  <c r="AI14" i="45"/>
  <c r="AD14" i="45" s="1"/>
  <c r="U15" i="45"/>
  <c r="X15" i="45"/>
  <c r="Y15" i="45"/>
  <c r="Z15" i="45"/>
  <c r="AA15" i="45"/>
  <c r="AB15" i="45"/>
  <c r="AC15" i="45"/>
  <c r="AE15" i="45"/>
  <c r="AF15" i="45"/>
  <c r="AG15" i="45"/>
  <c r="AH15" i="45"/>
  <c r="AI15" i="45"/>
  <c r="AD15" i="45" s="1"/>
  <c r="U16" i="45"/>
  <c r="X16" i="45"/>
  <c r="Y16" i="45"/>
  <c r="Z16" i="45"/>
  <c r="AA16" i="45"/>
  <c r="AB16" i="45"/>
  <c r="AC16" i="45"/>
  <c r="AE16" i="45"/>
  <c r="AF16" i="45"/>
  <c r="AG16" i="45"/>
  <c r="AH16" i="45"/>
  <c r="AI16" i="45"/>
  <c r="AD16" i="45" s="1"/>
  <c r="U17" i="45"/>
  <c r="X17" i="45"/>
  <c r="Y17" i="45"/>
  <c r="Z17" i="45"/>
  <c r="AA17" i="45"/>
  <c r="AB17" i="45"/>
  <c r="AC17" i="45"/>
  <c r="AE17" i="45"/>
  <c r="AF17" i="45"/>
  <c r="AG17" i="45"/>
  <c r="AH17" i="45"/>
  <c r="AI17" i="45"/>
  <c r="AD17" i="45" s="1"/>
  <c r="U18" i="45"/>
  <c r="X18" i="45"/>
  <c r="Y18" i="45"/>
  <c r="Z18" i="45"/>
  <c r="AA18" i="45"/>
  <c r="AB18" i="45"/>
  <c r="AC18" i="45"/>
  <c r="AE18" i="45"/>
  <c r="AF18" i="45"/>
  <c r="AG18" i="45"/>
  <c r="AH18" i="45"/>
  <c r="AI18" i="45"/>
  <c r="AD18" i="45" s="1"/>
  <c r="U19" i="45"/>
  <c r="X19" i="45"/>
  <c r="Y19" i="45"/>
  <c r="Z19" i="45"/>
  <c r="AA19" i="45"/>
  <c r="AB19" i="45"/>
  <c r="AC19" i="45"/>
  <c r="AE19" i="45"/>
  <c r="AF19" i="45"/>
  <c r="AG19" i="45"/>
  <c r="AH19" i="45"/>
  <c r="AI19" i="45"/>
  <c r="AD19" i="45" s="1"/>
  <c r="U20" i="45"/>
  <c r="X20" i="45"/>
  <c r="Y20" i="45"/>
  <c r="Z20" i="45"/>
  <c r="AA20" i="45"/>
  <c r="AB20" i="45"/>
  <c r="AC20" i="45"/>
  <c r="AE20" i="45"/>
  <c r="AF20" i="45"/>
  <c r="AG20" i="45"/>
  <c r="AH20" i="45"/>
  <c r="AI20" i="45"/>
  <c r="AD20" i="45" s="1"/>
  <c r="U21" i="45"/>
  <c r="X21" i="45"/>
  <c r="Y21" i="45"/>
  <c r="Z21" i="45"/>
  <c r="AA21" i="45"/>
  <c r="AB21" i="45"/>
  <c r="AC21" i="45"/>
  <c r="AE21" i="45"/>
  <c r="AF21" i="45"/>
  <c r="AG21" i="45"/>
  <c r="AH21" i="45"/>
  <c r="AI21" i="45"/>
  <c r="AD21" i="45" s="1"/>
  <c r="F9" i="45"/>
  <c r="F10" i="45"/>
  <c r="F11" i="45"/>
  <c r="F12" i="45"/>
  <c r="F13" i="45"/>
  <c r="F14" i="45"/>
  <c r="F15" i="45"/>
  <c r="F16" i="45"/>
  <c r="F17" i="45"/>
  <c r="F18" i="45"/>
  <c r="F19" i="45"/>
  <c r="F20" i="45"/>
  <c r="F21" i="45"/>
  <c r="V22" i="46"/>
  <c r="W22" i="46"/>
  <c r="X22" i="46"/>
  <c r="Y22" i="46"/>
  <c r="AA22" i="46"/>
  <c r="AB22" i="46"/>
  <c r="AC22" i="46"/>
  <c r="AD22" i="46"/>
  <c r="AE22" i="46"/>
  <c r="AF22" i="46"/>
  <c r="AG22" i="46"/>
  <c r="AH22" i="46"/>
  <c r="AI22" i="46"/>
  <c r="V15" i="46"/>
  <c r="W15" i="46"/>
  <c r="X15" i="46"/>
  <c r="Y15" i="46"/>
  <c r="AA15" i="46"/>
  <c r="AB15" i="46"/>
  <c r="AC15" i="46"/>
  <c r="AD15" i="46"/>
  <c r="AE15" i="46"/>
  <c r="AF15" i="46"/>
  <c r="AG15" i="46"/>
  <c r="AH15" i="46"/>
  <c r="AI15" i="46"/>
  <c r="V16" i="46"/>
  <c r="W16" i="46"/>
  <c r="X16" i="46"/>
  <c r="Y16" i="46"/>
  <c r="AA16" i="46"/>
  <c r="AB16" i="46"/>
  <c r="AC16" i="46"/>
  <c r="AD16" i="46"/>
  <c r="AE16" i="46"/>
  <c r="AF16" i="46"/>
  <c r="AG16" i="46"/>
  <c r="AH16" i="46"/>
  <c r="AI16" i="46"/>
  <c r="V17" i="46"/>
  <c r="W17" i="46"/>
  <c r="X17" i="46"/>
  <c r="Y17" i="46"/>
  <c r="AA17" i="46"/>
  <c r="AB17" i="46"/>
  <c r="AC17" i="46"/>
  <c r="AD17" i="46"/>
  <c r="AE17" i="46"/>
  <c r="AF17" i="46"/>
  <c r="AG17" i="46"/>
  <c r="AH17" i="46"/>
  <c r="AI17" i="46"/>
  <c r="V18" i="46"/>
  <c r="W18" i="46"/>
  <c r="X18" i="46"/>
  <c r="Y18" i="46"/>
  <c r="AA18" i="46"/>
  <c r="AB18" i="46"/>
  <c r="AC18" i="46"/>
  <c r="AD18" i="46"/>
  <c r="AE18" i="46"/>
  <c r="AF18" i="46"/>
  <c r="AG18" i="46"/>
  <c r="AH18" i="46"/>
  <c r="AI18" i="46"/>
  <c r="V19" i="46"/>
  <c r="W19" i="46"/>
  <c r="X19" i="46"/>
  <c r="Y19" i="46"/>
  <c r="AA19" i="46"/>
  <c r="AB19" i="46"/>
  <c r="AC19" i="46"/>
  <c r="AD19" i="46"/>
  <c r="AE19" i="46"/>
  <c r="AF19" i="46"/>
  <c r="AG19" i="46"/>
  <c r="AH19" i="46"/>
  <c r="AI19" i="46"/>
  <c r="V20" i="46"/>
  <c r="W20" i="46"/>
  <c r="X20" i="46"/>
  <c r="Y20" i="46"/>
  <c r="AA20" i="46"/>
  <c r="AB20" i="46"/>
  <c r="AC20" i="46"/>
  <c r="AD20" i="46"/>
  <c r="AE20" i="46"/>
  <c r="AF20" i="46"/>
  <c r="AG20" i="46"/>
  <c r="AH20" i="46"/>
  <c r="AI20" i="46"/>
  <c r="V21" i="46"/>
  <c r="W21" i="46"/>
  <c r="X21" i="46"/>
  <c r="Y21" i="46"/>
  <c r="AA21" i="46"/>
  <c r="AB21" i="46"/>
  <c r="AC21" i="46"/>
  <c r="AD21" i="46"/>
  <c r="AE21" i="46"/>
  <c r="AF21" i="46"/>
  <c r="AG21" i="46"/>
  <c r="AH21" i="46"/>
  <c r="AI21" i="46"/>
  <c r="V8" i="46"/>
  <c r="W8" i="46"/>
  <c r="X8" i="46"/>
  <c r="Y8" i="46"/>
  <c r="AA8" i="46"/>
  <c r="AB8" i="46"/>
  <c r="AC8" i="46"/>
  <c r="AD8" i="46"/>
  <c r="AE8" i="46"/>
  <c r="AF8" i="46"/>
  <c r="AG8" i="46"/>
  <c r="AH8" i="46"/>
  <c r="AI8" i="46"/>
  <c r="V9" i="46"/>
  <c r="W9" i="46"/>
  <c r="X9" i="46"/>
  <c r="Y9" i="46"/>
  <c r="AA9" i="46"/>
  <c r="AB9" i="46"/>
  <c r="AC9" i="46"/>
  <c r="AD9" i="46"/>
  <c r="AE9" i="46"/>
  <c r="AF9" i="46"/>
  <c r="AG9" i="46"/>
  <c r="AH9" i="46"/>
  <c r="AI9" i="46"/>
  <c r="V10" i="46"/>
  <c r="W10" i="46"/>
  <c r="X10" i="46"/>
  <c r="Y10" i="46"/>
  <c r="AA10" i="46"/>
  <c r="AB10" i="46"/>
  <c r="AC10" i="46"/>
  <c r="AD10" i="46"/>
  <c r="AE10" i="46"/>
  <c r="AF10" i="46"/>
  <c r="AG10" i="46"/>
  <c r="AH10" i="46"/>
  <c r="AI10" i="46"/>
  <c r="V11" i="46"/>
  <c r="W11" i="46"/>
  <c r="X11" i="46"/>
  <c r="Y11" i="46"/>
  <c r="AA11" i="46"/>
  <c r="AB11" i="46"/>
  <c r="AC11" i="46"/>
  <c r="AD11" i="46"/>
  <c r="AE11" i="46"/>
  <c r="AF11" i="46"/>
  <c r="AG11" i="46"/>
  <c r="AH11" i="46"/>
  <c r="AI11" i="46"/>
  <c r="V12" i="46"/>
  <c r="W12" i="46"/>
  <c r="X12" i="46"/>
  <c r="Y12" i="46"/>
  <c r="AA12" i="46"/>
  <c r="AB12" i="46"/>
  <c r="AC12" i="46"/>
  <c r="AD12" i="46"/>
  <c r="AE12" i="46"/>
  <c r="AF12" i="46"/>
  <c r="AG12" i="46"/>
  <c r="AH12" i="46"/>
  <c r="AI12" i="46"/>
  <c r="V13" i="46"/>
  <c r="W13" i="46"/>
  <c r="X13" i="46"/>
  <c r="Y13" i="46"/>
  <c r="AA13" i="46"/>
  <c r="AB13" i="46"/>
  <c r="AC13" i="46"/>
  <c r="AD13" i="46"/>
  <c r="AE13" i="46"/>
  <c r="AF13" i="46"/>
  <c r="AG13" i="46"/>
  <c r="AH13" i="46"/>
  <c r="AI13" i="46"/>
  <c r="V14" i="46"/>
  <c r="W14" i="46"/>
  <c r="X14" i="46"/>
  <c r="Y14" i="46"/>
  <c r="AA14" i="46"/>
  <c r="AB14" i="46"/>
  <c r="AC14" i="46"/>
  <c r="AD14" i="46"/>
  <c r="AE14" i="46"/>
  <c r="AF14" i="46"/>
  <c r="AG14" i="46"/>
  <c r="AH14" i="46"/>
  <c r="AI14" i="46"/>
  <c r="G8" i="46"/>
  <c r="G9" i="46"/>
  <c r="G10" i="46"/>
  <c r="G11" i="46"/>
  <c r="G12" i="46"/>
  <c r="G13" i="46"/>
  <c r="G14" i="46"/>
  <c r="G15" i="46"/>
  <c r="G16" i="46"/>
  <c r="G17" i="46"/>
  <c r="G18" i="46"/>
  <c r="G19" i="46"/>
  <c r="G20" i="46"/>
  <c r="G21" i="46"/>
  <c r="B21" i="46"/>
  <c r="B20" i="46"/>
  <c r="B19" i="46"/>
  <c r="B18" i="46"/>
  <c r="B17" i="46"/>
  <c r="B16" i="46"/>
  <c r="B15" i="46"/>
  <c r="B14" i="46"/>
  <c r="B13" i="46"/>
  <c r="B12" i="46"/>
  <c r="B9" i="46"/>
  <c r="B8" i="46"/>
  <c r="D81" i="72"/>
  <c r="C81" i="72"/>
  <c r="D70" i="72"/>
  <c r="C70" i="72"/>
  <c r="N4" i="72" s="1"/>
  <c r="F56" i="72"/>
  <c r="E56" i="72"/>
  <c r="D56" i="72"/>
  <c r="C56" i="72"/>
  <c r="D44" i="72"/>
  <c r="C44" i="72"/>
  <c r="B33" i="72"/>
  <c r="B31" i="72"/>
  <c r="B29" i="72"/>
  <c r="O7" i="72"/>
  <c r="R7" i="72" s="1"/>
  <c r="N7" i="72"/>
  <c r="M7" i="72"/>
  <c r="L7" i="72"/>
  <c r="O6" i="72"/>
  <c r="R6" i="72" s="1"/>
  <c r="N6" i="72"/>
  <c r="M6" i="72"/>
  <c r="L6" i="72"/>
  <c r="R5" i="72"/>
  <c r="O5" i="72"/>
  <c r="N5" i="72"/>
  <c r="M5" i="72"/>
  <c r="L5" i="72"/>
  <c r="O4" i="72"/>
  <c r="R4" i="72" s="1"/>
  <c r="M4" i="72"/>
  <c r="L4" i="72"/>
  <c r="AI5" i="49"/>
  <c r="AJ5" i="49"/>
  <c r="AK5" i="49"/>
  <c r="AL5" i="49"/>
  <c r="AM5" i="49"/>
  <c r="AN5" i="49"/>
  <c r="AO5" i="49"/>
  <c r="AQ5" i="49"/>
  <c r="AR5" i="49"/>
  <c r="AS5" i="49"/>
  <c r="AT5" i="49"/>
  <c r="AV5" i="49"/>
  <c r="AX5" i="49"/>
  <c r="AY5" i="49"/>
  <c r="AI6" i="49"/>
  <c r="AJ6" i="49"/>
  <c r="AK6" i="49"/>
  <c r="AL6" i="49"/>
  <c r="AM6" i="49"/>
  <c r="AN6" i="49"/>
  <c r="AO6" i="49"/>
  <c r="AQ6" i="49"/>
  <c r="AR6" i="49"/>
  <c r="AS6" i="49"/>
  <c r="AT6" i="49"/>
  <c r="AV6" i="49"/>
  <c r="AX6" i="49"/>
  <c r="AY6" i="49"/>
  <c r="AI7" i="49"/>
  <c r="AJ7" i="49"/>
  <c r="AK7" i="49"/>
  <c r="AL7" i="49"/>
  <c r="AM7" i="49"/>
  <c r="AN7" i="49"/>
  <c r="AO7" i="49"/>
  <c r="AQ7" i="49"/>
  <c r="AR7" i="49"/>
  <c r="AS7" i="49"/>
  <c r="AT7" i="49"/>
  <c r="AV7" i="49"/>
  <c r="AX7" i="49"/>
  <c r="AY7" i="49"/>
  <c r="AO4" i="49"/>
  <c r="B7" i="49"/>
  <c r="B6" i="49"/>
  <c r="B5" i="49"/>
  <c r="B4" i="49"/>
  <c r="AR6" i="37"/>
  <c r="AO6" i="37"/>
  <c r="E117" i="37"/>
  <c r="AR7" i="37" s="1"/>
  <c r="D117" i="37"/>
  <c r="C117" i="37"/>
  <c r="AO7" i="37" s="1"/>
  <c r="AB5" i="37"/>
  <c r="AC5" i="37"/>
  <c r="AD5" i="37"/>
  <c r="AE5" i="37"/>
  <c r="AF5" i="37"/>
  <c r="AG5" i="37"/>
  <c r="AH5" i="37"/>
  <c r="AI5" i="37"/>
  <c r="AJ5" i="37"/>
  <c r="AK5" i="37"/>
  <c r="AL5" i="37"/>
  <c r="AM5" i="37"/>
  <c r="AT5" i="37"/>
  <c r="AZ5" i="37"/>
  <c r="BB5" i="37"/>
  <c r="BC5" i="37"/>
  <c r="BD5" i="37"/>
  <c r="BE5" i="37"/>
  <c r="BF5" i="37"/>
  <c r="BG5" i="37"/>
  <c r="BH5" i="37"/>
  <c r="BI5" i="37"/>
  <c r="BJ5" i="37"/>
  <c r="BK5" i="37"/>
  <c r="AB6" i="37"/>
  <c r="AC6" i="37"/>
  <c r="AD6" i="37"/>
  <c r="AE6" i="37"/>
  <c r="AF6" i="37"/>
  <c r="AG6" i="37"/>
  <c r="AH6" i="37"/>
  <c r="AI6" i="37"/>
  <c r="AJ6" i="37"/>
  <c r="AK6" i="37"/>
  <c r="AL6" i="37"/>
  <c r="AM6" i="37"/>
  <c r="AT6" i="37"/>
  <c r="AZ6" i="37"/>
  <c r="BB6" i="37"/>
  <c r="BE6" i="37"/>
  <c r="BF6" i="37"/>
  <c r="BG6" i="37"/>
  <c r="BH6" i="37"/>
  <c r="BI6" i="37"/>
  <c r="BJ6" i="37"/>
  <c r="BK6" i="37"/>
  <c r="AB7" i="37"/>
  <c r="AC7" i="37"/>
  <c r="AD7" i="37"/>
  <c r="AE7" i="37"/>
  <c r="AF7" i="37"/>
  <c r="AG7" i="37"/>
  <c r="AH7" i="37"/>
  <c r="AI7" i="37"/>
  <c r="AJ7" i="37"/>
  <c r="AK7" i="37"/>
  <c r="AL7" i="37"/>
  <c r="AM7" i="37"/>
  <c r="AT7" i="37"/>
  <c r="AZ7" i="37"/>
  <c r="BB7" i="37"/>
  <c r="BC7" i="37"/>
  <c r="BD7" i="37"/>
  <c r="BE7" i="37"/>
  <c r="BF7" i="37"/>
  <c r="BG7" i="37"/>
  <c r="BH7" i="37"/>
  <c r="BI7" i="37"/>
  <c r="BJ7" i="37"/>
  <c r="BK7" i="37"/>
  <c r="P7" i="43" l="1"/>
  <c r="P6" i="43"/>
  <c r="P5" i="43"/>
  <c r="AV421" i="4"/>
  <c r="BB421" i="4"/>
  <c r="BH421" i="4"/>
  <c r="AP421" i="4"/>
  <c r="BB401" i="4"/>
  <c r="BH401" i="4"/>
  <c r="AV401" i="4"/>
  <c r="AP401" i="4"/>
  <c r="BH346" i="4"/>
  <c r="AV346" i="4"/>
  <c r="BB346" i="4"/>
  <c r="AP346" i="4"/>
  <c r="BB486" i="4"/>
  <c r="BB458" i="4"/>
  <c r="AV471" i="4"/>
  <c r="AV280" i="4"/>
  <c r="BH471" i="4"/>
  <c r="BH280" i="4"/>
  <c r="AV486" i="4"/>
  <c r="AV458" i="4"/>
  <c r="BH486" i="4"/>
  <c r="BH458" i="4"/>
  <c r="BB471" i="4"/>
  <c r="BB280" i="4"/>
  <c r="AP280" i="4"/>
  <c r="AP486" i="4"/>
  <c r="AP458" i="4"/>
  <c r="AP471" i="4"/>
  <c r="S6" i="43"/>
  <c r="T15" i="40"/>
  <c r="BH400" i="4"/>
  <c r="BB400" i="4"/>
  <c r="AV400" i="4"/>
  <c r="AP400" i="4"/>
  <c r="T12" i="40"/>
  <c r="BH316" i="4"/>
  <c r="BB265" i="4"/>
  <c r="AV501" i="4"/>
  <c r="BB316" i="4"/>
  <c r="AV265" i="4"/>
  <c r="AV316" i="4"/>
  <c r="BH441" i="4"/>
  <c r="BH501" i="4"/>
  <c r="BB441" i="4"/>
  <c r="BH265" i="4"/>
  <c r="BB501" i="4"/>
  <c r="AV441" i="4"/>
  <c r="AP441" i="4"/>
  <c r="AP265" i="4"/>
  <c r="AP501" i="4"/>
  <c r="AP316" i="4"/>
  <c r="T4" i="40"/>
  <c r="AV420" i="4"/>
  <c r="BH420" i="4"/>
  <c r="BB420" i="4"/>
  <c r="AP420" i="4"/>
  <c r="T16" i="40"/>
  <c r="BH365" i="4"/>
  <c r="BB365" i="4"/>
  <c r="AV365" i="4"/>
  <c r="AP365" i="4"/>
  <c r="T10" i="40"/>
  <c r="BH300" i="4"/>
  <c r="BB300" i="4"/>
  <c r="BH246" i="4"/>
  <c r="AV300" i="4"/>
  <c r="BB246" i="4"/>
  <c r="BH333" i="4"/>
  <c r="AV246" i="4"/>
  <c r="BB333" i="4"/>
  <c r="AV333" i="4"/>
  <c r="AP333" i="4"/>
  <c r="AP246" i="4"/>
  <c r="AP300" i="4"/>
  <c r="T13" i="40"/>
  <c r="BH442" i="4"/>
  <c r="BH502" i="4"/>
  <c r="BB442" i="4"/>
  <c r="BB502" i="4"/>
  <c r="AV442" i="4"/>
  <c r="AV502" i="4"/>
  <c r="AP502" i="4"/>
  <c r="AP442" i="4"/>
  <c r="T11" i="40"/>
  <c r="BH247" i="4"/>
  <c r="BB247" i="4"/>
  <c r="AV247" i="4"/>
  <c r="AP247" i="4"/>
  <c r="U7" i="72"/>
  <c r="AO5" i="37"/>
  <c r="AR5" i="37"/>
  <c r="U5" i="72"/>
  <c r="U6" i="72"/>
  <c r="AO4" i="37"/>
  <c r="AR4" i="37"/>
  <c r="P22" i="46"/>
  <c r="O18" i="45"/>
  <c r="AB7" i="75"/>
  <c r="T7" i="75" s="1"/>
  <c r="Z7" i="37"/>
  <c r="U4" i="72"/>
  <c r="R4" i="74"/>
  <c r="Q18" i="46"/>
  <c r="Q22" i="46"/>
  <c r="U22" i="46" s="1"/>
  <c r="P3" i="73"/>
  <c r="S3" i="73" s="1"/>
  <c r="S4" i="73"/>
  <c r="AB4" i="75"/>
  <c r="T4" i="75" s="1"/>
  <c r="AG5" i="75"/>
  <c r="AB5" i="75"/>
  <c r="T5" i="75" s="1"/>
  <c r="X6" i="75"/>
  <c r="AG7" i="75"/>
  <c r="K155" i="75"/>
  <c r="J155" i="75"/>
  <c r="AG4" i="75"/>
  <c r="L155" i="75"/>
  <c r="P11" i="45"/>
  <c r="T11" i="45" s="1"/>
  <c r="P20" i="45"/>
  <c r="T20" i="45" s="1"/>
  <c r="O19" i="45"/>
  <c r="P16" i="45"/>
  <c r="T16" i="45" s="1"/>
  <c r="O15" i="45"/>
  <c r="P12" i="45"/>
  <c r="T12" i="45" s="1"/>
  <c r="O11" i="45"/>
  <c r="P18" i="45"/>
  <c r="T18" i="45" s="1"/>
  <c r="O14" i="45"/>
  <c r="P14" i="45"/>
  <c r="T14" i="45" s="1"/>
  <c r="P19" i="45"/>
  <c r="T19" i="45" s="1"/>
  <c r="P15" i="45"/>
  <c r="T15" i="45" s="1"/>
  <c r="O10" i="45"/>
  <c r="S10" i="45" s="1"/>
  <c r="P10" i="45"/>
  <c r="T10" i="45" s="1"/>
  <c r="O21" i="45"/>
  <c r="O17" i="45"/>
  <c r="S17" i="45" s="1"/>
  <c r="O13" i="45"/>
  <c r="S13" i="45" s="1"/>
  <c r="P21" i="45"/>
  <c r="T21" i="45" s="1"/>
  <c r="O20" i="45"/>
  <c r="P17" i="45"/>
  <c r="T17" i="45" s="1"/>
  <c r="O16" i="45"/>
  <c r="S16" i="45" s="1"/>
  <c r="P13" i="45"/>
  <c r="T13" i="45" s="1"/>
  <c r="O12" i="45"/>
  <c r="P13" i="46"/>
  <c r="U18" i="46"/>
  <c r="P14" i="46"/>
  <c r="P12" i="46"/>
  <c r="P10" i="46"/>
  <c r="T10" i="46" s="1"/>
  <c r="P8" i="46"/>
  <c r="Q12" i="46"/>
  <c r="U12" i="46" s="1"/>
  <c r="Q8" i="46"/>
  <c r="U8" i="46" s="1"/>
  <c r="Q11" i="46"/>
  <c r="U11" i="46" s="1"/>
  <c r="P9" i="46"/>
  <c r="T9" i="46" s="1"/>
  <c r="Q21" i="46"/>
  <c r="U21" i="46" s="1"/>
  <c r="P19" i="46"/>
  <c r="T19" i="46" s="1"/>
  <c r="P18" i="46"/>
  <c r="P17" i="46"/>
  <c r="P15" i="46"/>
  <c r="P11" i="46"/>
  <c r="T11" i="46" s="1"/>
  <c r="P20" i="46"/>
  <c r="Q16" i="46"/>
  <c r="U16" i="46" s="1"/>
  <c r="Q13" i="46"/>
  <c r="U13" i="46" s="1"/>
  <c r="Q9" i="46"/>
  <c r="U9" i="46" s="1"/>
  <c r="Q19" i="46"/>
  <c r="U19" i="46" s="1"/>
  <c r="Q15" i="46"/>
  <c r="U15" i="46" s="1"/>
  <c r="P21" i="46"/>
  <c r="Q20" i="46"/>
  <c r="U20" i="46" s="1"/>
  <c r="P16" i="46"/>
  <c r="Q17" i="46"/>
  <c r="U17" i="46" s="1"/>
  <c r="Q14" i="46"/>
  <c r="U14" i="46" s="1"/>
  <c r="Q10" i="46"/>
  <c r="U10" i="46" s="1"/>
  <c r="Z5" i="37"/>
  <c r="Y5" i="37"/>
  <c r="AA5" i="37" s="1"/>
  <c r="Y7" i="37"/>
  <c r="AA7" i="37" s="1"/>
  <c r="Y6" i="37"/>
  <c r="Z6" i="37"/>
  <c r="BB301" i="4" l="1"/>
  <c r="BH301" i="4"/>
  <c r="AV301" i="4"/>
  <c r="AP301" i="4"/>
  <c r="BH402" i="4"/>
  <c r="BB402" i="4"/>
  <c r="AV402" i="4"/>
  <c r="AP402" i="4"/>
  <c r="BB242" i="4"/>
  <c r="AV242" i="4"/>
  <c r="BH336" i="4"/>
  <c r="BH296" i="4"/>
  <c r="BB336" i="4"/>
  <c r="BB296" i="4"/>
  <c r="BH242" i="4"/>
  <c r="AV336" i="4"/>
  <c r="AV296" i="4"/>
  <c r="AP242" i="4"/>
  <c r="AP296" i="4"/>
  <c r="AP336" i="4"/>
  <c r="BH439" i="4"/>
  <c r="BB439" i="4"/>
  <c r="AV439" i="4"/>
  <c r="BH259" i="4"/>
  <c r="BH256" i="4"/>
  <c r="BB259" i="4"/>
  <c r="BB256" i="4"/>
  <c r="AV259" i="4"/>
  <c r="AV256" i="4"/>
  <c r="AP439" i="4"/>
  <c r="AP259" i="4"/>
  <c r="AP256" i="4"/>
  <c r="BB361" i="4"/>
  <c r="AV361" i="4"/>
  <c r="BH361" i="4"/>
  <c r="AP361" i="4"/>
  <c r="BB440" i="4"/>
  <c r="AV440" i="4"/>
  <c r="BH319" i="4"/>
  <c r="BH495" i="4"/>
  <c r="BB319" i="4"/>
  <c r="BB495" i="4"/>
  <c r="AV319" i="4"/>
  <c r="BH440" i="4"/>
  <c r="AV495" i="4"/>
  <c r="AP440" i="4"/>
  <c r="AP319" i="4"/>
  <c r="AP495" i="4"/>
  <c r="BB378" i="4"/>
  <c r="AV378" i="4"/>
  <c r="BH378" i="4"/>
  <c r="AP378" i="4"/>
  <c r="BH302" i="4"/>
  <c r="BB302" i="4"/>
  <c r="AV302" i="4"/>
  <c r="AP302" i="4"/>
  <c r="BH241" i="4"/>
  <c r="BB241" i="4"/>
  <c r="AV241" i="4"/>
  <c r="BH339" i="4"/>
  <c r="BB339" i="4"/>
  <c r="AV339" i="4"/>
  <c r="AP241" i="4"/>
  <c r="AP339" i="4"/>
  <c r="BB396" i="4"/>
  <c r="AV366" i="4"/>
  <c r="AV396" i="4"/>
  <c r="BH366" i="4"/>
  <c r="BH396" i="4"/>
  <c r="BB366" i="4"/>
  <c r="AP396" i="4"/>
  <c r="AP366" i="4"/>
  <c r="AV494" i="4"/>
  <c r="BH494" i="4"/>
  <c r="BB494" i="4"/>
  <c r="AP494" i="4"/>
  <c r="BH322" i="4"/>
  <c r="BB322" i="4"/>
  <c r="AV322" i="4"/>
  <c r="AP322" i="4"/>
  <c r="BH391" i="4"/>
  <c r="AV391" i="4"/>
  <c r="BB391" i="4"/>
  <c r="AP391" i="4"/>
  <c r="BB438" i="4"/>
  <c r="BB258" i="4"/>
  <c r="BH320" i="4"/>
  <c r="BB497" i="4"/>
  <c r="BH438" i="4"/>
  <c r="AV320" i="4"/>
  <c r="AV258" i="4"/>
  <c r="BH497" i="4"/>
  <c r="BH258" i="4"/>
  <c r="AV438" i="4"/>
  <c r="BB320" i="4"/>
  <c r="AV497" i="4"/>
  <c r="AP320" i="4"/>
  <c r="AP258" i="4"/>
  <c r="AP438" i="4"/>
  <c r="AP497" i="4"/>
  <c r="BH364" i="4"/>
  <c r="AV364" i="4"/>
  <c r="BB364" i="4"/>
  <c r="AP364" i="4"/>
  <c r="BB357" i="4"/>
  <c r="BH357" i="4"/>
  <c r="AV357" i="4"/>
  <c r="AP357" i="4"/>
  <c r="BB399" i="4"/>
  <c r="BH399" i="4"/>
  <c r="AV399" i="4"/>
  <c r="AP399" i="4"/>
  <c r="BH291" i="4"/>
  <c r="BH243" i="4"/>
  <c r="AV291" i="4"/>
  <c r="BB243" i="4"/>
  <c r="AV338" i="4"/>
  <c r="BB338" i="4"/>
  <c r="AV243" i="4"/>
  <c r="BB291" i="4"/>
  <c r="BH338" i="4"/>
  <c r="AP338" i="4"/>
  <c r="AP243" i="4"/>
  <c r="AP291" i="4"/>
  <c r="BH337" i="4"/>
  <c r="BB299" i="4"/>
  <c r="AV337" i="4"/>
  <c r="BH244" i="4"/>
  <c r="BH299" i="4"/>
  <c r="AV244" i="4"/>
  <c r="BB337" i="4"/>
  <c r="AV299" i="4"/>
  <c r="BB244" i="4"/>
  <c r="AP299" i="4"/>
  <c r="AP244" i="4"/>
  <c r="AP337" i="4"/>
  <c r="BH321" i="4"/>
  <c r="AV496" i="4"/>
  <c r="AV257" i="4"/>
  <c r="BB437" i="4"/>
  <c r="AV321" i="4"/>
  <c r="BB496" i="4"/>
  <c r="BB257" i="4"/>
  <c r="BH437" i="4"/>
  <c r="BH257" i="4"/>
  <c r="BB321" i="4"/>
  <c r="BH496" i="4"/>
  <c r="AV437" i="4"/>
  <c r="AP321" i="4"/>
  <c r="AP437" i="4"/>
  <c r="AP257" i="4"/>
  <c r="AP496" i="4"/>
  <c r="BB499" i="4"/>
  <c r="BH380" i="4"/>
  <c r="AV499" i="4"/>
  <c r="BH499" i="4"/>
  <c r="BB363" i="4"/>
  <c r="AV380" i="4"/>
  <c r="AV363" i="4"/>
  <c r="BH363" i="4"/>
  <c r="BB380" i="4"/>
  <c r="AP363" i="4"/>
  <c r="AP499" i="4"/>
  <c r="AP380" i="4"/>
  <c r="BH398" i="4"/>
  <c r="BB328" i="4"/>
  <c r="BB245" i="4"/>
  <c r="AV345" i="4"/>
  <c r="BH418" i="4"/>
  <c r="AV328" i="4"/>
  <c r="BH328" i="4"/>
  <c r="AV298" i="4"/>
  <c r="AV398" i="4"/>
  <c r="AV418" i="4"/>
  <c r="BB345" i="4"/>
  <c r="BB418" i="4"/>
  <c r="BH345" i="4"/>
  <c r="BB298" i="4"/>
  <c r="BB398" i="4"/>
  <c r="AV245" i="4"/>
  <c r="BH298" i="4"/>
  <c r="BH245" i="4"/>
  <c r="AP345" i="4"/>
  <c r="AP245" i="4"/>
  <c r="AP398" i="4"/>
  <c r="AP328" i="4"/>
  <c r="AP298" i="4"/>
  <c r="AP418" i="4"/>
  <c r="S7" i="43"/>
  <c r="S14" i="45"/>
  <c r="S15" i="45"/>
  <c r="S18" i="45"/>
  <c r="S12" i="45"/>
  <c r="S20" i="45"/>
  <c r="S21" i="45"/>
  <c r="S11" i="45"/>
  <c r="S19" i="45"/>
  <c r="T22" i="46"/>
  <c r="S5" i="43"/>
  <c r="AG6" i="75"/>
  <c r="AB6" i="75"/>
  <c r="T6" i="75" s="1"/>
  <c r="M155" i="75"/>
  <c r="T16" i="46"/>
  <c r="T12" i="46"/>
  <c r="T20" i="46"/>
  <c r="T14" i="46"/>
  <c r="T21" i="46"/>
  <c r="T17" i="46"/>
  <c r="T8" i="46"/>
  <c r="T13" i="46"/>
  <c r="T18" i="46"/>
  <c r="T15" i="46"/>
  <c r="AA6" i="37"/>
  <c r="N155" i="75" l="1"/>
  <c r="AD8" i="48"/>
  <c r="AD10" i="48"/>
  <c r="AD11" i="48"/>
  <c r="AD12" i="48"/>
  <c r="AD9" i="48"/>
  <c r="V14" i="48"/>
  <c r="V13" i="48"/>
  <c r="AD7" i="48"/>
  <c r="AE7" i="48"/>
  <c r="AH7" i="48"/>
  <c r="AI7" i="48"/>
  <c r="AM7" i="48"/>
  <c r="AP7" i="48"/>
  <c r="AQ7" i="48"/>
  <c r="AE8" i="48"/>
  <c r="AH8" i="48"/>
  <c r="AI8" i="48"/>
  <c r="AM8" i="48"/>
  <c r="AP8" i="48"/>
  <c r="AQ8" i="48"/>
  <c r="AE9" i="48"/>
  <c r="AH9" i="48"/>
  <c r="AI9" i="48"/>
  <c r="AM9" i="48"/>
  <c r="AP9" i="48"/>
  <c r="AQ9" i="48"/>
  <c r="AE10" i="48"/>
  <c r="AH10" i="48"/>
  <c r="AI10" i="48"/>
  <c r="AM10" i="48"/>
  <c r="AP10" i="48"/>
  <c r="AQ10" i="48"/>
  <c r="AE11" i="48"/>
  <c r="AH11" i="48"/>
  <c r="AI11" i="48"/>
  <c r="AM11" i="48"/>
  <c r="AP11" i="48"/>
  <c r="AQ11" i="48"/>
  <c r="AE12" i="48"/>
  <c r="AH12" i="48"/>
  <c r="AI12" i="48"/>
  <c r="AM12" i="48"/>
  <c r="AP12" i="48"/>
  <c r="AQ12" i="48"/>
  <c r="B12" i="48"/>
  <c r="B7" i="48"/>
  <c r="B6" i="48"/>
  <c r="B5" i="48"/>
  <c r="B4" i="48"/>
  <c r="AQ20" i="51"/>
  <c r="AQ21" i="51"/>
  <c r="AQ22" i="51"/>
  <c r="AQ23" i="51"/>
  <c r="AQ24" i="51"/>
  <c r="AE20" i="51"/>
  <c r="AF20" i="51"/>
  <c r="AG20" i="51"/>
  <c r="AH20" i="51"/>
  <c r="AI20" i="51"/>
  <c r="AJ20" i="51"/>
  <c r="AK20" i="51"/>
  <c r="AM20" i="51"/>
  <c r="AN20" i="51"/>
  <c r="AP20" i="51"/>
  <c r="AS20" i="51"/>
  <c r="AU20" i="51"/>
  <c r="AV20" i="51"/>
  <c r="AE21" i="51"/>
  <c r="AF21" i="51"/>
  <c r="AG21" i="51"/>
  <c r="AH21" i="51"/>
  <c r="AI21" i="51"/>
  <c r="AJ21" i="51"/>
  <c r="AK21" i="51"/>
  <c r="AM21" i="51"/>
  <c r="AN21" i="51"/>
  <c r="AP21" i="51"/>
  <c r="AS21" i="51"/>
  <c r="AU21" i="51"/>
  <c r="AV21" i="51"/>
  <c r="AE22" i="51"/>
  <c r="AF22" i="51"/>
  <c r="AG22" i="51"/>
  <c r="AH22" i="51"/>
  <c r="AI22" i="51"/>
  <c r="AJ22" i="51"/>
  <c r="AK22" i="51"/>
  <c r="AM22" i="51"/>
  <c r="AN22" i="51"/>
  <c r="AP22" i="51"/>
  <c r="AS22" i="51"/>
  <c r="AU22" i="51"/>
  <c r="AV22" i="51"/>
  <c r="AE23" i="51"/>
  <c r="AF23" i="51"/>
  <c r="AG23" i="51"/>
  <c r="AH23" i="51"/>
  <c r="AI23" i="51"/>
  <c r="AJ23" i="51"/>
  <c r="AK23" i="51"/>
  <c r="AM23" i="51"/>
  <c r="AN23" i="51"/>
  <c r="AP23" i="51"/>
  <c r="AS23" i="51"/>
  <c r="AU23" i="51"/>
  <c r="AV23" i="51"/>
  <c r="AE24" i="51"/>
  <c r="AF24" i="51"/>
  <c r="AG24" i="51"/>
  <c r="AH24" i="51"/>
  <c r="AI24" i="51"/>
  <c r="AJ24" i="51"/>
  <c r="AK24" i="51"/>
  <c r="AM24" i="51"/>
  <c r="AN24" i="51"/>
  <c r="AP24" i="51"/>
  <c r="AS24" i="51"/>
  <c r="AU24" i="51"/>
  <c r="AV24" i="51"/>
  <c r="B24" i="51"/>
  <c r="B23" i="51"/>
  <c r="B22" i="51"/>
  <c r="B21" i="51"/>
  <c r="B20" i="51"/>
  <c r="AE4" i="51"/>
  <c r="AE5" i="51"/>
  <c r="Z13" i="48" l="1"/>
  <c r="BH376" i="4"/>
  <c r="BB376" i="4"/>
  <c r="AV376" i="4"/>
  <c r="AP376" i="4"/>
  <c r="BH260" i="4"/>
  <c r="BB260" i="4"/>
  <c r="AV260" i="4"/>
  <c r="BH449" i="4"/>
  <c r="BH359" i="4"/>
  <c r="BB449" i="4"/>
  <c r="BB359" i="4"/>
  <c r="AV449" i="4"/>
  <c r="AV359" i="4"/>
  <c r="AP359" i="4"/>
  <c r="AP260" i="4"/>
  <c r="AP449" i="4"/>
  <c r="Z14" i="48"/>
  <c r="O155" i="75"/>
  <c r="B10" i="48"/>
  <c r="B8" i="48"/>
  <c r="B11" i="48"/>
  <c r="B9" i="48"/>
  <c r="P155" i="75" l="1"/>
  <c r="Q155" i="75" l="1"/>
  <c r="AF5" i="51"/>
  <c r="AG5" i="51"/>
  <c r="AH5" i="51"/>
  <c r="AI5" i="51"/>
  <c r="AJ5" i="51"/>
  <c r="AK5" i="51"/>
  <c r="AM5" i="51"/>
  <c r="AN5" i="51"/>
  <c r="AP5" i="51"/>
  <c r="AQ5" i="51"/>
  <c r="AS5" i="51"/>
  <c r="AU5" i="51"/>
  <c r="AV5" i="51"/>
  <c r="AE6" i="51"/>
  <c r="AF6" i="51"/>
  <c r="AG6" i="51"/>
  <c r="AH6" i="51"/>
  <c r="AI6" i="51"/>
  <c r="AJ6" i="51"/>
  <c r="AK6" i="51"/>
  <c r="AM6" i="51"/>
  <c r="AN6" i="51"/>
  <c r="AP6" i="51"/>
  <c r="AQ6" i="51"/>
  <c r="AS6" i="51"/>
  <c r="AU6" i="51"/>
  <c r="AV6" i="51"/>
  <c r="AE7" i="51"/>
  <c r="AF7" i="51"/>
  <c r="AG7" i="51"/>
  <c r="AH7" i="51"/>
  <c r="AI7" i="51"/>
  <c r="AJ7" i="51"/>
  <c r="AK7" i="51"/>
  <c r="AM7" i="51"/>
  <c r="AN7" i="51"/>
  <c r="AP7" i="51"/>
  <c r="AQ7" i="51"/>
  <c r="AS7" i="51"/>
  <c r="AU7" i="51"/>
  <c r="AV7" i="51"/>
  <c r="AE8" i="51"/>
  <c r="AF8" i="51"/>
  <c r="AG8" i="51"/>
  <c r="AH8" i="51"/>
  <c r="AI8" i="51"/>
  <c r="AJ8" i="51"/>
  <c r="AK8" i="51"/>
  <c r="AM8" i="51"/>
  <c r="AN8" i="51"/>
  <c r="AP8" i="51"/>
  <c r="AQ8" i="51"/>
  <c r="AS8" i="51"/>
  <c r="AU8" i="51"/>
  <c r="AV8" i="51"/>
  <c r="AE9" i="51"/>
  <c r="AF9" i="51"/>
  <c r="AG9" i="51"/>
  <c r="AH9" i="51"/>
  <c r="AI9" i="51"/>
  <c r="AJ9" i="51"/>
  <c r="AK9" i="51"/>
  <c r="AM9" i="51"/>
  <c r="AN9" i="51"/>
  <c r="AP9" i="51"/>
  <c r="AQ9" i="51"/>
  <c r="AS9" i="51"/>
  <c r="AU9" i="51"/>
  <c r="AV9" i="51"/>
  <c r="AE10" i="51"/>
  <c r="AF10" i="51"/>
  <c r="AG10" i="51"/>
  <c r="AH10" i="51"/>
  <c r="AI10" i="51"/>
  <c r="AJ10" i="51"/>
  <c r="AK10" i="51"/>
  <c r="AM10" i="51"/>
  <c r="AN10" i="51"/>
  <c r="AP10" i="51"/>
  <c r="AQ10" i="51"/>
  <c r="AS10" i="51"/>
  <c r="AU10" i="51"/>
  <c r="AV10" i="51"/>
  <c r="AE11" i="51"/>
  <c r="AF11" i="51"/>
  <c r="AG11" i="51"/>
  <c r="AH11" i="51"/>
  <c r="AI11" i="51"/>
  <c r="AJ11" i="51"/>
  <c r="AK11" i="51"/>
  <c r="AM11" i="51"/>
  <c r="AN11" i="51"/>
  <c r="AP11" i="51"/>
  <c r="AQ11" i="51"/>
  <c r="AS11" i="51"/>
  <c r="AU11" i="51"/>
  <c r="AV11" i="51"/>
  <c r="AE12" i="51"/>
  <c r="AF12" i="51"/>
  <c r="AG12" i="51"/>
  <c r="AH12" i="51"/>
  <c r="AI12" i="51"/>
  <c r="AJ12" i="51"/>
  <c r="AK12" i="51"/>
  <c r="AM12" i="51"/>
  <c r="AN12" i="51"/>
  <c r="AP12" i="51"/>
  <c r="AQ12" i="51"/>
  <c r="AS12" i="51"/>
  <c r="AU12" i="51"/>
  <c r="AV12" i="51"/>
  <c r="AE13" i="51"/>
  <c r="AF13" i="51"/>
  <c r="AG13" i="51"/>
  <c r="AH13" i="51"/>
  <c r="AI13" i="51"/>
  <c r="AJ13" i="51"/>
  <c r="AK13" i="51"/>
  <c r="AM13" i="51"/>
  <c r="AN13" i="51"/>
  <c r="AP13" i="51"/>
  <c r="AQ13" i="51"/>
  <c r="AS13" i="51"/>
  <c r="AU13" i="51"/>
  <c r="AV13" i="51"/>
  <c r="AE14" i="51"/>
  <c r="AF14" i="51"/>
  <c r="AG14" i="51"/>
  <c r="AH14" i="51"/>
  <c r="AI14" i="51"/>
  <c r="AJ14" i="51"/>
  <c r="AK14" i="51"/>
  <c r="AM14" i="51"/>
  <c r="AN14" i="51"/>
  <c r="AP14" i="51"/>
  <c r="AQ14" i="51"/>
  <c r="AS14" i="51"/>
  <c r="AU14" i="51"/>
  <c r="AV14" i="51"/>
  <c r="AE15" i="51"/>
  <c r="AF15" i="51"/>
  <c r="AG15" i="51"/>
  <c r="AH15" i="51"/>
  <c r="AI15" i="51"/>
  <c r="AJ15" i="51"/>
  <c r="AK15" i="51"/>
  <c r="AM15" i="51"/>
  <c r="AN15" i="51"/>
  <c r="AP15" i="51"/>
  <c r="AQ15" i="51"/>
  <c r="AS15" i="51"/>
  <c r="AU15" i="51"/>
  <c r="AV15" i="51"/>
  <c r="AE16" i="51"/>
  <c r="AF16" i="51"/>
  <c r="AG16" i="51"/>
  <c r="AH16" i="51"/>
  <c r="AI16" i="51"/>
  <c r="AJ16" i="51"/>
  <c r="AK16" i="51"/>
  <c r="AM16" i="51"/>
  <c r="AN16" i="51"/>
  <c r="AP16" i="51"/>
  <c r="AQ16" i="51"/>
  <c r="AS16" i="51"/>
  <c r="AU16" i="51"/>
  <c r="AV16" i="51"/>
  <c r="AE17" i="51"/>
  <c r="AF17" i="51"/>
  <c r="AG17" i="51"/>
  <c r="AH17" i="51"/>
  <c r="AI17" i="51"/>
  <c r="AJ17" i="51"/>
  <c r="AK17" i="51"/>
  <c r="AM17" i="51"/>
  <c r="AN17" i="51"/>
  <c r="AP17" i="51"/>
  <c r="AQ17" i="51"/>
  <c r="AS17" i="51"/>
  <c r="AU17" i="51"/>
  <c r="AV17" i="51"/>
  <c r="AE18" i="51"/>
  <c r="AF18" i="51"/>
  <c r="AG18" i="51"/>
  <c r="AH18" i="51"/>
  <c r="AI18" i="51"/>
  <c r="AJ18" i="51"/>
  <c r="AK18" i="51"/>
  <c r="AM18" i="51"/>
  <c r="AN18" i="51"/>
  <c r="AP18" i="51"/>
  <c r="AQ18" i="51"/>
  <c r="AS18" i="51"/>
  <c r="AU18" i="51"/>
  <c r="AV18" i="51"/>
  <c r="AE19" i="51"/>
  <c r="AF19" i="51"/>
  <c r="AG19" i="51"/>
  <c r="AH19" i="51"/>
  <c r="AI19" i="51"/>
  <c r="AJ19" i="51"/>
  <c r="AK19" i="51"/>
  <c r="AM19" i="51"/>
  <c r="AN19" i="51"/>
  <c r="AP19" i="51"/>
  <c r="AQ19" i="51"/>
  <c r="AS19" i="51"/>
  <c r="AU19" i="51"/>
  <c r="AV19" i="51"/>
  <c r="AF4" i="51"/>
  <c r="AG4" i="51"/>
  <c r="AH4" i="51"/>
  <c r="AI4" i="51"/>
  <c r="AJ4" i="51"/>
  <c r="AK4" i="51"/>
  <c r="AM4" i="51"/>
  <c r="AN4" i="51"/>
  <c r="AP4" i="51"/>
  <c r="AQ4" i="51"/>
  <c r="AS4" i="51"/>
  <c r="AU4" i="51"/>
  <c r="AV4" i="51"/>
  <c r="R155" i="75" l="1"/>
  <c r="B11" i="51"/>
  <c r="B13" i="51" s="1"/>
  <c r="B15" i="51" s="1"/>
  <c r="B17" i="51" s="1"/>
  <c r="B19" i="51" s="1"/>
  <c r="B10" i="51"/>
  <c r="B12" i="51" s="1"/>
  <c r="B14" i="51" s="1"/>
  <c r="B16" i="51" s="1"/>
  <c r="B18" i="51" s="1"/>
  <c r="B9" i="51"/>
  <c r="B8" i="51"/>
  <c r="B7" i="51"/>
  <c r="B6" i="51"/>
  <c r="B5" i="51"/>
  <c r="B4" i="51"/>
  <c r="S155" i="75" l="1"/>
  <c r="T5" i="44"/>
  <c r="Z5" i="44"/>
  <c r="AA5" i="44"/>
  <c r="S5" i="44" s="1"/>
  <c r="B5" i="44"/>
  <c r="C5" i="44"/>
  <c r="U5" i="38"/>
  <c r="B20" i="38"/>
  <c r="U4" i="38" s="1"/>
  <c r="T5" i="38"/>
  <c r="V5" i="38"/>
  <c r="C137" i="71"/>
  <c r="F136" i="71"/>
  <c r="G136" i="71" s="1"/>
  <c r="H136" i="71" s="1"/>
  <c r="I136" i="71" s="1"/>
  <c r="J136" i="71" s="1"/>
  <c r="K136" i="71" s="1"/>
  <c r="L136" i="71" s="1"/>
  <c r="M136" i="71" s="1"/>
  <c r="N136" i="71" s="1"/>
  <c r="O136" i="71" s="1"/>
  <c r="F130" i="71"/>
  <c r="AE22" i="71" s="1"/>
  <c r="F129" i="71"/>
  <c r="F128" i="71"/>
  <c r="F127" i="71"/>
  <c r="F126" i="71"/>
  <c r="AE6" i="71" s="1"/>
  <c r="F125" i="71"/>
  <c r="E116" i="71"/>
  <c r="D116" i="71"/>
  <c r="AJ16" i="71" s="1"/>
  <c r="C116" i="71"/>
  <c r="AJ22" i="71" s="1"/>
  <c r="E88" i="71"/>
  <c r="D88" i="71"/>
  <c r="C88" i="71"/>
  <c r="AQ22" i="71"/>
  <c r="AP22" i="71"/>
  <c r="AM22" i="71"/>
  <c r="AL22" i="71"/>
  <c r="AK22" i="71"/>
  <c r="AI22" i="71"/>
  <c r="AG22" i="71"/>
  <c r="AF22" i="71"/>
  <c r="AD22" i="71"/>
  <c r="AC22" i="71"/>
  <c r="AA22" i="71"/>
  <c r="F22" i="71"/>
  <c r="B22" i="71"/>
  <c r="AQ21" i="71"/>
  <c r="AP21" i="71"/>
  <c r="AM21" i="71"/>
  <c r="AL21" i="71"/>
  <c r="AK21" i="71"/>
  <c r="AJ21" i="71"/>
  <c r="AI21" i="71"/>
  <c r="AG21" i="71"/>
  <c r="AF21" i="71"/>
  <c r="AE21" i="71"/>
  <c r="AD21" i="71"/>
  <c r="AC21" i="71"/>
  <c r="AA21" i="71"/>
  <c r="F21" i="71"/>
  <c r="B21" i="71"/>
  <c r="AQ20" i="71"/>
  <c r="AP20" i="71"/>
  <c r="AM20" i="71"/>
  <c r="AL20" i="71"/>
  <c r="AK20" i="71"/>
  <c r="AJ20" i="71"/>
  <c r="AI20" i="71"/>
  <c r="AG20" i="71"/>
  <c r="AF20" i="71"/>
  <c r="AE20" i="71"/>
  <c r="AD20" i="71"/>
  <c r="AC20" i="71"/>
  <c r="AB20" i="71"/>
  <c r="AA20" i="71"/>
  <c r="F20" i="71"/>
  <c r="B20" i="71"/>
  <c r="AQ19" i="71"/>
  <c r="AP19" i="71"/>
  <c r="AM19" i="71"/>
  <c r="AL19" i="71"/>
  <c r="AK19" i="71"/>
  <c r="AJ19" i="71"/>
  <c r="AI19" i="71"/>
  <c r="AG19" i="71"/>
  <c r="AF19" i="71"/>
  <c r="AE19" i="71"/>
  <c r="AD19" i="71"/>
  <c r="AC19" i="71"/>
  <c r="AB19" i="71"/>
  <c r="AA19" i="71"/>
  <c r="F19" i="71"/>
  <c r="B19" i="71"/>
  <c r="AQ18" i="71"/>
  <c r="AP18" i="71"/>
  <c r="AM18" i="71"/>
  <c r="AL18" i="71"/>
  <c r="AK18" i="71"/>
  <c r="AJ18" i="71"/>
  <c r="AI18" i="71"/>
  <c r="AG18" i="71"/>
  <c r="AF18" i="71"/>
  <c r="AE18" i="71"/>
  <c r="AD18" i="71"/>
  <c r="AC18" i="71"/>
  <c r="AB18" i="71"/>
  <c r="AA18" i="71"/>
  <c r="F18" i="71"/>
  <c r="B18" i="71"/>
  <c r="AQ17" i="71"/>
  <c r="AP17" i="71"/>
  <c r="AM17" i="71"/>
  <c r="AL17" i="71"/>
  <c r="AK17" i="71"/>
  <c r="AJ17" i="71"/>
  <c r="AI17" i="71"/>
  <c r="AG17" i="71"/>
  <c r="AF17" i="71"/>
  <c r="AD17" i="71"/>
  <c r="AC17" i="71"/>
  <c r="AB17" i="71"/>
  <c r="AA17" i="71"/>
  <c r="F17" i="71"/>
  <c r="B17" i="71"/>
  <c r="AQ16" i="71"/>
  <c r="AP16" i="71"/>
  <c r="AM16" i="71"/>
  <c r="AL16" i="71"/>
  <c r="AK16" i="71"/>
  <c r="AI16" i="71"/>
  <c r="AG16" i="71"/>
  <c r="AF16" i="71"/>
  <c r="AD16" i="71"/>
  <c r="AC16" i="71"/>
  <c r="AA16" i="71"/>
  <c r="F16" i="71"/>
  <c r="B16" i="71"/>
  <c r="AQ15" i="71"/>
  <c r="AP15" i="71"/>
  <c r="AM15" i="71"/>
  <c r="AL15" i="71"/>
  <c r="AK15" i="71"/>
  <c r="AJ15" i="71"/>
  <c r="AI15" i="71"/>
  <c r="AH15" i="71"/>
  <c r="AG15" i="71"/>
  <c r="AF15" i="71"/>
  <c r="AD15" i="71"/>
  <c r="AC15" i="71"/>
  <c r="AA15" i="71"/>
  <c r="F15" i="71"/>
  <c r="B15" i="71"/>
  <c r="AQ14" i="71"/>
  <c r="AP14" i="71"/>
  <c r="AM14" i="71"/>
  <c r="AL14" i="71"/>
  <c r="AK14" i="71"/>
  <c r="AI14" i="71"/>
  <c r="AG14" i="71"/>
  <c r="AF14" i="71"/>
  <c r="AD14" i="71"/>
  <c r="AC14" i="71"/>
  <c r="AB14" i="71"/>
  <c r="AA14" i="71"/>
  <c r="F14" i="71"/>
  <c r="B14" i="71"/>
  <c r="AQ13" i="71"/>
  <c r="AP13" i="71"/>
  <c r="AM13" i="71"/>
  <c r="AL13" i="71"/>
  <c r="AK13" i="71"/>
  <c r="AI13" i="71"/>
  <c r="AG13" i="71"/>
  <c r="AF13" i="71"/>
  <c r="AC13" i="71"/>
  <c r="AB13" i="71"/>
  <c r="AA13" i="71"/>
  <c r="F13" i="71"/>
  <c r="B13" i="71"/>
  <c r="AQ12" i="71"/>
  <c r="AP12" i="71"/>
  <c r="AM12" i="71"/>
  <c r="AL12" i="71"/>
  <c r="AK12" i="71"/>
  <c r="AJ12" i="71"/>
  <c r="AI12" i="71"/>
  <c r="AG12" i="71"/>
  <c r="AF12" i="71"/>
  <c r="AE12" i="71"/>
  <c r="AD12" i="71"/>
  <c r="AC12" i="71"/>
  <c r="AB12" i="71"/>
  <c r="AA12" i="71"/>
  <c r="F12" i="71"/>
  <c r="B12" i="71"/>
  <c r="AQ11" i="71"/>
  <c r="AP11" i="71"/>
  <c r="AM11" i="71"/>
  <c r="AL11" i="71"/>
  <c r="AK11" i="71"/>
  <c r="AJ11" i="71"/>
  <c r="AI11" i="71"/>
  <c r="AG11" i="71"/>
  <c r="AF11" i="71"/>
  <c r="AE11" i="71"/>
  <c r="AD11" i="71"/>
  <c r="AC11" i="71"/>
  <c r="AA11" i="71"/>
  <c r="F11" i="71"/>
  <c r="B11" i="71"/>
  <c r="AQ10" i="71"/>
  <c r="AP10" i="71"/>
  <c r="AM10" i="71"/>
  <c r="AL10" i="71"/>
  <c r="AK10" i="71"/>
  <c r="AJ10" i="71"/>
  <c r="AI10" i="71"/>
  <c r="AG10" i="71"/>
  <c r="AF10" i="71"/>
  <c r="AE10" i="71"/>
  <c r="AD10" i="71"/>
  <c r="AC10" i="71"/>
  <c r="AA10" i="71"/>
  <c r="F10" i="71"/>
  <c r="B10" i="71"/>
  <c r="AQ9" i="71"/>
  <c r="AP9" i="71"/>
  <c r="AM9" i="71"/>
  <c r="AL9" i="71"/>
  <c r="AK9" i="71"/>
  <c r="AI9" i="71"/>
  <c r="AG9" i="71"/>
  <c r="AF9" i="71"/>
  <c r="AE9" i="71"/>
  <c r="AD9" i="71"/>
  <c r="AC9" i="71"/>
  <c r="AB9" i="71"/>
  <c r="AA9" i="71"/>
  <c r="F9" i="71"/>
  <c r="B9" i="71"/>
  <c r="AQ8" i="71"/>
  <c r="AP8" i="71"/>
  <c r="AM8" i="71"/>
  <c r="AL8" i="71"/>
  <c r="AK8" i="71"/>
  <c r="AI8" i="71"/>
  <c r="AG8" i="71"/>
  <c r="AF8" i="71"/>
  <c r="AE8" i="71"/>
  <c r="AD8" i="71"/>
  <c r="AC8" i="71"/>
  <c r="AB8" i="71"/>
  <c r="AA8" i="71"/>
  <c r="F8" i="71"/>
  <c r="B8" i="71"/>
  <c r="AQ7" i="71"/>
  <c r="AP7" i="71"/>
  <c r="AM7" i="71"/>
  <c r="AL7" i="71"/>
  <c r="AK7" i="71"/>
  <c r="AJ7" i="71"/>
  <c r="AI7" i="71"/>
  <c r="AG7" i="71"/>
  <c r="AF7" i="71"/>
  <c r="AE7" i="71"/>
  <c r="AD7" i="71"/>
  <c r="AC7" i="71"/>
  <c r="AA7" i="71"/>
  <c r="F7" i="71"/>
  <c r="B7" i="71"/>
  <c r="AQ6" i="71"/>
  <c r="AP6" i="71"/>
  <c r="AM6" i="71"/>
  <c r="AL6" i="71"/>
  <c r="AK6" i="71"/>
  <c r="AI6" i="71"/>
  <c r="AG6" i="71"/>
  <c r="AF6" i="71"/>
  <c r="AD6" i="71"/>
  <c r="AC6" i="71"/>
  <c r="AB6" i="71"/>
  <c r="AA6" i="71"/>
  <c r="F6" i="71"/>
  <c r="B6" i="71"/>
  <c r="AQ5" i="71"/>
  <c r="AP5" i="71"/>
  <c r="AM5" i="71"/>
  <c r="AL5" i="71"/>
  <c r="AK5" i="71"/>
  <c r="AJ5" i="71"/>
  <c r="AI5" i="71"/>
  <c r="AH5" i="71"/>
  <c r="AG5" i="71"/>
  <c r="AF5" i="71"/>
  <c r="AE5" i="71"/>
  <c r="AD5" i="71"/>
  <c r="AC5" i="71"/>
  <c r="AB5" i="71"/>
  <c r="AA5" i="71"/>
  <c r="F5" i="71"/>
  <c r="B5" i="71"/>
  <c r="AQ4" i="71"/>
  <c r="AP4" i="71"/>
  <c r="AM4" i="71"/>
  <c r="AL4" i="71"/>
  <c r="AK4" i="71"/>
  <c r="AJ4" i="71"/>
  <c r="AI4" i="71"/>
  <c r="AG4" i="71"/>
  <c r="AF4" i="71"/>
  <c r="AE4" i="71"/>
  <c r="AD4" i="71"/>
  <c r="AC4" i="71"/>
  <c r="AB4" i="71"/>
  <c r="AA4" i="71"/>
  <c r="F4" i="71"/>
  <c r="B4" i="71"/>
  <c r="W12" i="39"/>
  <c r="W11" i="39"/>
  <c r="W10" i="39"/>
  <c r="W9" i="39"/>
  <c r="W8" i="39"/>
  <c r="W7" i="39"/>
  <c r="W6" i="39"/>
  <c r="W5" i="39"/>
  <c r="W4" i="39"/>
  <c r="AO7" i="71" l="1"/>
  <c r="AO11" i="71"/>
  <c r="AO4" i="71"/>
  <c r="AO18" i="71"/>
  <c r="AO20" i="71"/>
  <c r="AO22" i="71"/>
  <c r="AJ6" i="71"/>
  <c r="AJ8" i="71"/>
  <c r="AO8" i="71" s="1"/>
  <c r="AJ9" i="71"/>
  <c r="P5" i="38"/>
  <c r="S5" i="71"/>
  <c r="V5" i="71" s="1"/>
  <c r="AO12" i="71"/>
  <c r="AJ13" i="71"/>
  <c r="AE14" i="71"/>
  <c r="AJ14" i="71"/>
  <c r="AO14" i="71" s="1"/>
  <c r="AE15" i="71"/>
  <c r="S15" i="71" s="1"/>
  <c r="T155" i="75"/>
  <c r="O5" i="44"/>
  <c r="AH20" i="71"/>
  <c r="S20" i="71" s="1"/>
  <c r="AH19" i="71"/>
  <c r="S19" i="71" s="1"/>
  <c r="AH18" i="71"/>
  <c r="S18" i="71" s="1"/>
  <c r="AH14" i="71"/>
  <c r="S14" i="71" s="1"/>
  <c r="AH9" i="71"/>
  <c r="S9" i="71" s="1"/>
  <c r="V9" i="71" s="1"/>
  <c r="AH17" i="71"/>
  <c r="AH13" i="71"/>
  <c r="AH12" i="71"/>
  <c r="S12" i="71" s="1"/>
  <c r="AH8" i="71"/>
  <c r="AH4" i="71"/>
  <c r="S4" i="71" s="1"/>
  <c r="AO5" i="71"/>
  <c r="AO15" i="71"/>
  <c r="AH21" i="71"/>
  <c r="S21" i="71" s="1"/>
  <c r="AH22" i="71"/>
  <c r="S22" i="71" s="1"/>
  <c r="AH6" i="71"/>
  <c r="S6" i="71" s="1"/>
  <c r="AN6" i="71" s="1"/>
  <c r="AH7" i="71"/>
  <c r="S7" i="71" s="1"/>
  <c r="S8" i="71"/>
  <c r="AH10" i="71"/>
  <c r="S10" i="71" s="1"/>
  <c r="V10" i="71" s="1"/>
  <c r="AH11" i="71"/>
  <c r="S11" i="71" s="1"/>
  <c r="AO21" i="71"/>
  <c r="AE17" i="71"/>
  <c r="S17" i="71" s="1"/>
  <c r="AE13" i="71"/>
  <c r="AO13" i="71" s="1"/>
  <c r="AE16" i="71"/>
  <c r="AO16" i="71" s="1"/>
  <c r="AO6" i="71"/>
  <c r="AO9" i="71"/>
  <c r="AO10" i="71"/>
  <c r="AH16" i="71"/>
  <c r="S16" i="71" s="1"/>
  <c r="AO19" i="71"/>
  <c r="AB22" i="71"/>
  <c r="AB16" i="71"/>
  <c r="AB11" i="71"/>
  <c r="AB7" i="71"/>
  <c r="AB21" i="71"/>
  <c r="AB15" i="71"/>
  <c r="AB10" i="71"/>
  <c r="AN10" i="71" s="1"/>
  <c r="BH221" i="4" l="1"/>
  <c r="BB221" i="4"/>
  <c r="AV221" i="4"/>
  <c r="AP221" i="4"/>
  <c r="AN21" i="71"/>
  <c r="AN22" i="71"/>
  <c r="AN15" i="71"/>
  <c r="AV533" i="4"/>
  <c r="BB533" i="4"/>
  <c r="BH533" i="4"/>
  <c r="AP533" i="4"/>
  <c r="BH331" i="4"/>
  <c r="BH287" i="4"/>
  <c r="BB287" i="4"/>
  <c r="AV331" i="4"/>
  <c r="AV287" i="4"/>
  <c r="BB331" i="4"/>
  <c r="AP331" i="4"/>
  <c r="AP287" i="4"/>
  <c r="AN19" i="71"/>
  <c r="AV387" i="4"/>
  <c r="BB387" i="4"/>
  <c r="BH387" i="4"/>
  <c r="AP387" i="4"/>
  <c r="BH407" i="4"/>
  <c r="AV407" i="4"/>
  <c r="BB407" i="4"/>
  <c r="AP407" i="4"/>
  <c r="BB286" i="4"/>
  <c r="BH286" i="4"/>
  <c r="AV332" i="4"/>
  <c r="BH332" i="4"/>
  <c r="AV286" i="4"/>
  <c r="BB332" i="4"/>
  <c r="AP286" i="4"/>
  <c r="AP332" i="4"/>
  <c r="AV353" i="4"/>
  <c r="BB353" i="4"/>
  <c r="BH353" i="4"/>
  <c r="AP353" i="4"/>
  <c r="BB406" i="4"/>
  <c r="BH406" i="4"/>
  <c r="AV406" i="4"/>
  <c r="AP406" i="4"/>
  <c r="BH370" i="4"/>
  <c r="BB370" i="4"/>
  <c r="AV370" i="4"/>
  <c r="AP370" i="4"/>
  <c r="BH248" i="4"/>
  <c r="AV288" i="4"/>
  <c r="BH288" i="4"/>
  <c r="BB248" i="4"/>
  <c r="BB288" i="4"/>
  <c r="AV248" i="4"/>
  <c r="AP248" i="4"/>
  <c r="AP288" i="4"/>
  <c r="AN5" i="71"/>
  <c r="BB266" i="4"/>
  <c r="AV446" i="4"/>
  <c r="BH266" i="4"/>
  <c r="BB446" i="4"/>
  <c r="AV500" i="4"/>
  <c r="AV315" i="4"/>
  <c r="BH500" i="4"/>
  <c r="BH446" i="4"/>
  <c r="BB500" i="4"/>
  <c r="BB315" i="4"/>
  <c r="BH315" i="4"/>
  <c r="AV266" i="4"/>
  <c r="AP500" i="4"/>
  <c r="AP315" i="4"/>
  <c r="AP266" i="4"/>
  <c r="AP446" i="4"/>
  <c r="AP375" i="4"/>
  <c r="AP358" i="4"/>
  <c r="V7" i="71"/>
  <c r="V15" i="71"/>
  <c r="V20" i="71"/>
  <c r="AO17" i="71"/>
  <c r="AN7" i="71"/>
  <c r="V14" i="71"/>
  <c r="AN20" i="71"/>
  <c r="V22" i="71"/>
  <c r="P115" i="71"/>
  <c r="Q115" i="71" s="1"/>
  <c r="V21" i="71"/>
  <c r="V19" i="71"/>
  <c r="R5" i="44"/>
  <c r="S5" i="38"/>
  <c r="U155" i="75"/>
  <c r="V11" i="71"/>
  <c r="AN11" i="71"/>
  <c r="P112" i="71"/>
  <c r="Q112" i="71" s="1"/>
  <c r="V16" i="71"/>
  <c r="V12" i="71"/>
  <c r="AN12" i="71"/>
  <c r="C143" i="71"/>
  <c r="C146" i="71"/>
  <c r="AN16" i="71"/>
  <c r="T117" i="71"/>
  <c r="U117" i="71" s="1"/>
  <c r="C142" i="71"/>
  <c r="V8" i="71"/>
  <c r="AN8" i="71"/>
  <c r="P113" i="71"/>
  <c r="Q113" i="71" s="1"/>
  <c r="V4" i="71"/>
  <c r="V18" i="71"/>
  <c r="P116" i="71"/>
  <c r="Q116" i="71" s="1"/>
  <c r="P117" i="71"/>
  <c r="Q117" i="71" s="1"/>
  <c r="V6" i="71"/>
  <c r="AN14" i="71"/>
  <c r="AN9" i="71"/>
  <c r="AN4" i="71"/>
  <c r="P114" i="71"/>
  <c r="Q114" i="71" s="1"/>
  <c r="V17" i="71"/>
  <c r="AN17" i="71"/>
  <c r="AN18" i="71"/>
  <c r="V155" i="75" l="1"/>
  <c r="Q118" i="71"/>
  <c r="R118" i="71" s="1"/>
  <c r="S13" i="71" s="1"/>
  <c r="V13" i="71" s="1"/>
  <c r="T116" i="71"/>
  <c r="U116" i="71" s="1"/>
  <c r="C144" i="71"/>
  <c r="O143" i="71"/>
  <c r="K143" i="71"/>
  <c r="G143" i="71"/>
  <c r="N143" i="71"/>
  <c r="J143" i="71"/>
  <c r="F143" i="71"/>
  <c r="I143" i="71"/>
  <c r="H143" i="71"/>
  <c r="M143" i="71"/>
  <c r="L143" i="71"/>
  <c r="T115" i="71"/>
  <c r="U115" i="71" s="1"/>
  <c r="C141" i="71"/>
  <c r="T113" i="71"/>
  <c r="U113" i="71" s="1"/>
  <c r="C140" i="71"/>
  <c r="T112" i="71"/>
  <c r="U112" i="71" s="1"/>
  <c r="T114" i="71"/>
  <c r="U114" i="71" s="1"/>
  <c r="O146" i="71"/>
  <c r="K146" i="71"/>
  <c r="G146" i="71"/>
  <c r="N146" i="71"/>
  <c r="J146" i="71"/>
  <c r="F146" i="71"/>
  <c r="M146" i="71"/>
  <c r="L146" i="71"/>
  <c r="I146" i="71"/>
  <c r="H146" i="71"/>
  <c r="C148" i="71"/>
  <c r="C147" i="71"/>
  <c r="C145" i="71"/>
  <c r="O142" i="71"/>
  <c r="K142" i="71"/>
  <c r="G142" i="71"/>
  <c r="N142" i="71"/>
  <c r="J142" i="71"/>
  <c r="F142" i="71"/>
  <c r="M142" i="71"/>
  <c r="L142" i="71"/>
  <c r="I142" i="71"/>
  <c r="H142" i="71"/>
  <c r="BH224" i="4" l="1"/>
  <c r="AV224" i="4"/>
  <c r="BB224" i="4"/>
  <c r="AP224" i="4"/>
  <c r="AN13" i="71"/>
  <c r="W155" i="75"/>
  <c r="E142" i="71"/>
  <c r="O144" i="71"/>
  <c r="K144" i="71"/>
  <c r="G144" i="71"/>
  <c r="N144" i="71"/>
  <c r="J144" i="71"/>
  <c r="F144" i="71"/>
  <c r="M144" i="71"/>
  <c r="L144" i="71"/>
  <c r="I144" i="71"/>
  <c r="H144" i="71"/>
  <c r="O140" i="71"/>
  <c r="K140" i="71"/>
  <c r="G140" i="71"/>
  <c r="N140" i="71"/>
  <c r="J140" i="71"/>
  <c r="F140" i="71"/>
  <c r="M140" i="71"/>
  <c r="L140" i="71"/>
  <c r="I140" i="71"/>
  <c r="H140" i="71"/>
  <c r="O147" i="71"/>
  <c r="K147" i="71"/>
  <c r="G147" i="71"/>
  <c r="N147" i="71"/>
  <c r="J147" i="71"/>
  <c r="F147" i="71"/>
  <c r="I147" i="71"/>
  <c r="H147" i="71"/>
  <c r="M147" i="71"/>
  <c r="L147" i="71"/>
  <c r="E146" i="71"/>
  <c r="U118" i="71"/>
  <c r="V118" i="71" s="1"/>
  <c r="E143" i="71"/>
  <c r="O148" i="71"/>
  <c r="K148" i="71"/>
  <c r="G148" i="71"/>
  <c r="N148" i="71"/>
  <c r="J148" i="71"/>
  <c r="F148" i="71"/>
  <c r="M148" i="71"/>
  <c r="L148" i="71"/>
  <c r="I148" i="71"/>
  <c r="H148" i="71"/>
  <c r="O145" i="71"/>
  <c r="K145" i="71"/>
  <c r="G145" i="71"/>
  <c r="N145" i="71"/>
  <c r="J145" i="71"/>
  <c r="F145" i="71"/>
  <c r="I145" i="71"/>
  <c r="H145" i="71"/>
  <c r="M145" i="71"/>
  <c r="L145" i="71"/>
  <c r="O141" i="71"/>
  <c r="K141" i="71"/>
  <c r="G141" i="71"/>
  <c r="N141" i="71"/>
  <c r="J141" i="71"/>
  <c r="F141" i="71"/>
  <c r="I141" i="71"/>
  <c r="H141" i="71"/>
  <c r="M141" i="71"/>
  <c r="L141" i="71"/>
  <c r="X155" i="75" l="1"/>
  <c r="E140" i="71"/>
  <c r="E141" i="71"/>
  <c r="E148" i="71"/>
  <c r="E147" i="71"/>
  <c r="E144" i="71"/>
  <c r="E145" i="71"/>
  <c r="Y155" i="75" l="1"/>
  <c r="V22" i="32"/>
  <c r="X22" i="32"/>
  <c r="AE22" i="32" s="1"/>
  <c r="Y22" i="32"/>
  <c r="Z22" i="32"/>
  <c r="AA22" i="32"/>
  <c r="AB22" i="32"/>
  <c r="AC22" i="32"/>
  <c r="AG22" i="32"/>
  <c r="AI22" i="32"/>
  <c r="AK22" i="32"/>
  <c r="AJ22" i="32" s="1"/>
  <c r="V24" i="32"/>
  <c r="X24" i="32"/>
  <c r="Y24" i="32"/>
  <c r="Z24" i="32"/>
  <c r="AA24" i="32"/>
  <c r="AB24" i="32"/>
  <c r="AC24" i="32"/>
  <c r="AG24" i="32"/>
  <c r="AI24" i="32"/>
  <c r="AK24" i="32"/>
  <c r="AJ24" i="32" s="1"/>
  <c r="AK23" i="32"/>
  <c r="AJ23" i="32" s="1"/>
  <c r="AI23" i="32"/>
  <c r="AG23" i="32"/>
  <c r="AC23" i="32"/>
  <c r="AB23" i="32"/>
  <c r="AA23" i="32"/>
  <c r="Z23" i="32"/>
  <c r="Y23" i="32"/>
  <c r="X23" i="32"/>
  <c r="V23" i="32"/>
  <c r="AK21" i="32"/>
  <c r="AJ21" i="32" s="1"/>
  <c r="AI21" i="32"/>
  <c r="AG21" i="32"/>
  <c r="AC21" i="32"/>
  <c r="AB21" i="32"/>
  <c r="AA21" i="32"/>
  <c r="Z21" i="32"/>
  <c r="Y21" i="32"/>
  <c r="X21" i="32"/>
  <c r="V21" i="32"/>
  <c r="AK20" i="32"/>
  <c r="AJ20" i="32" s="1"/>
  <c r="AI20" i="32"/>
  <c r="AG20" i="32"/>
  <c r="AC20" i="32"/>
  <c r="AB20" i="32"/>
  <c r="AA20" i="32"/>
  <c r="Z20" i="32"/>
  <c r="Y20" i="32"/>
  <c r="X20" i="32"/>
  <c r="AK19" i="32"/>
  <c r="AJ19" i="32" s="1"/>
  <c r="AI19" i="32"/>
  <c r="AG19" i="32"/>
  <c r="AC19" i="32"/>
  <c r="AB19" i="32"/>
  <c r="AA19" i="32"/>
  <c r="Z19" i="32"/>
  <c r="Y19" i="32"/>
  <c r="X19" i="32"/>
  <c r="AK18" i="32"/>
  <c r="AJ18" i="32" s="1"/>
  <c r="AI18" i="32"/>
  <c r="AG18" i="32"/>
  <c r="AC18" i="32"/>
  <c r="AB18" i="32"/>
  <c r="AA18" i="32"/>
  <c r="Z18" i="32"/>
  <c r="Y18" i="32"/>
  <c r="X18" i="32"/>
  <c r="AK17" i="32"/>
  <c r="AJ17" i="32" s="1"/>
  <c r="AI17" i="32"/>
  <c r="AG17" i="32"/>
  <c r="AC17" i="32"/>
  <c r="AB17" i="32"/>
  <c r="AA17" i="32"/>
  <c r="Z17" i="32"/>
  <c r="Y17" i="32"/>
  <c r="X17" i="32"/>
  <c r="AK16" i="32"/>
  <c r="AJ16" i="32" s="1"/>
  <c r="AI16" i="32"/>
  <c r="AG16" i="32"/>
  <c r="AC16" i="32"/>
  <c r="AB16" i="32"/>
  <c r="AA16" i="32"/>
  <c r="Z16" i="32"/>
  <c r="Y16" i="32"/>
  <c r="X16" i="32"/>
  <c r="AK15" i="32"/>
  <c r="AJ15" i="32" s="1"/>
  <c r="AI15" i="32"/>
  <c r="AG15" i="32"/>
  <c r="AC15" i="32"/>
  <c r="AB15" i="32"/>
  <c r="AA15" i="32"/>
  <c r="Z15" i="32"/>
  <c r="Y15" i="32"/>
  <c r="X15" i="32"/>
  <c r="G14" i="32"/>
  <c r="M4" i="70"/>
  <c r="K4" i="70"/>
  <c r="Q4" i="70" s="1"/>
  <c r="E4" i="70"/>
  <c r="H24" i="69"/>
  <c r="H23" i="69"/>
  <c r="H22" i="69"/>
  <c r="I4" i="69" s="1"/>
  <c r="N4" i="69" s="1"/>
  <c r="H21" i="69"/>
  <c r="K4" i="68"/>
  <c r="E4" i="68"/>
  <c r="J4" i="67"/>
  <c r="E4" i="67"/>
  <c r="J6" i="66"/>
  <c r="E6" i="66"/>
  <c r="J5" i="66"/>
  <c r="E5" i="66"/>
  <c r="J4" i="66"/>
  <c r="M4" i="66" s="1"/>
  <c r="E4" i="66"/>
  <c r="P4" i="36"/>
  <c r="L4" i="36" s="1"/>
  <c r="Q4" i="36"/>
  <c r="P5" i="36"/>
  <c r="L5" i="36" s="1"/>
  <c r="O5" i="36" s="1"/>
  <c r="Q5" i="36"/>
  <c r="G4" i="36"/>
  <c r="G5" i="36"/>
  <c r="B4" i="36"/>
  <c r="B5" i="36"/>
  <c r="G60" i="65"/>
  <c r="F60" i="65"/>
  <c r="E60" i="65"/>
  <c r="D60" i="65"/>
  <c r="G59" i="65"/>
  <c r="F59" i="65"/>
  <c r="E59" i="65"/>
  <c r="D59" i="65"/>
  <c r="O8" i="65"/>
  <c r="F8" i="65"/>
  <c r="C8" i="65"/>
  <c r="O7" i="65"/>
  <c r="F7" i="65"/>
  <c r="C7" i="65"/>
  <c r="B7" i="65"/>
  <c r="O6" i="65"/>
  <c r="F6" i="65"/>
  <c r="C6" i="65"/>
  <c r="B6" i="65"/>
  <c r="B8" i="65" s="1"/>
  <c r="O5" i="65"/>
  <c r="F5" i="65"/>
  <c r="C5" i="65"/>
  <c r="B5" i="65"/>
  <c r="O4" i="65"/>
  <c r="F4" i="65"/>
  <c r="C4" i="65"/>
  <c r="B4" i="65"/>
  <c r="BB281" i="4" l="1"/>
  <c r="BH570" i="4"/>
  <c r="BH178" i="4"/>
  <c r="BB487" i="4"/>
  <c r="BB459" i="4"/>
  <c r="BB124" i="4"/>
  <c r="AV570" i="4"/>
  <c r="AV178" i="4"/>
  <c r="BH487" i="4"/>
  <c r="BH124" i="4"/>
  <c r="BB178" i="4"/>
  <c r="AV459" i="4"/>
  <c r="AV124" i="4"/>
  <c r="BH281" i="4"/>
  <c r="AV281" i="4"/>
  <c r="BH459" i="4"/>
  <c r="BB570" i="4"/>
  <c r="AV487" i="4"/>
  <c r="AP178" i="4"/>
  <c r="AP281" i="4"/>
  <c r="AP459" i="4"/>
  <c r="AP487" i="4"/>
  <c r="AE15" i="32"/>
  <c r="W17" i="32"/>
  <c r="W19" i="32"/>
  <c r="W15" i="32"/>
  <c r="AE24" i="32"/>
  <c r="W16" i="32"/>
  <c r="V16" i="32" s="1"/>
  <c r="W23" i="32"/>
  <c r="V15" i="32"/>
  <c r="W20" i="32"/>
  <c r="V20" i="32" s="1"/>
  <c r="Q4" i="69"/>
  <c r="AP569" i="4"/>
  <c r="AP123" i="4"/>
  <c r="O4" i="36"/>
  <c r="V17" i="32"/>
  <c r="AP119" i="4"/>
  <c r="B60" i="65"/>
  <c r="M9" i="65" s="1"/>
  <c r="M6" i="66"/>
  <c r="N4" i="68"/>
  <c r="AE16" i="32"/>
  <c r="AE18" i="32"/>
  <c r="AE20" i="32"/>
  <c r="W21" i="32"/>
  <c r="AP120" i="4"/>
  <c r="V19" i="32"/>
  <c r="AE19" i="32"/>
  <c r="AP121" i="4"/>
  <c r="M5" i="66"/>
  <c r="M4" i="67"/>
  <c r="AP122" i="4"/>
  <c r="AP124" i="4"/>
  <c r="T4" i="70"/>
  <c r="AP570" i="4"/>
  <c r="Z155" i="75"/>
  <c r="W22" i="32"/>
  <c r="W24" i="32"/>
  <c r="AE23" i="32"/>
  <c r="AE17" i="32"/>
  <c r="W18" i="32"/>
  <c r="V18" i="32" s="1"/>
  <c r="AE21" i="32"/>
  <c r="B59" i="65"/>
  <c r="M7" i="65" s="1"/>
  <c r="P7" i="65" s="1"/>
  <c r="M8" i="65"/>
  <c r="P8" i="65" s="1"/>
  <c r="M4" i="65"/>
  <c r="M5" i="65"/>
  <c r="M6" i="65"/>
  <c r="P6" i="65" s="1"/>
  <c r="P4" i="65" l="1"/>
  <c r="P5" i="65"/>
  <c r="P9" i="65"/>
  <c r="AA155" i="75"/>
  <c r="AB155" i="75" l="1"/>
  <c r="AC155" i="75" l="1"/>
  <c r="B7" i="29"/>
  <c r="V6" i="29"/>
  <c r="W6" i="29"/>
  <c r="X6" i="29"/>
  <c r="Y6" i="29"/>
  <c r="Z6" i="29"/>
  <c r="AA6" i="29"/>
  <c r="AB6" i="29"/>
  <c r="AD6" i="29"/>
  <c r="AE6" i="29"/>
  <c r="AF6" i="29"/>
  <c r="V7" i="29"/>
  <c r="W7" i="29"/>
  <c r="X7" i="29"/>
  <c r="Y7" i="29"/>
  <c r="Z7" i="29"/>
  <c r="AA7" i="29"/>
  <c r="AB7" i="29"/>
  <c r="AD7" i="29"/>
  <c r="AE7" i="29"/>
  <c r="AF7" i="29"/>
  <c r="B6" i="29"/>
  <c r="B4" i="64"/>
  <c r="F4" i="64"/>
  <c r="R4" i="64" s="1"/>
  <c r="S4" i="64"/>
  <c r="X4" i="64"/>
  <c r="Z4" i="64"/>
  <c r="AA4" i="64"/>
  <c r="AB4" i="64"/>
  <c r="AC4" i="64"/>
  <c r="B5" i="64"/>
  <c r="F5" i="64"/>
  <c r="R5" i="64" s="1"/>
  <c r="S5" i="64"/>
  <c r="X5" i="64"/>
  <c r="Z5" i="64"/>
  <c r="AA5" i="64"/>
  <c r="AB5" i="64"/>
  <c r="AC5" i="64"/>
  <c r="B6" i="64"/>
  <c r="F6" i="64"/>
  <c r="R6" i="64" s="1"/>
  <c r="S6" i="64"/>
  <c r="X6" i="64"/>
  <c r="Z6" i="64"/>
  <c r="AA6" i="64"/>
  <c r="AB6" i="64"/>
  <c r="AC6" i="64"/>
  <c r="B7" i="64"/>
  <c r="F7" i="64"/>
  <c r="R7" i="64" s="1"/>
  <c r="S7" i="64"/>
  <c r="X7" i="64"/>
  <c r="Z7" i="64"/>
  <c r="AA7" i="64"/>
  <c r="AB7" i="64"/>
  <c r="AC7" i="64"/>
  <c r="B8" i="64"/>
  <c r="F8" i="64"/>
  <c r="R8" i="64" s="1"/>
  <c r="S8" i="64"/>
  <c r="X8" i="64"/>
  <c r="Z8" i="64"/>
  <c r="AA8" i="64"/>
  <c r="AB8" i="64"/>
  <c r="AC8" i="64"/>
  <c r="B9" i="64"/>
  <c r="F9" i="64"/>
  <c r="R9" i="64" s="1"/>
  <c r="S9" i="64"/>
  <c r="X9" i="64"/>
  <c r="Z9" i="64"/>
  <c r="AA9" i="64"/>
  <c r="AB9" i="64"/>
  <c r="AC9" i="64"/>
  <c r="B10" i="64"/>
  <c r="F10" i="64"/>
  <c r="R10" i="64" s="1"/>
  <c r="S10" i="64"/>
  <c r="X10" i="64"/>
  <c r="Z10" i="64"/>
  <c r="AA10" i="64"/>
  <c r="AB10" i="64"/>
  <c r="AC10" i="64"/>
  <c r="B11" i="64"/>
  <c r="F11" i="64"/>
  <c r="R11" i="64" s="1"/>
  <c r="S11" i="64"/>
  <c r="X11" i="64"/>
  <c r="Z11" i="64"/>
  <c r="AA11" i="64"/>
  <c r="AB11" i="64"/>
  <c r="AC11" i="64"/>
  <c r="B12" i="64"/>
  <c r="F12" i="64"/>
  <c r="R12" i="64" s="1"/>
  <c r="S12" i="64"/>
  <c r="X12" i="64"/>
  <c r="Z12" i="64"/>
  <c r="AA12" i="64"/>
  <c r="AB12" i="64"/>
  <c r="AC12" i="64"/>
  <c r="B13" i="64"/>
  <c r="F13" i="64"/>
  <c r="R13" i="64" s="1"/>
  <c r="S13" i="64"/>
  <c r="X13" i="64"/>
  <c r="Z13" i="64"/>
  <c r="AA13" i="64"/>
  <c r="AB13" i="64"/>
  <c r="AC13" i="64"/>
  <c r="B14" i="64"/>
  <c r="F14" i="64"/>
  <c r="X14" i="64"/>
  <c r="Z14" i="64"/>
  <c r="AA14" i="64"/>
  <c r="AB14" i="64"/>
  <c r="AC14" i="64"/>
  <c r="B15" i="64"/>
  <c r="F15" i="64"/>
  <c r="X15" i="64"/>
  <c r="Z15" i="64"/>
  <c r="AA15" i="64"/>
  <c r="AB15" i="64"/>
  <c r="AC15" i="64"/>
  <c r="B16" i="64"/>
  <c r="F16" i="64"/>
  <c r="X16" i="64"/>
  <c r="Z16" i="64"/>
  <c r="AB16" i="64"/>
  <c r="AC16" i="64"/>
  <c r="B17" i="64"/>
  <c r="F17" i="64"/>
  <c r="R17" i="64" s="1"/>
  <c r="S17" i="64"/>
  <c r="X17" i="64"/>
  <c r="Z17" i="64"/>
  <c r="AA17" i="64"/>
  <c r="AB17" i="64"/>
  <c r="AC17" i="64"/>
  <c r="B18" i="64"/>
  <c r="F18" i="64"/>
  <c r="R18" i="64" s="1"/>
  <c r="S18" i="64"/>
  <c r="X18" i="64"/>
  <c r="Z18" i="64"/>
  <c r="AA18" i="64"/>
  <c r="AB18" i="64"/>
  <c r="AC18" i="64"/>
  <c r="B19" i="64"/>
  <c r="F19" i="64"/>
  <c r="R19" i="64" s="1"/>
  <c r="S19" i="64"/>
  <c r="X19" i="64"/>
  <c r="Z19" i="64"/>
  <c r="AA19" i="64"/>
  <c r="AB19" i="64"/>
  <c r="AC19" i="64"/>
  <c r="A48" i="64"/>
  <c r="A49" i="64"/>
  <c r="A50" i="64"/>
  <c r="A51" i="64"/>
  <c r="A52" i="64"/>
  <c r="C119" i="63"/>
  <c r="D106" i="63"/>
  <c r="C106" i="63"/>
  <c r="D105" i="63"/>
  <c r="C105" i="63"/>
  <c r="D104" i="63"/>
  <c r="C104" i="63"/>
  <c r="D103" i="63"/>
  <c r="C103" i="63"/>
  <c r="M100" i="63"/>
  <c r="O6" i="63" s="1"/>
  <c r="L100" i="63"/>
  <c r="K100" i="63"/>
  <c r="J100" i="63"/>
  <c r="I100" i="63"/>
  <c r="H100" i="63"/>
  <c r="G100" i="63"/>
  <c r="F100" i="63"/>
  <c r="E100" i="63"/>
  <c r="D100" i="63"/>
  <c r="C100" i="63"/>
  <c r="M99" i="63"/>
  <c r="L99" i="63"/>
  <c r="K99" i="63"/>
  <c r="M5" i="63" s="1"/>
  <c r="Q5" i="63" s="1"/>
  <c r="J99" i="63"/>
  <c r="I99" i="63"/>
  <c r="H99" i="63"/>
  <c r="G99" i="63"/>
  <c r="F99" i="63"/>
  <c r="E99" i="63"/>
  <c r="D99" i="63"/>
  <c r="C99" i="63"/>
  <c r="M98" i="63"/>
  <c r="L98" i="63"/>
  <c r="K98" i="63"/>
  <c r="M4" i="63" s="1"/>
  <c r="Q4" i="63" s="1"/>
  <c r="J98" i="63"/>
  <c r="I98" i="63"/>
  <c r="H98" i="63"/>
  <c r="G98" i="63"/>
  <c r="F98" i="63"/>
  <c r="E98" i="63"/>
  <c r="D98" i="63"/>
  <c r="C98" i="63"/>
  <c r="K87" i="63"/>
  <c r="I87" i="63"/>
  <c r="G87" i="63"/>
  <c r="E87" i="63"/>
  <c r="X83" i="63"/>
  <c r="W83" i="63"/>
  <c r="V83" i="63"/>
  <c r="U83" i="63"/>
  <c r="T83" i="63"/>
  <c r="S83" i="63"/>
  <c r="R83" i="63"/>
  <c r="Q83" i="63"/>
  <c r="P83" i="63"/>
  <c r="O83" i="63"/>
  <c r="N83" i="63"/>
  <c r="M83" i="63"/>
  <c r="L83" i="63"/>
  <c r="K83" i="63"/>
  <c r="J83" i="63"/>
  <c r="I83" i="63"/>
  <c r="H83" i="63"/>
  <c r="G83" i="63"/>
  <c r="F83" i="63"/>
  <c r="X82" i="63"/>
  <c r="W82" i="63"/>
  <c r="V82" i="63"/>
  <c r="U82" i="63"/>
  <c r="T82" i="63"/>
  <c r="S82" i="63"/>
  <c r="R82" i="63"/>
  <c r="Q82" i="63"/>
  <c r="P82" i="63"/>
  <c r="O82" i="63"/>
  <c r="N82" i="63"/>
  <c r="M82" i="63"/>
  <c r="L82" i="63"/>
  <c r="K82" i="63"/>
  <c r="J82" i="63"/>
  <c r="I82" i="63"/>
  <c r="H82" i="63"/>
  <c r="G82" i="63"/>
  <c r="F82" i="63"/>
  <c r="N81" i="63"/>
  <c r="M81" i="63"/>
  <c r="L81" i="63"/>
  <c r="K81" i="63"/>
  <c r="J81" i="63"/>
  <c r="I81" i="63"/>
  <c r="H81" i="63"/>
  <c r="G81" i="63"/>
  <c r="F81" i="63"/>
  <c r="B48" i="63"/>
  <c r="Y6" i="63"/>
  <c r="X6" i="63"/>
  <c r="I6" i="63"/>
  <c r="Y5" i="63"/>
  <c r="X5" i="63"/>
  <c r="O5" i="63"/>
  <c r="I5" i="63"/>
  <c r="Y4" i="63"/>
  <c r="X4" i="63"/>
  <c r="O4" i="63"/>
  <c r="S4" i="63" s="1"/>
  <c r="I4" i="63"/>
  <c r="H17" i="62"/>
  <c r="E13" i="62"/>
  <c r="D13" i="62"/>
  <c r="E12" i="62"/>
  <c r="D12" i="62"/>
  <c r="S4" i="62"/>
  <c r="M4" i="62" s="1"/>
  <c r="P4" i="62" s="1"/>
  <c r="O4" i="62"/>
  <c r="N4" i="62"/>
  <c r="S3" i="62"/>
  <c r="M3" i="62" s="1"/>
  <c r="O3" i="62"/>
  <c r="N3" i="62"/>
  <c r="R5" i="63" l="1"/>
  <c r="R6" i="63"/>
  <c r="M6" i="63"/>
  <c r="Q6" i="63" s="1"/>
  <c r="R4" i="63"/>
  <c r="AV43" i="4"/>
  <c r="BH43" i="4"/>
  <c r="BB43" i="4"/>
  <c r="AP43" i="4"/>
  <c r="P3" i="62"/>
  <c r="S6" i="63"/>
  <c r="S5" i="63"/>
  <c r="AD155" i="75"/>
  <c r="P5" i="63"/>
  <c r="P6" i="63"/>
  <c r="P4" i="63"/>
  <c r="AE155" i="75" l="1"/>
  <c r="P5" i="18" l="1"/>
  <c r="B5" i="18"/>
  <c r="G19" i="31" l="1"/>
  <c r="G20" i="31"/>
  <c r="G21" i="31"/>
  <c r="G22" i="31"/>
  <c r="G23" i="31"/>
  <c r="F24" i="31"/>
  <c r="F23" i="31"/>
  <c r="F22" i="31"/>
  <c r="W15" i="24"/>
  <c r="V15" i="24"/>
  <c r="U15" i="24"/>
  <c r="O15" i="24" s="1"/>
  <c r="R15" i="24" s="1"/>
  <c r="T15" i="24"/>
  <c r="S15" i="24"/>
  <c r="W14" i="24"/>
  <c r="V14" i="24"/>
  <c r="T14" i="24"/>
  <c r="S14" i="24"/>
  <c r="U14" i="24" s="1"/>
  <c r="G13" i="24"/>
  <c r="H13" i="24"/>
  <c r="G14" i="24"/>
  <c r="H14" i="24"/>
  <c r="G15" i="24"/>
  <c r="H15" i="24"/>
  <c r="B6" i="25"/>
  <c r="E6" i="25"/>
  <c r="G6" i="25"/>
  <c r="P6" i="25"/>
  <c r="Q6" i="25"/>
  <c r="R6" i="25"/>
  <c r="S6" i="25"/>
  <c r="G4" i="25"/>
  <c r="T6" i="25" s="1"/>
  <c r="O14" i="24" l="1"/>
  <c r="L6" i="25"/>
  <c r="O6" i="25" s="1"/>
  <c r="AV9" i="4" l="1"/>
  <c r="BB9" i="4"/>
  <c r="BH9" i="4"/>
  <c r="AP9" i="4"/>
  <c r="R14" i="24"/>
  <c r="AF134" i="4" l="1"/>
  <c r="AB134" i="4"/>
  <c r="AB133" i="4"/>
  <c r="AF133" i="4"/>
  <c r="AB131" i="4"/>
  <c r="AF131" i="4"/>
  <c r="AB129" i="4"/>
  <c r="AF129" i="4"/>
  <c r="AF126" i="4"/>
  <c r="AB126" i="4"/>
  <c r="AB123" i="4"/>
  <c r="AF123" i="4"/>
  <c r="AF120" i="4"/>
  <c r="AB120" i="4"/>
  <c r="AB117" i="4"/>
  <c r="AF117" i="4"/>
  <c r="AB113" i="4"/>
  <c r="AF113" i="4"/>
  <c r="AB111" i="4"/>
  <c r="AF111" i="4"/>
  <c r="AF108" i="4"/>
  <c r="AB108" i="4"/>
  <c r="AB105" i="4"/>
  <c r="AF105" i="4"/>
  <c r="AB101" i="4"/>
  <c r="AF101" i="4"/>
  <c r="AF98" i="4"/>
  <c r="AB98" i="4"/>
  <c r="AB95" i="4"/>
  <c r="AF95" i="4"/>
  <c r="AF92" i="4"/>
  <c r="AB92" i="4"/>
  <c r="AB89" i="4"/>
  <c r="AF89" i="4"/>
  <c r="AB86" i="4"/>
  <c r="AF86" i="4"/>
  <c r="AB84" i="4"/>
  <c r="AF84" i="4"/>
  <c r="AB81" i="4"/>
  <c r="AF81" i="4"/>
  <c r="AB78" i="4"/>
  <c r="AF78" i="4"/>
  <c r="AB76" i="4"/>
  <c r="AF76" i="4"/>
  <c r="AB72" i="4"/>
  <c r="AF72" i="4"/>
  <c r="AB70" i="4"/>
  <c r="AF70" i="4"/>
  <c r="AB68" i="4"/>
  <c r="AF68" i="4"/>
  <c r="AB65" i="4"/>
  <c r="AF65" i="4"/>
  <c r="AB62" i="4"/>
  <c r="AF62" i="4"/>
  <c r="AB58" i="4"/>
  <c r="AF58" i="4"/>
  <c r="AB56" i="4"/>
  <c r="AF56" i="4"/>
  <c r="AB53" i="4"/>
  <c r="AF53" i="4"/>
  <c r="AB50" i="4"/>
  <c r="AF50" i="4"/>
  <c r="AB47" i="4"/>
  <c r="AF47" i="4"/>
  <c r="AB44" i="4"/>
  <c r="AF44" i="4"/>
  <c r="AF41" i="4"/>
  <c r="CT41" i="4" s="1"/>
  <c r="AB41" i="4"/>
  <c r="AF39" i="4"/>
  <c r="CT39" i="4" s="1"/>
  <c r="AB39" i="4"/>
  <c r="AF36" i="4"/>
  <c r="CT36" i="4" s="1"/>
  <c r="AB36" i="4"/>
  <c r="AF33" i="4"/>
  <c r="CT33" i="4" s="1"/>
  <c r="AB33" i="4"/>
  <c r="AF29" i="4"/>
  <c r="CT29" i="4" s="1"/>
  <c r="AB29" i="4"/>
  <c r="AF27" i="4"/>
  <c r="CT27" i="4" s="1"/>
  <c r="AB27" i="4"/>
  <c r="AF24" i="4"/>
  <c r="AB24" i="4"/>
  <c r="AF21" i="4"/>
  <c r="AB21" i="4"/>
  <c r="AF19" i="4"/>
  <c r="AB19" i="4"/>
  <c r="AF16" i="4"/>
  <c r="AB16" i="4"/>
  <c r="AF13" i="4"/>
  <c r="AB13" i="4"/>
  <c r="AF12" i="4"/>
  <c r="AB12" i="4"/>
  <c r="AF9" i="4"/>
  <c r="AB9" i="4"/>
  <c r="AF8" i="4"/>
  <c r="AB8" i="4"/>
  <c r="AA619" i="4"/>
  <c r="AE619" i="4"/>
  <c r="AA618" i="4"/>
  <c r="AE618" i="4"/>
  <c r="AA617" i="4"/>
  <c r="AE617" i="4"/>
  <c r="AA616" i="4"/>
  <c r="AE616" i="4"/>
  <c r="AA615" i="4"/>
  <c r="AE615" i="4"/>
  <c r="AA614" i="4"/>
  <c r="AE614" i="4"/>
  <c r="AA613" i="4"/>
  <c r="AE613" i="4"/>
  <c r="AA612" i="4"/>
  <c r="AE612" i="4"/>
  <c r="AA611" i="4"/>
  <c r="AE611" i="4"/>
  <c r="AA610" i="4"/>
  <c r="AE610" i="4"/>
  <c r="AA609" i="4"/>
  <c r="AE609" i="4"/>
  <c r="AA608" i="4"/>
  <c r="AE608" i="4"/>
  <c r="AA607" i="4"/>
  <c r="AE607" i="4"/>
  <c r="AA606" i="4"/>
  <c r="AE606" i="4"/>
  <c r="AA605" i="4"/>
  <c r="AE605" i="4"/>
  <c r="AA604" i="4"/>
  <c r="AE604" i="4"/>
  <c r="AA603" i="4"/>
  <c r="AE603" i="4"/>
  <c r="AA602" i="4"/>
  <c r="AE602" i="4"/>
  <c r="AA601" i="4"/>
  <c r="AE601" i="4"/>
  <c r="AA600" i="4"/>
  <c r="AE600" i="4"/>
  <c r="AA599" i="4"/>
  <c r="AE599" i="4"/>
  <c r="AA598" i="4"/>
  <c r="AE598" i="4"/>
  <c r="AA597" i="4"/>
  <c r="AE597" i="4"/>
  <c r="AA596" i="4"/>
  <c r="AE596" i="4"/>
  <c r="AA595" i="4"/>
  <c r="AE595" i="4"/>
  <c r="AA594" i="4"/>
  <c r="AE594" i="4"/>
  <c r="AA593" i="4"/>
  <c r="AE593" i="4"/>
  <c r="AA592" i="4"/>
  <c r="AE592" i="4"/>
  <c r="AA591" i="4"/>
  <c r="AE591" i="4"/>
  <c r="AA590" i="4"/>
  <c r="AE590" i="4"/>
  <c r="AA589" i="4"/>
  <c r="AE589" i="4"/>
  <c r="AA588" i="4"/>
  <c r="AE588" i="4"/>
  <c r="AA587" i="4"/>
  <c r="AE587" i="4"/>
  <c r="AA586" i="4"/>
  <c r="AE586" i="4"/>
  <c r="AA585" i="4"/>
  <c r="AE585" i="4"/>
  <c r="AA584" i="4"/>
  <c r="AE584" i="4"/>
  <c r="AA583" i="4"/>
  <c r="AE583" i="4"/>
  <c r="AA582" i="4"/>
  <c r="AE582" i="4"/>
  <c r="AA581" i="4"/>
  <c r="AE581" i="4"/>
  <c r="AA580" i="4"/>
  <c r="AE580" i="4"/>
  <c r="AA579" i="4"/>
  <c r="AE579" i="4"/>
  <c r="AA578" i="4"/>
  <c r="AE578" i="4"/>
  <c r="AA577" i="4"/>
  <c r="AE577" i="4"/>
  <c r="AA576" i="4"/>
  <c r="AE576" i="4"/>
  <c r="AA575" i="4"/>
  <c r="AE575" i="4"/>
  <c r="AA574" i="4"/>
  <c r="AE574" i="4"/>
  <c r="AA573" i="4"/>
  <c r="AE573" i="4"/>
  <c r="AA572" i="4"/>
  <c r="AE572" i="4"/>
  <c r="AA571" i="4"/>
  <c r="AE571" i="4"/>
  <c r="AA570" i="4"/>
  <c r="AE570" i="4"/>
  <c r="AA569" i="4"/>
  <c r="AE569" i="4"/>
  <c r="AA568" i="4"/>
  <c r="AE568" i="4"/>
  <c r="AA567" i="4"/>
  <c r="AE567" i="4"/>
  <c r="AA566" i="4"/>
  <c r="AE566" i="4"/>
  <c r="AA565" i="4"/>
  <c r="AE565" i="4"/>
  <c r="AA564" i="4"/>
  <c r="AE564" i="4"/>
  <c r="AA563" i="4"/>
  <c r="AE563" i="4"/>
  <c r="AA562" i="4"/>
  <c r="AE562" i="4"/>
  <c r="AA561" i="4"/>
  <c r="AE561" i="4"/>
  <c r="AA560" i="4"/>
  <c r="AE560" i="4"/>
  <c r="AA559" i="4"/>
  <c r="AE559" i="4"/>
  <c r="AA558" i="4"/>
  <c r="AE558" i="4"/>
  <c r="AA557" i="4"/>
  <c r="AE557" i="4"/>
  <c r="AA556" i="4"/>
  <c r="AE556" i="4"/>
  <c r="AA555" i="4"/>
  <c r="AE555" i="4"/>
  <c r="AA554" i="4"/>
  <c r="AE554" i="4"/>
  <c r="AA553" i="4"/>
  <c r="AE553" i="4"/>
  <c r="AA552" i="4"/>
  <c r="AE552" i="4"/>
  <c r="AA551" i="4"/>
  <c r="AE551" i="4"/>
  <c r="AA550" i="4"/>
  <c r="AE550" i="4"/>
  <c r="AA549" i="4"/>
  <c r="AE549" i="4"/>
  <c r="AA548" i="4"/>
  <c r="AE548" i="4"/>
  <c r="AA547" i="4"/>
  <c r="AE547" i="4"/>
  <c r="AA546" i="4"/>
  <c r="AE546" i="4"/>
  <c r="AA545" i="4"/>
  <c r="AE545" i="4"/>
  <c r="AA544" i="4"/>
  <c r="AE544" i="4"/>
  <c r="AA543" i="4"/>
  <c r="AE543" i="4"/>
  <c r="AA542" i="4"/>
  <c r="AE542" i="4"/>
  <c r="AA541" i="4"/>
  <c r="AE541" i="4"/>
  <c r="AA540" i="4"/>
  <c r="AE540" i="4"/>
  <c r="AA539" i="4"/>
  <c r="AE539" i="4"/>
  <c r="AA538" i="4"/>
  <c r="AE538" i="4"/>
  <c r="AA537" i="4"/>
  <c r="AE537" i="4"/>
  <c r="AA536" i="4"/>
  <c r="AE536" i="4"/>
  <c r="AA535" i="4"/>
  <c r="AE535" i="4"/>
  <c r="AA534" i="4"/>
  <c r="AE534" i="4"/>
  <c r="AA533" i="4"/>
  <c r="AE533" i="4"/>
  <c r="AA532" i="4"/>
  <c r="AE532" i="4"/>
  <c r="AA531" i="4"/>
  <c r="AE531" i="4"/>
  <c r="AA530" i="4"/>
  <c r="AE530" i="4"/>
  <c r="AA529" i="4"/>
  <c r="AE529" i="4"/>
  <c r="AA528" i="4"/>
  <c r="AE528" i="4"/>
  <c r="AA527" i="4"/>
  <c r="AE527" i="4"/>
  <c r="CS527" i="4" s="1"/>
  <c r="AA526" i="4"/>
  <c r="AE526" i="4"/>
  <c r="CS526" i="4" s="1"/>
  <c r="AA525" i="4"/>
  <c r="AE525" i="4"/>
  <c r="CS525" i="4" s="1"/>
  <c r="AA524" i="4"/>
  <c r="AE524" i="4"/>
  <c r="CS524" i="4" s="1"/>
  <c r="AA523" i="4"/>
  <c r="AE523" i="4"/>
  <c r="CS523" i="4" s="1"/>
  <c r="AA522" i="4"/>
  <c r="AE522" i="4"/>
  <c r="CS522" i="4" s="1"/>
  <c r="AA521" i="4"/>
  <c r="AE521" i="4"/>
  <c r="AA520" i="4"/>
  <c r="AE520" i="4"/>
  <c r="CS520" i="4" s="1"/>
  <c r="AA519" i="4"/>
  <c r="AE519" i="4"/>
  <c r="AA518" i="4"/>
  <c r="AE518" i="4"/>
  <c r="AA517" i="4"/>
  <c r="AE517" i="4"/>
  <c r="AA516" i="4"/>
  <c r="AE516" i="4"/>
  <c r="AA515" i="4"/>
  <c r="AE515" i="4"/>
  <c r="AA514" i="4"/>
  <c r="AE514" i="4"/>
  <c r="AA513" i="4"/>
  <c r="AE513" i="4"/>
  <c r="AA512" i="4"/>
  <c r="AE512" i="4"/>
  <c r="AA511" i="4"/>
  <c r="AE511" i="4"/>
  <c r="AA510" i="4"/>
  <c r="AE510" i="4"/>
  <c r="AA509" i="4"/>
  <c r="AE509" i="4"/>
  <c r="AA508" i="4"/>
  <c r="AE508" i="4"/>
  <c r="AA507" i="4"/>
  <c r="AE507" i="4"/>
  <c r="AA506" i="4"/>
  <c r="AE506" i="4"/>
  <c r="AA505" i="4"/>
  <c r="AE505" i="4"/>
  <c r="AA504" i="4"/>
  <c r="AE504" i="4"/>
  <c r="CS504" i="4" s="1"/>
  <c r="AA503" i="4"/>
  <c r="AE503" i="4"/>
  <c r="CS503" i="4" s="1"/>
  <c r="AA502" i="4"/>
  <c r="AE502" i="4"/>
  <c r="CS502" i="4" s="1"/>
  <c r="AA501" i="4"/>
  <c r="AE501" i="4"/>
  <c r="CS501" i="4" s="1"/>
  <c r="AA500" i="4"/>
  <c r="AE500" i="4"/>
  <c r="CS500" i="4" s="1"/>
  <c r="AA499" i="4"/>
  <c r="AE499" i="4"/>
  <c r="CS499" i="4" s="1"/>
  <c r="AA498" i="4"/>
  <c r="AE498" i="4"/>
  <c r="CS498" i="4" s="1"/>
  <c r="AA497" i="4"/>
  <c r="AE497" i="4"/>
  <c r="CS497" i="4" s="1"/>
  <c r="AA496" i="4"/>
  <c r="AE496" i="4"/>
  <c r="CS496" i="4" s="1"/>
  <c r="AA495" i="4"/>
  <c r="AE495" i="4"/>
  <c r="CS495" i="4" s="1"/>
  <c r="AA494" i="4"/>
  <c r="AE494" i="4"/>
  <c r="CS494" i="4" s="1"/>
  <c r="AA493" i="4"/>
  <c r="AE493" i="4"/>
  <c r="CS493" i="4" s="1"/>
  <c r="AA492" i="4"/>
  <c r="AE492" i="4"/>
  <c r="CS492" i="4" s="1"/>
  <c r="AA491" i="4"/>
  <c r="AE491" i="4"/>
  <c r="CS491" i="4" s="1"/>
  <c r="AA490" i="4"/>
  <c r="AE490" i="4"/>
  <c r="CS490" i="4" s="1"/>
  <c r="AA489" i="4"/>
  <c r="AE489" i="4"/>
  <c r="CS489" i="4" s="1"/>
  <c r="AA488" i="4"/>
  <c r="AE488" i="4"/>
  <c r="CS488" i="4" s="1"/>
  <c r="AA487" i="4"/>
  <c r="AE487" i="4"/>
  <c r="AA486" i="4"/>
  <c r="AE486" i="4"/>
  <c r="AA485" i="4"/>
  <c r="AE485" i="4"/>
  <c r="AA484" i="4"/>
  <c r="AE484" i="4"/>
  <c r="AA483" i="4"/>
  <c r="AE483" i="4"/>
  <c r="AA482" i="4"/>
  <c r="AE482" i="4"/>
  <c r="AA481" i="4"/>
  <c r="AE481" i="4"/>
  <c r="AA480" i="4"/>
  <c r="AE480" i="4"/>
  <c r="AA479" i="4"/>
  <c r="AE479" i="4"/>
  <c r="AA478" i="4"/>
  <c r="AE478" i="4"/>
  <c r="AA477" i="4"/>
  <c r="AE477" i="4"/>
  <c r="AA476" i="4"/>
  <c r="AE476" i="4"/>
  <c r="AA475" i="4"/>
  <c r="AE475" i="4"/>
  <c r="AA474" i="4"/>
  <c r="AE474" i="4"/>
  <c r="AA473" i="4"/>
  <c r="AE473" i="4"/>
  <c r="CS473" i="4" s="1"/>
  <c r="AA472" i="4"/>
  <c r="AE472" i="4"/>
  <c r="CS472" i="4" s="1"/>
  <c r="AA471" i="4"/>
  <c r="AE471" i="4"/>
  <c r="AA470" i="4"/>
  <c r="AE470" i="4"/>
  <c r="AA469" i="4"/>
  <c r="AE469" i="4"/>
  <c r="AA468" i="4"/>
  <c r="AE468" i="4"/>
  <c r="AA467" i="4"/>
  <c r="AE467" i="4"/>
  <c r="AA466" i="4"/>
  <c r="AE466" i="4"/>
  <c r="AA465" i="4"/>
  <c r="AE465" i="4"/>
  <c r="AA464" i="4"/>
  <c r="AE464" i="4"/>
  <c r="AA463" i="4"/>
  <c r="AE463" i="4"/>
  <c r="AA462" i="4"/>
  <c r="AE462" i="4"/>
  <c r="AA461" i="4"/>
  <c r="AE461" i="4"/>
  <c r="CS461" i="4" s="1"/>
  <c r="AA460" i="4"/>
  <c r="AE460" i="4"/>
  <c r="CS460" i="4" s="1"/>
  <c r="AA459" i="4"/>
  <c r="AE459" i="4"/>
  <c r="CS459" i="4" s="1"/>
  <c r="AA458" i="4"/>
  <c r="AE458" i="4"/>
  <c r="CS458" i="4" s="1"/>
  <c r="AA457" i="4"/>
  <c r="AE457" i="4"/>
  <c r="CS457" i="4" s="1"/>
  <c r="AA456" i="4"/>
  <c r="AE456" i="4"/>
  <c r="CS456" i="4" s="1"/>
  <c r="AA455" i="4"/>
  <c r="AE455" i="4"/>
  <c r="CS455" i="4" s="1"/>
  <c r="AA454" i="4"/>
  <c r="AE454" i="4"/>
  <c r="CS454" i="4" s="1"/>
  <c r="AA453" i="4"/>
  <c r="AE453" i="4"/>
  <c r="CS453" i="4" s="1"/>
  <c r="AA452" i="4"/>
  <c r="AE452" i="4"/>
  <c r="CS452" i="4" s="1"/>
  <c r="AE451" i="4"/>
  <c r="CS451" i="4" s="1"/>
  <c r="AA451" i="4"/>
  <c r="AE450" i="4"/>
  <c r="CS450" i="4" s="1"/>
  <c r="AA450" i="4"/>
  <c r="AE449" i="4"/>
  <c r="CS449" i="4" s="1"/>
  <c r="AA449" i="4"/>
  <c r="AE448" i="4"/>
  <c r="CS448" i="4" s="1"/>
  <c r="AA448" i="4"/>
  <c r="AE447" i="4"/>
  <c r="CS447" i="4" s="1"/>
  <c r="AA447" i="4"/>
  <c r="AE446" i="4"/>
  <c r="CS446" i="4" s="1"/>
  <c r="AA446" i="4"/>
  <c r="AE445" i="4"/>
  <c r="CS445" i="4" s="1"/>
  <c r="AA445" i="4"/>
  <c r="AE444" i="4"/>
  <c r="CS444" i="4" s="1"/>
  <c r="AA444" i="4"/>
  <c r="AE443" i="4"/>
  <c r="CS443" i="4" s="1"/>
  <c r="AA443" i="4"/>
  <c r="AE442" i="4"/>
  <c r="CS442" i="4" s="1"/>
  <c r="AA442" i="4"/>
  <c r="AE441" i="4"/>
  <c r="CS441" i="4" s="1"/>
  <c r="AA441" i="4"/>
  <c r="AE440" i="4"/>
  <c r="CS440" i="4" s="1"/>
  <c r="AA440" i="4"/>
  <c r="AE439" i="4"/>
  <c r="CS439" i="4" s="1"/>
  <c r="AA439" i="4"/>
  <c r="AE438" i="4"/>
  <c r="CS438" i="4" s="1"/>
  <c r="AA438" i="4"/>
  <c r="AE437" i="4"/>
  <c r="CS437" i="4" s="1"/>
  <c r="AA437" i="4"/>
  <c r="AE436" i="4"/>
  <c r="CS436" i="4" s="1"/>
  <c r="AA436" i="4"/>
  <c r="AE435" i="4"/>
  <c r="CS435" i="4" s="1"/>
  <c r="AA435" i="4"/>
  <c r="AE434" i="4"/>
  <c r="CS434" i="4" s="1"/>
  <c r="AA434" i="4"/>
  <c r="AE433" i="4"/>
  <c r="CS433" i="4" s="1"/>
  <c r="AA433" i="4"/>
  <c r="AE432" i="4"/>
  <c r="CS432" i="4" s="1"/>
  <c r="AA432" i="4"/>
  <c r="AE431" i="4"/>
  <c r="CS431" i="4" s="1"/>
  <c r="AA431" i="4"/>
  <c r="AE430" i="4"/>
  <c r="CS430" i="4" s="1"/>
  <c r="AA430" i="4"/>
  <c r="AE429" i="4"/>
  <c r="CS429" i="4" s="1"/>
  <c r="AA429" i="4"/>
  <c r="AE428" i="4"/>
  <c r="CS428" i="4" s="1"/>
  <c r="AA428" i="4"/>
  <c r="AE427" i="4"/>
  <c r="CS427" i="4" s="1"/>
  <c r="AA427" i="4"/>
  <c r="AE426" i="4"/>
  <c r="CS426" i="4" s="1"/>
  <c r="AA426" i="4"/>
  <c r="AE425" i="4"/>
  <c r="CS425" i="4" s="1"/>
  <c r="AA425" i="4"/>
  <c r="AE424" i="4"/>
  <c r="CS424" i="4" s="1"/>
  <c r="AA424" i="4"/>
  <c r="AE423" i="4"/>
  <c r="CS423" i="4" s="1"/>
  <c r="AA423" i="4"/>
  <c r="AE422" i="4"/>
  <c r="CS422" i="4" s="1"/>
  <c r="AA422" i="4"/>
  <c r="AE421" i="4"/>
  <c r="CS421" i="4" s="1"/>
  <c r="AA421" i="4"/>
  <c r="AA420" i="4"/>
  <c r="AE420" i="4"/>
  <c r="CS420" i="4" s="1"/>
  <c r="AA419" i="4"/>
  <c r="AE419" i="4"/>
  <c r="CS419" i="4" s="1"/>
  <c r="AA418" i="4"/>
  <c r="AE418" i="4"/>
  <c r="CS418" i="4" s="1"/>
  <c r="AA417" i="4"/>
  <c r="AE417" i="4"/>
  <c r="CS417" i="4" s="1"/>
  <c r="AA416" i="4"/>
  <c r="AE416" i="4"/>
  <c r="CS416" i="4" s="1"/>
  <c r="AA415" i="4"/>
  <c r="AE415" i="4"/>
  <c r="CS415" i="4" s="1"/>
  <c r="AA414" i="4"/>
  <c r="AE414" i="4"/>
  <c r="CS414" i="4" s="1"/>
  <c r="AA413" i="4"/>
  <c r="AE413" i="4"/>
  <c r="CS413" i="4" s="1"/>
  <c r="AA412" i="4"/>
  <c r="AE412" i="4"/>
  <c r="CS412" i="4" s="1"/>
  <c r="AA411" i="4"/>
  <c r="AE411" i="4"/>
  <c r="CS411" i="4" s="1"/>
  <c r="AA410" i="4"/>
  <c r="AE410" i="4"/>
  <c r="CS410" i="4" s="1"/>
  <c r="AA409" i="4"/>
  <c r="AE409" i="4"/>
  <c r="CS409" i="4" s="1"/>
  <c r="AA408" i="4"/>
  <c r="AE408" i="4"/>
  <c r="CS408" i="4" s="1"/>
  <c r="AA407" i="4"/>
  <c r="AE407" i="4"/>
  <c r="CS407" i="4" s="1"/>
  <c r="AA406" i="4"/>
  <c r="AE406" i="4"/>
  <c r="CS406" i="4" s="1"/>
  <c r="AA405" i="4"/>
  <c r="AE405" i="4"/>
  <c r="CS405" i="4" s="1"/>
  <c r="AA404" i="4"/>
  <c r="AE404" i="4"/>
  <c r="CS404" i="4" s="1"/>
  <c r="AA403" i="4"/>
  <c r="AE403" i="4"/>
  <c r="CS403" i="4" s="1"/>
  <c r="AA402" i="4"/>
  <c r="AE402" i="4"/>
  <c r="CS402" i="4" s="1"/>
  <c r="AA401" i="4"/>
  <c r="AE401" i="4"/>
  <c r="CS401" i="4" s="1"/>
  <c r="AA400" i="4"/>
  <c r="AE400" i="4"/>
  <c r="CS400" i="4" s="1"/>
  <c r="AA399" i="4"/>
  <c r="AE399" i="4"/>
  <c r="CS399" i="4" s="1"/>
  <c r="AA398" i="4"/>
  <c r="AE398" i="4"/>
  <c r="CS398" i="4" s="1"/>
  <c r="AA397" i="4"/>
  <c r="AE397" i="4"/>
  <c r="CS397" i="4" s="1"/>
  <c r="AA396" i="4"/>
  <c r="AE396" i="4"/>
  <c r="CS396" i="4" s="1"/>
  <c r="AA395" i="4"/>
  <c r="AE395" i="4"/>
  <c r="CS395" i="4" s="1"/>
  <c r="AA394" i="4"/>
  <c r="AE394" i="4"/>
  <c r="CS394" i="4" s="1"/>
  <c r="AA393" i="4"/>
  <c r="AE393" i="4"/>
  <c r="CS393" i="4" s="1"/>
  <c r="AA392" i="4"/>
  <c r="AE392" i="4"/>
  <c r="CS392" i="4" s="1"/>
  <c r="AA391" i="4"/>
  <c r="AE391" i="4"/>
  <c r="CS391" i="4" s="1"/>
  <c r="AA390" i="4"/>
  <c r="AE390" i="4"/>
  <c r="CS390" i="4" s="1"/>
  <c r="AA389" i="4"/>
  <c r="AE389" i="4"/>
  <c r="CS389" i="4" s="1"/>
  <c r="AA388" i="4"/>
  <c r="AE388" i="4"/>
  <c r="CS388" i="4" s="1"/>
  <c r="AA387" i="4"/>
  <c r="AE387" i="4"/>
  <c r="CS387" i="4" s="1"/>
  <c r="AA386" i="4"/>
  <c r="AE386" i="4"/>
  <c r="CS386" i="4" s="1"/>
  <c r="AA385" i="4"/>
  <c r="AE385" i="4"/>
  <c r="CS385" i="4" s="1"/>
  <c r="AA384" i="4"/>
  <c r="AE384" i="4"/>
  <c r="CS384" i="4" s="1"/>
  <c r="AA383" i="4"/>
  <c r="AE383" i="4"/>
  <c r="CS383" i="4" s="1"/>
  <c r="AA382" i="4"/>
  <c r="AE382" i="4"/>
  <c r="CS382" i="4" s="1"/>
  <c r="AA381" i="4"/>
  <c r="AE381" i="4"/>
  <c r="CS381" i="4" s="1"/>
  <c r="AA380" i="4"/>
  <c r="AE380" i="4"/>
  <c r="CS380" i="4" s="1"/>
  <c r="AA379" i="4"/>
  <c r="AE379" i="4"/>
  <c r="CS379" i="4" s="1"/>
  <c r="AA378" i="4"/>
  <c r="AE378" i="4"/>
  <c r="CS378" i="4" s="1"/>
  <c r="AA377" i="4"/>
  <c r="AE377" i="4"/>
  <c r="CS377" i="4" s="1"/>
  <c r="AA376" i="4"/>
  <c r="AE376" i="4"/>
  <c r="CS376" i="4" s="1"/>
  <c r="AA375" i="4"/>
  <c r="AE375" i="4"/>
  <c r="CS375" i="4" s="1"/>
  <c r="AA374" i="4"/>
  <c r="AE374" i="4"/>
  <c r="CS374" i="4" s="1"/>
  <c r="AA373" i="4"/>
  <c r="AE373" i="4"/>
  <c r="CS373" i="4" s="1"/>
  <c r="AA372" i="4"/>
  <c r="AE372" i="4"/>
  <c r="CS372" i="4" s="1"/>
  <c r="AA371" i="4"/>
  <c r="AE371" i="4"/>
  <c r="CS371" i="4" s="1"/>
  <c r="AA370" i="4"/>
  <c r="AE370" i="4"/>
  <c r="CS370" i="4" s="1"/>
  <c r="AA369" i="4"/>
  <c r="AE369" i="4"/>
  <c r="CS369" i="4" s="1"/>
  <c r="AA368" i="4"/>
  <c r="AE368" i="4"/>
  <c r="CS368" i="4" s="1"/>
  <c r="AA367" i="4"/>
  <c r="AE367" i="4"/>
  <c r="CS367" i="4" s="1"/>
  <c r="AA366" i="4"/>
  <c r="AE366" i="4"/>
  <c r="CS366" i="4" s="1"/>
  <c r="AA365" i="4"/>
  <c r="AE365" i="4"/>
  <c r="CS365" i="4" s="1"/>
  <c r="AA364" i="4"/>
  <c r="AE364" i="4"/>
  <c r="CS364" i="4" s="1"/>
  <c r="AA363" i="4"/>
  <c r="AE363" i="4"/>
  <c r="CS363" i="4" s="1"/>
  <c r="AA362" i="4"/>
  <c r="AE362" i="4"/>
  <c r="CS362" i="4" s="1"/>
  <c r="AA361" i="4"/>
  <c r="AE361" i="4"/>
  <c r="CS361" i="4" s="1"/>
  <c r="AA360" i="4"/>
  <c r="AE360" i="4"/>
  <c r="CS360" i="4" s="1"/>
  <c r="AA359" i="4"/>
  <c r="AE359" i="4"/>
  <c r="CS359" i="4" s="1"/>
  <c r="AA358" i="4"/>
  <c r="AE358" i="4"/>
  <c r="CS358" i="4" s="1"/>
  <c r="AA357" i="4"/>
  <c r="AE357" i="4"/>
  <c r="CS357" i="4" s="1"/>
  <c r="AA356" i="4"/>
  <c r="AE356" i="4"/>
  <c r="CS356" i="4" s="1"/>
  <c r="AA355" i="4"/>
  <c r="AE355" i="4"/>
  <c r="CS355" i="4" s="1"/>
  <c r="AA354" i="4"/>
  <c r="AE354" i="4"/>
  <c r="CS354" i="4" s="1"/>
  <c r="AA353" i="4"/>
  <c r="AE353" i="4"/>
  <c r="CS353" i="4" s="1"/>
  <c r="AA352" i="4"/>
  <c r="AE352" i="4"/>
  <c r="CS352" i="4" s="1"/>
  <c r="AA351" i="4"/>
  <c r="AE351" i="4"/>
  <c r="CS351" i="4" s="1"/>
  <c r="AA350" i="4"/>
  <c r="AE350" i="4"/>
  <c r="CS350" i="4" s="1"/>
  <c r="AA349" i="4"/>
  <c r="AE349" i="4"/>
  <c r="CS349" i="4" s="1"/>
  <c r="AA348" i="4"/>
  <c r="AE348" i="4"/>
  <c r="CS348" i="4" s="1"/>
  <c r="AA347" i="4"/>
  <c r="AE347" i="4"/>
  <c r="CS347" i="4" s="1"/>
  <c r="AA346" i="4"/>
  <c r="AE346" i="4"/>
  <c r="CS346" i="4" s="1"/>
  <c r="AA345" i="4"/>
  <c r="AE345" i="4"/>
  <c r="CS345" i="4" s="1"/>
  <c r="AA344" i="4"/>
  <c r="AE344" i="4"/>
  <c r="CS344" i="4" s="1"/>
  <c r="AA343" i="4"/>
  <c r="AE343" i="4"/>
  <c r="CS343" i="4" s="1"/>
  <c r="AA342" i="4"/>
  <c r="AE342" i="4"/>
  <c r="CS342" i="4" s="1"/>
  <c r="AA341" i="4"/>
  <c r="AE341" i="4"/>
  <c r="CS341" i="4" s="1"/>
  <c r="AA340" i="4"/>
  <c r="AE340" i="4"/>
  <c r="CS340" i="4" s="1"/>
  <c r="AA339" i="4"/>
  <c r="AE339" i="4"/>
  <c r="CS339" i="4" s="1"/>
  <c r="AA338" i="4"/>
  <c r="AE338" i="4"/>
  <c r="CS338" i="4" s="1"/>
  <c r="AA337" i="4"/>
  <c r="AE337" i="4"/>
  <c r="CS337" i="4" s="1"/>
  <c r="AA336" i="4"/>
  <c r="AE336" i="4"/>
  <c r="CS336" i="4" s="1"/>
  <c r="AA335" i="4"/>
  <c r="AE335" i="4"/>
  <c r="CS335" i="4" s="1"/>
  <c r="AA334" i="4"/>
  <c r="AE334" i="4"/>
  <c r="CS334" i="4" s="1"/>
  <c r="AA333" i="4"/>
  <c r="AE333" i="4"/>
  <c r="CS333" i="4" s="1"/>
  <c r="AA332" i="4"/>
  <c r="AE332" i="4"/>
  <c r="CS332" i="4" s="1"/>
  <c r="AA331" i="4"/>
  <c r="AE331" i="4"/>
  <c r="CS331" i="4" s="1"/>
  <c r="AA330" i="4"/>
  <c r="AE330" i="4"/>
  <c r="CS330" i="4" s="1"/>
  <c r="AA329" i="4"/>
  <c r="AE329" i="4"/>
  <c r="CS329" i="4" s="1"/>
  <c r="AA328" i="4"/>
  <c r="AE328" i="4"/>
  <c r="CS328" i="4" s="1"/>
  <c r="AA327" i="4"/>
  <c r="AE327" i="4"/>
  <c r="CS327" i="4" s="1"/>
  <c r="AE326" i="4"/>
  <c r="CS326" i="4" s="1"/>
  <c r="AA326" i="4"/>
  <c r="AE325" i="4"/>
  <c r="CS325" i="4" s="1"/>
  <c r="AA325" i="4"/>
  <c r="AE324" i="4"/>
  <c r="CS324" i="4" s="1"/>
  <c r="AA324" i="4"/>
  <c r="AE323" i="4"/>
  <c r="CS323" i="4" s="1"/>
  <c r="AA323" i="4"/>
  <c r="AE322" i="4"/>
  <c r="CS322" i="4" s="1"/>
  <c r="AA322" i="4"/>
  <c r="AE321" i="4"/>
  <c r="CS321" i="4" s="1"/>
  <c r="AA321" i="4"/>
  <c r="AE320" i="4"/>
  <c r="CS320" i="4" s="1"/>
  <c r="AA320" i="4"/>
  <c r="AE319" i="4"/>
  <c r="CS319" i="4" s="1"/>
  <c r="AA319" i="4"/>
  <c r="AE318" i="4"/>
  <c r="CS318" i="4" s="1"/>
  <c r="AA318" i="4"/>
  <c r="AE317" i="4"/>
  <c r="CS317" i="4" s="1"/>
  <c r="AA317" i="4"/>
  <c r="AE316" i="4"/>
  <c r="CS316" i="4" s="1"/>
  <c r="AA316" i="4"/>
  <c r="AE315" i="4"/>
  <c r="CS315" i="4" s="1"/>
  <c r="AA315" i="4"/>
  <c r="AE314" i="4"/>
  <c r="CS314" i="4" s="1"/>
  <c r="AA314" i="4"/>
  <c r="AA313" i="4"/>
  <c r="AE313" i="4"/>
  <c r="CS313" i="4" s="1"/>
  <c r="AA312" i="4"/>
  <c r="AE312" i="4"/>
  <c r="CS312" i="4" s="1"/>
  <c r="AA311" i="4"/>
  <c r="AE311" i="4"/>
  <c r="CS311" i="4" s="1"/>
  <c r="AA310" i="4"/>
  <c r="AE310" i="4"/>
  <c r="CS310" i="4" s="1"/>
  <c r="AA309" i="4"/>
  <c r="AE309" i="4"/>
  <c r="CS309" i="4" s="1"/>
  <c r="AA308" i="4"/>
  <c r="AE308" i="4"/>
  <c r="CS308" i="4" s="1"/>
  <c r="AA307" i="4"/>
  <c r="AE307" i="4"/>
  <c r="CS307" i="4" s="1"/>
  <c r="AA306" i="4"/>
  <c r="AE306" i="4"/>
  <c r="CS306" i="4" s="1"/>
  <c r="AA305" i="4"/>
  <c r="AE305" i="4"/>
  <c r="CS305" i="4" s="1"/>
  <c r="AA304" i="4"/>
  <c r="AE304" i="4"/>
  <c r="CS304" i="4" s="1"/>
  <c r="AA303" i="4"/>
  <c r="AE303" i="4"/>
  <c r="CS303" i="4" s="1"/>
  <c r="AA302" i="4"/>
  <c r="AE302" i="4"/>
  <c r="CS302" i="4" s="1"/>
  <c r="AA301" i="4"/>
  <c r="AE301" i="4"/>
  <c r="CS301" i="4" s="1"/>
  <c r="AA300" i="4"/>
  <c r="AE300" i="4"/>
  <c r="CS300" i="4" s="1"/>
  <c r="AA299" i="4"/>
  <c r="AE299" i="4"/>
  <c r="CS299" i="4" s="1"/>
  <c r="AA298" i="4"/>
  <c r="AE298" i="4"/>
  <c r="CS298" i="4" s="1"/>
  <c r="AA297" i="4"/>
  <c r="AE297" i="4"/>
  <c r="CS297" i="4" s="1"/>
  <c r="AA296" i="4"/>
  <c r="AE296" i="4"/>
  <c r="CS296" i="4" s="1"/>
  <c r="AA295" i="4"/>
  <c r="AE295" i="4"/>
  <c r="CS295" i="4" s="1"/>
  <c r="AA294" i="4"/>
  <c r="AE294" i="4"/>
  <c r="CS294" i="4" s="1"/>
  <c r="AA293" i="4"/>
  <c r="AE293" i="4"/>
  <c r="CS293" i="4" s="1"/>
  <c r="AA292" i="4"/>
  <c r="AE292" i="4"/>
  <c r="CS292" i="4" s="1"/>
  <c r="AA291" i="4"/>
  <c r="AE291" i="4"/>
  <c r="CS291" i="4" s="1"/>
  <c r="AA290" i="4"/>
  <c r="AE290" i="4"/>
  <c r="CS290" i="4" s="1"/>
  <c r="AA289" i="4"/>
  <c r="AE289" i="4"/>
  <c r="CS289" i="4" s="1"/>
  <c r="AA288" i="4"/>
  <c r="AE288" i="4"/>
  <c r="CS288" i="4" s="1"/>
  <c r="AA287" i="4"/>
  <c r="AE287" i="4"/>
  <c r="CS287" i="4" s="1"/>
  <c r="AA286" i="4"/>
  <c r="AE286" i="4"/>
  <c r="CS286" i="4" s="1"/>
  <c r="AA285" i="4"/>
  <c r="AE285" i="4"/>
  <c r="CS285" i="4" s="1"/>
  <c r="AA284" i="4"/>
  <c r="AE284" i="4"/>
  <c r="CS284" i="4" s="1"/>
  <c r="AA283" i="4"/>
  <c r="AE283" i="4"/>
  <c r="CS283" i="4" s="1"/>
  <c r="AA282" i="4"/>
  <c r="AE282" i="4"/>
  <c r="CS282" i="4" s="1"/>
  <c r="AA281" i="4"/>
  <c r="AE281" i="4"/>
  <c r="CS281" i="4" s="1"/>
  <c r="AA280" i="4"/>
  <c r="AE280" i="4"/>
  <c r="CS280" i="4" s="1"/>
  <c r="AA279" i="4"/>
  <c r="AE279" i="4"/>
  <c r="CS279" i="4" s="1"/>
  <c r="AA278" i="4"/>
  <c r="AE278" i="4"/>
  <c r="CS278" i="4" s="1"/>
  <c r="AA277" i="4"/>
  <c r="AE277" i="4"/>
  <c r="CS277" i="4" s="1"/>
  <c r="AA276" i="4"/>
  <c r="AE276" i="4"/>
  <c r="CS276" i="4" s="1"/>
  <c r="AA275" i="4"/>
  <c r="AE275" i="4"/>
  <c r="CS275" i="4" s="1"/>
  <c r="AA274" i="4"/>
  <c r="AE274" i="4"/>
  <c r="CS274" i="4" s="1"/>
  <c r="AA273" i="4"/>
  <c r="AE273" i="4"/>
  <c r="CS273" i="4" s="1"/>
  <c r="AA272" i="4"/>
  <c r="AE272" i="4"/>
  <c r="CS272" i="4" s="1"/>
  <c r="AA271" i="4"/>
  <c r="AE271" i="4"/>
  <c r="CS271" i="4" s="1"/>
  <c r="AA270" i="4"/>
  <c r="AE270" i="4"/>
  <c r="CS270" i="4" s="1"/>
  <c r="AA269" i="4"/>
  <c r="AE269" i="4"/>
  <c r="CS269" i="4" s="1"/>
  <c r="AA268" i="4"/>
  <c r="AE268" i="4"/>
  <c r="CS268" i="4" s="1"/>
  <c r="AA267" i="4"/>
  <c r="AE267" i="4"/>
  <c r="CS267" i="4" s="1"/>
  <c r="AA266" i="4"/>
  <c r="AE266" i="4"/>
  <c r="CS266" i="4" s="1"/>
  <c r="AA265" i="4"/>
  <c r="AE265" i="4"/>
  <c r="CS265" i="4" s="1"/>
  <c r="AA264" i="4"/>
  <c r="AE264" i="4"/>
  <c r="CS264" i="4" s="1"/>
  <c r="AA263" i="4"/>
  <c r="AE263" i="4"/>
  <c r="CS263" i="4" s="1"/>
  <c r="AA262" i="4"/>
  <c r="AE262" i="4"/>
  <c r="CS262" i="4" s="1"/>
  <c r="AA261" i="4"/>
  <c r="AE261" i="4"/>
  <c r="CS261" i="4" s="1"/>
  <c r="AA260" i="4"/>
  <c r="AE260" i="4"/>
  <c r="CS260" i="4" s="1"/>
  <c r="AA259" i="4"/>
  <c r="AE259" i="4"/>
  <c r="CS259" i="4" s="1"/>
  <c r="AA258" i="4"/>
  <c r="AE258" i="4"/>
  <c r="CS258" i="4" s="1"/>
  <c r="AA257" i="4"/>
  <c r="AE257" i="4"/>
  <c r="CS257" i="4" s="1"/>
  <c r="AA256" i="4"/>
  <c r="AE256" i="4"/>
  <c r="CS256" i="4" s="1"/>
  <c r="AA255" i="4"/>
  <c r="AE255" i="4"/>
  <c r="CS255" i="4" s="1"/>
  <c r="AA254" i="4"/>
  <c r="AE254" i="4"/>
  <c r="CS254" i="4" s="1"/>
  <c r="AA253" i="4"/>
  <c r="AE253" i="4"/>
  <c r="CS253" i="4" s="1"/>
  <c r="AA252" i="4"/>
  <c r="AE252" i="4"/>
  <c r="CS252" i="4" s="1"/>
  <c r="AA251" i="4"/>
  <c r="AE251" i="4"/>
  <c r="CS251" i="4" s="1"/>
  <c r="AA250" i="4"/>
  <c r="AE250" i="4"/>
  <c r="CS250" i="4" s="1"/>
  <c r="AA249" i="4"/>
  <c r="AE249" i="4"/>
  <c r="CS249" i="4" s="1"/>
  <c r="AA248" i="4"/>
  <c r="AE248" i="4"/>
  <c r="CS248" i="4" s="1"/>
  <c r="AA247" i="4"/>
  <c r="AE247" i="4"/>
  <c r="CS247" i="4" s="1"/>
  <c r="AA246" i="4"/>
  <c r="AE246" i="4"/>
  <c r="CS246" i="4" s="1"/>
  <c r="AA245" i="4"/>
  <c r="AE245" i="4"/>
  <c r="CS245" i="4" s="1"/>
  <c r="AA244" i="4"/>
  <c r="AE244" i="4"/>
  <c r="CS244" i="4" s="1"/>
  <c r="AA243" i="4"/>
  <c r="AE243" i="4"/>
  <c r="CS243" i="4" s="1"/>
  <c r="AA242" i="4"/>
  <c r="AE242" i="4"/>
  <c r="CS242" i="4" s="1"/>
  <c r="AA241" i="4"/>
  <c r="AE241" i="4"/>
  <c r="CS241" i="4" s="1"/>
  <c r="AA240" i="4"/>
  <c r="AE240" i="4"/>
  <c r="CS240" i="4" s="1"/>
  <c r="AA239" i="4"/>
  <c r="AE239" i="4"/>
  <c r="CS239" i="4" s="1"/>
  <c r="AA238" i="4"/>
  <c r="AE238" i="4"/>
  <c r="CS238" i="4" s="1"/>
  <c r="AA237" i="4"/>
  <c r="AE237" i="4"/>
  <c r="CS237" i="4" s="1"/>
  <c r="AA236" i="4"/>
  <c r="AE236" i="4"/>
  <c r="CS236" i="4" s="1"/>
  <c r="AA235" i="4"/>
  <c r="AE235" i="4"/>
  <c r="CS235" i="4" s="1"/>
  <c r="AA234" i="4"/>
  <c r="AE234" i="4"/>
  <c r="CS234" i="4" s="1"/>
  <c r="AA233" i="4"/>
  <c r="AE233" i="4"/>
  <c r="CS233" i="4" s="1"/>
  <c r="AA232" i="4"/>
  <c r="AE232" i="4"/>
  <c r="CS232" i="4" s="1"/>
  <c r="AA231" i="4"/>
  <c r="AE231" i="4"/>
  <c r="CS231" i="4" s="1"/>
  <c r="AA230" i="4"/>
  <c r="AE230" i="4"/>
  <c r="CS230" i="4" s="1"/>
  <c r="AA229" i="4"/>
  <c r="AE229" i="4"/>
  <c r="CS229" i="4" s="1"/>
  <c r="AA228" i="4"/>
  <c r="AE228" i="4"/>
  <c r="CS228" i="4" s="1"/>
  <c r="AA227" i="4"/>
  <c r="AE227" i="4"/>
  <c r="CS227" i="4" s="1"/>
  <c r="AA226" i="4"/>
  <c r="AE226" i="4"/>
  <c r="CS226" i="4" s="1"/>
  <c r="AA225" i="4"/>
  <c r="AE225" i="4"/>
  <c r="CS225" i="4" s="1"/>
  <c r="AA224" i="4"/>
  <c r="AE224" i="4"/>
  <c r="CS224" i="4" s="1"/>
  <c r="AA214" i="4"/>
  <c r="AE214" i="4"/>
  <c r="AA213" i="4"/>
  <c r="AE213" i="4"/>
  <c r="AA212" i="4"/>
  <c r="AE212" i="4"/>
  <c r="AA211" i="4"/>
  <c r="AE211" i="4"/>
  <c r="AA210" i="4"/>
  <c r="AE210" i="4"/>
  <c r="AA209" i="4"/>
  <c r="AE209" i="4"/>
  <c r="AA208" i="4"/>
  <c r="AE208" i="4"/>
  <c r="AA207" i="4"/>
  <c r="AE207" i="4"/>
  <c r="AA206" i="4"/>
  <c r="AE206" i="4"/>
  <c r="AA205" i="4"/>
  <c r="AE205" i="4"/>
  <c r="AA204" i="4"/>
  <c r="AE204" i="4"/>
  <c r="AA203" i="4"/>
  <c r="AE203" i="4"/>
  <c r="AA202" i="4"/>
  <c r="AE202" i="4"/>
  <c r="AA201" i="4"/>
  <c r="AE201" i="4"/>
  <c r="AA200" i="4"/>
  <c r="AE200" i="4"/>
  <c r="AA199" i="4"/>
  <c r="AE199" i="4"/>
  <c r="AE198" i="4"/>
  <c r="AE197" i="4"/>
  <c r="AE196" i="4"/>
  <c r="AE195" i="4"/>
  <c r="AA194" i="4"/>
  <c r="AE194" i="4"/>
  <c r="AA193" i="4"/>
  <c r="AE193" i="4"/>
  <c r="AA192" i="4"/>
  <c r="AE192" i="4"/>
  <c r="AE191" i="4"/>
  <c r="AA190" i="4"/>
  <c r="AE190" i="4"/>
  <c r="CS190" i="4" s="1"/>
  <c r="AA189" i="4"/>
  <c r="AE189" i="4"/>
  <c r="CS189" i="4" s="1"/>
  <c r="AA188" i="4"/>
  <c r="AE188" i="4"/>
  <c r="CS188" i="4" s="1"/>
  <c r="AA187" i="4"/>
  <c r="AE187" i="4"/>
  <c r="CS187" i="4" s="1"/>
  <c r="AA186" i="4"/>
  <c r="AE186" i="4"/>
  <c r="AA185" i="4"/>
  <c r="AE185" i="4"/>
  <c r="AA184" i="4"/>
  <c r="AE184" i="4"/>
  <c r="AA183" i="4"/>
  <c r="AE183" i="4"/>
  <c r="AA182" i="4"/>
  <c r="AE182" i="4"/>
  <c r="AA181" i="4"/>
  <c r="AE181" i="4"/>
  <c r="AA180" i="4"/>
  <c r="AE180" i="4"/>
  <c r="AA179" i="4"/>
  <c r="AE179" i="4"/>
  <c r="AA178" i="4"/>
  <c r="AE178" i="4"/>
  <c r="AA177" i="4"/>
  <c r="AE177" i="4"/>
  <c r="AA176" i="4"/>
  <c r="AE176" i="4"/>
  <c r="AA175" i="4"/>
  <c r="AE175" i="4"/>
  <c r="AA174" i="4"/>
  <c r="AE174" i="4"/>
  <c r="AA173" i="4"/>
  <c r="AE173" i="4"/>
  <c r="AA172" i="4"/>
  <c r="AE172" i="4"/>
  <c r="AA171" i="4"/>
  <c r="AE171" i="4"/>
  <c r="AA170" i="4"/>
  <c r="AE170" i="4"/>
  <c r="AA169" i="4"/>
  <c r="AE169" i="4"/>
  <c r="AA168" i="4"/>
  <c r="AE168" i="4"/>
  <c r="AA167" i="4"/>
  <c r="AE167" i="4"/>
  <c r="AA166" i="4"/>
  <c r="AE166" i="4"/>
  <c r="AA165" i="4"/>
  <c r="AE165" i="4"/>
  <c r="AA164" i="4"/>
  <c r="AE164" i="4"/>
  <c r="AA163" i="4"/>
  <c r="AE163" i="4"/>
  <c r="AA162" i="4"/>
  <c r="AE162" i="4"/>
  <c r="AA161" i="4"/>
  <c r="AE161" i="4"/>
  <c r="AA160" i="4"/>
  <c r="AE160" i="4"/>
  <c r="AA159" i="4"/>
  <c r="AE159" i="4"/>
  <c r="AA158" i="4"/>
  <c r="AE158" i="4"/>
  <c r="AA157" i="4"/>
  <c r="AE157" i="4"/>
  <c r="AA156" i="4"/>
  <c r="AE156" i="4"/>
  <c r="AA155" i="4"/>
  <c r="AE155" i="4"/>
  <c r="AA154" i="4"/>
  <c r="AE154" i="4"/>
  <c r="AA153" i="4"/>
  <c r="AE153" i="4"/>
  <c r="AA152" i="4"/>
  <c r="AE152" i="4"/>
  <c r="AA151" i="4"/>
  <c r="AE151" i="4"/>
  <c r="AA150" i="4"/>
  <c r="AE150" i="4"/>
  <c r="AA149" i="4"/>
  <c r="AE149" i="4"/>
  <c r="AA148" i="4"/>
  <c r="AE148" i="4"/>
  <c r="AA147" i="4"/>
  <c r="AE147" i="4"/>
  <c r="AA146" i="4"/>
  <c r="AE146" i="4"/>
  <c r="AA145" i="4"/>
  <c r="AE145" i="4"/>
  <c r="AA144" i="4"/>
  <c r="AE144" i="4"/>
  <c r="AA143" i="4"/>
  <c r="AE143" i="4"/>
  <c r="AA142" i="4"/>
  <c r="AE142" i="4"/>
  <c r="AA141" i="4"/>
  <c r="AE141" i="4"/>
  <c r="AA140" i="4"/>
  <c r="AE140" i="4"/>
  <c r="AA139" i="4"/>
  <c r="AE139" i="4"/>
  <c r="AA138" i="4"/>
  <c r="AE138" i="4"/>
  <c r="AA137" i="4"/>
  <c r="AE137" i="4"/>
  <c r="AA136" i="4"/>
  <c r="AE136" i="4"/>
  <c r="AA135" i="4"/>
  <c r="AE135" i="4"/>
  <c r="AA134" i="4"/>
  <c r="AE134" i="4"/>
  <c r="AA133" i="4"/>
  <c r="AE133" i="4"/>
  <c r="AA132" i="4"/>
  <c r="AE132" i="4"/>
  <c r="AA131" i="4"/>
  <c r="AE131" i="4"/>
  <c r="AA130" i="4"/>
  <c r="AE130" i="4"/>
  <c r="AA129" i="4"/>
  <c r="AE129" i="4"/>
  <c r="AA128" i="4"/>
  <c r="AE128" i="4"/>
  <c r="AA127" i="4"/>
  <c r="AE127" i="4"/>
  <c r="AA126" i="4"/>
  <c r="AE126" i="4"/>
  <c r="AA125" i="4"/>
  <c r="AE125" i="4"/>
  <c r="AA124" i="4"/>
  <c r="AE124" i="4"/>
  <c r="AA123" i="4"/>
  <c r="AE123" i="4"/>
  <c r="AA122" i="4"/>
  <c r="AE122" i="4"/>
  <c r="AA121" i="4"/>
  <c r="AE121" i="4"/>
  <c r="AA120" i="4"/>
  <c r="AE120" i="4"/>
  <c r="AA119" i="4"/>
  <c r="AE119" i="4"/>
  <c r="AA118" i="4"/>
  <c r="AE118" i="4"/>
  <c r="AA117" i="4"/>
  <c r="AE117" i="4"/>
  <c r="AA116" i="4"/>
  <c r="AE116" i="4"/>
  <c r="AA115" i="4"/>
  <c r="AE115" i="4"/>
  <c r="AA114" i="4"/>
  <c r="AE114" i="4"/>
  <c r="AA113" i="4"/>
  <c r="AE113" i="4"/>
  <c r="AA112" i="4"/>
  <c r="AE112" i="4"/>
  <c r="AA111" i="4"/>
  <c r="AE111" i="4"/>
  <c r="AA110" i="4"/>
  <c r="AE110" i="4"/>
  <c r="AA109" i="4"/>
  <c r="AE109" i="4"/>
  <c r="AA108" i="4"/>
  <c r="AE108" i="4"/>
  <c r="AA107" i="4"/>
  <c r="AE107" i="4"/>
  <c r="AA106" i="4"/>
  <c r="AE106" i="4"/>
  <c r="AA105" i="4"/>
  <c r="AE105" i="4"/>
  <c r="AA104" i="4"/>
  <c r="AE104" i="4"/>
  <c r="AA103" i="4"/>
  <c r="AE103" i="4"/>
  <c r="AA102" i="4"/>
  <c r="AE102" i="4"/>
  <c r="AA101" i="4"/>
  <c r="AE101" i="4"/>
  <c r="AA100" i="4"/>
  <c r="AE100" i="4"/>
  <c r="AA99" i="4"/>
  <c r="AE99" i="4"/>
  <c r="AA98" i="4"/>
  <c r="AE98" i="4"/>
  <c r="AA97" i="4"/>
  <c r="AE97" i="4"/>
  <c r="AA96" i="4"/>
  <c r="AE96" i="4"/>
  <c r="AA95" i="4"/>
  <c r="AE95" i="4"/>
  <c r="AA94" i="4"/>
  <c r="AE94" i="4"/>
  <c r="AA93" i="4"/>
  <c r="AE93" i="4"/>
  <c r="AA92" i="4"/>
  <c r="AE92" i="4"/>
  <c r="AA91" i="4"/>
  <c r="AE91" i="4"/>
  <c r="AA90" i="4"/>
  <c r="AE90" i="4"/>
  <c r="AE89" i="4"/>
  <c r="AA89" i="4"/>
  <c r="AA88" i="4"/>
  <c r="AE88" i="4"/>
  <c r="AA87" i="4"/>
  <c r="AE87" i="4"/>
  <c r="AA86" i="4"/>
  <c r="AE86" i="4"/>
  <c r="AA85" i="4"/>
  <c r="AE85" i="4"/>
  <c r="AA84" i="4"/>
  <c r="AE84" i="4"/>
  <c r="AA83" i="4"/>
  <c r="AE83" i="4"/>
  <c r="AA82" i="4"/>
  <c r="AE82" i="4"/>
  <c r="AA81" i="4"/>
  <c r="AE81" i="4"/>
  <c r="AA80" i="4"/>
  <c r="AE80" i="4"/>
  <c r="AA79" i="4"/>
  <c r="AE79" i="4"/>
  <c r="AA78" i="4"/>
  <c r="AE78" i="4"/>
  <c r="AA77" i="4"/>
  <c r="AE77" i="4"/>
  <c r="AA76" i="4"/>
  <c r="AE76" i="4"/>
  <c r="AA75" i="4"/>
  <c r="AE75" i="4"/>
  <c r="AA74" i="4"/>
  <c r="AE74" i="4"/>
  <c r="AA73" i="4"/>
  <c r="AE73" i="4"/>
  <c r="AA72" i="4"/>
  <c r="AE72" i="4"/>
  <c r="AA71" i="4"/>
  <c r="AE71" i="4"/>
  <c r="AA70" i="4"/>
  <c r="AE70" i="4"/>
  <c r="AA69" i="4"/>
  <c r="AE69" i="4"/>
  <c r="AA68" i="4"/>
  <c r="AE68" i="4"/>
  <c r="AA67" i="4"/>
  <c r="AE67" i="4"/>
  <c r="AA66" i="4"/>
  <c r="AE66" i="4"/>
  <c r="AA65" i="4"/>
  <c r="AE65" i="4"/>
  <c r="AA64" i="4"/>
  <c r="AE64" i="4"/>
  <c r="AA63" i="4"/>
  <c r="AE63" i="4"/>
  <c r="AA62" i="4"/>
  <c r="AE62" i="4"/>
  <c r="AA61" i="4"/>
  <c r="AE61" i="4"/>
  <c r="AA60" i="4"/>
  <c r="AE60" i="4"/>
  <c r="AA59" i="4"/>
  <c r="AE59" i="4"/>
  <c r="AA58" i="4"/>
  <c r="AE58" i="4"/>
  <c r="AA57" i="4"/>
  <c r="AE57" i="4"/>
  <c r="AA56" i="4"/>
  <c r="AE56" i="4"/>
  <c r="AA55" i="4"/>
  <c r="AE55" i="4"/>
  <c r="AA54" i="4"/>
  <c r="AE54" i="4"/>
  <c r="AA53" i="4"/>
  <c r="AE53" i="4"/>
  <c r="AA52" i="4"/>
  <c r="AE52" i="4"/>
  <c r="AA51" i="4"/>
  <c r="AE51" i="4"/>
  <c r="AA50" i="4"/>
  <c r="AE50" i="4"/>
  <c r="AA49" i="4"/>
  <c r="AE49" i="4"/>
  <c r="AA48" i="4"/>
  <c r="AE48" i="4"/>
  <c r="AA47" i="4"/>
  <c r="AE47" i="4"/>
  <c r="AA46" i="4"/>
  <c r="AE46" i="4"/>
  <c r="AA45" i="4"/>
  <c r="AE45" i="4"/>
  <c r="AA44" i="4"/>
  <c r="AE44" i="4"/>
  <c r="AA43" i="4"/>
  <c r="AE43" i="4"/>
  <c r="CS43" i="4" s="1"/>
  <c r="AA42" i="4"/>
  <c r="AE42" i="4"/>
  <c r="CS42" i="4" s="1"/>
  <c r="AA41" i="4"/>
  <c r="AE41" i="4"/>
  <c r="CS41" i="4" s="1"/>
  <c r="AA40" i="4"/>
  <c r="AE40" i="4"/>
  <c r="CS40" i="4" s="1"/>
  <c r="AA39" i="4"/>
  <c r="AE39" i="4"/>
  <c r="CS39" i="4" s="1"/>
  <c r="AA38" i="4"/>
  <c r="AE38" i="4"/>
  <c r="CS38" i="4" s="1"/>
  <c r="AA37" i="4"/>
  <c r="AE37" i="4"/>
  <c r="CS37" i="4" s="1"/>
  <c r="AA36" i="4"/>
  <c r="AE36" i="4"/>
  <c r="CS36" i="4" s="1"/>
  <c r="AA35" i="4"/>
  <c r="AE35" i="4"/>
  <c r="CS35" i="4" s="1"/>
  <c r="AA34" i="4"/>
  <c r="AE34" i="4"/>
  <c r="CS34" i="4" s="1"/>
  <c r="AA33" i="4"/>
  <c r="AE33" i="4"/>
  <c r="CS33" i="4" s="1"/>
  <c r="AA32" i="4"/>
  <c r="AE32" i="4"/>
  <c r="CS32" i="4" s="1"/>
  <c r="AA31" i="4"/>
  <c r="AE31" i="4"/>
  <c r="CS31" i="4" s="1"/>
  <c r="AA30" i="4"/>
  <c r="AE30" i="4"/>
  <c r="CS30" i="4" s="1"/>
  <c r="AA29" i="4"/>
  <c r="AE29" i="4"/>
  <c r="CS29" i="4" s="1"/>
  <c r="AA28" i="4"/>
  <c r="AE28" i="4"/>
  <c r="CS28" i="4" s="1"/>
  <c r="AA27" i="4"/>
  <c r="AE27" i="4"/>
  <c r="CS27" i="4" s="1"/>
  <c r="AA26" i="4"/>
  <c r="AE26" i="4"/>
  <c r="CS26" i="4" s="1"/>
  <c r="AA25" i="4"/>
  <c r="Z25" i="4" s="1"/>
  <c r="AE25" i="4"/>
  <c r="AA24" i="4"/>
  <c r="Z24" i="4" s="1"/>
  <c r="AE24" i="4"/>
  <c r="AA23" i="4"/>
  <c r="Z23" i="4" s="1"/>
  <c r="AE23" i="4"/>
  <c r="AA22" i="4"/>
  <c r="Z22" i="4" s="1"/>
  <c r="AE22" i="4"/>
  <c r="AA21" i="4"/>
  <c r="Z21" i="4" s="1"/>
  <c r="AE21" i="4"/>
  <c r="AA20" i="4"/>
  <c r="Z20" i="4" s="1"/>
  <c r="AE20" i="4"/>
  <c r="AA19" i="4"/>
  <c r="Z19" i="4" s="1"/>
  <c r="AE19" i="4"/>
  <c r="AA18" i="4"/>
  <c r="Z18" i="4" s="1"/>
  <c r="AE18" i="4"/>
  <c r="AA17" i="4"/>
  <c r="Z17" i="4" s="1"/>
  <c r="AE17" i="4"/>
  <c r="AA16" i="4"/>
  <c r="Z16" i="4" s="1"/>
  <c r="AE16" i="4"/>
  <c r="AA15" i="4"/>
  <c r="Z15" i="4" s="1"/>
  <c r="AE15" i="4"/>
  <c r="AA14" i="4"/>
  <c r="Z14" i="4" s="1"/>
  <c r="AE14" i="4"/>
  <c r="AA13" i="4"/>
  <c r="Z13" i="4" s="1"/>
  <c r="AE13" i="4"/>
  <c r="AA12" i="4"/>
  <c r="Z12" i="4" s="1"/>
  <c r="AE12" i="4"/>
  <c r="AA11" i="4"/>
  <c r="Z11" i="4" s="1"/>
  <c r="AE11" i="4"/>
  <c r="AA10" i="4"/>
  <c r="Z10" i="4" s="1"/>
  <c r="AE10" i="4"/>
  <c r="AA9" i="4"/>
  <c r="Z9" i="4" s="1"/>
  <c r="AE9" i="4"/>
  <c r="AG8" i="4"/>
  <c r="AC8" i="4"/>
  <c r="AB618" i="4"/>
  <c r="AF618" i="4"/>
  <c r="AB616" i="4"/>
  <c r="AF616" i="4"/>
  <c r="AB614" i="4"/>
  <c r="AF614" i="4"/>
  <c r="AB612" i="4"/>
  <c r="AF612" i="4"/>
  <c r="AB611" i="4"/>
  <c r="AF611" i="4"/>
  <c r="AB609" i="4"/>
  <c r="AF609" i="4"/>
  <c r="AB607" i="4"/>
  <c r="AF607" i="4"/>
  <c r="AB605" i="4"/>
  <c r="AF605" i="4"/>
  <c r="AB603" i="4"/>
  <c r="AF603" i="4"/>
  <c r="AB601" i="4"/>
  <c r="AF601" i="4"/>
  <c r="AB599" i="4"/>
  <c r="AF599" i="4"/>
  <c r="AB596" i="4"/>
  <c r="AF596" i="4"/>
  <c r="AB594" i="4"/>
  <c r="AF594" i="4"/>
  <c r="AB592" i="4"/>
  <c r="AF592" i="4"/>
  <c r="AB590" i="4"/>
  <c r="AF590" i="4"/>
  <c r="AB589" i="4"/>
  <c r="AF589" i="4"/>
  <c r="AB587" i="4"/>
  <c r="AF587" i="4"/>
  <c r="AB585" i="4"/>
  <c r="AF585" i="4"/>
  <c r="AB583" i="4"/>
  <c r="AF583" i="4"/>
  <c r="AB581" i="4"/>
  <c r="AF581" i="4"/>
  <c r="AB579" i="4"/>
  <c r="AF579" i="4"/>
  <c r="AB577" i="4"/>
  <c r="AF577" i="4"/>
  <c r="AB576" i="4"/>
  <c r="AF576" i="4"/>
  <c r="AB574" i="4"/>
  <c r="AF574" i="4"/>
  <c r="AB572" i="4"/>
  <c r="AF572" i="4"/>
  <c r="AB570" i="4"/>
  <c r="AF570" i="4"/>
  <c r="AB567" i="4"/>
  <c r="AF567" i="4"/>
  <c r="AB565" i="4"/>
  <c r="AF565" i="4"/>
  <c r="AB562" i="4"/>
  <c r="AF562" i="4"/>
  <c r="AB560" i="4"/>
  <c r="AF560" i="4"/>
  <c r="AB558" i="4"/>
  <c r="AF558" i="4"/>
  <c r="AB555" i="4"/>
  <c r="AF555" i="4"/>
  <c r="AB553" i="4"/>
  <c r="AF553" i="4"/>
  <c r="AB551" i="4"/>
  <c r="AF551" i="4"/>
  <c r="AB549" i="4"/>
  <c r="AF549" i="4"/>
  <c r="AB547" i="4"/>
  <c r="AF547" i="4"/>
  <c r="AB544" i="4"/>
  <c r="AF544" i="4"/>
  <c r="AB543" i="4"/>
  <c r="AF543" i="4"/>
  <c r="AB541" i="4"/>
  <c r="AF541" i="4"/>
  <c r="AB539" i="4"/>
  <c r="AF539" i="4"/>
  <c r="AB538" i="4"/>
  <c r="AF538" i="4"/>
  <c r="AB536" i="4"/>
  <c r="AF536" i="4"/>
  <c r="AB534" i="4"/>
  <c r="AF534" i="4"/>
  <c r="AB533" i="4"/>
  <c r="AF533" i="4"/>
  <c r="AB531" i="4"/>
  <c r="AF531" i="4"/>
  <c r="AB529" i="4"/>
  <c r="AF529" i="4"/>
  <c r="AB527" i="4"/>
  <c r="AF527" i="4"/>
  <c r="CT527" i="4" s="1"/>
  <c r="AB524" i="4"/>
  <c r="AF524" i="4"/>
  <c r="CT524" i="4" s="1"/>
  <c r="AB522" i="4"/>
  <c r="AF522" i="4"/>
  <c r="CT522" i="4" s="1"/>
  <c r="AB519" i="4"/>
  <c r="AF519" i="4"/>
  <c r="AB517" i="4"/>
  <c r="AF517" i="4"/>
  <c r="AB515" i="4"/>
  <c r="AF515" i="4"/>
  <c r="AB513" i="4"/>
  <c r="AF513" i="4"/>
  <c r="AB510" i="4"/>
  <c r="AF510" i="4"/>
  <c r="AB509" i="4"/>
  <c r="AF509" i="4"/>
  <c r="AB507" i="4"/>
  <c r="AF507" i="4"/>
  <c r="AB505" i="4"/>
  <c r="AF505" i="4"/>
  <c r="AB503" i="4"/>
  <c r="AF503" i="4"/>
  <c r="CT503" i="4" s="1"/>
  <c r="AB501" i="4"/>
  <c r="AF501" i="4"/>
  <c r="CT501" i="4" s="1"/>
  <c r="AB499" i="4"/>
  <c r="AF499" i="4"/>
  <c r="CT499" i="4" s="1"/>
  <c r="AB497" i="4"/>
  <c r="AF497" i="4"/>
  <c r="CT497" i="4" s="1"/>
  <c r="AB495" i="4"/>
  <c r="AF495" i="4"/>
  <c r="CT495" i="4" s="1"/>
  <c r="AB493" i="4"/>
  <c r="AF493" i="4"/>
  <c r="CT493" i="4" s="1"/>
  <c r="AB491" i="4"/>
  <c r="AF491" i="4"/>
  <c r="CT491" i="4" s="1"/>
  <c r="AB488" i="4"/>
  <c r="AF488" i="4"/>
  <c r="CT488" i="4" s="1"/>
  <c r="AB485" i="4"/>
  <c r="AF485" i="4"/>
  <c r="AB482" i="4"/>
  <c r="AF482" i="4"/>
  <c r="AB480" i="4"/>
  <c r="AF480" i="4"/>
  <c r="AB479" i="4"/>
  <c r="AF479" i="4"/>
  <c r="AB477" i="4"/>
  <c r="AF477" i="4"/>
  <c r="AB475" i="4"/>
  <c r="AF475" i="4"/>
  <c r="AB473" i="4"/>
  <c r="AF473" i="4"/>
  <c r="CT473" i="4" s="1"/>
  <c r="AB472" i="4"/>
  <c r="AF472" i="4"/>
  <c r="CT472" i="4" s="1"/>
  <c r="AB470" i="4"/>
  <c r="AF470" i="4"/>
  <c r="AB468" i="4"/>
  <c r="AF468" i="4"/>
  <c r="AB466" i="4"/>
  <c r="AF466" i="4"/>
  <c r="AB464" i="4"/>
  <c r="AF464" i="4"/>
  <c r="AB462" i="4"/>
  <c r="AF462" i="4"/>
  <c r="AB459" i="4"/>
  <c r="AF459" i="4"/>
  <c r="CT459" i="4" s="1"/>
  <c r="AB457" i="4"/>
  <c r="AF457" i="4"/>
  <c r="CT457" i="4" s="1"/>
  <c r="AB455" i="4"/>
  <c r="AF455" i="4"/>
  <c r="CT455" i="4" s="1"/>
  <c r="AB454" i="4"/>
  <c r="AF454" i="4"/>
  <c r="CT454" i="4" s="1"/>
  <c r="AB452" i="4"/>
  <c r="AF452" i="4"/>
  <c r="CT452" i="4" s="1"/>
  <c r="AB450" i="4"/>
  <c r="AF450" i="4"/>
  <c r="CT450" i="4" s="1"/>
  <c r="AB448" i="4"/>
  <c r="AF448" i="4"/>
  <c r="CT448" i="4" s="1"/>
  <c r="AB446" i="4"/>
  <c r="AF446" i="4"/>
  <c r="CT446" i="4" s="1"/>
  <c r="AB444" i="4"/>
  <c r="AF444" i="4"/>
  <c r="CT444" i="4" s="1"/>
  <c r="AB442" i="4"/>
  <c r="AF442" i="4"/>
  <c r="CT442" i="4" s="1"/>
  <c r="AB440" i="4"/>
  <c r="AF440" i="4"/>
  <c r="CT440" i="4" s="1"/>
  <c r="AB438" i="4"/>
  <c r="AF438" i="4"/>
  <c r="CT438" i="4" s="1"/>
  <c r="AB436" i="4"/>
  <c r="AF436" i="4"/>
  <c r="CT436" i="4" s="1"/>
  <c r="AB434" i="4"/>
  <c r="AF434" i="4"/>
  <c r="CT434" i="4" s="1"/>
  <c r="AB432" i="4"/>
  <c r="AF432" i="4"/>
  <c r="CT432" i="4" s="1"/>
  <c r="AB430" i="4"/>
  <c r="AF430" i="4"/>
  <c r="CT430" i="4" s="1"/>
  <c r="AB428" i="4"/>
  <c r="AF428" i="4"/>
  <c r="CT428" i="4" s="1"/>
  <c r="AB427" i="4"/>
  <c r="AF427" i="4"/>
  <c r="CT427" i="4" s="1"/>
  <c r="AB425" i="4"/>
  <c r="AF425" i="4"/>
  <c r="CT425" i="4" s="1"/>
  <c r="AB423" i="4"/>
  <c r="AF423" i="4"/>
  <c r="CT423" i="4" s="1"/>
  <c r="AB422" i="4"/>
  <c r="AF422" i="4"/>
  <c r="CT422" i="4" s="1"/>
  <c r="AB420" i="4"/>
  <c r="AF420" i="4"/>
  <c r="CT420" i="4" s="1"/>
  <c r="AB418" i="4"/>
  <c r="AF418" i="4"/>
  <c r="CT418" i="4" s="1"/>
  <c r="AB416" i="4"/>
  <c r="AF416" i="4"/>
  <c r="CT416" i="4" s="1"/>
  <c r="AB414" i="4"/>
  <c r="AF414" i="4"/>
  <c r="CT414" i="4" s="1"/>
  <c r="AB410" i="4"/>
  <c r="AF410" i="4"/>
  <c r="CT410" i="4" s="1"/>
  <c r="AB408" i="4"/>
  <c r="AF408" i="4"/>
  <c r="CT408" i="4" s="1"/>
  <c r="AB405" i="4"/>
  <c r="AF405" i="4"/>
  <c r="CT405" i="4" s="1"/>
  <c r="AB403" i="4"/>
  <c r="AF403" i="4"/>
  <c r="CT403" i="4" s="1"/>
  <c r="AB400" i="4"/>
  <c r="AF400" i="4"/>
  <c r="CT400" i="4" s="1"/>
  <c r="AB398" i="4"/>
  <c r="AF398" i="4"/>
  <c r="CT398" i="4" s="1"/>
  <c r="AB396" i="4"/>
  <c r="AF396" i="4"/>
  <c r="CT396" i="4" s="1"/>
  <c r="AB393" i="4"/>
  <c r="AF393" i="4"/>
  <c r="CT393" i="4" s="1"/>
  <c r="AB391" i="4"/>
  <c r="AF391" i="4"/>
  <c r="CT391" i="4" s="1"/>
  <c r="AB389" i="4"/>
  <c r="AF389" i="4"/>
  <c r="CT389" i="4" s="1"/>
  <c r="AB387" i="4"/>
  <c r="AF387" i="4"/>
  <c r="CT387" i="4" s="1"/>
  <c r="AB385" i="4"/>
  <c r="AF385" i="4"/>
  <c r="CT385" i="4" s="1"/>
  <c r="AB384" i="4"/>
  <c r="AF384" i="4"/>
  <c r="CT384" i="4" s="1"/>
  <c r="AB382" i="4"/>
  <c r="AF382" i="4"/>
  <c r="CT382" i="4" s="1"/>
  <c r="AB380" i="4"/>
  <c r="AF380" i="4"/>
  <c r="CT380" i="4" s="1"/>
  <c r="AB378" i="4"/>
  <c r="AF378" i="4"/>
  <c r="CT378" i="4" s="1"/>
  <c r="AB376" i="4"/>
  <c r="AF376" i="4"/>
  <c r="CT376" i="4" s="1"/>
  <c r="AB374" i="4"/>
  <c r="AF374" i="4"/>
  <c r="CT374" i="4" s="1"/>
  <c r="AB372" i="4"/>
  <c r="AF372" i="4"/>
  <c r="CT372" i="4" s="1"/>
  <c r="AB370" i="4"/>
  <c r="AF370" i="4"/>
  <c r="CT370" i="4" s="1"/>
  <c r="AB368" i="4"/>
  <c r="AF368" i="4"/>
  <c r="CT368" i="4" s="1"/>
  <c r="AB366" i="4"/>
  <c r="AF366" i="4"/>
  <c r="CT366" i="4" s="1"/>
  <c r="AB364" i="4"/>
  <c r="AF364" i="4"/>
  <c r="CT364" i="4" s="1"/>
  <c r="AB362" i="4"/>
  <c r="AF362" i="4"/>
  <c r="CT362" i="4" s="1"/>
  <c r="AB360" i="4"/>
  <c r="AF360" i="4"/>
  <c r="CT360" i="4" s="1"/>
  <c r="AB358" i="4"/>
  <c r="AF358" i="4"/>
  <c r="CT358" i="4" s="1"/>
  <c r="AB356" i="4"/>
  <c r="AF356" i="4"/>
  <c r="CT356" i="4" s="1"/>
  <c r="AB354" i="4"/>
  <c r="AF354" i="4"/>
  <c r="CT354" i="4" s="1"/>
  <c r="AB352" i="4"/>
  <c r="AF352" i="4"/>
  <c r="CT352" i="4" s="1"/>
  <c r="AB350" i="4"/>
  <c r="AF350" i="4"/>
  <c r="CT350" i="4" s="1"/>
  <c r="AB348" i="4"/>
  <c r="AF348" i="4"/>
  <c r="CT348" i="4" s="1"/>
  <c r="AB346" i="4"/>
  <c r="AF346" i="4"/>
  <c r="CT346" i="4" s="1"/>
  <c r="AB345" i="4"/>
  <c r="AF345" i="4"/>
  <c r="CT345" i="4" s="1"/>
  <c r="AB342" i="4"/>
  <c r="AF342" i="4"/>
  <c r="CT342" i="4" s="1"/>
  <c r="AB340" i="4"/>
  <c r="AF340" i="4"/>
  <c r="CT340" i="4" s="1"/>
  <c r="AB339" i="4"/>
  <c r="AF339" i="4"/>
  <c r="CT339" i="4" s="1"/>
  <c r="AB337" i="4"/>
  <c r="AF337" i="4"/>
  <c r="CT337" i="4" s="1"/>
  <c r="AB335" i="4"/>
  <c r="AF335" i="4"/>
  <c r="CT335" i="4" s="1"/>
  <c r="AB333" i="4"/>
  <c r="AF333" i="4"/>
  <c r="CT333" i="4" s="1"/>
  <c r="AB331" i="4"/>
  <c r="AF331" i="4"/>
  <c r="CT331" i="4" s="1"/>
  <c r="AB329" i="4"/>
  <c r="AF329" i="4"/>
  <c r="CT329" i="4" s="1"/>
  <c r="AB328" i="4"/>
  <c r="AF328" i="4"/>
  <c r="CT328" i="4" s="1"/>
  <c r="AB326" i="4"/>
  <c r="AF326" i="4"/>
  <c r="CT326" i="4" s="1"/>
  <c r="AB324" i="4"/>
  <c r="AF324" i="4"/>
  <c r="CT324" i="4" s="1"/>
  <c r="AB322" i="4"/>
  <c r="AF322" i="4"/>
  <c r="CT322" i="4" s="1"/>
  <c r="AB320" i="4"/>
  <c r="AF320" i="4"/>
  <c r="CT320" i="4" s="1"/>
  <c r="AB318" i="4"/>
  <c r="AF318" i="4"/>
  <c r="CT318" i="4" s="1"/>
  <c r="AB316" i="4"/>
  <c r="AF316" i="4"/>
  <c r="CT316" i="4" s="1"/>
  <c r="AB314" i="4"/>
  <c r="AF314" i="4"/>
  <c r="CT314" i="4" s="1"/>
  <c r="AB312" i="4"/>
  <c r="AF312" i="4"/>
  <c r="CT312" i="4" s="1"/>
  <c r="AB310" i="4"/>
  <c r="AF310" i="4"/>
  <c r="CT310" i="4" s="1"/>
  <c r="AB308" i="4"/>
  <c r="AF308" i="4"/>
  <c r="CT308" i="4" s="1"/>
  <c r="AB306" i="4"/>
  <c r="AF306" i="4"/>
  <c r="CT306" i="4" s="1"/>
  <c r="AB305" i="4"/>
  <c r="AF305" i="4"/>
  <c r="CT305" i="4" s="1"/>
  <c r="AB302" i="4"/>
  <c r="AF302" i="4"/>
  <c r="CT302" i="4" s="1"/>
  <c r="AB300" i="4"/>
  <c r="AF300" i="4"/>
  <c r="CT300" i="4" s="1"/>
  <c r="AB298" i="4"/>
  <c r="AF298" i="4"/>
  <c r="CT298" i="4" s="1"/>
  <c r="AB296" i="4"/>
  <c r="AF296" i="4"/>
  <c r="CT296" i="4" s="1"/>
  <c r="AB294" i="4"/>
  <c r="AF294" i="4"/>
  <c r="CT294" i="4" s="1"/>
  <c r="AB292" i="4"/>
  <c r="AF292" i="4"/>
  <c r="CT292" i="4" s="1"/>
  <c r="AB290" i="4"/>
  <c r="AF290" i="4"/>
  <c r="CT290" i="4" s="1"/>
  <c r="AB289" i="4"/>
  <c r="AF289" i="4"/>
  <c r="CT289" i="4" s="1"/>
  <c r="AB287" i="4"/>
  <c r="AF287" i="4"/>
  <c r="CT287" i="4" s="1"/>
  <c r="AB285" i="4"/>
  <c r="AF285" i="4"/>
  <c r="CT285" i="4" s="1"/>
  <c r="AB282" i="4"/>
  <c r="AF282" i="4"/>
  <c r="CT282" i="4" s="1"/>
  <c r="AB280" i="4"/>
  <c r="AF280" i="4"/>
  <c r="CT280" i="4" s="1"/>
  <c r="AB278" i="4"/>
  <c r="AF278" i="4"/>
  <c r="CT278" i="4" s="1"/>
  <c r="AB275" i="4"/>
  <c r="AF275" i="4"/>
  <c r="CT275" i="4" s="1"/>
  <c r="AB273" i="4"/>
  <c r="AF273" i="4"/>
  <c r="CT273" i="4" s="1"/>
  <c r="AB271" i="4"/>
  <c r="AF271" i="4"/>
  <c r="CT271" i="4" s="1"/>
  <c r="AB269" i="4"/>
  <c r="AF269" i="4"/>
  <c r="CT269" i="4" s="1"/>
  <c r="AB267" i="4"/>
  <c r="AF267" i="4"/>
  <c r="CT267" i="4" s="1"/>
  <c r="AB265" i="4"/>
  <c r="AF265" i="4"/>
  <c r="CT265" i="4" s="1"/>
  <c r="AB263" i="4"/>
  <c r="AF263" i="4"/>
  <c r="CT263" i="4" s="1"/>
  <c r="AB261" i="4"/>
  <c r="AF261" i="4"/>
  <c r="CT261" i="4" s="1"/>
  <c r="AB259" i="4"/>
  <c r="AF259" i="4"/>
  <c r="CT259" i="4" s="1"/>
  <c r="AB258" i="4"/>
  <c r="AF258" i="4"/>
  <c r="CT258" i="4" s="1"/>
  <c r="AB256" i="4"/>
  <c r="AF256" i="4"/>
  <c r="CT256" i="4" s="1"/>
  <c r="AB254" i="4"/>
  <c r="AF254" i="4"/>
  <c r="CT254" i="4" s="1"/>
  <c r="AB252" i="4"/>
  <c r="AF252" i="4"/>
  <c r="CT252" i="4" s="1"/>
  <c r="AB250" i="4"/>
  <c r="AF250" i="4"/>
  <c r="CT250" i="4" s="1"/>
  <c r="AB248" i="4"/>
  <c r="AF248" i="4"/>
  <c r="CT248" i="4" s="1"/>
  <c r="AB245" i="4"/>
  <c r="AF245" i="4"/>
  <c r="CT245" i="4" s="1"/>
  <c r="AB243" i="4"/>
  <c r="AF243" i="4"/>
  <c r="CT243" i="4" s="1"/>
  <c r="AB241" i="4"/>
  <c r="AF241" i="4"/>
  <c r="CT241" i="4" s="1"/>
  <c r="AB239" i="4"/>
  <c r="AF239" i="4"/>
  <c r="CT239" i="4" s="1"/>
  <c r="AB237" i="4"/>
  <c r="AF237" i="4"/>
  <c r="CT237" i="4" s="1"/>
  <c r="AB235" i="4"/>
  <c r="AF235" i="4"/>
  <c r="CT235" i="4" s="1"/>
  <c r="AB234" i="4"/>
  <c r="AF234" i="4"/>
  <c r="CT234" i="4" s="1"/>
  <c r="AB232" i="4"/>
  <c r="AF232" i="4"/>
  <c r="CT232" i="4" s="1"/>
  <c r="AB230" i="4"/>
  <c r="AF230" i="4"/>
  <c r="CT230" i="4" s="1"/>
  <c r="AB228" i="4"/>
  <c r="AF228" i="4"/>
  <c r="CT228" i="4" s="1"/>
  <c r="AB226" i="4"/>
  <c r="AF226" i="4"/>
  <c r="CT226" i="4" s="1"/>
  <c r="AB214" i="4"/>
  <c r="AF214" i="4"/>
  <c r="AB202" i="4"/>
  <c r="AF202" i="4"/>
  <c r="AF132" i="4"/>
  <c r="AB132" i="4"/>
  <c r="AF130" i="4"/>
  <c r="AB130" i="4"/>
  <c r="AB127" i="4"/>
  <c r="AF127" i="4"/>
  <c r="AB125" i="4"/>
  <c r="AF125" i="4"/>
  <c r="AF122" i="4"/>
  <c r="AB122" i="4"/>
  <c r="AB119" i="4"/>
  <c r="AF119" i="4"/>
  <c r="AF116" i="4"/>
  <c r="AB116" i="4"/>
  <c r="AF114" i="4"/>
  <c r="AB114" i="4"/>
  <c r="AF112" i="4"/>
  <c r="AB112" i="4"/>
  <c r="AB109" i="4"/>
  <c r="AF109" i="4"/>
  <c r="AF106" i="4"/>
  <c r="AB106" i="4"/>
  <c r="AB103" i="4"/>
  <c r="AF103" i="4"/>
  <c r="AF102" i="4"/>
  <c r="AB102" i="4"/>
  <c r="AB99" i="4"/>
  <c r="AF99" i="4"/>
  <c r="AF96" i="4"/>
  <c r="AB96" i="4"/>
  <c r="AB93" i="4"/>
  <c r="AF93" i="4"/>
  <c r="AB90" i="4"/>
  <c r="AF90" i="4"/>
  <c r="AB88" i="4"/>
  <c r="AF88" i="4"/>
  <c r="AB85" i="4"/>
  <c r="AF85" i="4"/>
  <c r="AB82" i="4"/>
  <c r="AF82" i="4"/>
  <c r="AB79" i="4"/>
  <c r="AF79" i="4"/>
  <c r="AB75" i="4"/>
  <c r="AF75" i="4"/>
  <c r="AB73" i="4"/>
  <c r="AF73" i="4"/>
  <c r="AB69" i="4"/>
  <c r="AF69" i="4"/>
  <c r="AB67" i="4"/>
  <c r="AF67" i="4"/>
  <c r="AB64" i="4"/>
  <c r="AF64" i="4"/>
  <c r="AB61" i="4"/>
  <c r="AF61" i="4"/>
  <c r="AB59" i="4"/>
  <c r="AF59" i="4"/>
  <c r="AB57" i="4"/>
  <c r="AF57" i="4"/>
  <c r="AB54" i="4"/>
  <c r="AF54" i="4"/>
  <c r="AB51" i="4"/>
  <c r="AF51" i="4"/>
  <c r="AB48" i="4"/>
  <c r="AF48" i="4"/>
  <c r="AB45" i="4"/>
  <c r="AF45" i="4"/>
  <c r="AF43" i="4"/>
  <c r="CT43" i="4" s="1"/>
  <c r="AB43" i="4"/>
  <c r="AF40" i="4"/>
  <c r="CT40" i="4" s="1"/>
  <c r="AB40" i="4"/>
  <c r="AF37" i="4"/>
  <c r="CT37" i="4" s="1"/>
  <c r="AB37" i="4"/>
  <c r="AF34" i="4"/>
  <c r="CT34" i="4" s="1"/>
  <c r="AB34" i="4"/>
  <c r="AF32" i="4"/>
  <c r="CT32" i="4" s="1"/>
  <c r="AB32" i="4"/>
  <c r="AF30" i="4"/>
  <c r="CT30" i="4" s="1"/>
  <c r="AB30" i="4"/>
  <c r="AF28" i="4"/>
  <c r="CT28" i="4" s="1"/>
  <c r="AB28" i="4"/>
  <c r="AF25" i="4"/>
  <c r="AB25" i="4"/>
  <c r="AF23" i="4"/>
  <c r="AB23" i="4"/>
  <c r="AF20" i="4"/>
  <c r="AB20" i="4"/>
  <c r="AF17" i="4"/>
  <c r="AB17" i="4"/>
  <c r="AF15" i="4"/>
  <c r="AB15" i="4"/>
  <c r="AF11" i="4"/>
  <c r="AB11" i="4"/>
  <c r="AE8" i="4"/>
  <c r="AA8" i="4"/>
  <c r="Z8" i="4" s="1"/>
  <c r="AD619" i="4"/>
  <c r="AH619" i="4"/>
  <c r="AD618" i="4"/>
  <c r="AH618" i="4"/>
  <c r="AD617" i="4"/>
  <c r="AH617" i="4"/>
  <c r="AD616" i="4"/>
  <c r="AH616" i="4"/>
  <c r="AD615" i="4"/>
  <c r="AH615" i="4"/>
  <c r="AD614" i="4"/>
  <c r="AH614" i="4"/>
  <c r="AD613" i="4"/>
  <c r="AH613" i="4"/>
  <c r="AD612" i="4"/>
  <c r="AH612" i="4"/>
  <c r="AD611" i="4"/>
  <c r="AH611" i="4"/>
  <c r="AD610" i="4"/>
  <c r="AH610" i="4"/>
  <c r="AD609" i="4"/>
  <c r="AH609" i="4"/>
  <c r="AD608" i="4"/>
  <c r="AH608" i="4"/>
  <c r="AD607" i="4"/>
  <c r="AH607" i="4"/>
  <c r="AD606" i="4"/>
  <c r="AH606" i="4"/>
  <c r="AD605" i="4"/>
  <c r="AH605" i="4"/>
  <c r="AD604" i="4"/>
  <c r="AH604" i="4"/>
  <c r="AD603" i="4"/>
  <c r="AH603" i="4"/>
  <c r="AD602" i="4"/>
  <c r="AH602" i="4"/>
  <c r="AD601" i="4"/>
  <c r="AH601" i="4"/>
  <c r="AD600" i="4"/>
  <c r="AH600" i="4"/>
  <c r="AD599" i="4"/>
  <c r="AH599" i="4"/>
  <c r="AD598" i="4"/>
  <c r="AH598" i="4"/>
  <c r="AD597" i="4"/>
  <c r="AH597" i="4"/>
  <c r="AD596" i="4"/>
  <c r="AH596" i="4"/>
  <c r="AD595" i="4"/>
  <c r="AH595" i="4"/>
  <c r="AD594" i="4"/>
  <c r="AH594" i="4"/>
  <c r="AD593" i="4"/>
  <c r="AH593" i="4"/>
  <c r="AD592" i="4"/>
  <c r="AH592" i="4"/>
  <c r="AD591" i="4"/>
  <c r="AH591" i="4"/>
  <c r="AD590" i="4"/>
  <c r="AH590" i="4"/>
  <c r="AD589" i="4"/>
  <c r="AH589" i="4"/>
  <c r="AD588" i="4"/>
  <c r="AH588" i="4"/>
  <c r="AD587" i="4"/>
  <c r="AH587" i="4"/>
  <c r="AD586" i="4"/>
  <c r="AH586" i="4"/>
  <c r="AD585" i="4"/>
  <c r="AH585" i="4"/>
  <c r="AD584" i="4"/>
  <c r="AH584" i="4"/>
  <c r="AD583" i="4"/>
  <c r="AH583" i="4"/>
  <c r="AD582" i="4"/>
  <c r="AH582" i="4"/>
  <c r="AD581" i="4"/>
  <c r="AH581" i="4"/>
  <c r="AD580" i="4"/>
  <c r="AH580" i="4"/>
  <c r="AD579" i="4"/>
  <c r="AH579" i="4"/>
  <c r="AD578" i="4"/>
  <c r="AH578" i="4"/>
  <c r="AD577" i="4"/>
  <c r="AH577" i="4"/>
  <c r="AD576" i="4"/>
  <c r="AH576" i="4"/>
  <c r="AD575" i="4"/>
  <c r="AH575" i="4"/>
  <c r="AD574" i="4"/>
  <c r="AH574" i="4"/>
  <c r="AD573" i="4"/>
  <c r="AH573" i="4"/>
  <c r="AD572" i="4"/>
  <c r="AH572" i="4"/>
  <c r="AH571" i="4"/>
  <c r="AD571" i="4"/>
  <c r="AD570" i="4"/>
  <c r="AH570" i="4"/>
  <c r="AH569" i="4"/>
  <c r="AD569" i="4"/>
  <c r="AH568" i="4"/>
  <c r="AD568" i="4"/>
  <c r="AH567" i="4"/>
  <c r="AD567" i="4"/>
  <c r="AD566" i="4"/>
  <c r="AH566" i="4"/>
  <c r="AH565" i="4"/>
  <c r="AD565" i="4"/>
  <c r="AH564" i="4"/>
  <c r="AD564" i="4"/>
  <c r="AH563" i="4"/>
  <c r="AD563" i="4"/>
  <c r="AD562" i="4"/>
  <c r="AH562" i="4"/>
  <c r="AH561" i="4"/>
  <c r="AD561" i="4"/>
  <c r="AH560" i="4"/>
  <c r="AD560" i="4"/>
  <c r="AH559" i="4"/>
  <c r="AD559" i="4"/>
  <c r="AH558" i="4"/>
  <c r="AD558" i="4"/>
  <c r="AD557" i="4"/>
  <c r="AH557" i="4"/>
  <c r="AH556" i="4"/>
  <c r="AD556" i="4"/>
  <c r="AH555" i="4"/>
  <c r="AD555" i="4"/>
  <c r="AD554" i="4"/>
  <c r="AH554" i="4"/>
  <c r="AH553" i="4"/>
  <c r="AD553" i="4"/>
  <c r="AD552" i="4"/>
  <c r="AH552" i="4"/>
  <c r="AD551" i="4"/>
  <c r="AH551" i="4"/>
  <c r="AD550" i="4"/>
  <c r="AH550" i="4"/>
  <c r="AH549" i="4"/>
  <c r="AD549" i="4"/>
  <c r="AD548" i="4"/>
  <c r="AH548" i="4"/>
  <c r="AH547" i="4"/>
  <c r="AD547" i="4"/>
  <c r="AD546" i="4"/>
  <c r="AH546" i="4"/>
  <c r="AD545" i="4"/>
  <c r="AH545" i="4"/>
  <c r="AD544" i="4"/>
  <c r="AH544" i="4"/>
  <c r="AH543" i="4"/>
  <c r="AD543" i="4"/>
  <c r="AD542" i="4"/>
  <c r="AH542" i="4"/>
  <c r="AD541" i="4"/>
  <c r="AH541" i="4"/>
  <c r="AD540" i="4"/>
  <c r="AH540" i="4"/>
  <c r="AH539" i="4"/>
  <c r="AD539" i="4"/>
  <c r="AD538" i="4"/>
  <c r="AH538" i="4"/>
  <c r="AH537" i="4"/>
  <c r="AD537" i="4"/>
  <c r="AD536" i="4"/>
  <c r="AH536" i="4"/>
  <c r="AD535" i="4"/>
  <c r="AH535" i="4"/>
  <c r="AD534" i="4"/>
  <c r="AH534" i="4"/>
  <c r="AD533" i="4"/>
  <c r="AH533" i="4"/>
  <c r="AD532" i="4"/>
  <c r="AH532" i="4"/>
  <c r="AH531" i="4"/>
  <c r="AD531" i="4"/>
  <c r="AD530" i="4"/>
  <c r="AH530" i="4"/>
  <c r="AH529" i="4"/>
  <c r="AD529" i="4"/>
  <c r="AD528" i="4"/>
  <c r="AH528" i="4"/>
  <c r="AD527" i="4"/>
  <c r="AH527" i="4"/>
  <c r="CV527" i="4" s="1"/>
  <c r="AD526" i="4"/>
  <c r="AH526" i="4"/>
  <c r="CV526" i="4" s="1"/>
  <c r="AH525" i="4"/>
  <c r="CV525" i="4" s="1"/>
  <c r="AD525" i="4"/>
  <c r="AD524" i="4"/>
  <c r="AH524" i="4"/>
  <c r="CV524" i="4" s="1"/>
  <c r="AD523" i="4"/>
  <c r="AH523" i="4"/>
  <c r="CV523" i="4" s="1"/>
  <c r="AD522" i="4"/>
  <c r="AH522" i="4"/>
  <c r="CV522" i="4" s="1"/>
  <c r="AH521" i="4"/>
  <c r="AD521" i="4"/>
  <c r="AD520" i="4"/>
  <c r="AH520" i="4"/>
  <c r="CV520" i="4" s="1"/>
  <c r="AH519" i="4"/>
  <c r="AD519" i="4"/>
  <c r="AD518" i="4"/>
  <c r="AH518" i="4"/>
  <c r="AD517" i="4"/>
  <c r="AH517" i="4"/>
  <c r="AD516" i="4"/>
  <c r="AH516" i="4"/>
  <c r="AH515" i="4"/>
  <c r="AD515" i="4"/>
  <c r="AD514" i="4"/>
  <c r="AH514" i="4"/>
  <c r="AD513" i="4"/>
  <c r="AH513" i="4"/>
  <c r="AD512" i="4"/>
  <c r="AH512" i="4"/>
  <c r="AH511" i="4"/>
  <c r="AD511" i="4"/>
  <c r="AD510" i="4"/>
  <c r="AH510" i="4"/>
  <c r="AH509" i="4"/>
  <c r="AD509" i="4"/>
  <c r="AD508" i="4"/>
  <c r="AH508" i="4"/>
  <c r="AD507" i="4"/>
  <c r="AH507" i="4"/>
  <c r="AD506" i="4"/>
  <c r="AH506" i="4"/>
  <c r="AH505" i="4"/>
  <c r="AD505" i="4"/>
  <c r="AD504" i="4"/>
  <c r="AH504" i="4"/>
  <c r="CV504" i="4" s="1"/>
  <c r="AD503" i="4"/>
  <c r="AH503" i="4"/>
  <c r="CV503" i="4" s="1"/>
  <c r="AD502" i="4"/>
  <c r="AH502" i="4"/>
  <c r="CV502" i="4" s="1"/>
  <c r="AH501" i="4"/>
  <c r="CV501" i="4" s="1"/>
  <c r="AD501" i="4"/>
  <c r="AD500" i="4"/>
  <c r="AH500" i="4"/>
  <c r="CV500" i="4" s="1"/>
  <c r="AH499" i="4"/>
  <c r="CV499" i="4" s="1"/>
  <c r="AD499" i="4"/>
  <c r="AD498" i="4"/>
  <c r="AH498" i="4"/>
  <c r="CV498" i="4" s="1"/>
  <c r="AD497" i="4"/>
  <c r="AH497" i="4"/>
  <c r="CV497" i="4" s="1"/>
  <c r="AD496" i="4"/>
  <c r="AH496" i="4"/>
  <c r="CV496" i="4" s="1"/>
  <c r="AH495" i="4"/>
  <c r="CV495" i="4" s="1"/>
  <c r="AD495" i="4"/>
  <c r="AD494" i="4"/>
  <c r="AH494" i="4"/>
  <c r="CV494" i="4" s="1"/>
  <c r="AD493" i="4"/>
  <c r="AH493" i="4"/>
  <c r="CV493" i="4" s="1"/>
  <c r="AD492" i="4"/>
  <c r="AH492" i="4"/>
  <c r="CV492" i="4" s="1"/>
  <c r="AH491" i="4"/>
  <c r="CV491" i="4" s="1"/>
  <c r="AD491" i="4"/>
  <c r="AD490" i="4"/>
  <c r="AH490" i="4"/>
  <c r="CV490" i="4" s="1"/>
  <c r="AD489" i="4"/>
  <c r="AH489" i="4"/>
  <c r="CV489" i="4" s="1"/>
  <c r="AD488" i="4"/>
  <c r="AH488" i="4"/>
  <c r="CV488" i="4" s="1"/>
  <c r="AH487" i="4"/>
  <c r="AD487" i="4"/>
  <c r="AD486" i="4"/>
  <c r="AH486" i="4"/>
  <c r="AH485" i="4"/>
  <c r="AD485" i="4"/>
  <c r="AD484" i="4"/>
  <c r="AH484" i="4"/>
  <c r="AD483" i="4"/>
  <c r="AH483" i="4"/>
  <c r="AD482" i="4"/>
  <c r="AH482" i="4"/>
  <c r="AH481" i="4"/>
  <c r="AD481" i="4"/>
  <c r="AD480" i="4"/>
  <c r="AH480" i="4"/>
  <c r="AD479" i="4"/>
  <c r="AH479" i="4"/>
  <c r="AD478" i="4"/>
  <c r="AH478" i="4"/>
  <c r="AH477" i="4"/>
  <c r="AD477" i="4"/>
  <c r="AD476" i="4"/>
  <c r="AH476" i="4"/>
  <c r="AH475" i="4"/>
  <c r="AD475" i="4"/>
  <c r="AD474" i="4"/>
  <c r="AH474" i="4"/>
  <c r="AD473" i="4"/>
  <c r="AH473" i="4"/>
  <c r="CV473" i="4" s="1"/>
  <c r="AD472" i="4"/>
  <c r="AH472" i="4"/>
  <c r="CV472" i="4" s="1"/>
  <c r="AD471" i="4"/>
  <c r="AH471" i="4"/>
  <c r="AD470" i="4"/>
  <c r="AH470" i="4"/>
  <c r="AH469" i="4"/>
  <c r="AD469" i="4"/>
  <c r="AD468" i="4"/>
  <c r="AH468" i="4"/>
  <c r="AH467" i="4"/>
  <c r="AD467" i="4"/>
  <c r="AD466" i="4"/>
  <c r="AH466" i="4"/>
  <c r="AD465" i="4"/>
  <c r="AH465" i="4"/>
  <c r="AD464" i="4"/>
  <c r="AH464" i="4"/>
  <c r="AH463" i="4"/>
  <c r="AD463" i="4"/>
  <c r="AD462" i="4"/>
  <c r="AH462" i="4"/>
  <c r="AD461" i="4"/>
  <c r="AH461" i="4"/>
  <c r="CV461" i="4" s="1"/>
  <c r="AD460" i="4"/>
  <c r="AH460" i="4"/>
  <c r="CV460" i="4" s="1"/>
  <c r="AH459" i="4"/>
  <c r="CV459" i="4" s="1"/>
  <c r="AD459" i="4"/>
  <c r="AD458" i="4"/>
  <c r="AH458" i="4"/>
  <c r="CV458" i="4" s="1"/>
  <c r="AH457" i="4"/>
  <c r="CV457" i="4" s="1"/>
  <c r="AD457" i="4"/>
  <c r="AD456" i="4"/>
  <c r="AH456" i="4"/>
  <c r="CV456" i="4" s="1"/>
  <c r="AD455" i="4"/>
  <c r="AH455" i="4"/>
  <c r="CV455" i="4" s="1"/>
  <c r="AD454" i="4"/>
  <c r="AH454" i="4"/>
  <c r="CV454" i="4" s="1"/>
  <c r="AH453" i="4"/>
  <c r="CV453" i="4" s="1"/>
  <c r="AD453" i="4"/>
  <c r="AD452" i="4"/>
  <c r="AH452" i="4"/>
  <c r="CV452" i="4" s="1"/>
  <c r="AD451" i="4"/>
  <c r="AH451" i="4"/>
  <c r="CV451" i="4" s="1"/>
  <c r="AH450" i="4"/>
  <c r="CV450" i="4" s="1"/>
  <c r="AD450" i="4"/>
  <c r="AH449" i="4"/>
  <c r="CV449" i="4" s="1"/>
  <c r="AD449" i="4"/>
  <c r="AH448" i="4"/>
  <c r="CV448" i="4" s="1"/>
  <c r="AD448" i="4"/>
  <c r="AH447" i="4"/>
  <c r="CV447" i="4" s="1"/>
  <c r="AD447" i="4"/>
  <c r="AH446" i="4"/>
  <c r="CV446" i="4" s="1"/>
  <c r="AD446" i="4"/>
  <c r="AH445" i="4"/>
  <c r="CV445" i="4" s="1"/>
  <c r="AD445" i="4"/>
  <c r="AH444" i="4"/>
  <c r="CV444" i="4" s="1"/>
  <c r="AD444" i="4"/>
  <c r="AH443" i="4"/>
  <c r="CV443" i="4" s="1"/>
  <c r="AD443" i="4"/>
  <c r="AH442" i="4"/>
  <c r="CV442" i="4" s="1"/>
  <c r="AD442" i="4"/>
  <c r="AH441" i="4"/>
  <c r="CV441" i="4" s="1"/>
  <c r="AD441" i="4"/>
  <c r="AH440" i="4"/>
  <c r="CV440" i="4" s="1"/>
  <c r="AD440" i="4"/>
  <c r="AH439" i="4"/>
  <c r="CV439" i="4" s="1"/>
  <c r="AD439" i="4"/>
  <c r="AH438" i="4"/>
  <c r="CV438" i="4" s="1"/>
  <c r="AD438" i="4"/>
  <c r="AH437" i="4"/>
  <c r="CV437" i="4" s="1"/>
  <c r="AD437" i="4"/>
  <c r="AH436" i="4"/>
  <c r="CV436" i="4" s="1"/>
  <c r="AD436" i="4"/>
  <c r="AH435" i="4"/>
  <c r="CV435" i="4" s="1"/>
  <c r="AD435" i="4"/>
  <c r="AH434" i="4"/>
  <c r="CV434" i="4" s="1"/>
  <c r="AD434" i="4"/>
  <c r="AH433" i="4"/>
  <c r="CV433" i="4" s="1"/>
  <c r="AD433" i="4"/>
  <c r="AH432" i="4"/>
  <c r="CV432" i="4" s="1"/>
  <c r="AD432" i="4"/>
  <c r="AH431" i="4"/>
  <c r="CV431" i="4" s="1"/>
  <c r="AD431" i="4"/>
  <c r="AH430" i="4"/>
  <c r="CV430" i="4" s="1"/>
  <c r="AD430" i="4"/>
  <c r="AH429" i="4"/>
  <c r="CV429" i="4" s="1"/>
  <c r="AD429" i="4"/>
  <c r="AH428" i="4"/>
  <c r="CV428" i="4" s="1"/>
  <c r="AD428" i="4"/>
  <c r="AH427" i="4"/>
  <c r="CV427" i="4" s="1"/>
  <c r="AD427" i="4"/>
  <c r="AH426" i="4"/>
  <c r="CV426" i="4" s="1"/>
  <c r="AD426" i="4"/>
  <c r="AH425" i="4"/>
  <c r="CV425" i="4" s="1"/>
  <c r="AD425" i="4"/>
  <c r="AH424" i="4"/>
  <c r="CV424" i="4" s="1"/>
  <c r="AD424" i="4"/>
  <c r="AH423" i="4"/>
  <c r="CV423" i="4" s="1"/>
  <c r="AD423" i="4"/>
  <c r="AH422" i="4"/>
  <c r="CV422" i="4" s="1"/>
  <c r="AD422" i="4"/>
  <c r="AH421" i="4"/>
  <c r="CV421" i="4" s="1"/>
  <c r="AD421" i="4"/>
  <c r="AD420" i="4"/>
  <c r="AH420" i="4"/>
  <c r="CV420" i="4" s="1"/>
  <c r="AD419" i="4"/>
  <c r="AH419" i="4"/>
  <c r="CV419" i="4" s="1"/>
  <c r="AD418" i="4"/>
  <c r="AH418" i="4"/>
  <c r="CV418" i="4" s="1"/>
  <c r="AD417" i="4"/>
  <c r="AH417" i="4"/>
  <c r="CV417" i="4" s="1"/>
  <c r="AD416" i="4"/>
  <c r="AH416" i="4"/>
  <c r="CV416" i="4" s="1"/>
  <c r="AD415" i="4"/>
  <c r="AH415" i="4"/>
  <c r="CV415" i="4" s="1"/>
  <c r="AD414" i="4"/>
  <c r="AH414" i="4"/>
  <c r="CV414" i="4" s="1"/>
  <c r="AD413" i="4"/>
  <c r="AH413" i="4"/>
  <c r="CV413" i="4" s="1"/>
  <c r="AD412" i="4"/>
  <c r="AH412" i="4"/>
  <c r="CV412" i="4" s="1"/>
  <c r="AD411" i="4"/>
  <c r="AH411" i="4"/>
  <c r="CV411" i="4" s="1"/>
  <c r="AD410" i="4"/>
  <c r="AH410" i="4"/>
  <c r="CV410" i="4" s="1"/>
  <c r="AD409" i="4"/>
  <c r="AH409" i="4"/>
  <c r="CV409" i="4" s="1"/>
  <c r="AD408" i="4"/>
  <c r="AH408" i="4"/>
  <c r="CV408" i="4" s="1"/>
  <c r="AD407" i="4"/>
  <c r="AH407" i="4"/>
  <c r="CV407" i="4" s="1"/>
  <c r="AD406" i="4"/>
  <c r="AH406" i="4"/>
  <c r="CV406" i="4" s="1"/>
  <c r="AD405" i="4"/>
  <c r="AH405" i="4"/>
  <c r="CV405" i="4" s="1"/>
  <c r="AD404" i="4"/>
  <c r="AH404" i="4"/>
  <c r="CV404" i="4" s="1"/>
  <c r="AD403" i="4"/>
  <c r="AH403" i="4"/>
  <c r="CV403" i="4" s="1"/>
  <c r="AD402" i="4"/>
  <c r="AH402" i="4"/>
  <c r="CV402" i="4" s="1"/>
  <c r="AD401" i="4"/>
  <c r="AH401" i="4"/>
  <c r="CV401" i="4" s="1"/>
  <c r="AD400" i="4"/>
  <c r="AH400" i="4"/>
  <c r="CV400" i="4" s="1"/>
  <c r="AD399" i="4"/>
  <c r="AH399" i="4"/>
  <c r="CV399" i="4" s="1"/>
  <c r="AD398" i="4"/>
  <c r="AH398" i="4"/>
  <c r="CV398" i="4" s="1"/>
  <c r="AD397" i="4"/>
  <c r="AH397" i="4"/>
  <c r="CV397" i="4" s="1"/>
  <c r="AD396" i="4"/>
  <c r="AH396" i="4"/>
  <c r="CV396" i="4" s="1"/>
  <c r="AD395" i="4"/>
  <c r="AH395" i="4"/>
  <c r="CV395" i="4" s="1"/>
  <c r="AD394" i="4"/>
  <c r="AH394" i="4"/>
  <c r="CV394" i="4" s="1"/>
  <c r="AD393" i="4"/>
  <c r="AH393" i="4"/>
  <c r="CV393" i="4" s="1"/>
  <c r="AD392" i="4"/>
  <c r="AH392" i="4"/>
  <c r="CV392" i="4" s="1"/>
  <c r="AD391" i="4"/>
  <c r="AH391" i="4"/>
  <c r="CV391" i="4" s="1"/>
  <c r="AD390" i="4"/>
  <c r="AH390" i="4"/>
  <c r="CV390" i="4" s="1"/>
  <c r="AD389" i="4"/>
  <c r="AH389" i="4"/>
  <c r="CV389" i="4" s="1"/>
  <c r="AD388" i="4"/>
  <c r="AH388" i="4"/>
  <c r="CV388" i="4" s="1"/>
  <c r="AD387" i="4"/>
  <c r="AH387" i="4"/>
  <c r="CV387" i="4" s="1"/>
  <c r="AD386" i="4"/>
  <c r="AH386" i="4"/>
  <c r="CV386" i="4" s="1"/>
  <c r="AD385" i="4"/>
  <c r="AH385" i="4"/>
  <c r="CV385" i="4" s="1"/>
  <c r="AD384" i="4"/>
  <c r="AH384" i="4"/>
  <c r="CV384" i="4" s="1"/>
  <c r="AD383" i="4"/>
  <c r="AH383" i="4"/>
  <c r="CV383" i="4" s="1"/>
  <c r="AD382" i="4"/>
  <c r="AH382" i="4"/>
  <c r="CV382" i="4" s="1"/>
  <c r="AD381" i="4"/>
  <c r="AH381" i="4"/>
  <c r="CV381" i="4" s="1"/>
  <c r="AD380" i="4"/>
  <c r="AH380" i="4"/>
  <c r="CV380" i="4" s="1"/>
  <c r="AD379" i="4"/>
  <c r="AH379" i="4"/>
  <c r="CV379" i="4" s="1"/>
  <c r="AD378" i="4"/>
  <c r="AH378" i="4"/>
  <c r="CV378" i="4" s="1"/>
  <c r="AD377" i="4"/>
  <c r="AH377" i="4"/>
  <c r="CV377" i="4" s="1"/>
  <c r="AD376" i="4"/>
  <c r="AH376" i="4"/>
  <c r="CV376" i="4" s="1"/>
  <c r="AD375" i="4"/>
  <c r="AH375" i="4"/>
  <c r="CV375" i="4" s="1"/>
  <c r="AD374" i="4"/>
  <c r="AH374" i="4"/>
  <c r="CV374" i="4" s="1"/>
  <c r="AD373" i="4"/>
  <c r="AH373" i="4"/>
  <c r="CV373" i="4" s="1"/>
  <c r="AD372" i="4"/>
  <c r="AH372" i="4"/>
  <c r="CV372" i="4" s="1"/>
  <c r="AD371" i="4"/>
  <c r="AH371" i="4"/>
  <c r="CV371" i="4" s="1"/>
  <c r="AD370" i="4"/>
  <c r="AH370" i="4"/>
  <c r="CV370" i="4" s="1"/>
  <c r="AD369" i="4"/>
  <c r="AH369" i="4"/>
  <c r="CV369" i="4" s="1"/>
  <c r="AD368" i="4"/>
  <c r="AH368" i="4"/>
  <c r="CV368" i="4" s="1"/>
  <c r="AD367" i="4"/>
  <c r="AH367" i="4"/>
  <c r="CV367" i="4" s="1"/>
  <c r="AD366" i="4"/>
  <c r="AH366" i="4"/>
  <c r="CV366" i="4" s="1"/>
  <c r="AD365" i="4"/>
  <c r="AH365" i="4"/>
  <c r="CV365" i="4" s="1"/>
  <c r="AD364" i="4"/>
  <c r="AH364" i="4"/>
  <c r="CV364" i="4" s="1"/>
  <c r="AD363" i="4"/>
  <c r="AH363" i="4"/>
  <c r="CV363" i="4" s="1"/>
  <c r="AD362" i="4"/>
  <c r="AH362" i="4"/>
  <c r="CV362" i="4" s="1"/>
  <c r="AD361" i="4"/>
  <c r="AH361" i="4"/>
  <c r="CV361" i="4" s="1"/>
  <c r="AD360" i="4"/>
  <c r="AH360" i="4"/>
  <c r="CV360" i="4" s="1"/>
  <c r="AD359" i="4"/>
  <c r="AH359" i="4"/>
  <c r="CV359" i="4" s="1"/>
  <c r="AD358" i="4"/>
  <c r="AH358" i="4"/>
  <c r="CV358" i="4" s="1"/>
  <c r="AD357" i="4"/>
  <c r="AH357" i="4"/>
  <c r="CV357" i="4" s="1"/>
  <c r="AD356" i="4"/>
  <c r="AH356" i="4"/>
  <c r="CV356" i="4" s="1"/>
  <c r="AD355" i="4"/>
  <c r="AH355" i="4"/>
  <c r="CV355" i="4" s="1"/>
  <c r="AD354" i="4"/>
  <c r="AH354" i="4"/>
  <c r="CV354" i="4" s="1"/>
  <c r="AD353" i="4"/>
  <c r="AH353" i="4"/>
  <c r="CV353" i="4" s="1"/>
  <c r="AD352" i="4"/>
  <c r="AH352" i="4"/>
  <c r="CV352" i="4" s="1"/>
  <c r="AD351" i="4"/>
  <c r="AH351" i="4"/>
  <c r="CV351" i="4" s="1"/>
  <c r="AD350" i="4"/>
  <c r="AH350" i="4"/>
  <c r="CV350" i="4" s="1"/>
  <c r="AD349" i="4"/>
  <c r="AH349" i="4"/>
  <c r="CV349" i="4" s="1"/>
  <c r="AD348" i="4"/>
  <c r="AH348" i="4"/>
  <c r="CV348" i="4" s="1"/>
  <c r="AD347" i="4"/>
  <c r="AH347" i="4"/>
  <c r="CV347" i="4" s="1"/>
  <c r="AD346" i="4"/>
  <c r="AH346" i="4"/>
  <c r="CV346" i="4" s="1"/>
  <c r="AD345" i="4"/>
  <c r="AH345" i="4"/>
  <c r="CV345" i="4" s="1"/>
  <c r="AD344" i="4"/>
  <c r="AH344" i="4"/>
  <c r="CV344" i="4" s="1"/>
  <c r="AD343" i="4"/>
  <c r="AH343" i="4"/>
  <c r="CV343" i="4" s="1"/>
  <c r="AD342" i="4"/>
  <c r="AH342" i="4"/>
  <c r="CV342" i="4" s="1"/>
  <c r="AD341" i="4"/>
  <c r="AH341" i="4"/>
  <c r="CV341" i="4" s="1"/>
  <c r="AD340" i="4"/>
  <c r="AH340" i="4"/>
  <c r="CV340" i="4" s="1"/>
  <c r="AD339" i="4"/>
  <c r="AH339" i="4"/>
  <c r="CV339" i="4" s="1"/>
  <c r="AD338" i="4"/>
  <c r="AH338" i="4"/>
  <c r="CV338" i="4" s="1"/>
  <c r="AD337" i="4"/>
  <c r="AH337" i="4"/>
  <c r="CV337" i="4" s="1"/>
  <c r="AD336" i="4"/>
  <c r="AH336" i="4"/>
  <c r="CV336" i="4" s="1"/>
  <c r="AD335" i="4"/>
  <c r="AH335" i="4"/>
  <c r="CV335" i="4" s="1"/>
  <c r="AD334" i="4"/>
  <c r="AH334" i="4"/>
  <c r="CV334" i="4" s="1"/>
  <c r="AD333" i="4"/>
  <c r="AH333" i="4"/>
  <c r="CV333" i="4" s="1"/>
  <c r="AD332" i="4"/>
  <c r="AH332" i="4"/>
  <c r="CV332" i="4" s="1"/>
  <c r="AD331" i="4"/>
  <c r="AH331" i="4"/>
  <c r="CV331" i="4" s="1"/>
  <c r="AD330" i="4"/>
  <c r="AH330" i="4"/>
  <c r="CV330" i="4" s="1"/>
  <c r="AD329" i="4"/>
  <c r="AH329" i="4"/>
  <c r="CV329" i="4" s="1"/>
  <c r="AD328" i="4"/>
  <c r="AH328" i="4"/>
  <c r="CV328" i="4" s="1"/>
  <c r="AD327" i="4"/>
  <c r="AH327" i="4"/>
  <c r="CV327" i="4" s="1"/>
  <c r="AH326" i="4"/>
  <c r="CV326" i="4" s="1"/>
  <c r="AD326" i="4"/>
  <c r="AH325" i="4"/>
  <c r="CV325" i="4" s="1"/>
  <c r="AD325" i="4"/>
  <c r="AH324" i="4"/>
  <c r="CV324" i="4" s="1"/>
  <c r="AD324" i="4"/>
  <c r="AH323" i="4"/>
  <c r="CV323" i="4" s="1"/>
  <c r="AD323" i="4"/>
  <c r="AH322" i="4"/>
  <c r="CV322" i="4" s="1"/>
  <c r="AD322" i="4"/>
  <c r="AH321" i="4"/>
  <c r="CV321" i="4" s="1"/>
  <c r="AD321" i="4"/>
  <c r="AH320" i="4"/>
  <c r="CV320" i="4" s="1"/>
  <c r="AD320" i="4"/>
  <c r="AH319" i="4"/>
  <c r="CV319" i="4" s="1"/>
  <c r="AD319" i="4"/>
  <c r="AH318" i="4"/>
  <c r="CV318" i="4" s="1"/>
  <c r="AD318" i="4"/>
  <c r="AH317" i="4"/>
  <c r="CV317" i="4" s="1"/>
  <c r="AD317" i="4"/>
  <c r="AH316" i="4"/>
  <c r="CV316" i="4" s="1"/>
  <c r="AD316" i="4"/>
  <c r="AH315" i="4"/>
  <c r="CV315" i="4" s="1"/>
  <c r="AD315" i="4"/>
  <c r="AH314" i="4"/>
  <c r="CV314" i="4" s="1"/>
  <c r="AD314" i="4"/>
  <c r="AH313" i="4"/>
  <c r="CV313" i="4" s="1"/>
  <c r="AD313" i="4"/>
  <c r="AD312" i="4"/>
  <c r="AH312" i="4"/>
  <c r="CV312" i="4" s="1"/>
  <c r="AH311" i="4"/>
  <c r="CV311" i="4" s="1"/>
  <c r="AD311" i="4"/>
  <c r="AD310" i="4"/>
  <c r="AH310" i="4"/>
  <c r="CV310" i="4" s="1"/>
  <c r="AH309" i="4"/>
  <c r="CV309" i="4" s="1"/>
  <c r="AD309" i="4"/>
  <c r="AD308" i="4"/>
  <c r="AH308" i="4"/>
  <c r="CV308" i="4" s="1"/>
  <c r="AH307" i="4"/>
  <c r="CV307" i="4" s="1"/>
  <c r="AD307" i="4"/>
  <c r="AD306" i="4"/>
  <c r="AH306" i="4"/>
  <c r="CV306" i="4" s="1"/>
  <c r="AH305" i="4"/>
  <c r="CV305" i="4" s="1"/>
  <c r="AD305" i="4"/>
  <c r="AD304" i="4"/>
  <c r="AH304" i="4"/>
  <c r="CV304" i="4" s="1"/>
  <c r="AH303" i="4"/>
  <c r="CV303" i="4" s="1"/>
  <c r="AD303" i="4"/>
  <c r="AD302" i="4"/>
  <c r="AH302" i="4"/>
  <c r="CV302" i="4" s="1"/>
  <c r="AH301" i="4"/>
  <c r="CV301" i="4" s="1"/>
  <c r="AD301" i="4"/>
  <c r="AD300" i="4"/>
  <c r="AH300" i="4"/>
  <c r="CV300" i="4" s="1"/>
  <c r="AH299" i="4"/>
  <c r="CV299" i="4" s="1"/>
  <c r="AD299" i="4"/>
  <c r="AD298" i="4"/>
  <c r="AH298" i="4"/>
  <c r="CV298" i="4" s="1"/>
  <c r="AH297" i="4"/>
  <c r="CV297" i="4" s="1"/>
  <c r="AD297" i="4"/>
  <c r="AD296" i="4"/>
  <c r="AH296" i="4"/>
  <c r="CV296" i="4" s="1"/>
  <c r="AH295" i="4"/>
  <c r="CV295" i="4" s="1"/>
  <c r="AD295" i="4"/>
  <c r="AD294" i="4"/>
  <c r="AH294" i="4"/>
  <c r="CV294" i="4" s="1"/>
  <c r="AH293" i="4"/>
  <c r="CV293" i="4" s="1"/>
  <c r="AD293" i="4"/>
  <c r="AD292" i="4"/>
  <c r="AH292" i="4"/>
  <c r="CV292" i="4" s="1"/>
  <c r="AH291" i="4"/>
  <c r="CV291" i="4" s="1"/>
  <c r="AD291" i="4"/>
  <c r="AD290" i="4"/>
  <c r="AH290" i="4"/>
  <c r="CV290" i="4" s="1"/>
  <c r="AH289" i="4"/>
  <c r="CV289" i="4" s="1"/>
  <c r="AD289" i="4"/>
  <c r="AD288" i="4"/>
  <c r="AH288" i="4"/>
  <c r="CV288" i="4" s="1"/>
  <c r="AH287" i="4"/>
  <c r="CV287" i="4" s="1"/>
  <c r="AD287" i="4"/>
  <c r="AD286" i="4"/>
  <c r="AH286" i="4"/>
  <c r="CV286" i="4" s="1"/>
  <c r="AH285" i="4"/>
  <c r="CV285" i="4" s="1"/>
  <c r="AD285" i="4"/>
  <c r="AD284" i="4"/>
  <c r="AH284" i="4"/>
  <c r="CV284" i="4" s="1"/>
  <c r="AH283" i="4"/>
  <c r="CV283" i="4" s="1"/>
  <c r="AD283" i="4"/>
  <c r="AD282" i="4"/>
  <c r="AH282" i="4"/>
  <c r="CV282" i="4" s="1"/>
  <c r="AH281" i="4"/>
  <c r="CV281" i="4" s="1"/>
  <c r="AD281" i="4"/>
  <c r="AD280" i="4"/>
  <c r="AH280" i="4"/>
  <c r="CV280" i="4" s="1"/>
  <c r="AH279" i="4"/>
  <c r="CV279" i="4" s="1"/>
  <c r="AD279" i="4"/>
  <c r="AD278" i="4"/>
  <c r="AH278" i="4"/>
  <c r="CV278" i="4" s="1"/>
  <c r="AH277" i="4"/>
  <c r="CV277" i="4" s="1"/>
  <c r="AD277" i="4"/>
  <c r="AD276" i="4"/>
  <c r="AH276" i="4"/>
  <c r="CV276" i="4" s="1"/>
  <c r="AH275" i="4"/>
  <c r="CV275" i="4" s="1"/>
  <c r="AD275" i="4"/>
  <c r="AD274" i="4"/>
  <c r="AH274" i="4"/>
  <c r="CV274" i="4" s="1"/>
  <c r="AH273" i="4"/>
  <c r="CV273" i="4" s="1"/>
  <c r="AD273" i="4"/>
  <c r="AD272" i="4"/>
  <c r="AH272" i="4"/>
  <c r="CV272" i="4" s="1"/>
  <c r="AH271" i="4"/>
  <c r="CV271" i="4" s="1"/>
  <c r="AD271" i="4"/>
  <c r="AD270" i="4"/>
  <c r="AH270" i="4"/>
  <c r="CV270" i="4" s="1"/>
  <c r="AH269" i="4"/>
  <c r="CV269" i="4" s="1"/>
  <c r="AD269" i="4"/>
  <c r="AD268" i="4"/>
  <c r="AH268" i="4"/>
  <c r="CV268" i="4" s="1"/>
  <c r="AH267" i="4"/>
  <c r="CV267" i="4" s="1"/>
  <c r="AD267" i="4"/>
  <c r="AD266" i="4"/>
  <c r="AH266" i="4"/>
  <c r="CV266" i="4" s="1"/>
  <c r="AH265" i="4"/>
  <c r="CV265" i="4" s="1"/>
  <c r="AD265" i="4"/>
  <c r="AD264" i="4"/>
  <c r="AH264" i="4"/>
  <c r="CV264" i="4" s="1"/>
  <c r="AH263" i="4"/>
  <c r="CV263" i="4" s="1"/>
  <c r="AD263" i="4"/>
  <c r="AD262" i="4"/>
  <c r="AH262" i="4"/>
  <c r="CV262" i="4" s="1"/>
  <c r="AH261" i="4"/>
  <c r="CV261" i="4" s="1"/>
  <c r="AD261" i="4"/>
  <c r="AD260" i="4"/>
  <c r="AH260" i="4"/>
  <c r="CV260" i="4" s="1"/>
  <c r="AH259" i="4"/>
  <c r="CV259" i="4" s="1"/>
  <c r="AD259" i="4"/>
  <c r="AD258" i="4"/>
  <c r="AH258" i="4"/>
  <c r="CV258" i="4" s="1"/>
  <c r="AH257" i="4"/>
  <c r="CV257" i="4" s="1"/>
  <c r="AD257" i="4"/>
  <c r="AD256" i="4"/>
  <c r="AH256" i="4"/>
  <c r="CV256" i="4" s="1"/>
  <c r="AH255" i="4"/>
  <c r="CV255" i="4" s="1"/>
  <c r="AD255" i="4"/>
  <c r="AD254" i="4"/>
  <c r="AH254" i="4"/>
  <c r="CV254" i="4" s="1"/>
  <c r="AH253" i="4"/>
  <c r="CV253" i="4" s="1"/>
  <c r="AD253" i="4"/>
  <c r="AD252" i="4"/>
  <c r="AH252" i="4"/>
  <c r="CV252" i="4" s="1"/>
  <c r="AH251" i="4"/>
  <c r="CV251" i="4" s="1"/>
  <c r="AD251" i="4"/>
  <c r="AD250" i="4"/>
  <c r="AH250" i="4"/>
  <c r="CV250" i="4" s="1"/>
  <c r="AH249" i="4"/>
  <c r="CV249" i="4" s="1"/>
  <c r="AD249" i="4"/>
  <c r="AD248" i="4"/>
  <c r="AH248" i="4"/>
  <c r="CV248" i="4" s="1"/>
  <c r="AH247" i="4"/>
  <c r="CV247" i="4" s="1"/>
  <c r="AD247" i="4"/>
  <c r="AD246" i="4"/>
  <c r="AH246" i="4"/>
  <c r="CV246" i="4" s="1"/>
  <c r="AH245" i="4"/>
  <c r="CV245" i="4" s="1"/>
  <c r="AD245" i="4"/>
  <c r="AD244" i="4"/>
  <c r="AH244" i="4"/>
  <c r="CV244" i="4" s="1"/>
  <c r="AH243" i="4"/>
  <c r="CV243" i="4" s="1"/>
  <c r="AD243" i="4"/>
  <c r="AD242" i="4"/>
  <c r="AH242" i="4"/>
  <c r="CV242" i="4" s="1"/>
  <c r="AH241" i="4"/>
  <c r="CV241" i="4" s="1"/>
  <c r="AD241" i="4"/>
  <c r="AD240" i="4"/>
  <c r="AH240" i="4"/>
  <c r="CV240" i="4" s="1"/>
  <c r="AH239" i="4"/>
  <c r="CV239" i="4" s="1"/>
  <c r="AD239" i="4"/>
  <c r="AD238" i="4"/>
  <c r="AH238" i="4"/>
  <c r="CV238" i="4" s="1"/>
  <c r="AH237" i="4"/>
  <c r="CV237" i="4" s="1"/>
  <c r="AD237" i="4"/>
  <c r="AD236" i="4"/>
  <c r="AH236" i="4"/>
  <c r="CV236" i="4" s="1"/>
  <c r="AH235" i="4"/>
  <c r="CV235" i="4" s="1"/>
  <c r="AD235" i="4"/>
  <c r="AD234" i="4"/>
  <c r="AH234" i="4"/>
  <c r="CV234" i="4" s="1"/>
  <c r="AH233" i="4"/>
  <c r="CV233" i="4" s="1"/>
  <c r="AD233" i="4"/>
  <c r="AD232" i="4"/>
  <c r="AH232" i="4"/>
  <c r="CV232" i="4" s="1"/>
  <c r="AH231" i="4"/>
  <c r="CV231" i="4" s="1"/>
  <c r="AD231" i="4"/>
  <c r="AD230" i="4"/>
  <c r="AH230" i="4"/>
  <c r="CV230" i="4" s="1"/>
  <c r="AH229" i="4"/>
  <c r="CV229" i="4" s="1"/>
  <c r="AD229" i="4"/>
  <c r="AD228" i="4"/>
  <c r="AH228" i="4"/>
  <c r="CV228" i="4" s="1"/>
  <c r="AH227" i="4"/>
  <c r="CV227" i="4" s="1"/>
  <c r="AD227" i="4"/>
  <c r="AD226" i="4"/>
  <c r="AH226" i="4"/>
  <c r="CV226" i="4" s="1"/>
  <c r="AH225" i="4"/>
  <c r="CV225" i="4" s="1"/>
  <c r="AD225" i="4"/>
  <c r="AH224" i="4"/>
  <c r="CV224" i="4" s="1"/>
  <c r="AD224" i="4"/>
  <c r="AD214" i="4"/>
  <c r="AH214" i="4"/>
  <c r="AH213" i="4"/>
  <c r="AD213" i="4"/>
  <c r="AD212" i="4"/>
  <c r="AH212" i="4"/>
  <c r="AH211" i="4"/>
  <c r="AD211" i="4"/>
  <c r="AD210" i="4"/>
  <c r="AH210" i="4"/>
  <c r="AH209" i="4"/>
  <c r="AD209" i="4"/>
  <c r="AD208" i="4"/>
  <c r="AH208" i="4"/>
  <c r="AH207" i="4"/>
  <c r="AD207" i="4"/>
  <c r="AD206" i="4"/>
  <c r="AH206" i="4"/>
  <c r="AH205" i="4"/>
  <c r="AD205" i="4"/>
  <c r="AD204" i="4"/>
  <c r="AH204" i="4"/>
  <c r="AH203" i="4"/>
  <c r="AD203" i="4"/>
  <c r="AD202" i="4"/>
  <c r="AH202" i="4"/>
  <c r="AH201" i="4"/>
  <c r="AD201" i="4"/>
  <c r="AD200" i="4"/>
  <c r="AH200" i="4"/>
  <c r="AH199" i="4"/>
  <c r="AD199" i="4"/>
  <c r="AH198" i="4"/>
  <c r="AH197" i="4"/>
  <c r="AH196" i="4"/>
  <c r="AH195" i="4"/>
  <c r="AD194" i="4"/>
  <c r="AH194" i="4"/>
  <c r="AH193" i="4"/>
  <c r="AD193" i="4"/>
  <c r="AD192" i="4"/>
  <c r="AH192" i="4"/>
  <c r="AH191" i="4"/>
  <c r="AD190" i="4"/>
  <c r="AH190" i="4"/>
  <c r="CV190" i="4" s="1"/>
  <c r="AD189" i="4"/>
  <c r="AH189" i="4"/>
  <c r="CV189" i="4" s="1"/>
  <c r="AD188" i="4"/>
  <c r="AH188" i="4"/>
  <c r="CV188" i="4" s="1"/>
  <c r="AD187" i="4"/>
  <c r="AH187" i="4"/>
  <c r="CV187" i="4" s="1"/>
  <c r="AD186" i="4"/>
  <c r="AH186" i="4"/>
  <c r="AD185" i="4"/>
  <c r="AH185" i="4"/>
  <c r="AD184" i="4"/>
  <c r="AH184" i="4"/>
  <c r="AD183" i="4"/>
  <c r="AH183" i="4"/>
  <c r="AD182" i="4"/>
  <c r="AH182" i="4"/>
  <c r="AD181" i="4"/>
  <c r="AH181" i="4"/>
  <c r="AD180" i="4"/>
  <c r="AH180" i="4"/>
  <c r="AD179" i="4"/>
  <c r="AH179" i="4"/>
  <c r="AD178" i="4"/>
  <c r="AH178" i="4"/>
  <c r="AD177" i="4"/>
  <c r="AH177" i="4"/>
  <c r="AD176" i="4"/>
  <c r="AH176" i="4"/>
  <c r="AD175" i="4"/>
  <c r="AH175" i="4"/>
  <c r="AD174" i="4"/>
  <c r="AH174" i="4"/>
  <c r="AD173" i="4"/>
  <c r="AH173" i="4"/>
  <c r="AD172" i="4"/>
  <c r="AH172" i="4"/>
  <c r="AD171" i="4"/>
  <c r="AH171" i="4"/>
  <c r="AD170" i="4"/>
  <c r="AH170" i="4"/>
  <c r="AD169" i="4"/>
  <c r="AH169" i="4"/>
  <c r="AD168" i="4"/>
  <c r="AH168" i="4"/>
  <c r="AD167" i="4"/>
  <c r="AH167" i="4"/>
  <c r="AD166" i="4"/>
  <c r="AH166" i="4"/>
  <c r="AD165" i="4"/>
  <c r="AH165" i="4"/>
  <c r="AD164" i="4"/>
  <c r="AH164" i="4"/>
  <c r="AD163" i="4"/>
  <c r="AH163" i="4"/>
  <c r="AD162" i="4"/>
  <c r="AH162" i="4"/>
  <c r="AD161" i="4"/>
  <c r="AH161" i="4"/>
  <c r="AD160" i="4"/>
  <c r="AH160" i="4"/>
  <c r="AD159" i="4"/>
  <c r="AH159" i="4"/>
  <c r="AD158" i="4"/>
  <c r="AH158" i="4"/>
  <c r="AD157" i="4"/>
  <c r="AH157" i="4"/>
  <c r="AD156" i="4"/>
  <c r="AH156" i="4"/>
  <c r="AD155" i="4"/>
  <c r="AH155" i="4"/>
  <c r="AD154" i="4"/>
  <c r="AH154" i="4"/>
  <c r="AD153" i="4"/>
  <c r="AH153" i="4"/>
  <c r="AD152" i="4"/>
  <c r="AH152" i="4"/>
  <c r="AD151" i="4"/>
  <c r="AH151" i="4"/>
  <c r="AD150" i="4"/>
  <c r="AH150" i="4"/>
  <c r="AD149" i="4"/>
  <c r="AH149" i="4"/>
  <c r="AD148" i="4"/>
  <c r="AH148" i="4"/>
  <c r="AD147" i="4"/>
  <c r="AH147" i="4"/>
  <c r="AD146" i="4"/>
  <c r="AH146" i="4"/>
  <c r="AD145" i="4"/>
  <c r="AH145" i="4"/>
  <c r="AD144" i="4"/>
  <c r="AH144" i="4"/>
  <c r="AD143" i="4"/>
  <c r="AH143" i="4"/>
  <c r="AD142" i="4"/>
  <c r="AH142" i="4"/>
  <c r="AD141" i="4"/>
  <c r="AH141" i="4"/>
  <c r="AD140" i="4"/>
  <c r="AH140" i="4"/>
  <c r="AD139" i="4"/>
  <c r="AH139" i="4"/>
  <c r="AD138" i="4"/>
  <c r="AH138" i="4"/>
  <c r="AD137" i="4"/>
  <c r="AH137" i="4"/>
  <c r="AD136" i="4"/>
  <c r="AH136" i="4"/>
  <c r="AD135" i="4"/>
  <c r="AH135" i="4"/>
  <c r="AD134" i="4"/>
  <c r="AH134" i="4"/>
  <c r="AD133" i="4"/>
  <c r="AH133" i="4"/>
  <c r="AD132" i="4"/>
  <c r="AH132" i="4"/>
  <c r="AD131" i="4"/>
  <c r="AH131" i="4"/>
  <c r="AD130" i="4"/>
  <c r="AH130" i="4"/>
  <c r="AD129" i="4"/>
  <c r="AH129" i="4"/>
  <c r="AD128" i="4"/>
  <c r="AH128" i="4"/>
  <c r="AD127" i="4"/>
  <c r="AH127" i="4"/>
  <c r="AD126" i="4"/>
  <c r="AH126" i="4"/>
  <c r="AD125" i="4"/>
  <c r="AH125" i="4"/>
  <c r="AD124" i="4"/>
  <c r="AH124" i="4"/>
  <c r="AD123" i="4"/>
  <c r="AH123" i="4"/>
  <c r="AD122" i="4"/>
  <c r="AH122" i="4"/>
  <c r="AD121" i="4"/>
  <c r="AH121" i="4"/>
  <c r="AD120" i="4"/>
  <c r="AH120" i="4"/>
  <c r="AD119" i="4"/>
  <c r="AH119" i="4"/>
  <c r="AD118" i="4"/>
  <c r="AH118" i="4"/>
  <c r="AD117" i="4"/>
  <c r="AH117" i="4"/>
  <c r="AD116" i="4"/>
  <c r="AH116" i="4"/>
  <c r="AD115" i="4"/>
  <c r="AH115" i="4"/>
  <c r="AD114" i="4"/>
  <c r="AH114" i="4"/>
  <c r="AD113" i="4"/>
  <c r="AH113" i="4"/>
  <c r="AD112" i="4"/>
  <c r="AH112" i="4"/>
  <c r="AD111" i="4"/>
  <c r="AH111" i="4"/>
  <c r="AD110" i="4"/>
  <c r="AH110" i="4"/>
  <c r="AD109" i="4"/>
  <c r="AH109" i="4"/>
  <c r="AD108" i="4"/>
  <c r="AH108" i="4"/>
  <c r="AD107" i="4"/>
  <c r="AH107" i="4"/>
  <c r="AD106" i="4"/>
  <c r="AH106" i="4"/>
  <c r="AD105" i="4"/>
  <c r="AH105" i="4"/>
  <c r="AD104" i="4"/>
  <c r="AH104" i="4"/>
  <c r="AD103" i="4"/>
  <c r="AH103" i="4"/>
  <c r="AD102" i="4"/>
  <c r="AH102" i="4"/>
  <c r="AD101" i="4"/>
  <c r="AH101" i="4"/>
  <c r="AD100" i="4"/>
  <c r="AH100" i="4"/>
  <c r="AD99" i="4"/>
  <c r="AH99" i="4"/>
  <c r="AD98" i="4"/>
  <c r="AH98" i="4"/>
  <c r="AD97" i="4"/>
  <c r="AH97" i="4"/>
  <c r="AD96" i="4"/>
  <c r="AH96" i="4"/>
  <c r="AD95" i="4"/>
  <c r="AH95" i="4"/>
  <c r="AD94" i="4"/>
  <c r="AH94" i="4"/>
  <c r="AD93" i="4"/>
  <c r="AH93" i="4"/>
  <c r="AD92" i="4"/>
  <c r="AH92" i="4"/>
  <c r="AD91" i="4"/>
  <c r="AH91" i="4"/>
  <c r="AH90" i="4"/>
  <c r="AD90" i="4"/>
  <c r="AD89" i="4"/>
  <c r="AH89" i="4"/>
  <c r="AH88" i="4"/>
  <c r="AD88" i="4"/>
  <c r="AD87" i="4"/>
  <c r="AH87" i="4"/>
  <c r="AD86" i="4"/>
  <c r="AH86" i="4"/>
  <c r="AD85" i="4"/>
  <c r="AH85" i="4"/>
  <c r="AD84" i="4"/>
  <c r="AH84" i="4"/>
  <c r="AD83" i="4"/>
  <c r="AH83" i="4"/>
  <c r="AD82" i="4"/>
  <c r="AH82" i="4"/>
  <c r="AD81" i="4"/>
  <c r="AH81" i="4"/>
  <c r="AD80" i="4"/>
  <c r="AH80" i="4"/>
  <c r="AD79" i="4"/>
  <c r="AH79" i="4"/>
  <c r="AD78" i="4"/>
  <c r="AH78" i="4"/>
  <c r="AD77" i="4"/>
  <c r="AH77" i="4"/>
  <c r="AD76" i="4"/>
  <c r="AH76" i="4"/>
  <c r="AD75" i="4"/>
  <c r="AH75" i="4"/>
  <c r="AD74" i="4"/>
  <c r="AH74" i="4"/>
  <c r="AD73" i="4"/>
  <c r="AH73" i="4"/>
  <c r="AD72" i="4"/>
  <c r="AH72" i="4"/>
  <c r="AD71" i="4"/>
  <c r="AH71" i="4"/>
  <c r="AD70" i="4"/>
  <c r="AH70" i="4"/>
  <c r="AD69" i="4"/>
  <c r="AH69" i="4"/>
  <c r="AD68" i="4"/>
  <c r="AH68" i="4"/>
  <c r="AD67" i="4"/>
  <c r="AH67" i="4"/>
  <c r="AD66" i="4"/>
  <c r="AH66" i="4"/>
  <c r="AD65" i="4"/>
  <c r="AH65" i="4"/>
  <c r="AD64" i="4"/>
  <c r="AH64" i="4"/>
  <c r="AD63" i="4"/>
  <c r="AH63" i="4"/>
  <c r="AD62" i="4"/>
  <c r="AH62" i="4"/>
  <c r="AD61" i="4"/>
  <c r="AH61" i="4"/>
  <c r="AD60" i="4"/>
  <c r="AH60" i="4"/>
  <c r="AD59" i="4"/>
  <c r="AH59" i="4"/>
  <c r="AD58" i="4"/>
  <c r="AH58" i="4"/>
  <c r="AD57" i="4"/>
  <c r="AH57" i="4"/>
  <c r="AD56" i="4"/>
  <c r="AH56" i="4"/>
  <c r="AD55" i="4"/>
  <c r="AH55" i="4"/>
  <c r="AD54" i="4"/>
  <c r="AH54" i="4"/>
  <c r="AD53" i="4"/>
  <c r="AH53" i="4"/>
  <c r="AD52" i="4"/>
  <c r="AH52" i="4"/>
  <c r="AD51" i="4"/>
  <c r="AH51" i="4"/>
  <c r="AD50" i="4"/>
  <c r="AH50" i="4"/>
  <c r="AD49" i="4"/>
  <c r="AH49" i="4"/>
  <c r="AD48" i="4"/>
  <c r="AH48" i="4"/>
  <c r="AD47" i="4"/>
  <c r="AH47" i="4"/>
  <c r="AD46" i="4"/>
  <c r="AH46" i="4"/>
  <c r="AD45" i="4"/>
  <c r="AH45" i="4"/>
  <c r="AD44" i="4"/>
  <c r="AH44" i="4"/>
  <c r="AD43" i="4"/>
  <c r="AH43" i="4"/>
  <c r="CV43" i="4" s="1"/>
  <c r="AD42" i="4"/>
  <c r="AH42" i="4"/>
  <c r="CV42" i="4" s="1"/>
  <c r="AD41" i="4"/>
  <c r="AH41" i="4"/>
  <c r="CV41" i="4" s="1"/>
  <c r="AD40" i="4"/>
  <c r="AH40" i="4"/>
  <c r="CV40" i="4" s="1"/>
  <c r="AD39" i="4"/>
  <c r="AH39" i="4"/>
  <c r="CV39" i="4" s="1"/>
  <c r="AD38" i="4"/>
  <c r="AH38" i="4"/>
  <c r="CV38" i="4" s="1"/>
  <c r="AD37" i="4"/>
  <c r="AH37" i="4"/>
  <c r="CV37" i="4" s="1"/>
  <c r="AD36" i="4"/>
  <c r="AH36" i="4"/>
  <c r="CV36" i="4" s="1"/>
  <c r="AD35" i="4"/>
  <c r="AH35" i="4"/>
  <c r="CV35" i="4" s="1"/>
  <c r="AD34" i="4"/>
  <c r="AH34" i="4"/>
  <c r="CV34" i="4" s="1"/>
  <c r="AD33" i="4"/>
  <c r="AH33" i="4"/>
  <c r="CV33" i="4" s="1"/>
  <c r="AD32" i="4"/>
  <c r="AH32" i="4"/>
  <c r="CV32" i="4" s="1"/>
  <c r="AD31" i="4"/>
  <c r="AH31" i="4"/>
  <c r="CV31" i="4" s="1"/>
  <c r="AD30" i="4"/>
  <c r="AH30" i="4"/>
  <c r="CV30" i="4" s="1"/>
  <c r="AD29" i="4"/>
  <c r="AH29" i="4"/>
  <c r="CV29" i="4" s="1"/>
  <c r="AD28" i="4"/>
  <c r="AH28" i="4"/>
  <c r="CV28" i="4" s="1"/>
  <c r="AD27" i="4"/>
  <c r="AH27" i="4"/>
  <c r="CV27" i="4" s="1"/>
  <c r="AD26" i="4"/>
  <c r="AH26" i="4"/>
  <c r="CV26" i="4" s="1"/>
  <c r="AD25" i="4"/>
  <c r="AH25" i="4"/>
  <c r="AD24" i="4"/>
  <c r="AH24" i="4"/>
  <c r="AD23" i="4"/>
  <c r="AH23" i="4"/>
  <c r="AD22" i="4"/>
  <c r="AH22" i="4"/>
  <c r="AD21" i="4"/>
  <c r="AH21" i="4"/>
  <c r="AD20" i="4"/>
  <c r="AH20" i="4"/>
  <c r="AD19" i="4"/>
  <c r="AH19" i="4"/>
  <c r="AD18" i="4"/>
  <c r="AH18" i="4"/>
  <c r="AD17" i="4"/>
  <c r="AH17" i="4"/>
  <c r="AD16" i="4"/>
  <c r="AH16" i="4"/>
  <c r="AD15" i="4"/>
  <c r="AH15" i="4"/>
  <c r="AD14" i="4"/>
  <c r="AH14" i="4"/>
  <c r="AD13" i="4"/>
  <c r="AH13" i="4"/>
  <c r="AD12" i="4"/>
  <c r="AH12" i="4"/>
  <c r="AD11" i="4"/>
  <c r="AH11" i="4"/>
  <c r="AD10" i="4"/>
  <c r="AH10" i="4"/>
  <c r="AD9" i="4"/>
  <c r="AH9" i="4"/>
  <c r="AB619" i="4"/>
  <c r="AF619" i="4"/>
  <c r="AB617" i="4"/>
  <c r="AF617" i="4"/>
  <c r="AB615" i="4"/>
  <c r="AF615" i="4"/>
  <c r="AB613" i="4"/>
  <c r="AF613" i="4"/>
  <c r="AB610" i="4"/>
  <c r="AF610" i="4"/>
  <c r="AB608" i="4"/>
  <c r="AF608" i="4"/>
  <c r="AB606" i="4"/>
  <c r="AF606" i="4"/>
  <c r="AB604" i="4"/>
  <c r="AF604" i="4"/>
  <c r="AB602" i="4"/>
  <c r="AF602" i="4"/>
  <c r="AB600" i="4"/>
  <c r="AF600" i="4"/>
  <c r="AB598" i="4"/>
  <c r="AF598" i="4"/>
  <c r="AB597" i="4"/>
  <c r="AF597" i="4"/>
  <c r="AB595" i="4"/>
  <c r="AF595" i="4"/>
  <c r="AB593" i="4"/>
  <c r="AF593" i="4"/>
  <c r="AB591" i="4"/>
  <c r="AF591" i="4"/>
  <c r="AB588" i="4"/>
  <c r="AF588" i="4"/>
  <c r="AB586" i="4"/>
  <c r="AF586" i="4"/>
  <c r="AB584" i="4"/>
  <c r="AF584" i="4"/>
  <c r="AB582" i="4"/>
  <c r="AF582" i="4"/>
  <c r="AB580" i="4"/>
  <c r="AF580" i="4"/>
  <c r="AB578" i="4"/>
  <c r="AF578" i="4"/>
  <c r="AB575" i="4"/>
  <c r="AF575" i="4"/>
  <c r="AB573" i="4"/>
  <c r="AF573" i="4"/>
  <c r="AB571" i="4"/>
  <c r="AF571" i="4"/>
  <c r="AB569" i="4"/>
  <c r="AF569" i="4"/>
  <c r="AB568" i="4"/>
  <c r="AF568" i="4"/>
  <c r="AB566" i="4"/>
  <c r="AF566" i="4"/>
  <c r="AB564" i="4"/>
  <c r="AF564" i="4"/>
  <c r="AB563" i="4"/>
  <c r="AF563" i="4"/>
  <c r="AB561" i="4"/>
  <c r="AF561" i="4"/>
  <c r="AB559" i="4"/>
  <c r="AF559" i="4"/>
  <c r="AB557" i="4"/>
  <c r="AF557" i="4"/>
  <c r="AB556" i="4"/>
  <c r="AF556" i="4"/>
  <c r="AB554" i="4"/>
  <c r="AF554" i="4"/>
  <c r="AB552" i="4"/>
  <c r="AF552" i="4"/>
  <c r="AB550" i="4"/>
  <c r="AF550" i="4"/>
  <c r="AB548" i="4"/>
  <c r="AF548" i="4"/>
  <c r="AB546" i="4"/>
  <c r="AF546" i="4"/>
  <c r="AB545" i="4"/>
  <c r="AF545" i="4"/>
  <c r="AB542" i="4"/>
  <c r="AF542" i="4"/>
  <c r="AB540" i="4"/>
  <c r="AF540" i="4"/>
  <c r="AB537" i="4"/>
  <c r="AF537" i="4"/>
  <c r="AB535" i="4"/>
  <c r="AF535" i="4"/>
  <c r="AB532" i="4"/>
  <c r="AF532" i="4"/>
  <c r="AB530" i="4"/>
  <c r="AF530" i="4"/>
  <c r="AB528" i="4"/>
  <c r="AF528" i="4"/>
  <c r="AB526" i="4"/>
  <c r="AF526" i="4"/>
  <c r="CT526" i="4" s="1"/>
  <c r="AB525" i="4"/>
  <c r="AF525" i="4"/>
  <c r="CT525" i="4" s="1"/>
  <c r="AB523" i="4"/>
  <c r="AF523" i="4"/>
  <c r="CT523" i="4" s="1"/>
  <c r="AB521" i="4"/>
  <c r="AF521" i="4"/>
  <c r="AB520" i="4"/>
  <c r="AF520" i="4"/>
  <c r="CT520" i="4" s="1"/>
  <c r="AB518" i="4"/>
  <c r="AF518" i="4"/>
  <c r="AB516" i="4"/>
  <c r="AF516" i="4"/>
  <c r="AB514" i="4"/>
  <c r="AF514" i="4"/>
  <c r="AB512" i="4"/>
  <c r="AF512" i="4"/>
  <c r="AB511" i="4"/>
  <c r="AF511" i="4"/>
  <c r="AB508" i="4"/>
  <c r="AF508" i="4"/>
  <c r="AB506" i="4"/>
  <c r="AF506" i="4"/>
  <c r="AB504" i="4"/>
  <c r="AF504" i="4"/>
  <c r="CT504" i="4" s="1"/>
  <c r="AB502" i="4"/>
  <c r="AF502" i="4"/>
  <c r="CT502" i="4" s="1"/>
  <c r="AB500" i="4"/>
  <c r="AF500" i="4"/>
  <c r="CT500" i="4" s="1"/>
  <c r="AB498" i="4"/>
  <c r="AF498" i="4"/>
  <c r="CT498" i="4" s="1"/>
  <c r="AB496" i="4"/>
  <c r="AF496" i="4"/>
  <c r="CT496" i="4" s="1"/>
  <c r="AB494" i="4"/>
  <c r="AF494" i="4"/>
  <c r="CT494" i="4" s="1"/>
  <c r="AB492" i="4"/>
  <c r="AF492" i="4"/>
  <c r="CT492" i="4" s="1"/>
  <c r="AB490" i="4"/>
  <c r="AF490" i="4"/>
  <c r="CT490" i="4" s="1"/>
  <c r="AB489" i="4"/>
  <c r="AF489" i="4"/>
  <c r="CT489" i="4" s="1"/>
  <c r="AB487" i="4"/>
  <c r="AF487" i="4"/>
  <c r="AB486" i="4"/>
  <c r="AF486" i="4"/>
  <c r="AB484" i="4"/>
  <c r="AF484" i="4"/>
  <c r="AB483" i="4"/>
  <c r="AF483" i="4"/>
  <c r="AB481" i="4"/>
  <c r="AF481" i="4"/>
  <c r="AB478" i="4"/>
  <c r="AF478" i="4"/>
  <c r="AB476" i="4"/>
  <c r="AF476" i="4"/>
  <c r="AB474" i="4"/>
  <c r="AF474" i="4"/>
  <c r="AB471" i="4"/>
  <c r="AF471" i="4"/>
  <c r="AB469" i="4"/>
  <c r="AF469" i="4"/>
  <c r="AB467" i="4"/>
  <c r="AF467" i="4"/>
  <c r="AB465" i="4"/>
  <c r="AF465" i="4"/>
  <c r="AB463" i="4"/>
  <c r="AF463" i="4"/>
  <c r="AB461" i="4"/>
  <c r="AF461" i="4"/>
  <c r="CT461" i="4" s="1"/>
  <c r="AB460" i="4"/>
  <c r="AF460" i="4"/>
  <c r="CT460" i="4" s="1"/>
  <c r="AB458" i="4"/>
  <c r="AF458" i="4"/>
  <c r="CT458" i="4" s="1"/>
  <c r="AB456" i="4"/>
  <c r="AF456" i="4"/>
  <c r="CT456" i="4" s="1"/>
  <c r="AB453" i="4"/>
  <c r="AF453" i="4"/>
  <c r="CT453" i="4" s="1"/>
  <c r="AB451" i="4"/>
  <c r="AF451" i="4"/>
  <c r="CT451" i="4" s="1"/>
  <c r="AB449" i="4"/>
  <c r="AF449" i="4"/>
  <c r="CT449" i="4" s="1"/>
  <c r="AB447" i="4"/>
  <c r="AF447" i="4"/>
  <c r="CT447" i="4" s="1"/>
  <c r="AB445" i="4"/>
  <c r="AF445" i="4"/>
  <c r="CT445" i="4" s="1"/>
  <c r="AB443" i="4"/>
  <c r="AF443" i="4"/>
  <c r="CT443" i="4" s="1"/>
  <c r="AB441" i="4"/>
  <c r="AF441" i="4"/>
  <c r="CT441" i="4" s="1"/>
  <c r="AB439" i="4"/>
  <c r="AF439" i="4"/>
  <c r="CT439" i="4" s="1"/>
  <c r="AB437" i="4"/>
  <c r="AF437" i="4"/>
  <c r="CT437" i="4" s="1"/>
  <c r="AB435" i="4"/>
  <c r="AF435" i="4"/>
  <c r="CT435" i="4" s="1"/>
  <c r="AB433" i="4"/>
  <c r="AF433" i="4"/>
  <c r="CT433" i="4" s="1"/>
  <c r="AB431" i="4"/>
  <c r="AF431" i="4"/>
  <c r="CT431" i="4" s="1"/>
  <c r="AB429" i="4"/>
  <c r="AF429" i="4"/>
  <c r="CT429" i="4" s="1"/>
  <c r="AB426" i="4"/>
  <c r="AF426" i="4"/>
  <c r="CT426" i="4" s="1"/>
  <c r="AB424" i="4"/>
  <c r="AF424" i="4"/>
  <c r="CT424" i="4" s="1"/>
  <c r="AB421" i="4"/>
  <c r="AF421" i="4"/>
  <c r="CT421" i="4" s="1"/>
  <c r="AB419" i="4"/>
  <c r="AF419" i="4"/>
  <c r="CT419" i="4" s="1"/>
  <c r="AB417" i="4"/>
  <c r="AF417" i="4"/>
  <c r="CT417" i="4" s="1"/>
  <c r="AB415" i="4"/>
  <c r="AF415" i="4"/>
  <c r="CT415" i="4" s="1"/>
  <c r="AB413" i="4"/>
  <c r="AF413" i="4"/>
  <c r="CT413" i="4" s="1"/>
  <c r="AB412" i="4"/>
  <c r="AF412" i="4"/>
  <c r="CT412" i="4" s="1"/>
  <c r="AB411" i="4"/>
  <c r="AF411" i="4"/>
  <c r="CT411" i="4" s="1"/>
  <c r="AB409" i="4"/>
  <c r="AF409" i="4"/>
  <c r="CT409" i="4" s="1"/>
  <c r="AB407" i="4"/>
  <c r="AF407" i="4"/>
  <c r="CT407" i="4" s="1"/>
  <c r="AB406" i="4"/>
  <c r="AF406" i="4"/>
  <c r="CT406" i="4" s="1"/>
  <c r="AB404" i="4"/>
  <c r="AF404" i="4"/>
  <c r="CT404" i="4" s="1"/>
  <c r="AB402" i="4"/>
  <c r="AF402" i="4"/>
  <c r="CT402" i="4" s="1"/>
  <c r="AB401" i="4"/>
  <c r="AF401" i="4"/>
  <c r="CT401" i="4" s="1"/>
  <c r="AB399" i="4"/>
  <c r="AF399" i="4"/>
  <c r="CT399" i="4" s="1"/>
  <c r="AB397" i="4"/>
  <c r="AF397" i="4"/>
  <c r="CT397" i="4" s="1"/>
  <c r="AB395" i="4"/>
  <c r="AF395" i="4"/>
  <c r="CT395" i="4" s="1"/>
  <c r="AB394" i="4"/>
  <c r="AF394" i="4"/>
  <c r="CT394" i="4" s="1"/>
  <c r="AB392" i="4"/>
  <c r="AF392" i="4"/>
  <c r="CT392" i="4" s="1"/>
  <c r="AB390" i="4"/>
  <c r="AF390" i="4"/>
  <c r="CT390" i="4" s="1"/>
  <c r="AB388" i="4"/>
  <c r="AF388" i="4"/>
  <c r="CT388" i="4" s="1"/>
  <c r="AB386" i="4"/>
  <c r="AF386" i="4"/>
  <c r="CT386" i="4" s="1"/>
  <c r="AB383" i="4"/>
  <c r="AF383" i="4"/>
  <c r="CT383" i="4" s="1"/>
  <c r="AB381" i="4"/>
  <c r="AF381" i="4"/>
  <c r="CT381" i="4" s="1"/>
  <c r="AB379" i="4"/>
  <c r="AF379" i="4"/>
  <c r="CT379" i="4" s="1"/>
  <c r="AB377" i="4"/>
  <c r="AF377" i="4"/>
  <c r="CT377" i="4" s="1"/>
  <c r="AB375" i="4"/>
  <c r="AF375" i="4"/>
  <c r="CT375" i="4" s="1"/>
  <c r="AB373" i="4"/>
  <c r="AF373" i="4"/>
  <c r="CT373" i="4" s="1"/>
  <c r="AB371" i="4"/>
  <c r="AF371" i="4"/>
  <c r="CT371" i="4" s="1"/>
  <c r="AB369" i="4"/>
  <c r="AF369" i="4"/>
  <c r="CT369" i="4" s="1"/>
  <c r="AB367" i="4"/>
  <c r="AF367" i="4"/>
  <c r="CT367" i="4" s="1"/>
  <c r="AB365" i="4"/>
  <c r="AF365" i="4"/>
  <c r="CT365" i="4" s="1"/>
  <c r="AB363" i="4"/>
  <c r="AF363" i="4"/>
  <c r="CT363" i="4" s="1"/>
  <c r="AB361" i="4"/>
  <c r="AF361" i="4"/>
  <c r="CT361" i="4" s="1"/>
  <c r="AB359" i="4"/>
  <c r="AF359" i="4"/>
  <c r="CT359" i="4" s="1"/>
  <c r="AB357" i="4"/>
  <c r="AF357" i="4"/>
  <c r="CT357" i="4" s="1"/>
  <c r="AB355" i="4"/>
  <c r="AF355" i="4"/>
  <c r="CT355" i="4" s="1"/>
  <c r="AB353" i="4"/>
  <c r="AF353" i="4"/>
  <c r="CT353" i="4" s="1"/>
  <c r="AB351" i="4"/>
  <c r="AF351" i="4"/>
  <c r="CT351" i="4" s="1"/>
  <c r="AB349" i="4"/>
  <c r="AF349" i="4"/>
  <c r="CT349" i="4" s="1"/>
  <c r="AB347" i="4"/>
  <c r="AF347" i="4"/>
  <c r="CT347" i="4" s="1"/>
  <c r="AB344" i="4"/>
  <c r="AF344" i="4"/>
  <c r="CT344" i="4" s="1"/>
  <c r="AB343" i="4"/>
  <c r="AF343" i="4"/>
  <c r="CT343" i="4" s="1"/>
  <c r="AB341" i="4"/>
  <c r="AF341" i="4"/>
  <c r="CT341" i="4" s="1"/>
  <c r="AB338" i="4"/>
  <c r="AF338" i="4"/>
  <c r="CT338" i="4" s="1"/>
  <c r="AB336" i="4"/>
  <c r="AF336" i="4"/>
  <c r="CT336" i="4" s="1"/>
  <c r="AB334" i="4"/>
  <c r="AF334" i="4"/>
  <c r="CT334" i="4" s="1"/>
  <c r="AB332" i="4"/>
  <c r="AF332" i="4"/>
  <c r="CT332" i="4" s="1"/>
  <c r="AB330" i="4"/>
  <c r="AF330" i="4"/>
  <c r="CT330" i="4" s="1"/>
  <c r="AB327" i="4"/>
  <c r="AF327" i="4"/>
  <c r="CT327" i="4" s="1"/>
  <c r="AB325" i="4"/>
  <c r="AF325" i="4"/>
  <c r="CT325" i="4" s="1"/>
  <c r="AB323" i="4"/>
  <c r="AF323" i="4"/>
  <c r="CT323" i="4" s="1"/>
  <c r="AB321" i="4"/>
  <c r="AF321" i="4"/>
  <c r="CT321" i="4" s="1"/>
  <c r="AB319" i="4"/>
  <c r="AF319" i="4"/>
  <c r="CT319" i="4" s="1"/>
  <c r="AB317" i="4"/>
  <c r="AF317" i="4"/>
  <c r="CT317" i="4" s="1"/>
  <c r="AB315" i="4"/>
  <c r="AF315" i="4"/>
  <c r="CT315" i="4" s="1"/>
  <c r="AB313" i="4"/>
  <c r="AF313" i="4"/>
  <c r="CT313" i="4" s="1"/>
  <c r="AB311" i="4"/>
  <c r="AF311" i="4"/>
  <c r="CT311" i="4" s="1"/>
  <c r="AB309" i="4"/>
  <c r="AF309" i="4"/>
  <c r="CT309" i="4" s="1"/>
  <c r="AB307" i="4"/>
  <c r="AF307" i="4"/>
  <c r="CT307" i="4" s="1"/>
  <c r="AB304" i="4"/>
  <c r="AF304" i="4"/>
  <c r="CT304" i="4" s="1"/>
  <c r="AB303" i="4"/>
  <c r="AF303" i="4"/>
  <c r="CT303" i="4" s="1"/>
  <c r="AB301" i="4"/>
  <c r="AF301" i="4"/>
  <c r="CT301" i="4" s="1"/>
  <c r="AB299" i="4"/>
  <c r="AF299" i="4"/>
  <c r="CT299" i="4" s="1"/>
  <c r="AB297" i="4"/>
  <c r="AF297" i="4"/>
  <c r="CT297" i="4" s="1"/>
  <c r="AB295" i="4"/>
  <c r="AF295" i="4"/>
  <c r="CT295" i="4" s="1"/>
  <c r="AB293" i="4"/>
  <c r="AF293" i="4"/>
  <c r="CT293" i="4" s="1"/>
  <c r="AB291" i="4"/>
  <c r="AF291" i="4"/>
  <c r="CT291" i="4" s="1"/>
  <c r="AB288" i="4"/>
  <c r="AF288" i="4"/>
  <c r="CT288" i="4" s="1"/>
  <c r="AB286" i="4"/>
  <c r="AF286" i="4"/>
  <c r="CT286" i="4" s="1"/>
  <c r="AB284" i="4"/>
  <c r="AF284" i="4"/>
  <c r="CT284" i="4" s="1"/>
  <c r="AB283" i="4"/>
  <c r="AF283" i="4"/>
  <c r="CT283" i="4" s="1"/>
  <c r="AB281" i="4"/>
  <c r="AF281" i="4"/>
  <c r="CT281" i="4" s="1"/>
  <c r="AB279" i="4"/>
  <c r="AF279" i="4"/>
  <c r="CT279" i="4" s="1"/>
  <c r="AB277" i="4"/>
  <c r="AF277" i="4"/>
  <c r="CT277" i="4" s="1"/>
  <c r="AB276" i="4"/>
  <c r="AF276" i="4"/>
  <c r="CT276" i="4" s="1"/>
  <c r="AB274" i="4"/>
  <c r="AF274" i="4"/>
  <c r="CT274" i="4" s="1"/>
  <c r="AB272" i="4"/>
  <c r="AF272" i="4"/>
  <c r="CT272" i="4" s="1"/>
  <c r="AB270" i="4"/>
  <c r="AF270" i="4"/>
  <c r="CT270" i="4" s="1"/>
  <c r="AB268" i="4"/>
  <c r="AF268" i="4"/>
  <c r="CT268" i="4" s="1"/>
  <c r="AB266" i="4"/>
  <c r="AF266" i="4"/>
  <c r="CT266" i="4" s="1"/>
  <c r="AB264" i="4"/>
  <c r="AF264" i="4"/>
  <c r="CT264" i="4" s="1"/>
  <c r="AB262" i="4"/>
  <c r="AF262" i="4"/>
  <c r="CT262" i="4" s="1"/>
  <c r="AB260" i="4"/>
  <c r="AF260" i="4"/>
  <c r="CT260" i="4" s="1"/>
  <c r="AB257" i="4"/>
  <c r="AF257" i="4"/>
  <c r="CT257" i="4" s="1"/>
  <c r="AB255" i="4"/>
  <c r="AF255" i="4"/>
  <c r="CT255" i="4" s="1"/>
  <c r="AB253" i="4"/>
  <c r="AF253" i="4"/>
  <c r="CT253" i="4" s="1"/>
  <c r="AB251" i="4"/>
  <c r="AF251" i="4"/>
  <c r="CT251" i="4" s="1"/>
  <c r="AB249" i="4"/>
  <c r="AF249" i="4"/>
  <c r="CT249" i="4" s="1"/>
  <c r="AB247" i="4"/>
  <c r="AF247" i="4"/>
  <c r="CT247" i="4" s="1"/>
  <c r="AB246" i="4"/>
  <c r="AF246" i="4"/>
  <c r="CT246" i="4" s="1"/>
  <c r="AB244" i="4"/>
  <c r="AF244" i="4"/>
  <c r="CT244" i="4" s="1"/>
  <c r="AB242" i="4"/>
  <c r="AF242" i="4"/>
  <c r="CT242" i="4" s="1"/>
  <c r="AB240" i="4"/>
  <c r="AF240" i="4"/>
  <c r="CT240" i="4" s="1"/>
  <c r="AB238" i="4"/>
  <c r="AF238" i="4"/>
  <c r="CT238" i="4" s="1"/>
  <c r="AB236" i="4"/>
  <c r="AF236" i="4"/>
  <c r="CT236" i="4" s="1"/>
  <c r="AB233" i="4"/>
  <c r="AF233" i="4"/>
  <c r="CT233" i="4" s="1"/>
  <c r="AB231" i="4"/>
  <c r="AF231" i="4"/>
  <c r="CT231" i="4" s="1"/>
  <c r="AB229" i="4"/>
  <c r="AF229" i="4"/>
  <c r="CT229" i="4" s="1"/>
  <c r="AB227" i="4"/>
  <c r="AF227" i="4"/>
  <c r="CT227" i="4" s="1"/>
  <c r="AB225" i="4"/>
  <c r="AF225" i="4"/>
  <c r="CT225" i="4" s="1"/>
  <c r="AB224" i="4"/>
  <c r="AF224" i="4"/>
  <c r="CT224" i="4" s="1"/>
  <c r="AB213" i="4"/>
  <c r="AF213" i="4"/>
  <c r="AB212" i="4"/>
  <c r="AF212" i="4"/>
  <c r="AB211" i="4"/>
  <c r="AF211" i="4"/>
  <c r="AB210" i="4"/>
  <c r="AF210" i="4"/>
  <c r="AB209" i="4"/>
  <c r="AF209" i="4"/>
  <c r="AB208" i="4"/>
  <c r="AF208" i="4"/>
  <c r="AB207" i="4"/>
  <c r="AF207" i="4"/>
  <c r="AB206" i="4"/>
  <c r="AF206" i="4"/>
  <c r="AB205" i="4"/>
  <c r="AF205" i="4"/>
  <c r="AB204" i="4"/>
  <c r="AF204" i="4"/>
  <c r="AB203" i="4"/>
  <c r="AF203" i="4"/>
  <c r="AB201" i="4"/>
  <c r="AF201" i="4"/>
  <c r="AB200" i="4"/>
  <c r="AF200" i="4"/>
  <c r="AB199" i="4"/>
  <c r="AF199" i="4"/>
  <c r="AF198" i="4"/>
  <c r="AF197" i="4"/>
  <c r="AF196" i="4"/>
  <c r="AF195" i="4"/>
  <c r="AB194" i="4"/>
  <c r="AF194" i="4"/>
  <c r="AB193" i="4"/>
  <c r="AF193" i="4"/>
  <c r="AB192" i="4"/>
  <c r="AF192" i="4"/>
  <c r="AF191" i="4"/>
  <c r="AB190" i="4"/>
  <c r="AF190" i="4"/>
  <c r="CT190" i="4" s="1"/>
  <c r="AB189" i="4"/>
  <c r="AF189" i="4"/>
  <c r="CT189" i="4" s="1"/>
  <c r="AB188" i="4"/>
  <c r="AF188" i="4"/>
  <c r="CT188" i="4" s="1"/>
  <c r="AB187" i="4"/>
  <c r="AF187" i="4"/>
  <c r="CT187" i="4" s="1"/>
  <c r="AB186" i="4"/>
  <c r="AF186" i="4"/>
  <c r="AB185" i="4"/>
  <c r="AF185" i="4"/>
  <c r="AB184" i="4"/>
  <c r="AF184" i="4"/>
  <c r="AB183" i="4"/>
  <c r="AF183" i="4"/>
  <c r="AB182" i="4"/>
  <c r="AF182" i="4"/>
  <c r="AB181" i="4"/>
  <c r="AF181" i="4"/>
  <c r="AB180" i="4"/>
  <c r="AF180" i="4"/>
  <c r="AB179" i="4"/>
  <c r="AF179" i="4"/>
  <c r="AB178" i="4"/>
  <c r="AF178" i="4"/>
  <c r="AB177" i="4"/>
  <c r="AF177" i="4"/>
  <c r="AB176" i="4"/>
  <c r="AF176" i="4"/>
  <c r="AB175" i="4"/>
  <c r="AF175" i="4"/>
  <c r="AB174" i="4"/>
  <c r="AF174" i="4"/>
  <c r="AB173" i="4"/>
  <c r="AF173" i="4"/>
  <c r="AB172" i="4"/>
  <c r="AF172" i="4"/>
  <c r="AB171" i="4"/>
  <c r="AF171" i="4"/>
  <c r="AB170" i="4"/>
  <c r="AF170" i="4"/>
  <c r="AB169" i="4"/>
  <c r="AF169" i="4"/>
  <c r="AB168" i="4"/>
  <c r="AF168" i="4"/>
  <c r="AB167" i="4"/>
  <c r="AF167" i="4"/>
  <c r="AB166" i="4"/>
  <c r="AF166" i="4"/>
  <c r="AB165" i="4"/>
  <c r="AF165" i="4"/>
  <c r="AB164" i="4"/>
  <c r="AF164" i="4"/>
  <c r="AB163" i="4"/>
  <c r="AF163" i="4"/>
  <c r="AB162" i="4"/>
  <c r="AF162" i="4"/>
  <c r="AB161" i="4"/>
  <c r="AF161" i="4"/>
  <c r="AF160" i="4"/>
  <c r="AB160" i="4"/>
  <c r="AB159" i="4"/>
  <c r="AF159" i="4"/>
  <c r="AF158" i="4"/>
  <c r="AB158" i="4"/>
  <c r="AB157" i="4"/>
  <c r="AF157" i="4"/>
  <c r="AF156" i="4"/>
  <c r="AB156" i="4"/>
  <c r="AB155" i="4"/>
  <c r="AF155" i="4"/>
  <c r="AF154" i="4"/>
  <c r="AB154" i="4"/>
  <c r="AB153" i="4"/>
  <c r="AF153" i="4"/>
  <c r="AF152" i="4"/>
  <c r="AB152" i="4"/>
  <c r="AB151" i="4"/>
  <c r="AF151" i="4"/>
  <c r="AF150" i="4"/>
  <c r="AB150" i="4"/>
  <c r="AB149" i="4"/>
  <c r="AF149" i="4"/>
  <c r="AF148" i="4"/>
  <c r="AB148" i="4"/>
  <c r="AB147" i="4"/>
  <c r="AF147" i="4"/>
  <c r="AF146" i="4"/>
  <c r="AB146" i="4"/>
  <c r="AB145" i="4"/>
  <c r="AF145" i="4"/>
  <c r="AF144" i="4"/>
  <c r="AB144" i="4"/>
  <c r="AB143" i="4"/>
  <c r="AF143" i="4"/>
  <c r="AF142" i="4"/>
  <c r="AB142" i="4"/>
  <c r="AB141" i="4"/>
  <c r="AF141" i="4"/>
  <c r="AF140" i="4"/>
  <c r="AB140" i="4"/>
  <c r="AB139" i="4"/>
  <c r="AF139" i="4"/>
  <c r="AF138" i="4"/>
  <c r="AB138" i="4"/>
  <c r="AB137" i="4"/>
  <c r="AF137" i="4"/>
  <c r="AF136" i="4"/>
  <c r="AB136" i="4"/>
  <c r="AB135" i="4"/>
  <c r="AF135" i="4"/>
  <c r="AF128" i="4"/>
  <c r="AB128" i="4"/>
  <c r="AF124" i="4"/>
  <c r="AB124" i="4"/>
  <c r="AB121" i="4"/>
  <c r="AF121" i="4"/>
  <c r="AF118" i="4"/>
  <c r="AB118" i="4"/>
  <c r="AB115" i="4"/>
  <c r="AF115" i="4"/>
  <c r="AF110" i="4"/>
  <c r="AB110" i="4"/>
  <c r="AB107" i="4"/>
  <c r="AF107" i="4"/>
  <c r="AF104" i="4"/>
  <c r="AB104" i="4"/>
  <c r="AF100" i="4"/>
  <c r="AB100" i="4"/>
  <c r="AB97" i="4"/>
  <c r="AF97" i="4"/>
  <c r="AF94" i="4"/>
  <c r="AB94" i="4"/>
  <c r="AB91" i="4"/>
  <c r="AF91" i="4"/>
  <c r="AB87" i="4"/>
  <c r="AF87" i="4"/>
  <c r="AB83" i="4"/>
  <c r="AF83" i="4"/>
  <c r="AB80" i="4"/>
  <c r="AF80" i="4"/>
  <c r="AB77" i="4"/>
  <c r="AF77" i="4"/>
  <c r="AB74" i="4"/>
  <c r="AF74" i="4"/>
  <c r="AB71" i="4"/>
  <c r="AF71" i="4"/>
  <c r="AB66" i="4"/>
  <c r="AF66" i="4"/>
  <c r="AB63" i="4"/>
  <c r="AF63" i="4"/>
  <c r="AB60" i="4"/>
  <c r="AF60" i="4"/>
  <c r="AB55" i="4"/>
  <c r="AF55" i="4"/>
  <c r="AB52" i="4"/>
  <c r="AF52" i="4"/>
  <c r="AB49" i="4"/>
  <c r="AF49" i="4"/>
  <c r="AB46" i="4"/>
  <c r="AF46" i="4"/>
  <c r="AF42" i="4"/>
  <c r="CT42" i="4" s="1"/>
  <c r="AB42" i="4"/>
  <c r="AF38" i="4"/>
  <c r="CT38" i="4" s="1"/>
  <c r="AB38" i="4"/>
  <c r="AF35" i="4"/>
  <c r="CT35" i="4" s="1"/>
  <c r="AB35" i="4"/>
  <c r="AF31" i="4"/>
  <c r="CT31" i="4" s="1"/>
  <c r="AB31" i="4"/>
  <c r="AF26" i="4"/>
  <c r="CT26" i="4" s="1"/>
  <c r="AB26" i="4"/>
  <c r="AF22" i="4"/>
  <c r="AB22" i="4"/>
  <c r="AF18" i="4"/>
  <c r="AB18" i="4"/>
  <c r="AF14" i="4"/>
  <c r="AB14" i="4"/>
  <c r="AF10" i="4"/>
  <c r="AB10" i="4"/>
  <c r="AH8" i="4"/>
  <c r="AD8" i="4"/>
  <c r="AC619" i="4"/>
  <c r="AG619" i="4"/>
  <c r="AC618" i="4"/>
  <c r="AG618" i="4"/>
  <c r="AG617" i="4"/>
  <c r="AC617" i="4"/>
  <c r="AG616" i="4"/>
  <c r="AC616" i="4"/>
  <c r="AC615" i="4"/>
  <c r="AG615" i="4"/>
  <c r="AC614" i="4"/>
  <c r="AG614" i="4"/>
  <c r="AC613" i="4"/>
  <c r="AG613" i="4"/>
  <c r="AG612" i="4"/>
  <c r="AC612" i="4"/>
  <c r="AG611" i="4"/>
  <c r="AC611" i="4"/>
  <c r="AG610" i="4"/>
  <c r="AC610" i="4"/>
  <c r="AC609" i="4"/>
  <c r="AG609" i="4"/>
  <c r="AC608" i="4"/>
  <c r="AG608" i="4"/>
  <c r="AC607" i="4"/>
  <c r="AG607" i="4"/>
  <c r="AC606" i="4"/>
  <c r="AG606" i="4"/>
  <c r="AG605" i="4"/>
  <c r="AC605" i="4"/>
  <c r="AC604" i="4"/>
  <c r="AG604" i="4"/>
  <c r="AG603" i="4"/>
  <c r="AC603" i="4"/>
  <c r="AG602" i="4"/>
  <c r="AC602" i="4"/>
  <c r="AG601" i="4"/>
  <c r="AC601" i="4"/>
  <c r="AC600" i="4"/>
  <c r="AG600" i="4"/>
  <c r="AC599" i="4"/>
  <c r="AG599" i="4"/>
  <c r="AG598" i="4"/>
  <c r="AC598" i="4"/>
  <c r="AC597" i="4"/>
  <c r="AG597" i="4"/>
  <c r="AG596" i="4"/>
  <c r="AC596" i="4"/>
  <c r="AG595" i="4"/>
  <c r="AC595" i="4"/>
  <c r="AC594" i="4"/>
  <c r="AG594" i="4"/>
  <c r="AC593" i="4"/>
  <c r="AG593" i="4"/>
  <c r="AG592" i="4"/>
  <c r="AC592" i="4"/>
  <c r="AG591" i="4"/>
  <c r="AC591" i="4"/>
  <c r="AC590" i="4"/>
  <c r="AG590" i="4"/>
  <c r="AC589" i="4"/>
  <c r="AG589" i="4"/>
  <c r="AC588" i="4"/>
  <c r="AG588" i="4"/>
  <c r="AG587" i="4"/>
  <c r="AC587" i="4"/>
  <c r="AG586" i="4"/>
  <c r="AC586" i="4"/>
  <c r="AG585" i="4"/>
  <c r="AC585" i="4"/>
  <c r="AC584" i="4"/>
  <c r="AG584" i="4"/>
  <c r="AC583" i="4"/>
  <c r="AG583" i="4"/>
  <c r="AC582" i="4"/>
  <c r="AG582" i="4"/>
  <c r="AC581" i="4"/>
  <c r="AG581" i="4"/>
  <c r="AC580" i="4"/>
  <c r="AG580" i="4"/>
  <c r="AG579" i="4"/>
  <c r="AC579" i="4"/>
  <c r="AG578" i="4"/>
  <c r="AC578" i="4"/>
  <c r="AC577" i="4"/>
  <c r="AG577" i="4"/>
  <c r="AC576" i="4"/>
  <c r="AG576" i="4"/>
  <c r="AG575" i="4"/>
  <c r="AC575" i="4"/>
  <c r="AG574" i="4"/>
  <c r="AC574" i="4"/>
  <c r="AC573" i="4"/>
  <c r="AG573" i="4"/>
  <c r="AC572" i="4"/>
  <c r="AG572" i="4"/>
  <c r="AG571" i="4"/>
  <c r="AC571" i="4"/>
  <c r="AG570" i="4"/>
  <c r="AC570" i="4"/>
  <c r="AG569" i="4"/>
  <c r="AC569" i="4"/>
  <c r="AG568" i="4"/>
  <c r="AC568" i="4"/>
  <c r="AG567" i="4"/>
  <c r="AC567" i="4"/>
  <c r="AG566" i="4"/>
  <c r="AC566" i="4"/>
  <c r="AG565" i="4"/>
  <c r="AC565" i="4"/>
  <c r="AG564" i="4"/>
  <c r="AC564" i="4"/>
  <c r="AG563" i="4"/>
  <c r="AC563" i="4"/>
  <c r="AG562" i="4"/>
  <c r="AC562" i="4"/>
  <c r="AG561" i="4"/>
  <c r="AC561" i="4"/>
  <c r="AG560" i="4"/>
  <c r="AC560" i="4"/>
  <c r="AG559" i="4"/>
  <c r="AC559" i="4"/>
  <c r="AG558" i="4"/>
  <c r="AC558" i="4"/>
  <c r="AG557" i="4"/>
  <c r="AC557" i="4"/>
  <c r="AG556" i="4"/>
  <c r="AC556" i="4"/>
  <c r="AG555" i="4"/>
  <c r="AC555" i="4"/>
  <c r="AC554" i="4"/>
  <c r="AG554" i="4"/>
  <c r="AC553" i="4"/>
  <c r="AG553" i="4"/>
  <c r="AC552" i="4"/>
  <c r="AG552" i="4"/>
  <c r="AC551" i="4"/>
  <c r="AG551" i="4"/>
  <c r="AC550" i="4"/>
  <c r="AG550" i="4"/>
  <c r="AC549" i="4"/>
  <c r="AG549" i="4"/>
  <c r="AC548" i="4"/>
  <c r="AG548" i="4"/>
  <c r="AC547" i="4"/>
  <c r="AG547" i="4"/>
  <c r="AC546" i="4"/>
  <c r="AG546" i="4"/>
  <c r="AC545" i="4"/>
  <c r="AG545" i="4"/>
  <c r="AC544" i="4"/>
  <c r="AG544" i="4"/>
  <c r="AC543" i="4"/>
  <c r="AG543" i="4"/>
  <c r="AC542" i="4"/>
  <c r="AG542" i="4"/>
  <c r="AC541" i="4"/>
  <c r="AG541" i="4"/>
  <c r="AC540" i="4"/>
  <c r="AG540" i="4"/>
  <c r="AC539" i="4"/>
  <c r="AG539" i="4"/>
  <c r="AC538" i="4"/>
  <c r="AG538" i="4"/>
  <c r="AC537" i="4"/>
  <c r="AG537" i="4"/>
  <c r="AC536" i="4"/>
  <c r="AG536" i="4"/>
  <c r="AC535" i="4"/>
  <c r="AG535" i="4"/>
  <c r="AC534" i="4"/>
  <c r="AG534" i="4"/>
  <c r="AC533" i="4"/>
  <c r="AG533" i="4"/>
  <c r="AC532" i="4"/>
  <c r="AG532" i="4"/>
  <c r="AC531" i="4"/>
  <c r="AG531" i="4"/>
  <c r="AC530" i="4"/>
  <c r="AG530" i="4"/>
  <c r="AC529" i="4"/>
  <c r="AG529" i="4"/>
  <c r="AC528" i="4"/>
  <c r="AG528" i="4"/>
  <c r="AC527" i="4"/>
  <c r="AG527" i="4"/>
  <c r="CU527" i="4" s="1"/>
  <c r="AC526" i="4"/>
  <c r="AG526" i="4"/>
  <c r="CU526" i="4" s="1"/>
  <c r="AC525" i="4"/>
  <c r="AG525" i="4"/>
  <c r="CU525" i="4" s="1"/>
  <c r="AC524" i="4"/>
  <c r="AG524" i="4"/>
  <c r="CU524" i="4" s="1"/>
  <c r="AC523" i="4"/>
  <c r="AG523" i="4"/>
  <c r="CU523" i="4" s="1"/>
  <c r="AC522" i="4"/>
  <c r="AG522" i="4"/>
  <c r="CU522" i="4" s="1"/>
  <c r="AC521" i="4"/>
  <c r="AG521" i="4"/>
  <c r="AC520" i="4"/>
  <c r="AG520" i="4"/>
  <c r="CU520" i="4" s="1"/>
  <c r="AC519" i="4"/>
  <c r="AG519" i="4"/>
  <c r="AC518" i="4"/>
  <c r="AG518" i="4"/>
  <c r="AC517" i="4"/>
  <c r="AG517" i="4"/>
  <c r="AC516" i="4"/>
  <c r="AG516" i="4"/>
  <c r="AC515" i="4"/>
  <c r="AG515" i="4"/>
  <c r="AC514" i="4"/>
  <c r="AG514" i="4"/>
  <c r="AC513" i="4"/>
  <c r="AG513" i="4"/>
  <c r="AC512" i="4"/>
  <c r="AG512" i="4"/>
  <c r="AC511" i="4"/>
  <c r="AG511" i="4"/>
  <c r="AC510" i="4"/>
  <c r="AG510" i="4"/>
  <c r="AC509" i="4"/>
  <c r="AG509" i="4"/>
  <c r="AC508" i="4"/>
  <c r="AG508" i="4"/>
  <c r="AC507" i="4"/>
  <c r="AG507" i="4"/>
  <c r="AC506" i="4"/>
  <c r="AG506" i="4"/>
  <c r="AC505" i="4"/>
  <c r="AG505" i="4"/>
  <c r="AC504" i="4"/>
  <c r="AG504" i="4"/>
  <c r="CU504" i="4" s="1"/>
  <c r="AC503" i="4"/>
  <c r="AG503" i="4"/>
  <c r="CU503" i="4" s="1"/>
  <c r="AC502" i="4"/>
  <c r="AG502" i="4"/>
  <c r="CU502" i="4" s="1"/>
  <c r="AC501" i="4"/>
  <c r="AG501" i="4"/>
  <c r="CU501" i="4" s="1"/>
  <c r="AC500" i="4"/>
  <c r="AG500" i="4"/>
  <c r="CU500" i="4" s="1"/>
  <c r="AC499" i="4"/>
  <c r="AG499" i="4"/>
  <c r="CU499" i="4" s="1"/>
  <c r="AC498" i="4"/>
  <c r="AG498" i="4"/>
  <c r="CU498" i="4" s="1"/>
  <c r="AC497" i="4"/>
  <c r="AG497" i="4"/>
  <c r="CU497" i="4" s="1"/>
  <c r="AC496" i="4"/>
  <c r="AG496" i="4"/>
  <c r="CU496" i="4" s="1"/>
  <c r="AC495" i="4"/>
  <c r="AG495" i="4"/>
  <c r="CU495" i="4" s="1"/>
  <c r="AC494" i="4"/>
  <c r="AG494" i="4"/>
  <c r="CU494" i="4" s="1"/>
  <c r="AC493" i="4"/>
  <c r="AG493" i="4"/>
  <c r="CU493" i="4" s="1"/>
  <c r="AC492" i="4"/>
  <c r="AG492" i="4"/>
  <c r="CU492" i="4" s="1"/>
  <c r="AC491" i="4"/>
  <c r="AG491" i="4"/>
  <c r="CU491" i="4" s="1"/>
  <c r="AC490" i="4"/>
  <c r="AG490" i="4"/>
  <c r="CU490" i="4" s="1"/>
  <c r="AC489" i="4"/>
  <c r="AG489" i="4"/>
  <c r="CU489" i="4" s="1"/>
  <c r="AC488" i="4"/>
  <c r="AG488" i="4"/>
  <c r="CU488" i="4" s="1"/>
  <c r="AC487" i="4"/>
  <c r="AG487" i="4"/>
  <c r="AC486" i="4"/>
  <c r="AG486" i="4"/>
  <c r="AC485" i="4"/>
  <c r="AG485" i="4"/>
  <c r="AC484" i="4"/>
  <c r="AG484" i="4"/>
  <c r="AC483" i="4"/>
  <c r="AG483" i="4"/>
  <c r="AC482" i="4"/>
  <c r="AG482" i="4"/>
  <c r="AC481" i="4"/>
  <c r="AG481" i="4"/>
  <c r="AC480" i="4"/>
  <c r="AG480" i="4"/>
  <c r="AC479" i="4"/>
  <c r="AG479" i="4"/>
  <c r="AC478" i="4"/>
  <c r="AG478" i="4"/>
  <c r="AC477" i="4"/>
  <c r="AG477" i="4"/>
  <c r="AC476" i="4"/>
  <c r="AG476" i="4"/>
  <c r="AC475" i="4"/>
  <c r="AG475" i="4"/>
  <c r="AC474" i="4"/>
  <c r="AG474" i="4"/>
  <c r="AC473" i="4"/>
  <c r="AG473" i="4"/>
  <c r="CU473" i="4" s="1"/>
  <c r="AC472" i="4"/>
  <c r="AG472" i="4"/>
  <c r="CU472" i="4" s="1"/>
  <c r="AC471" i="4"/>
  <c r="AG471" i="4"/>
  <c r="AC470" i="4"/>
  <c r="AG470" i="4"/>
  <c r="AC469" i="4"/>
  <c r="AG469" i="4"/>
  <c r="AC468" i="4"/>
  <c r="AG468" i="4"/>
  <c r="AC467" i="4"/>
  <c r="AG467" i="4"/>
  <c r="AC466" i="4"/>
  <c r="AG466" i="4"/>
  <c r="AC465" i="4"/>
  <c r="AG465" i="4"/>
  <c r="AC464" i="4"/>
  <c r="AG464" i="4"/>
  <c r="AC463" i="4"/>
  <c r="AG463" i="4"/>
  <c r="AC462" i="4"/>
  <c r="AG462" i="4"/>
  <c r="AC461" i="4"/>
  <c r="AG461" i="4"/>
  <c r="CU461" i="4" s="1"/>
  <c r="AC460" i="4"/>
  <c r="AG460" i="4"/>
  <c r="CU460" i="4" s="1"/>
  <c r="AC459" i="4"/>
  <c r="AG459" i="4"/>
  <c r="CU459" i="4" s="1"/>
  <c r="AC458" i="4"/>
  <c r="AG458" i="4"/>
  <c r="CU458" i="4" s="1"/>
  <c r="AC457" i="4"/>
  <c r="AG457" i="4"/>
  <c r="CU457" i="4" s="1"/>
  <c r="AC456" i="4"/>
  <c r="AG456" i="4"/>
  <c r="CU456" i="4" s="1"/>
  <c r="AC455" i="4"/>
  <c r="AG455" i="4"/>
  <c r="CU455" i="4" s="1"/>
  <c r="AC454" i="4"/>
  <c r="AG454" i="4"/>
  <c r="CU454" i="4" s="1"/>
  <c r="AC453" i="4"/>
  <c r="AG453" i="4"/>
  <c r="CU453" i="4" s="1"/>
  <c r="AC452" i="4"/>
  <c r="AG452" i="4"/>
  <c r="CU452" i="4" s="1"/>
  <c r="AC451" i="4"/>
  <c r="AG451" i="4"/>
  <c r="CU451" i="4" s="1"/>
  <c r="AC450" i="4"/>
  <c r="AG450" i="4"/>
  <c r="CU450" i="4" s="1"/>
  <c r="AC449" i="4"/>
  <c r="AG449" i="4"/>
  <c r="CU449" i="4" s="1"/>
  <c r="AC448" i="4"/>
  <c r="AG448" i="4"/>
  <c r="CU448" i="4" s="1"/>
  <c r="AC447" i="4"/>
  <c r="AG447" i="4"/>
  <c r="CU447" i="4" s="1"/>
  <c r="AC446" i="4"/>
  <c r="AG446" i="4"/>
  <c r="CU446" i="4" s="1"/>
  <c r="AC445" i="4"/>
  <c r="AG445" i="4"/>
  <c r="CU445" i="4" s="1"/>
  <c r="AC444" i="4"/>
  <c r="AG444" i="4"/>
  <c r="CU444" i="4" s="1"/>
  <c r="AC443" i="4"/>
  <c r="AG443" i="4"/>
  <c r="CU443" i="4" s="1"/>
  <c r="AC442" i="4"/>
  <c r="AG442" i="4"/>
  <c r="CU442" i="4" s="1"/>
  <c r="AC441" i="4"/>
  <c r="AG441" i="4"/>
  <c r="CU441" i="4" s="1"/>
  <c r="AC440" i="4"/>
  <c r="AG440" i="4"/>
  <c r="CU440" i="4" s="1"/>
  <c r="AC439" i="4"/>
  <c r="AG439" i="4"/>
  <c r="CU439" i="4" s="1"/>
  <c r="AC438" i="4"/>
  <c r="AG438" i="4"/>
  <c r="CU438" i="4" s="1"/>
  <c r="AC437" i="4"/>
  <c r="AG437" i="4"/>
  <c r="CU437" i="4" s="1"/>
  <c r="AC436" i="4"/>
  <c r="AG436" i="4"/>
  <c r="CU436" i="4" s="1"/>
  <c r="AC435" i="4"/>
  <c r="AG435" i="4"/>
  <c r="CU435" i="4" s="1"/>
  <c r="AC434" i="4"/>
  <c r="AG434" i="4"/>
  <c r="CU434" i="4" s="1"/>
  <c r="AC433" i="4"/>
  <c r="AG433" i="4"/>
  <c r="CU433" i="4" s="1"/>
  <c r="AC432" i="4"/>
  <c r="AG432" i="4"/>
  <c r="CU432" i="4" s="1"/>
  <c r="AC431" i="4"/>
  <c r="AG431" i="4"/>
  <c r="CU431" i="4" s="1"/>
  <c r="AC430" i="4"/>
  <c r="AG430" i="4"/>
  <c r="CU430" i="4" s="1"/>
  <c r="AC429" i="4"/>
  <c r="AG429" i="4"/>
  <c r="CU429" i="4" s="1"/>
  <c r="AC428" i="4"/>
  <c r="AG428" i="4"/>
  <c r="CU428" i="4" s="1"/>
  <c r="AC427" i="4"/>
  <c r="AG427" i="4"/>
  <c r="CU427" i="4" s="1"/>
  <c r="AC426" i="4"/>
  <c r="AG426" i="4"/>
  <c r="CU426" i="4" s="1"/>
  <c r="AC425" i="4"/>
  <c r="AG425" i="4"/>
  <c r="CU425" i="4" s="1"/>
  <c r="AC424" i="4"/>
  <c r="AG424" i="4"/>
  <c r="CU424" i="4" s="1"/>
  <c r="AC423" i="4"/>
  <c r="AG423" i="4"/>
  <c r="CU423" i="4" s="1"/>
  <c r="AC422" i="4"/>
  <c r="AG422" i="4"/>
  <c r="CU422" i="4" s="1"/>
  <c r="AC421" i="4"/>
  <c r="AG421" i="4"/>
  <c r="CU421" i="4" s="1"/>
  <c r="AC420" i="4"/>
  <c r="AG420" i="4"/>
  <c r="CU420" i="4" s="1"/>
  <c r="AC419" i="4"/>
  <c r="AG419" i="4"/>
  <c r="CU419" i="4" s="1"/>
  <c r="AC418" i="4"/>
  <c r="AG418" i="4"/>
  <c r="CU418" i="4" s="1"/>
  <c r="AC417" i="4"/>
  <c r="AG417" i="4"/>
  <c r="CU417" i="4" s="1"/>
  <c r="AC416" i="4"/>
  <c r="AG416" i="4"/>
  <c r="CU416" i="4" s="1"/>
  <c r="AC415" i="4"/>
  <c r="AG415" i="4"/>
  <c r="CU415" i="4" s="1"/>
  <c r="AC414" i="4"/>
  <c r="AG414" i="4"/>
  <c r="CU414" i="4" s="1"/>
  <c r="AC413" i="4"/>
  <c r="AG413" i="4"/>
  <c r="CU413" i="4" s="1"/>
  <c r="AC412" i="4"/>
  <c r="AG412" i="4"/>
  <c r="CU412" i="4" s="1"/>
  <c r="AC411" i="4"/>
  <c r="AG411" i="4"/>
  <c r="CU411" i="4" s="1"/>
  <c r="AC410" i="4"/>
  <c r="AG410" i="4"/>
  <c r="CU410" i="4" s="1"/>
  <c r="AC409" i="4"/>
  <c r="AG409" i="4"/>
  <c r="CU409" i="4" s="1"/>
  <c r="AC408" i="4"/>
  <c r="AG408" i="4"/>
  <c r="CU408" i="4" s="1"/>
  <c r="AC407" i="4"/>
  <c r="AG407" i="4"/>
  <c r="CU407" i="4" s="1"/>
  <c r="AC406" i="4"/>
  <c r="AG406" i="4"/>
  <c r="CU406" i="4" s="1"/>
  <c r="AC405" i="4"/>
  <c r="AG405" i="4"/>
  <c r="CU405" i="4" s="1"/>
  <c r="AC404" i="4"/>
  <c r="AG404" i="4"/>
  <c r="CU404" i="4" s="1"/>
  <c r="AC403" i="4"/>
  <c r="AG403" i="4"/>
  <c r="CU403" i="4" s="1"/>
  <c r="AC402" i="4"/>
  <c r="AG402" i="4"/>
  <c r="CU402" i="4" s="1"/>
  <c r="AC401" i="4"/>
  <c r="AG401" i="4"/>
  <c r="CU401" i="4" s="1"/>
  <c r="AC400" i="4"/>
  <c r="AG400" i="4"/>
  <c r="CU400" i="4" s="1"/>
  <c r="AC399" i="4"/>
  <c r="AG399" i="4"/>
  <c r="CU399" i="4" s="1"/>
  <c r="AC398" i="4"/>
  <c r="AG398" i="4"/>
  <c r="CU398" i="4" s="1"/>
  <c r="AC397" i="4"/>
  <c r="AG397" i="4"/>
  <c r="CU397" i="4" s="1"/>
  <c r="AC396" i="4"/>
  <c r="AG396" i="4"/>
  <c r="CU396" i="4" s="1"/>
  <c r="AC395" i="4"/>
  <c r="AG395" i="4"/>
  <c r="CU395" i="4" s="1"/>
  <c r="AC394" i="4"/>
  <c r="AG394" i="4"/>
  <c r="CU394" i="4" s="1"/>
  <c r="AC393" i="4"/>
  <c r="AG393" i="4"/>
  <c r="CU393" i="4" s="1"/>
  <c r="AC392" i="4"/>
  <c r="AG392" i="4"/>
  <c r="CU392" i="4" s="1"/>
  <c r="AC391" i="4"/>
  <c r="AG391" i="4"/>
  <c r="CU391" i="4" s="1"/>
  <c r="AC390" i="4"/>
  <c r="AG390" i="4"/>
  <c r="CU390" i="4" s="1"/>
  <c r="AC389" i="4"/>
  <c r="AG389" i="4"/>
  <c r="CU389" i="4" s="1"/>
  <c r="AC388" i="4"/>
  <c r="AG388" i="4"/>
  <c r="CU388" i="4" s="1"/>
  <c r="AC387" i="4"/>
  <c r="AG387" i="4"/>
  <c r="CU387" i="4" s="1"/>
  <c r="AC386" i="4"/>
  <c r="AG386" i="4"/>
  <c r="CU386" i="4" s="1"/>
  <c r="AC385" i="4"/>
  <c r="AG385" i="4"/>
  <c r="CU385" i="4" s="1"/>
  <c r="AC384" i="4"/>
  <c r="AG384" i="4"/>
  <c r="CU384" i="4" s="1"/>
  <c r="AC383" i="4"/>
  <c r="AG383" i="4"/>
  <c r="CU383" i="4" s="1"/>
  <c r="AC382" i="4"/>
  <c r="AG382" i="4"/>
  <c r="CU382" i="4" s="1"/>
  <c r="AC381" i="4"/>
  <c r="AG381" i="4"/>
  <c r="CU381" i="4" s="1"/>
  <c r="AC380" i="4"/>
  <c r="AG380" i="4"/>
  <c r="CU380" i="4" s="1"/>
  <c r="AC379" i="4"/>
  <c r="AG379" i="4"/>
  <c r="CU379" i="4" s="1"/>
  <c r="AC378" i="4"/>
  <c r="AG378" i="4"/>
  <c r="CU378" i="4" s="1"/>
  <c r="AC377" i="4"/>
  <c r="AG377" i="4"/>
  <c r="CU377" i="4" s="1"/>
  <c r="AC376" i="4"/>
  <c r="AG376" i="4"/>
  <c r="CU376" i="4" s="1"/>
  <c r="AC375" i="4"/>
  <c r="AG375" i="4"/>
  <c r="CU375" i="4" s="1"/>
  <c r="AC374" i="4"/>
  <c r="AG374" i="4"/>
  <c r="CU374" i="4" s="1"/>
  <c r="AC373" i="4"/>
  <c r="AG373" i="4"/>
  <c r="CU373" i="4" s="1"/>
  <c r="AC372" i="4"/>
  <c r="AG372" i="4"/>
  <c r="CU372" i="4" s="1"/>
  <c r="AC371" i="4"/>
  <c r="AG371" i="4"/>
  <c r="CU371" i="4" s="1"/>
  <c r="AC370" i="4"/>
  <c r="AG370" i="4"/>
  <c r="CU370" i="4" s="1"/>
  <c r="AC369" i="4"/>
  <c r="AG369" i="4"/>
  <c r="CU369" i="4" s="1"/>
  <c r="AC368" i="4"/>
  <c r="AG368" i="4"/>
  <c r="CU368" i="4" s="1"/>
  <c r="AC367" i="4"/>
  <c r="AG367" i="4"/>
  <c r="CU367" i="4" s="1"/>
  <c r="AC366" i="4"/>
  <c r="AG366" i="4"/>
  <c r="CU366" i="4" s="1"/>
  <c r="AC365" i="4"/>
  <c r="AG365" i="4"/>
  <c r="CU365" i="4" s="1"/>
  <c r="AC364" i="4"/>
  <c r="AG364" i="4"/>
  <c r="CU364" i="4" s="1"/>
  <c r="AC363" i="4"/>
  <c r="AG363" i="4"/>
  <c r="CU363" i="4" s="1"/>
  <c r="AC362" i="4"/>
  <c r="AG362" i="4"/>
  <c r="CU362" i="4" s="1"/>
  <c r="AC361" i="4"/>
  <c r="AG361" i="4"/>
  <c r="CU361" i="4" s="1"/>
  <c r="AC360" i="4"/>
  <c r="AG360" i="4"/>
  <c r="CU360" i="4" s="1"/>
  <c r="AC359" i="4"/>
  <c r="AG359" i="4"/>
  <c r="CU359" i="4" s="1"/>
  <c r="AC358" i="4"/>
  <c r="AG358" i="4"/>
  <c r="CU358" i="4" s="1"/>
  <c r="AC357" i="4"/>
  <c r="AG357" i="4"/>
  <c r="CU357" i="4" s="1"/>
  <c r="AC356" i="4"/>
  <c r="AG356" i="4"/>
  <c r="CU356" i="4" s="1"/>
  <c r="AC355" i="4"/>
  <c r="AG355" i="4"/>
  <c r="CU355" i="4" s="1"/>
  <c r="AC354" i="4"/>
  <c r="AG354" i="4"/>
  <c r="CU354" i="4" s="1"/>
  <c r="AC353" i="4"/>
  <c r="AG353" i="4"/>
  <c r="CU353" i="4" s="1"/>
  <c r="AC352" i="4"/>
  <c r="AG352" i="4"/>
  <c r="CU352" i="4" s="1"/>
  <c r="AC351" i="4"/>
  <c r="AG351" i="4"/>
  <c r="CU351" i="4" s="1"/>
  <c r="AC350" i="4"/>
  <c r="AG350" i="4"/>
  <c r="CU350" i="4" s="1"/>
  <c r="AC349" i="4"/>
  <c r="AG349" i="4"/>
  <c r="CU349" i="4" s="1"/>
  <c r="AC348" i="4"/>
  <c r="AG348" i="4"/>
  <c r="CU348" i="4" s="1"/>
  <c r="AC347" i="4"/>
  <c r="AG347" i="4"/>
  <c r="CU347" i="4" s="1"/>
  <c r="AC346" i="4"/>
  <c r="AG346" i="4"/>
  <c r="CU346" i="4" s="1"/>
  <c r="AC345" i="4"/>
  <c r="AG345" i="4"/>
  <c r="CU345" i="4" s="1"/>
  <c r="AC344" i="4"/>
  <c r="AG344" i="4"/>
  <c r="CU344" i="4" s="1"/>
  <c r="AC343" i="4"/>
  <c r="AG343" i="4"/>
  <c r="CU343" i="4" s="1"/>
  <c r="AC342" i="4"/>
  <c r="AG342" i="4"/>
  <c r="CU342" i="4" s="1"/>
  <c r="AC341" i="4"/>
  <c r="AG341" i="4"/>
  <c r="CU341" i="4" s="1"/>
  <c r="AC340" i="4"/>
  <c r="AG340" i="4"/>
  <c r="CU340" i="4" s="1"/>
  <c r="AC339" i="4"/>
  <c r="AG339" i="4"/>
  <c r="CU339" i="4" s="1"/>
  <c r="AC338" i="4"/>
  <c r="AG338" i="4"/>
  <c r="CU338" i="4" s="1"/>
  <c r="AC337" i="4"/>
  <c r="AG337" i="4"/>
  <c r="CU337" i="4" s="1"/>
  <c r="AC336" i="4"/>
  <c r="AG336" i="4"/>
  <c r="CU336" i="4" s="1"/>
  <c r="AC335" i="4"/>
  <c r="AG335" i="4"/>
  <c r="CU335" i="4" s="1"/>
  <c r="AC334" i="4"/>
  <c r="AG334" i="4"/>
  <c r="CU334" i="4" s="1"/>
  <c r="AC333" i="4"/>
  <c r="AG333" i="4"/>
  <c r="CU333" i="4" s="1"/>
  <c r="AC332" i="4"/>
  <c r="AG332" i="4"/>
  <c r="CU332" i="4" s="1"/>
  <c r="AC331" i="4"/>
  <c r="AG331" i="4"/>
  <c r="CU331" i="4" s="1"/>
  <c r="AC330" i="4"/>
  <c r="AG330" i="4"/>
  <c r="CU330" i="4" s="1"/>
  <c r="AC329" i="4"/>
  <c r="AG329" i="4"/>
  <c r="CU329" i="4" s="1"/>
  <c r="AC328" i="4"/>
  <c r="AG328" i="4"/>
  <c r="CU328" i="4" s="1"/>
  <c r="AC327" i="4"/>
  <c r="AG327" i="4"/>
  <c r="CU327" i="4" s="1"/>
  <c r="AC326" i="4"/>
  <c r="AG326" i="4"/>
  <c r="CU326" i="4" s="1"/>
  <c r="AC325" i="4"/>
  <c r="AG325" i="4"/>
  <c r="CU325" i="4" s="1"/>
  <c r="AC324" i="4"/>
  <c r="AG324" i="4"/>
  <c r="CU324" i="4" s="1"/>
  <c r="AC323" i="4"/>
  <c r="AG323" i="4"/>
  <c r="CU323" i="4" s="1"/>
  <c r="AC322" i="4"/>
  <c r="AG322" i="4"/>
  <c r="CU322" i="4" s="1"/>
  <c r="AC321" i="4"/>
  <c r="AG321" i="4"/>
  <c r="CU321" i="4" s="1"/>
  <c r="AC320" i="4"/>
  <c r="AG320" i="4"/>
  <c r="CU320" i="4" s="1"/>
  <c r="AC319" i="4"/>
  <c r="AG319" i="4"/>
  <c r="CU319" i="4" s="1"/>
  <c r="AC318" i="4"/>
  <c r="AG318" i="4"/>
  <c r="CU318" i="4" s="1"/>
  <c r="AC317" i="4"/>
  <c r="AG317" i="4"/>
  <c r="CU317" i="4" s="1"/>
  <c r="AC316" i="4"/>
  <c r="AG316" i="4"/>
  <c r="CU316" i="4" s="1"/>
  <c r="AC315" i="4"/>
  <c r="AG315" i="4"/>
  <c r="CU315" i="4" s="1"/>
  <c r="AC314" i="4"/>
  <c r="AG314" i="4"/>
  <c r="CU314" i="4" s="1"/>
  <c r="AC313" i="4"/>
  <c r="AG313" i="4"/>
  <c r="CU313" i="4" s="1"/>
  <c r="AC312" i="4"/>
  <c r="AG312" i="4"/>
  <c r="CU312" i="4" s="1"/>
  <c r="AC311" i="4"/>
  <c r="AG311" i="4"/>
  <c r="CU311" i="4" s="1"/>
  <c r="AC310" i="4"/>
  <c r="AG310" i="4"/>
  <c r="CU310" i="4" s="1"/>
  <c r="AC309" i="4"/>
  <c r="AG309" i="4"/>
  <c r="CU309" i="4" s="1"/>
  <c r="AC308" i="4"/>
  <c r="AG308" i="4"/>
  <c r="CU308" i="4" s="1"/>
  <c r="AC307" i="4"/>
  <c r="AG307" i="4"/>
  <c r="CU307" i="4" s="1"/>
  <c r="AC306" i="4"/>
  <c r="AG306" i="4"/>
  <c r="CU306" i="4" s="1"/>
  <c r="AC305" i="4"/>
  <c r="AG305" i="4"/>
  <c r="CU305" i="4" s="1"/>
  <c r="AC304" i="4"/>
  <c r="AG304" i="4"/>
  <c r="CU304" i="4" s="1"/>
  <c r="AC303" i="4"/>
  <c r="AG303" i="4"/>
  <c r="CU303" i="4" s="1"/>
  <c r="AC302" i="4"/>
  <c r="AG302" i="4"/>
  <c r="CU302" i="4" s="1"/>
  <c r="AC301" i="4"/>
  <c r="AG301" i="4"/>
  <c r="CU301" i="4" s="1"/>
  <c r="AC300" i="4"/>
  <c r="AG300" i="4"/>
  <c r="CU300" i="4" s="1"/>
  <c r="AC299" i="4"/>
  <c r="AG299" i="4"/>
  <c r="CU299" i="4" s="1"/>
  <c r="AC298" i="4"/>
  <c r="AG298" i="4"/>
  <c r="CU298" i="4" s="1"/>
  <c r="AC297" i="4"/>
  <c r="AG297" i="4"/>
  <c r="CU297" i="4" s="1"/>
  <c r="AC296" i="4"/>
  <c r="AG296" i="4"/>
  <c r="CU296" i="4" s="1"/>
  <c r="AC295" i="4"/>
  <c r="AG295" i="4"/>
  <c r="CU295" i="4" s="1"/>
  <c r="AC294" i="4"/>
  <c r="AG294" i="4"/>
  <c r="CU294" i="4" s="1"/>
  <c r="AC293" i="4"/>
  <c r="AG293" i="4"/>
  <c r="CU293" i="4" s="1"/>
  <c r="AC292" i="4"/>
  <c r="AG292" i="4"/>
  <c r="CU292" i="4" s="1"/>
  <c r="AC291" i="4"/>
  <c r="AG291" i="4"/>
  <c r="CU291" i="4" s="1"/>
  <c r="AC290" i="4"/>
  <c r="AG290" i="4"/>
  <c r="CU290" i="4" s="1"/>
  <c r="AC289" i="4"/>
  <c r="AG289" i="4"/>
  <c r="CU289" i="4" s="1"/>
  <c r="AC288" i="4"/>
  <c r="AG288" i="4"/>
  <c r="CU288" i="4" s="1"/>
  <c r="AC287" i="4"/>
  <c r="AG287" i="4"/>
  <c r="CU287" i="4" s="1"/>
  <c r="AC286" i="4"/>
  <c r="AG286" i="4"/>
  <c r="CU286" i="4" s="1"/>
  <c r="AC285" i="4"/>
  <c r="AG285" i="4"/>
  <c r="CU285" i="4" s="1"/>
  <c r="AC284" i="4"/>
  <c r="AG284" i="4"/>
  <c r="CU284" i="4" s="1"/>
  <c r="AC283" i="4"/>
  <c r="AG283" i="4"/>
  <c r="CU283" i="4" s="1"/>
  <c r="AC282" i="4"/>
  <c r="AG282" i="4"/>
  <c r="CU282" i="4" s="1"/>
  <c r="AC281" i="4"/>
  <c r="AG281" i="4"/>
  <c r="CU281" i="4" s="1"/>
  <c r="AC280" i="4"/>
  <c r="AG280" i="4"/>
  <c r="CU280" i="4" s="1"/>
  <c r="AC279" i="4"/>
  <c r="AG279" i="4"/>
  <c r="CU279" i="4" s="1"/>
  <c r="AC278" i="4"/>
  <c r="AG278" i="4"/>
  <c r="CU278" i="4" s="1"/>
  <c r="AC277" i="4"/>
  <c r="AG277" i="4"/>
  <c r="CU277" i="4" s="1"/>
  <c r="AC276" i="4"/>
  <c r="AG276" i="4"/>
  <c r="CU276" i="4" s="1"/>
  <c r="AC275" i="4"/>
  <c r="AG275" i="4"/>
  <c r="CU275" i="4" s="1"/>
  <c r="AC274" i="4"/>
  <c r="AG274" i="4"/>
  <c r="CU274" i="4" s="1"/>
  <c r="AC273" i="4"/>
  <c r="AG273" i="4"/>
  <c r="CU273" i="4" s="1"/>
  <c r="AC272" i="4"/>
  <c r="AG272" i="4"/>
  <c r="CU272" i="4" s="1"/>
  <c r="AC271" i="4"/>
  <c r="AG271" i="4"/>
  <c r="CU271" i="4" s="1"/>
  <c r="AC270" i="4"/>
  <c r="AG270" i="4"/>
  <c r="CU270" i="4" s="1"/>
  <c r="AC269" i="4"/>
  <c r="AG269" i="4"/>
  <c r="CU269" i="4" s="1"/>
  <c r="AC268" i="4"/>
  <c r="AG268" i="4"/>
  <c r="CU268" i="4" s="1"/>
  <c r="AC267" i="4"/>
  <c r="AG267" i="4"/>
  <c r="CU267" i="4" s="1"/>
  <c r="AC266" i="4"/>
  <c r="AG266" i="4"/>
  <c r="CU266" i="4" s="1"/>
  <c r="AC265" i="4"/>
  <c r="AG265" i="4"/>
  <c r="CU265" i="4" s="1"/>
  <c r="AC264" i="4"/>
  <c r="AG264" i="4"/>
  <c r="CU264" i="4" s="1"/>
  <c r="AC263" i="4"/>
  <c r="AG263" i="4"/>
  <c r="CU263" i="4" s="1"/>
  <c r="AC262" i="4"/>
  <c r="AG262" i="4"/>
  <c r="CU262" i="4" s="1"/>
  <c r="AC261" i="4"/>
  <c r="AG261" i="4"/>
  <c r="CU261" i="4" s="1"/>
  <c r="AC260" i="4"/>
  <c r="AG260" i="4"/>
  <c r="CU260" i="4" s="1"/>
  <c r="AC259" i="4"/>
  <c r="AG259" i="4"/>
  <c r="CU259" i="4" s="1"/>
  <c r="AC258" i="4"/>
  <c r="AG258" i="4"/>
  <c r="CU258" i="4" s="1"/>
  <c r="AC257" i="4"/>
  <c r="AG257" i="4"/>
  <c r="CU257" i="4" s="1"/>
  <c r="AC256" i="4"/>
  <c r="AG256" i="4"/>
  <c r="CU256" i="4" s="1"/>
  <c r="AC255" i="4"/>
  <c r="AG255" i="4"/>
  <c r="CU255" i="4" s="1"/>
  <c r="AC254" i="4"/>
  <c r="AG254" i="4"/>
  <c r="CU254" i="4" s="1"/>
  <c r="AC253" i="4"/>
  <c r="AG253" i="4"/>
  <c r="CU253" i="4" s="1"/>
  <c r="AC252" i="4"/>
  <c r="AG252" i="4"/>
  <c r="CU252" i="4" s="1"/>
  <c r="AC251" i="4"/>
  <c r="AG251" i="4"/>
  <c r="CU251" i="4" s="1"/>
  <c r="AC250" i="4"/>
  <c r="AG250" i="4"/>
  <c r="CU250" i="4" s="1"/>
  <c r="AC249" i="4"/>
  <c r="AG249" i="4"/>
  <c r="CU249" i="4" s="1"/>
  <c r="AC248" i="4"/>
  <c r="AG248" i="4"/>
  <c r="CU248" i="4" s="1"/>
  <c r="AC247" i="4"/>
  <c r="AG247" i="4"/>
  <c r="CU247" i="4" s="1"/>
  <c r="AC246" i="4"/>
  <c r="AG246" i="4"/>
  <c r="CU246" i="4" s="1"/>
  <c r="AC245" i="4"/>
  <c r="AG245" i="4"/>
  <c r="CU245" i="4" s="1"/>
  <c r="AC244" i="4"/>
  <c r="AG244" i="4"/>
  <c r="CU244" i="4" s="1"/>
  <c r="AC243" i="4"/>
  <c r="AG243" i="4"/>
  <c r="CU243" i="4" s="1"/>
  <c r="AC242" i="4"/>
  <c r="AG242" i="4"/>
  <c r="CU242" i="4" s="1"/>
  <c r="AC241" i="4"/>
  <c r="AG241" i="4"/>
  <c r="CU241" i="4" s="1"/>
  <c r="AC240" i="4"/>
  <c r="AG240" i="4"/>
  <c r="CU240" i="4" s="1"/>
  <c r="AC239" i="4"/>
  <c r="AG239" i="4"/>
  <c r="CU239" i="4" s="1"/>
  <c r="AC238" i="4"/>
  <c r="AG238" i="4"/>
  <c r="CU238" i="4" s="1"/>
  <c r="AC237" i="4"/>
  <c r="AG237" i="4"/>
  <c r="CU237" i="4" s="1"/>
  <c r="AC236" i="4"/>
  <c r="AG236" i="4"/>
  <c r="CU236" i="4" s="1"/>
  <c r="AC235" i="4"/>
  <c r="AG235" i="4"/>
  <c r="CU235" i="4" s="1"/>
  <c r="AC234" i="4"/>
  <c r="AG234" i="4"/>
  <c r="CU234" i="4" s="1"/>
  <c r="AC233" i="4"/>
  <c r="AG233" i="4"/>
  <c r="CU233" i="4" s="1"/>
  <c r="AC232" i="4"/>
  <c r="AG232" i="4"/>
  <c r="CU232" i="4" s="1"/>
  <c r="AC231" i="4"/>
  <c r="AG231" i="4"/>
  <c r="CU231" i="4" s="1"/>
  <c r="AC230" i="4"/>
  <c r="AG230" i="4"/>
  <c r="CU230" i="4" s="1"/>
  <c r="AC229" i="4"/>
  <c r="AG229" i="4"/>
  <c r="CU229" i="4" s="1"/>
  <c r="AC228" i="4"/>
  <c r="AG228" i="4"/>
  <c r="CU228" i="4" s="1"/>
  <c r="AC227" i="4"/>
  <c r="AG227" i="4"/>
  <c r="CU227" i="4" s="1"/>
  <c r="AC226" i="4"/>
  <c r="AG226" i="4"/>
  <c r="CU226" i="4" s="1"/>
  <c r="AC225" i="4"/>
  <c r="AG225" i="4"/>
  <c r="CU225" i="4" s="1"/>
  <c r="AC224" i="4"/>
  <c r="AG224" i="4"/>
  <c r="CU224" i="4" s="1"/>
  <c r="AC214" i="4"/>
  <c r="AG214" i="4"/>
  <c r="AC213" i="4"/>
  <c r="AG213" i="4"/>
  <c r="AC212" i="4"/>
  <c r="AG212" i="4"/>
  <c r="AC211" i="4"/>
  <c r="AG211" i="4"/>
  <c r="AC210" i="4"/>
  <c r="AG210" i="4"/>
  <c r="AC209" i="4"/>
  <c r="AG209" i="4"/>
  <c r="AC208" i="4"/>
  <c r="AG208" i="4"/>
  <c r="AC207" i="4"/>
  <c r="AG207" i="4"/>
  <c r="AC206" i="4"/>
  <c r="AG206" i="4"/>
  <c r="AC205" i="4"/>
  <c r="AG205" i="4"/>
  <c r="AC204" i="4"/>
  <c r="AG204" i="4"/>
  <c r="AC203" i="4"/>
  <c r="AG203" i="4"/>
  <c r="AC202" i="4"/>
  <c r="AG202" i="4"/>
  <c r="AC201" i="4"/>
  <c r="AG201" i="4"/>
  <c r="AC200" i="4"/>
  <c r="AG200" i="4"/>
  <c r="AC199" i="4"/>
  <c r="AG199" i="4"/>
  <c r="AG198" i="4"/>
  <c r="AG197" i="4"/>
  <c r="AG196" i="4"/>
  <c r="AG195" i="4"/>
  <c r="AC194" i="4"/>
  <c r="AG194" i="4"/>
  <c r="AC193" i="4"/>
  <c r="AG193" i="4"/>
  <c r="AC192" i="4"/>
  <c r="AG192" i="4"/>
  <c r="AG191" i="4"/>
  <c r="AC190" i="4"/>
  <c r="AG190" i="4"/>
  <c r="CU190" i="4" s="1"/>
  <c r="AC189" i="4"/>
  <c r="AG189" i="4"/>
  <c r="CU189" i="4" s="1"/>
  <c r="AC188" i="4"/>
  <c r="AG188" i="4"/>
  <c r="CU188" i="4" s="1"/>
  <c r="AC187" i="4"/>
  <c r="AG187" i="4"/>
  <c r="CU187" i="4" s="1"/>
  <c r="AC186" i="4"/>
  <c r="AG186" i="4"/>
  <c r="AC185" i="4"/>
  <c r="AG185" i="4"/>
  <c r="AC184" i="4"/>
  <c r="AG184" i="4"/>
  <c r="AC183" i="4"/>
  <c r="AG183" i="4"/>
  <c r="AC182" i="4"/>
  <c r="AG182" i="4"/>
  <c r="AC181" i="4"/>
  <c r="AG181" i="4"/>
  <c r="AC180" i="4"/>
  <c r="AG180" i="4"/>
  <c r="AC179" i="4"/>
  <c r="AG179" i="4"/>
  <c r="AC178" i="4"/>
  <c r="AG178" i="4"/>
  <c r="AC177" i="4"/>
  <c r="AG177" i="4"/>
  <c r="AC176" i="4"/>
  <c r="AG176" i="4"/>
  <c r="AC175" i="4"/>
  <c r="AG175" i="4"/>
  <c r="AC174" i="4"/>
  <c r="AG174" i="4"/>
  <c r="AC173" i="4"/>
  <c r="AG173" i="4"/>
  <c r="AC172" i="4"/>
  <c r="AG172" i="4"/>
  <c r="AC171" i="4"/>
  <c r="AG171" i="4"/>
  <c r="AC170" i="4"/>
  <c r="AG170" i="4"/>
  <c r="AC169" i="4"/>
  <c r="AG169" i="4"/>
  <c r="AC168" i="4"/>
  <c r="AG168" i="4"/>
  <c r="AC167" i="4"/>
  <c r="AG167" i="4"/>
  <c r="AC166" i="4"/>
  <c r="AG166" i="4"/>
  <c r="AC165" i="4"/>
  <c r="AG165" i="4"/>
  <c r="AC164" i="4"/>
  <c r="AG164" i="4"/>
  <c r="AC163" i="4"/>
  <c r="AG163" i="4"/>
  <c r="AC162" i="4"/>
  <c r="AG162" i="4"/>
  <c r="AC161" i="4"/>
  <c r="AG161" i="4"/>
  <c r="AC160" i="4"/>
  <c r="AG160" i="4"/>
  <c r="AC159" i="4"/>
  <c r="AG159" i="4"/>
  <c r="AC158" i="4"/>
  <c r="AG158" i="4"/>
  <c r="AC157" i="4"/>
  <c r="AG157" i="4"/>
  <c r="AC156" i="4"/>
  <c r="AG156" i="4"/>
  <c r="AC155" i="4"/>
  <c r="AG155" i="4"/>
  <c r="AC154" i="4"/>
  <c r="AG154" i="4"/>
  <c r="AC153" i="4"/>
  <c r="AG153" i="4"/>
  <c r="AC152" i="4"/>
  <c r="AG152" i="4"/>
  <c r="AC151" i="4"/>
  <c r="AG151" i="4"/>
  <c r="AC150" i="4"/>
  <c r="AG150" i="4"/>
  <c r="AC149" i="4"/>
  <c r="AG149" i="4"/>
  <c r="AC148" i="4"/>
  <c r="AG148" i="4"/>
  <c r="AC147" i="4"/>
  <c r="AG147" i="4"/>
  <c r="AC146" i="4"/>
  <c r="AG146" i="4"/>
  <c r="AC145" i="4"/>
  <c r="AG145" i="4"/>
  <c r="AC144" i="4"/>
  <c r="AG144" i="4"/>
  <c r="AC143" i="4"/>
  <c r="AG143" i="4"/>
  <c r="AC142" i="4"/>
  <c r="AG142" i="4"/>
  <c r="AC141" i="4"/>
  <c r="AG141" i="4"/>
  <c r="AC140" i="4"/>
  <c r="AG140" i="4"/>
  <c r="AC139" i="4"/>
  <c r="AG139" i="4"/>
  <c r="AC138" i="4"/>
  <c r="AG138" i="4"/>
  <c r="AC137" i="4"/>
  <c r="AG137" i="4"/>
  <c r="AC136" i="4"/>
  <c r="AG136" i="4"/>
  <c r="AC135" i="4"/>
  <c r="AG135" i="4"/>
  <c r="AC134" i="4"/>
  <c r="AG134" i="4"/>
  <c r="AC133" i="4"/>
  <c r="AG133" i="4"/>
  <c r="AC132" i="4"/>
  <c r="AG132" i="4"/>
  <c r="AC131" i="4"/>
  <c r="AG131" i="4"/>
  <c r="AC130" i="4"/>
  <c r="AG130" i="4"/>
  <c r="AC129" i="4"/>
  <c r="AG129" i="4"/>
  <c r="AC128" i="4"/>
  <c r="AG128" i="4"/>
  <c r="AC127" i="4"/>
  <c r="AG127" i="4"/>
  <c r="AC126" i="4"/>
  <c r="AG126" i="4"/>
  <c r="AC125" i="4"/>
  <c r="AG125" i="4"/>
  <c r="AC124" i="4"/>
  <c r="AG124" i="4"/>
  <c r="AC123" i="4"/>
  <c r="AG123" i="4"/>
  <c r="AC122" i="4"/>
  <c r="AG122" i="4"/>
  <c r="AC121" i="4"/>
  <c r="AG121" i="4"/>
  <c r="AC120" i="4"/>
  <c r="AG120" i="4"/>
  <c r="AC119" i="4"/>
  <c r="AG119" i="4"/>
  <c r="AC118" i="4"/>
  <c r="AG118" i="4"/>
  <c r="AC117" i="4"/>
  <c r="AG117" i="4"/>
  <c r="AC116" i="4"/>
  <c r="AG116" i="4"/>
  <c r="AC115" i="4"/>
  <c r="AG115" i="4"/>
  <c r="AC114" i="4"/>
  <c r="AG114" i="4"/>
  <c r="AC113" i="4"/>
  <c r="AG113" i="4"/>
  <c r="AC112" i="4"/>
  <c r="AG112" i="4"/>
  <c r="AC111" i="4"/>
  <c r="AG111" i="4"/>
  <c r="AC110" i="4"/>
  <c r="AG110" i="4"/>
  <c r="AC109" i="4"/>
  <c r="AG109" i="4"/>
  <c r="AC108" i="4"/>
  <c r="AG108" i="4"/>
  <c r="AC107" i="4"/>
  <c r="AG107" i="4"/>
  <c r="AC106" i="4"/>
  <c r="AG106" i="4"/>
  <c r="AC105" i="4"/>
  <c r="AG105" i="4"/>
  <c r="AC104" i="4"/>
  <c r="AG104" i="4"/>
  <c r="AC103" i="4"/>
  <c r="AG103" i="4"/>
  <c r="AC102" i="4"/>
  <c r="AG102" i="4"/>
  <c r="AC101" i="4"/>
  <c r="AG101" i="4"/>
  <c r="AC100" i="4"/>
  <c r="AG100" i="4"/>
  <c r="AC99" i="4"/>
  <c r="AG99" i="4"/>
  <c r="AC98" i="4"/>
  <c r="AG98" i="4"/>
  <c r="AC97" i="4"/>
  <c r="AG97" i="4"/>
  <c r="AC96" i="4"/>
  <c r="AG96" i="4"/>
  <c r="AC95" i="4"/>
  <c r="AG95" i="4"/>
  <c r="AC94" i="4"/>
  <c r="AG94" i="4"/>
  <c r="AC93" i="4"/>
  <c r="AG93" i="4"/>
  <c r="AC92" i="4"/>
  <c r="AG92" i="4"/>
  <c r="AC91" i="4"/>
  <c r="AG91" i="4"/>
  <c r="AG90" i="4"/>
  <c r="AC90" i="4"/>
  <c r="AG89" i="4"/>
  <c r="AC89" i="4"/>
  <c r="AG88" i="4"/>
  <c r="AC88" i="4"/>
  <c r="AC87" i="4"/>
  <c r="AG87" i="4"/>
  <c r="AC86" i="4"/>
  <c r="AG86" i="4"/>
  <c r="AC85" i="4"/>
  <c r="AG85" i="4"/>
  <c r="AC84" i="4"/>
  <c r="AG84" i="4"/>
  <c r="AC83" i="4"/>
  <c r="AG83" i="4"/>
  <c r="AC82" i="4"/>
  <c r="AG82" i="4"/>
  <c r="AC81" i="4"/>
  <c r="AG81" i="4"/>
  <c r="AC80" i="4"/>
  <c r="AG80" i="4"/>
  <c r="AC79" i="4"/>
  <c r="AG79" i="4"/>
  <c r="AC78" i="4"/>
  <c r="AG78" i="4"/>
  <c r="AC77" i="4"/>
  <c r="AG77" i="4"/>
  <c r="AC76" i="4"/>
  <c r="AG76" i="4"/>
  <c r="AC75" i="4"/>
  <c r="AG75" i="4"/>
  <c r="AC74" i="4"/>
  <c r="AG74" i="4"/>
  <c r="AC73" i="4"/>
  <c r="AG73" i="4"/>
  <c r="AC72" i="4"/>
  <c r="AG72" i="4"/>
  <c r="AC71" i="4"/>
  <c r="AG71" i="4"/>
  <c r="AC70" i="4"/>
  <c r="AG70" i="4"/>
  <c r="AC69" i="4"/>
  <c r="AG69" i="4"/>
  <c r="AC68" i="4"/>
  <c r="AG68" i="4"/>
  <c r="AC67" i="4"/>
  <c r="AG67" i="4"/>
  <c r="AC66" i="4"/>
  <c r="AG66" i="4"/>
  <c r="AC65" i="4"/>
  <c r="AG65" i="4"/>
  <c r="AC64" i="4"/>
  <c r="AG64" i="4"/>
  <c r="AC63" i="4"/>
  <c r="AG63" i="4"/>
  <c r="AC62" i="4"/>
  <c r="AG62" i="4"/>
  <c r="AC61" i="4"/>
  <c r="AG61" i="4"/>
  <c r="AC60" i="4"/>
  <c r="AG60" i="4"/>
  <c r="AC59" i="4"/>
  <c r="AG59" i="4"/>
  <c r="AC58" i="4"/>
  <c r="AG58" i="4"/>
  <c r="AC57" i="4"/>
  <c r="AG57" i="4"/>
  <c r="AC56" i="4"/>
  <c r="AG56" i="4"/>
  <c r="AC55" i="4"/>
  <c r="AG55" i="4"/>
  <c r="AC54" i="4"/>
  <c r="AG54" i="4"/>
  <c r="AC53" i="4"/>
  <c r="AG53" i="4"/>
  <c r="AC52" i="4"/>
  <c r="AG52" i="4"/>
  <c r="AC51" i="4"/>
  <c r="AG51" i="4"/>
  <c r="AC50" i="4"/>
  <c r="AG50" i="4"/>
  <c r="AC49" i="4"/>
  <c r="AG49" i="4"/>
  <c r="AC48" i="4"/>
  <c r="AG48" i="4"/>
  <c r="AC47" i="4"/>
  <c r="AG47" i="4"/>
  <c r="AC46" i="4"/>
  <c r="AG46" i="4"/>
  <c r="AC45" i="4"/>
  <c r="AG45" i="4"/>
  <c r="AC44" i="4"/>
  <c r="AG44" i="4"/>
  <c r="AC43" i="4"/>
  <c r="AG43" i="4"/>
  <c r="CU43" i="4" s="1"/>
  <c r="AC42" i="4"/>
  <c r="AG42" i="4"/>
  <c r="CU42" i="4" s="1"/>
  <c r="AC41" i="4"/>
  <c r="AG41" i="4"/>
  <c r="CU41" i="4" s="1"/>
  <c r="AC40" i="4"/>
  <c r="AG40" i="4"/>
  <c r="CU40" i="4" s="1"/>
  <c r="AC39" i="4"/>
  <c r="AG39" i="4"/>
  <c r="CU39" i="4" s="1"/>
  <c r="AC38" i="4"/>
  <c r="AG38" i="4"/>
  <c r="CU38" i="4" s="1"/>
  <c r="AC37" i="4"/>
  <c r="AG37" i="4"/>
  <c r="CU37" i="4" s="1"/>
  <c r="AC36" i="4"/>
  <c r="AG36" i="4"/>
  <c r="CU36" i="4" s="1"/>
  <c r="AC35" i="4"/>
  <c r="AG35" i="4"/>
  <c r="CU35" i="4" s="1"/>
  <c r="AC34" i="4"/>
  <c r="AG34" i="4"/>
  <c r="CU34" i="4" s="1"/>
  <c r="AC33" i="4"/>
  <c r="AG33" i="4"/>
  <c r="CU33" i="4" s="1"/>
  <c r="AC32" i="4"/>
  <c r="AG32" i="4"/>
  <c r="CU32" i="4" s="1"/>
  <c r="AC31" i="4"/>
  <c r="AG31" i="4"/>
  <c r="CU31" i="4" s="1"/>
  <c r="AC30" i="4"/>
  <c r="AG30" i="4"/>
  <c r="CU30" i="4" s="1"/>
  <c r="AC29" i="4"/>
  <c r="AG29" i="4"/>
  <c r="CU29" i="4" s="1"/>
  <c r="AC28" i="4"/>
  <c r="AG28" i="4"/>
  <c r="CU28" i="4" s="1"/>
  <c r="AC27" i="4"/>
  <c r="AG27" i="4"/>
  <c r="CU27" i="4" s="1"/>
  <c r="AC26" i="4"/>
  <c r="AG26" i="4"/>
  <c r="CU26" i="4" s="1"/>
  <c r="AC25" i="4"/>
  <c r="AG25" i="4"/>
  <c r="AC24" i="4"/>
  <c r="AG24" i="4"/>
  <c r="AC23" i="4"/>
  <c r="AG23" i="4"/>
  <c r="AC22" i="4"/>
  <c r="AG22" i="4"/>
  <c r="AC21" i="4"/>
  <c r="AG21" i="4"/>
  <c r="AC20" i="4"/>
  <c r="AG20" i="4"/>
  <c r="AC19" i="4"/>
  <c r="AG19" i="4"/>
  <c r="AC18" i="4"/>
  <c r="AG18" i="4"/>
  <c r="AC17" i="4"/>
  <c r="AG17" i="4"/>
  <c r="AC16" i="4"/>
  <c r="AG16" i="4"/>
  <c r="AC15" i="4"/>
  <c r="AG15" i="4"/>
  <c r="AC14" i="4"/>
  <c r="AG14" i="4"/>
  <c r="AC13" i="4"/>
  <c r="AG13" i="4"/>
  <c r="AC12" i="4"/>
  <c r="AG12" i="4"/>
  <c r="AC11" i="4"/>
  <c r="AG11" i="4"/>
  <c r="AC10" i="4"/>
  <c r="AG10" i="4"/>
  <c r="AC9" i="4"/>
  <c r="AG9" i="4"/>
  <c r="AT610" i="4"/>
  <c r="CW435" i="4" l="1"/>
  <c r="CW439" i="4"/>
  <c r="CW436" i="4"/>
  <c r="CW438" i="4"/>
  <c r="CW41" i="4"/>
  <c r="CW27" i="4"/>
  <c r="CW29" i="4"/>
  <c r="CW33" i="4"/>
  <c r="CW35" i="4"/>
  <c r="CW37" i="4"/>
  <c r="CW39" i="4"/>
  <c r="CW43" i="4"/>
  <c r="CW301" i="4"/>
  <c r="CW305" i="4"/>
  <c r="CW307" i="4"/>
  <c r="CW311" i="4"/>
  <c r="CW313" i="4"/>
  <c r="CW327" i="4"/>
  <c r="CW329" i="4"/>
  <c r="CW331" i="4"/>
  <c r="CW335" i="4"/>
  <c r="CW337" i="4"/>
  <c r="CW339" i="4"/>
  <c r="CW341" i="4"/>
  <c r="CW343" i="4"/>
  <c r="CW345" i="4"/>
  <c r="CW349" i="4"/>
  <c r="CW351" i="4"/>
  <c r="CW353" i="4"/>
  <c r="CW355" i="4"/>
  <c r="CW357" i="4"/>
  <c r="CW359" i="4"/>
  <c r="CW361" i="4"/>
  <c r="CW363" i="4"/>
  <c r="CW365" i="4"/>
  <c r="CW367" i="4"/>
  <c r="CW371" i="4"/>
  <c r="CW375" i="4"/>
  <c r="CW377" i="4"/>
  <c r="CW379" i="4"/>
  <c r="CW381" i="4"/>
  <c r="CW385" i="4"/>
  <c r="CW387" i="4"/>
  <c r="CW389" i="4"/>
  <c r="CW391" i="4"/>
  <c r="CW393" i="4"/>
  <c r="CW395" i="4"/>
  <c r="CW399" i="4"/>
  <c r="CW401" i="4"/>
  <c r="CW403" i="4"/>
  <c r="CW405" i="4"/>
  <c r="CW407" i="4"/>
  <c r="CW409" i="4"/>
  <c r="CW413" i="4"/>
  <c r="CW417" i="4"/>
  <c r="CW419" i="4"/>
  <c r="CW225" i="4"/>
  <c r="CW231" i="4"/>
  <c r="CW289" i="4"/>
  <c r="CW317" i="4"/>
  <c r="CW319" i="4"/>
  <c r="CW323" i="4"/>
  <c r="CW325" i="4"/>
  <c r="CW421" i="4"/>
  <c r="CW423" i="4"/>
  <c r="CW427" i="4"/>
  <c r="CW431" i="4"/>
  <c r="CW433" i="4"/>
  <c r="CW30" i="4"/>
  <c r="CW36" i="4"/>
  <c r="CW38" i="4"/>
  <c r="CW42" i="4"/>
  <c r="CW262" i="4"/>
  <c r="CW280" i="4"/>
  <c r="CW26" i="4"/>
  <c r="CW28" i="4"/>
  <c r="CW32" i="4"/>
  <c r="CW34" i="4"/>
  <c r="CW40" i="4"/>
  <c r="CW302" i="4"/>
  <c r="CW304" i="4"/>
  <c r="CW306" i="4"/>
  <c r="CW308" i="4"/>
  <c r="CW310" i="4"/>
  <c r="CW312" i="4"/>
  <c r="CW328" i="4"/>
  <c r="CW330" i="4"/>
  <c r="CW332" i="4"/>
  <c r="CW336" i="4"/>
  <c r="CW338" i="4"/>
  <c r="CW340" i="4"/>
  <c r="CW342" i="4"/>
  <c r="CW344" i="4"/>
  <c r="CW348" i="4"/>
  <c r="CW350" i="4"/>
  <c r="CW352" i="4"/>
  <c r="CW354" i="4"/>
  <c r="CW356" i="4"/>
  <c r="CW360" i="4"/>
  <c r="CW362" i="4"/>
  <c r="CW364" i="4"/>
  <c r="CW366" i="4"/>
  <c r="CW368" i="4"/>
  <c r="CW370" i="4"/>
  <c r="CW372" i="4"/>
  <c r="CW374" i="4"/>
  <c r="CW376" i="4"/>
  <c r="CW378" i="4"/>
  <c r="CW380" i="4"/>
  <c r="CW382" i="4"/>
  <c r="CW386" i="4"/>
  <c r="CW388" i="4"/>
  <c r="CW390" i="4"/>
  <c r="CW392" i="4"/>
  <c r="CW394" i="4"/>
  <c r="CW396" i="4"/>
  <c r="CW400" i="4"/>
  <c r="CW402" i="4"/>
  <c r="CW404" i="4"/>
  <c r="CW406" i="4"/>
  <c r="CW408" i="4"/>
  <c r="CW412" i="4"/>
  <c r="CW414" i="4"/>
  <c r="CW416" i="4"/>
  <c r="CW418" i="4"/>
  <c r="CW420" i="4"/>
  <c r="CW314" i="4"/>
  <c r="CW316" i="4"/>
  <c r="CW318" i="4"/>
  <c r="CW322" i="4"/>
  <c r="CW324" i="4"/>
  <c r="CW326" i="4"/>
  <c r="CW422" i="4"/>
  <c r="CW424" i="4"/>
  <c r="CW426" i="4"/>
  <c r="CW428" i="4"/>
  <c r="CW430" i="4"/>
  <c r="CW432" i="4"/>
  <c r="CW434" i="4"/>
  <c r="CW230" i="4"/>
  <c r="CW238" i="4"/>
  <c r="CW242" i="4"/>
  <c r="CW244" i="4"/>
  <c r="CW248" i="4"/>
  <c r="CW266" i="4"/>
  <c r="CW276" i="4"/>
  <c r="CW334" i="4"/>
  <c r="CW346" i="4"/>
  <c r="CW358" i="4"/>
  <c r="CW384" i="4"/>
  <c r="CW398" i="4"/>
  <c r="CW410" i="4"/>
  <c r="CW454" i="4"/>
  <c r="CW188" i="4"/>
  <c r="CW190" i="4"/>
  <c r="CW226" i="4"/>
  <c r="CW228" i="4"/>
  <c r="CW232" i="4"/>
  <c r="CW234" i="4"/>
  <c r="CW236" i="4"/>
  <c r="CW240" i="4"/>
  <c r="CW246" i="4"/>
  <c r="CW250" i="4"/>
  <c r="CW252" i="4"/>
  <c r="CW254" i="4"/>
  <c r="CW256" i="4"/>
  <c r="CW258" i="4"/>
  <c r="CW260" i="4"/>
  <c r="CW264" i="4"/>
  <c r="CW268" i="4"/>
  <c r="CW270" i="4"/>
  <c r="CW272" i="4"/>
  <c r="CW274" i="4"/>
  <c r="CW278" i="4"/>
  <c r="CW282" i="4"/>
  <c r="CW284" i="4"/>
  <c r="CW286" i="4"/>
  <c r="CW288" i="4"/>
  <c r="CW290" i="4"/>
  <c r="CW292" i="4"/>
  <c r="CW294" i="4"/>
  <c r="CW296" i="4"/>
  <c r="CW298" i="4"/>
  <c r="CW300" i="4"/>
  <c r="CW452" i="4"/>
  <c r="CW456" i="4"/>
  <c r="CW458" i="4"/>
  <c r="CW460" i="4"/>
  <c r="CW472" i="4"/>
  <c r="CW488" i="4"/>
  <c r="CW490" i="4"/>
  <c r="CW492" i="4"/>
  <c r="CW494" i="4"/>
  <c r="CW496" i="4"/>
  <c r="CW498" i="4"/>
  <c r="CW500" i="4"/>
  <c r="CW502" i="4"/>
  <c r="CW504" i="4"/>
  <c r="CW520" i="4"/>
  <c r="CW522" i="4"/>
  <c r="CW524" i="4"/>
  <c r="CW526" i="4"/>
  <c r="CW320" i="4"/>
  <c r="CW442" i="4"/>
  <c r="CW448" i="4"/>
  <c r="CW440" i="4"/>
  <c r="CW444" i="4"/>
  <c r="CW446" i="4"/>
  <c r="CW450" i="4"/>
  <c r="CW333" i="4"/>
  <c r="CW347" i="4"/>
  <c r="CW369" i="4"/>
  <c r="CW373" i="4"/>
  <c r="CW383" i="4"/>
  <c r="CW397" i="4"/>
  <c r="CW411" i="4"/>
  <c r="CW415" i="4"/>
  <c r="CW489" i="4"/>
  <c r="CW493" i="4"/>
  <c r="CW31" i="4"/>
  <c r="CW187" i="4"/>
  <c r="CW189" i="4"/>
  <c r="CW224" i="4"/>
  <c r="CW227" i="4"/>
  <c r="CW229" i="4"/>
  <c r="CW233" i="4"/>
  <c r="CW235" i="4"/>
  <c r="CW237" i="4"/>
  <c r="CW239" i="4"/>
  <c r="CW241" i="4"/>
  <c r="CW243" i="4"/>
  <c r="CW245" i="4"/>
  <c r="CW247" i="4"/>
  <c r="CW251" i="4"/>
  <c r="CW253" i="4"/>
  <c r="CW255" i="4"/>
  <c r="CW257" i="4"/>
  <c r="CW259" i="4"/>
  <c r="CW261" i="4"/>
  <c r="CW263" i="4"/>
  <c r="CW265" i="4"/>
  <c r="CW267" i="4"/>
  <c r="CW269" i="4"/>
  <c r="CW271" i="4"/>
  <c r="CW273" i="4"/>
  <c r="CW275" i="4"/>
  <c r="CW277" i="4"/>
  <c r="CW279" i="4"/>
  <c r="CW281" i="4"/>
  <c r="CW283" i="4"/>
  <c r="CW285" i="4"/>
  <c r="CW287" i="4"/>
  <c r="CW291" i="4"/>
  <c r="CW293" i="4"/>
  <c r="CW295" i="4"/>
  <c r="CW299" i="4"/>
  <c r="CW453" i="4"/>
  <c r="CW455" i="4"/>
  <c r="CW457" i="4"/>
  <c r="CW459" i="4"/>
  <c r="CW461" i="4"/>
  <c r="CW473" i="4"/>
  <c r="CW491" i="4"/>
  <c r="CW495" i="4"/>
  <c r="CW497" i="4"/>
  <c r="CW499" i="4"/>
  <c r="CW503" i="4"/>
  <c r="CW523" i="4"/>
  <c r="CW527" i="4"/>
  <c r="CW249" i="4"/>
  <c r="CW297" i="4"/>
  <c r="CW303" i="4"/>
  <c r="CW309" i="4"/>
  <c r="CW315" i="4"/>
  <c r="CW321" i="4"/>
  <c r="CW425" i="4"/>
  <c r="CW429" i="4"/>
  <c r="CW437" i="4"/>
  <c r="CW501" i="4"/>
  <c r="CW525" i="4"/>
  <c r="CW441" i="4"/>
  <c r="CW443" i="4"/>
  <c r="CW445" i="4"/>
  <c r="CW447" i="4"/>
  <c r="CW449" i="4"/>
  <c r="CW451" i="4"/>
  <c r="M53" i="4"/>
  <c r="M61" i="4"/>
  <c r="M81" i="4"/>
  <c r="M97" i="4"/>
  <c r="M116" i="4"/>
  <c r="M132" i="4"/>
  <c r="M141" i="4"/>
  <c r="M157" i="4"/>
  <c r="M168" i="4"/>
  <c r="M184" i="4"/>
  <c r="M232" i="4"/>
  <c r="M261" i="4"/>
  <c r="M287" i="4"/>
  <c r="M304" i="4"/>
  <c r="M329" i="4"/>
  <c r="M338" i="4"/>
  <c r="M358" i="4"/>
  <c r="M367" i="4"/>
  <c r="M377" i="4"/>
  <c r="M388" i="4"/>
  <c r="M396" i="4"/>
  <c r="M406" i="4"/>
  <c r="M414" i="4"/>
  <c r="M423" i="4"/>
  <c r="M442" i="4"/>
  <c r="M450" i="4"/>
  <c r="M459" i="4"/>
  <c r="M467" i="4"/>
  <c r="M479" i="4"/>
  <c r="M497" i="4"/>
  <c r="M505" i="4"/>
  <c r="M513" i="4"/>
  <c r="M537" i="4"/>
  <c r="M545" i="4"/>
  <c r="M553" i="4"/>
  <c r="M562" i="4"/>
  <c r="M570" i="4"/>
  <c r="M580" i="4"/>
  <c r="M590" i="4"/>
  <c r="M598" i="4"/>
  <c r="M609" i="4"/>
  <c r="M14" i="4"/>
  <c r="M22" i="4"/>
  <c r="M491" i="4"/>
  <c r="M192" i="4"/>
  <c r="M31" i="4"/>
  <c r="M64" i="4"/>
  <c r="M206" i="4"/>
  <c r="M432" i="4"/>
  <c r="M249" i="4"/>
  <c r="M530" i="4"/>
  <c r="M534" i="4"/>
  <c r="M191" i="4"/>
  <c r="M218" i="4"/>
  <c r="M36" i="4"/>
  <c r="M46" i="4"/>
  <c r="M54" i="4"/>
  <c r="M62" i="4"/>
  <c r="M74" i="4"/>
  <c r="M82" i="4"/>
  <c r="M90" i="4"/>
  <c r="M98" i="4"/>
  <c r="M106" i="4"/>
  <c r="M117" i="4"/>
  <c r="M125" i="4"/>
  <c r="M133" i="4"/>
  <c r="M142" i="4"/>
  <c r="M150" i="4"/>
  <c r="M158" i="4"/>
  <c r="M169" i="4"/>
  <c r="M177" i="4"/>
  <c r="M185" i="4"/>
  <c r="M221" i="4"/>
  <c r="M233" i="4"/>
  <c r="M246" i="4"/>
  <c r="M262" i="4"/>
  <c r="M274" i="4"/>
  <c r="M288" i="4"/>
  <c r="M296" i="4"/>
  <c r="M305" i="4"/>
  <c r="M322" i="4"/>
  <c r="M331" i="4"/>
  <c r="M339" i="4"/>
  <c r="M347" i="4"/>
  <c r="M359" i="4"/>
  <c r="M370" i="4"/>
  <c r="M378" i="4"/>
  <c r="M389" i="4"/>
  <c r="M398" i="4"/>
  <c r="M407" i="4"/>
  <c r="M415" i="4"/>
  <c r="M424" i="4"/>
  <c r="M443" i="4"/>
  <c r="M451" i="4"/>
  <c r="M460" i="4"/>
  <c r="M468" i="4"/>
  <c r="M480" i="4"/>
  <c r="M498" i="4"/>
  <c r="M506" i="4"/>
  <c r="M514" i="4"/>
  <c r="M538" i="4"/>
  <c r="M546" i="4"/>
  <c r="M555" i="4"/>
  <c r="M563" i="4"/>
  <c r="M571" i="4"/>
  <c r="M581" i="4"/>
  <c r="M591" i="4"/>
  <c r="M599" i="4"/>
  <c r="M610" i="4"/>
  <c r="M15" i="4"/>
  <c r="M23" i="4"/>
  <c r="M267" i="4"/>
  <c r="M135" i="4"/>
  <c r="M65" i="4"/>
  <c r="M617" i="4"/>
  <c r="M32" i="4"/>
  <c r="M42" i="4"/>
  <c r="M51" i="4"/>
  <c r="M59" i="4"/>
  <c r="M71" i="4"/>
  <c r="M79" i="4"/>
  <c r="M87" i="4"/>
  <c r="M95" i="4"/>
  <c r="M103" i="4"/>
  <c r="M114" i="4"/>
  <c r="M122" i="4"/>
  <c r="M130" i="4"/>
  <c r="M139" i="4"/>
  <c r="M147" i="4"/>
  <c r="M155" i="4"/>
  <c r="M166" i="4"/>
  <c r="M174" i="4"/>
  <c r="M182" i="4"/>
  <c r="M217" i="4"/>
  <c r="M230" i="4"/>
  <c r="M243" i="4"/>
  <c r="M258" i="4"/>
  <c r="M271" i="4"/>
  <c r="M283" i="4"/>
  <c r="M293" i="4"/>
  <c r="M302" i="4"/>
  <c r="M319" i="4"/>
  <c r="M327" i="4"/>
  <c r="M336" i="4"/>
  <c r="M344" i="4"/>
  <c r="M356" i="4"/>
  <c r="M365" i="4"/>
  <c r="M375" i="4"/>
  <c r="M384" i="4"/>
  <c r="M394" i="4"/>
  <c r="M403" i="4"/>
  <c r="M412" i="4"/>
  <c r="M421" i="4"/>
  <c r="M440" i="4"/>
  <c r="M448" i="4"/>
  <c r="M457" i="4"/>
  <c r="M465" i="4"/>
  <c r="M477" i="4"/>
  <c r="M495" i="4"/>
  <c r="M503" i="4"/>
  <c r="M511" i="4"/>
  <c r="M519" i="4"/>
  <c r="M543" i="4"/>
  <c r="M551" i="4"/>
  <c r="M560" i="4"/>
  <c r="M568" i="4"/>
  <c r="M578" i="4"/>
  <c r="M588" i="4"/>
  <c r="M596" i="4"/>
  <c r="M607" i="4"/>
  <c r="M12" i="4"/>
  <c r="M20" i="4"/>
  <c r="BF8" i="4"/>
  <c r="AZ8" i="4"/>
  <c r="AT8" i="4"/>
  <c r="AN8" i="4"/>
  <c r="M199" i="4"/>
  <c r="M484" i="4"/>
  <c r="M615" i="4"/>
  <c r="M222" i="4"/>
  <c r="M574" i="4"/>
  <c r="M520" i="4"/>
  <c r="M614" i="4"/>
  <c r="M66" i="4"/>
  <c r="M619" i="4"/>
  <c r="M434" i="4"/>
  <c r="M253" i="4"/>
  <c r="M475" i="4"/>
  <c r="M532" i="4"/>
  <c r="M348" i="4"/>
  <c r="M251" i="4"/>
  <c r="M33" i="4"/>
  <c r="M43" i="4"/>
  <c r="M52" i="4"/>
  <c r="M60" i="4"/>
  <c r="M72" i="4"/>
  <c r="M80" i="4"/>
  <c r="M88" i="4"/>
  <c r="M96" i="4"/>
  <c r="M104" i="4"/>
  <c r="M115" i="4"/>
  <c r="M123" i="4"/>
  <c r="M131" i="4"/>
  <c r="M140" i="4"/>
  <c r="M148" i="4"/>
  <c r="M156" i="4"/>
  <c r="M167" i="4"/>
  <c r="M175" i="4"/>
  <c r="M183" i="4"/>
  <c r="M219" i="4"/>
  <c r="M231" i="4"/>
  <c r="M244" i="4"/>
  <c r="M259" i="4"/>
  <c r="M272" i="4"/>
  <c r="M286" i="4"/>
  <c r="M294" i="4"/>
  <c r="M303" i="4"/>
  <c r="M320" i="4"/>
  <c r="M328" i="4"/>
  <c r="M337" i="4"/>
  <c r="M345" i="4"/>
  <c r="M357" i="4"/>
  <c r="M366" i="4"/>
  <c r="M376" i="4"/>
  <c r="M387" i="4"/>
  <c r="M395" i="4"/>
  <c r="M404" i="4"/>
  <c r="M413" i="4"/>
  <c r="M422" i="4"/>
  <c r="M441" i="4"/>
  <c r="M449" i="4"/>
  <c r="M458" i="4"/>
  <c r="M466" i="4"/>
  <c r="M478" i="4"/>
  <c r="M496" i="4"/>
  <c r="M504" i="4"/>
  <c r="M512" i="4"/>
  <c r="M533" i="4"/>
  <c r="M544" i="4"/>
  <c r="M552" i="4"/>
  <c r="M561" i="4"/>
  <c r="M569" i="4"/>
  <c r="M579" i="4"/>
  <c r="M589" i="4"/>
  <c r="M597" i="4"/>
  <c r="M608" i="4"/>
  <c r="M13" i="4"/>
  <c r="M21" i="4"/>
  <c r="M255" i="4"/>
  <c r="M584" i="4"/>
  <c r="M196" i="4"/>
  <c r="M187" i="4"/>
  <c r="M521" i="4"/>
  <c r="M188" i="4"/>
  <c r="M208" i="4"/>
  <c r="M456" i="4"/>
  <c r="M435" i="4"/>
  <c r="M41" i="4"/>
  <c r="M268" i="4"/>
  <c r="M351" i="4"/>
  <c r="M250" i="4"/>
  <c r="M524" i="4"/>
  <c r="M197" i="4"/>
  <c r="M35" i="4"/>
  <c r="M45" i="4"/>
  <c r="M73" i="4"/>
  <c r="M89" i="4"/>
  <c r="M105" i="4"/>
  <c r="M124" i="4"/>
  <c r="M149" i="4"/>
  <c r="M176" i="4"/>
  <c r="M220" i="4"/>
  <c r="M245" i="4"/>
  <c r="M273" i="4"/>
  <c r="M295" i="4"/>
  <c r="M321" i="4"/>
  <c r="M346" i="4"/>
  <c r="BF35" i="4"/>
  <c r="AZ35" i="4"/>
  <c r="AT35" i="4"/>
  <c r="AN35" i="4"/>
  <c r="BF45" i="4"/>
  <c r="AZ45" i="4"/>
  <c r="AT45" i="4"/>
  <c r="AN45" i="4"/>
  <c r="BF53" i="4"/>
  <c r="AZ53" i="4"/>
  <c r="AT53" i="4"/>
  <c r="AN53" i="4"/>
  <c r="BF61" i="4"/>
  <c r="AZ61" i="4"/>
  <c r="AT61" i="4"/>
  <c r="AN61" i="4"/>
  <c r="BF73" i="4"/>
  <c r="AZ73" i="4"/>
  <c r="AT73" i="4"/>
  <c r="AN73" i="4"/>
  <c r="BF81" i="4"/>
  <c r="AZ81" i="4"/>
  <c r="AT81" i="4"/>
  <c r="AN81" i="4"/>
  <c r="BF89" i="4"/>
  <c r="AZ89" i="4"/>
  <c r="AT89" i="4"/>
  <c r="AN89" i="4"/>
  <c r="BF97" i="4"/>
  <c r="AZ97" i="4"/>
  <c r="AT97" i="4"/>
  <c r="AN97" i="4"/>
  <c r="BF105" i="4"/>
  <c r="AZ105" i="4"/>
  <c r="AT105" i="4"/>
  <c r="AN105" i="4"/>
  <c r="BF116" i="4"/>
  <c r="AZ116" i="4"/>
  <c r="AT116" i="4"/>
  <c r="AN116" i="4"/>
  <c r="BF124" i="4"/>
  <c r="AZ124" i="4"/>
  <c r="AT124" i="4"/>
  <c r="AN124" i="4"/>
  <c r="BF132" i="4"/>
  <c r="AZ132" i="4"/>
  <c r="AT132" i="4"/>
  <c r="AN132" i="4"/>
  <c r="BF141" i="4"/>
  <c r="AZ141" i="4"/>
  <c r="AT141" i="4"/>
  <c r="AN141" i="4"/>
  <c r="BF149" i="4"/>
  <c r="AZ149" i="4"/>
  <c r="AT149" i="4"/>
  <c r="AN149" i="4"/>
  <c r="BF157" i="4"/>
  <c r="AZ157" i="4"/>
  <c r="AT157" i="4"/>
  <c r="AN157" i="4"/>
  <c r="BF168" i="4"/>
  <c r="AZ168" i="4"/>
  <c r="AT168" i="4"/>
  <c r="AN168" i="4"/>
  <c r="BF176" i="4"/>
  <c r="AZ176" i="4"/>
  <c r="AT176" i="4"/>
  <c r="AN176" i="4"/>
  <c r="BF184" i="4"/>
  <c r="AZ184" i="4"/>
  <c r="AT184" i="4"/>
  <c r="AN184" i="4"/>
  <c r="BF220" i="4"/>
  <c r="AZ220" i="4"/>
  <c r="AT220" i="4"/>
  <c r="AN220" i="4"/>
  <c r="BF232" i="4"/>
  <c r="AZ232" i="4"/>
  <c r="AT232" i="4"/>
  <c r="AN232" i="4"/>
  <c r="BF245" i="4"/>
  <c r="AZ245" i="4"/>
  <c r="AT245" i="4"/>
  <c r="AN245" i="4"/>
  <c r="BF261" i="4"/>
  <c r="AZ261" i="4"/>
  <c r="AT261" i="4"/>
  <c r="AN261" i="4"/>
  <c r="BF273" i="4"/>
  <c r="AZ273" i="4"/>
  <c r="AT273" i="4"/>
  <c r="AN273" i="4"/>
  <c r="BF287" i="4"/>
  <c r="AZ287" i="4"/>
  <c r="AT287" i="4"/>
  <c r="AN287" i="4"/>
  <c r="BF295" i="4"/>
  <c r="AZ295" i="4"/>
  <c r="AT295" i="4"/>
  <c r="AN295" i="4"/>
  <c r="BF304" i="4"/>
  <c r="AZ304" i="4"/>
  <c r="AT304" i="4"/>
  <c r="AN304" i="4"/>
  <c r="BF321" i="4"/>
  <c r="AZ321" i="4"/>
  <c r="AT321" i="4"/>
  <c r="AN321" i="4"/>
  <c r="BF329" i="4"/>
  <c r="AZ329" i="4"/>
  <c r="AT329" i="4"/>
  <c r="AN329" i="4"/>
  <c r="AZ338" i="4"/>
  <c r="BF338" i="4"/>
  <c r="AT338" i="4"/>
  <c r="AN338" i="4"/>
  <c r="AZ346" i="4"/>
  <c r="AT346" i="4"/>
  <c r="BF346" i="4"/>
  <c r="AN346" i="4"/>
  <c r="BF358" i="4"/>
  <c r="AZ358" i="4"/>
  <c r="AT358" i="4"/>
  <c r="AN358" i="4"/>
  <c r="BF367" i="4"/>
  <c r="AZ367" i="4"/>
  <c r="AT367" i="4"/>
  <c r="AN367" i="4"/>
  <c r="BF377" i="4"/>
  <c r="AZ377" i="4"/>
  <c r="AT377" i="4"/>
  <c r="AN377" i="4"/>
  <c r="BF388" i="4"/>
  <c r="AZ388" i="4"/>
  <c r="AT388" i="4"/>
  <c r="AN388" i="4"/>
  <c r="BF396" i="4"/>
  <c r="AZ396" i="4"/>
  <c r="AT396" i="4"/>
  <c r="AN396" i="4"/>
  <c r="AZ406" i="4"/>
  <c r="BF406" i="4"/>
  <c r="AT406" i="4"/>
  <c r="AN406" i="4"/>
  <c r="AZ414" i="4"/>
  <c r="BF414" i="4"/>
  <c r="AT414" i="4"/>
  <c r="AN414" i="4"/>
  <c r="BF423" i="4"/>
  <c r="AZ423" i="4"/>
  <c r="AT423" i="4"/>
  <c r="AN423" i="4"/>
  <c r="AT442" i="4"/>
  <c r="BF442" i="4"/>
  <c r="AZ442" i="4"/>
  <c r="AN442" i="4"/>
  <c r="AZ450" i="4"/>
  <c r="BF450" i="4"/>
  <c r="AT450" i="4"/>
  <c r="AN450" i="4"/>
  <c r="BF459" i="4"/>
  <c r="AZ459" i="4"/>
  <c r="AT459" i="4"/>
  <c r="AN459" i="4"/>
  <c r="BF467" i="4"/>
  <c r="AZ467" i="4"/>
  <c r="AT467" i="4"/>
  <c r="AN467" i="4"/>
  <c r="BF479" i="4"/>
  <c r="AZ479" i="4"/>
  <c r="AT479" i="4"/>
  <c r="AN479" i="4"/>
  <c r="BF497" i="4"/>
  <c r="AZ497" i="4"/>
  <c r="AT497" i="4"/>
  <c r="AN497" i="4"/>
  <c r="BF505" i="4"/>
  <c r="AZ505" i="4"/>
  <c r="AT505" i="4"/>
  <c r="AN505" i="4"/>
  <c r="BF513" i="4"/>
  <c r="AZ513" i="4"/>
  <c r="AT513" i="4"/>
  <c r="AN513" i="4"/>
  <c r="BF537" i="4"/>
  <c r="AZ537" i="4"/>
  <c r="AT537" i="4"/>
  <c r="AN537" i="4"/>
  <c r="BF545" i="4"/>
  <c r="AZ545" i="4"/>
  <c r="AT545" i="4"/>
  <c r="AN545" i="4"/>
  <c r="BF553" i="4"/>
  <c r="AZ553" i="4"/>
  <c r="AT553" i="4"/>
  <c r="AN553" i="4"/>
  <c r="AZ562" i="4"/>
  <c r="BF562" i="4"/>
  <c r="AT562" i="4"/>
  <c r="AN562" i="4"/>
  <c r="AT570" i="4"/>
  <c r="BF570" i="4"/>
  <c r="AZ570" i="4"/>
  <c r="AN570" i="4"/>
  <c r="BF580" i="4"/>
  <c r="AT580" i="4"/>
  <c r="AZ580" i="4"/>
  <c r="AN580" i="4"/>
  <c r="AZ590" i="4"/>
  <c r="BF590" i="4"/>
  <c r="AT590" i="4"/>
  <c r="AN590" i="4"/>
  <c r="AZ598" i="4"/>
  <c r="BF598" i="4"/>
  <c r="AT598" i="4"/>
  <c r="AN598" i="4"/>
  <c r="BF609" i="4"/>
  <c r="AZ609" i="4"/>
  <c r="AT609" i="4"/>
  <c r="AN609" i="4"/>
  <c r="BF14" i="4"/>
  <c r="AZ14" i="4"/>
  <c r="AT14" i="4"/>
  <c r="AN14" i="4"/>
  <c r="BF22" i="4"/>
  <c r="AZ22" i="4"/>
  <c r="AT22" i="4"/>
  <c r="AN22" i="4"/>
  <c r="BF491" i="4"/>
  <c r="AZ491" i="4"/>
  <c r="AT491" i="4"/>
  <c r="AN491" i="4"/>
  <c r="BF192" i="4"/>
  <c r="AZ192" i="4"/>
  <c r="AT192" i="4"/>
  <c r="AN192" i="4"/>
  <c r="BF31" i="4"/>
  <c r="AZ31" i="4"/>
  <c r="AT31" i="4"/>
  <c r="AN31" i="4"/>
  <c r="BF64" i="4"/>
  <c r="AZ64" i="4"/>
  <c r="AT64" i="4"/>
  <c r="AN64" i="4"/>
  <c r="BF206" i="4"/>
  <c r="AT206" i="4"/>
  <c r="AZ206" i="4"/>
  <c r="AN206" i="4"/>
  <c r="AZ432" i="4"/>
  <c r="BF432" i="4"/>
  <c r="AT432" i="4"/>
  <c r="AN432" i="4"/>
  <c r="BF249" i="4"/>
  <c r="AZ249" i="4"/>
  <c r="AT249" i="4"/>
  <c r="AN249" i="4"/>
  <c r="AZ530" i="4"/>
  <c r="BF530" i="4"/>
  <c r="AT530" i="4"/>
  <c r="AN530" i="4"/>
  <c r="AZ534" i="4"/>
  <c r="BF534" i="4"/>
  <c r="AT534" i="4"/>
  <c r="AN534" i="4"/>
  <c r="BF191" i="4"/>
  <c r="AZ191" i="4"/>
  <c r="AT191" i="4"/>
  <c r="AN191" i="4"/>
  <c r="BF218" i="4"/>
  <c r="AZ218" i="4"/>
  <c r="AT218" i="4"/>
  <c r="AN218" i="4"/>
  <c r="BF36" i="4"/>
  <c r="AZ36" i="4"/>
  <c r="AT36" i="4"/>
  <c r="AN36" i="4"/>
  <c r="BF46" i="4"/>
  <c r="AT46" i="4"/>
  <c r="AZ46" i="4"/>
  <c r="AN46" i="4"/>
  <c r="BF54" i="4"/>
  <c r="AZ54" i="4"/>
  <c r="AT54" i="4"/>
  <c r="AN54" i="4"/>
  <c r="BF62" i="4"/>
  <c r="AZ62" i="4"/>
  <c r="AT62" i="4"/>
  <c r="AN62" i="4"/>
  <c r="BF74" i="4"/>
  <c r="AZ74" i="4"/>
  <c r="AT74" i="4"/>
  <c r="AN74" i="4"/>
  <c r="BF82" i="4"/>
  <c r="AZ82" i="4"/>
  <c r="AT82" i="4"/>
  <c r="AN82" i="4"/>
  <c r="BF90" i="4"/>
  <c r="AZ90" i="4"/>
  <c r="AT90" i="4"/>
  <c r="AN90" i="4"/>
  <c r="BF98" i="4"/>
  <c r="AZ98" i="4"/>
  <c r="AT98" i="4"/>
  <c r="AN98" i="4"/>
  <c r="BF106" i="4"/>
  <c r="AZ106" i="4"/>
  <c r="AT106" i="4"/>
  <c r="AN106" i="4"/>
  <c r="BF117" i="4"/>
  <c r="AZ117" i="4"/>
  <c r="AT117" i="4"/>
  <c r="AN117" i="4"/>
  <c r="BF125" i="4"/>
  <c r="AZ125" i="4"/>
  <c r="AT125" i="4"/>
  <c r="AN125" i="4"/>
  <c r="BF133" i="4"/>
  <c r="AZ133" i="4"/>
  <c r="AT133" i="4"/>
  <c r="AN133" i="4"/>
  <c r="BF142" i="4"/>
  <c r="AT142" i="4"/>
  <c r="AZ142" i="4"/>
  <c r="AN142" i="4"/>
  <c r="BF150" i="4"/>
  <c r="AZ150" i="4"/>
  <c r="AT150" i="4"/>
  <c r="AN150" i="4"/>
  <c r="BF158" i="4"/>
  <c r="AZ158" i="4"/>
  <c r="AT158" i="4"/>
  <c r="AN158" i="4"/>
  <c r="BF169" i="4"/>
  <c r="AZ169" i="4"/>
  <c r="AT169" i="4"/>
  <c r="AN169" i="4"/>
  <c r="BF177" i="4"/>
  <c r="AZ177" i="4"/>
  <c r="AT177" i="4"/>
  <c r="AN177" i="4"/>
  <c r="BF185" i="4"/>
  <c r="AZ185" i="4"/>
  <c r="AT185" i="4"/>
  <c r="AN185" i="4"/>
  <c r="BF221" i="4"/>
  <c r="AZ221" i="4"/>
  <c r="AT221" i="4"/>
  <c r="AN221" i="4"/>
  <c r="BF233" i="4"/>
  <c r="AZ233" i="4"/>
  <c r="AT233" i="4"/>
  <c r="AN233" i="4"/>
  <c r="BF246" i="4"/>
  <c r="AZ246" i="4"/>
  <c r="AT246" i="4"/>
  <c r="AN246" i="4"/>
  <c r="BF262" i="4"/>
  <c r="AZ262" i="4"/>
  <c r="AT262" i="4"/>
  <c r="AN262" i="4"/>
  <c r="AZ274" i="4"/>
  <c r="BF274" i="4"/>
  <c r="AT274" i="4"/>
  <c r="AN274" i="4"/>
  <c r="BF288" i="4"/>
  <c r="AZ288" i="4"/>
  <c r="AT288" i="4"/>
  <c r="AN288" i="4"/>
  <c r="BF296" i="4"/>
  <c r="AZ296" i="4"/>
  <c r="AT296" i="4"/>
  <c r="AN296" i="4"/>
  <c r="BF305" i="4"/>
  <c r="AZ305" i="4"/>
  <c r="AT305" i="4"/>
  <c r="AN305" i="4"/>
  <c r="AZ322" i="4"/>
  <c r="BF322" i="4"/>
  <c r="AT322" i="4"/>
  <c r="AN322" i="4"/>
  <c r="BF331" i="4"/>
  <c r="AZ331" i="4"/>
  <c r="AT331" i="4"/>
  <c r="AN331" i="4"/>
  <c r="BF339" i="4"/>
  <c r="AZ339" i="4"/>
  <c r="AT339" i="4"/>
  <c r="AN339" i="4"/>
  <c r="BF347" i="4"/>
  <c r="AZ347" i="4"/>
  <c r="AT347" i="4"/>
  <c r="AN347" i="4"/>
  <c r="BF359" i="4"/>
  <c r="AZ359" i="4"/>
  <c r="AT359" i="4"/>
  <c r="AN359" i="4"/>
  <c r="AZ370" i="4"/>
  <c r="BF370" i="4"/>
  <c r="AT370" i="4"/>
  <c r="AN370" i="4"/>
  <c r="AZ378" i="4"/>
  <c r="AT378" i="4"/>
  <c r="BF378" i="4"/>
  <c r="AN378" i="4"/>
  <c r="BF389" i="4"/>
  <c r="AZ389" i="4"/>
  <c r="AT389" i="4"/>
  <c r="AN389" i="4"/>
  <c r="BF398" i="4"/>
  <c r="AT398" i="4"/>
  <c r="AZ398" i="4"/>
  <c r="AN398" i="4"/>
  <c r="BF407" i="4"/>
  <c r="AZ407" i="4"/>
  <c r="AT407" i="4"/>
  <c r="AN407" i="4"/>
  <c r="BF415" i="4"/>
  <c r="AZ415" i="4"/>
  <c r="AT415" i="4"/>
  <c r="AN415" i="4"/>
  <c r="AZ424" i="4"/>
  <c r="BF424" i="4"/>
  <c r="AT424" i="4"/>
  <c r="AN424" i="4"/>
  <c r="BF443" i="4"/>
  <c r="AZ443" i="4"/>
  <c r="AT443" i="4"/>
  <c r="AN443" i="4"/>
  <c r="BF451" i="4"/>
  <c r="AZ451" i="4"/>
  <c r="AT451" i="4"/>
  <c r="AN451" i="4"/>
  <c r="BF460" i="4"/>
  <c r="AZ460" i="4"/>
  <c r="AT460" i="4"/>
  <c r="AN460" i="4"/>
  <c r="BF468" i="4"/>
  <c r="AT468" i="4"/>
  <c r="AZ468" i="4"/>
  <c r="AN468" i="4"/>
  <c r="AZ480" i="4"/>
  <c r="BF480" i="4"/>
  <c r="AT480" i="4"/>
  <c r="AN480" i="4"/>
  <c r="AZ498" i="4"/>
  <c r="BF498" i="4"/>
  <c r="AT498" i="4"/>
  <c r="AN498" i="4"/>
  <c r="AT506" i="4"/>
  <c r="BF506" i="4"/>
  <c r="AZ506" i="4"/>
  <c r="AN506" i="4"/>
  <c r="AZ514" i="4"/>
  <c r="BF514" i="4"/>
  <c r="AT514" i="4"/>
  <c r="AN514" i="4"/>
  <c r="AZ538" i="4"/>
  <c r="AT538" i="4"/>
  <c r="BF538" i="4"/>
  <c r="AN538" i="4"/>
  <c r="AZ546" i="4"/>
  <c r="BF546" i="4"/>
  <c r="AT546" i="4"/>
  <c r="AN546" i="4"/>
  <c r="BF555" i="4"/>
  <c r="AZ555" i="4"/>
  <c r="AT555" i="4"/>
  <c r="AN555" i="4"/>
  <c r="BF563" i="4"/>
  <c r="AZ563" i="4"/>
  <c r="AT563" i="4"/>
  <c r="AN563" i="4"/>
  <c r="BF571" i="4"/>
  <c r="AZ571" i="4"/>
  <c r="AT571" i="4"/>
  <c r="AN571" i="4"/>
  <c r="BF581" i="4"/>
  <c r="AZ581" i="4"/>
  <c r="AT581" i="4"/>
  <c r="AN581" i="4"/>
  <c r="BF591" i="4"/>
  <c r="AZ591" i="4"/>
  <c r="AT591" i="4"/>
  <c r="AN591" i="4"/>
  <c r="BF599" i="4"/>
  <c r="AZ599" i="4"/>
  <c r="AT599" i="4"/>
  <c r="AN599" i="4"/>
  <c r="AN610" i="4"/>
  <c r="BF15" i="4"/>
  <c r="AZ15" i="4"/>
  <c r="AT15" i="4"/>
  <c r="AN15" i="4"/>
  <c r="BF23" i="4"/>
  <c r="AZ23" i="4"/>
  <c r="AT23" i="4"/>
  <c r="AN23" i="4"/>
  <c r="BF267" i="4"/>
  <c r="AZ267" i="4"/>
  <c r="AT267" i="4"/>
  <c r="AN267" i="4"/>
  <c r="BF135" i="4"/>
  <c r="AZ135" i="4"/>
  <c r="AT135" i="4"/>
  <c r="AN135" i="4"/>
  <c r="BF65" i="4"/>
  <c r="AZ65" i="4"/>
  <c r="AT65" i="4"/>
  <c r="AN65" i="4"/>
  <c r="BF617" i="4"/>
  <c r="AZ617" i="4"/>
  <c r="AT617" i="4"/>
  <c r="AN617" i="4"/>
  <c r="BF32" i="4"/>
  <c r="AZ32" i="4"/>
  <c r="AT32" i="4"/>
  <c r="AN32" i="4"/>
  <c r="BF42" i="4"/>
  <c r="AZ42" i="4"/>
  <c r="AT42" i="4"/>
  <c r="AN42" i="4"/>
  <c r="BF51" i="4"/>
  <c r="AZ51" i="4"/>
  <c r="AT51" i="4"/>
  <c r="AN51" i="4"/>
  <c r="BF59" i="4"/>
  <c r="AZ59" i="4"/>
  <c r="AT59" i="4"/>
  <c r="AN59" i="4"/>
  <c r="BF71" i="4"/>
  <c r="AZ71" i="4"/>
  <c r="AT71" i="4"/>
  <c r="AN71" i="4"/>
  <c r="BF79" i="4"/>
  <c r="AZ79" i="4"/>
  <c r="AT79" i="4"/>
  <c r="AN79" i="4"/>
  <c r="BF87" i="4"/>
  <c r="AZ87" i="4"/>
  <c r="AT87" i="4"/>
  <c r="AN87" i="4"/>
  <c r="BF95" i="4"/>
  <c r="AZ95" i="4"/>
  <c r="AT95" i="4"/>
  <c r="AN95" i="4"/>
  <c r="BF103" i="4"/>
  <c r="AZ103" i="4"/>
  <c r="AT103" i="4"/>
  <c r="AN103" i="4"/>
  <c r="BF114" i="4"/>
  <c r="AZ114" i="4"/>
  <c r="AT114" i="4"/>
  <c r="AN114" i="4"/>
  <c r="BF122" i="4"/>
  <c r="AZ122" i="4"/>
  <c r="AT122" i="4"/>
  <c r="AN122" i="4"/>
  <c r="BF130" i="4"/>
  <c r="AZ130" i="4"/>
  <c r="AT130" i="4"/>
  <c r="AN130" i="4"/>
  <c r="BF139" i="4"/>
  <c r="AZ139" i="4"/>
  <c r="AT139" i="4"/>
  <c r="AN139" i="4"/>
  <c r="BF147" i="4"/>
  <c r="AZ147" i="4"/>
  <c r="AT147" i="4"/>
  <c r="AN147" i="4"/>
  <c r="BF155" i="4"/>
  <c r="AZ155" i="4"/>
  <c r="AT155" i="4"/>
  <c r="AN155" i="4"/>
  <c r="BF166" i="4"/>
  <c r="AZ166" i="4"/>
  <c r="AT166" i="4"/>
  <c r="AN166" i="4"/>
  <c r="BF174" i="4"/>
  <c r="AT174" i="4"/>
  <c r="AZ174" i="4"/>
  <c r="AN174" i="4"/>
  <c r="BF182" i="4"/>
  <c r="AZ182" i="4"/>
  <c r="AT182" i="4"/>
  <c r="AN182" i="4"/>
  <c r="AZ217" i="4"/>
  <c r="AT217" i="4"/>
  <c r="BF217" i="4"/>
  <c r="AN217" i="4"/>
  <c r="BF230" i="4"/>
  <c r="AZ230" i="4"/>
  <c r="AT230" i="4"/>
  <c r="AN230" i="4"/>
  <c r="BF243" i="4"/>
  <c r="AZ243" i="4"/>
  <c r="AT243" i="4"/>
  <c r="AN243" i="4"/>
  <c r="AZ258" i="4"/>
  <c r="BF258" i="4"/>
  <c r="AT258" i="4"/>
  <c r="AN258" i="4"/>
  <c r="BF271" i="4"/>
  <c r="AZ271" i="4"/>
  <c r="AT271" i="4"/>
  <c r="AN271" i="4"/>
  <c r="BF283" i="4"/>
  <c r="AZ283" i="4"/>
  <c r="AT283" i="4"/>
  <c r="AN283" i="4"/>
  <c r="BF293" i="4"/>
  <c r="AZ293" i="4"/>
  <c r="AT293" i="4"/>
  <c r="AN293" i="4"/>
  <c r="BF302" i="4"/>
  <c r="AT302" i="4"/>
  <c r="AZ302" i="4"/>
  <c r="AN302" i="4"/>
  <c r="BF319" i="4"/>
  <c r="AZ319" i="4"/>
  <c r="AT319" i="4"/>
  <c r="AN319" i="4"/>
  <c r="BF327" i="4"/>
  <c r="AZ327" i="4"/>
  <c r="AT327" i="4"/>
  <c r="AN327" i="4"/>
  <c r="BF336" i="4"/>
  <c r="AZ336" i="4"/>
  <c r="AT336" i="4"/>
  <c r="AN336" i="4"/>
  <c r="BF344" i="4"/>
  <c r="AZ344" i="4"/>
  <c r="AT344" i="4"/>
  <c r="AN344" i="4"/>
  <c r="BF356" i="4"/>
  <c r="AZ356" i="4"/>
  <c r="AT356" i="4"/>
  <c r="AN356" i="4"/>
  <c r="BF365" i="4"/>
  <c r="AZ365" i="4"/>
  <c r="AT365" i="4"/>
  <c r="AN365" i="4"/>
  <c r="BF375" i="4"/>
  <c r="AZ375" i="4"/>
  <c r="AT375" i="4"/>
  <c r="AN375" i="4"/>
  <c r="BF384" i="4"/>
  <c r="AZ384" i="4"/>
  <c r="AT384" i="4"/>
  <c r="AN384" i="4"/>
  <c r="AZ394" i="4"/>
  <c r="AT394" i="4"/>
  <c r="BF394" i="4"/>
  <c r="AN394" i="4"/>
  <c r="BF403" i="4"/>
  <c r="AZ403" i="4"/>
  <c r="AT403" i="4"/>
  <c r="AN403" i="4"/>
  <c r="BF412" i="4"/>
  <c r="AZ412" i="4"/>
  <c r="AT412" i="4"/>
  <c r="AN412" i="4"/>
  <c r="BF421" i="4"/>
  <c r="AZ421" i="4"/>
  <c r="AT421" i="4"/>
  <c r="AN421" i="4"/>
  <c r="AZ440" i="4"/>
  <c r="BF440" i="4"/>
  <c r="AT440" i="4"/>
  <c r="AN440" i="4"/>
  <c r="AZ448" i="4"/>
  <c r="BF448" i="4"/>
  <c r="AT448" i="4"/>
  <c r="AN448" i="4"/>
  <c r="BF457" i="4"/>
  <c r="AZ457" i="4"/>
  <c r="AT457" i="4"/>
  <c r="AN457" i="4"/>
  <c r="BF465" i="4"/>
  <c r="AZ465" i="4"/>
  <c r="AT465" i="4"/>
  <c r="AN465" i="4"/>
  <c r="BF477" i="4"/>
  <c r="AZ477" i="4"/>
  <c r="AT477" i="4"/>
  <c r="AN477" i="4"/>
  <c r="BF495" i="4"/>
  <c r="AZ495" i="4"/>
  <c r="AT495" i="4"/>
  <c r="AN495" i="4"/>
  <c r="BF503" i="4"/>
  <c r="AZ503" i="4"/>
  <c r="AT503" i="4"/>
  <c r="AN503" i="4"/>
  <c r="BF511" i="4"/>
  <c r="AZ511" i="4"/>
  <c r="AT511" i="4"/>
  <c r="AN511" i="4"/>
  <c r="BF519" i="4"/>
  <c r="AZ519" i="4"/>
  <c r="AT519" i="4"/>
  <c r="AN519" i="4"/>
  <c r="BF543" i="4"/>
  <c r="AZ543" i="4"/>
  <c r="AT543" i="4"/>
  <c r="AN543" i="4"/>
  <c r="BF551" i="4"/>
  <c r="AZ551" i="4"/>
  <c r="AT551" i="4"/>
  <c r="AN551" i="4"/>
  <c r="AZ560" i="4"/>
  <c r="BF560" i="4"/>
  <c r="AT560" i="4"/>
  <c r="AN560" i="4"/>
  <c r="AZ568" i="4"/>
  <c r="BF568" i="4"/>
  <c r="AT568" i="4"/>
  <c r="AN568" i="4"/>
  <c r="AZ578" i="4"/>
  <c r="BF578" i="4"/>
  <c r="AT578" i="4"/>
  <c r="AN578" i="4"/>
  <c r="BF588" i="4"/>
  <c r="AZ588" i="4"/>
  <c r="AT588" i="4"/>
  <c r="AN588" i="4"/>
  <c r="BF596" i="4"/>
  <c r="AT596" i="4"/>
  <c r="AZ596" i="4"/>
  <c r="AN596" i="4"/>
  <c r="BF607" i="4"/>
  <c r="AZ607" i="4"/>
  <c r="AT607" i="4"/>
  <c r="AN607" i="4"/>
  <c r="BF12" i="4"/>
  <c r="AZ12" i="4"/>
  <c r="AT12" i="4"/>
  <c r="AN12" i="4"/>
  <c r="BF20" i="4"/>
  <c r="AZ20" i="4"/>
  <c r="AT20" i="4"/>
  <c r="AN20" i="4"/>
  <c r="BF199" i="4"/>
  <c r="AZ199" i="4"/>
  <c r="AT199" i="4"/>
  <c r="AN199" i="4"/>
  <c r="BF484" i="4"/>
  <c r="AT484" i="4"/>
  <c r="AZ484" i="4"/>
  <c r="AN484" i="4"/>
  <c r="BF615" i="4"/>
  <c r="AZ615" i="4"/>
  <c r="AT615" i="4"/>
  <c r="AN615" i="4"/>
  <c r="BF222" i="4"/>
  <c r="AZ222" i="4"/>
  <c r="AT222" i="4"/>
  <c r="AN222" i="4"/>
  <c r="AZ574" i="4"/>
  <c r="BF574" i="4"/>
  <c r="AT574" i="4"/>
  <c r="AN574" i="4"/>
  <c r="AZ520" i="4"/>
  <c r="BF520" i="4"/>
  <c r="AT520" i="4"/>
  <c r="AN520" i="4"/>
  <c r="AZ614" i="4"/>
  <c r="AT614" i="4"/>
  <c r="BF614" i="4"/>
  <c r="AN614" i="4"/>
  <c r="BF66" i="4"/>
  <c r="AZ66" i="4"/>
  <c r="AT66" i="4"/>
  <c r="AN66" i="4"/>
  <c r="BF619" i="4"/>
  <c r="AZ619" i="4"/>
  <c r="AT619" i="4"/>
  <c r="AN619" i="4"/>
  <c r="AZ434" i="4"/>
  <c r="BF434" i="4"/>
  <c r="AT434" i="4"/>
  <c r="AN434" i="4"/>
  <c r="BF253" i="4"/>
  <c r="AZ253" i="4"/>
  <c r="AT253" i="4"/>
  <c r="AN253" i="4"/>
  <c r="BF475" i="4"/>
  <c r="AZ475" i="4"/>
  <c r="AT475" i="4"/>
  <c r="AN475" i="4"/>
  <c r="BF532" i="4"/>
  <c r="AT532" i="4"/>
  <c r="AZ532" i="4"/>
  <c r="AN532" i="4"/>
  <c r="BF348" i="4"/>
  <c r="AZ348" i="4"/>
  <c r="AT348" i="4"/>
  <c r="AN348" i="4"/>
  <c r="BF251" i="4"/>
  <c r="AZ251" i="4"/>
  <c r="AT251" i="4"/>
  <c r="AN251" i="4"/>
  <c r="BF33" i="4"/>
  <c r="AZ33" i="4"/>
  <c r="AT33" i="4"/>
  <c r="AN33" i="4"/>
  <c r="BF43" i="4"/>
  <c r="AZ43" i="4"/>
  <c r="AT43" i="4"/>
  <c r="AN43" i="4"/>
  <c r="BF52" i="4"/>
  <c r="AZ52" i="4"/>
  <c r="AT52" i="4"/>
  <c r="AN52" i="4"/>
  <c r="BF60" i="4"/>
  <c r="AZ60" i="4"/>
  <c r="AT60" i="4"/>
  <c r="AN60" i="4"/>
  <c r="BF72" i="4"/>
  <c r="AZ72" i="4"/>
  <c r="AT72" i="4"/>
  <c r="AN72" i="4"/>
  <c r="BF80" i="4"/>
  <c r="AZ80" i="4"/>
  <c r="AT80" i="4"/>
  <c r="AN80" i="4"/>
  <c r="BF88" i="4"/>
  <c r="AZ88" i="4"/>
  <c r="AT88" i="4"/>
  <c r="AN88" i="4"/>
  <c r="BF96" i="4"/>
  <c r="AZ96" i="4"/>
  <c r="AT96" i="4"/>
  <c r="AN96" i="4"/>
  <c r="BF104" i="4"/>
  <c r="AZ104" i="4"/>
  <c r="AT104" i="4"/>
  <c r="AN104" i="4"/>
  <c r="BF115" i="4"/>
  <c r="AZ115" i="4"/>
  <c r="AT115" i="4"/>
  <c r="AN115" i="4"/>
  <c r="BF123" i="4"/>
  <c r="AZ123" i="4"/>
  <c r="AT123" i="4"/>
  <c r="AN123" i="4"/>
  <c r="BF131" i="4"/>
  <c r="AZ131" i="4"/>
  <c r="AT131" i="4"/>
  <c r="AN131" i="4"/>
  <c r="BF140" i="4"/>
  <c r="AZ140" i="4"/>
  <c r="AT140" i="4"/>
  <c r="AN140" i="4"/>
  <c r="BF148" i="4"/>
  <c r="AZ148" i="4"/>
  <c r="AT148" i="4"/>
  <c r="AN148" i="4"/>
  <c r="BF156" i="4"/>
  <c r="AZ156" i="4"/>
  <c r="AT156" i="4"/>
  <c r="AN156" i="4"/>
  <c r="BF167" i="4"/>
  <c r="AZ167" i="4"/>
  <c r="AT167" i="4"/>
  <c r="AN167" i="4"/>
  <c r="BF175" i="4"/>
  <c r="AZ175" i="4"/>
  <c r="AT175" i="4"/>
  <c r="AN175" i="4"/>
  <c r="BF183" i="4"/>
  <c r="AZ183" i="4"/>
  <c r="AT183" i="4"/>
  <c r="AN183" i="4"/>
  <c r="BF219" i="4"/>
  <c r="AZ219" i="4"/>
  <c r="AT219" i="4"/>
  <c r="AN219" i="4"/>
  <c r="BF231" i="4"/>
  <c r="AZ231" i="4"/>
  <c r="AT231" i="4"/>
  <c r="AN231" i="4"/>
  <c r="BF244" i="4"/>
  <c r="AZ244" i="4"/>
  <c r="AT244" i="4"/>
  <c r="AN244" i="4"/>
  <c r="BF259" i="4"/>
  <c r="AZ259" i="4"/>
  <c r="AT259" i="4"/>
  <c r="AN259" i="4"/>
  <c r="BF272" i="4"/>
  <c r="AZ272" i="4"/>
  <c r="AT272" i="4"/>
  <c r="AN272" i="4"/>
  <c r="BF286" i="4"/>
  <c r="AZ286" i="4"/>
  <c r="AT286" i="4"/>
  <c r="AN286" i="4"/>
  <c r="BF294" i="4"/>
  <c r="AZ294" i="4"/>
  <c r="AT294" i="4"/>
  <c r="AN294" i="4"/>
  <c r="BF303" i="4"/>
  <c r="AZ303" i="4"/>
  <c r="AT303" i="4"/>
  <c r="AN303" i="4"/>
  <c r="BF320" i="4"/>
  <c r="AZ320" i="4"/>
  <c r="AT320" i="4"/>
  <c r="AN320" i="4"/>
  <c r="BF328" i="4"/>
  <c r="AZ328" i="4"/>
  <c r="AT328" i="4"/>
  <c r="AN328" i="4"/>
  <c r="BF337" i="4"/>
  <c r="AZ337" i="4"/>
  <c r="AT337" i="4"/>
  <c r="AN337" i="4"/>
  <c r="BF345" i="4"/>
  <c r="AZ345" i="4"/>
  <c r="AT345" i="4"/>
  <c r="AN345" i="4"/>
  <c r="BF357" i="4"/>
  <c r="AZ357" i="4"/>
  <c r="AT357" i="4"/>
  <c r="AN357" i="4"/>
  <c r="BF366" i="4"/>
  <c r="AT366" i="4"/>
  <c r="AZ366" i="4"/>
  <c r="AN366" i="4"/>
  <c r="BF376" i="4"/>
  <c r="AZ376" i="4"/>
  <c r="AT376" i="4"/>
  <c r="AN376" i="4"/>
  <c r="BF387" i="4"/>
  <c r="AZ387" i="4"/>
  <c r="AT387" i="4"/>
  <c r="AN387" i="4"/>
  <c r="BF395" i="4"/>
  <c r="AZ395" i="4"/>
  <c r="AT395" i="4"/>
  <c r="AN395" i="4"/>
  <c r="BF404" i="4"/>
  <c r="AT404" i="4"/>
  <c r="AZ404" i="4"/>
  <c r="AN404" i="4"/>
  <c r="BF413" i="4"/>
  <c r="AZ413" i="4"/>
  <c r="AT413" i="4"/>
  <c r="AN413" i="4"/>
  <c r="AZ422" i="4"/>
  <c r="BF422" i="4"/>
  <c r="AT422" i="4"/>
  <c r="AN422" i="4"/>
  <c r="BF441" i="4"/>
  <c r="AZ441" i="4"/>
  <c r="AT441" i="4"/>
  <c r="AN441" i="4"/>
  <c r="BF449" i="4"/>
  <c r="AZ449" i="4"/>
  <c r="AT449" i="4"/>
  <c r="AN449" i="4"/>
  <c r="AT458" i="4"/>
  <c r="AZ458" i="4"/>
  <c r="BF458" i="4"/>
  <c r="AN458" i="4"/>
  <c r="AZ466" i="4"/>
  <c r="BF466" i="4"/>
  <c r="AT466" i="4"/>
  <c r="AN466" i="4"/>
  <c r="AZ478" i="4"/>
  <c r="BF478" i="4"/>
  <c r="AT478" i="4"/>
  <c r="AN478" i="4"/>
  <c r="AZ496" i="4"/>
  <c r="BF496" i="4"/>
  <c r="AT496" i="4"/>
  <c r="AN496" i="4"/>
  <c r="AZ504" i="4"/>
  <c r="BF504" i="4"/>
  <c r="AT504" i="4"/>
  <c r="AN504" i="4"/>
  <c r="AZ512" i="4"/>
  <c r="BF512" i="4"/>
  <c r="AT512" i="4"/>
  <c r="AN512" i="4"/>
  <c r="BF533" i="4"/>
  <c r="AZ533" i="4"/>
  <c r="AT533" i="4"/>
  <c r="AN533" i="4"/>
  <c r="AZ544" i="4"/>
  <c r="BF544" i="4"/>
  <c r="AT544" i="4"/>
  <c r="AN544" i="4"/>
  <c r="AZ552" i="4"/>
  <c r="BF552" i="4"/>
  <c r="AT552" i="4"/>
  <c r="AN552" i="4"/>
  <c r="BF561" i="4"/>
  <c r="AZ561" i="4"/>
  <c r="AT561" i="4"/>
  <c r="AN561" i="4"/>
  <c r="BF569" i="4"/>
  <c r="AZ569" i="4"/>
  <c r="AT569" i="4"/>
  <c r="AN569" i="4"/>
  <c r="BF579" i="4"/>
  <c r="AZ579" i="4"/>
  <c r="AT579" i="4"/>
  <c r="AN579" i="4"/>
  <c r="BF589" i="4"/>
  <c r="AZ589" i="4"/>
  <c r="AT589" i="4"/>
  <c r="AN589" i="4"/>
  <c r="BF597" i="4"/>
  <c r="AZ597" i="4"/>
  <c r="AT597" i="4"/>
  <c r="AN597" i="4"/>
  <c r="AZ608" i="4"/>
  <c r="BF608" i="4"/>
  <c r="AT608" i="4"/>
  <c r="AN608" i="4"/>
  <c r="BF13" i="4"/>
  <c r="AZ13" i="4"/>
  <c r="AT13" i="4"/>
  <c r="AN13" i="4"/>
  <c r="BF21" i="4"/>
  <c r="AZ21" i="4"/>
  <c r="AT21" i="4"/>
  <c r="AN21" i="4"/>
  <c r="BF255" i="4"/>
  <c r="AZ255" i="4"/>
  <c r="AT255" i="4"/>
  <c r="AN255" i="4"/>
  <c r="AZ584" i="4"/>
  <c r="BF584" i="4"/>
  <c r="AT584" i="4"/>
  <c r="AN584" i="4"/>
  <c r="BF196" i="4"/>
  <c r="AZ196" i="4"/>
  <c r="AT196" i="4"/>
  <c r="AN196" i="4"/>
  <c r="BF187" i="4"/>
  <c r="AZ187" i="4"/>
  <c r="AT187" i="4"/>
  <c r="AN187" i="4"/>
  <c r="BF521" i="4"/>
  <c r="AZ521" i="4"/>
  <c r="AT521" i="4"/>
  <c r="AN521" i="4"/>
  <c r="BF188" i="4"/>
  <c r="AZ188" i="4"/>
  <c r="AT188" i="4"/>
  <c r="AN188" i="4"/>
  <c r="BF208" i="4"/>
  <c r="AZ208" i="4"/>
  <c r="AT208" i="4"/>
  <c r="AN208" i="4"/>
  <c r="AZ456" i="4"/>
  <c r="BF456" i="4"/>
  <c r="AT456" i="4"/>
  <c r="AN456" i="4"/>
  <c r="BF435" i="4"/>
  <c r="AZ435" i="4"/>
  <c r="AT435" i="4"/>
  <c r="AN435" i="4"/>
  <c r="BF41" i="4"/>
  <c r="AZ41" i="4"/>
  <c r="AT41" i="4"/>
  <c r="AN41" i="4"/>
  <c r="BF268" i="4"/>
  <c r="AZ268" i="4"/>
  <c r="AT268" i="4"/>
  <c r="AN268" i="4"/>
  <c r="BF351" i="4"/>
  <c r="AZ351" i="4"/>
  <c r="AT351" i="4"/>
  <c r="AN351" i="4"/>
  <c r="AZ250" i="4"/>
  <c r="AT250" i="4"/>
  <c r="BF250" i="4"/>
  <c r="AN250" i="4"/>
  <c r="BF524" i="4"/>
  <c r="AZ524" i="4"/>
  <c r="AT524" i="4"/>
  <c r="AN524" i="4"/>
  <c r="BF197" i="4"/>
  <c r="AZ197" i="4"/>
  <c r="AT197" i="4"/>
  <c r="AN197" i="4"/>
  <c r="M69" i="4"/>
  <c r="M49" i="4"/>
  <c r="M68" i="4"/>
  <c r="M85" i="4"/>
  <c r="M101" i="4"/>
  <c r="M120" i="4"/>
  <c r="M137" i="4"/>
  <c r="M153" i="4"/>
  <c r="M172" i="4"/>
  <c r="M215" i="4"/>
  <c r="M241" i="4"/>
  <c r="M256" i="4"/>
  <c r="M266" i="4"/>
  <c r="M291" i="4"/>
  <c r="M300" i="4"/>
  <c r="M317" i="4"/>
  <c r="M325" i="4"/>
  <c r="M334" i="4"/>
  <c r="M342" i="4"/>
  <c r="M354" i="4"/>
  <c r="M363" i="4"/>
  <c r="M373" i="4"/>
  <c r="M382" i="4"/>
  <c r="M392" i="4"/>
  <c r="M401" i="4"/>
  <c r="M410" i="4"/>
  <c r="M419" i="4"/>
  <c r="M438" i="4"/>
  <c r="M446" i="4"/>
  <c r="M454" i="4"/>
  <c r="M463" i="4"/>
  <c r="M473" i="4"/>
  <c r="M487" i="4"/>
  <c r="M501" i="4"/>
  <c r="M509" i="4"/>
  <c r="M517" i="4"/>
  <c r="M541" i="4"/>
  <c r="M549" i="4"/>
  <c r="M558" i="4"/>
  <c r="M566" i="4"/>
  <c r="M576" i="4"/>
  <c r="M586" i="4"/>
  <c r="M594" i="4"/>
  <c r="M604" i="4"/>
  <c r="M10" i="4"/>
  <c r="M18" i="4"/>
  <c r="M27" i="4"/>
  <c r="M239" i="4"/>
  <c r="M470" i="4"/>
  <c r="M34" i="4"/>
  <c r="M108" i="4"/>
  <c r="M525" i="4"/>
  <c r="M284" i="4"/>
  <c r="M436" i="4"/>
  <c r="M483" i="4"/>
  <c r="M618" i="4"/>
  <c r="M307" i="4"/>
  <c r="M352" i="4"/>
  <c r="M29" i="4"/>
  <c r="M40" i="4"/>
  <c r="M50" i="4"/>
  <c r="M58" i="4"/>
  <c r="M70" i="4"/>
  <c r="M78" i="4"/>
  <c r="M86" i="4"/>
  <c r="M94" i="4"/>
  <c r="M102" i="4"/>
  <c r="M113" i="4"/>
  <c r="M121" i="4"/>
  <c r="M129" i="4"/>
  <c r="M138" i="4"/>
  <c r="M146" i="4"/>
  <c r="M154" i="4"/>
  <c r="M165" i="4"/>
  <c r="M173" i="4"/>
  <c r="M181" i="4"/>
  <c r="M216" i="4"/>
  <c r="M229" i="4"/>
  <c r="M242" i="4"/>
  <c r="M257" i="4"/>
  <c r="M270" i="4"/>
  <c r="M282" i="4"/>
  <c r="M292" i="4"/>
  <c r="M301" i="4"/>
  <c r="M318" i="4"/>
  <c r="M326" i="4"/>
  <c r="M335" i="4"/>
  <c r="M343" i="4"/>
  <c r="M355" i="4"/>
  <c r="M364" i="4"/>
  <c r="M374" i="4"/>
  <c r="M383" i="4"/>
  <c r="M393" i="4"/>
  <c r="M402" i="4"/>
  <c r="M411" i="4"/>
  <c r="M420" i="4"/>
  <c r="M439" i="4"/>
  <c r="M447" i="4"/>
  <c r="M455" i="4"/>
  <c r="M464" i="4"/>
  <c r="M476" i="4"/>
  <c r="M494" i="4"/>
  <c r="M502" i="4"/>
  <c r="M510" i="4"/>
  <c r="M518" i="4"/>
  <c r="M542" i="4"/>
  <c r="M550" i="4"/>
  <c r="M559" i="4"/>
  <c r="M567" i="4"/>
  <c r="M577" i="4"/>
  <c r="M587" i="4"/>
  <c r="M595" i="4"/>
  <c r="M606" i="4"/>
  <c r="M11" i="4"/>
  <c r="M19" i="4"/>
  <c r="M28" i="4"/>
  <c r="M522" i="4"/>
  <c r="M488" i="4"/>
  <c r="M207" i="4"/>
  <c r="M527" i="4"/>
  <c r="M429" i="4"/>
  <c r="M37" i="4"/>
  <c r="M47" i="4"/>
  <c r="M55" i="4"/>
  <c r="M63" i="4"/>
  <c r="M75" i="4"/>
  <c r="M83" i="4"/>
  <c r="M91" i="4"/>
  <c r="M99" i="4"/>
  <c r="M107" i="4"/>
  <c r="M118" i="4"/>
  <c r="M126" i="4"/>
  <c r="M134" i="4"/>
  <c r="M143" i="4"/>
  <c r="M151" i="4"/>
  <c r="M159" i="4"/>
  <c r="M170" i="4"/>
  <c r="M178" i="4"/>
  <c r="M186" i="4"/>
  <c r="M226" i="4"/>
  <c r="M234" i="4"/>
  <c r="M247" i="4"/>
  <c r="M263" i="4"/>
  <c r="M275" i="4"/>
  <c r="M289" i="4"/>
  <c r="M298" i="4"/>
  <c r="M315" i="4"/>
  <c r="M323" i="4"/>
  <c r="M332" i="4"/>
  <c r="M340" i="4"/>
  <c r="M350" i="4"/>
  <c r="M360" i="4"/>
  <c r="M371" i="4"/>
  <c r="M380" i="4"/>
  <c r="M390" i="4"/>
  <c r="M399" i="4"/>
  <c r="M408" i="4"/>
  <c r="M416" i="4"/>
  <c r="M427" i="4"/>
  <c r="M444" i="4"/>
  <c r="M452" i="4"/>
  <c r="M461" i="4"/>
  <c r="M471" i="4"/>
  <c r="M481" i="4"/>
  <c r="M499" i="4"/>
  <c r="M507" i="4"/>
  <c r="M515" i="4"/>
  <c r="M539" i="4"/>
  <c r="M547" i="4"/>
  <c r="M556" i="4"/>
  <c r="M564" i="4"/>
  <c r="M572" i="4"/>
  <c r="M582" i="4"/>
  <c r="M592" i="4"/>
  <c r="M600" i="4"/>
  <c r="M611" i="4"/>
  <c r="M16" i="4"/>
  <c r="M24" i="4"/>
  <c r="M311" i="4"/>
  <c r="M531" i="4"/>
  <c r="M200" i="4"/>
  <c r="M252" i="4"/>
  <c r="M213" i="4"/>
  <c r="M536" i="4"/>
  <c r="M605" i="4"/>
  <c r="M195" i="4"/>
  <c r="M430" i="4"/>
  <c r="M492" i="4"/>
  <c r="M312" i="4"/>
  <c r="M260" i="4"/>
  <c r="M616" i="4"/>
  <c r="M202" i="4"/>
  <c r="M212" i="4"/>
  <c r="M38" i="4"/>
  <c r="M48" i="4"/>
  <c r="M56" i="4"/>
  <c r="M67" i="4"/>
  <c r="M76" i="4"/>
  <c r="M84" i="4"/>
  <c r="M92" i="4"/>
  <c r="M100" i="4"/>
  <c r="M111" i="4"/>
  <c r="M119" i="4"/>
  <c r="M127" i="4"/>
  <c r="M136" i="4"/>
  <c r="M144" i="4"/>
  <c r="M152" i="4"/>
  <c r="M160" i="4"/>
  <c r="M171" i="4"/>
  <c r="M179" i="4"/>
  <c r="M224" i="4"/>
  <c r="M227" i="4"/>
  <c r="M236" i="4"/>
  <c r="M248" i="4"/>
  <c r="M265" i="4"/>
  <c r="M280" i="4"/>
  <c r="M290" i="4"/>
  <c r="M299" i="4"/>
  <c r="M316" i="4"/>
  <c r="M324" i="4"/>
  <c r="M333" i="4"/>
  <c r="M341" i="4"/>
  <c r="M353" i="4"/>
  <c r="M361" i="4"/>
  <c r="M372" i="4"/>
  <c r="M381" i="4"/>
  <c r="M391" i="4"/>
  <c r="M400" i="4"/>
  <c r="M409" i="4"/>
  <c r="M418" i="4"/>
  <c r="M437" i="4"/>
  <c r="M445" i="4"/>
  <c r="M453" i="4"/>
  <c r="M462" i="4"/>
  <c r="M472" i="4"/>
  <c r="M486" i="4"/>
  <c r="M500" i="4"/>
  <c r="M508" i="4"/>
  <c r="M516" i="4"/>
  <c r="M540" i="4"/>
  <c r="M548" i="4"/>
  <c r="M557" i="4"/>
  <c r="M565" i="4"/>
  <c r="M575" i="4"/>
  <c r="M583" i="4"/>
  <c r="M593" i="4"/>
  <c r="M603" i="4"/>
  <c r="M9" i="4"/>
  <c r="M17" i="4"/>
  <c r="M26" i="4"/>
  <c r="M526" i="4"/>
  <c r="M368" i="4"/>
  <c r="M529" i="4"/>
  <c r="M30" i="4"/>
  <c r="M163" i="4"/>
  <c r="M235" i="4"/>
  <c r="M523" i="4"/>
  <c r="M198" i="4"/>
  <c r="M431" i="4"/>
  <c r="M379" i="4"/>
  <c r="M276" i="4"/>
  <c r="M201" i="4"/>
  <c r="M203" i="4"/>
  <c r="M433" i="4"/>
  <c r="M489" i="4"/>
  <c r="M279" i="4"/>
  <c r="M39" i="4"/>
  <c r="M57" i="4"/>
  <c r="M77" i="4"/>
  <c r="M93" i="4"/>
  <c r="M112" i="4"/>
  <c r="M128" i="4"/>
  <c r="M145" i="4"/>
  <c r="M161" i="4"/>
  <c r="M180" i="4"/>
  <c r="M228" i="4"/>
  <c r="M281" i="4"/>
  <c r="BF69" i="4"/>
  <c r="AZ69" i="4"/>
  <c r="AT69" i="4"/>
  <c r="AN69" i="4"/>
  <c r="BF39" i="4"/>
  <c r="AZ39" i="4"/>
  <c r="AT39" i="4"/>
  <c r="AN39" i="4"/>
  <c r="BF49" i="4"/>
  <c r="AZ49" i="4"/>
  <c r="AT49" i="4"/>
  <c r="AN49" i="4"/>
  <c r="BF57" i="4"/>
  <c r="AZ57" i="4"/>
  <c r="AT57" i="4"/>
  <c r="AN57" i="4"/>
  <c r="BF68" i="4"/>
  <c r="AZ68" i="4"/>
  <c r="AT68" i="4"/>
  <c r="AN68" i="4"/>
  <c r="BF77" i="4"/>
  <c r="AZ77" i="4"/>
  <c r="AT77" i="4"/>
  <c r="AN77" i="4"/>
  <c r="BF85" i="4"/>
  <c r="AZ85" i="4"/>
  <c r="AT85" i="4"/>
  <c r="AN85" i="4"/>
  <c r="BF93" i="4"/>
  <c r="AZ93" i="4"/>
  <c r="AT93" i="4"/>
  <c r="AN93" i="4"/>
  <c r="BF101" i="4"/>
  <c r="AZ101" i="4"/>
  <c r="AT101" i="4"/>
  <c r="AN101" i="4"/>
  <c r="BF112" i="4"/>
  <c r="AZ112" i="4"/>
  <c r="AT112" i="4"/>
  <c r="AN112" i="4"/>
  <c r="BF120" i="4"/>
  <c r="AZ120" i="4"/>
  <c r="AT120" i="4"/>
  <c r="AN120" i="4"/>
  <c r="BF128" i="4"/>
  <c r="AZ128" i="4"/>
  <c r="AT128" i="4"/>
  <c r="AN128" i="4"/>
  <c r="BF137" i="4"/>
  <c r="AZ137" i="4"/>
  <c r="AT137" i="4"/>
  <c r="AN137" i="4"/>
  <c r="BF145" i="4"/>
  <c r="AZ145" i="4"/>
  <c r="AT145" i="4"/>
  <c r="AN145" i="4"/>
  <c r="BF153" i="4"/>
  <c r="AZ153" i="4"/>
  <c r="AT153" i="4"/>
  <c r="AN153" i="4"/>
  <c r="BF161" i="4"/>
  <c r="AZ161" i="4"/>
  <c r="AT161" i="4"/>
  <c r="AN161" i="4"/>
  <c r="BF172" i="4"/>
  <c r="AZ172" i="4"/>
  <c r="AT172" i="4"/>
  <c r="AN172" i="4"/>
  <c r="BF180" i="4"/>
  <c r="AZ180" i="4"/>
  <c r="AT180" i="4"/>
  <c r="AN180" i="4"/>
  <c r="BF215" i="4"/>
  <c r="AZ215" i="4"/>
  <c r="AT215" i="4"/>
  <c r="AN215" i="4"/>
  <c r="BF228" i="4"/>
  <c r="AZ228" i="4"/>
  <c r="AT228" i="4"/>
  <c r="AN228" i="4"/>
  <c r="BF241" i="4"/>
  <c r="AZ241" i="4"/>
  <c r="AT241" i="4"/>
  <c r="AN241" i="4"/>
  <c r="BF256" i="4"/>
  <c r="AZ256" i="4"/>
  <c r="AT256" i="4"/>
  <c r="AN256" i="4"/>
  <c r="AZ266" i="4"/>
  <c r="AT266" i="4"/>
  <c r="BF266" i="4"/>
  <c r="AN266" i="4"/>
  <c r="BF281" i="4"/>
  <c r="AZ281" i="4"/>
  <c r="AT281" i="4"/>
  <c r="AN281" i="4"/>
  <c r="BF291" i="4"/>
  <c r="AZ291" i="4"/>
  <c r="AT291" i="4"/>
  <c r="AN291" i="4"/>
  <c r="BF300" i="4"/>
  <c r="AZ300" i="4"/>
  <c r="AT300" i="4"/>
  <c r="AN300" i="4"/>
  <c r="BF317" i="4"/>
  <c r="AZ317" i="4"/>
  <c r="AT317" i="4"/>
  <c r="AN317" i="4"/>
  <c r="BF325" i="4"/>
  <c r="AZ325" i="4"/>
  <c r="AT325" i="4"/>
  <c r="AN325" i="4"/>
  <c r="BF334" i="4"/>
  <c r="AT334" i="4"/>
  <c r="AZ334" i="4"/>
  <c r="AN334" i="4"/>
  <c r="BF342" i="4"/>
  <c r="AZ342" i="4"/>
  <c r="AT342" i="4"/>
  <c r="AN342" i="4"/>
  <c r="AZ354" i="4"/>
  <c r="BF354" i="4"/>
  <c r="AT354" i="4"/>
  <c r="AN354" i="4"/>
  <c r="BF363" i="4"/>
  <c r="AZ363" i="4"/>
  <c r="AT363" i="4"/>
  <c r="AN363" i="4"/>
  <c r="BF373" i="4"/>
  <c r="AZ373" i="4"/>
  <c r="AT373" i="4"/>
  <c r="AN373" i="4"/>
  <c r="BF382" i="4"/>
  <c r="AZ382" i="4"/>
  <c r="AT382" i="4"/>
  <c r="AN382" i="4"/>
  <c r="BF392" i="4"/>
  <c r="AZ392" i="4"/>
  <c r="AT392" i="4"/>
  <c r="AN392" i="4"/>
  <c r="BF401" i="4"/>
  <c r="AZ401" i="4"/>
  <c r="AT401" i="4"/>
  <c r="AN401" i="4"/>
  <c r="AZ410" i="4"/>
  <c r="AT410" i="4"/>
  <c r="BF410" i="4"/>
  <c r="AN410" i="4"/>
  <c r="BF419" i="4"/>
  <c r="AZ419" i="4"/>
  <c r="AT419" i="4"/>
  <c r="AN419" i="4"/>
  <c r="AZ438" i="4"/>
  <c r="BF438" i="4"/>
  <c r="AT438" i="4"/>
  <c r="AN438" i="4"/>
  <c r="AZ446" i="4"/>
  <c r="BF446" i="4"/>
  <c r="AT446" i="4"/>
  <c r="AN446" i="4"/>
  <c r="AZ454" i="4"/>
  <c r="BF454" i="4"/>
  <c r="AT454" i="4"/>
  <c r="AN454" i="4"/>
  <c r="BF463" i="4"/>
  <c r="AZ463" i="4"/>
  <c r="AT463" i="4"/>
  <c r="AN463" i="4"/>
  <c r="BF473" i="4"/>
  <c r="AZ473" i="4"/>
  <c r="AT473" i="4"/>
  <c r="AN473" i="4"/>
  <c r="BF487" i="4"/>
  <c r="AZ487" i="4"/>
  <c r="AT487" i="4"/>
  <c r="AN487" i="4"/>
  <c r="BF501" i="4"/>
  <c r="AZ501" i="4"/>
  <c r="AT501" i="4"/>
  <c r="AN501" i="4"/>
  <c r="BF509" i="4"/>
  <c r="AZ509" i="4"/>
  <c r="AT509" i="4"/>
  <c r="AN509" i="4"/>
  <c r="BF517" i="4"/>
  <c r="AZ517" i="4"/>
  <c r="AT517" i="4"/>
  <c r="AN517" i="4"/>
  <c r="BF541" i="4"/>
  <c r="AZ541" i="4"/>
  <c r="AT541" i="4"/>
  <c r="AN541" i="4"/>
  <c r="BF549" i="4"/>
  <c r="AZ549" i="4"/>
  <c r="AT549" i="4"/>
  <c r="AN549" i="4"/>
  <c r="AZ558" i="4"/>
  <c r="BF558" i="4"/>
  <c r="AT558" i="4"/>
  <c r="AN558" i="4"/>
  <c r="AZ566" i="4"/>
  <c r="BF566" i="4"/>
  <c r="AT566" i="4"/>
  <c r="AN566" i="4"/>
  <c r="AZ576" i="4"/>
  <c r="BF576" i="4"/>
  <c r="AT576" i="4"/>
  <c r="AN576" i="4"/>
  <c r="AT586" i="4"/>
  <c r="AZ586" i="4"/>
  <c r="BF586" i="4"/>
  <c r="AN586" i="4"/>
  <c r="AZ594" i="4"/>
  <c r="BF594" i="4"/>
  <c r="AT594" i="4"/>
  <c r="AN594" i="4"/>
  <c r="BF604" i="4"/>
  <c r="AZ604" i="4"/>
  <c r="AT604" i="4"/>
  <c r="AN604" i="4"/>
  <c r="BF10" i="4"/>
  <c r="AZ10" i="4"/>
  <c r="AT10" i="4"/>
  <c r="AN10" i="4"/>
  <c r="BF18" i="4"/>
  <c r="AZ18" i="4"/>
  <c r="AT18" i="4"/>
  <c r="AN18" i="4"/>
  <c r="BF27" i="4"/>
  <c r="AZ27" i="4"/>
  <c r="AT27" i="4"/>
  <c r="AN27" i="4"/>
  <c r="BF239" i="4"/>
  <c r="AZ239" i="4"/>
  <c r="AT239" i="4"/>
  <c r="AN239" i="4"/>
  <c r="AZ470" i="4"/>
  <c r="BF470" i="4"/>
  <c r="AT470" i="4"/>
  <c r="AN470" i="4"/>
  <c r="BF34" i="4"/>
  <c r="AZ34" i="4"/>
  <c r="AT34" i="4"/>
  <c r="AN34" i="4"/>
  <c r="BF108" i="4"/>
  <c r="AZ108" i="4"/>
  <c r="AT108" i="4"/>
  <c r="AN108" i="4"/>
  <c r="BF525" i="4"/>
  <c r="AZ525" i="4"/>
  <c r="AT525" i="4"/>
  <c r="AN525" i="4"/>
  <c r="BF284" i="4"/>
  <c r="AZ284" i="4"/>
  <c r="AT284" i="4"/>
  <c r="AN284" i="4"/>
  <c r="BF436" i="4"/>
  <c r="AT436" i="4"/>
  <c r="AZ436" i="4"/>
  <c r="AN436" i="4"/>
  <c r="BF483" i="4"/>
  <c r="AZ483" i="4"/>
  <c r="AT483" i="4"/>
  <c r="AN483" i="4"/>
  <c r="AT618" i="4"/>
  <c r="BF618" i="4"/>
  <c r="AZ618" i="4"/>
  <c r="AN618" i="4"/>
  <c r="BF307" i="4"/>
  <c r="AZ307" i="4"/>
  <c r="AT307" i="4"/>
  <c r="AN307" i="4"/>
  <c r="BF352" i="4"/>
  <c r="AZ352" i="4"/>
  <c r="AT352" i="4"/>
  <c r="AN352" i="4"/>
  <c r="BF29" i="4"/>
  <c r="AZ29" i="4"/>
  <c r="AT29" i="4"/>
  <c r="AN29" i="4"/>
  <c r="BF40" i="4"/>
  <c r="AZ40" i="4"/>
  <c r="AT40" i="4"/>
  <c r="AN40" i="4"/>
  <c r="BF50" i="4"/>
  <c r="AZ50" i="4"/>
  <c r="AT50" i="4"/>
  <c r="AN50" i="4"/>
  <c r="BF58" i="4"/>
  <c r="AZ58" i="4"/>
  <c r="AT58" i="4"/>
  <c r="AN58" i="4"/>
  <c r="BF70" i="4"/>
  <c r="AZ70" i="4"/>
  <c r="AT70" i="4"/>
  <c r="AN70" i="4"/>
  <c r="BF78" i="4"/>
  <c r="AT78" i="4"/>
  <c r="AZ78" i="4"/>
  <c r="AN78" i="4"/>
  <c r="BF86" i="4"/>
  <c r="AZ86" i="4"/>
  <c r="AT86" i="4"/>
  <c r="AN86" i="4"/>
  <c r="BF94" i="4"/>
  <c r="AZ94" i="4"/>
  <c r="AT94" i="4"/>
  <c r="AN94" i="4"/>
  <c r="BF102" i="4"/>
  <c r="AZ102" i="4"/>
  <c r="AT102" i="4"/>
  <c r="AN102" i="4"/>
  <c r="BF113" i="4"/>
  <c r="AZ113" i="4"/>
  <c r="AT113" i="4"/>
  <c r="AN113" i="4"/>
  <c r="BF121" i="4"/>
  <c r="AZ121" i="4"/>
  <c r="AT121" i="4"/>
  <c r="AN121" i="4"/>
  <c r="BF129" i="4"/>
  <c r="AZ129" i="4"/>
  <c r="AT129" i="4"/>
  <c r="AN129" i="4"/>
  <c r="BF138" i="4"/>
  <c r="AZ138" i="4"/>
  <c r="AT138" i="4"/>
  <c r="AN138" i="4"/>
  <c r="BF146" i="4"/>
  <c r="AZ146" i="4"/>
  <c r="AT146" i="4"/>
  <c r="AN146" i="4"/>
  <c r="BF154" i="4"/>
  <c r="AZ154" i="4"/>
  <c r="AT154" i="4"/>
  <c r="AN154" i="4"/>
  <c r="BF165" i="4"/>
  <c r="AZ165" i="4"/>
  <c r="AT165" i="4"/>
  <c r="AN165" i="4"/>
  <c r="BF173" i="4"/>
  <c r="AZ173" i="4"/>
  <c r="AT173" i="4"/>
  <c r="AN173" i="4"/>
  <c r="BF181" i="4"/>
  <c r="AZ181" i="4"/>
  <c r="AT181" i="4"/>
  <c r="AN181" i="4"/>
  <c r="BF216" i="4"/>
  <c r="AZ216" i="4"/>
  <c r="AT216" i="4"/>
  <c r="AN216" i="4"/>
  <c r="BF229" i="4"/>
  <c r="AZ229" i="4"/>
  <c r="AT229" i="4"/>
  <c r="AN229" i="4"/>
  <c r="AZ242" i="4"/>
  <c r="BF242" i="4"/>
  <c r="AT242" i="4"/>
  <c r="AN242" i="4"/>
  <c r="BF257" i="4"/>
  <c r="AZ257" i="4"/>
  <c r="AT257" i="4"/>
  <c r="AN257" i="4"/>
  <c r="BF270" i="4"/>
  <c r="AT270" i="4"/>
  <c r="AZ270" i="4"/>
  <c r="AN270" i="4"/>
  <c r="AZ282" i="4"/>
  <c r="AT282" i="4"/>
  <c r="BF282" i="4"/>
  <c r="AN282" i="4"/>
  <c r="BF292" i="4"/>
  <c r="AZ292" i="4"/>
  <c r="AT292" i="4"/>
  <c r="AN292" i="4"/>
  <c r="BF301" i="4"/>
  <c r="AZ301" i="4"/>
  <c r="AT301" i="4"/>
  <c r="AN301" i="4"/>
  <c r="BF318" i="4"/>
  <c r="AZ318" i="4"/>
  <c r="AT318" i="4"/>
  <c r="AN318" i="4"/>
  <c r="BF326" i="4"/>
  <c r="AZ326" i="4"/>
  <c r="AT326" i="4"/>
  <c r="AN326" i="4"/>
  <c r="BF335" i="4"/>
  <c r="AZ335" i="4"/>
  <c r="AT335" i="4"/>
  <c r="AN335" i="4"/>
  <c r="BF343" i="4"/>
  <c r="AZ343" i="4"/>
  <c r="AT343" i="4"/>
  <c r="AN343" i="4"/>
  <c r="BF355" i="4"/>
  <c r="AZ355" i="4"/>
  <c r="AT355" i="4"/>
  <c r="AN355" i="4"/>
  <c r="BF364" i="4"/>
  <c r="AZ364" i="4"/>
  <c r="AT364" i="4"/>
  <c r="AN364" i="4"/>
  <c r="BF374" i="4"/>
  <c r="AZ374" i="4"/>
  <c r="AT374" i="4"/>
  <c r="AN374" i="4"/>
  <c r="BF383" i="4"/>
  <c r="AZ383" i="4"/>
  <c r="AT383" i="4"/>
  <c r="AN383" i="4"/>
  <c r="BF393" i="4"/>
  <c r="AZ393" i="4"/>
  <c r="AT393" i="4"/>
  <c r="AN393" i="4"/>
  <c r="AZ402" i="4"/>
  <c r="BF402" i="4"/>
  <c r="AT402" i="4"/>
  <c r="AN402" i="4"/>
  <c r="BF411" i="4"/>
  <c r="AZ411" i="4"/>
  <c r="AT411" i="4"/>
  <c r="AN411" i="4"/>
  <c r="BF420" i="4"/>
  <c r="AT420" i="4"/>
  <c r="AZ420" i="4"/>
  <c r="AN420" i="4"/>
  <c r="BF439" i="4"/>
  <c r="AZ439" i="4"/>
  <c r="AT439" i="4"/>
  <c r="AN439" i="4"/>
  <c r="BF447" i="4"/>
  <c r="AZ447" i="4"/>
  <c r="AT447" i="4"/>
  <c r="AN447" i="4"/>
  <c r="BF455" i="4"/>
  <c r="AZ455" i="4"/>
  <c r="AT455" i="4"/>
  <c r="AN455" i="4"/>
  <c r="AZ464" i="4"/>
  <c r="BF464" i="4"/>
  <c r="AT464" i="4"/>
  <c r="AN464" i="4"/>
  <c r="BF476" i="4"/>
  <c r="AZ476" i="4"/>
  <c r="AT476" i="4"/>
  <c r="AN476" i="4"/>
  <c r="AZ494" i="4"/>
  <c r="BF494" i="4"/>
  <c r="AT494" i="4"/>
  <c r="AN494" i="4"/>
  <c r="AZ502" i="4"/>
  <c r="BF502" i="4"/>
  <c r="AT502" i="4"/>
  <c r="AN502" i="4"/>
  <c r="AZ510" i="4"/>
  <c r="BF510" i="4"/>
  <c r="AT510" i="4"/>
  <c r="AN510" i="4"/>
  <c r="AZ518" i="4"/>
  <c r="BF518" i="4"/>
  <c r="AT518" i="4"/>
  <c r="AN518" i="4"/>
  <c r="AZ542" i="4"/>
  <c r="BF542" i="4"/>
  <c r="AT542" i="4"/>
  <c r="AN542" i="4"/>
  <c r="AZ550" i="4"/>
  <c r="BF550" i="4"/>
  <c r="AT550" i="4"/>
  <c r="AN550" i="4"/>
  <c r="BF559" i="4"/>
  <c r="AZ559" i="4"/>
  <c r="AT559" i="4"/>
  <c r="AN559" i="4"/>
  <c r="BF567" i="4"/>
  <c r="AZ567" i="4"/>
  <c r="AT567" i="4"/>
  <c r="AN567" i="4"/>
  <c r="BF577" i="4"/>
  <c r="AZ577" i="4"/>
  <c r="AT577" i="4"/>
  <c r="AN577" i="4"/>
  <c r="BF587" i="4"/>
  <c r="AZ587" i="4"/>
  <c r="AT587" i="4"/>
  <c r="AN587" i="4"/>
  <c r="BF595" i="4"/>
  <c r="AZ595" i="4"/>
  <c r="AT595" i="4"/>
  <c r="AN595" i="4"/>
  <c r="AZ606" i="4"/>
  <c r="BF606" i="4"/>
  <c r="AT606" i="4"/>
  <c r="AN606" i="4"/>
  <c r="BF11" i="4"/>
  <c r="AZ11" i="4"/>
  <c r="AT11" i="4"/>
  <c r="AN11" i="4"/>
  <c r="BF19" i="4"/>
  <c r="AZ19" i="4"/>
  <c r="AT19" i="4"/>
  <c r="AN19" i="4"/>
  <c r="BF28" i="4"/>
  <c r="AZ28" i="4"/>
  <c r="AT28" i="4"/>
  <c r="AN28" i="4"/>
  <c r="AT522" i="4"/>
  <c r="AZ522" i="4"/>
  <c r="BF522" i="4"/>
  <c r="AN522" i="4"/>
  <c r="AZ488" i="4"/>
  <c r="BF488" i="4"/>
  <c r="AT488" i="4"/>
  <c r="AN488" i="4"/>
  <c r="BF207" i="4"/>
  <c r="AZ207" i="4"/>
  <c r="AT207" i="4"/>
  <c r="AN207" i="4"/>
  <c r="BF527" i="4"/>
  <c r="AZ527" i="4"/>
  <c r="AT527" i="4"/>
  <c r="AN527" i="4"/>
  <c r="BF429" i="4"/>
  <c r="AZ429" i="4"/>
  <c r="AT429" i="4"/>
  <c r="AN429" i="4"/>
  <c r="BF37" i="4"/>
  <c r="AZ37" i="4"/>
  <c r="AT37" i="4"/>
  <c r="AN37" i="4"/>
  <c r="BF47" i="4"/>
  <c r="AZ47" i="4"/>
  <c r="AT47" i="4"/>
  <c r="AN47" i="4"/>
  <c r="BF55" i="4"/>
  <c r="AZ55" i="4"/>
  <c r="AT55" i="4"/>
  <c r="AN55" i="4"/>
  <c r="BF63" i="4"/>
  <c r="AZ63" i="4"/>
  <c r="AT63" i="4"/>
  <c r="BF75" i="4"/>
  <c r="AZ75" i="4"/>
  <c r="AT75" i="4"/>
  <c r="AN75" i="4"/>
  <c r="BF83" i="4"/>
  <c r="AZ83" i="4"/>
  <c r="AT83" i="4"/>
  <c r="AN83" i="4"/>
  <c r="BF91" i="4"/>
  <c r="AZ91" i="4"/>
  <c r="AT91" i="4"/>
  <c r="AN91" i="4"/>
  <c r="BF99" i="4"/>
  <c r="AZ99" i="4"/>
  <c r="AT99" i="4"/>
  <c r="AN99" i="4"/>
  <c r="BF107" i="4"/>
  <c r="AZ107" i="4"/>
  <c r="AT107" i="4"/>
  <c r="AN107" i="4"/>
  <c r="BF118" i="4"/>
  <c r="AZ118" i="4"/>
  <c r="AT118" i="4"/>
  <c r="AN118" i="4"/>
  <c r="BF126" i="4"/>
  <c r="AZ126" i="4"/>
  <c r="AT126" i="4"/>
  <c r="AN126" i="4"/>
  <c r="BF134" i="4"/>
  <c r="AZ134" i="4"/>
  <c r="AT134" i="4"/>
  <c r="AN134" i="4"/>
  <c r="BF143" i="4"/>
  <c r="AZ143" i="4"/>
  <c r="AT143" i="4"/>
  <c r="AN143" i="4"/>
  <c r="BF151" i="4"/>
  <c r="AZ151" i="4"/>
  <c r="AT151" i="4"/>
  <c r="AN151" i="4"/>
  <c r="BF159" i="4"/>
  <c r="AZ159" i="4"/>
  <c r="AT159" i="4"/>
  <c r="AN159" i="4"/>
  <c r="BF170" i="4"/>
  <c r="AZ170" i="4"/>
  <c r="AT170" i="4"/>
  <c r="AN170" i="4"/>
  <c r="AZ178" i="4"/>
  <c r="BF178" i="4"/>
  <c r="AT178" i="4"/>
  <c r="AN178" i="4"/>
  <c r="AZ186" i="4"/>
  <c r="AT186" i="4"/>
  <c r="BF186" i="4"/>
  <c r="AN186" i="4"/>
  <c r="AZ226" i="4"/>
  <c r="BF226" i="4"/>
  <c r="AT226" i="4"/>
  <c r="AN226" i="4"/>
  <c r="AZ234" i="4"/>
  <c r="AT234" i="4"/>
  <c r="BF234" i="4"/>
  <c r="AN234" i="4"/>
  <c r="BF247" i="4"/>
  <c r="AZ247" i="4"/>
  <c r="AT247" i="4"/>
  <c r="AN247" i="4"/>
  <c r="BF263" i="4"/>
  <c r="AZ263" i="4"/>
  <c r="AT263" i="4"/>
  <c r="AN263" i="4"/>
  <c r="BF275" i="4"/>
  <c r="AZ275" i="4"/>
  <c r="AT275" i="4"/>
  <c r="AN275" i="4"/>
  <c r="BF289" i="4"/>
  <c r="AZ289" i="4"/>
  <c r="AT289" i="4"/>
  <c r="AN289" i="4"/>
  <c r="AZ298" i="4"/>
  <c r="AT298" i="4"/>
  <c r="BF298" i="4"/>
  <c r="AN298" i="4"/>
  <c r="BF315" i="4"/>
  <c r="AZ315" i="4"/>
  <c r="AT315" i="4"/>
  <c r="AN315" i="4"/>
  <c r="BF323" i="4"/>
  <c r="AZ323" i="4"/>
  <c r="AT323" i="4"/>
  <c r="AN323" i="4"/>
  <c r="BF332" i="4"/>
  <c r="AZ332" i="4"/>
  <c r="AT332" i="4"/>
  <c r="AN332" i="4"/>
  <c r="BF340" i="4"/>
  <c r="AZ340" i="4"/>
  <c r="AT340" i="4"/>
  <c r="AN340" i="4"/>
  <c r="BF350" i="4"/>
  <c r="AZ350" i="4"/>
  <c r="AT350" i="4"/>
  <c r="AN350" i="4"/>
  <c r="BF360" i="4"/>
  <c r="AZ360" i="4"/>
  <c r="AT360" i="4"/>
  <c r="AN360" i="4"/>
  <c r="BF371" i="4"/>
  <c r="AZ371" i="4"/>
  <c r="AT371" i="4"/>
  <c r="AN371" i="4"/>
  <c r="BF380" i="4"/>
  <c r="AZ380" i="4"/>
  <c r="AT380" i="4"/>
  <c r="AN380" i="4"/>
  <c r="BF390" i="4"/>
  <c r="AZ390" i="4"/>
  <c r="AT390" i="4"/>
  <c r="AN390" i="4"/>
  <c r="BF399" i="4"/>
  <c r="AZ399" i="4"/>
  <c r="AT399" i="4"/>
  <c r="AN399" i="4"/>
  <c r="AZ408" i="4"/>
  <c r="BF408" i="4"/>
  <c r="AT408" i="4"/>
  <c r="AN408" i="4"/>
  <c r="AZ416" i="4"/>
  <c r="BF416" i="4"/>
  <c r="AT416" i="4"/>
  <c r="AN416" i="4"/>
  <c r="BF427" i="4"/>
  <c r="AZ427" i="4"/>
  <c r="AT427" i="4"/>
  <c r="AN427" i="4"/>
  <c r="BF444" i="4"/>
  <c r="AZ444" i="4"/>
  <c r="AT444" i="4"/>
  <c r="AN444" i="4"/>
  <c r="BF452" i="4"/>
  <c r="AT452" i="4"/>
  <c r="AZ452" i="4"/>
  <c r="AN452" i="4"/>
  <c r="BF461" i="4"/>
  <c r="AZ461" i="4"/>
  <c r="AT461" i="4"/>
  <c r="AN461" i="4"/>
  <c r="BF471" i="4"/>
  <c r="AZ471" i="4"/>
  <c r="AT471" i="4"/>
  <c r="AN471" i="4"/>
  <c r="BF481" i="4"/>
  <c r="AZ481" i="4"/>
  <c r="AT481" i="4"/>
  <c r="AN481" i="4"/>
  <c r="BF499" i="4"/>
  <c r="AZ499" i="4"/>
  <c r="AT499" i="4"/>
  <c r="AN499" i="4"/>
  <c r="BF507" i="4"/>
  <c r="AZ507" i="4"/>
  <c r="AT507" i="4"/>
  <c r="AN507" i="4"/>
  <c r="BF515" i="4"/>
  <c r="AZ515" i="4"/>
  <c r="AT515" i="4"/>
  <c r="AN515" i="4"/>
  <c r="BF539" i="4"/>
  <c r="AZ539" i="4"/>
  <c r="AT539" i="4"/>
  <c r="AN539" i="4"/>
  <c r="BF547" i="4"/>
  <c r="AZ547" i="4"/>
  <c r="AT547" i="4"/>
  <c r="AN547" i="4"/>
  <c r="BF556" i="4"/>
  <c r="AZ556" i="4"/>
  <c r="AT556" i="4"/>
  <c r="AN556" i="4"/>
  <c r="BF564" i="4"/>
  <c r="AT564" i="4"/>
  <c r="AZ564" i="4"/>
  <c r="AN564" i="4"/>
  <c r="BF572" i="4"/>
  <c r="AZ572" i="4"/>
  <c r="AT572" i="4"/>
  <c r="AN572" i="4"/>
  <c r="AZ582" i="4"/>
  <c r="BF582" i="4"/>
  <c r="AT582" i="4"/>
  <c r="AN582" i="4"/>
  <c r="AZ592" i="4"/>
  <c r="BF592" i="4"/>
  <c r="AT592" i="4"/>
  <c r="AN592" i="4"/>
  <c r="AZ600" i="4"/>
  <c r="BF600" i="4"/>
  <c r="AT600" i="4"/>
  <c r="AN600" i="4"/>
  <c r="BF611" i="4"/>
  <c r="AZ611" i="4"/>
  <c r="AT611" i="4"/>
  <c r="AN611" i="4"/>
  <c r="BF16" i="4"/>
  <c r="AZ16" i="4"/>
  <c r="AT16" i="4"/>
  <c r="AN16" i="4"/>
  <c r="BF24" i="4"/>
  <c r="AZ24" i="4"/>
  <c r="AT24" i="4"/>
  <c r="AN24" i="4"/>
  <c r="BF311" i="4"/>
  <c r="AZ311" i="4"/>
  <c r="AT311" i="4"/>
  <c r="AN311" i="4"/>
  <c r="BF531" i="4"/>
  <c r="AZ531" i="4"/>
  <c r="AT531" i="4"/>
  <c r="AN531" i="4"/>
  <c r="BF200" i="4"/>
  <c r="AZ200" i="4"/>
  <c r="AT200" i="4"/>
  <c r="AN200" i="4"/>
  <c r="BF252" i="4"/>
  <c r="AZ252" i="4"/>
  <c r="AT252" i="4"/>
  <c r="AN252" i="4"/>
  <c r="BF213" i="4"/>
  <c r="AZ213" i="4"/>
  <c r="AT213" i="4"/>
  <c r="AN213" i="4"/>
  <c r="AZ536" i="4"/>
  <c r="BF536" i="4"/>
  <c r="AT536" i="4"/>
  <c r="AN536" i="4"/>
  <c r="BF605" i="4"/>
  <c r="AZ605" i="4"/>
  <c r="AT605" i="4"/>
  <c r="AN605" i="4"/>
  <c r="BF195" i="4"/>
  <c r="AZ195" i="4"/>
  <c r="AT195" i="4"/>
  <c r="AN195" i="4"/>
  <c r="AZ430" i="4"/>
  <c r="BF430" i="4"/>
  <c r="AT430" i="4"/>
  <c r="AN430" i="4"/>
  <c r="BF492" i="4"/>
  <c r="AZ492" i="4"/>
  <c r="AT492" i="4"/>
  <c r="AN492" i="4"/>
  <c r="BF312" i="4"/>
  <c r="AZ312" i="4"/>
  <c r="AT312" i="4"/>
  <c r="AN312" i="4"/>
  <c r="BF260" i="4"/>
  <c r="AZ260" i="4"/>
  <c r="AT260" i="4"/>
  <c r="AN260" i="4"/>
  <c r="AZ616" i="4"/>
  <c r="BF616" i="4"/>
  <c r="AT616" i="4"/>
  <c r="AN616" i="4"/>
  <c r="AZ202" i="4"/>
  <c r="AT202" i="4"/>
  <c r="BF202" i="4"/>
  <c r="AN202" i="4"/>
  <c r="BF212" i="4"/>
  <c r="AZ212" i="4"/>
  <c r="AT212" i="4"/>
  <c r="AN212" i="4"/>
  <c r="BF38" i="4"/>
  <c r="AZ38" i="4"/>
  <c r="AT38" i="4"/>
  <c r="AN38" i="4"/>
  <c r="BF48" i="4"/>
  <c r="AZ48" i="4"/>
  <c r="AT48" i="4"/>
  <c r="AN48" i="4"/>
  <c r="BF56" i="4"/>
  <c r="AZ56" i="4"/>
  <c r="AT56" i="4"/>
  <c r="AN56" i="4"/>
  <c r="BF67" i="4"/>
  <c r="AZ67" i="4"/>
  <c r="AT67" i="4"/>
  <c r="AN67" i="4"/>
  <c r="BF76" i="4"/>
  <c r="AZ76" i="4"/>
  <c r="AT76" i="4"/>
  <c r="AN76" i="4"/>
  <c r="BF84" i="4"/>
  <c r="AZ84" i="4"/>
  <c r="AT84" i="4"/>
  <c r="AN84" i="4"/>
  <c r="BF92" i="4"/>
  <c r="AZ92" i="4"/>
  <c r="AT92" i="4"/>
  <c r="AN92" i="4"/>
  <c r="BF100" i="4"/>
  <c r="AZ100" i="4"/>
  <c r="AT100" i="4"/>
  <c r="AN100" i="4"/>
  <c r="BF111" i="4"/>
  <c r="AZ111" i="4"/>
  <c r="AT111" i="4"/>
  <c r="AN111" i="4"/>
  <c r="BF119" i="4"/>
  <c r="AZ119" i="4"/>
  <c r="AT119" i="4"/>
  <c r="AN119" i="4"/>
  <c r="BF127" i="4"/>
  <c r="AZ127" i="4"/>
  <c r="AT127" i="4"/>
  <c r="AN127" i="4"/>
  <c r="BF136" i="4"/>
  <c r="AZ136" i="4"/>
  <c r="AT136" i="4"/>
  <c r="AN136" i="4"/>
  <c r="BF144" i="4"/>
  <c r="AZ144" i="4"/>
  <c r="AT144" i="4"/>
  <c r="AN144" i="4"/>
  <c r="BF152" i="4"/>
  <c r="AZ152" i="4"/>
  <c r="AT152" i="4"/>
  <c r="AN152" i="4"/>
  <c r="BF160" i="4"/>
  <c r="AZ160" i="4"/>
  <c r="AT160" i="4"/>
  <c r="AN160" i="4"/>
  <c r="BF171" i="4"/>
  <c r="AZ171" i="4"/>
  <c r="AT171" i="4"/>
  <c r="AN171" i="4"/>
  <c r="BF179" i="4"/>
  <c r="AZ179" i="4"/>
  <c r="AT179" i="4"/>
  <c r="AN179" i="4"/>
  <c r="BF224" i="4"/>
  <c r="AZ224" i="4"/>
  <c r="AT224" i="4"/>
  <c r="AN224" i="4"/>
  <c r="BF227" i="4"/>
  <c r="AZ227" i="4"/>
  <c r="AT227" i="4"/>
  <c r="AN227" i="4"/>
  <c r="BF236" i="4"/>
  <c r="AZ236" i="4"/>
  <c r="AT236" i="4"/>
  <c r="AN236" i="4"/>
  <c r="BF248" i="4"/>
  <c r="AZ248" i="4"/>
  <c r="AT248" i="4"/>
  <c r="AN248" i="4"/>
  <c r="BF265" i="4"/>
  <c r="AZ265" i="4"/>
  <c r="AT265" i="4"/>
  <c r="AN265" i="4"/>
  <c r="BF280" i="4"/>
  <c r="AZ280" i="4"/>
  <c r="AT280" i="4"/>
  <c r="AN280" i="4"/>
  <c r="AZ290" i="4"/>
  <c r="BF290" i="4"/>
  <c r="AT290" i="4"/>
  <c r="AN290" i="4"/>
  <c r="BF299" i="4"/>
  <c r="AZ299" i="4"/>
  <c r="AT299" i="4"/>
  <c r="AN299" i="4"/>
  <c r="BF316" i="4"/>
  <c r="AZ316" i="4"/>
  <c r="AT316" i="4"/>
  <c r="AN316" i="4"/>
  <c r="BF324" i="4"/>
  <c r="AZ324" i="4"/>
  <c r="AT324" i="4"/>
  <c r="AN324" i="4"/>
  <c r="BF333" i="4"/>
  <c r="AZ333" i="4"/>
  <c r="AT333" i="4"/>
  <c r="AN333" i="4"/>
  <c r="BF341" i="4"/>
  <c r="AZ341" i="4"/>
  <c r="AT341" i="4"/>
  <c r="AN341" i="4"/>
  <c r="BF353" i="4"/>
  <c r="AZ353" i="4"/>
  <c r="AT353" i="4"/>
  <c r="AN353" i="4"/>
  <c r="BF361" i="4"/>
  <c r="AZ361" i="4"/>
  <c r="AT361" i="4"/>
  <c r="AN361" i="4"/>
  <c r="BF372" i="4"/>
  <c r="AZ372" i="4"/>
  <c r="AT372" i="4"/>
  <c r="AN372" i="4"/>
  <c r="BF381" i="4"/>
  <c r="AZ381" i="4"/>
  <c r="AT381" i="4"/>
  <c r="AN381" i="4"/>
  <c r="BF391" i="4"/>
  <c r="AZ391" i="4"/>
  <c r="AT391" i="4"/>
  <c r="AN391" i="4"/>
  <c r="BF400" i="4"/>
  <c r="AZ400" i="4"/>
  <c r="AT400" i="4"/>
  <c r="AN400" i="4"/>
  <c r="BF409" i="4"/>
  <c r="AZ409" i="4"/>
  <c r="AT409" i="4"/>
  <c r="AN409" i="4"/>
  <c r="AZ418" i="4"/>
  <c r="BF418" i="4"/>
  <c r="AT418" i="4"/>
  <c r="AN418" i="4"/>
  <c r="BF437" i="4"/>
  <c r="AZ437" i="4"/>
  <c r="AT437" i="4"/>
  <c r="AN437" i="4"/>
  <c r="BF445" i="4"/>
  <c r="AZ445" i="4"/>
  <c r="AT445" i="4"/>
  <c r="AN445" i="4"/>
  <c r="BF453" i="4"/>
  <c r="AZ453" i="4"/>
  <c r="AT453" i="4"/>
  <c r="AN453" i="4"/>
  <c r="AZ462" i="4"/>
  <c r="BF462" i="4"/>
  <c r="AT462" i="4"/>
  <c r="AN462" i="4"/>
  <c r="AZ472" i="4"/>
  <c r="BF472" i="4"/>
  <c r="AT472" i="4"/>
  <c r="AN472" i="4"/>
  <c r="AZ486" i="4"/>
  <c r="BF486" i="4"/>
  <c r="AT486" i="4"/>
  <c r="AN486" i="4"/>
  <c r="BF500" i="4"/>
  <c r="AT500" i="4"/>
  <c r="AZ500" i="4"/>
  <c r="AN500" i="4"/>
  <c r="BF508" i="4"/>
  <c r="AZ508" i="4"/>
  <c r="AT508" i="4"/>
  <c r="AN508" i="4"/>
  <c r="BF516" i="4"/>
  <c r="AT516" i="4"/>
  <c r="AZ516" i="4"/>
  <c r="AN516" i="4"/>
  <c r="BF540" i="4"/>
  <c r="AZ540" i="4"/>
  <c r="AT540" i="4"/>
  <c r="AN540" i="4"/>
  <c r="BF548" i="4"/>
  <c r="AT548" i="4"/>
  <c r="AZ548" i="4"/>
  <c r="AN548" i="4"/>
  <c r="BF557" i="4"/>
  <c r="AZ557" i="4"/>
  <c r="AT557" i="4"/>
  <c r="AN557" i="4"/>
  <c r="BF565" i="4"/>
  <c r="AZ565" i="4"/>
  <c r="AT565" i="4"/>
  <c r="AN565" i="4"/>
  <c r="BF575" i="4"/>
  <c r="AZ575" i="4"/>
  <c r="AT575" i="4"/>
  <c r="AN575" i="4"/>
  <c r="BF583" i="4"/>
  <c r="AZ583" i="4"/>
  <c r="AT583" i="4"/>
  <c r="AN583" i="4"/>
  <c r="BF593" i="4"/>
  <c r="AZ593" i="4"/>
  <c r="AT593" i="4"/>
  <c r="AN593" i="4"/>
  <c r="BF603" i="4"/>
  <c r="AZ603" i="4"/>
  <c r="AT603" i="4"/>
  <c r="AN603" i="4"/>
  <c r="BF9" i="4"/>
  <c r="AZ9" i="4"/>
  <c r="AT9" i="4"/>
  <c r="AN9" i="4"/>
  <c r="BF17" i="4"/>
  <c r="AZ17" i="4"/>
  <c r="AT17" i="4"/>
  <c r="AN17" i="4"/>
  <c r="BF26" i="4"/>
  <c r="AZ26" i="4"/>
  <c r="AT26" i="4"/>
  <c r="AN26" i="4"/>
  <c r="AZ526" i="4"/>
  <c r="BF526" i="4"/>
  <c r="AT526" i="4"/>
  <c r="AN526" i="4"/>
  <c r="BF368" i="4"/>
  <c r="AZ368" i="4"/>
  <c r="AT368" i="4"/>
  <c r="AN368" i="4"/>
  <c r="BF529" i="4"/>
  <c r="AZ529" i="4"/>
  <c r="AT529" i="4"/>
  <c r="AN529" i="4"/>
  <c r="BF30" i="4"/>
  <c r="AT30" i="4"/>
  <c r="AZ30" i="4"/>
  <c r="AN30" i="4"/>
  <c r="BF163" i="4"/>
  <c r="AZ163" i="4"/>
  <c r="AT163" i="4"/>
  <c r="AN163" i="4"/>
  <c r="BF235" i="4"/>
  <c r="AZ235" i="4"/>
  <c r="AT235" i="4"/>
  <c r="AN235" i="4"/>
  <c r="BF523" i="4"/>
  <c r="AZ523" i="4"/>
  <c r="AT523" i="4"/>
  <c r="AN523" i="4"/>
  <c r="BF198" i="4"/>
  <c r="AZ198" i="4"/>
  <c r="AT198" i="4"/>
  <c r="AN198" i="4"/>
  <c r="BF431" i="4"/>
  <c r="AZ431" i="4"/>
  <c r="AT431" i="4"/>
  <c r="AN431" i="4"/>
  <c r="BF379" i="4"/>
  <c r="AZ379" i="4"/>
  <c r="AT379" i="4"/>
  <c r="AN379" i="4"/>
  <c r="BF276" i="4"/>
  <c r="AZ276" i="4"/>
  <c r="AT276" i="4"/>
  <c r="AN276" i="4"/>
  <c r="BF201" i="4"/>
  <c r="AZ201" i="4"/>
  <c r="AT201" i="4"/>
  <c r="AN201" i="4"/>
  <c r="BF203" i="4"/>
  <c r="AZ203" i="4"/>
  <c r="AT203" i="4"/>
  <c r="AN203" i="4"/>
  <c r="BF433" i="4"/>
  <c r="AZ433" i="4"/>
  <c r="AT433" i="4"/>
  <c r="AN433" i="4"/>
  <c r="BF489" i="4"/>
  <c r="AZ489" i="4"/>
  <c r="AT489" i="4"/>
  <c r="AN489" i="4"/>
  <c r="BF279" i="4"/>
  <c r="AZ279" i="4"/>
  <c r="AT279" i="4"/>
  <c r="AN279" i="4"/>
  <c r="M8" i="4"/>
  <c r="M490" i="4" l="1"/>
  <c r="M285" i="4"/>
  <c r="BF209" i="4"/>
  <c r="AZ209" i="4"/>
  <c r="AT209" i="4"/>
  <c r="AN209" i="4"/>
  <c r="AZ210" i="4"/>
  <c r="BF210" i="4"/>
  <c r="AT210" i="4"/>
  <c r="AN210" i="4"/>
  <c r="BF25" i="4"/>
  <c r="AZ25" i="4"/>
  <c r="AT25" i="4"/>
  <c r="AN25" i="4"/>
  <c r="AZ194" i="4"/>
  <c r="BF194" i="4"/>
  <c r="AT194" i="4"/>
  <c r="AN194" i="4"/>
  <c r="BF612" i="4"/>
  <c r="AT612" i="4"/>
  <c r="AZ612" i="4"/>
  <c r="AN612" i="4"/>
  <c r="BF535" i="4"/>
  <c r="AZ535" i="4"/>
  <c r="AT535" i="4"/>
  <c r="AN535" i="4"/>
  <c r="AO593" i="4"/>
  <c r="BA593" i="4"/>
  <c r="BG593" i="4"/>
  <c r="AU593" i="4"/>
  <c r="AO575" i="4"/>
  <c r="BG575" i="4"/>
  <c r="AU575" i="4"/>
  <c r="BA575" i="4"/>
  <c r="AO557" i="4"/>
  <c r="BA557" i="4"/>
  <c r="BG557" i="4"/>
  <c r="AU557" i="4"/>
  <c r="AO540" i="4"/>
  <c r="BG540" i="4"/>
  <c r="AU540" i="4"/>
  <c r="BA540" i="4"/>
  <c r="AO508" i="4"/>
  <c r="BG508" i="4"/>
  <c r="AU508" i="4"/>
  <c r="BA508" i="4"/>
  <c r="AO486" i="4"/>
  <c r="BG486" i="4"/>
  <c r="AU486" i="4"/>
  <c r="BA486" i="4"/>
  <c r="AO462" i="4"/>
  <c r="BG462" i="4"/>
  <c r="AU462" i="4"/>
  <c r="BA462" i="4"/>
  <c r="AO445" i="4"/>
  <c r="BA445" i="4"/>
  <c r="BG445" i="4"/>
  <c r="AU445" i="4"/>
  <c r="AO418" i="4"/>
  <c r="BG418" i="4"/>
  <c r="BA418" i="4"/>
  <c r="AU418" i="4"/>
  <c r="AO400" i="4"/>
  <c r="BG400" i="4"/>
  <c r="BA400" i="4"/>
  <c r="AU400" i="4"/>
  <c r="AO381" i="4"/>
  <c r="BG381" i="4"/>
  <c r="BA381" i="4"/>
  <c r="AU381" i="4"/>
  <c r="AO361" i="4"/>
  <c r="BA361" i="4"/>
  <c r="BG361" i="4"/>
  <c r="AU361" i="4"/>
  <c r="AO341" i="4"/>
  <c r="BG341" i="4"/>
  <c r="BA341" i="4"/>
  <c r="AU341" i="4"/>
  <c r="AO324" i="4"/>
  <c r="BG324" i="4"/>
  <c r="BA324" i="4"/>
  <c r="AU324" i="4"/>
  <c r="AO299" i="4"/>
  <c r="BG299" i="4"/>
  <c r="BA299" i="4"/>
  <c r="AU299" i="4"/>
  <c r="AO280" i="4"/>
  <c r="BG280" i="4"/>
  <c r="BA280" i="4"/>
  <c r="AU280" i="4"/>
  <c r="AO248" i="4"/>
  <c r="BG248" i="4"/>
  <c r="BA248" i="4"/>
  <c r="AU248" i="4"/>
  <c r="AO227" i="4"/>
  <c r="BG227" i="4"/>
  <c r="BA227" i="4"/>
  <c r="AU227" i="4"/>
  <c r="AO179" i="4"/>
  <c r="BG179" i="4"/>
  <c r="BA179" i="4"/>
  <c r="AU179" i="4"/>
  <c r="AO160" i="4"/>
  <c r="BG160" i="4"/>
  <c r="BA160" i="4"/>
  <c r="AU160" i="4"/>
  <c r="AO144" i="4"/>
  <c r="BG144" i="4"/>
  <c r="BA144" i="4"/>
  <c r="AU144" i="4"/>
  <c r="AO127" i="4"/>
  <c r="BA127" i="4"/>
  <c r="AU127" i="4"/>
  <c r="BG127" i="4"/>
  <c r="AO111" i="4"/>
  <c r="BA111" i="4"/>
  <c r="AU111" i="4"/>
  <c r="BG111" i="4"/>
  <c r="AO92" i="4"/>
  <c r="BG92" i="4"/>
  <c r="BA92" i="4"/>
  <c r="AU92" i="4"/>
  <c r="AO76" i="4"/>
  <c r="BG76" i="4"/>
  <c r="BA76" i="4"/>
  <c r="AU76" i="4"/>
  <c r="AO56" i="4"/>
  <c r="BG56" i="4"/>
  <c r="BA56" i="4"/>
  <c r="AU56" i="4"/>
  <c r="AO38" i="4"/>
  <c r="BA38" i="4"/>
  <c r="AU38" i="4"/>
  <c r="BG38" i="4"/>
  <c r="AO202" i="4"/>
  <c r="BG202" i="4"/>
  <c r="BA202" i="4"/>
  <c r="AU202" i="4"/>
  <c r="AO260" i="4"/>
  <c r="BG260" i="4"/>
  <c r="BA260" i="4"/>
  <c r="AU260" i="4"/>
  <c r="AO492" i="4"/>
  <c r="BG492" i="4"/>
  <c r="AU492" i="4"/>
  <c r="BA492" i="4"/>
  <c r="AO195" i="4"/>
  <c r="BG195" i="4"/>
  <c r="BA195" i="4"/>
  <c r="AU195" i="4"/>
  <c r="AO536" i="4"/>
  <c r="BG536" i="4"/>
  <c r="AU536" i="4"/>
  <c r="BA536" i="4"/>
  <c r="AO252" i="4"/>
  <c r="BG252" i="4"/>
  <c r="BA252" i="4"/>
  <c r="AU252" i="4"/>
  <c r="AO531" i="4"/>
  <c r="BG531" i="4"/>
  <c r="BA531" i="4"/>
  <c r="AU531" i="4"/>
  <c r="AO24" i="4"/>
  <c r="BG24" i="4"/>
  <c r="BA24" i="4"/>
  <c r="AU24" i="4"/>
  <c r="AO611" i="4"/>
  <c r="BG611" i="4"/>
  <c r="BA611" i="4"/>
  <c r="AU611" i="4"/>
  <c r="AO592" i="4"/>
  <c r="BG592" i="4"/>
  <c r="AU592" i="4"/>
  <c r="BA592" i="4"/>
  <c r="AO572" i="4"/>
  <c r="BG572" i="4"/>
  <c r="AU572" i="4"/>
  <c r="BA572" i="4"/>
  <c r="AO556" i="4"/>
  <c r="BG556" i="4"/>
  <c r="AU556" i="4"/>
  <c r="BA556" i="4"/>
  <c r="AO539" i="4"/>
  <c r="BG539" i="4"/>
  <c r="BA539" i="4"/>
  <c r="AU539" i="4"/>
  <c r="AO507" i="4"/>
  <c r="BG507" i="4"/>
  <c r="BA507" i="4"/>
  <c r="AU507" i="4"/>
  <c r="AO481" i="4"/>
  <c r="BA481" i="4"/>
  <c r="BG481" i="4"/>
  <c r="AU481" i="4"/>
  <c r="AO461" i="4"/>
  <c r="BA461" i="4"/>
  <c r="BG461" i="4"/>
  <c r="AU461" i="4"/>
  <c r="AO444" i="4"/>
  <c r="BG444" i="4"/>
  <c r="AU444" i="4"/>
  <c r="BA444" i="4"/>
  <c r="AO416" i="4"/>
  <c r="BG416" i="4"/>
  <c r="AU416" i="4"/>
  <c r="BA416" i="4"/>
  <c r="AO399" i="4"/>
  <c r="BG399" i="4"/>
  <c r="BA399" i="4"/>
  <c r="AU399" i="4"/>
  <c r="AO380" i="4"/>
  <c r="BG380" i="4"/>
  <c r="BA380" i="4"/>
  <c r="AU380" i="4"/>
  <c r="AO360" i="4"/>
  <c r="BG360" i="4"/>
  <c r="BA360" i="4"/>
  <c r="AU360" i="4"/>
  <c r="AO340" i="4"/>
  <c r="BG340" i="4"/>
  <c r="BA340" i="4"/>
  <c r="AU340" i="4"/>
  <c r="AO323" i="4"/>
  <c r="BG323" i="4"/>
  <c r="BA323" i="4"/>
  <c r="AU323" i="4"/>
  <c r="AO298" i="4"/>
  <c r="BG298" i="4"/>
  <c r="BA298" i="4"/>
  <c r="AU298" i="4"/>
  <c r="AO275" i="4"/>
  <c r="BG275" i="4"/>
  <c r="BA275" i="4"/>
  <c r="AU275" i="4"/>
  <c r="AO247" i="4"/>
  <c r="BG247" i="4"/>
  <c r="BA247" i="4"/>
  <c r="AU247" i="4"/>
  <c r="AO226" i="4"/>
  <c r="BG226" i="4"/>
  <c r="BA226" i="4"/>
  <c r="AU226" i="4"/>
  <c r="AO178" i="4"/>
  <c r="BG178" i="4"/>
  <c r="BA178" i="4"/>
  <c r="AU178" i="4"/>
  <c r="AO159" i="4"/>
  <c r="BA159" i="4"/>
  <c r="AU159" i="4"/>
  <c r="BG159" i="4"/>
  <c r="AO143" i="4"/>
  <c r="BA143" i="4"/>
  <c r="AU143" i="4"/>
  <c r="BG143" i="4"/>
  <c r="AO126" i="4"/>
  <c r="BA126" i="4"/>
  <c r="AU126" i="4"/>
  <c r="BG126" i="4"/>
  <c r="AO107" i="4"/>
  <c r="BA107" i="4"/>
  <c r="BG107" i="4"/>
  <c r="AU107" i="4"/>
  <c r="AO91" i="4"/>
  <c r="BA91" i="4"/>
  <c r="BG91" i="4"/>
  <c r="AU91" i="4"/>
  <c r="AO75" i="4"/>
  <c r="BA75" i="4"/>
  <c r="BG75" i="4"/>
  <c r="AU75" i="4"/>
  <c r="AO55" i="4"/>
  <c r="BA55" i="4"/>
  <c r="AU55" i="4"/>
  <c r="BG55" i="4"/>
  <c r="AO37" i="4"/>
  <c r="BG37" i="4"/>
  <c r="BA37" i="4"/>
  <c r="AU37" i="4"/>
  <c r="AO527" i="4"/>
  <c r="BG527" i="4"/>
  <c r="AU527" i="4"/>
  <c r="BA527" i="4"/>
  <c r="AO488" i="4"/>
  <c r="BG488" i="4"/>
  <c r="AU488" i="4"/>
  <c r="BA488" i="4"/>
  <c r="AO28" i="4"/>
  <c r="BG28" i="4"/>
  <c r="BA28" i="4"/>
  <c r="AU28" i="4"/>
  <c r="AO11" i="4"/>
  <c r="BA11" i="4"/>
  <c r="BG11" i="4"/>
  <c r="AU11" i="4"/>
  <c r="AO595" i="4"/>
  <c r="BG595" i="4"/>
  <c r="BA595" i="4"/>
  <c r="AU595" i="4"/>
  <c r="AO577" i="4"/>
  <c r="BA577" i="4"/>
  <c r="BG577" i="4"/>
  <c r="AU577" i="4"/>
  <c r="AO559" i="4"/>
  <c r="BG559" i="4"/>
  <c r="AU559" i="4"/>
  <c r="BA559" i="4"/>
  <c r="AO542" i="4"/>
  <c r="BG542" i="4"/>
  <c r="AU542" i="4"/>
  <c r="BA542" i="4"/>
  <c r="AO510" i="4"/>
  <c r="BG510" i="4"/>
  <c r="AU510" i="4"/>
  <c r="BA510" i="4"/>
  <c r="AO494" i="4"/>
  <c r="BG494" i="4"/>
  <c r="AU494" i="4"/>
  <c r="BA494" i="4"/>
  <c r="AO464" i="4"/>
  <c r="BG464" i="4"/>
  <c r="AU464" i="4"/>
  <c r="BA464" i="4"/>
  <c r="AO447" i="4"/>
  <c r="BG447" i="4"/>
  <c r="AU447" i="4"/>
  <c r="BA447" i="4"/>
  <c r="AO420" i="4"/>
  <c r="BG420" i="4"/>
  <c r="AU420" i="4"/>
  <c r="BA420" i="4"/>
  <c r="AO402" i="4"/>
  <c r="BG402" i="4"/>
  <c r="BA402" i="4"/>
  <c r="AU402" i="4"/>
  <c r="AO383" i="4"/>
  <c r="BG383" i="4"/>
  <c r="BA383" i="4"/>
  <c r="AU383" i="4"/>
  <c r="AO364" i="4"/>
  <c r="BG364" i="4"/>
  <c r="BA364" i="4"/>
  <c r="AU364" i="4"/>
  <c r="AO343" i="4"/>
  <c r="BG343" i="4"/>
  <c r="BA343" i="4"/>
  <c r="AU343" i="4"/>
  <c r="AO326" i="4"/>
  <c r="BG326" i="4"/>
  <c r="BA326" i="4"/>
  <c r="AU326" i="4"/>
  <c r="AO301" i="4"/>
  <c r="BG301" i="4"/>
  <c r="BA301" i="4"/>
  <c r="AU301" i="4"/>
  <c r="AO282" i="4"/>
  <c r="BG282" i="4"/>
  <c r="BA282" i="4"/>
  <c r="AU282" i="4"/>
  <c r="AO257" i="4"/>
  <c r="BA257" i="4"/>
  <c r="BG257" i="4"/>
  <c r="AU257" i="4"/>
  <c r="AO229" i="4"/>
  <c r="BG229" i="4"/>
  <c r="BA229" i="4"/>
  <c r="AU229" i="4"/>
  <c r="AO181" i="4"/>
  <c r="BG181" i="4"/>
  <c r="BA181" i="4"/>
  <c r="AU181" i="4"/>
  <c r="AO165" i="4"/>
  <c r="BG165" i="4"/>
  <c r="BA165" i="4"/>
  <c r="AU165" i="4"/>
  <c r="AO146" i="4"/>
  <c r="BA146" i="4"/>
  <c r="BG146" i="4"/>
  <c r="AU146" i="4"/>
  <c r="AO129" i="4"/>
  <c r="BG129" i="4"/>
  <c r="BA129" i="4"/>
  <c r="AU129" i="4"/>
  <c r="AO113" i="4"/>
  <c r="BG113" i="4"/>
  <c r="BA113" i="4"/>
  <c r="AU113" i="4"/>
  <c r="AO94" i="4"/>
  <c r="BA94" i="4"/>
  <c r="AU94" i="4"/>
  <c r="BG94" i="4"/>
  <c r="AO78" i="4"/>
  <c r="BA78" i="4"/>
  <c r="AU78" i="4"/>
  <c r="BG78" i="4"/>
  <c r="AO58" i="4"/>
  <c r="BA58" i="4"/>
  <c r="BG58" i="4"/>
  <c r="AU58" i="4"/>
  <c r="AO40" i="4"/>
  <c r="BG40" i="4"/>
  <c r="BA40" i="4"/>
  <c r="AU40" i="4"/>
  <c r="AO352" i="4"/>
  <c r="BG352" i="4"/>
  <c r="BA352" i="4"/>
  <c r="AU352" i="4"/>
  <c r="AO618" i="4"/>
  <c r="BG618" i="4"/>
  <c r="BA618" i="4"/>
  <c r="AU618" i="4"/>
  <c r="AO436" i="4"/>
  <c r="BG436" i="4"/>
  <c r="AU436" i="4"/>
  <c r="BA436" i="4"/>
  <c r="AO525" i="4"/>
  <c r="BA525" i="4"/>
  <c r="BG525" i="4"/>
  <c r="AU525" i="4"/>
  <c r="AO34" i="4"/>
  <c r="BA34" i="4"/>
  <c r="BG34" i="4"/>
  <c r="AU34" i="4"/>
  <c r="AO239" i="4"/>
  <c r="BG239" i="4"/>
  <c r="BA239" i="4"/>
  <c r="AU239" i="4"/>
  <c r="AO18" i="4"/>
  <c r="BA18" i="4"/>
  <c r="BG18" i="4"/>
  <c r="AU18" i="4"/>
  <c r="AO604" i="4"/>
  <c r="BG604" i="4"/>
  <c r="AU604" i="4"/>
  <c r="BA604" i="4"/>
  <c r="AO586" i="4"/>
  <c r="BG586" i="4"/>
  <c r="BA586" i="4"/>
  <c r="AU586" i="4"/>
  <c r="AO566" i="4"/>
  <c r="BG566" i="4"/>
  <c r="AU566" i="4"/>
  <c r="BA566" i="4"/>
  <c r="AO549" i="4"/>
  <c r="BA549" i="4"/>
  <c r="BG549" i="4"/>
  <c r="AU549" i="4"/>
  <c r="AO517" i="4"/>
  <c r="BA517" i="4"/>
  <c r="BG517" i="4"/>
  <c r="AU517" i="4"/>
  <c r="AO501" i="4"/>
  <c r="BA501" i="4"/>
  <c r="BG501" i="4"/>
  <c r="AU501" i="4"/>
  <c r="AO473" i="4"/>
  <c r="BG473" i="4"/>
  <c r="BA473" i="4"/>
  <c r="AU473" i="4"/>
  <c r="AO454" i="4"/>
  <c r="BG454" i="4"/>
  <c r="AU454" i="4"/>
  <c r="BA454" i="4"/>
  <c r="AO438" i="4"/>
  <c r="BG438" i="4"/>
  <c r="AU438" i="4"/>
  <c r="BA438" i="4"/>
  <c r="AO410" i="4"/>
  <c r="BG410" i="4"/>
  <c r="BA410" i="4"/>
  <c r="AU410" i="4"/>
  <c r="AO392" i="4"/>
  <c r="BG392" i="4"/>
  <c r="BA392" i="4"/>
  <c r="AU392" i="4"/>
  <c r="AO373" i="4"/>
  <c r="BG373" i="4"/>
  <c r="BA373" i="4"/>
  <c r="AU373" i="4"/>
  <c r="AO354" i="4"/>
  <c r="BG354" i="4"/>
  <c r="BA354" i="4"/>
  <c r="AU354" i="4"/>
  <c r="AO334" i="4"/>
  <c r="BG334" i="4"/>
  <c r="BA334" i="4"/>
  <c r="AU334" i="4"/>
  <c r="AO317" i="4"/>
  <c r="BG317" i="4"/>
  <c r="BA317" i="4"/>
  <c r="AU317" i="4"/>
  <c r="AO291" i="4"/>
  <c r="BG291" i="4"/>
  <c r="BA291" i="4"/>
  <c r="AU291" i="4"/>
  <c r="AO256" i="4"/>
  <c r="BG256" i="4"/>
  <c r="BA256" i="4"/>
  <c r="AU256" i="4"/>
  <c r="AO215" i="4"/>
  <c r="BG215" i="4"/>
  <c r="BA215" i="4"/>
  <c r="AU215" i="4"/>
  <c r="AO153" i="4"/>
  <c r="BG153" i="4"/>
  <c r="BA153" i="4"/>
  <c r="AU153" i="4"/>
  <c r="AO120" i="4"/>
  <c r="BG120" i="4"/>
  <c r="BA120" i="4"/>
  <c r="AU120" i="4"/>
  <c r="AO85" i="4"/>
  <c r="BG85" i="4"/>
  <c r="BA85" i="4"/>
  <c r="AU85" i="4"/>
  <c r="AO49" i="4"/>
  <c r="BG49" i="4"/>
  <c r="BA49" i="4"/>
  <c r="AU49" i="4"/>
  <c r="AO69" i="4"/>
  <c r="BG69" i="4"/>
  <c r="BA69" i="4"/>
  <c r="AU69" i="4"/>
  <c r="AO321" i="4"/>
  <c r="BA321" i="4"/>
  <c r="BG321" i="4"/>
  <c r="AU321" i="4"/>
  <c r="AO273" i="4"/>
  <c r="BA273" i="4"/>
  <c r="BG273" i="4"/>
  <c r="AU273" i="4"/>
  <c r="AO220" i="4"/>
  <c r="BG220" i="4"/>
  <c r="BA220" i="4"/>
  <c r="AU220" i="4"/>
  <c r="AO149" i="4"/>
  <c r="BG149" i="4"/>
  <c r="BA149" i="4"/>
  <c r="AU149" i="4"/>
  <c r="AO105" i="4"/>
  <c r="BG105" i="4"/>
  <c r="BA105" i="4"/>
  <c r="AU105" i="4"/>
  <c r="AO73" i="4"/>
  <c r="BG73" i="4"/>
  <c r="BA73" i="4"/>
  <c r="AU73" i="4"/>
  <c r="AO197" i="4"/>
  <c r="BG197" i="4"/>
  <c r="BA197" i="4"/>
  <c r="AU197" i="4"/>
  <c r="AO250" i="4"/>
  <c r="BG250" i="4"/>
  <c r="BA250" i="4"/>
  <c r="AU250" i="4"/>
  <c r="AO268" i="4"/>
  <c r="BG268" i="4"/>
  <c r="BA268" i="4"/>
  <c r="AU268" i="4"/>
  <c r="AO435" i="4"/>
  <c r="BG435" i="4"/>
  <c r="BA435" i="4"/>
  <c r="AU435" i="4"/>
  <c r="AO208" i="4"/>
  <c r="BG208" i="4"/>
  <c r="BA208" i="4"/>
  <c r="AU208" i="4"/>
  <c r="AO521" i="4"/>
  <c r="BG521" i="4"/>
  <c r="BA521" i="4"/>
  <c r="AU521" i="4"/>
  <c r="AO196" i="4"/>
  <c r="BG196" i="4"/>
  <c r="BA196" i="4"/>
  <c r="AU196" i="4"/>
  <c r="AO255" i="4"/>
  <c r="BG255" i="4"/>
  <c r="BA255" i="4"/>
  <c r="AU255" i="4"/>
  <c r="AO13" i="4"/>
  <c r="BG13" i="4"/>
  <c r="BA13" i="4"/>
  <c r="AU13" i="4"/>
  <c r="AO597" i="4"/>
  <c r="BA597" i="4"/>
  <c r="BG597" i="4"/>
  <c r="AU597" i="4"/>
  <c r="AO579" i="4"/>
  <c r="BG579" i="4"/>
  <c r="BA579" i="4"/>
  <c r="AU579" i="4"/>
  <c r="AO561" i="4"/>
  <c r="BA561" i="4"/>
  <c r="BG561" i="4"/>
  <c r="AU561" i="4"/>
  <c r="AO544" i="4"/>
  <c r="BG544" i="4"/>
  <c r="AU544" i="4"/>
  <c r="BA544" i="4"/>
  <c r="AO512" i="4"/>
  <c r="BG512" i="4"/>
  <c r="AU512" i="4"/>
  <c r="BA512" i="4"/>
  <c r="AO496" i="4"/>
  <c r="BG496" i="4"/>
  <c r="AU496" i="4"/>
  <c r="BA496" i="4"/>
  <c r="AO466" i="4"/>
  <c r="BG466" i="4"/>
  <c r="BA466" i="4"/>
  <c r="AU466" i="4"/>
  <c r="AO449" i="4"/>
  <c r="BA449" i="4"/>
  <c r="BG449" i="4"/>
  <c r="AU449" i="4"/>
  <c r="AO422" i="4"/>
  <c r="BG422" i="4"/>
  <c r="AU422" i="4"/>
  <c r="BA422" i="4"/>
  <c r="AO404" i="4"/>
  <c r="BG404" i="4"/>
  <c r="AU404" i="4"/>
  <c r="BA404" i="4"/>
  <c r="AO387" i="4"/>
  <c r="BG387" i="4"/>
  <c r="BA387" i="4"/>
  <c r="AU387" i="4"/>
  <c r="AO366" i="4"/>
  <c r="BG366" i="4"/>
  <c r="BA366" i="4"/>
  <c r="AU366" i="4"/>
  <c r="AO345" i="4"/>
  <c r="BA345" i="4"/>
  <c r="BG345" i="4"/>
  <c r="AU345" i="4"/>
  <c r="AO328" i="4"/>
  <c r="BG328" i="4"/>
  <c r="BA328" i="4"/>
  <c r="AU328" i="4"/>
  <c r="AO303" i="4"/>
  <c r="BG303" i="4"/>
  <c r="BA303" i="4"/>
  <c r="AU303" i="4"/>
  <c r="AO286" i="4"/>
  <c r="BG286" i="4"/>
  <c r="BA286" i="4"/>
  <c r="AU286" i="4"/>
  <c r="AO259" i="4"/>
  <c r="BG259" i="4"/>
  <c r="BA259" i="4"/>
  <c r="AU259" i="4"/>
  <c r="AO231" i="4"/>
  <c r="BG231" i="4"/>
  <c r="BA231" i="4"/>
  <c r="AU231" i="4"/>
  <c r="AO183" i="4"/>
  <c r="BG183" i="4"/>
  <c r="BA183" i="4"/>
  <c r="AU183" i="4"/>
  <c r="AO167" i="4"/>
  <c r="BA167" i="4"/>
  <c r="AU167" i="4"/>
  <c r="BG167" i="4"/>
  <c r="AO148" i="4"/>
  <c r="BG148" i="4"/>
  <c r="BA148" i="4"/>
  <c r="AU148" i="4"/>
  <c r="AO131" i="4"/>
  <c r="BA131" i="4"/>
  <c r="BG131" i="4"/>
  <c r="AU131" i="4"/>
  <c r="AO115" i="4"/>
  <c r="BA115" i="4"/>
  <c r="BG115" i="4"/>
  <c r="AU115" i="4"/>
  <c r="AO96" i="4"/>
  <c r="BG96" i="4"/>
  <c r="BA96" i="4"/>
  <c r="AU96" i="4"/>
  <c r="AO80" i="4"/>
  <c r="BG80" i="4"/>
  <c r="BA80" i="4"/>
  <c r="AU80" i="4"/>
  <c r="AO60" i="4"/>
  <c r="BG60" i="4"/>
  <c r="BA60" i="4"/>
  <c r="AU60" i="4"/>
  <c r="AO43" i="4"/>
  <c r="BA43" i="4"/>
  <c r="BG43" i="4"/>
  <c r="AU43" i="4"/>
  <c r="AO251" i="4"/>
  <c r="BG251" i="4"/>
  <c r="BA251" i="4"/>
  <c r="AU251" i="4"/>
  <c r="AO532" i="4"/>
  <c r="BG532" i="4"/>
  <c r="AU532" i="4"/>
  <c r="BA532" i="4"/>
  <c r="AO253" i="4"/>
  <c r="BG253" i="4"/>
  <c r="BA253" i="4"/>
  <c r="AU253" i="4"/>
  <c r="AO619" i="4"/>
  <c r="BG619" i="4"/>
  <c r="BA619" i="4"/>
  <c r="AU619" i="4"/>
  <c r="AO614" i="4"/>
  <c r="BG614" i="4"/>
  <c r="AU614" i="4"/>
  <c r="BA614" i="4"/>
  <c r="AO574" i="4"/>
  <c r="BG574" i="4"/>
  <c r="AU574" i="4"/>
  <c r="BA574" i="4"/>
  <c r="AO615" i="4"/>
  <c r="BG615" i="4"/>
  <c r="BA615" i="4"/>
  <c r="AU615" i="4"/>
  <c r="AO199" i="4"/>
  <c r="BG199" i="4"/>
  <c r="BA199" i="4"/>
  <c r="AU199" i="4"/>
  <c r="AO12" i="4"/>
  <c r="BG12" i="4"/>
  <c r="BA12" i="4"/>
  <c r="AU12" i="4"/>
  <c r="AO596" i="4"/>
  <c r="BG596" i="4"/>
  <c r="AU596" i="4"/>
  <c r="BA596" i="4"/>
  <c r="AO578" i="4"/>
  <c r="BG578" i="4"/>
  <c r="BA578" i="4"/>
  <c r="AU578" i="4"/>
  <c r="AO560" i="4"/>
  <c r="BG560" i="4"/>
  <c r="AU560" i="4"/>
  <c r="BA560" i="4"/>
  <c r="AO543" i="4"/>
  <c r="BG543" i="4"/>
  <c r="AU543" i="4"/>
  <c r="BA543" i="4"/>
  <c r="AO511" i="4"/>
  <c r="BG511" i="4"/>
  <c r="AU511" i="4"/>
  <c r="BA511" i="4"/>
  <c r="AO495" i="4"/>
  <c r="BG495" i="4"/>
  <c r="AU495" i="4"/>
  <c r="BA495" i="4"/>
  <c r="AO465" i="4"/>
  <c r="BA465" i="4"/>
  <c r="BG465" i="4"/>
  <c r="AU465" i="4"/>
  <c r="AO448" i="4"/>
  <c r="BG448" i="4"/>
  <c r="AU448" i="4"/>
  <c r="BA448" i="4"/>
  <c r="AO421" i="4"/>
  <c r="BA421" i="4"/>
  <c r="BG421" i="4"/>
  <c r="AU421" i="4"/>
  <c r="AO403" i="4"/>
  <c r="BG403" i="4"/>
  <c r="BA403" i="4"/>
  <c r="AU403" i="4"/>
  <c r="AO384" i="4"/>
  <c r="BG384" i="4"/>
  <c r="BA384" i="4"/>
  <c r="AU384" i="4"/>
  <c r="AO365" i="4"/>
  <c r="BG365" i="4"/>
  <c r="BA365" i="4"/>
  <c r="AU365" i="4"/>
  <c r="AO344" i="4"/>
  <c r="BG344" i="4"/>
  <c r="BA344" i="4"/>
  <c r="AU344" i="4"/>
  <c r="AO327" i="4"/>
  <c r="BG327" i="4"/>
  <c r="BA327" i="4"/>
  <c r="AU327" i="4"/>
  <c r="AO302" i="4"/>
  <c r="BG302" i="4"/>
  <c r="BA302" i="4"/>
  <c r="AU302" i="4"/>
  <c r="AO283" i="4"/>
  <c r="BG283" i="4"/>
  <c r="BA283" i="4"/>
  <c r="AU283" i="4"/>
  <c r="AO258" i="4"/>
  <c r="BG258" i="4"/>
  <c r="BA258" i="4"/>
  <c r="AU258" i="4"/>
  <c r="AO230" i="4"/>
  <c r="BG230" i="4"/>
  <c r="BA230" i="4"/>
  <c r="AU230" i="4"/>
  <c r="AO182" i="4"/>
  <c r="BG182" i="4"/>
  <c r="BA182" i="4"/>
  <c r="AU182" i="4"/>
  <c r="AO166" i="4"/>
  <c r="BA166" i="4"/>
  <c r="AU166" i="4"/>
  <c r="BG166" i="4"/>
  <c r="AO147" i="4"/>
  <c r="BA147" i="4"/>
  <c r="BG147" i="4"/>
  <c r="AU147" i="4"/>
  <c r="AO130" i="4"/>
  <c r="BA130" i="4"/>
  <c r="BG130" i="4"/>
  <c r="AU130" i="4"/>
  <c r="AO114" i="4"/>
  <c r="BA114" i="4"/>
  <c r="BG114" i="4"/>
  <c r="AU114" i="4"/>
  <c r="AO95" i="4"/>
  <c r="BA95" i="4"/>
  <c r="AU95" i="4"/>
  <c r="BG95" i="4"/>
  <c r="AO79" i="4"/>
  <c r="BA79" i="4"/>
  <c r="AU79" i="4"/>
  <c r="BG79" i="4"/>
  <c r="AO59" i="4"/>
  <c r="BA59" i="4"/>
  <c r="BG59" i="4"/>
  <c r="AU59" i="4"/>
  <c r="AO42" i="4"/>
  <c r="BA42" i="4"/>
  <c r="BG42" i="4"/>
  <c r="AU42" i="4"/>
  <c r="AO617" i="4"/>
  <c r="AU617" i="4"/>
  <c r="BG617" i="4"/>
  <c r="BA617" i="4"/>
  <c r="AO135" i="4"/>
  <c r="BA135" i="4"/>
  <c r="AU135" i="4"/>
  <c r="BG135" i="4"/>
  <c r="AO23" i="4"/>
  <c r="BA23" i="4"/>
  <c r="AU23" i="4"/>
  <c r="BG23" i="4"/>
  <c r="AO610" i="4"/>
  <c r="BG610" i="4"/>
  <c r="BA610" i="4"/>
  <c r="AU610" i="4"/>
  <c r="AO591" i="4"/>
  <c r="BG591" i="4"/>
  <c r="AU591" i="4"/>
  <c r="BA591" i="4"/>
  <c r="AO571" i="4"/>
  <c r="BG571" i="4"/>
  <c r="BA571" i="4"/>
  <c r="AU571" i="4"/>
  <c r="AO555" i="4"/>
  <c r="BG555" i="4"/>
  <c r="BA555" i="4"/>
  <c r="AU555" i="4"/>
  <c r="AO538" i="4"/>
  <c r="BG538" i="4"/>
  <c r="BA538" i="4"/>
  <c r="AU538" i="4"/>
  <c r="AO506" i="4"/>
  <c r="BG506" i="4"/>
  <c r="BA506" i="4"/>
  <c r="AU506" i="4"/>
  <c r="AO480" i="4"/>
  <c r="BG480" i="4"/>
  <c r="AU480" i="4"/>
  <c r="BA480" i="4"/>
  <c r="AO460" i="4"/>
  <c r="BG460" i="4"/>
  <c r="AU460" i="4"/>
  <c r="BA460" i="4"/>
  <c r="AO443" i="4"/>
  <c r="BG443" i="4"/>
  <c r="BA443" i="4"/>
  <c r="AU443" i="4"/>
  <c r="AO415" i="4"/>
  <c r="BG415" i="4"/>
  <c r="AU415" i="4"/>
  <c r="BA415" i="4"/>
  <c r="AO398" i="4"/>
  <c r="BG398" i="4"/>
  <c r="BA398" i="4"/>
  <c r="AU398" i="4"/>
  <c r="AO378" i="4"/>
  <c r="BG378" i="4"/>
  <c r="BA378" i="4"/>
  <c r="AU378" i="4"/>
  <c r="AO359" i="4"/>
  <c r="BG359" i="4"/>
  <c r="BA359" i="4"/>
  <c r="AU359" i="4"/>
  <c r="AO339" i="4"/>
  <c r="BG339" i="4"/>
  <c r="BA339" i="4"/>
  <c r="AU339" i="4"/>
  <c r="AO322" i="4"/>
  <c r="BG322" i="4"/>
  <c r="BA322" i="4"/>
  <c r="AU322" i="4"/>
  <c r="AO296" i="4"/>
  <c r="BG296" i="4"/>
  <c r="BA296" i="4"/>
  <c r="AU296" i="4"/>
  <c r="AO274" i="4"/>
  <c r="BG274" i="4"/>
  <c r="BA274" i="4"/>
  <c r="AU274" i="4"/>
  <c r="AO246" i="4"/>
  <c r="BG246" i="4"/>
  <c r="BA246" i="4"/>
  <c r="AU246" i="4"/>
  <c r="AO221" i="4"/>
  <c r="BG221" i="4"/>
  <c r="BA221" i="4"/>
  <c r="AU221" i="4"/>
  <c r="AO177" i="4"/>
  <c r="BA177" i="4"/>
  <c r="BG177" i="4"/>
  <c r="AU177" i="4"/>
  <c r="AO158" i="4"/>
  <c r="BA158" i="4"/>
  <c r="AU158" i="4"/>
  <c r="BG158" i="4"/>
  <c r="AO142" i="4"/>
  <c r="BA142" i="4"/>
  <c r="AU142" i="4"/>
  <c r="BG142" i="4"/>
  <c r="AO125" i="4"/>
  <c r="BG125" i="4"/>
  <c r="BA125" i="4"/>
  <c r="AU125" i="4"/>
  <c r="AO106" i="4"/>
  <c r="BA106" i="4"/>
  <c r="BG106" i="4"/>
  <c r="AU106" i="4"/>
  <c r="AO90" i="4"/>
  <c r="BA90" i="4"/>
  <c r="BG90" i="4"/>
  <c r="AU90" i="4"/>
  <c r="AO74" i="4"/>
  <c r="BA74" i="4"/>
  <c r="BG74" i="4"/>
  <c r="AU74" i="4"/>
  <c r="AO54" i="4"/>
  <c r="BA54" i="4"/>
  <c r="AU54" i="4"/>
  <c r="BG54" i="4"/>
  <c r="AO36" i="4"/>
  <c r="BG36" i="4"/>
  <c r="BA36" i="4"/>
  <c r="AU36" i="4"/>
  <c r="AO191" i="4"/>
  <c r="BG191" i="4"/>
  <c r="BA191" i="4"/>
  <c r="AU191" i="4"/>
  <c r="AO530" i="4"/>
  <c r="BG530" i="4"/>
  <c r="BA530" i="4"/>
  <c r="AU530" i="4"/>
  <c r="AO432" i="4"/>
  <c r="BG432" i="4"/>
  <c r="AU432" i="4"/>
  <c r="BA432" i="4"/>
  <c r="AO64" i="4"/>
  <c r="BG64" i="4"/>
  <c r="BA64" i="4"/>
  <c r="AU64" i="4"/>
  <c r="AO192" i="4"/>
  <c r="BG192" i="4"/>
  <c r="BA192" i="4"/>
  <c r="AU192" i="4"/>
  <c r="AO22" i="4"/>
  <c r="BA22" i="4"/>
  <c r="AU22" i="4"/>
  <c r="BG22" i="4"/>
  <c r="AO609" i="4"/>
  <c r="BA609" i="4"/>
  <c r="BG609" i="4"/>
  <c r="AU609" i="4"/>
  <c r="AO590" i="4"/>
  <c r="BG590" i="4"/>
  <c r="AU590" i="4"/>
  <c r="BA590" i="4"/>
  <c r="AO570" i="4"/>
  <c r="BG570" i="4"/>
  <c r="BA570" i="4"/>
  <c r="AU570" i="4"/>
  <c r="AO553" i="4"/>
  <c r="BG553" i="4"/>
  <c r="BA553" i="4"/>
  <c r="AU553" i="4"/>
  <c r="AO537" i="4"/>
  <c r="BG537" i="4"/>
  <c r="BA537" i="4"/>
  <c r="AU537" i="4"/>
  <c r="AO505" i="4"/>
  <c r="BG505" i="4"/>
  <c r="BA505" i="4"/>
  <c r="AU505" i="4"/>
  <c r="AO479" i="4"/>
  <c r="BG479" i="4"/>
  <c r="AU479" i="4"/>
  <c r="BA479" i="4"/>
  <c r="AO459" i="4"/>
  <c r="BG459" i="4"/>
  <c r="BA459" i="4"/>
  <c r="AU459" i="4"/>
  <c r="AO442" i="4"/>
  <c r="BG442" i="4"/>
  <c r="BA442" i="4"/>
  <c r="AU442" i="4"/>
  <c r="AO414" i="4"/>
  <c r="BG414" i="4"/>
  <c r="AU414" i="4"/>
  <c r="BA414" i="4"/>
  <c r="AO396" i="4"/>
  <c r="BG396" i="4"/>
  <c r="BA396" i="4"/>
  <c r="AU396" i="4"/>
  <c r="AO377" i="4"/>
  <c r="BA377" i="4"/>
  <c r="BG377" i="4"/>
  <c r="AU377" i="4"/>
  <c r="AO358" i="4"/>
  <c r="BG358" i="4"/>
  <c r="BA358" i="4"/>
  <c r="AU358" i="4"/>
  <c r="AO329" i="4"/>
  <c r="BA329" i="4"/>
  <c r="BG329" i="4"/>
  <c r="AU329" i="4"/>
  <c r="AO287" i="4"/>
  <c r="BG287" i="4"/>
  <c r="BA287" i="4"/>
  <c r="AU287" i="4"/>
  <c r="AO232" i="4"/>
  <c r="BG232" i="4"/>
  <c r="BA232" i="4"/>
  <c r="AU232" i="4"/>
  <c r="AO168" i="4"/>
  <c r="BG168" i="4"/>
  <c r="BA168" i="4"/>
  <c r="AU168" i="4"/>
  <c r="AO141" i="4"/>
  <c r="BG141" i="4"/>
  <c r="BA141" i="4"/>
  <c r="AU141" i="4"/>
  <c r="AO116" i="4"/>
  <c r="BG116" i="4"/>
  <c r="BA116" i="4"/>
  <c r="AU116" i="4"/>
  <c r="AO81" i="4"/>
  <c r="BG81" i="4"/>
  <c r="BA81" i="4"/>
  <c r="AU81" i="4"/>
  <c r="AO53" i="4"/>
  <c r="BG53" i="4"/>
  <c r="BA53" i="4"/>
  <c r="AU53" i="4"/>
  <c r="M528" i="4"/>
  <c r="BF469" i="4"/>
  <c r="AZ469" i="4"/>
  <c r="AT469" i="4"/>
  <c r="AN469" i="4"/>
  <c r="AZ330" i="4"/>
  <c r="AT330" i="4"/>
  <c r="BF330" i="4"/>
  <c r="AN330" i="4"/>
  <c r="BF269" i="4"/>
  <c r="AZ269" i="4"/>
  <c r="AT269" i="4"/>
  <c r="AN269" i="4"/>
  <c r="AZ314" i="4"/>
  <c r="AT314" i="4"/>
  <c r="BF314" i="4"/>
  <c r="AN314" i="4"/>
  <c r="BF237" i="4"/>
  <c r="AZ237" i="4"/>
  <c r="AT237" i="4"/>
  <c r="AN237" i="4"/>
  <c r="BF189" i="4"/>
  <c r="AZ189" i="4"/>
  <c r="AT189" i="4"/>
  <c r="AN189" i="4"/>
  <c r="BF277" i="4"/>
  <c r="AZ277" i="4"/>
  <c r="AT277" i="4"/>
  <c r="AN277" i="4"/>
  <c r="AT490" i="4"/>
  <c r="BF490" i="4"/>
  <c r="AZ490" i="4"/>
  <c r="AN490" i="4"/>
  <c r="M362" i="4"/>
  <c r="M428" i="4"/>
  <c r="M278" i="4"/>
  <c r="M110" i="4"/>
  <c r="M425" i="4"/>
  <c r="M309" i="4"/>
  <c r="M205" i="4"/>
  <c r="M308" i="4"/>
  <c r="M211" i="4"/>
  <c r="M426" i="4"/>
  <c r="M254" i="4"/>
  <c r="M613" i="4"/>
  <c r="M417" i="4"/>
  <c r="M297" i="4"/>
  <c r="M193" i="4"/>
  <c r="M264" i="4"/>
  <c r="M310" i="4"/>
  <c r="M349" i="4"/>
  <c r="M240" i="4"/>
  <c r="M214" i="4"/>
  <c r="M397" i="4"/>
  <c r="M109" i="4"/>
  <c r="AO281" i="4"/>
  <c r="BA281" i="4"/>
  <c r="BG281" i="4"/>
  <c r="AU281" i="4"/>
  <c r="AO180" i="4"/>
  <c r="BG180" i="4"/>
  <c r="BA180" i="4"/>
  <c r="AU180" i="4"/>
  <c r="AO145" i="4"/>
  <c r="BG145" i="4"/>
  <c r="BA145" i="4"/>
  <c r="AU145" i="4"/>
  <c r="AO112" i="4"/>
  <c r="BG112" i="4"/>
  <c r="BA112" i="4"/>
  <c r="AU112" i="4"/>
  <c r="AO77" i="4"/>
  <c r="BG77" i="4"/>
  <c r="BA77" i="4"/>
  <c r="AU77" i="4"/>
  <c r="AO279" i="4"/>
  <c r="BG279" i="4"/>
  <c r="BA279" i="4"/>
  <c r="AU279" i="4"/>
  <c r="AO433" i="4"/>
  <c r="BA433" i="4"/>
  <c r="BG433" i="4"/>
  <c r="AU433" i="4"/>
  <c r="AO201" i="4"/>
  <c r="BA201" i="4"/>
  <c r="BG201" i="4"/>
  <c r="AU201" i="4"/>
  <c r="AO379" i="4"/>
  <c r="BG379" i="4"/>
  <c r="BA379" i="4"/>
  <c r="AU379" i="4"/>
  <c r="AO198" i="4"/>
  <c r="BG198" i="4"/>
  <c r="BA198" i="4"/>
  <c r="AU198" i="4"/>
  <c r="AO235" i="4"/>
  <c r="BG235" i="4"/>
  <c r="BA235" i="4"/>
  <c r="AU235" i="4"/>
  <c r="AO30" i="4"/>
  <c r="BA30" i="4"/>
  <c r="AU30" i="4"/>
  <c r="BG30" i="4"/>
  <c r="AO368" i="4"/>
  <c r="BG368" i="4"/>
  <c r="BA368" i="4"/>
  <c r="AU368" i="4"/>
  <c r="AO26" i="4"/>
  <c r="BA26" i="4"/>
  <c r="BG26" i="4"/>
  <c r="AU26" i="4"/>
  <c r="AO9" i="4"/>
  <c r="BG9" i="4"/>
  <c r="BA9" i="4"/>
  <c r="AU9" i="4"/>
  <c r="M485" i="4"/>
  <c r="AZ602" i="4"/>
  <c r="AT602" i="4"/>
  <c r="BF602" i="4"/>
  <c r="AN602" i="4"/>
  <c r="BF573" i="4"/>
  <c r="AZ573" i="4"/>
  <c r="AT573" i="4"/>
  <c r="AN573" i="4"/>
  <c r="AT554" i="4"/>
  <c r="BF554" i="4"/>
  <c r="AZ554" i="4"/>
  <c r="AN554" i="4"/>
  <c r="BF369" i="4"/>
  <c r="AZ369" i="4"/>
  <c r="AT369" i="4"/>
  <c r="AN369" i="4"/>
  <c r="BF601" i="4"/>
  <c r="AZ601" i="4"/>
  <c r="AT601" i="4"/>
  <c r="AN601" i="4"/>
  <c r="BF162" i="4"/>
  <c r="AZ162" i="4"/>
  <c r="AT162" i="4"/>
  <c r="AN162" i="4"/>
  <c r="BF238" i="4"/>
  <c r="AT238" i="4"/>
  <c r="AZ238" i="4"/>
  <c r="AN238" i="4"/>
  <c r="BF285" i="4"/>
  <c r="AZ285" i="4"/>
  <c r="AT285" i="4"/>
  <c r="AN285" i="4"/>
  <c r="AO8" i="4"/>
  <c r="BG8" i="4"/>
  <c r="BA8" i="4"/>
  <c r="AU8" i="4"/>
  <c r="M386" i="4"/>
  <c r="M405" i="4"/>
  <c r="M44" i="4"/>
  <c r="AZ362" i="4"/>
  <c r="AT362" i="4"/>
  <c r="BF362" i="4"/>
  <c r="AN362" i="4"/>
  <c r="AZ474" i="4"/>
  <c r="AT474" i="4"/>
  <c r="BF474" i="4"/>
  <c r="AN474" i="4"/>
  <c r="BF110" i="4"/>
  <c r="AT110" i="4"/>
  <c r="AZ110" i="4"/>
  <c r="AN110" i="4"/>
  <c r="BF309" i="4"/>
  <c r="AZ309" i="4"/>
  <c r="AT309" i="4"/>
  <c r="AN309" i="4"/>
  <c r="BF308" i="4"/>
  <c r="AZ308" i="4"/>
  <c r="AT308" i="4"/>
  <c r="AN308" i="4"/>
  <c r="AT426" i="4"/>
  <c r="BF426" i="4"/>
  <c r="AZ426" i="4"/>
  <c r="AN426" i="4"/>
  <c r="BF613" i="4"/>
  <c r="AZ613" i="4"/>
  <c r="AT613" i="4"/>
  <c r="AN613" i="4"/>
  <c r="BF297" i="4"/>
  <c r="AZ297" i="4"/>
  <c r="AT297" i="4"/>
  <c r="AN297" i="4"/>
  <c r="BF264" i="4"/>
  <c r="AZ264" i="4"/>
  <c r="AT264" i="4"/>
  <c r="AN264" i="4"/>
  <c r="BF349" i="4"/>
  <c r="AZ349" i="4"/>
  <c r="AT349" i="4"/>
  <c r="AN349" i="4"/>
  <c r="BF397" i="4"/>
  <c r="AZ397" i="4"/>
  <c r="AT397" i="4"/>
  <c r="AN397" i="4"/>
  <c r="AO603" i="4"/>
  <c r="BG603" i="4"/>
  <c r="BA603" i="4"/>
  <c r="AU603" i="4"/>
  <c r="AO583" i="4"/>
  <c r="BG583" i="4"/>
  <c r="AU583" i="4"/>
  <c r="BA583" i="4"/>
  <c r="AO565" i="4"/>
  <c r="BA565" i="4"/>
  <c r="BG565" i="4"/>
  <c r="AU565" i="4"/>
  <c r="AO548" i="4"/>
  <c r="BG548" i="4"/>
  <c r="AU548" i="4"/>
  <c r="BA548" i="4"/>
  <c r="AO516" i="4"/>
  <c r="BG516" i="4"/>
  <c r="AU516" i="4"/>
  <c r="BA516" i="4"/>
  <c r="AO500" i="4"/>
  <c r="BG500" i="4"/>
  <c r="AU500" i="4"/>
  <c r="BA500" i="4"/>
  <c r="AO472" i="4"/>
  <c r="BG472" i="4"/>
  <c r="AU472" i="4"/>
  <c r="BA472" i="4"/>
  <c r="AO453" i="4"/>
  <c r="BA453" i="4"/>
  <c r="BG453" i="4"/>
  <c r="AU453" i="4"/>
  <c r="AO437" i="4"/>
  <c r="BA437" i="4"/>
  <c r="BG437" i="4"/>
  <c r="AU437" i="4"/>
  <c r="AO409" i="4"/>
  <c r="BG409" i="4"/>
  <c r="BA409" i="4"/>
  <c r="AU409" i="4"/>
  <c r="AO391" i="4"/>
  <c r="BG391" i="4"/>
  <c r="BA391" i="4"/>
  <c r="AU391" i="4"/>
  <c r="AO372" i="4"/>
  <c r="BG372" i="4"/>
  <c r="BA372" i="4"/>
  <c r="AU372" i="4"/>
  <c r="AO353" i="4"/>
  <c r="BA353" i="4"/>
  <c r="BG353" i="4"/>
  <c r="AU353" i="4"/>
  <c r="AO333" i="4"/>
  <c r="BG333" i="4"/>
  <c r="BA333" i="4"/>
  <c r="AU333" i="4"/>
  <c r="AO316" i="4"/>
  <c r="BG316" i="4"/>
  <c r="BA316" i="4"/>
  <c r="AU316" i="4"/>
  <c r="AO290" i="4"/>
  <c r="BG290" i="4"/>
  <c r="BA290" i="4"/>
  <c r="AU290" i="4"/>
  <c r="AO265" i="4"/>
  <c r="BA265" i="4"/>
  <c r="BG265" i="4"/>
  <c r="AU265" i="4"/>
  <c r="AO236" i="4"/>
  <c r="BG236" i="4"/>
  <c r="BA236" i="4"/>
  <c r="AU236" i="4"/>
  <c r="AO224" i="4"/>
  <c r="BG224" i="4"/>
  <c r="BA224" i="4"/>
  <c r="AU224" i="4"/>
  <c r="AO171" i="4"/>
  <c r="BA171" i="4"/>
  <c r="BG171" i="4"/>
  <c r="AU171" i="4"/>
  <c r="AO152" i="4"/>
  <c r="BG152" i="4"/>
  <c r="BA152" i="4"/>
  <c r="AU152" i="4"/>
  <c r="AO136" i="4"/>
  <c r="BG136" i="4"/>
  <c r="BA136" i="4"/>
  <c r="AU136" i="4"/>
  <c r="AO119" i="4"/>
  <c r="BA119" i="4"/>
  <c r="AU119" i="4"/>
  <c r="BG119" i="4"/>
  <c r="AO100" i="4"/>
  <c r="BG100" i="4"/>
  <c r="BA100" i="4"/>
  <c r="AU100" i="4"/>
  <c r="AO84" i="4"/>
  <c r="BG84" i="4"/>
  <c r="BA84" i="4"/>
  <c r="AU84" i="4"/>
  <c r="AO67" i="4"/>
  <c r="BA67" i="4"/>
  <c r="BG67" i="4"/>
  <c r="AU67" i="4"/>
  <c r="AO48" i="4"/>
  <c r="BG48" i="4"/>
  <c r="BA48" i="4"/>
  <c r="AU48" i="4"/>
  <c r="AO212" i="4"/>
  <c r="BG212" i="4"/>
  <c r="BA212" i="4"/>
  <c r="AU212" i="4"/>
  <c r="AO616" i="4"/>
  <c r="BG616" i="4"/>
  <c r="AU616" i="4"/>
  <c r="BA616" i="4"/>
  <c r="AO312" i="4"/>
  <c r="BG312" i="4"/>
  <c r="BA312" i="4"/>
  <c r="AU312" i="4"/>
  <c r="AO430" i="4"/>
  <c r="BG430" i="4"/>
  <c r="AU430" i="4"/>
  <c r="BA430" i="4"/>
  <c r="AO605" i="4"/>
  <c r="BA605" i="4"/>
  <c r="BG605" i="4"/>
  <c r="AU605" i="4"/>
  <c r="AO213" i="4"/>
  <c r="BG213" i="4"/>
  <c r="BA213" i="4"/>
  <c r="AU213" i="4"/>
  <c r="AO200" i="4"/>
  <c r="BG200" i="4"/>
  <c r="BA200" i="4"/>
  <c r="AU200" i="4"/>
  <c r="AO311" i="4"/>
  <c r="BG311" i="4"/>
  <c r="BA311" i="4"/>
  <c r="AU311" i="4"/>
  <c r="AO16" i="4"/>
  <c r="BG16" i="4"/>
  <c r="BA16" i="4"/>
  <c r="AU16" i="4"/>
  <c r="AO600" i="4"/>
  <c r="BG600" i="4"/>
  <c r="AU600" i="4"/>
  <c r="BA600" i="4"/>
  <c r="AO582" i="4"/>
  <c r="BG582" i="4"/>
  <c r="AU582" i="4"/>
  <c r="BA582" i="4"/>
  <c r="AO564" i="4"/>
  <c r="BG564" i="4"/>
  <c r="AU564" i="4"/>
  <c r="BA564" i="4"/>
  <c r="AO547" i="4"/>
  <c r="BG547" i="4"/>
  <c r="BA547" i="4"/>
  <c r="AU547" i="4"/>
  <c r="AO515" i="4"/>
  <c r="BG515" i="4"/>
  <c r="BA515" i="4"/>
  <c r="AU515" i="4"/>
  <c r="AO499" i="4"/>
  <c r="BG499" i="4"/>
  <c r="BA499" i="4"/>
  <c r="AU499" i="4"/>
  <c r="AO471" i="4"/>
  <c r="BG471" i="4"/>
  <c r="AU471" i="4"/>
  <c r="BA471" i="4"/>
  <c r="AO452" i="4"/>
  <c r="BG452" i="4"/>
  <c r="AU452" i="4"/>
  <c r="BA452" i="4"/>
  <c r="AO427" i="4"/>
  <c r="BG427" i="4"/>
  <c r="BA427" i="4"/>
  <c r="AU427" i="4"/>
  <c r="AO408" i="4"/>
  <c r="BG408" i="4"/>
  <c r="AU408" i="4"/>
  <c r="BA408" i="4"/>
  <c r="AO390" i="4"/>
  <c r="BG390" i="4"/>
  <c r="BA390" i="4"/>
  <c r="AU390" i="4"/>
  <c r="AO371" i="4"/>
  <c r="BG371" i="4"/>
  <c r="BA371" i="4"/>
  <c r="AU371" i="4"/>
  <c r="AO350" i="4"/>
  <c r="BG350" i="4"/>
  <c r="BA350" i="4"/>
  <c r="AU350" i="4"/>
  <c r="AO332" i="4"/>
  <c r="BG332" i="4"/>
  <c r="BA332" i="4"/>
  <c r="AU332" i="4"/>
  <c r="AO315" i="4"/>
  <c r="BG315" i="4"/>
  <c r="BA315" i="4"/>
  <c r="AU315" i="4"/>
  <c r="AO289" i="4"/>
  <c r="BA289" i="4"/>
  <c r="BG289" i="4"/>
  <c r="AU289" i="4"/>
  <c r="AO263" i="4"/>
  <c r="BG263" i="4"/>
  <c r="BA263" i="4"/>
  <c r="AU263" i="4"/>
  <c r="AO234" i="4"/>
  <c r="BG234" i="4"/>
  <c r="BA234" i="4"/>
  <c r="AU234" i="4"/>
  <c r="AO186" i="4"/>
  <c r="BG186" i="4"/>
  <c r="BA186" i="4"/>
  <c r="AU186" i="4"/>
  <c r="AO170" i="4"/>
  <c r="BA170" i="4"/>
  <c r="BG170" i="4"/>
  <c r="AU170" i="4"/>
  <c r="AO151" i="4"/>
  <c r="BA151" i="4"/>
  <c r="AU151" i="4"/>
  <c r="BG151" i="4"/>
  <c r="AO134" i="4"/>
  <c r="BA134" i="4"/>
  <c r="AU134" i="4"/>
  <c r="BG134" i="4"/>
  <c r="AO118" i="4"/>
  <c r="BA118" i="4"/>
  <c r="AU118" i="4"/>
  <c r="BG118" i="4"/>
  <c r="AO99" i="4"/>
  <c r="BA99" i="4"/>
  <c r="BG99" i="4"/>
  <c r="AU99" i="4"/>
  <c r="AO83" i="4"/>
  <c r="BA83" i="4"/>
  <c r="BG83" i="4"/>
  <c r="AU83" i="4"/>
  <c r="AO63" i="4"/>
  <c r="BA63" i="4"/>
  <c r="AU63" i="4"/>
  <c r="BG63" i="4"/>
  <c r="AO47" i="4"/>
  <c r="BA47" i="4"/>
  <c r="AU47" i="4"/>
  <c r="BG47" i="4"/>
  <c r="AO429" i="4"/>
  <c r="BA429" i="4"/>
  <c r="BG429" i="4"/>
  <c r="AU429" i="4"/>
  <c r="AO207" i="4"/>
  <c r="BG207" i="4"/>
  <c r="BA207" i="4"/>
  <c r="AU207" i="4"/>
  <c r="AO522" i="4"/>
  <c r="BG522" i="4"/>
  <c r="BA522" i="4"/>
  <c r="AU522" i="4"/>
  <c r="AO19" i="4"/>
  <c r="BA19" i="4"/>
  <c r="BG19" i="4"/>
  <c r="AU19" i="4"/>
  <c r="AO606" i="4"/>
  <c r="BG606" i="4"/>
  <c r="AU606" i="4"/>
  <c r="BA606" i="4"/>
  <c r="AO587" i="4"/>
  <c r="BG587" i="4"/>
  <c r="BA587" i="4"/>
  <c r="AU587" i="4"/>
  <c r="AO567" i="4"/>
  <c r="BG567" i="4"/>
  <c r="AU567" i="4"/>
  <c r="BA567" i="4"/>
  <c r="AO550" i="4"/>
  <c r="BG550" i="4"/>
  <c r="AU550" i="4"/>
  <c r="BA550" i="4"/>
  <c r="AO518" i="4"/>
  <c r="BG518" i="4"/>
  <c r="AU518" i="4"/>
  <c r="BA518" i="4"/>
  <c r="AO502" i="4"/>
  <c r="BG502" i="4"/>
  <c r="AU502" i="4"/>
  <c r="BA502" i="4"/>
  <c r="AO476" i="4"/>
  <c r="BG476" i="4"/>
  <c r="AU476" i="4"/>
  <c r="BA476" i="4"/>
  <c r="AO455" i="4"/>
  <c r="BG455" i="4"/>
  <c r="AU455" i="4"/>
  <c r="BA455" i="4"/>
  <c r="AO439" i="4"/>
  <c r="BG439" i="4"/>
  <c r="AU439" i="4"/>
  <c r="BA439" i="4"/>
  <c r="AO411" i="4"/>
  <c r="BG411" i="4"/>
  <c r="BA411" i="4"/>
  <c r="AU411" i="4"/>
  <c r="AO393" i="4"/>
  <c r="BA393" i="4"/>
  <c r="BG393" i="4"/>
  <c r="AU393" i="4"/>
  <c r="AO374" i="4"/>
  <c r="BG374" i="4"/>
  <c r="BA374" i="4"/>
  <c r="AU374" i="4"/>
  <c r="AO355" i="4"/>
  <c r="BG355" i="4"/>
  <c r="BA355" i="4"/>
  <c r="AU355" i="4"/>
  <c r="AO335" i="4"/>
  <c r="BG335" i="4"/>
  <c r="BA335" i="4"/>
  <c r="AU335" i="4"/>
  <c r="AO318" i="4"/>
  <c r="BG318" i="4"/>
  <c r="BA318" i="4"/>
  <c r="AU318" i="4"/>
  <c r="AO292" i="4"/>
  <c r="BG292" i="4"/>
  <c r="BA292" i="4"/>
  <c r="AU292" i="4"/>
  <c r="AO270" i="4"/>
  <c r="BG270" i="4"/>
  <c r="BA270" i="4"/>
  <c r="AU270" i="4"/>
  <c r="AO242" i="4"/>
  <c r="BG242" i="4"/>
  <c r="BA242" i="4"/>
  <c r="AU242" i="4"/>
  <c r="AO216" i="4"/>
  <c r="BA216" i="4"/>
  <c r="BG216" i="4"/>
  <c r="AU216" i="4"/>
  <c r="AO173" i="4"/>
  <c r="BG173" i="4"/>
  <c r="BA173" i="4"/>
  <c r="AU173" i="4"/>
  <c r="AO154" i="4"/>
  <c r="BA154" i="4"/>
  <c r="BG154" i="4"/>
  <c r="AU154" i="4"/>
  <c r="AO138" i="4"/>
  <c r="BA138" i="4"/>
  <c r="BG138" i="4"/>
  <c r="AU138" i="4"/>
  <c r="AO121" i="4"/>
  <c r="BG121" i="4"/>
  <c r="BA121" i="4"/>
  <c r="AU121" i="4"/>
  <c r="AO102" i="4"/>
  <c r="BA102" i="4"/>
  <c r="AU102" i="4"/>
  <c r="BG102" i="4"/>
  <c r="AO86" i="4"/>
  <c r="BA86" i="4"/>
  <c r="AU86" i="4"/>
  <c r="BG86" i="4"/>
  <c r="AO70" i="4"/>
  <c r="BA70" i="4"/>
  <c r="AU70" i="4"/>
  <c r="BG70" i="4"/>
  <c r="AO50" i="4"/>
  <c r="BA50" i="4"/>
  <c r="BG50" i="4"/>
  <c r="AU50" i="4"/>
  <c r="AO29" i="4"/>
  <c r="BG29" i="4"/>
  <c r="BA29" i="4"/>
  <c r="AU29" i="4"/>
  <c r="AO307" i="4"/>
  <c r="BG307" i="4"/>
  <c r="BA307" i="4"/>
  <c r="AU307" i="4"/>
  <c r="AO483" i="4"/>
  <c r="BG483" i="4"/>
  <c r="BA483" i="4"/>
  <c r="AU483" i="4"/>
  <c r="AO284" i="4"/>
  <c r="BG284" i="4"/>
  <c r="BA284" i="4"/>
  <c r="AU284" i="4"/>
  <c r="AO108" i="4"/>
  <c r="BG108" i="4"/>
  <c r="BA108" i="4"/>
  <c r="AU108" i="4"/>
  <c r="AO470" i="4"/>
  <c r="BG470" i="4"/>
  <c r="AU470" i="4"/>
  <c r="BA470" i="4"/>
  <c r="AO27" i="4"/>
  <c r="BA27" i="4"/>
  <c r="BG27" i="4"/>
  <c r="AU27" i="4"/>
  <c r="AO10" i="4"/>
  <c r="BA10" i="4"/>
  <c r="BG10" i="4"/>
  <c r="AU10" i="4"/>
  <c r="AO594" i="4"/>
  <c r="BG594" i="4"/>
  <c r="BA594" i="4"/>
  <c r="AU594" i="4"/>
  <c r="AO576" i="4"/>
  <c r="BG576" i="4"/>
  <c r="AU576" i="4"/>
  <c r="BA576" i="4"/>
  <c r="AO558" i="4"/>
  <c r="BG558" i="4"/>
  <c r="AU558" i="4"/>
  <c r="BA558" i="4"/>
  <c r="AO541" i="4"/>
  <c r="BA541" i="4"/>
  <c r="BG541" i="4"/>
  <c r="AU541" i="4"/>
  <c r="AO509" i="4"/>
  <c r="BA509" i="4"/>
  <c r="BG509" i="4"/>
  <c r="AU509" i="4"/>
  <c r="AO487" i="4"/>
  <c r="BG487" i="4"/>
  <c r="AU487" i="4"/>
  <c r="BA487" i="4"/>
  <c r="AO463" i="4"/>
  <c r="BG463" i="4"/>
  <c r="AU463" i="4"/>
  <c r="BA463" i="4"/>
  <c r="AO446" i="4"/>
  <c r="BG446" i="4"/>
  <c r="AU446" i="4"/>
  <c r="BA446" i="4"/>
  <c r="AO419" i="4"/>
  <c r="BG419" i="4"/>
  <c r="BA419" i="4"/>
  <c r="AU419" i="4"/>
  <c r="AO401" i="4"/>
  <c r="BA401" i="4"/>
  <c r="BG401" i="4"/>
  <c r="AU401" i="4"/>
  <c r="AO382" i="4"/>
  <c r="BG382" i="4"/>
  <c r="BA382" i="4"/>
  <c r="AU382" i="4"/>
  <c r="AO363" i="4"/>
  <c r="BG363" i="4"/>
  <c r="BA363" i="4"/>
  <c r="AU363" i="4"/>
  <c r="AO342" i="4"/>
  <c r="BG342" i="4"/>
  <c r="BA342" i="4"/>
  <c r="AU342" i="4"/>
  <c r="AO325" i="4"/>
  <c r="BG325" i="4"/>
  <c r="BA325" i="4"/>
  <c r="AU325" i="4"/>
  <c r="AO300" i="4"/>
  <c r="BG300" i="4"/>
  <c r="BA300" i="4"/>
  <c r="AU300" i="4"/>
  <c r="AO266" i="4"/>
  <c r="BG266" i="4"/>
  <c r="BA266" i="4"/>
  <c r="AU266" i="4"/>
  <c r="AO241" i="4"/>
  <c r="BA241" i="4"/>
  <c r="BG241" i="4"/>
  <c r="AU241" i="4"/>
  <c r="AO172" i="4"/>
  <c r="BG172" i="4"/>
  <c r="BA172" i="4"/>
  <c r="AU172" i="4"/>
  <c r="AO137" i="4"/>
  <c r="BG137" i="4"/>
  <c r="BA137" i="4"/>
  <c r="AU137" i="4"/>
  <c r="AO101" i="4"/>
  <c r="BG101" i="4"/>
  <c r="BA101" i="4"/>
  <c r="AU101" i="4"/>
  <c r="AO68" i="4"/>
  <c r="BG68" i="4"/>
  <c r="BA68" i="4"/>
  <c r="AU68" i="4"/>
  <c r="AO346" i="4"/>
  <c r="BG346" i="4"/>
  <c r="BA346" i="4"/>
  <c r="AU346" i="4"/>
  <c r="AO295" i="4"/>
  <c r="BG295" i="4"/>
  <c r="BA295" i="4"/>
  <c r="AU295" i="4"/>
  <c r="AO245" i="4"/>
  <c r="BG245" i="4"/>
  <c r="BA245" i="4"/>
  <c r="AU245" i="4"/>
  <c r="AO176" i="4"/>
  <c r="BG176" i="4"/>
  <c r="BA176" i="4"/>
  <c r="AU176" i="4"/>
  <c r="AO124" i="4"/>
  <c r="BG124" i="4"/>
  <c r="BA124" i="4"/>
  <c r="AU124" i="4"/>
  <c r="AO89" i="4"/>
  <c r="BG89" i="4"/>
  <c r="BA89" i="4"/>
  <c r="AU89" i="4"/>
  <c r="AO45" i="4"/>
  <c r="BG45" i="4"/>
  <c r="BA45" i="4"/>
  <c r="AU45" i="4"/>
  <c r="AO35" i="4"/>
  <c r="BA35" i="4"/>
  <c r="BG35" i="4"/>
  <c r="AU35" i="4"/>
  <c r="AO524" i="4"/>
  <c r="BG524" i="4"/>
  <c r="AU524" i="4"/>
  <c r="BA524" i="4"/>
  <c r="AO351" i="4"/>
  <c r="BG351" i="4"/>
  <c r="BA351" i="4"/>
  <c r="AU351" i="4"/>
  <c r="AO41" i="4"/>
  <c r="BG41" i="4"/>
  <c r="BA41" i="4"/>
  <c r="AU41" i="4"/>
  <c r="AO456" i="4"/>
  <c r="BG456" i="4"/>
  <c r="AU456" i="4"/>
  <c r="BA456" i="4"/>
  <c r="AO188" i="4"/>
  <c r="BG188" i="4"/>
  <c r="BA188" i="4"/>
  <c r="AU188" i="4"/>
  <c r="AO187" i="4"/>
  <c r="BG187" i="4"/>
  <c r="BA187" i="4"/>
  <c r="AU187" i="4"/>
  <c r="AO584" i="4"/>
  <c r="BG584" i="4"/>
  <c r="AU584" i="4"/>
  <c r="BA584" i="4"/>
  <c r="AO21" i="4"/>
  <c r="BG21" i="4"/>
  <c r="BA21" i="4"/>
  <c r="AU21" i="4"/>
  <c r="AO608" i="4"/>
  <c r="BG608" i="4"/>
  <c r="AU608" i="4"/>
  <c r="BA608" i="4"/>
  <c r="AO589" i="4"/>
  <c r="BA589" i="4"/>
  <c r="BG589" i="4"/>
  <c r="AU589" i="4"/>
  <c r="AO569" i="4"/>
  <c r="BG569" i="4"/>
  <c r="BA569" i="4"/>
  <c r="AU569" i="4"/>
  <c r="AO552" i="4"/>
  <c r="BG552" i="4"/>
  <c r="AU552" i="4"/>
  <c r="BA552" i="4"/>
  <c r="AO533" i="4"/>
  <c r="BA533" i="4"/>
  <c r="BG533" i="4"/>
  <c r="AU533" i="4"/>
  <c r="AO504" i="4"/>
  <c r="BG504" i="4"/>
  <c r="AU504" i="4"/>
  <c r="BA504" i="4"/>
  <c r="AO478" i="4"/>
  <c r="BG478" i="4"/>
  <c r="AU478" i="4"/>
  <c r="BA478" i="4"/>
  <c r="AO458" i="4"/>
  <c r="BG458" i="4"/>
  <c r="BA458" i="4"/>
  <c r="AU458" i="4"/>
  <c r="AO441" i="4"/>
  <c r="BG441" i="4"/>
  <c r="BA441" i="4"/>
  <c r="AU441" i="4"/>
  <c r="AO413" i="4"/>
  <c r="BA413" i="4"/>
  <c r="BG413" i="4"/>
  <c r="AU413" i="4"/>
  <c r="AO395" i="4"/>
  <c r="BG395" i="4"/>
  <c r="BA395" i="4"/>
  <c r="AU395" i="4"/>
  <c r="AO376" i="4"/>
  <c r="BG376" i="4"/>
  <c r="BA376" i="4"/>
  <c r="AU376" i="4"/>
  <c r="AO357" i="4"/>
  <c r="BG357" i="4"/>
  <c r="BA357" i="4"/>
  <c r="AU357" i="4"/>
  <c r="AO337" i="4"/>
  <c r="BA337" i="4"/>
  <c r="BG337" i="4"/>
  <c r="AU337" i="4"/>
  <c r="AO320" i="4"/>
  <c r="BG320" i="4"/>
  <c r="BA320" i="4"/>
  <c r="AU320" i="4"/>
  <c r="AO294" i="4"/>
  <c r="BG294" i="4"/>
  <c r="BA294" i="4"/>
  <c r="AU294" i="4"/>
  <c r="AO272" i="4"/>
  <c r="BG272" i="4"/>
  <c r="BA272" i="4"/>
  <c r="AU272" i="4"/>
  <c r="AO244" i="4"/>
  <c r="BG244" i="4"/>
  <c r="BA244" i="4"/>
  <c r="AU244" i="4"/>
  <c r="AO219" i="4"/>
  <c r="BG219" i="4"/>
  <c r="BA219" i="4"/>
  <c r="AU219" i="4"/>
  <c r="AO175" i="4"/>
  <c r="BG175" i="4"/>
  <c r="BA175" i="4"/>
  <c r="AU175" i="4"/>
  <c r="AO156" i="4"/>
  <c r="BG156" i="4"/>
  <c r="BA156" i="4"/>
  <c r="AU156" i="4"/>
  <c r="AO140" i="4"/>
  <c r="BG140" i="4"/>
  <c r="BA140" i="4"/>
  <c r="AU140" i="4"/>
  <c r="AO123" i="4"/>
  <c r="BA123" i="4"/>
  <c r="BG123" i="4"/>
  <c r="AU123" i="4"/>
  <c r="AO104" i="4"/>
  <c r="BG104" i="4"/>
  <c r="BA104" i="4"/>
  <c r="AU104" i="4"/>
  <c r="AO88" i="4"/>
  <c r="BG88" i="4"/>
  <c r="BA88" i="4"/>
  <c r="AU88" i="4"/>
  <c r="AO72" i="4"/>
  <c r="BG72" i="4"/>
  <c r="BA72" i="4"/>
  <c r="AU72" i="4"/>
  <c r="AO52" i="4"/>
  <c r="BG52" i="4"/>
  <c r="BA52" i="4"/>
  <c r="AU52" i="4"/>
  <c r="AO33" i="4"/>
  <c r="BG33" i="4"/>
  <c r="BA33" i="4"/>
  <c r="AU33" i="4"/>
  <c r="AO348" i="4"/>
  <c r="BG348" i="4"/>
  <c r="BA348" i="4"/>
  <c r="AU348" i="4"/>
  <c r="AO475" i="4"/>
  <c r="BG475" i="4"/>
  <c r="BA475" i="4"/>
  <c r="AU475" i="4"/>
  <c r="AO434" i="4"/>
  <c r="BG434" i="4"/>
  <c r="BA434" i="4"/>
  <c r="AU434" i="4"/>
  <c r="AO66" i="4"/>
  <c r="BA66" i="4"/>
  <c r="BG66" i="4"/>
  <c r="AU66" i="4"/>
  <c r="AO520" i="4"/>
  <c r="BG520" i="4"/>
  <c r="AU520" i="4"/>
  <c r="BA520" i="4"/>
  <c r="AO222" i="4"/>
  <c r="BG222" i="4"/>
  <c r="BA222" i="4"/>
  <c r="AU222" i="4"/>
  <c r="AO484" i="4"/>
  <c r="BG484" i="4"/>
  <c r="AU484" i="4"/>
  <c r="BA484" i="4"/>
  <c r="AO20" i="4"/>
  <c r="BG20" i="4"/>
  <c r="BA20" i="4"/>
  <c r="AU20" i="4"/>
  <c r="AO607" i="4"/>
  <c r="BG607" i="4"/>
  <c r="AU607" i="4"/>
  <c r="BA607" i="4"/>
  <c r="AO588" i="4"/>
  <c r="BG588" i="4"/>
  <c r="AU588" i="4"/>
  <c r="BA588" i="4"/>
  <c r="AO568" i="4"/>
  <c r="BG568" i="4"/>
  <c r="AU568" i="4"/>
  <c r="BA568" i="4"/>
  <c r="AO551" i="4"/>
  <c r="BG551" i="4"/>
  <c r="AU551" i="4"/>
  <c r="BA551" i="4"/>
  <c r="AO519" i="4"/>
  <c r="BG519" i="4"/>
  <c r="AU519" i="4"/>
  <c r="BA519" i="4"/>
  <c r="AO503" i="4"/>
  <c r="BG503" i="4"/>
  <c r="AU503" i="4"/>
  <c r="BA503" i="4"/>
  <c r="AO477" i="4"/>
  <c r="BA477" i="4"/>
  <c r="BG477" i="4"/>
  <c r="AU477" i="4"/>
  <c r="AO457" i="4"/>
  <c r="BG457" i="4"/>
  <c r="BA457" i="4"/>
  <c r="AU457" i="4"/>
  <c r="AO440" i="4"/>
  <c r="BG440" i="4"/>
  <c r="AU440" i="4"/>
  <c r="BA440" i="4"/>
  <c r="AO412" i="4"/>
  <c r="BG412" i="4"/>
  <c r="AU412" i="4"/>
  <c r="BA412" i="4"/>
  <c r="AO394" i="4"/>
  <c r="BG394" i="4"/>
  <c r="BA394" i="4"/>
  <c r="AU394" i="4"/>
  <c r="AO375" i="4"/>
  <c r="BG375" i="4"/>
  <c r="BA375" i="4"/>
  <c r="AU375" i="4"/>
  <c r="AO356" i="4"/>
  <c r="BG356" i="4"/>
  <c r="BA356" i="4"/>
  <c r="AU356" i="4"/>
  <c r="AO336" i="4"/>
  <c r="BG336" i="4"/>
  <c r="BA336" i="4"/>
  <c r="AU336" i="4"/>
  <c r="AO319" i="4"/>
  <c r="BG319" i="4"/>
  <c r="BA319" i="4"/>
  <c r="AU319" i="4"/>
  <c r="AO293" i="4"/>
  <c r="BG293" i="4"/>
  <c r="BA293" i="4"/>
  <c r="AU293" i="4"/>
  <c r="AO271" i="4"/>
  <c r="BG271" i="4"/>
  <c r="BA271" i="4"/>
  <c r="AU271" i="4"/>
  <c r="AO243" i="4"/>
  <c r="BG243" i="4"/>
  <c r="BA243" i="4"/>
  <c r="AU243" i="4"/>
  <c r="AO217" i="4"/>
  <c r="BG217" i="4"/>
  <c r="BA217" i="4"/>
  <c r="AU217" i="4"/>
  <c r="AO174" i="4"/>
  <c r="BG174" i="4"/>
  <c r="BA174" i="4"/>
  <c r="AU174" i="4"/>
  <c r="AO155" i="4"/>
  <c r="BA155" i="4"/>
  <c r="BG155" i="4"/>
  <c r="AU155" i="4"/>
  <c r="AO139" i="4"/>
  <c r="BA139" i="4"/>
  <c r="BG139" i="4"/>
  <c r="AU139" i="4"/>
  <c r="AO122" i="4"/>
  <c r="BA122" i="4"/>
  <c r="BG122" i="4"/>
  <c r="AU122" i="4"/>
  <c r="AO103" i="4"/>
  <c r="BA103" i="4"/>
  <c r="AU103" i="4"/>
  <c r="BG103" i="4"/>
  <c r="AO87" i="4"/>
  <c r="BA87" i="4"/>
  <c r="AU87" i="4"/>
  <c r="BG87" i="4"/>
  <c r="AO71" i="4"/>
  <c r="BA71" i="4"/>
  <c r="AU71" i="4"/>
  <c r="BG71" i="4"/>
  <c r="AO51" i="4"/>
  <c r="BA51" i="4"/>
  <c r="BG51" i="4"/>
  <c r="AU51" i="4"/>
  <c r="AO32" i="4"/>
  <c r="BG32" i="4"/>
  <c r="BA32" i="4"/>
  <c r="AU32" i="4"/>
  <c r="AO65" i="4"/>
  <c r="BG65" i="4"/>
  <c r="BA65" i="4"/>
  <c r="AU65" i="4"/>
  <c r="AO267" i="4"/>
  <c r="BG267" i="4"/>
  <c r="BA267" i="4"/>
  <c r="AU267" i="4"/>
  <c r="AO15" i="4"/>
  <c r="BA15" i="4"/>
  <c r="AU15" i="4"/>
  <c r="BG15" i="4"/>
  <c r="AO599" i="4"/>
  <c r="BG599" i="4"/>
  <c r="AU599" i="4"/>
  <c r="BA599" i="4"/>
  <c r="AO581" i="4"/>
  <c r="BA581" i="4"/>
  <c r="BG581" i="4"/>
  <c r="AU581" i="4"/>
  <c r="AO563" i="4"/>
  <c r="BG563" i="4"/>
  <c r="BA563" i="4"/>
  <c r="AU563" i="4"/>
  <c r="AO546" i="4"/>
  <c r="BG546" i="4"/>
  <c r="BA546" i="4"/>
  <c r="AU546" i="4"/>
  <c r="AO514" i="4"/>
  <c r="BG514" i="4"/>
  <c r="BA514" i="4"/>
  <c r="AU514" i="4"/>
  <c r="AO498" i="4"/>
  <c r="BG498" i="4"/>
  <c r="BA498" i="4"/>
  <c r="AU498" i="4"/>
  <c r="AO468" i="4"/>
  <c r="BG468" i="4"/>
  <c r="AU468" i="4"/>
  <c r="BA468" i="4"/>
  <c r="AO451" i="4"/>
  <c r="BG451" i="4"/>
  <c r="BA451" i="4"/>
  <c r="AU451" i="4"/>
  <c r="AO424" i="4"/>
  <c r="BG424" i="4"/>
  <c r="AU424" i="4"/>
  <c r="BA424" i="4"/>
  <c r="AO407" i="4"/>
  <c r="BG407" i="4"/>
  <c r="AU407" i="4"/>
  <c r="BA407" i="4"/>
  <c r="AO389" i="4"/>
  <c r="BG389" i="4"/>
  <c r="BA389" i="4"/>
  <c r="AU389" i="4"/>
  <c r="AO370" i="4"/>
  <c r="BG370" i="4"/>
  <c r="BA370" i="4"/>
  <c r="AU370" i="4"/>
  <c r="AO347" i="4"/>
  <c r="BG347" i="4"/>
  <c r="BA347" i="4"/>
  <c r="AU347" i="4"/>
  <c r="AO331" i="4"/>
  <c r="BG331" i="4"/>
  <c r="BA331" i="4"/>
  <c r="AU331" i="4"/>
  <c r="AO305" i="4"/>
  <c r="BA305" i="4"/>
  <c r="BG305" i="4"/>
  <c r="AU305" i="4"/>
  <c r="AO288" i="4"/>
  <c r="BG288" i="4"/>
  <c r="BA288" i="4"/>
  <c r="AU288" i="4"/>
  <c r="AO262" i="4"/>
  <c r="BG262" i="4"/>
  <c r="BA262" i="4"/>
  <c r="AU262" i="4"/>
  <c r="AO233" i="4"/>
  <c r="BA233" i="4"/>
  <c r="BG233" i="4"/>
  <c r="AU233" i="4"/>
  <c r="AO185" i="4"/>
  <c r="BA185" i="4"/>
  <c r="BG185" i="4"/>
  <c r="AU185" i="4"/>
  <c r="AO169" i="4"/>
  <c r="BG169" i="4"/>
  <c r="BA169" i="4"/>
  <c r="AU169" i="4"/>
  <c r="AO150" i="4"/>
  <c r="BA150" i="4"/>
  <c r="AU150" i="4"/>
  <c r="BG150" i="4"/>
  <c r="AO133" i="4"/>
  <c r="BG133" i="4"/>
  <c r="BA133" i="4"/>
  <c r="AU133" i="4"/>
  <c r="AO117" i="4"/>
  <c r="BG117" i="4"/>
  <c r="BA117" i="4"/>
  <c r="AU117" i="4"/>
  <c r="AO98" i="4"/>
  <c r="BA98" i="4"/>
  <c r="BG98" i="4"/>
  <c r="AU98" i="4"/>
  <c r="AO82" i="4"/>
  <c r="BA82" i="4"/>
  <c r="BG82" i="4"/>
  <c r="AU82" i="4"/>
  <c r="AO62" i="4"/>
  <c r="BA62" i="4"/>
  <c r="AU62" i="4"/>
  <c r="BG62" i="4"/>
  <c r="AO46" i="4"/>
  <c r="BA46" i="4"/>
  <c r="AU46" i="4"/>
  <c r="BG46" i="4"/>
  <c r="AO218" i="4"/>
  <c r="BG218" i="4"/>
  <c r="BA218" i="4"/>
  <c r="AU218" i="4"/>
  <c r="AO534" i="4"/>
  <c r="BG534" i="4"/>
  <c r="AU534" i="4"/>
  <c r="BA534" i="4"/>
  <c r="AO249" i="4"/>
  <c r="BA249" i="4"/>
  <c r="BG249" i="4"/>
  <c r="AU249" i="4"/>
  <c r="AO206" i="4"/>
  <c r="BG206" i="4"/>
  <c r="BA206" i="4"/>
  <c r="AU206" i="4"/>
  <c r="AO31" i="4"/>
  <c r="BA31" i="4"/>
  <c r="AU31" i="4"/>
  <c r="BG31" i="4"/>
  <c r="AO491" i="4"/>
  <c r="BG491" i="4"/>
  <c r="BA491" i="4"/>
  <c r="AU491" i="4"/>
  <c r="AO14" i="4"/>
  <c r="BA14" i="4"/>
  <c r="AU14" i="4"/>
  <c r="BG14" i="4"/>
  <c r="AO598" i="4"/>
  <c r="BG598" i="4"/>
  <c r="AU598" i="4"/>
  <c r="BA598" i="4"/>
  <c r="AO580" i="4"/>
  <c r="BG580" i="4"/>
  <c r="AU580" i="4"/>
  <c r="BA580" i="4"/>
  <c r="AO562" i="4"/>
  <c r="BG562" i="4"/>
  <c r="BA562" i="4"/>
  <c r="AU562" i="4"/>
  <c r="AO545" i="4"/>
  <c r="BA545" i="4"/>
  <c r="BG545" i="4"/>
  <c r="AU545" i="4"/>
  <c r="AO513" i="4"/>
  <c r="BA513" i="4"/>
  <c r="BG513" i="4"/>
  <c r="AU513" i="4"/>
  <c r="AO497" i="4"/>
  <c r="BA497" i="4"/>
  <c r="BG497" i="4"/>
  <c r="AU497" i="4"/>
  <c r="AO467" i="4"/>
  <c r="BG467" i="4"/>
  <c r="BA467" i="4"/>
  <c r="AU467" i="4"/>
  <c r="AO450" i="4"/>
  <c r="BG450" i="4"/>
  <c r="BA450" i="4"/>
  <c r="AU450" i="4"/>
  <c r="AO423" i="4"/>
  <c r="BG423" i="4"/>
  <c r="AU423" i="4"/>
  <c r="BA423" i="4"/>
  <c r="AO406" i="4"/>
  <c r="BG406" i="4"/>
  <c r="AU406" i="4"/>
  <c r="BA406" i="4"/>
  <c r="AO388" i="4"/>
  <c r="BG388" i="4"/>
  <c r="BA388" i="4"/>
  <c r="AU388" i="4"/>
  <c r="AO367" i="4"/>
  <c r="BG367" i="4"/>
  <c r="BA367" i="4"/>
  <c r="AU367" i="4"/>
  <c r="AO338" i="4"/>
  <c r="BG338" i="4"/>
  <c r="BA338" i="4"/>
  <c r="AU338" i="4"/>
  <c r="AO304" i="4"/>
  <c r="BG304" i="4"/>
  <c r="BA304" i="4"/>
  <c r="AU304" i="4"/>
  <c r="AO261" i="4"/>
  <c r="BG261" i="4"/>
  <c r="BA261" i="4"/>
  <c r="AU261" i="4"/>
  <c r="AO184" i="4"/>
  <c r="BG184" i="4"/>
  <c r="BA184" i="4"/>
  <c r="AU184" i="4"/>
  <c r="AO157" i="4"/>
  <c r="BG157" i="4"/>
  <c r="BA157" i="4"/>
  <c r="AU157" i="4"/>
  <c r="AO132" i="4"/>
  <c r="BG132" i="4"/>
  <c r="BA132" i="4"/>
  <c r="AU132" i="4"/>
  <c r="AO97" i="4"/>
  <c r="BG97" i="4"/>
  <c r="BA97" i="4"/>
  <c r="AU97" i="4"/>
  <c r="AO61" i="4"/>
  <c r="BG61" i="4"/>
  <c r="BA61" i="4"/>
  <c r="AU61" i="4"/>
  <c r="M238" i="4"/>
  <c r="AZ306" i="4"/>
  <c r="BF306" i="4"/>
  <c r="AT306" i="4"/>
  <c r="AN306" i="4"/>
  <c r="BF223" i="4"/>
  <c r="AZ223" i="4"/>
  <c r="AT223" i="4"/>
  <c r="AN223" i="4"/>
  <c r="BF385" i="4"/>
  <c r="AZ385" i="4"/>
  <c r="AT385" i="4"/>
  <c r="AN385" i="4"/>
  <c r="BF204" i="4"/>
  <c r="AZ204" i="4"/>
  <c r="AT204" i="4"/>
  <c r="AN204" i="4"/>
  <c r="BF493" i="4"/>
  <c r="AZ493" i="4"/>
  <c r="AT493" i="4"/>
  <c r="AN493" i="4"/>
  <c r="BF164" i="4"/>
  <c r="AZ164" i="4"/>
  <c r="AT164" i="4"/>
  <c r="AN164" i="4"/>
  <c r="AZ482" i="4"/>
  <c r="BF482" i="4"/>
  <c r="AT482" i="4"/>
  <c r="AN482" i="4"/>
  <c r="BF485" i="4"/>
  <c r="AZ485" i="4"/>
  <c r="AT485" i="4"/>
  <c r="AN485" i="4"/>
  <c r="AZ528" i="4"/>
  <c r="BF528" i="4"/>
  <c r="AT528" i="4"/>
  <c r="AN528" i="4"/>
  <c r="M585" i="4"/>
  <c r="M313" i="4"/>
  <c r="M474" i="4"/>
  <c r="M190" i="4"/>
  <c r="M225" i="4"/>
  <c r="BF585" i="4"/>
  <c r="AZ585" i="4"/>
  <c r="AT585" i="4"/>
  <c r="AN585" i="4"/>
  <c r="BF313" i="4"/>
  <c r="AZ313" i="4"/>
  <c r="AT313" i="4"/>
  <c r="AN313" i="4"/>
  <c r="BF428" i="4"/>
  <c r="AZ428" i="4"/>
  <c r="AT428" i="4"/>
  <c r="AN428" i="4"/>
  <c r="BF278" i="4"/>
  <c r="AZ278" i="4"/>
  <c r="AT278" i="4"/>
  <c r="AN278" i="4"/>
  <c r="BF425" i="4"/>
  <c r="AZ425" i="4"/>
  <c r="AT425" i="4"/>
  <c r="AN425" i="4"/>
  <c r="BF205" i="4"/>
  <c r="AZ205" i="4"/>
  <c r="AT205" i="4"/>
  <c r="AN205" i="4"/>
  <c r="BF211" i="4"/>
  <c r="AZ211" i="4"/>
  <c r="AT211" i="4"/>
  <c r="AN211" i="4"/>
  <c r="BF254" i="4"/>
  <c r="AZ254" i="4"/>
  <c r="AT254" i="4"/>
  <c r="AN254" i="4"/>
  <c r="BF417" i="4"/>
  <c r="AZ417" i="4"/>
  <c r="AT417" i="4"/>
  <c r="AN417" i="4"/>
  <c r="BF193" i="4"/>
  <c r="AZ193" i="4"/>
  <c r="AT193" i="4"/>
  <c r="AN193" i="4"/>
  <c r="BF310" i="4"/>
  <c r="AZ310" i="4"/>
  <c r="AT310" i="4"/>
  <c r="AN310" i="4"/>
  <c r="BF240" i="4"/>
  <c r="AZ240" i="4"/>
  <c r="AT240" i="4"/>
  <c r="AN240" i="4"/>
  <c r="BF214" i="4"/>
  <c r="AZ214" i="4"/>
  <c r="AT214" i="4"/>
  <c r="AN214" i="4"/>
  <c r="BF109" i="4"/>
  <c r="AZ109" i="4"/>
  <c r="AT109" i="4"/>
  <c r="AN109" i="4"/>
  <c r="AZ386" i="4"/>
  <c r="BF386" i="4"/>
  <c r="AT386" i="4"/>
  <c r="AN386" i="4"/>
  <c r="BF190" i="4"/>
  <c r="AZ190" i="4"/>
  <c r="AT190" i="4"/>
  <c r="AN190" i="4"/>
  <c r="BF405" i="4"/>
  <c r="AZ405" i="4"/>
  <c r="AT405" i="4"/>
  <c r="AN405" i="4"/>
  <c r="BF225" i="4"/>
  <c r="AZ225" i="4"/>
  <c r="AT225" i="4"/>
  <c r="AN225" i="4"/>
  <c r="BF44" i="4"/>
  <c r="AZ44" i="4"/>
  <c r="AT44" i="4"/>
  <c r="AN44" i="4"/>
  <c r="M306" i="4"/>
  <c r="M469" i="4"/>
  <c r="M209" i="4"/>
  <c r="M223" i="4"/>
  <c r="M602" i="4"/>
  <c r="M330" i="4"/>
  <c r="M210" i="4"/>
  <c r="M573" i="4"/>
  <c r="M385" i="4"/>
  <c r="M269" i="4"/>
  <c r="M25" i="4"/>
  <c r="M204" i="4"/>
  <c r="M554" i="4"/>
  <c r="M314" i="4"/>
  <c r="M194" i="4"/>
  <c r="M493" i="4"/>
  <c r="M369" i="4"/>
  <c r="M237" i="4"/>
  <c r="M612" i="4"/>
  <c r="M164" i="4"/>
  <c r="M601" i="4"/>
  <c r="M189" i="4"/>
  <c r="M482" i="4"/>
  <c r="M162" i="4"/>
  <c r="M277" i="4"/>
  <c r="M535" i="4"/>
  <c r="AO228" i="4"/>
  <c r="BG228" i="4"/>
  <c r="BA228" i="4"/>
  <c r="AU228" i="4"/>
  <c r="AO161" i="4"/>
  <c r="BG161" i="4"/>
  <c r="BA161" i="4"/>
  <c r="AU161" i="4"/>
  <c r="AO128" i="4"/>
  <c r="BG128" i="4"/>
  <c r="BA128" i="4"/>
  <c r="AU128" i="4"/>
  <c r="AO93" i="4"/>
  <c r="BG93" i="4"/>
  <c r="BA93" i="4"/>
  <c r="AU93" i="4"/>
  <c r="AO57" i="4"/>
  <c r="BG57" i="4"/>
  <c r="BA57" i="4"/>
  <c r="AU57" i="4"/>
  <c r="AO39" i="4"/>
  <c r="BA39" i="4"/>
  <c r="AU39" i="4"/>
  <c r="BG39" i="4"/>
  <c r="AO489" i="4"/>
  <c r="BG489" i="4"/>
  <c r="BA489" i="4"/>
  <c r="AU489" i="4"/>
  <c r="AO203" i="4"/>
  <c r="BG203" i="4"/>
  <c r="BA203" i="4"/>
  <c r="AU203" i="4"/>
  <c r="AO276" i="4"/>
  <c r="BG276" i="4"/>
  <c r="BA276" i="4"/>
  <c r="AU276" i="4"/>
  <c r="AO431" i="4"/>
  <c r="BG431" i="4"/>
  <c r="AU431" i="4"/>
  <c r="BA431" i="4"/>
  <c r="AO523" i="4"/>
  <c r="BG523" i="4"/>
  <c r="BA523" i="4"/>
  <c r="AU523" i="4"/>
  <c r="AO163" i="4"/>
  <c r="BA163" i="4"/>
  <c r="BG163" i="4"/>
  <c r="AU163" i="4"/>
  <c r="AO529" i="4"/>
  <c r="BA529" i="4"/>
  <c r="BG529" i="4"/>
  <c r="AU529" i="4"/>
  <c r="AO526" i="4"/>
  <c r="BG526" i="4"/>
  <c r="AU526" i="4"/>
  <c r="BA526" i="4"/>
  <c r="AO17" i="4"/>
  <c r="BG17" i="4"/>
  <c r="BA17" i="4"/>
  <c r="AU17" i="4"/>
  <c r="AO164" i="4" l="1"/>
  <c r="BG164" i="4"/>
  <c r="BA164" i="4"/>
  <c r="AU164" i="4"/>
  <c r="AO314" i="4"/>
  <c r="BG314" i="4"/>
  <c r="BA314" i="4"/>
  <c r="AU314" i="4"/>
  <c r="AO277" i="4"/>
  <c r="BG277" i="4"/>
  <c r="BA277" i="4"/>
  <c r="AU277" i="4"/>
  <c r="AO482" i="4"/>
  <c r="BG482" i="4"/>
  <c r="BA482" i="4"/>
  <c r="AU482" i="4"/>
  <c r="AO601" i="4"/>
  <c r="BG601" i="4"/>
  <c r="BA601" i="4"/>
  <c r="AU601" i="4"/>
  <c r="AO612" i="4"/>
  <c r="BG612" i="4"/>
  <c r="AU612" i="4"/>
  <c r="BA612" i="4"/>
  <c r="AO369" i="4"/>
  <c r="BA369" i="4"/>
  <c r="BG369" i="4"/>
  <c r="AU369" i="4"/>
  <c r="AO194" i="4"/>
  <c r="BG194" i="4"/>
  <c r="BA194" i="4"/>
  <c r="AU194" i="4"/>
  <c r="AO554" i="4"/>
  <c r="BG554" i="4"/>
  <c r="BA554" i="4"/>
  <c r="AU554" i="4"/>
  <c r="AO25" i="4"/>
  <c r="BG25" i="4"/>
  <c r="BA25" i="4"/>
  <c r="AU25" i="4"/>
  <c r="AO385" i="4"/>
  <c r="BA385" i="4"/>
  <c r="BG385" i="4"/>
  <c r="AU385" i="4"/>
  <c r="AO210" i="4"/>
  <c r="BG210" i="4"/>
  <c r="BA210" i="4"/>
  <c r="AU210" i="4"/>
  <c r="AO602" i="4"/>
  <c r="BG602" i="4"/>
  <c r="BA602" i="4"/>
  <c r="AU602" i="4"/>
  <c r="AO209" i="4"/>
  <c r="BA209" i="4"/>
  <c r="BG209" i="4"/>
  <c r="AU209" i="4"/>
  <c r="AO306" i="4"/>
  <c r="BG306" i="4"/>
  <c r="BA306" i="4"/>
  <c r="AU306" i="4"/>
  <c r="AO190" i="4"/>
  <c r="BG190" i="4"/>
  <c r="BA190" i="4"/>
  <c r="AU190" i="4"/>
  <c r="AO313" i="4"/>
  <c r="BA313" i="4"/>
  <c r="BG313" i="4"/>
  <c r="AU313" i="4"/>
  <c r="AO238" i="4"/>
  <c r="BG238" i="4"/>
  <c r="BA238" i="4"/>
  <c r="AU238" i="4"/>
  <c r="AO405" i="4"/>
  <c r="BA405" i="4"/>
  <c r="BG405" i="4"/>
  <c r="AU405" i="4"/>
  <c r="AO485" i="4"/>
  <c r="BA485" i="4"/>
  <c r="BG485" i="4"/>
  <c r="AU485" i="4"/>
  <c r="AO397" i="4"/>
  <c r="BG397" i="4"/>
  <c r="BA397" i="4"/>
  <c r="AU397" i="4"/>
  <c r="AO240" i="4"/>
  <c r="BG240" i="4"/>
  <c r="BA240" i="4"/>
  <c r="AU240" i="4"/>
  <c r="AO310" i="4"/>
  <c r="BG310" i="4"/>
  <c r="BA310" i="4"/>
  <c r="AU310" i="4"/>
  <c r="AO193" i="4"/>
  <c r="BA193" i="4"/>
  <c r="BG193" i="4"/>
  <c r="AU193" i="4"/>
  <c r="AO417" i="4"/>
  <c r="BA417" i="4"/>
  <c r="BG417" i="4"/>
  <c r="AU417" i="4"/>
  <c r="AO254" i="4"/>
  <c r="BG254" i="4"/>
  <c r="BA254" i="4"/>
  <c r="AU254" i="4"/>
  <c r="AO211" i="4"/>
  <c r="BG211" i="4"/>
  <c r="BA211" i="4"/>
  <c r="AU211" i="4"/>
  <c r="AO205" i="4"/>
  <c r="BG205" i="4"/>
  <c r="BA205" i="4"/>
  <c r="AU205" i="4"/>
  <c r="AO425" i="4"/>
  <c r="BG425" i="4"/>
  <c r="BA425" i="4"/>
  <c r="AU425" i="4"/>
  <c r="AO278" i="4"/>
  <c r="BG278" i="4"/>
  <c r="BA278" i="4"/>
  <c r="AU278" i="4"/>
  <c r="AO362" i="4"/>
  <c r="BG362" i="4"/>
  <c r="BA362" i="4"/>
  <c r="AU362" i="4"/>
  <c r="AO285" i="4"/>
  <c r="BG285" i="4"/>
  <c r="BA285" i="4"/>
  <c r="AU285" i="4"/>
  <c r="AO162" i="4"/>
  <c r="BA162" i="4"/>
  <c r="BG162" i="4"/>
  <c r="AU162" i="4"/>
  <c r="AO493" i="4"/>
  <c r="BA493" i="4"/>
  <c r="BG493" i="4"/>
  <c r="AU493" i="4"/>
  <c r="AO535" i="4"/>
  <c r="BG535" i="4"/>
  <c r="AU535" i="4"/>
  <c r="BA535" i="4"/>
  <c r="AO204" i="4"/>
  <c r="BG204" i="4"/>
  <c r="BA204" i="4"/>
  <c r="AU204" i="4"/>
  <c r="AO269" i="4"/>
  <c r="BG269" i="4"/>
  <c r="BA269" i="4"/>
  <c r="AU269" i="4"/>
  <c r="AO573" i="4"/>
  <c r="BA573" i="4"/>
  <c r="BG573" i="4"/>
  <c r="AU573" i="4"/>
  <c r="AO330" i="4"/>
  <c r="BG330" i="4"/>
  <c r="BA330" i="4"/>
  <c r="AU330" i="4"/>
  <c r="AO223" i="4"/>
  <c r="BG223" i="4"/>
  <c r="BA223" i="4"/>
  <c r="AU223" i="4"/>
  <c r="AO469" i="4"/>
  <c r="BA469" i="4"/>
  <c r="BG469" i="4"/>
  <c r="AU469" i="4"/>
  <c r="AO225" i="4"/>
  <c r="BA225" i="4"/>
  <c r="BG225" i="4"/>
  <c r="AU225" i="4"/>
  <c r="AO474" i="4"/>
  <c r="BG474" i="4"/>
  <c r="BA474" i="4"/>
  <c r="AU474" i="4"/>
  <c r="AO585" i="4"/>
  <c r="BG585" i="4"/>
  <c r="BA585" i="4"/>
  <c r="AU585" i="4"/>
  <c r="AO44" i="4"/>
  <c r="BG44" i="4"/>
  <c r="BA44" i="4"/>
  <c r="AU44" i="4"/>
  <c r="AO386" i="4"/>
  <c r="BG386" i="4"/>
  <c r="BA386" i="4"/>
  <c r="AU386" i="4"/>
  <c r="AO109" i="4"/>
  <c r="BG109" i="4"/>
  <c r="BA109" i="4"/>
  <c r="AU109" i="4"/>
  <c r="AO214" i="4"/>
  <c r="BG214" i="4"/>
  <c r="BA214" i="4"/>
  <c r="AU214" i="4"/>
  <c r="AO349" i="4"/>
  <c r="BG349" i="4"/>
  <c r="BA349" i="4"/>
  <c r="AU349" i="4"/>
  <c r="AO264" i="4"/>
  <c r="BG264" i="4"/>
  <c r="BA264" i="4"/>
  <c r="AU264" i="4"/>
  <c r="AO297" i="4"/>
  <c r="BA297" i="4"/>
  <c r="BG297" i="4"/>
  <c r="AU297" i="4"/>
  <c r="AO613" i="4"/>
  <c r="BA613" i="4"/>
  <c r="BG613" i="4"/>
  <c r="AU613" i="4"/>
  <c r="AO426" i="4"/>
  <c r="BG426" i="4"/>
  <c r="BA426" i="4"/>
  <c r="AU426" i="4"/>
  <c r="AO308" i="4"/>
  <c r="BG308" i="4"/>
  <c r="BA308" i="4"/>
  <c r="AU308" i="4"/>
  <c r="AO309" i="4"/>
  <c r="BG309" i="4"/>
  <c r="BA309" i="4"/>
  <c r="AU309" i="4"/>
  <c r="AO110" i="4"/>
  <c r="BA110" i="4"/>
  <c r="AU110" i="4"/>
  <c r="BG110" i="4"/>
  <c r="AO428" i="4"/>
  <c r="BG428" i="4"/>
  <c r="AU428" i="4"/>
  <c r="BA428" i="4"/>
  <c r="AO528" i="4"/>
  <c r="BG528" i="4"/>
  <c r="AU528" i="4"/>
  <c r="BA528" i="4"/>
  <c r="AO490" i="4"/>
  <c r="BG490" i="4"/>
  <c r="BA490" i="4"/>
  <c r="AU490" i="4"/>
  <c r="AO189" i="4"/>
  <c r="BG189" i="4"/>
  <c r="BA189" i="4"/>
  <c r="AU189" i="4"/>
  <c r="AO237" i="4"/>
  <c r="BG237" i="4"/>
  <c r="BA237" i="4"/>
  <c r="AU237" i="4"/>
  <c r="AX9" i="4" l="1"/>
  <c r="BM9" i="4" s="1"/>
  <c r="AX25" i="4"/>
  <c r="AX27" i="4"/>
  <c r="BM27" i="4" s="1"/>
  <c r="AX29" i="4"/>
  <c r="BM29" i="4" s="1"/>
  <c r="AX37" i="4"/>
  <c r="BM37" i="4" s="1"/>
  <c r="AX41" i="4"/>
  <c r="AX43" i="4"/>
  <c r="BM43" i="4" s="1"/>
  <c r="AX69" i="4"/>
  <c r="BM69" i="4" s="1"/>
  <c r="AX75" i="4"/>
  <c r="BM75" i="4" s="1"/>
  <c r="AX121" i="4"/>
  <c r="BM121" i="4" s="1"/>
  <c r="AX173" i="4"/>
  <c r="BM173" i="4" s="1"/>
  <c r="AX177" i="4"/>
  <c r="BM177" i="4" s="1"/>
  <c r="AX191" i="4"/>
  <c r="BM191" i="4" s="1"/>
  <c r="AX203" i="4"/>
  <c r="BM203" i="4" s="1"/>
  <c r="AX225" i="4"/>
  <c r="AX235" i="4"/>
  <c r="AX241" i="4"/>
  <c r="BM241" i="4" s="1"/>
  <c r="AX253" i="4"/>
  <c r="H18" i="2" s="1"/>
  <c r="AX257" i="4"/>
  <c r="BM257" i="4" s="1"/>
  <c r="AX259" i="4"/>
  <c r="BM259" i="4" s="1"/>
  <c r="AX267" i="4"/>
  <c r="AX283" i="4"/>
  <c r="BM283" i="4" s="1"/>
  <c r="AX299" i="4"/>
  <c r="BM299" i="4" s="1"/>
  <c r="AX307" i="4"/>
  <c r="AX311" i="4"/>
  <c r="BM311" i="4" s="1"/>
  <c r="AX315" i="4"/>
  <c r="BM315" i="4" s="1"/>
  <c r="AX319" i="4"/>
  <c r="BM319" i="4" s="1"/>
  <c r="AX331" i="4"/>
  <c r="BM331" i="4" s="1"/>
  <c r="AX335" i="4"/>
  <c r="BM335" i="4" s="1"/>
  <c r="AX353" i="4"/>
  <c r="BM353" i="4" s="1"/>
  <c r="AX357" i="4"/>
  <c r="BM357" i="4" s="1"/>
  <c r="AX361" i="4"/>
  <c r="BM361" i="4" s="1"/>
  <c r="AX363" i="4"/>
  <c r="BM363" i="4" s="1"/>
  <c r="AX369" i="4"/>
  <c r="AX375" i="4"/>
  <c r="BM375" i="4" s="1"/>
  <c r="AX379" i="4"/>
  <c r="AX385" i="4"/>
  <c r="AX387" i="4"/>
  <c r="BM387" i="4" s="1"/>
  <c r="AX397" i="4"/>
  <c r="AX407" i="4"/>
  <c r="BM407" i="4" s="1"/>
  <c r="AX429" i="4"/>
  <c r="AX433" i="4"/>
  <c r="AX435" i="4"/>
  <c r="AX437" i="4"/>
  <c r="BM437" i="4" s="1"/>
  <c r="AX441" i="4"/>
  <c r="BM441" i="4" s="1"/>
  <c r="AX459" i="4"/>
  <c r="BM459" i="4" s="1"/>
  <c r="AX461" i="4"/>
  <c r="BM461" i="4" s="1"/>
  <c r="AX487" i="4"/>
  <c r="BM487" i="4" s="1"/>
  <c r="AX491" i="4"/>
  <c r="AX497" i="4"/>
  <c r="BM497" i="4" s="1"/>
  <c r="AX501" i="4"/>
  <c r="BM501" i="4" s="1"/>
  <c r="AX519" i="4"/>
  <c r="BM519" i="4" s="1"/>
  <c r="AX529" i="4"/>
  <c r="AX533" i="4"/>
  <c r="BM533" i="4" s="1"/>
  <c r="AX539" i="4"/>
  <c r="BM539" i="4" s="1"/>
  <c r="AX613" i="4"/>
  <c r="BM613" i="4" s="1"/>
  <c r="AX615" i="4"/>
  <c r="BM615" i="4" s="1"/>
  <c r="AX35" i="4"/>
  <c r="BM35" i="4" s="1"/>
  <c r="AX39" i="4"/>
  <c r="BM39" i="4" s="1"/>
  <c r="AX65" i="4"/>
  <c r="AX73" i="4"/>
  <c r="BM73" i="4" s="1"/>
  <c r="AX77" i="4"/>
  <c r="BM77" i="4" s="1"/>
  <c r="AX87" i="4"/>
  <c r="BM87" i="4" s="1"/>
  <c r="AX109" i="4"/>
  <c r="AX119" i="4"/>
  <c r="BM119" i="4" s="1"/>
  <c r="AX123" i="4"/>
  <c r="BM123" i="4" s="1"/>
  <c r="AX163" i="4"/>
  <c r="AX189" i="4"/>
  <c r="AX193" i="4"/>
  <c r="AR197" i="4"/>
  <c r="BL197" i="4" s="1"/>
  <c r="AX197" i="4"/>
  <c r="BM197" i="4" s="1"/>
  <c r="AX199" i="4"/>
  <c r="AX201" i="4"/>
  <c r="AR209" i="4"/>
  <c r="BL209" i="4" s="1"/>
  <c r="AX209" i="4"/>
  <c r="BM209" i="4" s="1"/>
  <c r="AX211" i="4"/>
  <c r="AX224" i="4"/>
  <c r="BM224" i="4" s="1"/>
  <c r="AX218" i="4"/>
  <c r="AX222" i="4"/>
  <c r="AX243" i="4"/>
  <c r="AX247" i="4"/>
  <c r="BM247" i="4" s="1"/>
  <c r="AX249" i="4"/>
  <c r="BM249" i="4" s="1"/>
  <c r="AX251" i="4"/>
  <c r="AX255" i="4"/>
  <c r="AX269" i="4"/>
  <c r="AX279" i="4"/>
  <c r="BM279" i="4" s="1"/>
  <c r="AX281" i="4"/>
  <c r="BM281" i="4" s="1"/>
  <c r="AX285" i="4"/>
  <c r="AX287" i="4"/>
  <c r="BM287" i="4" s="1"/>
  <c r="AX291" i="4"/>
  <c r="BM291" i="4" s="1"/>
  <c r="AX297" i="4"/>
  <c r="AX301" i="4"/>
  <c r="BM301" i="4" s="1"/>
  <c r="AX313" i="4"/>
  <c r="AX317" i="4"/>
  <c r="BM317" i="4" s="1"/>
  <c r="AX321" i="4"/>
  <c r="BM321" i="4" s="1"/>
  <c r="AX337" i="4"/>
  <c r="BM337" i="4" s="1"/>
  <c r="AX345" i="4"/>
  <c r="BM345" i="4" s="1"/>
  <c r="AX359" i="4"/>
  <c r="BM359" i="4" s="1"/>
  <c r="AX365" i="4"/>
  <c r="BM365" i="4" s="1"/>
  <c r="AX377" i="4"/>
  <c r="BM377" i="4" s="1"/>
  <c r="AX391" i="4"/>
  <c r="BM391" i="4" s="1"/>
  <c r="AX395" i="4"/>
  <c r="BM395" i="4" s="1"/>
  <c r="AX399" i="4"/>
  <c r="BM399" i="4" s="1"/>
  <c r="AX401" i="4"/>
  <c r="BM401" i="4" s="1"/>
  <c r="AX415" i="4"/>
  <c r="BM415" i="4" s="1"/>
  <c r="AX425" i="4"/>
  <c r="AX427" i="4"/>
  <c r="BM427" i="4" s="1"/>
  <c r="AX431" i="4"/>
  <c r="AX439" i="4"/>
  <c r="BM439" i="4" s="1"/>
  <c r="AX469" i="4"/>
  <c r="AX475" i="4"/>
  <c r="AX489" i="4"/>
  <c r="AX495" i="4"/>
  <c r="BM495" i="4" s="1"/>
  <c r="AX499" i="4"/>
  <c r="BM499" i="4" s="1"/>
  <c r="AX503" i="4"/>
  <c r="BM503" i="4" s="1"/>
  <c r="AX515" i="4"/>
  <c r="BM515" i="4" s="1"/>
  <c r="AX535" i="4"/>
  <c r="AX551" i="4"/>
  <c r="BM551" i="4" s="1"/>
  <c r="AX555" i="4"/>
  <c r="BM555" i="4" s="1"/>
  <c r="AX585" i="4"/>
  <c r="AX611" i="4"/>
  <c r="BM611" i="4" s="1"/>
  <c r="BJ8" i="4"/>
  <c r="BO8" i="4" s="1"/>
  <c r="AX26" i="4"/>
  <c r="BM26" i="4" s="1"/>
  <c r="AX28" i="4"/>
  <c r="BM28" i="4" s="1"/>
  <c r="AX30" i="4"/>
  <c r="AX32" i="4"/>
  <c r="BM32" i="4" s="1"/>
  <c r="AX34" i="4"/>
  <c r="AX36" i="4"/>
  <c r="BM36" i="4" s="1"/>
  <c r="AX38" i="4"/>
  <c r="BM38" i="4" s="1"/>
  <c r="AX40" i="4"/>
  <c r="BM40" i="4" s="1"/>
  <c r="AX42" i="4"/>
  <c r="BM42" i="4" s="1"/>
  <c r="AX44" i="4"/>
  <c r="AX64" i="4"/>
  <c r="AX66" i="4"/>
  <c r="AX70" i="4"/>
  <c r="BM70" i="4" s="1"/>
  <c r="AX72" i="4"/>
  <c r="BM72" i="4" s="1"/>
  <c r="AX74" i="4"/>
  <c r="BM74" i="4" s="1"/>
  <c r="AX76" i="4"/>
  <c r="BM76" i="4" s="1"/>
  <c r="AX108" i="4"/>
  <c r="AX110" i="4"/>
  <c r="AX118" i="4"/>
  <c r="BM118" i="4" s="1"/>
  <c r="AX120" i="4"/>
  <c r="BM120" i="4" s="1"/>
  <c r="AX122" i="4"/>
  <c r="BM122" i="4" s="1"/>
  <c r="AX124" i="4"/>
  <c r="BM124" i="4" s="1"/>
  <c r="AX138" i="4"/>
  <c r="BM138" i="4" s="1"/>
  <c r="AX162" i="4"/>
  <c r="AX164" i="4"/>
  <c r="AX172" i="4"/>
  <c r="BM172" i="4" s="1"/>
  <c r="AX174" i="4"/>
  <c r="BM174" i="4" s="1"/>
  <c r="AX176" i="4"/>
  <c r="BM176" i="4" s="1"/>
  <c r="AX178" i="4"/>
  <c r="BM178" i="4" s="1"/>
  <c r="AX188" i="4"/>
  <c r="BM188" i="4" s="1"/>
  <c r="AX190" i="4"/>
  <c r="BM190" i="4" s="1"/>
  <c r="AX192" i="4"/>
  <c r="AX194" i="4"/>
  <c r="AX196" i="4"/>
  <c r="BM196" i="4" s="1"/>
  <c r="AR198" i="4"/>
  <c r="BL198" i="4" s="1"/>
  <c r="AX198" i="4"/>
  <c r="BM198" i="4" s="1"/>
  <c r="AX200" i="4"/>
  <c r="AX202" i="4"/>
  <c r="BM202" i="4" s="1"/>
  <c r="AX204" i="4"/>
  <c r="BM204" i="4" s="1"/>
  <c r="AX206" i="4"/>
  <c r="AX208" i="4"/>
  <c r="AR210" i="4"/>
  <c r="BL210" i="4" s="1"/>
  <c r="AX210" i="4"/>
  <c r="BM210" i="4" s="1"/>
  <c r="AX212" i="4"/>
  <c r="AX214" i="4"/>
  <c r="BM214" i="4" s="1"/>
  <c r="AX215" i="4"/>
  <c r="BM215" i="4" s="1"/>
  <c r="AX219" i="4"/>
  <c r="BM219" i="4" s="1"/>
  <c r="AX221" i="4"/>
  <c r="BM221" i="4" s="1"/>
  <c r="AX223" i="4"/>
  <c r="BM223" i="4" s="1"/>
  <c r="AX236" i="4"/>
  <c r="BM236" i="4" s="1"/>
  <c r="AX238" i="4"/>
  <c r="AX240" i="4"/>
  <c r="AX242" i="4"/>
  <c r="BM242" i="4" s="1"/>
  <c r="AX244" i="4"/>
  <c r="BM244" i="4" s="1"/>
  <c r="AX246" i="4"/>
  <c r="BM246" i="4" s="1"/>
  <c r="AX248" i="4"/>
  <c r="BM248" i="4" s="1"/>
  <c r="AX250" i="4"/>
  <c r="AX252" i="4"/>
  <c r="AX254" i="4"/>
  <c r="AX256" i="4"/>
  <c r="BM256" i="4" s="1"/>
  <c r="AX258" i="4"/>
  <c r="BM258" i="4" s="1"/>
  <c r="AX260" i="4"/>
  <c r="BM260" i="4" s="1"/>
  <c r="AX264" i="4"/>
  <c r="AX266" i="4"/>
  <c r="BM266" i="4" s="1"/>
  <c r="AX268" i="4"/>
  <c r="AX278" i="4"/>
  <c r="BM278" i="4" s="1"/>
  <c r="AX280" i="4"/>
  <c r="BM280" i="4" s="1"/>
  <c r="AX282" i="4"/>
  <c r="BM282" i="4" s="1"/>
  <c r="AX284" i="4"/>
  <c r="AX286" i="4"/>
  <c r="BM286" i="4" s="1"/>
  <c r="AX288" i="4"/>
  <c r="BM288" i="4" s="1"/>
  <c r="AX296" i="4"/>
  <c r="BM296" i="4" s="1"/>
  <c r="AX298" i="4"/>
  <c r="BM298" i="4" s="1"/>
  <c r="AX300" i="4"/>
  <c r="BM300" i="4" s="1"/>
  <c r="AX302" i="4"/>
  <c r="BM302" i="4" s="1"/>
  <c r="AX306" i="4"/>
  <c r="AX308" i="4"/>
  <c r="AX312" i="4"/>
  <c r="AX314" i="4"/>
  <c r="AX316" i="4"/>
  <c r="BM316" i="4" s="1"/>
  <c r="AX318" i="4"/>
  <c r="BM318" i="4" s="1"/>
  <c r="AX320" i="4"/>
  <c r="BM320" i="4" s="1"/>
  <c r="AX322" i="4"/>
  <c r="BM322" i="4" s="1"/>
  <c r="AX328" i="4"/>
  <c r="BM328" i="4" s="1"/>
  <c r="AX330" i="4"/>
  <c r="AX332" i="4"/>
  <c r="BM332" i="4" s="1"/>
  <c r="AX334" i="4"/>
  <c r="BM334" i="4" s="1"/>
  <c r="AX336" i="4"/>
  <c r="BM336" i="4" s="1"/>
  <c r="AX338" i="4"/>
  <c r="BM338" i="4" s="1"/>
  <c r="AX340" i="4"/>
  <c r="BM340" i="4" s="1"/>
  <c r="AX346" i="4"/>
  <c r="BM346" i="4" s="1"/>
  <c r="AX348" i="4"/>
  <c r="AX350" i="4"/>
  <c r="BM350" i="4" s="1"/>
  <c r="AX352" i="4"/>
  <c r="AX358" i="4"/>
  <c r="BM358" i="4" s="1"/>
  <c r="AX360" i="4"/>
  <c r="BM360" i="4" s="1"/>
  <c r="AX362" i="4"/>
  <c r="AX364" i="4"/>
  <c r="BM364" i="4" s="1"/>
  <c r="AX366" i="4"/>
  <c r="BM366" i="4" s="1"/>
  <c r="AX368" i="4"/>
  <c r="AX370" i="4"/>
  <c r="BM370" i="4" s="1"/>
  <c r="AX376" i="4"/>
  <c r="BM376" i="4" s="1"/>
  <c r="AX378" i="4"/>
  <c r="BM378" i="4" s="1"/>
  <c r="AX380" i="4"/>
  <c r="BM380" i="4" s="1"/>
  <c r="AX386" i="4"/>
  <c r="AX394" i="4"/>
  <c r="BM394" i="4" s="1"/>
  <c r="AX396" i="4"/>
  <c r="BM396" i="4" s="1"/>
  <c r="AX398" i="4"/>
  <c r="BM398" i="4" s="1"/>
  <c r="AX400" i="4"/>
  <c r="BM400" i="4" s="1"/>
  <c r="AX402" i="4"/>
  <c r="BM402" i="4" s="1"/>
  <c r="AX406" i="4"/>
  <c r="BM406" i="4" s="1"/>
  <c r="AX418" i="4"/>
  <c r="BM418" i="4" s="1"/>
  <c r="AX420" i="4"/>
  <c r="BM420" i="4" s="1"/>
  <c r="AX426" i="4"/>
  <c r="AX428" i="4"/>
  <c r="AX430" i="4"/>
  <c r="AX432" i="4"/>
  <c r="AX434" i="4"/>
  <c r="AX436" i="4"/>
  <c r="AX438" i="4"/>
  <c r="BM438" i="4" s="1"/>
  <c r="AX440" i="4"/>
  <c r="BM440" i="4" s="1"/>
  <c r="AX442" i="4"/>
  <c r="BM442" i="4" s="1"/>
  <c r="AX444" i="4"/>
  <c r="BM444" i="4" s="1"/>
  <c r="AX446" i="4"/>
  <c r="BM446" i="4" s="1"/>
  <c r="AX456" i="4"/>
  <c r="BM456" i="4" s="1"/>
  <c r="AX458" i="4"/>
  <c r="BM458" i="4" s="1"/>
  <c r="AX460" i="4"/>
  <c r="BM460" i="4" s="1"/>
  <c r="AX470" i="4"/>
  <c r="AX474" i="4"/>
  <c r="AX484" i="4"/>
  <c r="BM484" i="4" s="1"/>
  <c r="AX486" i="4"/>
  <c r="BM486" i="4" s="1"/>
  <c r="AX488" i="4"/>
  <c r="AX490" i="4"/>
  <c r="AX492" i="4"/>
  <c r="AX494" i="4"/>
  <c r="BM494" i="4" s="1"/>
  <c r="AX496" i="4"/>
  <c r="BM496" i="4" s="1"/>
  <c r="AX500" i="4"/>
  <c r="BM500" i="4" s="1"/>
  <c r="AX502" i="4"/>
  <c r="BM502" i="4" s="1"/>
  <c r="AX504" i="4"/>
  <c r="BM504" i="4" s="1"/>
  <c r="AX512" i="4"/>
  <c r="BM512" i="4" s="1"/>
  <c r="AX516" i="4"/>
  <c r="BM516" i="4" s="1"/>
  <c r="AX518" i="4"/>
  <c r="BM518" i="4" s="1"/>
  <c r="AX528" i="4"/>
  <c r="BM528" i="4" s="1"/>
  <c r="AX530" i="4"/>
  <c r="BM530" i="4" s="1"/>
  <c r="AX532" i="4"/>
  <c r="BM532" i="4" s="1"/>
  <c r="AX534" i="4"/>
  <c r="AX536" i="4"/>
  <c r="BM536" i="4" s="1"/>
  <c r="AX554" i="4"/>
  <c r="BM554" i="4" s="1"/>
  <c r="AX556" i="4"/>
  <c r="BM556" i="4" s="1"/>
  <c r="AX570" i="4"/>
  <c r="BM570" i="4" s="1"/>
  <c r="AX574" i="4"/>
  <c r="AX582" i="4"/>
  <c r="BM582" i="4" s="1"/>
  <c r="AX584" i="4"/>
  <c r="BM584" i="4" s="1"/>
  <c r="AX602" i="4"/>
  <c r="BM602" i="4" s="1"/>
  <c r="AX610" i="4"/>
  <c r="BM610" i="4" s="1"/>
  <c r="AX612" i="4"/>
  <c r="BM612" i="4" s="1"/>
  <c r="AX614" i="4"/>
  <c r="BM614" i="4" s="1"/>
  <c r="AX616" i="4"/>
  <c r="BM616" i="4" s="1"/>
  <c r="AX618" i="4"/>
  <c r="BM618" i="4" s="1"/>
  <c r="AX47" i="4"/>
  <c r="BM47" i="4" s="1"/>
  <c r="AX71" i="4"/>
  <c r="BM71" i="4" s="1"/>
  <c r="AX135" i="4"/>
  <c r="AX175" i="4"/>
  <c r="BM175" i="4" s="1"/>
  <c r="AX187" i="4"/>
  <c r="AX195" i="4"/>
  <c r="BM195" i="4" s="1"/>
  <c r="AX205" i="4"/>
  <c r="BM205" i="4" s="1"/>
  <c r="AX207" i="4"/>
  <c r="AX213" i="4"/>
  <c r="AX216" i="4"/>
  <c r="BM216" i="4" s="1"/>
  <c r="AX220" i="4"/>
  <c r="BM220" i="4" s="1"/>
  <c r="AX237" i="4"/>
  <c r="AX239" i="4"/>
  <c r="AX245" i="4"/>
  <c r="BM245" i="4" s="1"/>
  <c r="AX265" i="4"/>
  <c r="BM265" i="4" s="1"/>
  <c r="AX295" i="4"/>
  <c r="BM295" i="4" s="1"/>
  <c r="AX305" i="4"/>
  <c r="BM305" i="4" s="1"/>
  <c r="AX323" i="4"/>
  <c r="BM323" i="4" s="1"/>
  <c r="AX333" i="4"/>
  <c r="BM333" i="4" s="1"/>
  <c r="AX339" i="4"/>
  <c r="BM339" i="4" s="1"/>
  <c r="AX349" i="4"/>
  <c r="AX351" i="4"/>
  <c r="AX405" i="4"/>
  <c r="AX417" i="4"/>
  <c r="AX421" i="4"/>
  <c r="BM421" i="4" s="1"/>
  <c r="AX445" i="4"/>
  <c r="BM445" i="4" s="1"/>
  <c r="AX449" i="4"/>
  <c r="BM449" i="4" s="1"/>
  <c r="AX471" i="4"/>
  <c r="BM471" i="4" s="1"/>
  <c r="AX485" i="4"/>
  <c r="BM485" i="4" s="1"/>
  <c r="AX493" i="4"/>
  <c r="AX531" i="4"/>
  <c r="BM531" i="4" s="1"/>
  <c r="AX563" i="4"/>
  <c r="BM563" i="4" s="1"/>
  <c r="AX569" i="4"/>
  <c r="BM569" i="4" s="1"/>
  <c r="AX573" i="4"/>
  <c r="AX583" i="4"/>
  <c r="BM583" i="4" s="1"/>
  <c r="AX601" i="4"/>
  <c r="BM601" i="4" s="1"/>
  <c r="AX617" i="4"/>
  <c r="BM617" i="4" s="1"/>
  <c r="AX619" i="4"/>
  <c r="BM619" i="4" s="1"/>
  <c r="BM243" i="4" l="1"/>
  <c r="H11" i="2"/>
  <c r="X11" i="2" s="1"/>
  <c r="H23" i="2"/>
  <c r="H21" i="2"/>
  <c r="O18" i="2"/>
  <c r="X18" i="2"/>
  <c r="H12" i="2"/>
  <c r="BJ619" i="4"/>
  <c r="BO619" i="4" s="1"/>
  <c r="CJ619" i="4"/>
  <c r="BJ617" i="4"/>
  <c r="BO617" i="4" s="1"/>
  <c r="CJ617" i="4"/>
  <c r="BJ601" i="4"/>
  <c r="BO601" i="4" s="1"/>
  <c r="CJ601" i="4"/>
  <c r="BJ583" i="4"/>
  <c r="BO583" i="4" s="1"/>
  <c r="CJ583" i="4"/>
  <c r="BJ573" i="4"/>
  <c r="CJ573" i="4"/>
  <c r="BJ569" i="4"/>
  <c r="BO569" i="4" s="1"/>
  <c r="CJ569" i="4"/>
  <c r="BJ563" i="4"/>
  <c r="BO563" i="4" s="1"/>
  <c r="CJ563" i="4"/>
  <c r="BJ531" i="4"/>
  <c r="BO531" i="4" s="1"/>
  <c r="CJ531" i="4"/>
  <c r="BJ493" i="4"/>
  <c r="CJ493" i="4"/>
  <c r="BJ485" i="4"/>
  <c r="BO485" i="4" s="1"/>
  <c r="CJ485" i="4"/>
  <c r="BJ471" i="4"/>
  <c r="BO471" i="4" s="1"/>
  <c r="CJ471" i="4"/>
  <c r="BJ449" i="4"/>
  <c r="BO449" i="4" s="1"/>
  <c r="CJ449" i="4"/>
  <c r="BJ445" i="4"/>
  <c r="BO445" i="4" s="1"/>
  <c r="CJ445" i="4"/>
  <c r="BJ421" i="4"/>
  <c r="BO421" i="4" s="1"/>
  <c r="CJ421" i="4"/>
  <c r="BJ417" i="4"/>
  <c r="CJ417" i="4"/>
  <c r="BJ405" i="4"/>
  <c r="CJ405" i="4"/>
  <c r="BJ351" i="4"/>
  <c r="CJ351" i="4"/>
  <c r="BJ349" i="4"/>
  <c r="CJ349" i="4"/>
  <c r="BJ339" i="4"/>
  <c r="BO339" i="4" s="1"/>
  <c r="CJ339" i="4"/>
  <c r="BJ333" i="4"/>
  <c r="BO333" i="4" s="1"/>
  <c r="CJ333" i="4"/>
  <c r="BJ323" i="4"/>
  <c r="BO323" i="4" s="1"/>
  <c r="CJ323" i="4"/>
  <c r="BJ305" i="4"/>
  <c r="BO305" i="4" s="1"/>
  <c r="CJ305" i="4"/>
  <c r="BJ295" i="4"/>
  <c r="BO295" i="4" s="1"/>
  <c r="CJ295" i="4"/>
  <c r="BJ265" i="4"/>
  <c r="BO265" i="4" s="1"/>
  <c r="CJ265" i="4"/>
  <c r="BJ245" i="4"/>
  <c r="BO245" i="4" s="1"/>
  <c r="CJ245" i="4"/>
  <c r="BJ239" i="4"/>
  <c r="CJ239" i="4"/>
  <c r="BJ237" i="4"/>
  <c r="CJ237" i="4"/>
  <c r="BJ220" i="4"/>
  <c r="BO220" i="4" s="1"/>
  <c r="CJ220" i="4"/>
  <c r="BJ216" i="4"/>
  <c r="BO216" i="4" s="1"/>
  <c r="CJ216" i="4"/>
  <c r="BJ213" i="4"/>
  <c r="CJ213" i="4"/>
  <c r="BJ207" i="4"/>
  <c r="CJ207" i="4"/>
  <c r="BJ205" i="4"/>
  <c r="BO205" i="4" s="1"/>
  <c r="CJ205" i="4"/>
  <c r="BJ195" i="4"/>
  <c r="BO195" i="4" s="1"/>
  <c r="CJ195" i="4"/>
  <c r="BJ187" i="4"/>
  <c r="CJ187" i="4"/>
  <c r="BJ175" i="4"/>
  <c r="BO175" i="4" s="1"/>
  <c r="CJ175" i="4"/>
  <c r="BJ135" i="4"/>
  <c r="CJ135" i="4"/>
  <c r="BJ71" i="4"/>
  <c r="BO71" i="4" s="1"/>
  <c r="CJ71" i="4"/>
  <c r="BJ47" i="4"/>
  <c r="BO47" i="4" s="1"/>
  <c r="CJ47" i="4"/>
  <c r="BJ618" i="4"/>
  <c r="BO618" i="4" s="1"/>
  <c r="CJ618" i="4"/>
  <c r="BJ616" i="4"/>
  <c r="BO616" i="4" s="1"/>
  <c r="CJ616" i="4"/>
  <c r="BJ614" i="4"/>
  <c r="BO614" i="4" s="1"/>
  <c r="CJ614" i="4"/>
  <c r="BJ612" i="4"/>
  <c r="BO612" i="4" s="1"/>
  <c r="CJ612" i="4"/>
  <c r="BJ610" i="4"/>
  <c r="BO610" i="4" s="1"/>
  <c r="CJ610" i="4"/>
  <c r="BJ602" i="4"/>
  <c r="BO602" i="4" s="1"/>
  <c r="CJ602" i="4"/>
  <c r="BJ584" i="4"/>
  <c r="BO584" i="4" s="1"/>
  <c r="CJ584" i="4"/>
  <c r="BJ582" i="4"/>
  <c r="BO582" i="4" s="1"/>
  <c r="CJ582" i="4"/>
  <c r="BJ574" i="4"/>
  <c r="CJ574" i="4"/>
  <c r="BJ570" i="4"/>
  <c r="BO570" i="4" s="1"/>
  <c r="CJ570" i="4"/>
  <c r="BJ556" i="4"/>
  <c r="BO556" i="4" s="1"/>
  <c r="CJ556" i="4"/>
  <c r="BJ554" i="4"/>
  <c r="BO554" i="4" s="1"/>
  <c r="CJ554" i="4"/>
  <c r="BJ536" i="4"/>
  <c r="BO536" i="4" s="1"/>
  <c r="CJ536" i="4"/>
  <c r="BJ534" i="4"/>
  <c r="CJ534" i="4"/>
  <c r="BJ532" i="4"/>
  <c r="BO532" i="4" s="1"/>
  <c r="CJ532" i="4"/>
  <c r="BJ530" i="4"/>
  <c r="BO530" i="4" s="1"/>
  <c r="CJ530" i="4"/>
  <c r="BJ528" i="4"/>
  <c r="BO528" i="4" s="1"/>
  <c r="CJ528" i="4"/>
  <c r="BJ518" i="4"/>
  <c r="BO518" i="4" s="1"/>
  <c r="CJ518" i="4"/>
  <c r="BJ516" i="4"/>
  <c r="BO516" i="4" s="1"/>
  <c r="CJ516" i="4"/>
  <c r="BJ512" i="4"/>
  <c r="BO512" i="4" s="1"/>
  <c r="CJ512" i="4"/>
  <c r="BJ504" i="4"/>
  <c r="BO504" i="4" s="1"/>
  <c r="CJ504" i="4"/>
  <c r="BJ502" i="4"/>
  <c r="BO502" i="4" s="1"/>
  <c r="CJ502" i="4"/>
  <c r="BJ500" i="4"/>
  <c r="BO500" i="4" s="1"/>
  <c r="CJ500" i="4"/>
  <c r="BJ496" i="4"/>
  <c r="BO496" i="4" s="1"/>
  <c r="CJ496" i="4"/>
  <c r="BJ494" i="4"/>
  <c r="BO494" i="4" s="1"/>
  <c r="CJ494" i="4"/>
  <c r="BJ492" i="4"/>
  <c r="CJ492" i="4"/>
  <c r="BJ490" i="4"/>
  <c r="CJ490" i="4"/>
  <c r="BJ488" i="4"/>
  <c r="CJ488" i="4"/>
  <c r="BJ486" i="4"/>
  <c r="BO486" i="4" s="1"/>
  <c r="CJ486" i="4"/>
  <c r="BJ484" i="4"/>
  <c r="BO484" i="4" s="1"/>
  <c r="CJ484" i="4"/>
  <c r="BJ474" i="4"/>
  <c r="CJ474" i="4"/>
  <c r="BJ470" i="4"/>
  <c r="CJ470" i="4"/>
  <c r="BJ460" i="4"/>
  <c r="BO460" i="4" s="1"/>
  <c r="CJ460" i="4"/>
  <c r="BJ458" i="4"/>
  <c r="BO458" i="4" s="1"/>
  <c r="CJ458" i="4"/>
  <c r="BJ456" i="4"/>
  <c r="BO456" i="4" s="1"/>
  <c r="CJ456" i="4"/>
  <c r="BJ446" i="4"/>
  <c r="BO446" i="4" s="1"/>
  <c r="CJ446" i="4"/>
  <c r="BJ444" i="4"/>
  <c r="BO444" i="4" s="1"/>
  <c r="CJ444" i="4"/>
  <c r="BJ442" i="4"/>
  <c r="BO442" i="4" s="1"/>
  <c r="CJ442" i="4"/>
  <c r="BJ440" i="4"/>
  <c r="BO440" i="4" s="1"/>
  <c r="CJ440" i="4"/>
  <c r="BJ438" i="4"/>
  <c r="BO438" i="4" s="1"/>
  <c r="CJ438" i="4"/>
  <c r="BJ436" i="4"/>
  <c r="CJ436" i="4"/>
  <c r="BJ434" i="4"/>
  <c r="CJ434" i="4"/>
  <c r="BJ432" i="4"/>
  <c r="CJ432" i="4"/>
  <c r="BJ430" i="4"/>
  <c r="CJ430" i="4"/>
  <c r="BJ428" i="4"/>
  <c r="CJ428" i="4"/>
  <c r="BJ426" i="4"/>
  <c r="CJ426" i="4"/>
  <c r="BJ420" i="4"/>
  <c r="BO420" i="4" s="1"/>
  <c r="CJ420" i="4"/>
  <c r="BJ418" i="4"/>
  <c r="BO418" i="4" s="1"/>
  <c r="CJ418" i="4"/>
  <c r="BJ406" i="4"/>
  <c r="BO406" i="4" s="1"/>
  <c r="CJ406" i="4"/>
  <c r="BJ402" i="4"/>
  <c r="BO402" i="4" s="1"/>
  <c r="CJ402" i="4"/>
  <c r="BJ400" i="4"/>
  <c r="BO400" i="4" s="1"/>
  <c r="CJ400" i="4"/>
  <c r="BJ398" i="4"/>
  <c r="BO398" i="4" s="1"/>
  <c r="CJ398" i="4"/>
  <c r="BJ396" i="4"/>
  <c r="BO396" i="4" s="1"/>
  <c r="CJ396" i="4"/>
  <c r="BJ394" i="4"/>
  <c r="BO394" i="4" s="1"/>
  <c r="CJ394" i="4"/>
  <c r="BJ386" i="4"/>
  <c r="CJ386" i="4"/>
  <c r="BJ380" i="4"/>
  <c r="BO380" i="4" s="1"/>
  <c r="CJ380" i="4"/>
  <c r="BJ378" i="4"/>
  <c r="BO378" i="4" s="1"/>
  <c r="CJ378" i="4"/>
  <c r="BJ376" i="4"/>
  <c r="BO376" i="4" s="1"/>
  <c r="CJ376" i="4"/>
  <c r="BJ370" i="4"/>
  <c r="BO370" i="4" s="1"/>
  <c r="CJ370" i="4"/>
  <c r="BJ368" i="4"/>
  <c r="CJ368" i="4"/>
  <c r="BJ366" i="4"/>
  <c r="BO366" i="4" s="1"/>
  <c r="CJ366" i="4"/>
  <c r="BJ364" i="4"/>
  <c r="BO364" i="4" s="1"/>
  <c r="CJ364" i="4"/>
  <c r="BJ362" i="4"/>
  <c r="CJ362" i="4"/>
  <c r="BJ360" i="4"/>
  <c r="BO360" i="4" s="1"/>
  <c r="CJ360" i="4"/>
  <c r="BJ358" i="4"/>
  <c r="BO358" i="4" s="1"/>
  <c r="CJ358" i="4"/>
  <c r="BJ352" i="4"/>
  <c r="CJ352" i="4"/>
  <c r="BJ350" i="4"/>
  <c r="BO350" i="4" s="1"/>
  <c r="CJ350" i="4"/>
  <c r="BJ348" i="4"/>
  <c r="CJ348" i="4"/>
  <c r="BJ346" i="4"/>
  <c r="BO346" i="4" s="1"/>
  <c r="CJ346" i="4"/>
  <c r="BJ340" i="4"/>
  <c r="BO340" i="4" s="1"/>
  <c r="CJ340" i="4"/>
  <c r="BJ338" i="4"/>
  <c r="BO338" i="4" s="1"/>
  <c r="CJ338" i="4"/>
  <c r="BJ336" i="4"/>
  <c r="BO336" i="4" s="1"/>
  <c r="CJ336" i="4"/>
  <c r="BJ334" i="4"/>
  <c r="BO334" i="4" s="1"/>
  <c r="CJ334" i="4"/>
  <c r="BJ332" i="4"/>
  <c r="BO332" i="4" s="1"/>
  <c r="CJ332" i="4"/>
  <c r="BJ330" i="4"/>
  <c r="CJ330" i="4"/>
  <c r="BJ328" i="4"/>
  <c r="BO328" i="4" s="1"/>
  <c r="CJ328" i="4"/>
  <c r="BJ322" i="4"/>
  <c r="BO322" i="4" s="1"/>
  <c r="CJ322" i="4"/>
  <c r="BJ320" i="4"/>
  <c r="BO320" i="4" s="1"/>
  <c r="CJ320" i="4"/>
  <c r="BJ318" i="4"/>
  <c r="BO318" i="4" s="1"/>
  <c r="CJ318" i="4"/>
  <c r="BJ316" i="4"/>
  <c r="BO316" i="4" s="1"/>
  <c r="CJ316" i="4"/>
  <c r="BJ314" i="4"/>
  <c r="CJ314" i="4"/>
  <c r="BJ312" i="4"/>
  <c r="CJ312" i="4"/>
  <c r="BJ308" i="4"/>
  <c r="CJ308" i="4"/>
  <c r="BJ306" i="4"/>
  <c r="CJ306" i="4"/>
  <c r="BJ302" i="4"/>
  <c r="BO302" i="4" s="1"/>
  <c r="CJ302" i="4"/>
  <c r="BJ300" i="4"/>
  <c r="BO300" i="4" s="1"/>
  <c r="CJ300" i="4"/>
  <c r="BJ298" i="4"/>
  <c r="BO298" i="4" s="1"/>
  <c r="CJ298" i="4"/>
  <c r="BJ296" i="4"/>
  <c r="BO296" i="4" s="1"/>
  <c r="CJ296" i="4"/>
  <c r="BJ288" i="4"/>
  <c r="BO288" i="4" s="1"/>
  <c r="CJ288" i="4"/>
  <c r="BJ286" i="4"/>
  <c r="BO286" i="4" s="1"/>
  <c r="CJ286" i="4"/>
  <c r="BJ284" i="4"/>
  <c r="CJ284" i="4"/>
  <c r="BJ282" i="4"/>
  <c r="BO282" i="4" s="1"/>
  <c r="CJ282" i="4"/>
  <c r="BJ280" i="4"/>
  <c r="BO280" i="4" s="1"/>
  <c r="CJ280" i="4"/>
  <c r="BJ278" i="4"/>
  <c r="BO278" i="4" s="1"/>
  <c r="CJ278" i="4"/>
  <c r="BJ268" i="4"/>
  <c r="CJ268" i="4"/>
  <c r="BJ266" i="4"/>
  <c r="BO266" i="4" s="1"/>
  <c r="CJ266" i="4"/>
  <c r="BJ264" i="4"/>
  <c r="CJ264" i="4"/>
  <c r="BJ260" i="4"/>
  <c r="BO260" i="4" s="1"/>
  <c r="CJ260" i="4"/>
  <c r="BJ258" i="4"/>
  <c r="BO258" i="4" s="1"/>
  <c r="CJ258" i="4"/>
  <c r="BJ256" i="4"/>
  <c r="BO256" i="4" s="1"/>
  <c r="CJ256" i="4"/>
  <c r="BJ254" i="4"/>
  <c r="CJ254" i="4"/>
  <c r="BJ252" i="4"/>
  <c r="CJ252" i="4"/>
  <c r="BJ250" i="4"/>
  <c r="CJ250" i="4"/>
  <c r="BJ248" i="4"/>
  <c r="BO248" i="4" s="1"/>
  <c r="CJ248" i="4"/>
  <c r="BJ246" i="4"/>
  <c r="BO246" i="4" s="1"/>
  <c r="CJ246" i="4"/>
  <c r="BJ244" i="4"/>
  <c r="BO244" i="4" s="1"/>
  <c r="CJ244" i="4"/>
  <c r="BJ242" i="4"/>
  <c r="BO242" i="4" s="1"/>
  <c r="CJ242" i="4"/>
  <c r="BJ240" i="4"/>
  <c r="CJ240" i="4"/>
  <c r="BJ238" i="4"/>
  <c r="CJ238" i="4"/>
  <c r="BJ236" i="4"/>
  <c r="BO236" i="4" s="1"/>
  <c r="CJ236" i="4"/>
  <c r="BJ223" i="4"/>
  <c r="BO223" i="4" s="1"/>
  <c r="CV223" i="4" s="1"/>
  <c r="CJ223" i="4"/>
  <c r="BJ221" i="4"/>
  <c r="BO221" i="4" s="1"/>
  <c r="CJ221" i="4"/>
  <c r="BJ219" i="4"/>
  <c r="BO219" i="4" s="1"/>
  <c r="CJ219" i="4"/>
  <c r="BJ215" i="4"/>
  <c r="BO215" i="4" s="1"/>
  <c r="CJ215" i="4"/>
  <c r="BJ214" i="4"/>
  <c r="BO214" i="4" s="1"/>
  <c r="CJ214" i="4"/>
  <c r="BJ212" i="4"/>
  <c r="CJ212" i="4"/>
  <c r="BJ208" i="4"/>
  <c r="CJ208" i="4"/>
  <c r="BJ206" i="4"/>
  <c r="CJ206" i="4"/>
  <c r="BJ204" i="4"/>
  <c r="BO204" i="4" s="1"/>
  <c r="CJ204" i="4"/>
  <c r="CJ202" i="4"/>
  <c r="BJ202" i="4"/>
  <c r="BO202" i="4" s="1"/>
  <c r="BJ200" i="4"/>
  <c r="CJ200" i="4"/>
  <c r="BJ196" i="4"/>
  <c r="BO196" i="4" s="1"/>
  <c r="CJ196" i="4"/>
  <c r="BJ194" i="4"/>
  <c r="CJ194" i="4"/>
  <c r="BJ192" i="4"/>
  <c r="CJ192" i="4"/>
  <c r="BJ190" i="4"/>
  <c r="BO190" i="4" s="1"/>
  <c r="CJ190" i="4"/>
  <c r="BJ188" i="4"/>
  <c r="BO188" i="4" s="1"/>
  <c r="CJ188" i="4"/>
  <c r="BJ178" i="4"/>
  <c r="BO178" i="4" s="1"/>
  <c r="CJ178" i="4"/>
  <c r="BJ176" i="4"/>
  <c r="BO176" i="4" s="1"/>
  <c r="CJ176" i="4"/>
  <c r="BJ174" i="4"/>
  <c r="BO174" i="4" s="1"/>
  <c r="CJ174" i="4"/>
  <c r="BJ172" i="4"/>
  <c r="BO172" i="4" s="1"/>
  <c r="CJ172" i="4"/>
  <c r="BJ164" i="4"/>
  <c r="CJ164" i="4"/>
  <c r="BJ162" i="4"/>
  <c r="CJ162" i="4"/>
  <c r="BJ138" i="4"/>
  <c r="BO138" i="4" s="1"/>
  <c r="CJ138" i="4"/>
  <c r="BJ124" i="4"/>
  <c r="BO124" i="4" s="1"/>
  <c r="CJ124" i="4"/>
  <c r="BJ122" i="4"/>
  <c r="BO122" i="4" s="1"/>
  <c r="CJ122" i="4"/>
  <c r="BJ120" i="4"/>
  <c r="BO120" i="4" s="1"/>
  <c r="CJ120" i="4"/>
  <c r="BJ118" i="4"/>
  <c r="BO118" i="4" s="1"/>
  <c r="CJ118" i="4"/>
  <c r="BJ110" i="4"/>
  <c r="CJ110" i="4"/>
  <c r="BJ108" i="4"/>
  <c r="CJ108" i="4"/>
  <c r="BJ76" i="4"/>
  <c r="BO76" i="4" s="1"/>
  <c r="CJ76" i="4"/>
  <c r="BJ74" i="4"/>
  <c r="BO74" i="4" s="1"/>
  <c r="CJ74" i="4"/>
  <c r="BJ72" i="4"/>
  <c r="BO72" i="4" s="1"/>
  <c r="CJ72" i="4"/>
  <c r="BJ70" i="4"/>
  <c r="BO70" i="4" s="1"/>
  <c r="CJ70" i="4"/>
  <c r="BJ66" i="4"/>
  <c r="CJ66" i="4"/>
  <c r="BJ64" i="4"/>
  <c r="CJ64" i="4"/>
  <c r="BJ44" i="4"/>
  <c r="CJ44" i="4"/>
  <c r="BJ42" i="4"/>
  <c r="BO42" i="4" s="1"/>
  <c r="CJ42" i="4"/>
  <c r="BJ40" i="4"/>
  <c r="BO40" i="4" s="1"/>
  <c r="CJ40" i="4"/>
  <c r="BJ38" i="4"/>
  <c r="BO38" i="4" s="1"/>
  <c r="CJ38" i="4"/>
  <c r="BJ36" i="4"/>
  <c r="BO36" i="4" s="1"/>
  <c r="CJ36" i="4"/>
  <c r="BJ34" i="4"/>
  <c r="CJ34" i="4"/>
  <c r="BJ32" i="4"/>
  <c r="BO32" i="4" s="1"/>
  <c r="CJ32" i="4"/>
  <c r="BJ30" i="4"/>
  <c r="CJ30" i="4"/>
  <c r="BJ28" i="4"/>
  <c r="BO28" i="4" s="1"/>
  <c r="CJ28" i="4"/>
  <c r="BJ26" i="4"/>
  <c r="BO26" i="4" s="1"/>
  <c r="CJ26" i="4"/>
  <c r="BJ611" i="4"/>
  <c r="BO611" i="4" s="1"/>
  <c r="CJ611" i="4"/>
  <c r="BJ585" i="4"/>
  <c r="CJ585" i="4"/>
  <c r="BJ555" i="4"/>
  <c r="BO555" i="4" s="1"/>
  <c r="CJ555" i="4"/>
  <c r="BJ551" i="4"/>
  <c r="BO551" i="4" s="1"/>
  <c r="CJ551" i="4"/>
  <c r="BJ535" i="4"/>
  <c r="CJ535" i="4"/>
  <c r="BJ515" i="4"/>
  <c r="BO515" i="4" s="1"/>
  <c r="CJ515" i="4"/>
  <c r="BJ503" i="4"/>
  <c r="BO503" i="4" s="1"/>
  <c r="CJ503" i="4"/>
  <c r="BJ499" i="4"/>
  <c r="BO499" i="4" s="1"/>
  <c r="CJ499" i="4"/>
  <c r="BJ495" i="4"/>
  <c r="BO495" i="4" s="1"/>
  <c r="CJ495" i="4"/>
  <c r="BJ489" i="4"/>
  <c r="CJ489" i="4"/>
  <c r="BJ475" i="4"/>
  <c r="CJ475" i="4"/>
  <c r="BJ469" i="4"/>
  <c r="CJ469" i="4"/>
  <c r="BJ439" i="4"/>
  <c r="BO439" i="4" s="1"/>
  <c r="CJ439" i="4"/>
  <c r="BJ431" i="4"/>
  <c r="CJ431" i="4"/>
  <c r="BJ427" i="4"/>
  <c r="BO427" i="4" s="1"/>
  <c r="CJ427" i="4"/>
  <c r="BJ425" i="4"/>
  <c r="CJ425" i="4"/>
  <c r="BJ415" i="4"/>
  <c r="BO415" i="4" s="1"/>
  <c r="CJ415" i="4"/>
  <c r="BJ401" i="4"/>
  <c r="BO401" i="4" s="1"/>
  <c r="CJ401" i="4"/>
  <c r="BJ399" i="4"/>
  <c r="BO399" i="4" s="1"/>
  <c r="CJ399" i="4"/>
  <c r="BJ395" i="4"/>
  <c r="BO395" i="4" s="1"/>
  <c r="CJ395" i="4"/>
  <c r="BJ391" i="4"/>
  <c r="BO391" i="4" s="1"/>
  <c r="CJ391" i="4"/>
  <c r="BJ377" i="4"/>
  <c r="BO377" i="4" s="1"/>
  <c r="CJ377" i="4"/>
  <c r="BJ365" i="4"/>
  <c r="BO365" i="4" s="1"/>
  <c r="CJ365" i="4"/>
  <c r="BJ359" i="4"/>
  <c r="BO359" i="4" s="1"/>
  <c r="CJ359" i="4"/>
  <c r="BJ345" i="4"/>
  <c r="BO345" i="4" s="1"/>
  <c r="CJ345" i="4"/>
  <c r="BJ337" i="4"/>
  <c r="BO337" i="4" s="1"/>
  <c r="CJ337" i="4"/>
  <c r="BJ321" i="4"/>
  <c r="BO321" i="4" s="1"/>
  <c r="CJ321" i="4"/>
  <c r="BJ317" i="4"/>
  <c r="BO317" i="4" s="1"/>
  <c r="CJ317" i="4"/>
  <c r="BJ313" i="4"/>
  <c r="CJ313" i="4"/>
  <c r="BJ301" i="4"/>
  <c r="BO301" i="4" s="1"/>
  <c r="CJ301" i="4"/>
  <c r="BJ297" i="4"/>
  <c r="CJ297" i="4"/>
  <c r="BJ291" i="4"/>
  <c r="BO291" i="4" s="1"/>
  <c r="CJ291" i="4"/>
  <c r="BJ287" i="4"/>
  <c r="BO287" i="4" s="1"/>
  <c r="CJ287" i="4"/>
  <c r="BJ285" i="4"/>
  <c r="CJ285" i="4"/>
  <c r="BJ281" i="4"/>
  <c r="BO281" i="4" s="1"/>
  <c r="CJ281" i="4"/>
  <c r="BJ279" i="4"/>
  <c r="BO279" i="4" s="1"/>
  <c r="CJ279" i="4"/>
  <c r="BJ269" i="4"/>
  <c r="CJ269" i="4"/>
  <c r="BJ255" i="4"/>
  <c r="CJ255" i="4"/>
  <c r="BJ251" i="4"/>
  <c r="CJ251" i="4"/>
  <c r="BJ249" i="4"/>
  <c r="BO249" i="4" s="1"/>
  <c r="CJ249" i="4"/>
  <c r="BJ247" i="4"/>
  <c r="BO247" i="4" s="1"/>
  <c r="CJ247" i="4"/>
  <c r="BJ243" i="4"/>
  <c r="CJ243" i="4"/>
  <c r="BJ222" i="4"/>
  <c r="CJ222" i="4"/>
  <c r="BJ218" i="4"/>
  <c r="CJ218" i="4"/>
  <c r="BJ224" i="4"/>
  <c r="BO224" i="4" s="1"/>
  <c r="CJ224" i="4"/>
  <c r="BJ211" i="4"/>
  <c r="CJ211" i="4"/>
  <c r="BJ201" i="4"/>
  <c r="CJ201" i="4"/>
  <c r="BJ199" i="4"/>
  <c r="CJ199" i="4"/>
  <c r="BJ193" i="4"/>
  <c r="CJ193" i="4"/>
  <c r="BJ189" i="4"/>
  <c r="CJ189" i="4"/>
  <c r="BJ163" i="4"/>
  <c r="CJ163" i="4"/>
  <c r="BJ123" i="4"/>
  <c r="BO123" i="4" s="1"/>
  <c r="CJ123" i="4"/>
  <c r="BJ119" i="4"/>
  <c r="BO119" i="4" s="1"/>
  <c r="CJ119" i="4"/>
  <c r="BJ109" i="4"/>
  <c r="CJ109" i="4"/>
  <c r="BJ87" i="4"/>
  <c r="BO87" i="4" s="1"/>
  <c r="CJ87" i="4"/>
  <c r="BJ77" i="4"/>
  <c r="BO77" i="4" s="1"/>
  <c r="CJ77" i="4"/>
  <c r="BJ73" i="4"/>
  <c r="BO73" i="4" s="1"/>
  <c r="CJ73" i="4"/>
  <c r="BJ65" i="4"/>
  <c r="CJ65" i="4"/>
  <c r="BJ39" i="4"/>
  <c r="BO39" i="4" s="1"/>
  <c r="CJ39" i="4"/>
  <c r="BJ35" i="4"/>
  <c r="BO35" i="4" s="1"/>
  <c r="CJ35" i="4"/>
  <c r="BJ615" i="4"/>
  <c r="BO615" i="4" s="1"/>
  <c r="CJ615" i="4"/>
  <c r="BJ613" i="4"/>
  <c r="BO613" i="4" s="1"/>
  <c r="CJ613" i="4"/>
  <c r="BJ539" i="4"/>
  <c r="BO539" i="4" s="1"/>
  <c r="CJ539" i="4"/>
  <c r="BJ533" i="4"/>
  <c r="BO533" i="4" s="1"/>
  <c r="CJ533" i="4"/>
  <c r="BJ529" i="4"/>
  <c r="CJ529" i="4"/>
  <c r="BJ519" i="4"/>
  <c r="BO519" i="4" s="1"/>
  <c r="CJ519" i="4"/>
  <c r="BJ501" i="4"/>
  <c r="BO501" i="4" s="1"/>
  <c r="CJ501" i="4"/>
  <c r="BJ497" i="4"/>
  <c r="BO497" i="4" s="1"/>
  <c r="CJ497" i="4"/>
  <c r="BJ491" i="4"/>
  <c r="CJ491" i="4"/>
  <c r="BJ487" i="4"/>
  <c r="BO487" i="4" s="1"/>
  <c r="CJ487" i="4"/>
  <c r="BJ461" i="4"/>
  <c r="BO461" i="4" s="1"/>
  <c r="CJ461" i="4"/>
  <c r="BJ459" i="4"/>
  <c r="BO459" i="4" s="1"/>
  <c r="CJ459" i="4"/>
  <c r="BJ441" i="4"/>
  <c r="BO441" i="4" s="1"/>
  <c r="CJ441" i="4"/>
  <c r="BJ437" i="4"/>
  <c r="BO437" i="4" s="1"/>
  <c r="CJ437" i="4"/>
  <c r="BJ435" i="4"/>
  <c r="CJ435" i="4"/>
  <c r="BJ433" i="4"/>
  <c r="CJ433" i="4"/>
  <c r="BJ429" i="4"/>
  <c r="CJ429" i="4"/>
  <c r="BJ407" i="4"/>
  <c r="BO407" i="4" s="1"/>
  <c r="CJ407" i="4"/>
  <c r="BJ397" i="4"/>
  <c r="CJ397" i="4"/>
  <c r="BJ387" i="4"/>
  <c r="BO387" i="4" s="1"/>
  <c r="CJ387" i="4"/>
  <c r="BJ385" i="4"/>
  <c r="CJ385" i="4"/>
  <c r="BJ379" i="4"/>
  <c r="CJ379" i="4"/>
  <c r="BJ375" i="4"/>
  <c r="BO375" i="4" s="1"/>
  <c r="CJ375" i="4"/>
  <c r="BJ369" i="4"/>
  <c r="CJ369" i="4"/>
  <c r="BJ363" i="4"/>
  <c r="BO363" i="4" s="1"/>
  <c r="CJ363" i="4"/>
  <c r="BJ361" i="4"/>
  <c r="BO361" i="4" s="1"/>
  <c r="CJ361" i="4"/>
  <c r="BJ357" i="4"/>
  <c r="BO357" i="4" s="1"/>
  <c r="CJ357" i="4"/>
  <c r="BJ353" i="4"/>
  <c r="BO353" i="4" s="1"/>
  <c r="CJ353" i="4"/>
  <c r="BJ335" i="4"/>
  <c r="BO335" i="4" s="1"/>
  <c r="CJ335" i="4"/>
  <c r="BJ331" i="4"/>
  <c r="BO331" i="4" s="1"/>
  <c r="CJ331" i="4"/>
  <c r="BJ319" i="4"/>
  <c r="BO319" i="4" s="1"/>
  <c r="CJ319" i="4"/>
  <c r="BJ315" i="4"/>
  <c r="BO315" i="4" s="1"/>
  <c r="CJ315" i="4"/>
  <c r="BJ311" i="4"/>
  <c r="BO311" i="4" s="1"/>
  <c r="CJ311" i="4"/>
  <c r="BJ307" i="4"/>
  <c r="CJ307" i="4"/>
  <c r="BJ299" i="4"/>
  <c r="BO299" i="4" s="1"/>
  <c r="CJ299" i="4"/>
  <c r="BJ283" i="4"/>
  <c r="BO283" i="4" s="1"/>
  <c r="CJ283" i="4"/>
  <c r="BJ267" i="4"/>
  <c r="CJ267" i="4"/>
  <c r="BJ259" i="4"/>
  <c r="BO259" i="4" s="1"/>
  <c r="CJ259" i="4"/>
  <c r="BJ257" i="4"/>
  <c r="BO257" i="4" s="1"/>
  <c r="CJ257" i="4"/>
  <c r="BJ253" i="4"/>
  <c r="Z18" i="2" s="1"/>
  <c r="CJ253" i="4"/>
  <c r="AR18" i="2" s="1"/>
  <c r="BJ241" i="4"/>
  <c r="BO241" i="4" s="1"/>
  <c r="CJ241" i="4"/>
  <c r="BJ235" i="4"/>
  <c r="CJ235" i="4"/>
  <c r="BJ225" i="4"/>
  <c r="CJ225" i="4"/>
  <c r="BJ203" i="4"/>
  <c r="BO203" i="4" s="1"/>
  <c r="CJ203" i="4"/>
  <c r="BJ191" i="4"/>
  <c r="CJ191" i="4"/>
  <c r="BJ177" i="4"/>
  <c r="BO177" i="4" s="1"/>
  <c r="CJ177" i="4"/>
  <c r="BJ173" i="4"/>
  <c r="BO173" i="4" s="1"/>
  <c r="CJ173" i="4"/>
  <c r="BJ121" i="4"/>
  <c r="BO121" i="4" s="1"/>
  <c r="CJ121" i="4"/>
  <c r="BJ75" i="4"/>
  <c r="BO75" i="4" s="1"/>
  <c r="CJ75" i="4"/>
  <c r="BJ69" i="4"/>
  <c r="BO69" i="4" s="1"/>
  <c r="CJ69" i="4"/>
  <c r="BJ43" i="4"/>
  <c r="BO43" i="4" s="1"/>
  <c r="CJ43" i="4"/>
  <c r="BJ41" i="4"/>
  <c r="CJ41" i="4"/>
  <c r="BJ37" i="4"/>
  <c r="BO37" i="4" s="1"/>
  <c r="CJ37" i="4"/>
  <c r="BJ29" i="4"/>
  <c r="BO29" i="4" s="1"/>
  <c r="CJ29" i="4"/>
  <c r="BJ27" i="4"/>
  <c r="BO27" i="4" s="1"/>
  <c r="CJ27" i="4"/>
  <c r="BJ25" i="4"/>
  <c r="CJ25" i="4"/>
  <c r="BJ9" i="4"/>
  <c r="BO9" i="4" s="1"/>
  <c r="CJ9" i="4"/>
  <c r="BD619" i="4"/>
  <c r="BN619" i="4" s="1"/>
  <c r="CI619" i="4"/>
  <c r="BD617" i="4"/>
  <c r="BN617" i="4" s="1"/>
  <c r="CI617" i="4"/>
  <c r="BD601" i="4"/>
  <c r="BN601" i="4" s="1"/>
  <c r="CI601" i="4"/>
  <c r="BD583" i="4"/>
  <c r="BN583" i="4" s="1"/>
  <c r="CI583" i="4"/>
  <c r="BD573" i="4"/>
  <c r="CI573" i="4"/>
  <c r="BD569" i="4"/>
  <c r="BN569" i="4" s="1"/>
  <c r="CI569" i="4"/>
  <c r="BD563" i="4"/>
  <c r="BN563" i="4" s="1"/>
  <c r="CI563" i="4"/>
  <c r="BD531" i="4"/>
  <c r="BN531" i="4" s="1"/>
  <c r="CI531" i="4"/>
  <c r="BD493" i="4"/>
  <c r="CI493" i="4"/>
  <c r="BD485" i="4"/>
  <c r="BN485" i="4" s="1"/>
  <c r="CI485" i="4"/>
  <c r="BD471" i="4"/>
  <c r="BN471" i="4" s="1"/>
  <c r="CI471" i="4"/>
  <c r="BD449" i="4"/>
  <c r="BN449" i="4" s="1"/>
  <c r="CI449" i="4"/>
  <c r="BD445" i="4"/>
  <c r="BN445" i="4" s="1"/>
  <c r="CI445" i="4"/>
  <c r="BD421" i="4"/>
  <c r="BN421" i="4" s="1"/>
  <c r="CI421" i="4"/>
  <c r="BD417" i="4"/>
  <c r="CI417" i="4"/>
  <c r="BD405" i="4"/>
  <c r="CI405" i="4"/>
  <c r="BD351" i="4"/>
  <c r="CI351" i="4"/>
  <c r="BD349" i="4"/>
  <c r="CI349" i="4"/>
  <c r="BD339" i="4"/>
  <c r="BN339" i="4" s="1"/>
  <c r="CI339" i="4"/>
  <c r="BD333" i="4"/>
  <c r="BN333" i="4" s="1"/>
  <c r="CI333" i="4"/>
  <c r="BD323" i="4"/>
  <c r="BN323" i="4" s="1"/>
  <c r="CI323" i="4"/>
  <c r="BD305" i="4"/>
  <c r="BN305" i="4" s="1"/>
  <c r="CI305" i="4"/>
  <c r="BD295" i="4"/>
  <c r="BN295" i="4" s="1"/>
  <c r="CI295" i="4"/>
  <c r="BD265" i="4"/>
  <c r="BN265" i="4" s="1"/>
  <c r="CI265" i="4"/>
  <c r="BD245" i="4"/>
  <c r="BN245" i="4" s="1"/>
  <c r="CI245" i="4"/>
  <c r="BD239" i="4"/>
  <c r="CI239" i="4"/>
  <c r="BD237" i="4"/>
  <c r="CI237" i="4"/>
  <c r="BD220" i="4"/>
  <c r="BN220" i="4" s="1"/>
  <c r="CI220" i="4"/>
  <c r="BD216" i="4"/>
  <c r="BN216" i="4" s="1"/>
  <c r="CI216" i="4"/>
  <c r="BD213" i="4"/>
  <c r="CI213" i="4"/>
  <c r="BD207" i="4"/>
  <c r="CI207" i="4"/>
  <c r="BD205" i="4"/>
  <c r="BN205" i="4" s="1"/>
  <c r="CI205" i="4"/>
  <c r="BD195" i="4"/>
  <c r="BN195" i="4" s="1"/>
  <c r="CI195" i="4"/>
  <c r="BD187" i="4"/>
  <c r="CI187" i="4"/>
  <c r="BD175" i="4"/>
  <c r="BN175" i="4" s="1"/>
  <c r="CI175" i="4"/>
  <c r="BD135" i="4"/>
  <c r="CI135" i="4"/>
  <c r="BD71" i="4"/>
  <c r="BN71" i="4" s="1"/>
  <c r="CI71" i="4"/>
  <c r="BD47" i="4"/>
  <c r="BN47" i="4" s="1"/>
  <c r="CI47" i="4"/>
  <c r="BD618" i="4"/>
  <c r="BN618" i="4" s="1"/>
  <c r="CI618" i="4"/>
  <c r="BD616" i="4"/>
  <c r="BN616" i="4" s="1"/>
  <c r="CI616" i="4"/>
  <c r="BD614" i="4"/>
  <c r="BN614" i="4" s="1"/>
  <c r="CI614" i="4"/>
  <c r="BD612" i="4"/>
  <c r="BN612" i="4" s="1"/>
  <c r="CI612" i="4"/>
  <c r="BD610" i="4"/>
  <c r="BN610" i="4" s="1"/>
  <c r="CI610" i="4"/>
  <c r="BD602" i="4"/>
  <c r="BN602" i="4" s="1"/>
  <c r="CI602" i="4"/>
  <c r="BD584" i="4"/>
  <c r="BN584" i="4" s="1"/>
  <c r="CI584" i="4"/>
  <c r="BD582" i="4"/>
  <c r="BN582" i="4" s="1"/>
  <c r="CI582" i="4"/>
  <c r="BD574" i="4"/>
  <c r="CI574" i="4"/>
  <c r="BD570" i="4"/>
  <c r="BN570" i="4" s="1"/>
  <c r="CI570" i="4"/>
  <c r="BD556" i="4"/>
  <c r="BN556" i="4" s="1"/>
  <c r="CI556" i="4"/>
  <c r="BD554" i="4"/>
  <c r="BN554" i="4" s="1"/>
  <c r="CI554" i="4"/>
  <c r="BD536" i="4"/>
  <c r="BN536" i="4" s="1"/>
  <c r="CI536" i="4"/>
  <c r="BD534" i="4"/>
  <c r="CI534" i="4"/>
  <c r="BD532" i="4"/>
  <c r="BN532" i="4" s="1"/>
  <c r="CI532" i="4"/>
  <c r="BD530" i="4"/>
  <c r="BN530" i="4" s="1"/>
  <c r="CI530" i="4"/>
  <c r="BD528" i="4"/>
  <c r="BN528" i="4" s="1"/>
  <c r="CI528" i="4"/>
  <c r="BD518" i="4"/>
  <c r="BN518" i="4" s="1"/>
  <c r="CI518" i="4"/>
  <c r="BD516" i="4"/>
  <c r="BN516" i="4" s="1"/>
  <c r="CI516" i="4"/>
  <c r="BD512" i="4"/>
  <c r="BN512" i="4" s="1"/>
  <c r="CI512" i="4"/>
  <c r="BD504" i="4"/>
  <c r="BN504" i="4" s="1"/>
  <c r="CI504" i="4"/>
  <c r="BD502" i="4"/>
  <c r="BN502" i="4" s="1"/>
  <c r="CI502" i="4"/>
  <c r="BD500" i="4"/>
  <c r="BN500" i="4" s="1"/>
  <c r="CI500" i="4"/>
  <c r="BD496" i="4"/>
  <c r="BN496" i="4" s="1"/>
  <c r="CI496" i="4"/>
  <c r="BD494" i="4"/>
  <c r="BN494" i="4" s="1"/>
  <c r="CI494" i="4"/>
  <c r="BD492" i="4"/>
  <c r="CI492" i="4"/>
  <c r="BD490" i="4"/>
  <c r="CI490" i="4"/>
  <c r="BD488" i="4"/>
  <c r="CI488" i="4"/>
  <c r="BD486" i="4"/>
  <c r="BN486" i="4" s="1"/>
  <c r="CI486" i="4"/>
  <c r="BD484" i="4"/>
  <c r="BN484" i="4" s="1"/>
  <c r="CI484" i="4"/>
  <c r="BD474" i="4"/>
  <c r="CI474" i="4"/>
  <c r="BD470" i="4"/>
  <c r="CI470" i="4"/>
  <c r="BD460" i="4"/>
  <c r="BN460" i="4" s="1"/>
  <c r="CI460" i="4"/>
  <c r="BD458" i="4"/>
  <c r="BN458" i="4" s="1"/>
  <c r="CI458" i="4"/>
  <c r="BD456" i="4"/>
  <c r="BN456" i="4" s="1"/>
  <c r="CI456" i="4"/>
  <c r="BD446" i="4"/>
  <c r="BN446" i="4" s="1"/>
  <c r="CI446" i="4"/>
  <c r="BD444" i="4"/>
  <c r="BN444" i="4" s="1"/>
  <c r="CI444" i="4"/>
  <c r="BD442" i="4"/>
  <c r="BN442" i="4" s="1"/>
  <c r="CI442" i="4"/>
  <c r="BD440" i="4"/>
  <c r="BN440" i="4" s="1"/>
  <c r="CI440" i="4"/>
  <c r="BD438" i="4"/>
  <c r="BN438" i="4" s="1"/>
  <c r="CI438" i="4"/>
  <c r="BD436" i="4"/>
  <c r="CI436" i="4"/>
  <c r="BD434" i="4"/>
  <c r="CI434" i="4"/>
  <c r="BD432" i="4"/>
  <c r="CI432" i="4"/>
  <c r="BD430" i="4"/>
  <c r="CI430" i="4"/>
  <c r="BD428" i="4"/>
  <c r="CI428" i="4"/>
  <c r="BD426" i="4"/>
  <c r="CI426" i="4"/>
  <c r="BD420" i="4"/>
  <c r="BN420" i="4" s="1"/>
  <c r="CI420" i="4"/>
  <c r="BD418" i="4"/>
  <c r="BN418" i="4" s="1"/>
  <c r="CI418" i="4"/>
  <c r="BD406" i="4"/>
  <c r="BN406" i="4" s="1"/>
  <c r="CI406" i="4"/>
  <c r="BD402" i="4"/>
  <c r="BN402" i="4" s="1"/>
  <c r="CI402" i="4"/>
  <c r="BD400" i="4"/>
  <c r="BN400" i="4" s="1"/>
  <c r="CI400" i="4"/>
  <c r="BD398" i="4"/>
  <c r="BN398" i="4" s="1"/>
  <c r="CI398" i="4"/>
  <c r="BD396" i="4"/>
  <c r="BN396" i="4" s="1"/>
  <c r="CI396" i="4"/>
  <c r="BD394" i="4"/>
  <c r="BN394" i="4" s="1"/>
  <c r="CI394" i="4"/>
  <c r="BD386" i="4"/>
  <c r="CI386" i="4"/>
  <c r="BD380" i="4"/>
  <c r="BN380" i="4" s="1"/>
  <c r="CI380" i="4"/>
  <c r="BD378" i="4"/>
  <c r="BN378" i="4" s="1"/>
  <c r="CI378" i="4"/>
  <c r="BD376" i="4"/>
  <c r="BN376" i="4" s="1"/>
  <c r="CI376" i="4"/>
  <c r="BD370" i="4"/>
  <c r="BN370" i="4" s="1"/>
  <c r="CI370" i="4"/>
  <c r="BD368" i="4"/>
  <c r="CI368" i="4"/>
  <c r="BD366" i="4"/>
  <c r="BN366" i="4" s="1"/>
  <c r="CI366" i="4"/>
  <c r="BD364" i="4"/>
  <c r="BN364" i="4" s="1"/>
  <c r="CI364" i="4"/>
  <c r="BD362" i="4"/>
  <c r="CI362" i="4"/>
  <c r="BD360" i="4"/>
  <c r="BN360" i="4" s="1"/>
  <c r="CI360" i="4"/>
  <c r="BD358" i="4"/>
  <c r="BN358" i="4" s="1"/>
  <c r="CI358" i="4"/>
  <c r="BD352" i="4"/>
  <c r="CI352" i="4"/>
  <c r="BD350" i="4"/>
  <c r="BN350" i="4" s="1"/>
  <c r="CI350" i="4"/>
  <c r="BD348" i="4"/>
  <c r="CI348" i="4"/>
  <c r="BD346" i="4"/>
  <c r="BN346" i="4" s="1"/>
  <c r="CI346" i="4"/>
  <c r="BD340" i="4"/>
  <c r="BN340" i="4" s="1"/>
  <c r="CI340" i="4"/>
  <c r="BD338" i="4"/>
  <c r="BN338" i="4" s="1"/>
  <c r="CI338" i="4"/>
  <c r="BD336" i="4"/>
  <c r="BN336" i="4" s="1"/>
  <c r="CI336" i="4"/>
  <c r="BD334" i="4"/>
  <c r="BN334" i="4" s="1"/>
  <c r="CI334" i="4"/>
  <c r="BD332" i="4"/>
  <c r="BN332" i="4" s="1"/>
  <c r="CI332" i="4"/>
  <c r="BD330" i="4"/>
  <c r="CI330" i="4"/>
  <c r="BD328" i="4"/>
  <c r="BN328" i="4" s="1"/>
  <c r="CI328" i="4"/>
  <c r="BD322" i="4"/>
  <c r="BN322" i="4" s="1"/>
  <c r="CI322" i="4"/>
  <c r="BD320" i="4"/>
  <c r="BN320" i="4" s="1"/>
  <c r="CI320" i="4"/>
  <c r="BD318" i="4"/>
  <c r="BN318" i="4" s="1"/>
  <c r="CI318" i="4"/>
  <c r="BD316" i="4"/>
  <c r="BN316" i="4" s="1"/>
  <c r="CI316" i="4"/>
  <c r="BD314" i="4"/>
  <c r="CI314" i="4"/>
  <c r="BD312" i="4"/>
  <c r="CI312" i="4"/>
  <c r="BD308" i="4"/>
  <c r="CI308" i="4"/>
  <c r="BD306" i="4"/>
  <c r="CI306" i="4"/>
  <c r="BD302" i="4"/>
  <c r="BN302" i="4" s="1"/>
  <c r="CI302" i="4"/>
  <c r="BD300" i="4"/>
  <c r="BN300" i="4" s="1"/>
  <c r="CI300" i="4"/>
  <c r="BD298" i="4"/>
  <c r="BN298" i="4" s="1"/>
  <c r="CI298" i="4"/>
  <c r="BD296" i="4"/>
  <c r="BN296" i="4" s="1"/>
  <c r="CI296" i="4"/>
  <c r="BD288" i="4"/>
  <c r="BN288" i="4" s="1"/>
  <c r="CI288" i="4"/>
  <c r="BD286" i="4"/>
  <c r="BN286" i="4" s="1"/>
  <c r="CI286" i="4"/>
  <c r="BD284" i="4"/>
  <c r="CI284" i="4"/>
  <c r="BD282" i="4"/>
  <c r="BN282" i="4" s="1"/>
  <c r="CI282" i="4"/>
  <c r="BD280" i="4"/>
  <c r="BN280" i="4" s="1"/>
  <c r="CI280" i="4"/>
  <c r="BD278" i="4"/>
  <c r="BN278" i="4" s="1"/>
  <c r="CI278" i="4"/>
  <c r="BD268" i="4"/>
  <c r="CI268" i="4"/>
  <c r="BD266" i="4"/>
  <c r="BN266" i="4" s="1"/>
  <c r="CI266" i="4"/>
  <c r="BD264" i="4"/>
  <c r="CI264" i="4"/>
  <c r="BD260" i="4"/>
  <c r="BN260" i="4" s="1"/>
  <c r="CI260" i="4"/>
  <c r="BD258" i="4"/>
  <c r="BN258" i="4" s="1"/>
  <c r="CI258" i="4"/>
  <c r="BD256" i="4"/>
  <c r="BN256" i="4" s="1"/>
  <c r="CI256" i="4"/>
  <c r="BD254" i="4"/>
  <c r="CI254" i="4"/>
  <c r="BD252" i="4"/>
  <c r="CI252" i="4"/>
  <c r="BD250" i="4"/>
  <c r="CI250" i="4"/>
  <c r="BD248" i="4"/>
  <c r="BN248" i="4" s="1"/>
  <c r="CI248" i="4"/>
  <c r="BD246" i="4"/>
  <c r="BN246" i="4" s="1"/>
  <c r="CI246" i="4"/>
  <c r="BD244" i="4"/>
  <c r="BN244" i="4" s="1"/>
  <c r="CI244" i="4"/>
  <c r="BD242" i="4"/>
  <c r="BN242" i="4" s="1"/>
  <c r="CI242" i="4"/>
  <c r="BD240" i="4"/>
  <c r="CI240" i="4"/>
  <c r="BD238" i="4"/>
  <c r="CI238" i="4"/>
  <c r="BD236" i="4"/>
  <c r="BN236" i="4" s="1"/>
  <c r="CI236" i="4"/>
  <c r="BD223" i="4"/>
  <c r="BN223" i="4" s="1"/>
  <c r="CU223" i="4" s="1"/>
  <c r="CI223" i="4"/>
  <c r="BD221" i="4"/>
  <c r="BN221" i="4" s="1"/>
  <c r="CI221" i="4"/>
  <c r="BD219" i="4"/>
  <c r="BN219" i="4" s="1"/>
  <c r="CI219" i="4"/>
  <c r="BD215" i="4"/>
  <c r="BN215" i="4" s="1"/>
  <c r="CI215" i="4"/>
  <c r="BD214" i="4"/>
  <c r="BN214" i="4" s="1"/>
  <c r="CI214" i="4"/>
  <c r="BD212" i="4"/>
  <c r="CI212" i="4"/>
  <c r="BD210" i="4"/>
  <c r="CI210" i="4"/>
  <c r="BD208" i="4"/>
  <c r="CI208" i="4"/>
  <c r="BD206" i="4"/>
  <c r="CI206" i="4"/>
  <c r="BD204" i="4"/>
  <c r="BN204" i="4" s="1"/>
  <c r="CI204" i="4"/>
  <c r="BD202" i="4"/>
  <c r="BN202" i="4" s="1"/>
  <c r="CI202" i="4"/>
  <c r="BD200" i="4"/>
  <c r="CI200" i="4"/>
  <c r="BD198" i="4"/>
  <c r="CI198" i="4"/>
  <c r="BD196" i="4"/>
  <c r="BN196" i="4" s="1"/>
  <c r="CI196" i="4"/>
  <c r="BD194" i="4"/>
  <c r="CI194" i="4"/>
  <c r="BD192" i="4"/>
  <c r="CI192" i="4"/>
  <c r="BD190" i="4"/>
  <c r="BN190" i="4" s="1"/>
  <c r="CI190" i="4"/>
  <c r="BD188" i="4"/>
  <c r="BN188" i="4" s="1"/>
  <c r="CI188" i="4"/>
  <c r="BD178" i="4"/>
  <c r="BN178" i="4" s="1"/>
  <c r="CI178" i="4"/>
  <c r="BD176" i="4"/>
  <c r="BN176" i="4" s="1"/>
  <c r="CI176" i="4"/>
  <c r="BD174" i="4"/>
  <c r="BN174" i="4" s="1"/>
  <c r="CI174" i="4"/>
  <c r="BD172" i="4"/>
  <c r="BN172" i="4" s="1"/>
  <c r="CI172" i="4"/>
  <c r="BD164" i="4"/>
  <c r="CI164" i="4"/>
  <c r="BD162" i="4"/>
  <c r="CI162" i="4"/>
  <c r="BD138" i="4"/>
  <c r="BN138" i="4" s="1"/>
  <c r="CI138" i="4"/>
  <c r="BD124" i="4"/>
  <c r="BN124" i="4" s="1"/>
  <c r="CI124" i="4"/>
  <c r="BD122" i="4"/>
  <c r="BN122" i="4" s="1"/>
  <c r="CI122" i="4"/>
  <c r="BD120" i="4"/>
  <c r="BN120" i="4" s="1"/>
  <c r="CI120" i="4"/>
  <c r="BD118" i="4"/>
  <c r="BN118" i="4" s="1"/>
  <c r="CI118" i="4"/>
  <c r="BD110" i="4"/>
  <c r="CI110" i="4"/>
  <c r="BD108" i="4"/>
  <c r="CI108" i="4"/>
  <c r="BD76" i="4"/>
  <c r="BN76" i="4" s="1"/>
  <c r="CI76" i="4"/>
  <c r="BD74" i="4"/>
  <c r="BN74" i="4" s="1"/>
  <c r="CI74" i="4"/>
  <c r="BD72" i="4"/>
  <c r="BN72" i="4" s="1"/>
  <c r="CI72" i="4"/>
  <c r="BD70" i="4"/>
  <c r="BN70" i="4" s="1"/>
  <c r="CI70" i="4"/>
  <c r="BD66" i="4"/>
  <c r="CI66" i="4"/>
  <c r="BD64" i="4"/>
  <c r="CI64" i="4"/>
  <c r="BD44" i="4"/>
  <c r="CI44" i="4"/>
  <c r="BD42" i="4"/>
  <c r="BN42" i="4" s="1"/>
  <c r="CI42" i="4"/>
  <c r="BD40" i="4"/>
  <c r="BN40" i="4" s="1"/>
  <c r="CI40" i="4"/>
  <c r="BD38" i="4"/>
  <c r="BN38" i="4" s="1"/>
  <c r="CI38" i="4"/>
  <c r="BD36" i="4"/>
  <c r="BN36" i="4" s="1"/>
  <c r="CI36" i="4"/>
  <c r="BD34" i="4"/>
  <c r="CI34" i="4"/>
  <c r="BD32" i="4"/>
  <c r="BN32" i="4" s="1"/>
  <c r="CI32" i="4"/>
  <c r="BD30" i="4"/>
  <c r="CI30" i="4"/>
  <c r="BD28" i="4"/>
  <c r="BN28" i="4" s="1"/>
  <c r="CI28" i="4"/>
  <c r="BD26" i="4"/>
  <c r="BN26" i="4" s="1"/>
  <c r="CI26" i="4"/>
  <c r="BD611" i="4"/>
  <c r="BN611" i="4" s="1"/>
  <c r="CI611" i="4"/>
  <c r="BD585" i="4"/>
  <c r="CI585" i="4"/>
  <c r="BD555" i="4"/>
  <c r="BN555" i="4" s="1"/>
  <c r="CI555" i="4"/>
  <c r="BD551" i="4"/>
  <c r="BN551" i="4" s="1"/>
  <c r="CI551" i="4"/>
  <c r="BD535" i="4"/>
  <c r="CI535" i="4"/>
  <c r="BD515" i="4"/>
  <c r="BN515" i="4" s="1"/>
  <c r="CI515" i="4"/>
  <c r="BD503" i="4"/>
  <c r="BN503" i="4" s="1"/>
  <c r="CI503" i="4"/>
  <c r="BD499" i="4"/>
  <c r="BN499" i="4" s="1"/>
  <c r="CI499" i="4"/>
  <c r="BD495" i="4"/>
  <c r="BN495" i="4" s="1"/>
  <c r="CI495" i="4"/>
  <c r="BD489" i="4"/>
  <c r="CI489" i="4"/>
  <c r="BD475" i="4"/>
  <c r="CI475" i="4"/>
  <c r="BD469" i="4"/>
  <c r="CI469" i="4"/>
  <c r="BD439" i="4"/>
  <c r="BN439" i="4" s="1"/>
  <c r="CI439" i="4"/>
  <c r="BD431" i="4"/>
  <c r="CI431" i="4"/>
  <c r="BD427" i="4"/>
  <c r="BN427" i="4" s="1"/>
  <c r="CI427" i="4"/>
  <c r="BD425" i="4"/>
  <c r="CI425" i="4"/>
  <c r="BD415" i="4"/>
  <c r="BN415" i="4" s="1"/>
  <c r="CI415" i="4"/>
  <c r="BD401" i="4"/>
  <c r="BN401" i="4" s="1"/>
  <c r="CI401" i="4"/>
  <c r="BD399" i="4"/>
  <c r="BN399" i="4" s="1"/>
  <c r="CI399" i="4"/>
  <c r="BD395" i="4"/>
  <c r="BN395" i="4" s="1"/>
  <c r="CI395" i="4"/>
  <c r="BD391" i="4"/>
  <c r="BN391" i="4" s="1"/>
  <c r="CI391" i="4"/>
  <c r="BD377" i="4"/>
  <c r="BN377" i="4" s="1"/>
  <c r="CI377" i="4"/>
  <c r="BD365" i="4"/>
  <c r="BN365" i="4" s="1"/>
  <c r="CI365" i="4"/>
  <c r="BD359" i="4"/>
  <c r="BN359" i="4" s="1"/>
  <c r="CI359" i="4"/>
  <c r="BD345" i="4"/>
  <c r="BN345" i="4" s="1"/>
  <c r="CI345" i="4"/>
  <c r="BD337" i="4"/>
  <c r="BN337" i="4" s="1"/>
  <c r="CI337" i="4"/>
  <c r="BD321" i="4"/>
  <c r="BN321" i="4" s="1"/>
  <c r="CI321" i="4"/>
  <c r="BD317" i="4"/>
  <c r="BN317" i="4" s="1"/>
  <c r="CI317" i="4"/>
  <c r="BD313" i="4"/>
  <c r="CI313" i="4"/>
  <c r="BD301" i="4"/>
  <c r="BN301" i="4" s="1"/>
  <c r="CI301" i="4"/>
  <c r="BD297" i="4"/>
  <c r="CI297" i="4"/>
  <c r="BD291" i="4"/>
  <c r="BN291" i="4" s="1"/>
  <c r="CI291" i="4"/>
  <c r="BD287" i="4"/>
  <c r="BN287" i="4" s="1"/>
  <c r="CI287" i="4"/>
  <c r="BD285" i="4"/>
  <c r="CI285" i="4"/>
  <c r="BD281" i="4"/>
  <c r="BN281" i="4" s="1"/>
  <c r="CI281" i="4"/>
  <c r="BD279" i="4"/>
  <c r="BN279" i="4" s="1"/>
  <c r="CI279" i="4"/>
  <c r="BD269" i="4"/>
  <c r="CI269" i="4"/>
  <c r="BD255" i="4"/>
  <c r="CI255" i="4"/>
  <c r="BD251" i="4"/>
  <c r="CI251" i="4"/>
  <c r="BD249" i="4"/>
  <c r="BN249" i="4" s="1"/>
  <c r="CI249" i="4"/>
  <c r="BD247" i="4"/>
  <c r="BN247" i="4" s="1"/>
  <c r="CI247" i="4"/>
  <c r="BD243" i="4"/>
  <c r="CI243" i="4"/>
  <c r="BD222" i="4"/>
  <c r="CI222" i="4"/>
  <c r="BD218" i="4"/>
  <c r="CI218" i="4"/>
  <c r="BD224" i="4"/>
  <c r="BN224" i="4" s="1"/>
  <c r="CI224" i="4"/>
  <c r="BD211" i="4"/>
  <c r="CI211" i="4"/>
  <c r="BD209" i="4"/>
  <c r="CI209" i="4"/>
  <c r="BD201" i="4"/>
  <c r="CI201" i="4"/>
  <c r="BD199" i="4"/>
  <c r="CI199" i="4"/>
  <c r="BD197" i="4"/>
  <c r="CI197" i="4"/>
  <c r="BD193" i="4"/>
  <c r="CI193" i="4"/>
  <c r="BD189" i="4"/>
  <c r="CI189" i="4"/>
  <c r="BD163" i="4"/>
  <c r="CI163" i="4"/>
  <c r="BD123" i="4"/>
  <c r="BN123" i="4" s="1"/>
  <c r="CI123" i="4"/>
  <c r="BD119" i="4"/>
  <c r="BN119" i="4" s="1"/>
  <c r="CI119" i="4"/>
  <c r="BD109" i="4"/>
  <c r="CI109" i="4"/>
  <c r="BD87" i="4"/>
  <c r="BN87" i="4" s="1"/>
  <c r="CI87" i="4"/>
  <c r="BD77" i="4"/>
  <c r="BN77" i="4" s="1"/>
  <c r="CI77" i="4"/>
  <c r="BD73" i="4"/>
  <c r="BN73" i="4" s="1"/>
  <c r="CI73" i="4"/>
  <c r="BD65" i="4"/>
  <c r="CI65" i="4"/>
  <c r="BD39" i="4"/>
  <c r="BN39" i="4" s="1"/>
  <c r="CI39" i="4"/>
  <c r="BD35" i="4"/>
  <c r="BN35" i="4" s="1"/>
  <c r="CI35" i="4"/>
  <c r="BD615" i="4"/>
  <c r="BN615" i="4" s="1"/>
  <c r="CI615" i="4"/>
  <c r="BD613" i="4"/>
  <c r="BN613" i="4" s="1"/>
  <c r="CI613" i="4"/>
  <c r="BD539" i="4"/>
  <c r="BN539" i="4" s="1"/>
  <c r="CI539" i="4"/>
  <c r="BD533" i="4"/>
  <c r="BN533" i="4" s="1"/>
  <c r="CI533" i="4"/>
  <c r="BD529" i="4"/>
  <c r="CI529" i="4"/>
  <c r="BD519" i="4"/>
  <c r="BN519" i="4" s="1"/>
  <c r="CI519" i="4"/>
  <c r="BD501" i="4"/>
  <c r="BN501" i="4" s="1"/>
  <c r="CI501" i="4"/>
  <c r="BD497" i="4"/>
  <c r="BN497" i="4" s="1"/>
  <c r="CI497" i="4"/>
  <c r="BD491" i="4"/>
  <c r="CI491" i="4"/>
  <c r="BD487" i="4"/>
  <c r="BN487" i="4" s="1"/>
  <c r="CI487" i="4"/>
  <c r="BD461" i="4"/>
  <c r="BN461" i="4" s="1"/>
  <c r="CI461" i="4"/>
  <c r="BD459" i="4"/>
  <c r="BN459" i="4" s="1"/>
  <c r="CI459" i="4"/>
  <c r="BD441" i="4"/>
  <c r="BN441" i="4" s="1"/>
  <c r="CI441" i="4"/>
  <c r="BD437" i="4"/>
  <c r="BN437" i="4" s="1"/>
  <c r="CI437" i="4"/>
  <c r="BD435" i="4"/>
  <c r="CI435" i="4"/>
  <c r="BD433" i="4"/>
  <c r="CI433" i="4"/>
  <c r="BD429" i="4"/>
  <c r="CI429" i="4"/>
  <c r="BD407" i="4"/>
  <c r="BN407" i="4" s="1"/>
  <c r="CI407" i="4"/>
  <c r="BD397" i="4"/>
  <c r="CI397" i="4"/>
  <c r="BD387" i="4"/>
  <c r="BN387" i="4" s="1"/>
  <c r="CI387" i="4"/>
  <c r="BD385" i="4"/>
  <c r="CI385" i="4"/>
  <c r="BD379" i="4"/>
  <c r="CI379" i="4"/>
  <c r="BD375" i="4"/>
  <c r="BN375" i="4" s="1"/>
  <c r="CI375" i="4"/>
  <c r="BD369" i="4"/>
  <c r="CI369" i="4"/>
  <c r="BD363" i="4"/>
  <c r="BN363" i="4" s="1"/>
  <c r="CI363" i="4"/>
  <c r="BD361" i="4"/>
  <c r="BN361" i="4" s="1"/>
  <c r="CI361" i="4"/>
  <c r="BD357" i="4"/>
  <c r="BN357" i="4" s="1"/>
  <c r="CI357" i="4"/>
  <c r="BD353" i="4"/>
  <c r="BN353" i="4" s="1"/>
  <c r="CI353" i="4"/>
  <c r="BD335" i="4"/>
  <c r="BN335" i="4" s="1"/>
  <c r="CI335" i="4"/>
  <c r="BD331" i="4"/>
  <c r="BN331" i="4" s="1"/>
  <c r="CI331" i="4"/>
  <c r="BD319" i="4"/>
  <c r="BN319" i="4" s="1"/>
  <c r="CI319" i="4"/>
  <c r="BD315" i="4"/>
  <c r="BN315" i="4" s="1"/>
  <c r="CI315" i="4"/>
  <c r="BD311" i="4"/>
  <c r="BN311" i="4" s="1"/>
  <c r="CI311" i="4"/>
  <c r="BD307" i="4"/>
  <c r="CI307" i="4"/>
  <c r="BD299" i="4"/>
  <c r="BN299" i="4" s="1"/>
  <c r="CI299" i="4"/>
  <c r="BD283" i="4"/>
  <c r="BN283" i="4" s="1"/>
  <c r="CI283" i="4"/>
  <c r="BD267" i="4"/>
  <c r="CI267" i="4"/>
  <c r="BD259" i="4"/>
  <c r="BN259" i="4" s="1"/>
  <c r="CI259" i="4"/>
  <c r="BD257" i="4"/>
  <c r="BN257" i="4" s="1"/>
  <c r="CI257" i="4"/>
  <c r="BD253" i="4"/>
  <c r="P18" i="2" s="1"/>
  <c r="Y18" i="2" s="1"/>
  <c r="CI253" i="4"/>
  <c r="AQ18" i="2" s="1"/>
  <c r="BD241" i="4"/>
  <c r="BN241" i="4" s="1"/>
  <c r="CI241" i="4"/>
  <c r="BD235" i="4"/>
  <c r="CI235" i="4"/>
  <c r="BD225" i="4"/>
  <c r="CI225" i="4"/>
  <c r="BD203" i="4"/>
  <c r="BN203" i="4" s="1"/>
  <c r="CI203" i="4"/>
  <c r="BD191" i="4"/>
  <c r="CI191" i="4"/>
  <c r="BD177" i="4"/>
  <c r="BN177" i="4" s="1"/>
  <c r="CI177" i="4"/>
  <c r="BD173" i="4"/>
  <c r="BN173" i="4" s="1"/>
  <c r="CI173" i="4"/>
  <c r="BD121" i="4"/>
  <c r="BN121" i="4" s="1"/>
  <c r="CI121" i="4"/>
  <c r="BD75" i="4"/>
  <c r="BN75" i="4" s="1"/>
  <c r="CI75" i="4"/>
  <c r="BD69" i="4"/>
  <c r="BN69" i="4" s="1"/>
  <c r="CI69" i="4"/>
  <c r="BD43" i="4"/>
  <c r="BN43" i="4" s="1"/>
  <c r="CI43" i="4"/>
  <c r="BD41" i="4"/>
  <c r="CI41" i="4"/>
  <c r="BD37" i="4"/>
  <c r="BN37" i="4" s="1"/>
  <c r="CI37" i="4"/>
  <c r="BD29" i="4"/>
  <c r="BN29" i="4" s="1"/>
  <c r="CI29" i="4"/>
  <c r="BD27" i="4"/>
  <c r="BN27" i="4" s="1"/>
  <c r="CI27" i="4"/>
  <c r="BD25" i="4"/>
  <c r="CI25" i="4"/>
  <c r="BD9" i="4"/>
  <c r="BN9" i="4" s="1"/>
  <c r="CI9" i="4"/>
  <c r="CH619" i="4"/>
  <c r="CH617" i="4"/>
  <c r="CH601" i="4"/>
  <c r="CH583" i="4"/>
  <c r="CH573" i="4"/>
  <c r="CH569" i="4"/>
  <c r="CH563" i="4"/>
  <c r="CH531" i="4"/>
  <c r="CH493" i="4"/>
  <c r="CH485" i="4"/>
  <c r="CH471" i="4"/>
  <c r="CH449" i="4"/>
  <c r="CH445" i="4"/>
  <c r="CH421" i="4"/>
  <c r="CH417" i="4"/>
  <c r="CH405" i="4"/>
  <c r="CH351" i="4"/>
  <c r="CH349" i="4"/>
  <c r="CH339" i="4"/>
  <c r="CH333" i="4"/>
  <c r="CH323" i="4"/>
  <c r="CH305" i="4"/>
  <c r="CH295" i="4"/>
  <c r="CH265" i="4"/>
  <c r="CH245" i="4"/>
  <c r="CH239" i="4"/>
  <c r="CH237" i="4"/>
  <c r="CH220" i="4"/>
  <c r="CH216" i="4"/>
  <c r="CH213" i="4"/>
  <c r="CH207" i="4"/>
  <c r="CH205" i="4"/>
  <c r="CH195" i="4"/>
  <c r="CH187" i="4"/>
  <c r="CH175" i="4"/>
  <c r="CH135" i="4"/>
  <c r="CH71" i="4"/>
  <c r="CH47" i="4"/>
  <c r="CH618" i="4"/>
  <c r="CH616" i="4"/>
  <c r="CH614" i="4"/>
  <c r="CH612" i="4"/>
  <c r="CH610" i="4"/>
  <c r="CH602" i="4"/>
  <c r="CH584" i="4"/>
  <c r="CH582" i="4"/>
  <c r="CH574" i="4"/>
  <c r="CH570" i="4"/>
  <c r="CH556" i="4"/>
  <c r="CH554" i="4"/>
  <c r="CH536" i="4"/>
  <c r="CH534" i="4"/>
  <c r="CH532" i="4"/>
  <c r="CH530" i="4"/>
  <c r="CH528" i="4"/>
  <c r="CH518" i="4"/>
  <c r="CH516" i="4"/>
  <c r="CH512" i="4"/>
  <c r="CH504" i="4"/>
  <c r="CH502" i="4"/>
  <c r="CH500" i="4"/>
  <c r="CH496" i="4"/>
  <c r="CH494" i="4"/>
  <c r="CH492" i="4"/>
  <c r="CH490" i="4"/>
  <c r="CH488" i="4"/>
  <c r="CH486" i="4"/>
  <c r="CH484" i="4"/>
  <c r="CH474" i="4"/>
  <c r="CH470" i="4"/>
  <c r="CH460" i="4"/>
  <c r="CH458" i="4"/>
  <c r="CH456" i="4"/>
  <c r="CH446" i="4"/>
  <c r="CH444" i="4"/>
  <c r="CH442" i="4"/>
  <c r="CH440" i="4"/>
  <c r="CH438" i="4"/>
  <c r="CH436" i="4"/>
  <c r="CH434" i="4"/>
  <c r="CH432" i="4"/>
  <c r="CH430" i="4"/>
  <c r="CH428" i="4"/>
  <c r="CH426" i="4"/>
  <c r="CH420" i="4"/>
  <c r="CH418" i="4"/>
  <c r="CH406" i="4"/>
  <c r="CH402" i="4"/>
  <c r="CH400" i="4"/>
  <c r="CH398" i="4"/>
  <c r="CH396" i="4"/>
  <c r="CH394" i="4"/>
  <c r="CH386" i="4"/>
  <c r="CH380" i="4"/>
  <c r="CH378" i="4"/>
  <c r="CH376" i="4"/>
  <c r="CH370" i="4"/>
  <c r="CH368" i="4"/>
  <c r="CH366" i="4"/>
  <c r="CH364" i="4"/>
  <c r="CH362" i="4"/>
  <c r="CH360" i="4"/>
  <c r="CH358" i="4"/>
  <c r="CH352" i="4"/>
  <c r="CH350" i="4"/>
  <c r="CH348" i="4"/>
  <c r="CH346" i="4"/>
  <c r="CH340" i="4"/>
  <c r="CH338" i="4"/>
  <c r="CH336" i="4"/>
  <c r="CH334" i="4"/>
  <c r="CH332" i="4"/>
  <c r="CH330" i="4"/>
  <c r="CH328" i="4"/>
  <c r="CH322" i="4"/>
  <c r="CH320" i="4"/>
  <c r="CH318" i="4"/>
  <c r="CH316" i="4"/>
  <c r="CH314" i="4"/>
  <c r="CH312" i="4"/>
  <c r="CH308" i="4"/>
  <c r="CH306" i="4"/>
  <c r="CH302" i="4"/>
  <c r="CH300" i="4"/>
  <c r="CH298" i="4"/>
  <c r="CH296" i="4"/>
  <c r="CH288" i="4"/>
  <c r="CH286" i="4"/>
  <c r="CH284" i="4"/>
  <c r="CH282" i="4"/>
  <c r="CH280" i="4"/>
  <c r="CH278" i="4"/>
  <c r="CH268" i="4"/>
  <c r="CH266" i="4"/>
  <c r="CH264" i="4"/>
  <c r="CH260" i="4"/>
  <c r="CH258" i="4"/>
  <c r="CH256" i="4"/>
  <c r="CH254" i="4"/>
  <c r="CH252" i="4"/>
  <c r="CH250" i="4"/>
  <c r="CH248" i="4"/>
  <c r="CH246" i="4"/>
  <c r="CH244" i="4"/>
  <c r="CH242" i="4"/>
  <c r="CH240" i="4"/>
  <c r="CH238" i="4"/>
  <c r="CH236" i="4"/>
  <c r="CT223" i="4"/>
  <c r="CH223" i="4"/>
  <c r="CH221" i="4"/>
  <c r="CH219" i="4"/>
  <c r="CH215" i="4"/>
  <c r="CH214" i="4"/>
  <c r="CH212" i="4"/>
  <c r="CH210" i="4"/>
  <c r="CT210" i="4"/>
  <c r="CH208" i="4"/>
  <c r="CH206" i="4"/>
  <c r="CH204" i="4"/>
  <c r="CH202" i="4"/>
  <c r="CH200" i="4"/>
  <c r="CH198" i="4"/>
  <c r="CT198" i="4"/>
  <c r="CH196" i="4"/>
  <c r="CH194" i="4"/>
  <c r="CH192" i="4"/>
  <c r="CH190" i="4"/>
  <c r="CH188" i="4"/>
  <c r="CH178" i="4"/>
  <c r="CH176" i="4"/>
  <c r="CH174" i="4"/>
  <c r="CH172" i="4"/>
  <c r="CH164" i="4"/>
  <c r="CH162" i="4"/>
  <c r="CH138" i="4"/>
  <c r="CH124" i="4"/>
  <c r="CH122" i="4"/>
  <c r="CH120" i="4"/>
  <c r="CH118" i="4"/>
  <c r="CH110" i="4"/>
  <c r="CH108" i="4"/>
  <c r="CH76" i="4"/>
  <c r="CH74" i="4"/>
  <c r="CH72" i="4"/>
  <c r="CH70" i="4"/>
  <c r="CH66" i="4"/>
  <c r="CH64" i="4"/>
  <c r="CH44" i="4"/>
  <c r="CH42" i="4"/>
  <c r="CH40" i="4"/>
  <c r="CH38" i="4"/>
  <c r="CH36" i="4"/>
  <c r="CH34" i="4"/>
  <c r="CH32" i="4"/>
  <c r="CH30" i="4"/>
  <c r="CH28" i="4"/>
  <c r="CH26" i="4"/>
  <c r="CH611" i="4"/>
  <c r="CH585" i="4"/>
  <c r="CH555" i="4"/>
  <c r="CH551" i="4"/>
  <c r="CH535" i="4"/>
  <c r="CH515" i="4"/>
  <c r="CH503" i="4"/>
  <c r="CH499" i="4"/>
  <c r="CH495" i="4"/>
  <c r="CH489" i="4"/>
  <c r="CH475" i="4"/>
  <c r="CH469" i="4"/>
  <c r="CH439" i="4"/>
  <c r="CH431" i="4"/>
  <c r="CH427" i="4"/>
  <c r="CH425" i="4"/>
  <c r="CH415" i="4"/>
  <c r="CH401" i="4"/>
  <c r="CH399" i="4"/>
  <c r="CH395" i="4"/>
  <c r="CH391" i="4"/>
  <c r="CH377" i="4"/>
  <c r="CH365" i="4"/>
  <c r="CH359" i="4"/>
  <c r="CH345" i="4"/>
  <c r="CH337" i="4"/>
  <c r="CH321" i="4"/>
  <c r="CH317" i="4"/>
  <c r="CH313" i="4"/>
  <c r="CH301" i="4"/>
  <c r="CH297" i="4"/>
  <c r="CH291" i="4"/>
  <c r="CH287" i="4"/>
  <c r="CH285" i="4"/>
  <c r="CH281" i="4"/>
  <c r="CH279" i="4"/>
  <c r="CH269" i="4"/>
  <c r="CH255" i="4"/>
  <c r="CH251" i="4"/>
  <c r="CH249" i="4"/>
  <c r="CH247" i="4"/>
  <c r="CH243" i="4"/>
  <c r="CH222" i="4"/>
  <c r="CH218" i="4"/>
  <c r="CH224" i="4"/>
  <c r="CH211" i="4"/>
  <c r="CH209" i="4"/>
  <c r="CT209" i="4"/>
  <c r="CH201" i="4"/>
  <c r="CH199" i="4"/>
  <c r="CH197" i="4"/>
  <c r="CT197" i="4"/>
  <c r="CH193" i="4"/>
  <c r="CH189" i="4"/>
  <c r="CH163" i="4"/>
  <c r="CH123" i="4"/>
  <c r="CH119" i="4"/>
  <c r="CH109" i="4"/>
  <c r="CH87" i="4"/>
  <c r="CH77" i="4"/>
  <c r="CH73" i="4"/>
  <c r="CH65" i="4"/>
  <c r="CH39" i="4"/>
  <c r="CH35" i="4"/>
  <c r="CH615" i="4"/>
  <c r="CH613" i="4"/>
  <c r="CH539" i="4"/>
  <c r="CH533" i="4"/>
  <c r="CH529" i="4"/>
  <c r="CH519" i="4"/>
  <c r="CH501" i="4"/>
  <c r="CH497" i="4"/>
  <c r="CH491" i="4"/>
  <c r="CH487" i="4"/>
  <c r="CH461" i="4"/>
  <c r="CH459" i="4"/>
  <c r="CH441" i="4"/>
  <c r="CH437" i="4"/>
  <c r="CH435" i="4"/>
  <c r="CH433" i="4"/>
  <c r="CH429" i="4"/>
  <c r="CH407" i="4"/>
  <c r="CH397" i="4"/>
  <c r="CH387" i="4"/>
  <c r="CH385" i="4"/>
  <c r="CH379" i="4"/>
  <c r="CH375" i="4"/>
  <c r="CH369" i="4"/>
  <c r="CH363" i="4"/>
  <c r="CH361" i="4"/>
  <c r="CH357" i="4"/>
  <c r="CH353" i="4"/>
  <c r="CH335" i="4"/>
  <c r="CH331" i="4"/>
  <c r="CH319" i="4"/>
  <c r="CH315" i="4"/>
  <c r="CH311" i="4"/>
  <c r="CH307" i="4"/>
  <c r="CH299" i="4"/>
  <c r="CH283" i="4"/>
  <c r="CH267" i="4"/>
  <c r="CH259" i="4"/>
  <c r="CH257" i="4"/>
  <c r="CH253" i="4"/>
  <c r="AP18" i="2" s="1"/>
  <c r="CH241" i="4"/>
  <c r="CH235" i="4"/>
  <c r="CH225" i="4"/>
  <c r="CH203" i="4"/>
  <c r="CH191" i="4"/>
  <c r="CT191" i="4"/>
  <c r="CH177" i="4"/>
  <c r="CH173" i="4"/>
  <c r="CH121" i="4"/>
  <c r="CH75" i="4"/>
  <c r="CH69" i="4"/>
  <c r="CH43" i="4"/>
  <c r="CH41" i="4"/>
  <c r="CH37" i="4"/>
  <c r="CH29" i="4"/>
  <c r="CH27" i="4"/>
  <c r="CH25" i="4"/>
  <c r="CH9" i="4"/>
  <c r="AR619" i="4"/>
  <c r="CG619" i="4"/>
  <c r="AR617" i="4"/>
  <c r="BL617" i="4" s="1"/>
  <c r="CG617" i="4"/>
  <c r="AR601" i="4"/>
  <c r="BL601" i="4" s="1"/>
  <c r="CG601" i="4"/>
  <c r="AR583" i="4"/>
  <c r="BL583" i="4" s="1"/>
  <c r="CG583" i="4"/>
  <c r="AR573" i="4"/>
  <c r="E573" i="4" s="1"/>
  <c r="CG573" i="4"/>
  <c r="AR569" i="4"/>
  <c r="BL569" i="4" s="1"/>
  <c r="CG569" i="4"/>
  <c r="AR563" i="4"/>
  <c r="BL563" i="4" s="1"/>
  <c r="CG563" i="4"/>
  <c r="AR531" i="4"/>
  <c r="BL531" i="4" s="1"/>
  <c r="CG531" i="4"/>
  <c r="AR493" i="4"/>
  <c r="E493" i="4" s="1"/>
  <c r="CG493" i="4"/>
  <c r="AR485" i="4"/>
  <c r="BL485" i="4" s="1"/>
  <c r="CG485" i="4"/>
  <c r="AR471" i="4"/>
  <c r="BL471" i="4" s="1"/>
  <c r="CG471" i="4"/>
  <c r="AR449" i="4"/>
  <c r="BL449" i="4" s="1"/>
  <c r="CG449" i="4"/>
  <c r="AR421" i="4"/>
  <c r="BL421" i="4" s="1"/>
  <c r="CG421" i="4"/>
  <c r="AR417" i="4"/>
  <c r="E417" i="4" s="1"/>
  <c r="CG417" i="4"/>
  <c r="AR405" i="4"/>
  <c r="E405" i="4" s="1"/>
  <c r="CG405" i="4"/>
  <c r="AR351" i="4"/>
  <c r="E351" i="4" s="1"/>
  <c r="CG351" i="4"/>
  <c r="AR349" i="4"/>
  <c r="E349" i="4" s="1"/>
  <c r="CG349" i="4"/>
  <c r="AR339" i="4"/>
  <c r="BL339" i="4" s="1"/>
  <c r="CG339" i="4"/>
  <c r="AR333" i="4"/>
  <c r="BL333" i="4" s="1"/>
  <c r="CG333" i="4"/>
  <c r="AR323" i="4"/>
  <c r="BL323" i="4" s="1"/>
  <c r="CG323" i="4"/>
  <c r="AR305" i="4"/>
  <c r="BL305" i="4" s="1"/>
  <c r="CG305" i="4"/>
  <c r="AR265" i="4"/>
  <c r="BL265" i="4" s="1"/>
  <c r="CG265" i="4"/>
  <c r="AR245" i="4"/>
  <c r="BL245" i="4" s="1"/>
  <c r="CG245" i="4"/>
  <c r="AR239" i="4"/>
  <c r="E239" i="4" s="1"/>
  <c r="CG239" i="4"/>
  <c r="AR237" i="4"/>
  <c r="E237" i="4" s="1"/>
  <c r="CG237" i="4"/>
  <c r="AR213" i="4"/>
  <c r="E213" i="4" s="1"/>
  <c r="CG213" i="4"/>
  <c r="AR207" i="4"/>
  <c r="E207" i="4" s="1"/>
  <c r="CG207" i="4"/>
  <c r="AR205" i="4"/>
  <c r="CG205" i="4"/>
  <c r="AR195" i="4"/>
  <c r="BL195" i="4" s="1"/>
  <c r="CG195" i="4"/>
  <c r="AR187" i="4"/>
  <c r="E187" i="4" s="1"/>
  <c r="CG187" i="4"/>
  <c r="AR175" i="4"/>
  <c r="BL175" i="4" s="1"/>
  <c r="CG175" i="4"/>
  <c r="AR135" i="4"/>
  <c r="E135" i="4" s="1"/>
  <c r="CG135" i="4"/>
  <c r="AR71" i="4"/>
  <c r="BL71" i="4" s="1"/>
  <c r="CG71" i="4"/>
  <c r="AR618" i="4"/>
  <c r="CG618" i="4"/>
  <c r="AR616" i="4"/>
  <c r="CG616" i="4"/>
  <c r="AR614" i="4"/>
  <c r="CG614" i="4"/>
  <c r="AR612" i="4"/>
  <c r="BL612" i="4" s="1"/>
  <c r="CG612" i="4"/>
  <c r="AR610" i="4"/>
  <c r="BL610" i="4" s="1"/>
  <c r="CG610" i="4"/>
  <c r="AR602" i="4"/>
  <c r="CG602" i="4"/>
  <c r="AR584" i="4"/>
  <c r="CG584" i="4"/>
  <c r="AR582" i="4"/>
  <c r="CG582" i="4"/>
  <c r="AR574" i="4"/>
  <c r="E574" i="4" s="1"/>
  <c r="CG574" i="4"/>
  <c r="AR570" i="4"/>
  <c r="BL570" i="4" s="1"/>
  <c r="CG570" i="4"/>
  <c r="AR554" i="4"/>
  <c r="BL554" i="4" s="1"/>
  <c r="CG554" i="4"/>
  <c r="AR536" i="4"/>
  <c r="CG536" i="4"/>
  <c r="AR534" i="4"/>
  <c r="E534" i="4" s="1"/>
  <c r="CG534" i="4"/>
  <c r="AR532" i="4"/>
  <c r="BL532" i="4" s="1"/>
  <c r="CG532" i="4"/>
  <c r="AR530" i="4"/>
  <c r="BL530" i="4" s="1"/>
  <c r="CG530" i="4"/>
  <c r="AR518" i="4"/>
  <c r="BL518" i="4" s="1"/>
  <c r="CG518" i="4"/>
  <c r="AR504" i="4"/>
  <c r="BL504" i="4" s="1"/>
  <c r="CG504" i="4"/>
  <c r="AR502" i="4"/>
  <c r="BL502" i="4" s="1"/>
  <c r="CG502" i="4"/>
  <c r="AR500" i="4"/>
  <c r="BL500" i="4" s="1"/>
  <c r="CG500" i="4"/>
  <c r="AR496" i="4"/>
  <c r="BL496" i="4" s="1"/>
  <c r="CG496" i="4"/>
  <c r="AR494" i="4"/>
  <c r="BL494" i="4" s="1"/>
  <c r="CG494" i="4"/>
  <c r="AR492" i="4"/>
  <c r="E492" i="4" s="1"/>
  <c r="CG492" i="4"/>
  <c r="AR490" i="4"/>
  <c r="E490" i="4" s="1"/>
  <c r="CG490" i="4"/>
  <c r="AR488" i="4"/>
  <c r="E488" i="4" s="1"/>
  <c r="CG488" i="4"/>
  <c r="AR486" i="4"/>
  <c r="BL486" i="4" s="1"/>
  <c r="CG486" i="4"/>
  <c r="AR484" i="4"/>
  <c r="BL484" i="4" s="1"/>
  <c r="CG484" i="4"/>
  <c r="AR474" i="4"/>
  <c r="E474" i="4" s="1"/>
  <c r="CG474" i="4"/>
  <c r="AR470" i="4"/>
  <c r="E470" i="4" s="1"/>
  <c r="CG470" i="4"/>
  <c r="AR460" i="4"/>
  <c r="BL460" i="4" s="1"/>
  <c r="CG460" i="4"/>
  <c r="AR458" i="4"/>
  <c r="BL458" i="4" s="1"/>
  <c r="CG458" i="4"/>
  <c r="AR456" i="4"/>
  <c r="BL456" i="4" s="1"/>
  <c r="CG456" i="4"/>
  <c r="AR446" i="4"/>
  <c r="BL446" i="4" s="1"/>
  <c r="CG446" i="4"/>
  <c r="AR444" i="4"/>
  <c r="BL444" i="4" s="1"/>
  <c r="CG444" i="4"/>
  <c r="AR442" i="4"/>
  <c r="BL442" i="4" s="1"/>
  <c r="CG442" i="4"/>
  <c r="AR440" i="4"/>
  <c r="BL440" i="4" s="1"/>
  <c r="CG440" i="4"/>
  <c r="AR438" i="4"/>
  <c r="BL438" i="4" s="1"/>
  <c r="CG438" i="4"/>
  <c r="AR436" i="4"/>
  <c r="E436" i="4" s="1"/>
  <c r="CG436" i="4"/>
  <c r="AR434" i="4"/>
  <c r="E434" i="4" s="1"/>
  <c r="CG434" i="4"/>
  <c r="AR432" i="4"/>
  <c r="E432" i="4" s="1"/>
  <c r="CG432" i="4"/>
  <c r="AR430" i="4"/>
  <c r="E430" i="4" s="1"/>
  <c r="CG430" i="4"/>
  <c r="AR428" i="4"/>
  <c r="E428" i="4" s="1"/>
  <c r="CG428" i="4"/>
  <c r="AR426" i="4"/>
  <c r="E426" i="4" s="1"/>
  <c r="CG426" i="4"/>
  <c r="AR420" i="4"/>
  <c r="BL420" i="4" s="1"/>
  <c r="CG420" i="4"/>
  <c r="AR418" i="4"/>
  <c r="BL418" i="4" s="1"/>
  <c r="CG418" i="4"/>
  <c r="AR406" i="4"/>
  <c r="BL406" i="4" s="1"/>
  <c r="CG406" i="4"/>
  <c r="AR402" i="4"/>
  <c r="BL402" i="4" s="1"/>
  <c r="CG402" i="4"/>
  <c r="AR400" i="4"/>
  <c r="BL400" i="4" s="1"/>
  <c r="CG400" i="4"/>
  <c r="AR398" i="4"/>
  <c r="BL398" i="4" s="1"/>
  <c r="CG398" i="4"/>
  <c r="AR396" i="4"/>
  <c r="BL396" i="4" s="1"/>
  <c r="CG396" i="4"/>
  <c r="AR394" i="4"/>
  <c r="BL394" i="4" s="1"/>
  <c r="CG394" i="4"/>
  <c r="AR386" i="4"/>
  <c r="E386" i="4" s="1"/>
  <c r="CG386" i="4"/>
  <c r="AR380" i="4"/>
  <c r="BL380" i="4" s="1"/>
  <c r="CG380" i="4"/>
  <c r="AR378" i="4"/>
  <c r="BL378" i="4" s="1"/>
  <c r="CG378" i="4"/>
  <c r="AR376" i="4"/>
  <c r="BL376" i="4" s="1"/>
  <c r="CG376" i="4"/>
  <c r="AR370" i="4"/>
  <c r="BL370" i="4" s="1"/>
  <c r="CG370" i="4"/>
  <c r="AR368" i="4"/>
  <c r="E368" i="4" s="1"/>
  <c r="CG368" i="4"/>
  <c r="AR366" i="4"/>
  <c r="BL366" i="4" s="1"/>
  <c r="CG366" i="4"/>
  <c r="AR364" i="4"/>
  <c r="BL364" i="4" s="1"/>
  <c r="CG364" i="4"/>
  <c r="AR362" i="4"/>
  <c r="E362" i="4" s="1"/>
  <c r="CG362" i="4"/>
  <c r="AR358" i="4"/>
  <c r="BL358" i="4" s="1"/>
  <c r="CG358" i="4"/>
  <c r="AR352" i="4"/>
  <c r="E352" i="4" s="1"/>
  <c r="CG352" i="4"/>
  <c r="AR350" i="4"/>
  <c r="BL350" i="4" s="1"/>
  <c r="CG350" i="4"/>
  <c r="AR348" i="4"/>
  <c r="E348" i="4" s="1"/>
  <c r="CG348" i="4"/>
  <c r="AR346" i="4"/>
  <c r="BL346" i="4" s="1"/>
  <c r="CG346" i="4"/>
  <c r="AR338" i="4"/>
  <c r="BL338" i="4" s="1"/>
  <c r="CG338" i="4"/>
  <c r="AR336" i="4"/>
  <c r="BL336" i="4" s="1"/>
  <c r="CG336" i="4"/>
  <c r="AR334" i="4"/>
  <c r="BL334" i="4" s="1"/>
  <c r="CG334" i="4"/>
  <c r="AR332" i="4"/>
  <c r="BL332" i="4" s="1"/>
  <c r="CG332" i="4"/>
  <c r="AR330" i="4"/>
  <c r="E330" i="4" s="1"/>
  <c r="CG330" i="4"/>
  <c r="AR328" i="4"/>
  <c r="BL328" i="4" s="1"/>
  <c r="CG328" i="4"/>
  <c r="AR322" i="4"/>
  <c r="BL322" i="4" s="1"/>
  <c r="CG322" i="4"/>
  <c r="AR320" i="4"/>
  <c r="BL320" i="4" s="1"/>
  <c r="CG320" i="4"/>
  <c r="AR316" i="4"/>
  <c r="BL316" i="4" s="1"/>
  <c r="CG316" i="4"/>
  <c r="AR314" i="4"/>
  <c r="E314" i="4" s="1"/>
  <c r="CG314" i="4"/>
  <c r="AR312" i="4"/>
  <c r="E312" i="4" s="1"/>
  <c r="CG312" i="4"/>
  <c r="AR308" i="4"/>
  <c r="E308" i="4" s="1"/>
  <c r="CG308" i="4"/>
  <c r="AR306" i="4"/>
  <c r="E306" i="4" s="1"/>
  <c r="CG306" i="4"/>
  <c r="AR302" i="4"/>
  <c r="BL302" i="4" s="1"/>
  <c r="CG302" i="4"/>
  <c r="AR300" i="4"/>
  <c r="BL300" i="4" s="1"/>
  <c r="CG300" i="4"/>
  <c r="AR298" i="4"/>
  <c r="BL298" i="4" s="1"/>
  <c r="CG298" i="4"/>
  <c r="AR296" i="4"/>
  <c r="BL296" i="4" s="1"/>
  <c r="CG296" i="4"/>
  <c r="AR288" i="4"/>
  <c r="BL288" i="4" s="1"/>
  <c r="CG288" i="4"/>
  <c r="AR286" i="4"/>
  <c r="BL286" i="4" s="1"/>
  <c r="CG286" i="4"/>
  <c r="AR284" i="4"/>
  <c r="E284" i="4" s="1"/>
  <c r="CG284" i="4"/>
  <c r="AR282" i="4"/>
  <c r="BL282" i="4" s="1"/>
  <c r="CG282" i="4"/>
  <c r="AR280" i="4"/>
  <c r="BL280" i="4" s="1"/>
  <c r="CG280" i="4"/>
  <c r="AR278" i="4"/>
  <c r="BL278" i="4" s="1"/>
  <c r="CG278" i="4"/>
  <c r="AR268" i="4"/>
  <c r="E268" i="4" s="1"/>
  <c r="CG268" i="4"/>
  <c r="AR266" i="4"/>
  <c r="BL266" i="4" s="1"/>
  <c r="CG266" i="4"/>
  <c r="AR264" i="4"/>
  <c r="E264" i="4" s="1"/>
  <c r="CG264" i="4"/>
  <c r="AR260" i="4"/>
  <c r="BL260" i="4" s="1"/>
  <c r="CG260" i="4"/>
  <c r="AR258" i="4"/>
  <c r="BL258" i="4" s="1"/>
  <c r="CG258" i="4"/>
  <c r="AR256" i="4"/>
  <c r="BL256" i="4" s="1"/>
  <c r="CG256" i="4"/>
  <c r="AR254" i="4"/>
  <c r="E254" i="4" s="1"/>
  <c r="CG254" i="4"/>
  <c r="AR252" i="4"/>
  <c r="E252" i="4" s="1"/>
  <c r="CG252" i="4"/>
  <c r="AR250" i="4"/>
  <c r="E250" i="4" s="1"/>
  <c r="CG250" i="4"/>
  <c r="AR248" i="4"/>
  <c r="BL248" i="4" s="1"/>
  <c r="CG248" i="4"/>
  <c r="AR246" i="4"/>
  <c r="BL246" i="4" s="1"/>
  <c r="CG246" i="4"/>
  <c r="AR244" i="4"/>
  <c r="BL244" i="4" s="1"/>
  <c r="CG244" i="4"/>
  <c r="AR242" i="4"/>
  <c r="BL242" i="4" s="1"/>
  <c r="CG242" i="4"/>
  <c r="AR240" i="4"/>
  <c r="E240" i="4" s="1"/>
  <c r="CG240" i="4"/>
  <c r="AR238" i="4"/>
  <c r="E238" i="4" s="1"/>
  <c r="CG238" i="4"/>
  <c r="AR236" i="4"/>
  <c r="BL236" i="4" s="1"/>
  <c r="CG236" i="4"/>
  <c r="CG223" i="4"/>
  <c r="CS223" i="4"/>
  <c r="AR221" i="4"/>
  <c r="BL221" i="4" s="1"/>
  <c r="CG221" i="4"/>
  <c r="AR214" i="4"/>
  <c r="CG214" i="4"/>
  <c r="AR212" i="4"/>
  <c r="E212" i="4" s="1"/>
  <c r="CG212" i="4"/>
  <c r="CG210" i="4"/>
  <c r="CS210" i="4"/>
  <c r="AR208" i="4"/>
  <c r="E208" i="4" s="1"/>
  <c r="CG208" i="4"/>
  <c r="AR206" i="4"/>
  <c r="E206" i="4" s="1"/>
  <c r="CG206" i="4"/>
  <c r="AR204" i="4"/>
  <c r="BL204" i="4" s="1"/>
  <c r="CG204" i="4"/>
  <c r="AR202" i="4"/>
  <c r="CG202" i="4"/>
  <c r="AR200" i="4"/>
  <c r="E200" i="4" s="1"/>
  <c r="CG200" i="4"/>
  <c r="CG198" i="4"/>
  <c r="CS198" i="4"/>
  <c r="AR196" i="4"/>
  <c r="CG196" i="4"/>
  <c r="AR194" i="4"/>
  <c r="E194" i="4" s="1"/>
  <c r="CG194" i="4"/>
  <c r="AR192" i="4"/>
  <c r="E192" i="4" s="1"/>
  <c r="CG192" i="4"/>
  <c r="AR190" i="4"/>
  <c r="BL190" i="4" s="1"/>
  <c r="CG190" i="4"/>
  <c r="AR188" i="4"/>
  <c r="BL188" i="4" s="1"/>
  <c r="CG188" i="4"/>
  <c r="AR178" i="4"/>
  <c r="BL178" i="4" s="1"/>
  <c r="CG178" i="4"/>
  <c r="AR176" i="4"/>
  <c r="BL176" i="4" s="1"/>
  <c r="CG176" i="4"/>
  <c r="AR174" i="4"/>
  <c r="BL174" i="4" s="1"/>
  <c r="CG174" i="4"/>
  <c r="AR172" i="4"/>
  <c r="BL172" i="4" s="1"/>
  <c r="CG172" i="4"/>
  <c r="AR164" i="4"/>
  <c r="E164" i="4" s="1"/>
  <c r="CG164" i="4"/>
  <c r="AR162" i="4"/>
  <c r="E162" i="4" s="1"/>
  <c r="CG162" i="4"/>
  <c r="AR124" i="4"/>
  <c r="BL124" i="4" s="1"/>
  <c r="CG124" i="4"/>
  <c r="AR122" i="4"/>
  <c r="BL122" i="4" s="1"/>
  <c r="CG122" i="4"/>
  <c r="AR120" i="4"/>
  <c r="BL120" i="4" s="1"/>
  <c r="CG120" i="4"/>
  <c r="AR118" i="4"/>
  <c r="BL118" i="4" s="1"/>
  <c r="CG118" i="4"/>
  <c r="AR110" i="4"/>
  <c r="E110" i="4" s="1"/>
  <c r="CG110" i="4"/>
  <c r="AR108" i="4"/>
  <c r="E108" i="4" s="1"/>
  <c r="CG108" i="4"/>
  <c r="AR76" i="4"/>
  <c r="BL76" i="4" s="1"/>
  <c r="CG76" i="4"/>
  <c r="AR70" i="4"/>
  <c r="BL70" i="4" s="1"/>
  <c r="CG70" i="4"/>
  <c r="AR66" i="4"/>
  <c r="E66" i="4" s="1"/>
  <c r="CG66" i="4"/>
  <c r="AR64" i="4"/>
  <c r="E64" i="4" s="1"/>
  <c r="CG64" i="4"/>
  <c r="AR44" i="4"/>
  <c r="E44" i="4" s="1"/>
  <c r="CG44" i="4"/>
  <c r="AR42" i="4"/>
  <c r="BL42" i="4" s="1"/>
  <c r="CG42" i="4"/>
  <c r="AR34" i="4"/>
  <c r="E34" i="4" s="1"/>
  <c r="CG34" i="4"/>
  <c r="AR30" i="4"/>
  <c r="E30" i="4" s="1"/>
  <c r="CG30" i="4"/>
  <c r="AR611" i="4"/>
  <c r="BL611" i="4" s="1"/>
  <c r="CG611" i="4"/>
  <c r="AR585" i="4"/>
  <c r="E585" i="4" s="1"/>
  <c r="CG585" i="4"/>
  <c r="AR535" i="4"/>
  <c r="E535" i="4" s="1"/>
  <c r="CG535" i="4"/>
  <c r="AR503" i="4"/>
  <c r="BL503" i="4" s="1"/>
  <c r="CG503" i="4"/>
  <c r="AR499" i="4"/>
  <c r="BL499" i="4" s="1"/>
  <c r="CG499" i="4"/>
  <c r="AR495" i="4"/>
  <c r="BL495" i="4" s="1"/>
  <c r="CG495" i="4"/>
  <c r="AR489" i="4"/>
  <c r="E489" i="4" s="1"/>
  <c r="CG489" i="4"/>
  <c r="AR475" i="4"/>
  <c r="E475" i="4" s="1"/>
  <c r="CG475" i="4"/>
  <c r="AR469" i="4"/>
  <c r="E469" i="4" s="1"/>
  <c r="CG469" i="4"/>
  <c r="AR439" i="4"/>
  <c r="BL439" i="4" s="1"/>
  <c r="CG439" i="4"/>
  <c r="AR431" i="4"/>
  <c r="E431" i="4" s="1"/>
  <c r="CG431" i="4"/>
  <c r="AR427" i="4"/>
  <c r="BL427" i="4" s="1"/>
  <c r="CG427" i="4"/>
  <c r="AR425" i="4"/>
  <c r="E425" i="4" s="1"/>
  <c r="CG425" i="4"/>
  <c r="AR401" i="4"/>
  <c r="BL401" i="4" s="1"/>
  <c r="CG401" i="4"/>
  <c r="AR399" i="4"/>
  <c r="BL399" i="4" s="1"/>
  <c r="CG399" i="4"/>
  <c r="AR391" i="4"/>
  <c r="BL391" i="4" s="1"/>
  <c r="CG391" i="4"/>
  <c r="AR365" i="4"/>
  <c r="BL365" i="4" s="1"/>
  <c r="CG365" i="4"/>
  <c r="AR359" i="4"/>
  <c r="BL359" i="4" s="1"/>
  <c r="CG359" i="4"/>
  <c r="AR345" i="4"/>
  <c r="BL345" i="4" s="1"/>
  <c r="CG345" i="4"/>
  <c r="AR337" i="4"/>
  <c r="BL337" i="4" s="1"/>
  <c r="CG337" i="4"/>
  <c r="AR321" i="4"/>
  <c r="BL321" i="4" s="1"/>
  <c r="CG321" i="4"/>
  <c r="AR317" i="4"/>
  <c r="BL317" i="4" s="1"/>
  <c r="CG317" i="4"/>
  <c r="AR313" i="4"/>
  <c r="E313" i="4" s="1"/>
  <c r="CG313" i="4"/>
  <c r="AR301" i="4"/>
  <c r="BL301" i="4" s="1"/>
  <c r="CG301" i="4"/>
  <c r="AR297" i="4"/>
  <c r="E297" i="4" s="1"/>
  <c r="CG297" i="4"/>
  <c r="AR291" i="4"/>
  <c r="BL291" i="4" s="1"/>
  <c r="CG291" i="4"/>
  <c r="AR287" i="4"/>
  <c r="BL287" i="4" s="1"/>
  <c r="CG287" i="4"/>
  <c r="AR285" i="4"/>
  <c r="E285" i="4" s="1"/>
  <c r="CG285" i="4"/>
  <c r="AR281" i="4"/>
  <c r="BL281" i="4" s="1"/>
  <c r="CG281" i="4"/>
  <c r="AR279" i="4"/>
  <c r="BL279" i="4" s="1"/>
  <c r="CG279" i="4"/>
  <c r="AR269" i="4"/>
  <c r="E269" i="4" s="1"/>
  <c r="CG269" i="4"/>
  <c r="AR255" i="4"/>
  <c r="E255" i="4" s="1"/>
  <c r="CG255" i="4"/>
  <c r="AR251" i="4"/>
  <c r="E251" i="4" s="1"/>
  <c r="CG251" i="4"/>
  <c r="AR249" i="4"/>
  <c r="BL249" i="4" s="1"/>
  <c r="CG249" i="4"/>
  <c r="AR247" i="4"/>
  <c r="BL247" i="4" s="1"/>
  <c r="CG247" i="4"/>
  <c r="AR243" i="4"/>
  <c r="CG243" i="4"/>
  <c r="AR222" i="4"/>
  <c r="E222" i="4" s="1"/>
  <c r="CG222" i="4"/>
  <c r="AR218" i="4"/>
  <c r="E218" i="4" s="1"/>
  <c r="CG218" i="4"/>
  <c r="AR224" i="4"/>
  <c r="BL224" i="4" s="1"/>
  <c r="CG224" i="4"/>
  <c r="AR211" i="4"/>
  <c r="E211" i="4" s="1"/>
  <c r="CG211" i="4"/>
  <c r="CG209" i="4"/>
  <c r="CS209" i="4"/>
  <c r="AR201" i="4"/>
  <c r="E201" i="4" s="1"/>
  <c r="CG201" i="4"/>
  <c r="AR199" i="4"/>
  <c r="E199" i="4" s="1"/>
  <c r="CG199" i="4"/>
  <c r="CG197" i="4"/>
  <c r="CS197" i="4"/>
  <c r="AR193" i="4"/>
  <c r="E193" i="4" s="1"/>
  <c r="CG193" i="4"/>
  <c r="AR189" i="4"/>
  <c r="E189" i="4" s="1"/>
  <c r="CG189" i="4"/>
  <c r="AR163" i="4"/>
  <c r="E163" i="4" s="1"/>
  <c r="CG163" i="4"/>
  <c r="AR123" i="4"/>
  <c r="BL123" i="4" s="1"/>
  <c r="CG123" i="4"/>
  <c r="AR119" i="4"/>
  <c r="BL119" i="4" s="1"/>
  <c r="CG119" i="4"/>
  <c r="AR109" i="4"/>
  <c r="E109" i="4" s="1"/>
  <c r="CG109" i="4"/>
  <c r="AR87" i="4"/>
  <c r="BL87" i="4" s="1"/>
  <c r="CG87" i="4"/>
  <c r="AR65" i="4"/>
  <c r="E65" i="4" s="1"/>
  <c r="CG65" i="4"/>
  <c r="AR615" i="4"/>
  <c r="CG615" i="4"/>
  <c r="AR613" i="4"/>
  <c r="CG613" i="4"/>
  <c r="AR533" i="4"/>
  <c r="CG533" i="4"/>
  <c r="AR529" i="4"/>
  <c r="E529" i="4" s="1"/>
  <c r="CG529" i="4"/>
  <c r="AR519" i="4"/>
  <c r="BL519" i="4" s="1"/>
  <c r="CG519" i="4"/>
  <c r="AR501" i="4"/>
  <c r="BL501" i="4" s="1"/>
  <c r="CG501" i="4"/>
  <c r="AR497" i="4"/>
  <c r="BL497" i="4" s="1"/>
  <c r="CG497" i="4"/>
  <c r="AR491" i="4"/>
  <c r="E491" i="4" s="1"/>
  <c r="CG491" i="4"/>
  <c r="AR487" i="4"/>
  <c r="BL487" i="4" s="1"/>
  <c r="CG487" i="4"/>
  <c r="AR461" i="4"/>
  <c r="BL461" i="4" s="1"/>
  <c r="CG461" i="4"/>
  <c r="AR459" i="4"/>
  <c r="BL459" i="4" s="1"/>
  <c r="CG459" i="4"/>
  <c r="AR441" i="4"/>
  <c r="BL441" i="4" s="1"/>
  <c r="CG441" i="4"/>
  <c r="AR437" i="4"/>
  <c r="BL437" i="4" s="1"/>
  <c r="CG437" i="4"/>
  <c r="AR435" i="4"/>
  <c r="E435" i="4" s="1"/>
  <c r="CG435" i="4"/>
  <c r="AR433" i="4"/>
  <c r="E433" i="4" s="1"/>
  <c r="CG433" i="4"/>
  <c r="AR429" i="4"/>
  <c r="E429" i="4" s="1"/>
  <c r="CG429" i="4"/>
  <c r="AR407" i="4"/>
  <c r="BL407" i="4" s="1"/>
  <c r="CG407" i="4"/>
  <c r="AR397" i="4"/>
  <c r="E397" i="4" s="1"/>
  <c r="CG397" i="4"/>
  <c r="AR387" i="4"/>
  <c r="BL387" i="4" s="1"/>
  <c r="CG387" i="4"/>
  <c r="AR385" i="4"/>
  <c r="E385" i="4" s="1"/>
  <c r="CG385" i="4"/>
  <c r="AR379" i="4"/>
  <c r="E379" i="4" s="1"/>
  <c r="CG379" i="4"/>
  <c r="AR375" i="4"/>
  <c r="BL375" i="4" s="1"/>
  <c r="CG375" i="4"/>
  <c r="AR369" i="4"/>
  <c r="E369" i="4" s="1"/>
  <c r="CG369" i="4"/>
  <c r="AR363" i="4"/>
  <c r="BL363" i="4" s="1"/>
  <c r="CG363" i="4"/>
  <c r="AR361" i="4"/>
  <c r="BL361" i="4" s="1"/>
  <c r="CG361" i="4"/>
  <c r="AR357" i="4"/>
  <c r="BL357" i="4" s="1"/>
  <c r="CG357" i="4"/>
  <c r="AR353" i="4"/>
  <c r="BL353" i="4" s="1"/>
  <c r="CG353" i="4"/>
  <c r="AR331" i="4"/>
  <c r="BL331" i="4" s="1"/>
  <c r="CG331" i="4"/>
  <c r="AR319" i="4"/>
  <c r="BL319" i="4" s="1"/>
  <c r="CG319" i="4"/>
  <c r="AR315" i="4"/>
  <c r="BL315" i="4" s="1"/>
  <c r="CG315" i="4"/>
  <c r="AR307" i="4"/>
  <c r="E307" i="4" s="1"/>
  <c r="CG307" i="4"/>
  <c r="AR299" i="4"/>
  <c r="BL299" i="4" s="1"/>
  <c r="CG299" i="4"/>
  <c r="AR283" i="4"/>
  <c r="BL283" i="4" s="1"/>
  <c r="CG283" i="4"/>
  <c r="AR267" i="4"/>
  <c r="E267" i="4" s="1"/>
  <c r="CG267" i="4"/>
  <c r="AR259" i="4"/>
  <c r="BL259" i="4" s="1"/>
  <c r="CG259" i="4"/>
  <c r="AR257" i="4"/>
  <c r="BL257" i="4" s="1"/>
  <c r="CG257" i="4"/>
  <c r="AR253" i="4"/>
  <c r="CG253" i="4"/>
  <c r="AO18" i="2" s="1"/>
  <c r="AR241" i="4"/>
  <c r="BL241" i="4" s="1"/>
  <c r="CG241" i="4"/>
  <c r="AR235" i="4"/>
  <c r="E235" i="4" s="1"/>
  <c r="CG235" i="4"/>
  <c r="AR225" i="4"/>
  <c r="E225" i="4" s="1"/>
  <c r="CG225" i="4"/>
  <c r="AR203" i="4"/>
  <c r="BL203" i="4" s="1"/>
  <c r="CG203" i="4"/>
  <c r="CG191" i="4"/>
  <c r="CS191" i="4"/>
  <c r="AR177" i="4"/>
  <c r="BL177" i="4" s="1"/>
  <c r="CG177" i="4"/>
  <c r="AR173" i="4"/>
  <c r="BL173" i="4" s="1"/>
  <c r="CG173" i="4"/>
  <c r="AR121" i="4"/>
  <c r="BL121" i="4" s="1"/>
  <c r="CG121" i="4"/>
  <c r="AR75" i="4"/>
  <c r="BL75" i="4" s="1"/>
  <c r="CG75" i="4"/>
  <c r="AR69" i="4"/>
  <c r="BL69" i="4" s="1"/>
  <c r="CG69" i="4"/>
  <c r="AR43" i="4"/>
  <c r="BL43" i="4" s="1"/>
  <c r="CG43" i="4"/>
  <c r="AR41" i="4"/>
  <c r="E41" i="4" s="1"/>
  <c r="CG41" i="4"/>
  <c r="AR25" i="4"/>
  <c r="E25" i="4" s="1"/>
  <c r="CG25" i="4"/>
  <c r="AR9" i="4"/>
  <c r="BL9" i="4" s="1"/>
  <c r="CG9" i="4"/>
  <c r="BL243" i="4" l="1"/>
  <c r="BN243" i="4"/>
  <c r="BO243" i="4"/>
  <c r="BN385" i="4"/>
  <c r="BO385" i="4"/>
  <c r="BM385" i="4"/>
  <c r="BL385" i="4"/>
  <c r="BM429" i="4"/>
  <c r="BO429" i="4"/>
  <c r="BN429" i="4"/>
  <c r="BL429" i="4"/>
  <c r="BN491" i="4"/>
  <c r="BO491" i="4"/>
  <c r="BL491" i="4"/>
  <c r="BM491" i="4"/>
  <c r="BM529" i="4"/>
  <c r="CT529" i="4" s="1"/>
  <c r="BN529" i="4"/>
  <c r="CU529" i="4" s="1"/>
  <c r="BO529" i="4"/>
  <c r="CV529" i="4" s="1"/>
  <c r="BL529" i="4"/>
  <c r="CS529" i="4" s="1"/>
  <c r="CT613" i="4"/>
  <c r="BL613" i="4"/>
  <c r="CS613" i="4" s="1"/>
  <c r="BO109" i="4"/>
  <c r="BM109" i="4"/>
  <c r="CT109" i="4" s="1"/>
  <c r="BN109" i="4"/>
  <c r="CU109" i="4" s="1"/>
  <c r="BL109" i="4"/>
  <c r="CS109" i="4" s="1"/>
  <c r="BO189" i="4"/>
  <c r="BN189" i="4"/>
  <c r="BL189" i="4"/>
  <c r="BM189" i="4"/>
  <c r="BO211" i="4"/>
  <c r="CV211" i="4" s="1"/>
  <c r="BM211" i="4"/>
  <c r="CT211" i="4" s="1"/>
  <c r="BN211" i="4"/>
  <c r="CU211" i="4" s="1"/>
  <c r="BL211" i="4"/>
  <c r="CS211" i="4" s="1"/>
  <c r="BM255" i="4"/>
  <c r="BO255" i="4"/>
  <c r="BN255" i="4"/>
  <c r="BL255" i="4"/>
  <c r="BN285" i="4"/>
  <c r="BM285" i="4"/>
  <c r="BO285" i="4"/>
  <c r="BL285" i="4"/>
  <c r="BN585" i="4"/>
  <c r="CU585" i="4" s="1"/>
  <c r="BO585" i="4"/>
  <c r="CV585" i="4" s="1"/>
  <c r="BM585" i="4"/>
  <c r="CT585" i="4" s="1"/>
  <c r="BL585" i="4"/>
  <c r="CS585" i="4" s="1"/>
  <c r="BO162" i="4"/>
  <c r="CV162" i="4" s="1"/>
  <c r="BM162" i="4"/>
  <c r="CT162" i="4" s="1"/>
  <c r="BN162" i="4"/>
  <c r="CU162" i="4" s="1"/>
  <c r="BL162" i="4"/>
  <c r="CS162" i="4" s="1"/>
  <c r="BO192" i="4"/>
  <c r="CV192" i="4" s="1"/>
  <c r="BN192" i="4"/>
  <c r="CU192" i="4" s="1"/>
  <c r="BM192" i="4"/>
  <c r="CT192" i="4" s="1"/>
  <c r="BL192" i="4"/>
  <c r="CS192" i="4" s="1"/>
  <c r="CT196" i="4"/>
  <c r="BL196" i="4"/>
  <c r="CS196" i="4" s="1"/>
  <c r="BN212" i="4"/>
  <c r="CU212" i="4" s="1"/>
  <c r="BM212" i="4"/>
  <c r="CT212" i="4" s="1"/>
  <c r="BO212" i="4"/>
  <c r="CV212" i="4" s="1"/>
  <c r="BL212" i="4"/>
  <c r="CS212" i="4" s="1"/>
  <c r="BM252" i="4"/>
  <c r="BN252" i="4"/>
  <c r="BO252" i="4"/>
  <c r="BL252" i="4"/>
  <c r="BO306" i="4"/>
  <c r="BM306" i="4"/>
  <c r="BN306" i="4"/>
  <c r="BL306" i="4"/>
  <c r="BN330" i="4"/>
  <c r="BL330" i="4"/>
  <c r="BO330" i="4"/>
  <c r="BM330" i="4"/>
  <c r="BM352" i="4"/>
  <c r="BN352" i="4"/>
  <c r="BL352" i="4"/>
  <c r="BO352" i="4"/>
  <c r="BM428" i="4"/>
  <c r="BN428" i="4"/>
  <c r="BO428" i="4"/>
  <c r="BL428" i="4"/>
  <c r="BM436" i="4"/>
  <c r="BO436" i="4"/>
  <c r="BL436" i="4"/>
  <c r="BN436" i="4"/>
  <c r="BN534" i="4"/>
  <c r="CU534" i="4" s="1"/>
  <c r="BO534" i="4"/>
  <c r="CV534" i="4" s="1"/>
  <c r="BM534" i="4"/>
  <c r="CT534" i="4" s="1"/>
  <c r="BL534" i="4"/>
  <c r="CS534" i="4" s="1"/>
  <c r="BN574" i="4"/>
  <c r="CU574" i="4" s="1"/>
  <c r="BM574" i="4"/>
  <c r="CT574" i="4" s="1"/>
  <c r="BO574" i="4"/>
  <c r="CV574" i="4" s="1"/>
  <c r="BL574" i="4"/>
  <c r="CS574" i="4" s="1"/>
  <c r="BL614" i="4"/>
  <c r="CS614" i="4" s="1"/>
  <c r="BL618" i="4"/>
  <c r="CS618" i="4" s="1"/>
  <c r="BM417" i="4"/>
  <c r="BN417" i="4"/>
  <c r="BO417" i="4"/>
  <c r="BL417" i="4"/>
  <c r="BO191" i="4"/>
  <c r="CV191" i="4" s="1"/>
  <c r="BN191" i="4"/>
  <c r="CU191" i="4" s="1"/>
  <c r="BN197" i="4"/>
  <c r="CU197" i="4" s="1"/>
  <c r="BM235" i="4"/>
  <c r="BN235" i="4"/>
  <c r="BO235" i="4"/>
  <c r="BL235" i="4"/>
  <c r="BO307" i="4"/>
  <c r="BN307" i="4"/>
  <c r="BM307" i="4"/>
  <c r="BL307" i="4"/>
  <c r="BN379" i="4"/>
  <c r="BM379" i="4"/>
  <c r="BL379" i="4"/>
  <c r="BO379" i="4"/>
  <c r="BL615" i="4"/>
  <c r="CS615" i="4" s="1"/>
  <c r="BN193" i="4"/>
  <c r="CU193" i="4" s="1"/>
  <c r="BO193" i="4"/>
  <c r="CV193" i="4" s="1"/>
  <c r="BM193" i="4"/>
  <c r="CT193" i="4" s="1"/>
  <c r="BL193" i="4"/>
  <c r="CS193" i="4" s="1"/>
  <c r="BO269" i="4"/>
  <c r="BM269" i="4"/>
  <c r="BN269" i="4"/>
  <c r="BL269" i="4"/>
  <c r="BN297" i="4"/>
  <c r="BO297" i="4"/>
  <c r="BM297" i="4"/>
  <c r="BL297" i="4"/>
  <c r="BM425" i="4"/>
  <c r="BN425" i="4"/>
  <c r="BO425" i="4"/>
  <c r="BL425" i="4"/>
  <c r="BO431" i="4"/>
  <c r="BN431" i="4"/>
  <c r="BL431" i="4"/>
  <c r="BM431" i="4"/>
  <c r="BO469" i="4"/>
  <c r="CV469" i="4" s="1"/>
  <c r="BM469" i="4"/>
  <c r="CT469" i="4" s="1"/>
  <c r="BL469" i="4"/>
  <c r="CS469" i="4" s="1"/>
  <c r="BN469" i="4"/>
  <c r="CU469" i="4" s="1"/>
  <c r="BN489" i="4"/>
  <c r="BM489" i="4"/>
  <c r="BO489" i="4"/>
  <c r="BL489" i="4"/>
  <c r="BO535" i="4"/>
  <c r="CV535" i="4" s="1"/>
  <c r="BM535" i="4"/>
  <c r="CT535" i="4" s="1"/>
  <c r="BL535" i="4"/>
  <c r="CS535" i="4" s="1"/>
  <c r="BN535" i="4"/>
  <c r="CU535" i="4" s="1"/>
  <c r="BM34" i="4"/>
  <c r="BN34" i="4"/>
  <c r="BO34" i="4"/>
  <c r="BL34" i="4"/>
  <c r="BN44" i="4"/>
  <c r="CU44" i="4" s="1"/>
  <c r="BO44" i="4"/>
  <c r="CV44" i="4" s="1"/>
  <c r="BM44" i="4"/>
  <c r="BL44" i="4"/>
  <c r="CS44" i="4" s="1"/>
  <c r="BN66" i="4"/>
  <c r="CU66" i="4" s="1"/>
  <c r="BO66" i="4"/>
  <c r="CV66" i="4" s="1"/>
  <c r="BM66" i="4"/>
  <c r="CT66" i="4" s="1"/>
  <c r="BL66" i="4"/>
  <c r="CS66" i="4" s="1"/>
  <c r="BM110" i="4"/>
  <c r="CT110" i="4" s="1"/>
  <c r="BN110" i="4"/>
  <c r="CU110" i="4" s="1"/>
  <c r="BO110" i="4"/>
  <c r="CV110" i="4" s="1"/>
  <c r="BL110" i="4"/>
  <c r="CS110" i="4" s="1"/>
  <c r="BM164" i="4"/>
  <c r="CT164" i="4" s="1"/>
  <c r="BO164" i="4"/>
  <c r="CV164" i="4" s="1"/>
  <c r="BN164" i="4"/>
  <c r="CU164" i="4" s="1"/>
  <c r="BL164" i="4"/>
  <c r="CS164" i="4" s="1"/>
  <c r="BM194" i="4"/>
  <c r="CT194" i="4" s="1"/>
  <c r="BN194" i="4"/>
  <c r="CU194" i="4" s="1"/>
  <c r="BO194" i="4"/>
  <c r="CV194" i="4" s="1"/>
  <c r="BL194" i="4"/>
  <c r="CS194" i="4" s="1"/>
  <c r="CT202" i="4"/>
  <c r="BL202" i="4"/>
  <c r="CS202" i="4" s="1"/>
  <c r="BN206" i="4"/>
  <c r="CU206" i="4" s="1"/>
  <c r="BM206" i="4"/>
  <c r="CT206" i="4" s="1"/>
  <c r="BO206" i="4"/>
  <c r="CV206" i="4" s="1"/>
  <c r="BL206" i="4"/>
  <c r="CS206" i="4" s="1"/>
  <c r="BL214" i="4"/>
  <c r="CS214" i="4" s="1"/>
  <c r="BN238" i="4"/>
  <c r="BO238" i="4"/>
  <c r="BM238" i="4"/>
  <c r="BL238" i="4"/>
  <c r="BN250" i="4"/>
  <c r="BO250" i="4"/>
  <c r="BM250" i="4"/>
  <c r="BL250" i="4"/>
  <c r="BN254" i="4"/>
  <c r="BM254" i="4"/>
  <c r="BO254" i="4"/>
  <c r="BL254" i="4"/>
  <c r="BO264" i="4"/>
  <c r="BM264" i="4"/>
  <c r="BN264" i="4"/>
  <c r="BL264" i="4"/>
  <c r="BN268" i="4"/>
  <c r="BM268" i="4"/>
  <c r="BO268" i="4"/>
  <c r="BL268" i="4"/>
  <c r="BN284" i="4"/>
  <c r="BM284" i="4"/>
  <c r="BO284" i="4"/>
  <c r="BL284" i="4"/>
  <c r="BO308" i="4"/>
  <c r="BM308" i="4"/>
  <c r="BN308" i="4"/>
  <c r="BL308" i="4"/>
  <c r="BN314" i="4"/>
  <c r="BM314" i="4"/>
  <c r="BO314" i="4"/>
  <c r="BL314" i="4"/>
  <c r="BM368" i="4"/>
  <c r="BN368" i="4"/>
  <c r="BO368" i="4"/>
  <c r="BL368" i="4"/>
  <c r="BM426" i="4"/>
  <c r="BN426" i="4"/>
  <c r="BO426" i="4"/>
  <c r="BL426" i="4"/>
  <c r="BM430" i="4"/>
  <c r="BN430" i="4"/>
  <c r="BL430" i="4"/>
  <c r="BO430" i="4"/>
  <c r="BM434" i="4"/>
  <c r="BN434" i="4"/>
  <c r="BL434" i="4"/>
  <c r="BO434" i="4"/>
  <c r="BN470" i="4"/>
  <c r="CU470" i="4" s="1"/>
  <c r="BO470" i="4"/>
  <c r="CV470" i="4" s="1"/>
  <c r="BL470" i="4"/>
  <c r="CS470" i="4" s="1"/>
  <c r="BM470" i="4"/>
  <c r="CT470" i="4" s="1"/>
  <c r="BM488" i="4"/>
  <c r="BN488" i="4"/>
  <c r="BO488" i="4"/>
  <c r="BL488" i="4"/>
  <c r="BO492" i="4"/>
  <c r="BL492" i="4"/>
  <c r="BN492" i="4"/>
  <c r="BM492" i="4"/>
  <c r="CV536" i="4"/>
  <c r="BL536" i="4"/>
  <c r="CS536" i="4" s="1"/>
  <c r="BL582" i="4"/>
  <c r="CS582" i="4" s="1"/>
  <c r="CV602" i="4"/>
  <c r="BL602" i="4"/>
  <c r="CS602" i="4" s="1"/>
  <c r="CT616" i="4"/>
  <c r="BL616" i="4"/>
  <c r="CS616" i="4" s="1"/>
  <c r="BO207" i="4"/>
  <c r="CV207" i="4" s="1"/>
  <c r="BM207" i="4"/>
  <c r="CT207" i="4" s="1"/>
  <c r="BN207" i="4"/>
  <c r="CU207" i="4" s="1"/>
  <c r="BL207" i="4"/>
  <c r="CS207" i="4" s="1"/>
  <c r="BN237" i="4"/>
  <c r="BO237" i="4"/>
  <c r="BM237" i="4"/>
  <c r="BL237" i="4"/>
  <c r="BM349" i="4"/>
  <c r="BO349" i="4"/>
  <c r="BL349" i="4"/>
  <c r="BN349" i="4"/>
  <c r="BM405" i="4"/>
  <c r="BN405" i="4"/>
  <c r="BL405" i="4"/>
  <c r="BO405" i="4"/>
  <c r="BM493" i="4"/>
  <c r="BN493" i="4"/>
  <c r="BL493" i="4"/>
  <c r="BO493" i="4"/>
  <c r="BO573" i="4"/>
  <c r="CV573" i="4" s="1"/>
  <c r="BM573" i="4"/>
  <c r="CT573" i="4" s="1"/>
  <c r="BN573" i="4"/>
  <c r="CU573" i="4" s="1"/>
  <c r="BL573" i="4"/>
  <c r="CS573" i="4" s="1"/>
  <c r="BL619" i="4"/>
  <c r="CS619" i="4" s="1"/>
  <c r="BM25" i="4"/>
  <c r="CT25" i="4" s="1"/>
  <c r="BN25" i="4"/>
  <c r="CU25" i="4" s="1"/>
  <c r="BO25" i="4"/>
  <c r="CV25" i="4" s="1"/>
  <c r="BL25" i="4"/>
  <c r="CS25" i="4" s="1"/>
  <c r="BO225" i="4"/>
  <c r="BN225" i="4"/>
  <c r="BM225" i="4"/>
  <c r="BL225" i="4"/>
  <c r="BO267" i="4"/>
  <c r="BM267" i="4"/>
  <c r="BN267" i="4"/>
  <c r="BL267" i="4"/>
  <c r="BO397" i="4"/>
  <c r="BM397" i="4"/>
  <c r="BN397" i="4"/>
  <c r="BL397" i="4"/>
  <c r="BM435" i="4"/>
  <c r="BN435" i="4"/>
  <c r="BL435" i="4"/>
  <c r="BO435" i="4"/>
  <c r="BO65" i="4"/>
  <c r="CV65" i="4" s="1"/>
  <c r="BM65" i="4"/>
  <c r="CT65" i="4" s="1"/>
  <c r="BN65" i="4"/>
  <c r="CU65" i="4" s="1"/>
  <c r="BL65" i="4"/>
  <c r="CS65" i="4" s="1"/>
  <c r="BM201" i="4"/>
  <c r="CT201" i="4" s="1"/>
  <c r="BO201" i="4"/>
  <c r="CV201" i="4" s="1"/>
  <c r="BN201" i="4"/>
  <c r="CU201" i="4" s="1"/>
  <c r="BL201" i="4"/>
  <c r="CS201" i="4" s="1"/>
  <c r="BN218" i="4"/>
  <c r="CU218" i="4" s="1"/>
  <c r="BM218" i="4"/>
  <c r="CT218" i="4" s="1"/>
  <c r="BO218" i="4"/>
  <c r="CV218" i="4" s="1"/>
  <c r="BL218" i="4"/>
  <c r="CS218" i="4" s="1"/>
  <c r="BO475" i="4"/>
  <c r="CV475" i="4" s="1"/>
  <c r="BL475" i="4"/>
  <c r="CS475" i="4" s="1"/>
  <c r="BM475" i="4"/>
  <c r="CT475" i="4" s="1"/>
  <c r="BN475" i="4"/>
  <c r="CU475" i="4" s="1"/>
  <c r="BO30" i="4"/>
  <c r="BM30" i="4"/>
  <c r="BN30" i="4"/>
  <c r="BL30" i="4"/>
  <c r="BM64" i="4"/>
  <c r="CT64" i="4" s="1"/>
  <c r="BN64" i="4"/>
  <c r="CU64" i="4" s="1"/>
  <c r="BO64" i="4"/>
  <c r="CV64" i="4" s="1"/>
  <c r="BL64" i="4"/>
  <c r="CS64" i="4" s="1"/>
  <c r="BN108" i="4"/>
  <c r="CU108" i="4" s="1"/>
  <c r="BO108" i="4"/>
  <c r="CV108" i="4" s="1"/>
  <c r="BM108" i="4"/>
  <c r="CT108" i="4" s="1"/>
  <c r="BL108" i="4"/>
  <c r="CS108" i="4" s="1"/>
  <c r="BN200" i="4"/>
  <c r="CU200" i="4" s="1"/>
  <c r="BM200" i="4"/>
  <c r="CT200" i="4" s="1"/>
  <c r="BO200" i="4"/>
  <c r="CV200" i="4" s="1"/>
  <c r="BL200" i="4"/>
  <c r="CS200" i="4" s="1"/>
  <c r="BM208" i="4"/>
  <c r="CT208" i="4" s="1"/>
  <c r="BL208" i="4"/>
  <c r="CS208" i="4" s="1"/>
  <c r="BN208" i="4"/>
  <c r="CU208" i="4" s="1"/>
  <c r="BO208" i="4"/>
  <c r="CV208" i="4" s="1"/>
  <c r="BM240" i="4"/>
  <c r="BN240" i="4"/>
  <c r="BO240" i="4"/>
  <c r="BL240" i="4"/>
  <c r="BO312" i="4"/>
  <c r="BM312" i="4"/>
  <c r="BN312" i="4"/>
  <c r="BL312" i="4"/>
  <c r="BM348" i="4"/>
  <c r="BN348" i="4"/>
  <c r="BO348" i="4"/>
  <c r="BL348" i="4"/>
  <c r="BM362" i="4"/>
  <c r="BO362" i="4"/>
  <c r="BN362" i="4"/>
  <c r="BL362" i="4"/>
  <c r="BO386" i="4"/>
  <c r="BM386" i="4"/>
  <c r="BL386" i="4"/>
  <c r="BN386" i="4"/>
  <c r="BN432" i="4"/>
  <c r="BM432" i="4"/>
  <c r="BL432" i="4"/>
  <c r="BO432" i="4"/>
  <c r="BO474" i="4"/>
  <c r="CV474" i="4" s="1"/>
  <c r="BL474" i="4"/>
  <c r="CS474" i="4" s="1"/>
  <c r="BN474" i="4"/>
  <c r="CU474" i="4" s="1"/>
  <c r="BM474" i="4"/>
  <c r="CT474" i="4" s="1"/>
  <c r="BO490" i="4"/>
  <c r="BM490" i="4"/>
  <c r="BL490" i="4"/>
  <c r="BN490" i="4"/>
  <c r="BL584" i="4"/>
  <c r="CS584" i="4" s="1"/>
  <c r="BO135" i="4"/>
  <c r="CV135" i="4" s="1"/>
  <c r="BM135" i="4"/>
  <c r="CT135" i="4" s="1"/>
  <c r="BL135" i="4"/>
  <c r="CS135" i="4" s="1"/>
  <c r="BN135" i="4"/>
  <c r="CU135" i="4" s="1"/>
  <c r="BM187" i="4"/>
  <c r="BN187" i="4"/>
  <c r="BO187" i="4"/>
  <c r="BL187" i="4"/>
  <c r="BL205" i="4"/>
  <c r="CS205" i="4" s="1"/>
  <c r="BM213" i="4"/>
  <c r="CT213" i="4" s="1"/>
  <c r="BO213" i="4"/>
  <c r="CV213" i="4" s="1"/>
  <c r="BN213" i="4"/>
  <c r="CU213" i="4" s="1"/>
  <c r="BL213" i="4"/>
  <c r="CS213" i="4" s="1"/>
  <c r="BN239" i="4"/>
  <c r="BM239" i="4"/>
  <c r="BO239" i="4"/>
  <c r="BL239" i="4"/>
  <c r="BO351" i="4"/>
  <c r="BN351" i="4"/>
  <c r="BL351" i="4"/>
  <c r="BM351" i="4"/>
  <c r="BM41" i="4"/>
  <c r="BN41" i="4"/>
  <c r="BO41" i="4"/>
  <c r="BL41" i="4"/>
  <c r="BM369" i="4"/>
  <c r="BO369" i="4"/>
  <c r="BN369" i="4"/>
  <c r="BL369" i="4"/>
  <c r="BO433" i="4"/>
  <c r="BL433" i="4"/>
  <c r="BN433" i="4"/>
  <c r="BM433" i="4"/>
  <c r="CT533" i="4"/>
  <c r="BL533" i="4"/>
  <c r="CS533" i="4" s="1"/>
  <c r="BM163" i="4"/>
  <c r="CT163" i="4" s="1"/>
  <c r="BN163" i="4"/>
  <c r="CU163" i="4" s="1"/>
  <c r="BO163" i="4"/>
  <c r="CV163" i="4" s="1"/>
  <c r="BL163" i="4"/>
  <c r="CS163" i="4" s="1"/>
  <c r="BM199" i="4"/>
  <c r="CT199" i="4" s="1"/>
  <c r="BO199" i="4"/>
  <c r="CV199" i="4" s="1"/>
  <c r="BL199" i="4"/>
  <c r="CS199" i="4" s="1"/>
  <c r="BN199" i="4"/>
  <c r="CU199" i="4" s="1"/>
  <c r="BN222" i="4"/>
  <c r="CU222" i="4" s="1"/>
  <c r="BO222" i="4"/>
  <c r="CV222" i="4" s="1"/>
  <c r="BM222" i="4"/>
  <c r="CT222" i="4" s="1"/>
  <c r="BL222" i="4"/>
  <c r="CS222" i="4" s="1"/>
  <c r="BN251" i="4"/>
  <c r="BO251" i="4"/>
  <c r="BM251" i="4"/>
  <c r="BL251" i="4"/>
  <c r="BO313" i="4"/>
  <c r="BN313" i="4"/>
  <c r="BM313" i="4"/>
  <c r="BL313" i="4"/>
  <c r="BN209" i="4"/>
  <c r="CU209" i="4" s="1"/>
  <c r="BN198" i="4"/>
  <c r="CU198" i="4" s="1"/>
  <c r="BN210" i="4"/>
  <c r="CU210" i="4" s="1"/>
  <c r="CT44" i="4"/>
  <c r="CT570" i="4"/>
  <c r="CV203" i="4"/>
  <c r="CU610" i="4"/>
  <c r="O11" i="2"/>
  <c r="AP21" i="2"/>
  <c r="AR11" i="2"/>
  <c r="P23" i="2"/>
  <c r="Y23" i="2" s="1"/>
  <c r="AR23" i="2"/>
  <c r="Z21" i="2"/>
  <c r="AQ23" i="2"/>
  <c r="P11" i="2"/>
  <c r="Y11" i="2" s="1"/>
  <c r="CV617" i="4"/>
  <c r="AP23" i="2"/>
  <c r="Z23" i="2"/>
  <c r="Z11" i="2"/>
  <c r="AO21" i="2"/>
  <c r="AP12" i="2"/>
  <c r="AP11" i="2"/>
  <c r="X21" i="2"/>
  <c r="O21" i="2"/>
  <c r="AO23" i="2"/>
  <c r="O12" i="2"/>
  <c r="X12" i="2"/>
  <c r="AO12" i="2"/>
  <c r="AO11" i="2"/>
  <c r="AQ21" i="2"/>
  <c r="P21" i="2"/>
  <c r="Y21" i="2" s="1"/>
  <c r="AR21" i="2"/>
  <c r="AQ12" i="2"/>
  <c r="X23" i="2"/>
  <c r="O23" i="2"/>
  <c r="CU612" i="4"/>
  <c r="CS617" i="4"/>
  <c r="P12" i="2"/>
  <c r="Y12" i="2" s="1"/>
  <c r="AQ11" i="2"/>
  <c r="CV204" i="4"/>
  <c r="CS203" i="4"/>
  <c r="CT617" i="4"/>
  <c r="CS612" i="4"/>
  <c r="CU203" i="4"/>
  <c r="CU204" i="4"/>
  <c r="CT614" i="4"/>
  <c r="CU617" i="4"/>
  <c r="CV610" i="4"/>
  <c r="CT120" i="4"/>
  <c r="CV195" i="4"/>
  <c r="CU195" i="4"/>
  <c r="CT569" i="4"/>
  <c r="CV615" i="4"/>
  <c r="CU615" i="4"/>
  <c r="CT615" i="4"/>
  <c r="CV109" i="4"/>
  <c r="CT122" i="4"/>
  <c r="CT178" i="4"/>
  <c r="CS204" i="4"/>
  <c r="CV214" i="4"/>
  <c r="CU214" i="4"/>
  <c r="CU584" i="4"/>
  <c r="CV584" i="4"/>
  <c r="CT536" i="4"/>
  <c r="CT584" i="4"/>
  <c r="CT619" i="4"/>
  <c r="CU533" i="4"/>
  <c r="CV202" i="4"/>
  <c r="CU202" i="4"/>
  <c r="CT518" i="4"/>
  <c r="CT612" i="4"/>
  <c r="CV612" i="4"/>
  <c r="CT175" i="4"/>
  <c r="CT204" i="4"/>
  <c r="CT214" i="4"/>
  <c r="CT602" i="4"/>
  <c r="CT119" i="4"/>
  <c r="CT70" i="4"/>
  <c r="CT124" i="4"/>
  <c r="CT172" i="4"/>
  <c r="CT221" i="4"/>
  <c r="CT484" i="4"/>
  <c r="CU618" i="4"/>
  <c r="CV618" i="4"/>
  <c r="CT531" i="4"/>
  <c r="CT618" i="4"/>
  <c r="CU570" i="4"/>
  <c r="CU602" i="4"/>
  <c r="CV601" i="4"/>
  <c r="CU601" i="4"/>
  <c r="CT9" i="4"/>
  <c r="CT173" i="4"/>
  <c r="CT69" i="4"/>
  <c r="CT177" i="4"/>
  <c r="C18" i="2"/>
  <c r="E253" i="4"/>
  <c r="CT530" i="4"/>
  <c r="CT471" i="4"/>
  <c r="CT583" i="4"/>
  <c r="CT610" i="4"/>
  <c r="CT195" i="4"/>
  <c r="CU536" i="4"/>
  <c r="CT176" i="4"/>
  <c r="CT121" i="4"/>
  <c r="CT611" i="4"/>
  <c r="CU616" i="4"/>
  <c r="CV616" i="4"/>
  <c r="CT487" i="4"/>
  <c r="CT118" i="4"/>
  <c r="CT174" i="4"/>
  <c r="CS610" i="4"/>
  <c r="CV619" i="4"/>
  <c r="CU619" i="4"/>
  <c r="CT601" i="4"/>
  <c r="CV196" i="4"/>
  <c r="CU196" i="4"/>
  <c r="CT123" i="4"/>
  <c r="CT76" i="4"/>
  <c r="CT486" i="4"/>
  <c r="CV614" i="4"/>
  <c r="CU614" i="4"/>
  <c r="CT71" i="4"/>
  <c r="CS195" i="4"/>
  <c r="CT563" i="4"/>
  <c r="CS601" i="4"/>
  <c r="CT75" i="4"/>
  <c r="CT519" i="4"/>
  <c r="CV613" i="4"/>
  <c r="CU613" i="4"/>
  <c r="CT87" i="4"/>
  <c r="CT532" i="4"/>
  <c r="CT554" i="4"/>
  <c r="CV582" i="4"/>
  <c r="CT582" i="4"/>
  <c r="CU582" i="4"/>
  <c r="CT485" i="4"/>
  <c r="CT203" i="4"/>
  <c r="CV205" i="4"/>
  <c r="CU205" i="4"/>
  <c r="CT205" i="4"/>
  <c r="CV570" i="4"/>
  <c r="CV533" i="4"/>
  <c r="C21" i="2"/>
  <c r="C12" i="2"/>
  <c r="C11" i="2"/>
  <c r="C23" i="2"/>
  <c r="CS570" i="4"/>
  <c r="CW223" i="4"/>
  <c r="S18" i="2"/>
  <c r="AS397" i="4"/>
  <c r="AS9" i="4"/>
  <c r="AS25" i="4"/>
  <c r="AS41" i="4"/>
  <c r="AS43" i="4"/>
  <c r="AS121" i="4"/>
  <c r="AS173" i="4"/>
  <c r="AS177" i="4"/>
  <c r="AS283" i="4"/>
  <c r="AS299" i="4"/>
  <c r="AS307" i="4"/>
  <c r="AS357" i="4"/>
  <c r="AS361" i="4"/>
  <c r="AS363" i="4"/>
  <c r="AS369" i="4"/>
  <c r="AS407" i="4"/>
  <c r="CK487" i="4"/>
  <c r="CK497" i="4"/>
  <c r="CK519" i="4"/>
  <c r="CK529" i="4"/>
  <c r="CK615" i="4"/>
  <c r="CK163" i="4"/>
  <c r="CK189" i="4"/>
  <c r="CK218" i="4"/>
  <c r="CK431" i="4"/>
  <c r="CK475" i="4"/>
  <c r="CK585" i="4"/>
  <c r="CK34" i="4"/>
  <c r="CK417" i="4"/>
  <c r="CK449" i="4"/>
  <c r="CK493" i="4"/>
  <c r="CK617" i="4"/>
  <c r="CK619" i="4"/>
  <c r="AS487" i="4"/>
  <c r="AS491" i="4"/>
  <c r="AS497" i="4"/>
  <c r="AS501" i="4"/>
  <c r="AS519" i="4"/>
  <c r="AS529" i="4"/>
  <c r="AS533" i="4"/>
  <c r="AS613" i="4"/>
  <c r="AS615" i="4"/>
  <c r="AS65" i="4"/>
  <c r="AS87" i="4"/>
  <c r="AS109" i="4"/>
  <c r="AS163" i="4"/>
  <c r="AS189" i="4"/>
  <c r="AS193" i="4"/>
  <c r="AS197" i="4"/>
  <c r="AS199" i="4"/>
  <c r="AS201" i="4"/>
  <c r="AS209" i="4"/>
  <c r="AS211" i="4"/>
  <c r="AS224" i="4"/>
  <c r="AS218" i="4"/>
  <c r="AS222" i="4"/>
  <c r="AS337" i="4"/>
  <c r="AS359" i="4"/>
  <c r="AS365" i="4"/>
  <c r="AS425" i="4"/>
  <c r="AS427" i="4"/>
  <c r="AS431" i="4"/>
  <c r="AS439" i="4"/>
  <c r="CK491" i="4"/>
  <c r="CK501" i="4"/>
  <c r="CK533" i="4"/>
  <c r="CK109" i="4"/>
  <c r="CK201" i="4"/>
  <c r="CK211" i="4"/>
  <c r="CK359" i="4"/>
  <c r="CK425" i="4"/>
  <c r="CK469" i="4"/>
  <c r="CK71" i="4"/>
  <c r="CK135" i="4"/>
  <c r="CK175" i="4"/>
  <c r="CK205" i="4"/>
  <c r="CK207" i="4"/>
  <c r="CK213" i="4"/>
  <c r="CK405" i="4"/>
  <c r="CK421" i="4"/>
  <c r="CK485" i="4"/>
  <c r="CK25" i="4"/>
  <c r="CK41" i="4"/>
  <c r="CK43" i="4"/>
  <c r="CK173" i="4"/>
  <c r="CK307" i="4"/>
  <c r="CK357" i="4"/>
  <c r="CK361" i="4"/>
  <c r="CK363" i="4"/>
  <c r="CK369" i="4"/>
  <c r="CK397" i="4"/>
  <c r="CK407" i="4"/>
  <c r="CK119" i="4"/>
  <c r="CK243" i="4"/>
  <c r="CK247" i="4"/>
  <c r="CK255" i="4"/>
  <c r="CK269" i="4"/>
  <c r="CK279" i="4"/>
  <c r="CK281" i="4"/>
  <c r="CK285" i="4"/>
  <c r="CK287" i="4"/>
  <c r="CK297" i="4"/>
  <c r="CK301" i="4"/>
  <c r="CK345" i="4"/>
  <c r="CK399" i="4"/>
  <c r="CK401" i="4"/>
  <c r="CK489" i="4"/>
  <c r="CK495" i="4"/>
  <c r="CK503" i="4"/>
  <c r="CK535" i="4"/>
  <c r="CK30" i="4"/>
  <c r="CK42" i="4"/>
  <c r="CK66" i="4"/>
  <c r="CK110" i="4"/>
  <c r="CK174" i="4"/>
  <c r="CK178" i="4"/>
  <c r="CK202" i="4"/>
  <c r="CK206" i="4"/>
  <c r="CK221" i="4"/>
  <c r="CK266" i="4"/>
  <c r="CK330" i="4"/>
  <c r="CK370" i="4"/>
  <c r="CK406" i="4"/>
  <c r="CK474" i="4"/>
  <c r="CK486" i="4"/>
  <c r="CK490" i="4"/>
  <c r="CK494" i="4"/>
  <c r="CK534" i="4"/>
  <c r="CK554" i="4"/>
  <c r="CK574" i="4"/>
  <c r="CK614" i="4"/>
  <c r="CK618" i="4"/>
  <c r="CK237" i="4"/>
  <c r="CK245" i="4"/>
  <c r="CK265" i="4"/>
  <c r="CK333" i="4"/>
  <c r="CK471" i="4"/>
  <c r="CK531" i="4"/>
  <c r="CK563" i="4"/>
  <c r="CK569" i="4"/>
  <c r="CK573" i="4"/>
  <c r="CK583" i="4"/>
  <c r="CK601" i="4"/>
  <c r="AS469" i="4"/>
  <c r="AS475" i="4"/>
  <c r="AS585" i="4"/>
  <c r="AS34" i="4"/>
  <c r="AS44" i="4"/>
  <c r="AS70" i="4"/>
  <c r="AS76" i="4"/>
  <c r="AS118" i="4"/>
  <c r="AS120" i="4"/>
  <c r="AS122" i="4"/>
  <c r="AS124" i="4"/>
  <c r="AS162" i="4"/>
  <c r="AS164" i="4"/>
  <c r="AS236" i="4"/>
  <c r="AS238" i="4"/>
  <c r="AS240" i="4"/>
  <c r="AS242" i="4"/>
  <c r="AS244" i="4"/>
  <c r="AS246" i="4"/>
  <c r="AS248" i="4"/>
  <c r="AS250" i="4"/>
  <c r="AS252" i="4"/>
  <c r="AS254" i="4"/>
  <c r="AS256" i="4"/>
  <c r="AS258" i="4"/>
  <c r="AS260" i="4"/>
  <c r="AS296" i="4"/>
  <c r="AS298" i="4"/>
  <c r="AS300" i="4"/>
  <c r="AS302" i="4"/>
  <c r="AS312" i="4"/>
  <c r="AS314" i="4"/>
  <c r="AS316" i="4"/>
  <c r="AS346" i="4"/>
  <c r="AS348" i="4"/>
  <c r="AS350" i="4"/>
  <c r="AS352" i="4"/>
  <c r="AS358" i="4"/>
  <c r="AS394" i="4"/>
  <c r="AS396" i="4"/>
  <c r="AS398" i="4"/>
  <c r="AS400" i="4"/>
  <c r="AS402" i="4"/>
  <c r="AS418" i="4"/>
  <c r="AS420" i="4"/>
  <c r="AS426" i="4"/>
  <c r="AS428" i="4"/>
  <c r="AS430" i="4"/>
  <c r="AS432" i="4"/>
  <c r="AS434" i="4"/>
  <c r="AS436" i="4"/>
  <c r="AS438" i="4"/>
  <c r="AS440" i="4"/>
  <c r="AS442" i="4"/>
  <c r="AS444" i="4"/>
  <c r="AS446" i="4"/>
  <c r="AS456" i="4"/>
  <c r="AS458" i="4"/>
  <c r="AS460" i="4"/>
  <c r="AS470" i="4"/>
  <c r="AS500" i="4"/>
  <c r="AS502" i="4"/>
  <c r="AS504" i="4"/>
  <c r="AS518" i="4"/>
  <c r="AS570" i="4"/>
  <c r="AS582" i="4"/>
  <c r="AS584" i="4"/>
  <c r="AS602" i="4"/>
  <c r="AS71" i="4"/>
  <c r="AS135" i="4"/>
  <c r="AS175" i="4"/>
  <c r="AS187" i="4"/>
  <c r="AS195" i="4"/>
  <c r="AS205" i="4"/>
  <c r="AS207" i="4"/>
  <c r="AS213" i="4"/>
  <c r="AS405" i="4"/>
  <c r="AS417" i="4"/>
  <c r="AS421" i="4"/>
  <c r="AS449" i="4"/>
  <c r="AS485" i="4"/>
  <c r="AS493" i="4"/>
  <c r="AS617" i="4"/>
  <c r="AS619" i="4"/>
  <c r="CK9" i="4"/>
  <c r="CK121" i="4"/>
  <c r="AS69" i="4"/>
  <c r="AS75" i="4"/>
  <c r="AS191" i="4"/>
  <c r="AS203" i="4"/>
  <c r="AS225" i="4"/>
  <c r="AS235" i="4"/>
  <c r="AS241" i="4"/>
  <c r="AS253" i="4"/>
  <c r="AS257" i="4"/>
  <c r="AS259" i="4"/>
  <c r="AS267" i="4"/>
  <c r="AS315" i="4"/>
  <c r="AS319" i="4"/>
  <c r="AS331" i="4"/>
  <c r="AS353" i="4"/>
  <c r="AS375" i="4"/>
  <c r="AS379" i="4"/>
  <c r="AS385" i="4"/>
  <c r="AS387" i="4"/>
  <c r="AS429" i="4"/>
  <c r="AS433" i="4"/>
  <c r="AS435" i="4"/>
  <c r="AS437" i="4"/>
  <c r="AS441" i="4"/>
  <c r="AS459" i="4"/>
  <c r="AS461" i="4"/>
  <c r="AS119" i="4"/>
  <c r="AS123" i="4"/>
  <c r="AS243" i="4"/>
  <c r="AS247" i="4"/>
  <c r="AS249" i="4"/>
  <c r="AS251" i="4"/>
  <c r="AS255" i="4"/>
  <c r="AS269" i="4"/>
  <c r="AS279" i="4"/>
  <c r="AS281" i="4"/>
  <c r="AS285" i="4"/>
  <c r="AS287" i="4"/>
  <c r="AS291" i="4"/>
  <c r="AS297" i="4"/>
  <c r="AS301" i="4"/>
  <c r="AS313" i="4"/>
  <c r="AS317" i="4"/>
  <c r="AS321" i="4"/>
  <c r="AS345" i="4"/>
  <c r="AS391" i="4"/>
  <c r="AS399" i="4"/>
  <c r="AS401" i="4"/>
  <c r="AS489" i="4"/>
  <c r="AS495" i="4"/>
  <c r="AS499" i="4"/>
  <c r="AS503" i="4"/>
  <c r="AS535" i="4"/>
  <c r="AS611" i="4"/>
  <c r="AS30" i="4"/>
  <c r="AS42" i="4"/>
  <c r="AS64" i="4"/>
  <c r="AS66" i="4"/>
  <c r="AS108" i="4"/>
  <c r="AS110" i="4"/>
  <c r="AS172" i="4"/>
  <c r="AS174" i="4"/>
  <c r="AS176" i="4"/>
  <c r="AS178" i="4"/>
  <c r="AS188" i="4"/>
  <c r="AS190" i="4"/>
  <c r="AS192" i="4"/>
  <c r="AS194" i="4"/>
  <c r="AS196" i="4"/>
  <c r="AS198" i="4"/>
  <c r="AS200" i="4"/>
  <c r="AS202" i="4"/>
  <c r="AS204" i="4"/>
  <c r="AS206" i="4"/>
  <c r="AS208" i="4"/>
  <c r="AS210" i="4"/>
  <c r="AS212" i="4"/>
  <c r="AS214" i="4"/>
  <c r="AS221" i="4"/>
  <c r="AS223" i="4"/>
  <c r="AS264" i="4"/>
  <c r="AS266" i="4"/>
  <c r="AS268" i="4"/>
  <c r="AS278" i="4"/>
  <c r="AS280" i="4"/>
  <c r="AS282" i="4"/>
  <c r="AS284" i="4"/>
  <c r="AS286" i="4"/>
  <c r="AS288" i="4"/>
  <c r="AS306" i="4"/>
  <c r="AS308" i="4"/>
  <c r="AS320" i="4"/>
  <c r="AS322" i="4"/>
  <c r="AS328" i="4"/>
  <c r="AS330" i="4"/>
  <c r="AS332" i="4"/>
  <c r="AS334" i="4"/>
  <c r="AS336" i="4"/>
  <c r="AS338" i="4"/>
  <c r="AS362" i="4"/>
  <c r="AS364" i="4"/>
  <c r="AS366" i="4"/>
  <c r="AS368" i="4"/>
  <c r="AS370" i="4"/>
  <c r="AS376" i="4"/>
  <c r="AS378" i="4"/>
  <c r="AS380" i="4"/>
  <c r="AS386" i="4"/>
  <c r="AS406" i="4"/>
  <c r="AS474" i="4"/>
  <c r="AS484" i="4"/>
  <c r="AS486" i="4"/>
  <c r="AS488" i="4"/>
  <c r="AS490" i="4"/>
  <c r="AS492" i="4"/>
  <c r="AS494" i="4"/>
  <c r="AS496" i="4"/>
  <c r="AS530" i="4"/>
  <c r="AS532" i="4"/>
  <c r="AS534" i="4"/>
  <c r="AS536" i="4"/>
  <c r="AS554" i="4"/>
  <c r="AS574" i="4"/>
  <c r="AS610" i="4"/>
  <c r="AS612" i="4"/>
  <c r="AS614" i="4"/>
  <c r="AS616" i="4"/>
  <c r="AS618" i="4"/>
  <c r="AS237" i="4"/>
  <c r="AS239" i="4"/>
  <c r="AS245" i="4"/>
  <c r="AS265" i="4"/>
  <c r="AS305" i="4"/>
  <c r="AS323" i="4"/>
  <c r="AS333" i="4"/>
  <c r="AS339" i="4"/>
  <c r="AS349" i="4"/>
  <c r="AS351" i="4"/>
  <c r="AS471" i="4"/>
  <c r="AS531" i="4"/>
  <c r="AS563" i="4"/>
  <c r="AS569" i="4"/>
  <c r="AS573" i="4"/>
  <c r="AS583" i="4"/>
  <c r="AS601" i="4"/>
  <c r="CK122" i="4"/>
  <c r="CK238" i="4"/>
  <c r="CK246" i="4"/>
  <c r="CK250" i="4"/>
  <c r="CK298" i="4"/>
  <c r="CK302" i="4"/>
  <c r="CK346" i="4"/>
  <c r="CK358" i="4"/>
  <c r="CK394" i="4"/>
  <c r="CK398" i="4"/>
  <c r="CK402" i="4"/>
  <c r="CK418" i="4"/>
  <c r="CK426" i="4"/>
  <c r="CK430" i="4"/>
  <c r="CK434" i="4"/>
  <c r="CK438" i="4"/>
  <c r="CK442" i="4"/>
  <c r="CK446" i="4"/>
  <c r="CK458" i="4"/>
  <c r="CK470" i="4"/>
  <c r="CK502" i="4"/>
  <c r="CK518" i="4"/>
  <c r="CK570" i="4"/>
  <c r="CK582" i="4"/>
  <c r="CK602" i="4"/>
  <c r="CK75" i="4"/>
  <c r="CK203" i="4"/>
  <c r="CK235" i="4"/>
  <c r="CK241" i="4"/>
  <c r="CK259" i="4"/>
  <c r="CK267" i="4"/>
  <c r="CK375" i="4"/>
  <c r="CK385" i="4"/>
  <c r="CK387" i="4"/>
  <c r="CK429" i="4"/>
  <c r="CK433" i="4"/>
  <c r="CK435" i="4"/>
  <c r="CK437" i="4"/>
  <c r="CK441" i="4"/>
  <c r="CK461" i="4"/>
  <c r="CK349" i="4"/>
  <c r="CK351" i="4"/>
  <c r="CK214" i="4"/>
  <c r="CK299" i="4"/>
  <c r="CK331" i="4"/>
  <c r="CK353" i="4"/>
  <c r="CK257" i="4"/>
  <c r="CK319" i="4"/>
  <c r="CK313" i="4"/>
  <c r="CK386" i="4"/>
  <c r="CK283" i="4"/>
  <c r="CK350" i="4"/>
  <c r="CK222" i="4"/>
  <c r="CK291" i="4"/>
  <c r="CK194" i="4"/>
  <c r="CK278" i="4"/>
  <c r="CK199" i="4"/>
  <c r="CK317" i="4"/>
  <c r="CK118" i="4"/>
  <c r="CK315" i="4"/>
  <c r="CK65" i="4"/>
  <c r="CK323" i="4"/>
  <c r="CK162" i="4"/>
  <c r="CK282" i="4"/>
  <c r="CK322" i="4"/>
  <c r="CK334" i="4"/>
  <c r="CK362" i="4"/>
  <c r="CK239" i="4"/>
  <c r="CK123" i="4"/>
  <c r="AN18" i="2"/>
  <c r="BE556" i="4"/>
  <c r="K18" i="2"/>
  <c r="T18" i="2"/>
  <c r="CK225" i="4"/>
  <c r="CK613" i="4"/>
  <c r="CK224" i="4"/>
  <c r="CK530" i="4"/>
  <c r="CK187" i="4"/>
  <c r="AS18" i="2"/>
  <c r="CK249" i="4"/>
  <c r="CK251" i="4"/>
  <c r="CK321" i="4"/>
  <c r="BE532" i="4"/>
  <c r="BE536" i="4"/>
  <c r="BE456" i="4"/>
  <c r="AY376" i="4"/>
  <c r="AY438" i="4"/>
  <c r="AY442" i="4"/>
  <c r="BE487" i="4"/>
  <c r="BE611" i="4"/>
  <c r="BE28" i="4"/>
  <c r="BE32" i="4"/>
  <c r="BE36" i="4"/>
  <c r="BE124" i="4"/>
  <c r="BE406" i="4"/>
  <c r="BE444" i="4"/>
  <c r="BE458" i="4"/>
  <c r="BE460" i="4"/>
  <c r="BE488" i="4"/>
  <c r="BE500" i="4"/>
  <c r="BE504" i="4"/>
  <c r="BE534" i="4"/>
  <c r="BE554" i="4"/>
  <c r="BE602" i="4"/>
  <c r="BE612" i="4"/>
  <c r="BE616" i="4"/>
  <c r="BE485" i="4"/>
  <c r="BE493" i="4"/>
  <c r="BE563" i="4"/>
  <c r="CK69" i="4"/>
  <c r="CK177" i="4"/>
  <c r="CK191" i="4"/>
  <c r="CK253" i="4"/>
  <c r="CK379" i="4"/>
  <c r="CK365" i="4"/>
  <c r="CK70" i="4"/>
  <c r="CK190" i="4"/>
  <c r="CK254" i="4"/>
  <c r="AY396" i="4"/>
  <c r="AY436" i="4"/>
  <c r="AY440" i="4"/>
  <c r="AY444" i="4"/>
  <c r="AY456" i="4"/>
  <c r="AY460" i="4"/>
  <c r="AY500" i="4"/>
  <c r="AY504" i="4"/>
  <c r="BK407" i="4"/>
  <c r="BK487" i="4"/>
  <c r="BK529" i="4"/>
  <c r="BK533" i="4"/>
  <c r="BK391" i="4"/>
  <c r="BK425" i="4"/>
  <c r="BK427" i="4"/>
  <c r="BK469" i="4"/>
  <c r="BK489" i="4"/>
  <c r="BK535" i="4"/>
  <c r="BK516" i="4"/>
  <c r="BK528" i="4"/>
  <c r="BK532" i="4"/>
  <c r="BK602" i="4"/>
  <c r="BK610" i="4"/>
  <c r="BK612" i="4"/>
  <c r="BE248" i="4"/>
  <c r="BE426" i="4"/>
  <c r="BE428" i="4"/>
  <c r="BE432" i="4"/>
  <c r="BE434" i="4"/>
  <c r="BE484" i="4"/>
  <c r="BE486" i="4"/>
  <c r="BE512" i="4"/>
  <c r="BE528" i="4"/>
  <c r="BE582" i="4"/>
  <c r="BK611" i="4"/>
  <c r="CK244" i="4"/>
  <c r="CK256" i="4"/>
  <c r="CK288" i="4"/>
  <c r="CK336" i="4"/>
  <c r="CK368" i="4"/>
  <c r="CK376" i="4"/>
  <c r="CK44" i="4"/>
  <c r="CK64" i="4"/>
  <c r="CK76" i="4"/>
  <c r="CK108" i="4"/>
  <c r="CK120" i="4"/>
  <c r="CK124" i="4"/>
  <c r="CK164" i="4"/>
  <c r="CK172" i="4"/>
  <c r="CK176" i="4"/>
  <c r="CK188" i="4"/>
  <c r="CK192" i="4"/>
  <c r="CK196" i="4"/>
  <c r="CK200" i="4"/>
  <c r="CK204" i="4"/>
  <c r="CK208" i="4"/>
  <c r="CK212" i="4"/>
  <c r="CK223" i="4"/>
  <c r="CK236" i="4"/>
  <c r="CK240" i="4"/>
  <c r="CK248" i="4"/>
  <c r="CK252" i="4"/>
  <c r="CK260" i="4"/>
  <c r="CK264" i="4"/>
  <c r="CK268" i="4"/>
  <c r="CK280" i="4"/>
  <c r="CK284" i="4"/>
  <c r="CK296" i="4"/>
  <c r="CK300" i="4"/>
  <c r="CK308" i="4"/>
  <c r="CK312" i="4"/>
  <c r="CK316" i="4"/>
  <c r="CK320" i="4"/>
  <c r="CK328" i="4"/>
  <c r="CK332" i="4"/>
  <c r="CK348" i="4"/>
  <c r="CK352" i="4"/>
  <c r="CK364" i="4"/>
  <c r="CK380" i="4"/>
  <c r="CK396" i="4"/>
  <c r="CK400" i="4"/>
  <c r="CK420" i="4"/>
  <c r="CK428" i="4"/>
  <c r="CK432" i="4"/>
  <c r="CK436" i="4"/>
  <c r="CK440" i="4"/>
  <c r="CK444" i="4"/>
  <c r="CK456" i="4"/>
  <c r="CK460" i="4"/>
  <c r="CK484" i="4"/>
  <c r="CK488" i="4"/>
  <c r="CK492" i="4"/>
  <c r="CK496" i="4"/>
  <c r="CK500" i="4"/>
  <c r="CK504" i="4"/>
  <c r="CK532" i="4"/>
  <c r="CK536" i="4"/>
  <c r="CK584" i="4"/>
  <c r="CK612" i="4"/>
  <c r="CK616" i="4"/>
  <c r="AY397" i="4"/>
  <c r="AY435" i="4"/>
  <c r="AY437" i="4"/>
  <c r="AY441" i="4"/>
  <c r="AY459" i="4"/>
  <c r="AY461" i="4"/>
  <c r="AY497" i="4"/>
  <c r="AY501" i="4"/>
  <c r="AY391" i="4"/>
  <c r="AY395" i="4"/>
  <c r="AY399" i="4"/>
  <c r="AY415" i="4"/>
  <c r="AY439" i="4"/>
  <c r="AY499" i="4"/>
  <c r="AY503" i="4"/>
  <c r="AY551" i="4"/>
  <c r="AY555" i="4"/>
  <c r="AY611" i="4"/>
  <c r="AY28" i="4"/>
  <c r="AY32" i="4"/>
  <c r="AY36" i="4"/>
  <c r="AY40" i="4"/>
  <c r="AY44" i="4"/>
  <c r="AY64" i="4"/>
  <c r="AY72" i="4"/>
  <c r="AY76" i="4"/>
  <c r="AY108" i="4"/>
  <c r="AY120" i="4"/>
  <c r="AY124" i="4"/>
  <c r="AY164" i="4"/>
  <c r="AY172" i="4"/>
  <c r="AY176" i="4"/>
  <c r="AY192" i="4"/>
  <c r="AY196" i="4"/>
  <c r="AY200" i="4"/>
  <c r="AY204" i="4"/>
  <c r="AY208" i="4"/>
  <c r="AY212" i="4"/>
  <c r="AY215" i="4"/>
  <c r="AY223" i="4"/>
  <c r="AY236" i="4"/>
  <c r="AY240" i="4"/>
  <c r="AY244" i="4"/>
  <c r="AY252" i="4"/>
  <c r="AY256" i="4"/>
  <c r="AY260" i="4"/>
  <c r="AY264" i="4"/>
  <c r="AY268" i="4"/>
  <c r="AY280" i="4"/>
  <c r="AY284" i="4"/>
  <c r="AY288" i="4"/>
  <c r="AY296" i="4"/>
  <c r="AY300" i="4"/>
  <c r="AY308" i="4"/>
  <c r="AY312" i="4"/>
  <c r="AY316" i="4"/>
  <c r="AY328" i="4"/>
  <c r="AY332" i="4"/>
  <c r="AY336" i="4"/>
  <c r="AY340" i="4"/>
  <c r="AY348" i="4"/>
  <c r="AY352" i="4"/>
  <c r="AY360" i="4"/>
  <c r="AY368" i="4"/>
  <c r="AY380" i="4"/>
  <c r="AY394" i="4"/>
  <c r="AY398" i="4"/>
  <c r="AY400" i="4"/>
  <c r="AY418" i="4"/>
  <c r="AY420" i="4"/>
  <c r="AY428" i="4"/>
  <c r="AY434" i="4"/>
  <c r="AY458" i="4"/>
  <c r="AY484" i="4"/>
  <c r="AY488" i="4"/>
  <c r="AY496" i="4"/>
  <c r="AY502" i="4"/>
  <c r="AY512" i="4"/>
  <c r="AY516" i="4"/>
  <c r="AY528" i="4"/>
  <c r="AY536" i="4"/>
  <c r="AY554" i="4"/>
  <c r="AY556" i="4"/>
  <c r="AY584" i="4"/>
  <c r="AY602" i="4"/>
  <c r="AY610" i="4"/>
  <c r="AY612" i="4"/>
  <c r="AY616" i="4"/>
  <c r="AY417" i="4"/>
  <c r="AY493" i="4"/>
  <c r="AY563" i="4"/>
  <c r="AY601" i="4"/>
  <c r="BE407" i="4"/>
  <c r="BE429" i="4"/>
  <c r="BE433" i="4"/>
  <c r="BE435" i="4"/>
  <c r="BE459" i="4"/>
  <c r="BE497" i="4"/>
  <c r="BE533" i="4"/>
  <c r="BE539" i="4"/>
  <c r="BE391" i="4"/>
  <c r="BE395" i="4"/>
  <c r="BE427" i="4"/>
  <c r="BE431" i="4"/>
  <c r="BE469" i="4"/>
  <c r="BE489" i="4"/>
  <c r="BE499" i="4"/>
  <c r="BE535" i="4"/>
  <c r="BE551" i="4"/>
  <c r="BE555" i="4"/>
  <c r="BE40" i="4"/>
  <c r="BE44" i="4"/>
  <c r="BE72" i="4"/>
  <c r="BE76" i="4"/>
  <c r="BE108" i="4"/>
  <c r="BE120" i="4"/>
  <c r="BE164" i="4"/>
  <c r="BE172" i="4"/>
  <c r="BE176" i="4"/>
  <c r="BE188" i="4"/>
  <c r="BE192" i="4"/>
  <c r="BE196" i="4"/>
  <c r="BE200" i="4"/>
  <c r="BE204" i="4"/>
  <c r="BE208" i="4"/>
  <c r="BE212" i="4"/>
  <c r="BE215" i="4"/>
  <c r="BE219" i="4"/>
  <c r="BE223" i="4"/>
  <c r="BE240" i="4"/>
  <c r="BE244" i="4"/>
  <c r="BE252" i="4"/>
  <c r="BE256" i="4"/>
  <c r="BE260" i="4"/>
  <c r="BE264" i="4"/>
  <c r="BE268" i="4"/>
  <c r="BE280" i="4"/>
  <c r="BE284" i="4"/>
  <c r="BE288" i="4"/>
  <c r="BE296" i="4"/>
  <c r="BE308" i="4"/>
  <c r="BE312" i="4"/>
  <c r="BE316" i="4"/>
  <c r="BE320" i="4"/>
  <c r="BE328" i="4"/>
  <c r="BE332" i="4"/>
  <c r="BE336" i="4"/>
  <c r="BE340" i="4"/>
  <c r="BE364" i="4"/>
  <c r="BE368" i="4"/>
  <c r="BE376" i="4"/>
  <c r="BE394" i="4"/>
  <c r="BE396" i="4"/>
  <c r="BE430" i="4"/>
  <c r="BE436" i="4"/>
  <c r="BE496" i="4"/>
  <c r="BE610" i="4"/>
  <c r="BK28" i="4"/>
  <c r="BK32" i="4"/>
  <c r="BK36" i="4"/>
  <c r="BK40" i="4"/>
  <c r="BK44" i="4"/>
  <c r="BK110" i="4"/>
  <c r="BK118" i="4"/>
  <c r="BK122" i="4"/>
  <c r="BK138" i="4"/>
  <c r="BK202" i="4"/>
  <c r="BK174" i="4"/>
  <c r="BK178" i="4"/>
  <c r="BK190" i="4"/>
  <c r="BK194" i="4"/>
  <c r="BK206" i="4"/>
  <c r="BK214" i="4"/>
  <c r="BK221" i="4"/>
  <c r="BK238" i="4"/>
  <c r="BK242" i="4"/>
  <c r="BK254" i="4"/>
  <c r="BK258" i="4"/>
  <c r="BK266" i="4"/>
  <c r="BK278" i="4"/>
  <c r="BK282" i="4"/>
  <c r="BK286" i="4"/>
  <c r="BK318" i="4"/>
  <c r="BK322" i="4"/>
  <c r="BK330" i="4"/>
  <c r="BK334" i="4"/>
  <c r="BK338" i="4"/>
  <c r="BK346" i="4"/>
  <c r="BK350" i="4"/>
  <c r="BK358" i="4"/>
  <c r="BK362" i="4"/>
  <c r="BK366" i="4"/>
  <c r="BK370" i="4"/>
  <c r="BK378" i="4"/>
  <c r="BK386" i="4"/>
  <c r="BK394" i="4"/>
  <c r="BK398" i="4"/>
  <c r="BK418" i="4"/>
  <c r="BK430" i="4"/>
  <c r="BK434" i="4"/>
  <c r="BK438" i="4"/>
  <c r="BK442" i="4"/>
  <c r="BK458" i="4"/>
  <c r="BK470" i="4"/>
  <c r="BK474" i="4"/>
  <c r="BK486" i="4"/>
  <c r="BK488" i="4"/>
  <c r="BK496" i="4"/>
  <c r="BK500" i="4"/>
  <c r="BK512" i="4"/>
  <c r="BK518" i="4"/>
  <c r="BK530" i="4"/>
  <c r="BK534" i="4"/>
  <c r="BK536" i="4"/>
  <c r="BK616" i="4"/>
  <c r="BP223" i="4"/>
  <c r="CK258" i="4"/>
  <c r="CK87" i="4"/>
  <c r="CK193" i="4"/>
  <c r="CK337" i="4"/>
  <c r="CK611" i="4"/>
  <c r="CK306" i="4"/>
  <c r="CK338" i="4"/>
  <c r="CK366" i="4"/>
  <c r="CK610" i="4"/>
  <c r="CK195" i="4"/>
  <c r="CK305" i="4"/>
  <c r="CK339" i="4"/>
  <c r="CK439" i="4"/>
  <c r="CK286" i="4"/>
  <c r="CK314" i="4"/>
  <c r="CK378" i="4"/>
  <c r="CK459" i="4"/>
  <c r="CK391" i="4"/>
  <c r="CK427" i="4"/>
  <c r="CK499" i="4"/>
  <c r="CK242" i="4"/>
  <c r="AY9" i="4"/>
  <c r="AY25" i="4"/>
  <c r="AY27" i="4"/>
  <c r="AY29" i="4"/>
  <c r="AY37" i="4"/>
  <c r="AY41" i="4"/>
  <c r="AY43" i="4"/>
  <c r="AY69" i="4"/>
  <c r="AY75" i="4"/>
  <c r="AY121" i="4"/>
  <c r="AY173" i="4"/>
  <c r="AY177" i="4"/>
  <c r="AY191" i="4"/>
  <c r="AY203" i="4"/>
  <c r="AY225" i="4"/>
  <c r="AY235" i="4"/>
  <c r="AY241" i="4"/>
  <c r="AY253" i="4"/>
  <c r="AY257" i="4"/>
  <c r="AY259" i="4"/>
  <c r="AY267" i="4"/>
  <c r="AY283" i="4"/>
  <c r="AY299" i="4"/>
  <c r="AY307" i="4"/>
  <c r="AY311" i="4"/>
  <c r="AY315" i="4"/>
  <c r="AY319" i="4"/>
  <c r="AY331" i="4"/>
  <c r="AY335" i="4"/>
  <c r="AY353" i="4"/>
  <c r="AY357" i="4"/>
  <c r="AY361" i="4"/>
  <c r="AY363" i="4"/>
  <c r="AY369" i="4"/>
  <c r="AY375" i="4"/>
  <c r="AY379" i="4"/>
  <c r="AY385" i="4"/>
  <c r="AY387" i="4"/>
  <c r="AY407" i="4"/>
  <c r="AY429" i="4"/>
  <c r="AY433" i="4"/>
  <c r="AY487" i="4"/>
  <c r="AY491" i="4"/>
  <c r="AY519" i="4"/>
  <c r="AY529" i="4"/>
  <c r="AY533" i="4"/>
  <c r="AY539" i="4"/>
  <c r="AY613" i="4"/>
  <c r="AY615" i="4"/>
  <c r="AY35" i="4"/>
  <c r="AY39" i="4"/>
  <c r="AY65" i="4"/>
  <c r="AY73" i="4"/>
  <c r="AY77" i="4"/>
  <c r="AY87" i="4"/>
  <c r="AY109" i="4"/>
  <c r="AY119" i="4"/>
  <c r="AY123" i="4"/>
  <c r="AY163" i="4"/>
  <c r="AY189" i="4"/>
  <c r="AY193" i="4"/>
  <c r="AY197" i="4"/>
  <c r="AY199" i="4"/>
  <c r="AY201" i="4"/>
  <c r="AY209" i="4"/>
  <c r="AY211" i="4"/>
  <c r="AY224" i="4"/>
  <c r="AY218" i="4"/>
  <c r="AY222" i="4"/>
  <c r="AY243" i="4"/>
  <c r="AY247" i="4"/>
  <c r="AY249" i="4"/>
  <c r="AY251" i="4"/>
  <c r="AY255" i="4"/>
  <c r="AY269" i="4"/>
  <c r="AY279" i="4"/>
  <c r="AY281" i="4"/>
  <c r="AY285" i="4"/>
  <c r="AY287" i="4"/>
  <c r="AY291" i="4"/>
  <c r="AY297" i="4"/>
  <c r="AY301" i="4"/>
  <c r="AY313" i="4"/>
  <c r="AY317" i="4"/>
  <c r="AY321" i="4"/>
  <c r="AY337" i="4"/>
  <c r="AY345" i="4"/>
  <c r="AY359" i="4"/>
  <c r="AY365" i="4"/>
  <c r="AY377" i="4"/>
  <c r="AY401" i="4"/>
  <c r="AY425" i="4"/>
  <c r="AY427" i="4"/>
  <c r="AY431" i="4"/>
  <c r="AY469" i="4"/>
  <c r="AY475" i="4"/>
  <c r="AY489" i="4"/>
  <c r="AY495" i="4"/>
  <c r="AY515" i="4"/>
  <c r="AY535" i="4"/>
  <c r="AY585" i="4"/>
  <c r="AY26" i="4"/>
  <c r="AY30" i="4"/>
  <c r="AY34" i="4"/>
  <c r="AY38" i="4"/>
  <c r="AY42" i="4"/>
  <c r="AY66" i="4"/>
  <c r="AY70" i="4"/>
  <c r="AY74" i="4"/>
  <c r="AY110" i="4"/>
  <c r="AY118" i="4"/>
  <c r="AY122" i="4"/>
  <c r="AY138" i="4"/>
  <c r="AY162" i="4"/>
  <c r="AY174" i="4"/>
  <c r="AY178" i="4"/>
  <c r="AY188" i="4"/>
  <c r="AY190" i="4"/>
  <c r="AY194" i="4"/>
  <c r="AY198" i="4"/>
  <c r="AY202" i="4"/>
  <c r="AY206" i="4"/>
  <c r="AY210" i="4"/>
  <c r="AY214" i="4"/>
  <c r="AY219" i="4"/>
  <c r="AY221" i="4"/>
  <c r="AY238" i="4"/>
  <c r="AY242" i="4"/>
  <c r="AY246" i="4"/>
  <c r="AY248" i="4"/>
  <c r="AY250" i="4"/>
  <c r="AY254" i="4"/>
  <c r="AY258" i="4"/>
  <c r="AY266" i="4"/>
  <c r="AY278" i="4"/>
  <c r="AY282" i="4"/>
  <c r="AY286" i="4"/>
  <c r="AY298" i="4"/>
  <c r="AY302" i="4"/>
  <c r="AY306" i="4"/>
  <c r="AY314" i="4"/>
  <c r="AY318" i="4"/>
  <c r="AY320" i="4"/>
  <c r="AY322" i="4"/>
  <c r="AY330" i="4"/>
  <c r="AY334" i="4"/>
  <c r="AY338" i="4"/>
  <c r="AY346" i="4"/>
  <c r="AY350" i="4"/>
  <c r="AY358" i="4"/>
  <c r="AY362" i="4"/>
  <c r="AY364" i="4"/>
  <c r="AY366" i="4"/>
  <c r="AY370" i="4"/>
  <c r="AY378" i="4"/>
  <c r="AY386" i="4"/>
  <c r="AY402" i="4"/>
  <c r="AY406" i="4"/>
  <c r="AY426" i="4"/>
  <c r="AY430" i="4"/>
  <c r="AY432" i="4"/>
  <c r="AY446" i="4"/>
  <c r="AY470" i="4"/>
  <c r="AY474" i="4"/>
  <c r="AY486" i="4"/>
  <c r="AY490" i="4"/>
  <c r="AY492" i="4"/>
  <c r="AY494" i="4"/>
  <c r="AY518" i="4"/>
  <c r="AY530" i="4"/>
  <c r="AY532" i="4"/>
  <c r="AY534" i="4"/>
  <c r="AY570" i="4"/>
  <c r="AY574" i="4"/>
  <c r="AY582" i="4"/>
  <c r="AY614" i="4"/>
  <c r="AY618" i="4"/>
  <c r="AY47" i="4"/>
  <c r="AY71" i="4"/>
  <c r="AY135" i="4"/>
  <c r="AY175" i="4"/>
  <c r="AY187" i="4"/>
  <c r="AY195" i="4"/>
  <c r="AY205" i="4"/>
  <c r="AY207" i="4"/>
  <c r="AY213" i="4"/>
  <c r="AY216" i="4"/>
  <c r="AY220" i="4"/>
  <c r="AY237" i="4"/>
  <c r="AY239" i="4"/>
  <c r="AY245" i="4"/>
  <c r="AY265" i="4"/>
  <c r="AY295" i="4"/>
  <c r="AY305" i="4"/>
  <c r="AY323" i="4"/>
  <c r="AY333" i="4"/>
  <c r="AY339" i="4"/>
  <c r="AY349" i="4"/>
  <c r="AY351" i="4"/>
  <c r="AY405" i="4"/>
  <c r="AY421" i="4"/>
  <c r="AY445" i="4"/>
  <c r="AY449" i="4"/>
  <c r="AY471" i="4"/>
  <c r="AY485" i="4"/>
  <c r="AY531" i="4"/>
  <c r="AY569" i="4"/>
  <c r="AY573" i="4"/>
  <c r="AY583" i="4"/>
  <c r="AY617" i="4"/>
  <c r="AY619" i="4"/>
  <c r="BE9" i="4"/>
  <c r="BE25" i="4"/>
  <c r="BE27" i="4"/>
  <c r="BE29" i="4"/>
  <c r="BE37" i="4"/>
  <c r="BE41" i="4"/>
  <c r="BE43" i="4"/>
  <c r="BE69" i="4"/>
  <c r="BE75" i="4"/>
  <c r="BE121" i="4"/>
  <c r="BE173" i="4"/>
  <c r="BE177" i="4"/>
  <c r="BE191" i="4"/>
  <c r="BE203" i="4"/>
  <c r="BE225" i="4"/>
  <c r="BE235" i="4"/>
  <c r="BE241" i="4"/>
  <c r="BE253" i="4"/>
  <c r="BE257" i="4"/>
  <c r="BE259" i="4"/>
  <c r="BE267" i="4"/>
  <c r="BE283" i="4"/>
  <c r="BE299" i="4"/>
  <c r="BE307" i="4"/>
  <c r="BE311" i="4"/>
  <c r="BE315" i="4"/>
  <c r="BE319" i="4"/>
  <c r="BE331" i="4"/>
  <c r="BE335" i="4"/>
  <c r="BE353" i="4"/>
  <c r="BE357" i="4"/>
  <c r="BE361" i="4"/>
  <c r="BE363" i="4"/>
  <c r="BE369" i="4"/>
  <c r="BE375" i="4"/>
  <c r="BE379" i="4"/>
  <c r="BE385" i="4"/>
  <c r="BE387" i="4"/>
  <c r="BE397" i="4"/>
  <c r="BE437" i="4"/>
  <c r="BE441" i="4"/>
  <c r="BE461" i="4"/>
  <c r="BE491" i="4"/>
  <c r="BE501" i="4"/>
  <c r="BE519" i="4"/>
  <c r="BE529" i="4"/>
  <c r="BE613" i="4"/>
  <c r="BE615" i="4"/>
  <c r="BE35" i="4"/>
  <c r="BE39" i="4"/>
  <c r="BE65" i="4"/>
  <c r="BE73" i="4"/>
  <c r="BE77" i="4"/>
  <c r="BE87" i="4"/>
  <c r="BE109" i="4"/>
  <c r="BE119" i="4"/>
  <c r="BE123" i="4"/>
  <c r="BE163" i="4"/>
  <c r="BE189" i="4"/>
  <c r="BE193" i="4"/>
  <c r="BE197" i="4"/>
  <c r="BE199" i="4"/>
  <c r="BE201" i="4"/>
  <c r="BE209" i="4"/>
  <c r="BE211" i="4"/>
  <c r="BE224" i="4"/>
  <c r="BE218" i="4"/>
  <c r="BE222" i="4"/>
  <c r="BE243" i="4"/>
  <c r="BE247" i="4"/>
  <c r="BE249" i="4"/>
  <c r="BE251" i="4"/>
  <c r="BE255" i="4"/>
  <c r="BE269" i="4"/>
  <c r="BE279" i="4"/>
  <c r="BE281" i="4"/>
  <c r="BE285" i="4"/>
  <c r="BE287" i="4"/>
  <c r="BE291" i="4"/>
  <c r="BE297" i="4"/>
  <c r="BE301" i="4"/>
  <c r="BE313" i="4"/>
  <c r="BE317" i="4"/>
  <c r="BE321" i="4"/>
  <c r="BE337" i="4"/>
  <c r="BE345" i="4"/>
  <c r="BE359" i="4"/>
  <c r="BE365" i="4"/>
  <c r="BE377" i="4"/>
  <c r="BE399" i="4"/>
  <c r="BE401" i="4"/>
  <c r="BE415" i="4"/>
  <c r="BE425" i="4"/>
  <c r="BE439" i="4"/>
  <c r="BE475" i="4"/>
  <c r="BE495" i="4"/>
  <c r="BE503" i="4"/>
  <c r="BE515" i="4"/>
  <c r="BE585" i="4"/>
  <c r="BE26" i="4"/>
  <c r="BE30" i="4"/>
  <c r="BE34" i="4"/>
  <c r="BE38" i="4"/>
  <c r="BE42" i="4"/>
  <c r="BE64" i="4"/>
  <c r="BE66" i="4"/>
  <c r="BE70" i="4"/>
  <c r="BE74" i="4"/>
  <c r="BE110" i="4"/>
  <c r="BE118" i="4"/>
  <c r="BE122" i="4"/>
  <c r="BE138" i="4"/>
  <c r="BE162" i="4"/>
  <c r="BE174" i="4"/>
  <c r="BE178" i="4"/>
  <c r="BE190" i="4"/>
  <c r="BE194" i="4"/>
  <c r="BE198" i="4"/>
  <c r="BE202" i="4"/>
  <c r="BE206" i="4"/>
  <c r="BE210" i="4"/>
  <c r="BE214" i="4"/>
  <c r="BE221" i="4"/>
  <c r="BE236" i="4"/>
  <c r="BE238" i="4"/>
  <c r="BE242" i="4"/>
  <c r="BE246" i="4"/>
  <c r="BE250" i="4"/>
  <c r="BE254" i="4"/>
  <c r="BE258" i="4"/>
  <c r="BE266" i="4"/>
  <c r="BE278" i="4"/>
  <c r="BE282" i="4"/>
  <c r="BE286" i="4"/>
  <c r="BE298" i="4"/>
  <c r="BE300" i="4"/>
  <c r="BE302" i="4"/>
  <c r="BE306" i="4"/>
  <c r="BE314" i="4"/>
  <c r="BE318" i="4"/>
  <c r="BE322" i="4"/>
  <c r="BE330" i="4"/>
  <c r="BE334" i="4"/>
  <c r="BE338" i="4"/>
  <c r="BE346" i="4"/>
  <c r="BE348" i="4"/>
  <c r="BE350" i="4"/>
  <c r="BE352" i="4"/>
  <c r="BE358" i="4"/>
  <c r="BE360" i="4"/>
  <c r="BE362" i="4"/>
  <c r="BE366" i="4"/>
  <c r="BE370" i="4"/>
  <c r="BE378" i="4"/>
  <c r="BE380" i="4"/>
  <c r="BE386" i="4"/>
  <c r="BE398" i="4"/>
  <c r="BE400" i="4"/>
  <c r="BE402" i="4"/>
  <c r="BE418" i="4"/>
  <c r="BE420" i="4"/>
  <c r="BE438" i="4"/>
  <c r="BE440" i="4"/>
  <c r="BE442" i="4"/>
  <c r="BE446" i="4"/>
  <c r="BE470" i="4"/>
  <c r="BE474" i="4"/>
  <c r="BE490" i="4"/>
  <c r="BE492" i="4"/>
  <c r="BE494" i="4"/>
  <c r="BE502" i="4"/>
  <c r="BE516" i="4"/>
  <c r="BE518" i="4"/>
  <c r="BE530" i="4"/>
  <c r="BE570" i="4"/>
  <c r="BE574" i="4"/>
  <c r="BE584" i="4"/>
  <c r="BE614" i="4"/>
  <c r="BE618" i="4"/>
  <c r="BE47" i="4"/>
  <c r="BE71" i="4"/>
  <c r="BE135" i="4"/>
  <c r="BE175" i="4"/>
  <c r="BE187" i="4"/>
  <c r="BE195" i="4"/>
  <c r="BE205" i="4"/>
  <c r="BE207" i="4"/>
  <c r="BE213" i="4"/>
  <c r="BE216" i="4"/>
  <c r="BE220" i="4"/>
  <c r="BE237" i="4"/>
  <c r="BE239" i="4"/>
  <c r="BE245" i="4"/>
  <c r="BE265" i="4"/>
  <c r="BE295" i="4"/>
  <c r="BE305" i="4"/>
  <c r="BE323" i="4"/>
  <c r="BE333" i="4"/>
  <c r="BE339" i="4"/>
  <c r="BE349" i="4"/>
  <c r="BE351" i="4"/>
  <c r="BE405" i="4"/>
  <c r="BE417" i="4"/>
  <c r="BE421" i="4"/>
  <c r="BE445" i="4"/>
  <c r="BE449" i="4"/>
  <c r="BE471" i="4"/>
  <c r="BE531" i="4"/>
  <c r="BE569" i="4"/>
  <c r="BE573" i="4"/>
  <c r="BE583" i="4"/>
  <c r="BE601" i="4"/>
  <c r="BE617" i="4"/>
  <c r="BE619" i="4"/>
  <c r="BK9" i="4"/>
  <c r="BK25" i="4"/>
  <c r="BK27" i="4"/>
  <c r="BK29" i="4"/>
  <c r="BK37" i="4"/>
  <c r="BK41" i="4"/>
  <c r="BK43" i="4"/>
  <c r="BK69" i="4"/>
  <c r="BK75" i="4"/>
  <c r="BK121" i="4"/>
  <c r="BK173" i="4"/>
  <c r="BK177" i="4"/>
  <c r="BK191" i="4"/>
  <c r="BK203" i="4"/>
  <c r="BK225" i="4"/>
  <c r="BK235" i="4"/>
  <c r="BK241" i="4"/>
  <c r="BK253" i="4"/>
  <c r="BK257" i="4"/>
  <c r="BK259" i="4"/>
  <c r="BK267" i="4"/>
  <c r="BK283" i="4"/>
  <c r="BK299" i="4"/>
  <c r="BK307" i="4"/>
  <c r="BK311" i="4"/>
  <c r="BK315" i="4"/>
  <c r="BK319" i="4"/>
  <c r="BK331" i="4"/>
  <c r="BK335" i="4"/>
  <c r="BK353" i="4"/>
  <c r="BK357" i="4"/>
  <c r="BK361" i="4"/>
  <c r="BK363" i="4"/>
  <c r="BK369" i="4"/>
  <c r="BK375" i="4"/>
  <c r="BK379" i="4"/>
  <c r="BK385" i="4"/>
  <c r="BK387" i="4"/>
  <c r="BK397" i="4"/>
  <c r="BK429" i="4"/>
  <c r="BK433" i="4"/>
  <c r="BK435" i="4"/>
  <c r="BK437" i="4"/>
  <c r="BK441" i="4"/>
  <c r="BK459" i="4"/>
  <c r="BK461" i="4"/>
  <c r="BK491" i="4"/>
  <c r="BK497" i="4"/>
  <c r="BK501" i="4"/>
  <c r="BK519" i="4"/>
  <c r="BK539" i="4"/>
  <c r="BK613" i="4"/>
  <c r="BK615" i="4"/>
  <c r="BK35" i="4"/>
  <c r="BK39" i="4"/>
  <c r="BK65" i="4"/>
  <c r="BK73" i="4"/>
  <c r="BK77" i="4"/>
  <c r="BK87" i="4"/>
  <c r="BK109" i="4"/>
  <c r="BK119" i="4"/>
  <c r="BK123" i="4"/>
  <c r="BK163" i="4"/>
  <c r="BK189" i="4"/>
  <c r="BK193" i="4"/>
  <c r="BK199" i="4"/>
  <c r="BK201" i="4"/>
  <c r="BK211" i="4"/>
  <c r="BK224" i="4"/>
  <c r="BK218" i="4"/>
  <c r="BK222" i="4"/>
  <c r="BK243" i="4"/>
  <c r="BK247" i="4"/>
  <c r="BK249" i="4"/>
  <c r="BK251" i="4"/>
  <c r="BK255" i="4"/>
  <c r="BK269" i="4"/>
  <c r="BK279" i="4"/>
  <c r="BK281" i="4"/>
  <c r="BK285" i="4"/>
  <c r="BK287" i="4"/>
  <c r="BK291" i="4"/>
  <c r="BK297" i="4"/>
  <c r="BK301" i="4"/>
  <c r="BK313" i="4"/>
  <c r="BK317" i="4"/>
  <c r="BK321" i="4"/>
  <c r="BK337" i="4"/>
  <c r="BK345" i="4"/>
  <c r="BK359" i="4"/>
  <c r="BK365" i="4"/>
  <c r="BK377" i="4"/>
  <c r="BK395" i="4"/>
  <c r="BK399" i="4"/>
  <c r="BK401" i="4"/>
  <c r="BK415" i="4"/>
  <c r="BK431" i="4"/>
  <c r="BK439" i="4"/>
  <c r="BK475" i="4"/>
  <c r="BK495" i="4"/>
  <c r="BK499" i="4"/>
  <c r="BK503" i="4"/>
  <c r="BK515" i="4"/>
  <c r="BK551" i="4"/>
  <c r="BK555" i="4"/>
  <c r="BK585" i="4"/>
  <c r="BK26" i="4"/>
  <c r="BK30" i="4"/>
  <c r="BK34" i="4"/>
  <c r="BK38" i="4"/>
  <c r="BK42" i="4"/>
  <c r="BK64" i="4"/>
  <c r="BK66" i="4"/>
  <c r="BK70" i="4"/>
  <c r="BK72" i="4"/>
  <c r="BK74" i="4"/>
  <c r="BK76" i="4"/>
  <c r="BK108" i="4"/>
  <c r="BK120" i="4"/>
  <c r="BK124" i="4"/>
  <c r="BK162" i="4"/>
  <c r="BK164" i="4"/>
  <c r="BK172" i="4"/>
  <c r="BK176" i="4"/>
  <c r="BK188" i="4"/>
  <c r="BK192" i="4"/>
  <c r="BK196" i="4"/>
  <c r="BK200" i="4"/>
  <c r="BK204" i="4"/>
  <c r="BK208" i="4"/>
  <c r="BK212" i="4"/>
  <c r="BK215" i="4"/>
  <c r="BK219" i="4"/>
  <c r="BK223" i="4"/>
  <c r="BK236" i="4"/>
  <c r="BK240" i="4"/>
  <c r="BK244" i="4"/>
  <c r="BK246" i="4"/>
  <c r="BK248" i="4"/>
  <c r="BK250" i="4"/>
  <c r="BK252" i="4"/>
  <c r="BK256" i="4"/>
  <c r="BK260" i="4"/>
  <c r="BK264" i="4"/>
  <c r="BK268" i="4"/>
  <c r="BK280" i="4"/>
  <c r="BK284" i="4"/>
  <c r="BK288" i="4"/>
  <c r="BK296" i="4"/>
  <c r="BK298" i="4"/>
  <c r="BK300" i="4"/>
  <c r="BK302" i="4"/>
  <c r="BK306" i="4"/>
  <c r="BK308" i="4"/>
  <c r="BK312" i="4"/>
  <c r="BK314" i="4"/>
  <c r="BK316" i="4"/>
  <c r="BK320" i="4"/>
  <c r="BK328" i="4"/>
  <c r="BK332" i="4"/>
  <c r="BK336" i="4"/>
  <c r="BK340" i="4"/>
  <c r="BK348" i="4"/>
  <c r="BK352" i="4"/>
  <c r="BK360" i="4"/>
  <c r="BK364" i="4"/>
  <c r="BK368" i="4"/>
  <c r="BK376" i="4"/>
  <c r="BK380" i="4"/>
  <c r="BK396" i="4"/>
  <c r="BK400" i="4"/>
  <c r="BK402" i="4"/>
  <c r="BK406" i="4"/>
  <c r="BK420" i="4"/>
  <c r="BK426" i="4"/>
  <c r="BK428" i="4"/>
  <c r="BK432" i="4"/>
  <c r="BK436" i="4"/>
  <c r="BK440" i="4"/>
  <c r="BK444" i="4"/>
  <c r="BK446" i="4"/>
  <c r="BK456" i="4"/>
  <c r="BK460" i="4"/>
  <c r="BK484" i="4"/>
  <c r="BK490" i="4"/>
  <c r="BK492" i="4"/>
  <c r="BK494" i="4"/>
  <c r="BK502" i="4"/>
  <c r="BK504" i="4"/>
  <c r="BK554" i="4"/>
  <c r="BK556" i="4"/>
  <c r="BK570" i="4"/>
  <c r="BK574" i="4"/>
  <c r="BK582" i="4"/>
  <c r="BK584" i="4"/>
  <c r="BK614" i="4"/>
  <c r="BK618" i="4"/>
  <c r="BK47" i="4"/>
  <c r="BK71" i="4"/>
  <c r="BK135" i="4"/>
  <c r="BK175" i="4"/>
  <c r="BK187" i="4"/>
  <c r="BK195" i="4"/>
  <c r="BK205" i="4"/>
  <c r="BK207" i="4"/>
  <c r="BK213" i="4"/>
  <c r="BK216" i="4"/>
  <c r="BK220" i="4"/>
  <c r="BK237" i="4"/>
  <c r="BK239" i="4"/>
  <c r="BK245" i="4"/>
  <c r="BK265" i="4"/>
  <c r="BK295" i="4"/>
  <c r="BK305" i="4"/>
  <c r="BK323" i="4"/>
  <c r="BK333" i="4"/>
  <c r="BK339" i="4"/>
  <c r="BK349" i="4"/>
  <c r="BK351" i="4"/>
  <c r="BK405" i="4"/>
  <c r="BK417" i="4"/>
  <c r="BK421" i="4"/>
  <c r="BK445" i="4"/>
  <c r="BK449" i="4"/>
  <c r="BK471" i="4"/>
  <c r="BK485" i="4"/>
  <c r="BK493" i="4"/>
  <c r="BK531" i="4"/>
  <c r="BK563" i="4"/>
  <c r="BK569" i="4"/>
  <c r="BK573" i="4"/>
  <c r="BK583" i="4"/>
  <c r="BK601" i="4"/>
  <c r="BK617" i="4"/>
  <c r="BK619" i="4"/>
  <c r="CW191" i="4" l="1"/>
  <c r="BO253" i="4"/>
  <c r="BN253" i="4"/>
  <c r="BM253" i="4"/>
  <c r="BL253" i="4"/>
  <c r="CV175" i="4"/>
  <c r="CU518" i="4"/>
  <c r="CV530" i="4"/>
  <c r="BP237" i="4"/>
  <c r="BP251" i="4"/>
  <c r="BP252" i="4"/>
  <c r="BP312" i="4"/>
  <c r="BP308" i="4"/>
  <c r="CU122" i="4"/>
  <c r="CV518" i="4"/>
  <c r="CW199" i="4"/>
  <c r="CW573" i="4"/>
  <c r="CV122" i="4"/>
  <c r="CW192" i="4"/>
  <c r="BP264" i="4"/>
  <c r="CW584" i="4"/>
  <c r="BP192" i="4"/>
  <c r="BP533" i="4"/>
  <c r="BP618" i="4"/>
  <c r="BP41" i="4"/>
  <c r="CW529" i="4"/>
  <c r="BP584" i="4"/>
  <c r="BP204" i="4"/>
  <c r="BP574" i="4"/>
  <c r="BP493" i="4"/>
  <c r="CU120" i="4"/>
  <c r="CW618" i="4"/>
  <c r="CW211" i="4"/>
  <c r="CW109" i="4"/>
  <c r="N21" i="2"/>
  <c r="Q21" i="2" s="1"/>
  <c r="W21" i="2"/>
  <c r="AA21" i="2" s="1"/>
  <c r="N23" i="2"/>
  <c r="Q23" i="2" s="1"/>
  <c r="W23" i="2"/>
  <c r="AA23" i="2" s="1"/>
  <c r="W11" i="2"/>
  <c r="AA11" i="2" s="1"/>
  <c r="N11" i="2"/>
  <c r="Q11" i="2" s="1"/>
  <c r="N12" i="2"/>
  <c r="Q12" i="2" s="1"/>
  <c r="W12" i="2"/>
  <c r="AA12" i="2" s="1"/>
  <c r="W18" i="2"/>
  <c r="AA18" i="2" s="1"/>
  <c r="N18" i="2"/>
  <c r="Q18" i="2" s="1"/>
  <c r="CU173" i="4"/>
  <c r="BP268" i="4"/>
  <c r="CW204" i="4"/>
  <c r="BP436" i="4"/>
  <c r="BP269" i="4"/>
  <c r="CV9" i="4"/>
  <c r="BP529" i="4"/>
  <c r="CW66" i="4"/>
  <c r="BP240" i="4"/>
  <c r="BP201" i="4"/>
  <c r="BP349" i="4"/>
  <c r="CU531" i="4"/>
  <c r="CS487" i="4"/>
  <c r="BP196" i="4"/>
  <c r="CS9" i="4"/>
  <c r="CV70" i="4"/>
  <c r="CW108" i="4"/>
  <c r="BP491" i="4"/>
  <c r="BP285" i="4"/>
  <c r="CW474" i="4"/>
  <c r="CW533" i="4"/>
  <c r="CU221" i="4"/>
  <c r="CW201" i="4"/>
  <c r="BP189" i="4"/>
  <c r="CW44" i="4"/>
  <c r="BP385" i="4"/>
  <c r="BP488" i="4"/>
  <c r="BP255" i="4"/>
  <c r="BP352" i="4"/>
  <c r="BP614" i="4"/>
  <c r="BP433" i="4"/>
  <c r="BP314" i="4"/>
  <c r="CU9" i="4"/>
  <c r="BP34" i="4"/>
  <c r="CW214" i="4"/>
  <c r="CV531" i="4"/>
  <c r="CV583" i="4"/>
  <c r="BP431" i="4"/>
  <c r="BP190" i="4"/>
  <c r="CW162" i="4"/>
  <c r="BP239" i="4"/>
  <c r="BP573" i="4"/>
  <c r="CU123" i="4"/>
  <c r="BP368" i="4"/>
  <c r="BP307" i="4"/>
  <c r="BP235" i="4"/>
  <c r="BP44" i="4"/>
  <c r="BP193" i="4"/>
  <c r="BP417" i="4"/>
  <c r="CW616" i="4"/>
  <c r="BP492" i="4"/>
  <c r="BP64" i="4"/>
  <c r="CW203" i="4"/>
  <c r="BP348" i="4"/>
  <c r="BP203" i="4"/>
  <c r="CW582" i="4"/>
  <c r="CS519" i="4"/>
  <c r="CW614" i="4"/>
  <c r="CW469" i="4"/>
  <c r="BP108" i="4"/>
  <c r="BP222" i="4"/>
  <c r="BP30" i="4"/>
  <c r="CV221" i="4"/>
  <c r="BP195" i="4"/>
  <c r="BP205" i="4"/>
  <c r="BP474" i="4"/>
  <c r="CV172" i="4"/>
  <c r="CU178" i="4"/>
  <c r="BP351" i="4"/>
  <c r="CW617" i="4"/>
  <c r="BP218" i="4"/>
  <c r="CU124" i="4"/>
  <c r="CW207" i="4"/>
  <c r="BP616" i="4"/>
  <c r="BP207" i="4"/>
  <c r="BP199" i="4"/>
  <c r="BP266" i="4"/>
  <c r="CV487" i="4"/>
  <c r="BP582" i="4"/>
  <c r="CV519" i="4"/>
  <c r="CV178" i="4"/>
  <c r="CW213" i="4"/>
  <c r="BP297" i="4"/>
  <c r="BP379" i="4"/>
  <c r="CS531" i="4"/>
  <c r="BP601" i="4"/>
  <c r="BP135" i="4"/>
  <c r="CV124" i="4"/>
  <c r="CU485" i="4"/>
  <c r="CU174" i="4"/>
  <c r="BP284" i="4"/>
  <c r="BP188" i="4"/>
  <c r="CW212" i="4"/>
  <c r="BP369" i="4"/>
  <c r="CV554" i="4"/>
  <c r="CV485" i="4"/>
  <c r="CV69" i="4"/>
  <c r="CU487" i="4"/>
  <c r="CU70" i="4"/>
  <c r="BP429" i="4"/>
  <c r="CW135" i="4"/>
  <c r="CW613" i="4"/>
  <c r="CW574" i="4"/>
  <c r="CW110" i="4"/>
  <c r="CW206" i="4"/>
  <c r="BP430" i="4"/>
  <c r="CW602" i="4"/>
  <c r="CW536" i="4"/>
  <c r="BP405" i="4"/>
  <c r="CW535" i="4"/>
  <c r="CW194" i="4"/>
  <c r="CW218" i="4"/>
  <c r="CU583" i="4"/>
  <c r="CW205" i="4"/>
  <c r="CW601" i="4"/>
  <c r="BP250" i="4"/>
  <c r="BP602" i="4"/>
  <c r="BP164" i="4"/>
  <c r="BP619" i="4"/>
  <c r="BP214" i="4"/>
  <c r="CV173" i="4"/>
  <c r="CS173" i="4"/>
  <c r="CS119" i="4"/>
  <c r="BP212" i="4"/>
  <c r="BP206" i="4"/>
  <c r="BP110" i="4"/>
  <c r="CV76" i="4"/>
  <c r="CW196" i="4"/>
  <c r="CU69" i="4"/>
  <c r="CS120" i="4"/>
  <c r="CV121" i="4"/>
  <c r="CU172" i="4"/>
  <c r="BP330" i="4"/>
  <c r="CW195" i="4"/>
  <c r="BP435" i="4"/>
  <c r="BP109" i="4"/>
  <c r="CV123" i="4"/>
  <c r="CU76" i="4"/>
  <c r="BP425" i="4"/>
  <c r="BP66" i="4"/>
  <c r="BP535" i="4"/>
  <c r="BP194" i="4"/>
  <c r="CU554" i="4"/>
  <c r="CW470" i="4"/>
  <c r="CW64" i="4"/>
  <c r="CW193" i="4"/>
  <c r="CW610" i="4"/>
  <c r="BP267" i="4"/>
  <c r="CW585" i="4"/>
  <c r="CW164" i="4"/>
  <c r="BP617" i="4"/>
  <c r="CV174" i="4"/>
  <c r="CU119" i="4"/>
  <c r="CV563" i="4"/>
  <c r="CV120" i="4"/>
  <c r="BP397" i="4"/>
  <c r="CW25" i="4"/>
  <c r="CU176" i="4"/>
  <c r="CU530" i="4"/>
  <c r="CU118" i="4"/>
  <c r="BP432" i="4"/>
  <c r="BP434" i="4"/>
  <c r="CW163" i="4"/>
  <c r="BP362" i="4"/>
  <c r="CW619" i="4"/>
  <c r="CW65" i="4"/>
  <c r="CW534" i="4"/>
  <c r="CV71" i="4"/>
  <c r="CU471" i="4"/>
  <c r="BP426" i="4"/>
  <c r="BP386" i="4"/>
  <c r="BP489" i="4"/>
  <c r="CW222" i="4"/>
  <c r="CW615" i="4"/>
  <c r="CV471" i="4"/>
  <c r="CU611" i="4"/>
  <c r="BP238" i="4"/>
  <c r="CV486" i="4"/>
  <c r="BP490" i="4"/>
  <c r="CS124" i="4"/>
  <c r="CW612" i="4"/>
  <c r="CW202" i="4"/>
  <c r="BP442" i="4"/>
  <c r="CW570" i="4"/>
  <c r="CU563" i="4"/>
  <c r="BP313" i="4"/>
  <c r="CW208" i="4"/>
  <c r="CV611" i="4"/>
  <c r="CV177" i="4"/>
  <c r="CV118" i="4"/>
  <c r="CU486" i="4"/>
  <c r="CV176" i="4"/>
  <c r="CW200" i="4"/>
  <c r="CU177" i="4"/>
  <c r="CS530" i="4"/>
  <c r="BP306" i="4"/>
  <c r="CW475" i="4"/>
  <c r="BP570" i="4"/>
  <c r="BP202" i="4"/>
  <c r="CV484" i="4"/>
  <c r="BP200" i="4"/>
  <c r="BP475" i="4"/>
  <c r="BP213" i="4"/>
  <c r="BP615" i="4"/>
  <c r="BP25" i="4"/>
  <c r="CU71" i="4"/>
  <c r="CV569" i="4"/>
  <c r="CV75" i="4"/>
  <c r="BP211" i="4"/>
  <c r="BP612" i="4"/>
  <c r="CU569" i="4"/>
  <c r="CV87" i="4"/>
  <c r="CU532" i="4"/>
  <c r="BP470" i="4"/>
  <c r="BP469" i="4"/>
  <c r="CU484" i="4"/>
  <c r="CU87" i="4"/>
  <c r="CU175" i="4"/>
  <c r="BP610" i="4"/>
  <c r="BP208" i="4"/>
  <c r="BP163" i="4"/>
  <c r="BP65" i="4"/>
  <c r="BP534" i="4"/>
  <c r="BP585" i="4"/>
  <c r="BP162" i="4"/>
  <c r="BP446" i="4"/>
  <c r="CV532" i="4"/>
  <c r="CU75" i="4"/>
  <c r="CU121" i="4"/>
  <c r="T23" i="2"/>
  <c r="AE18" i="2"/>
  <c r="AD23" i="2"/>
  <c r="AD18" i="2"/>
  <c r="G11" i="2"/>
  <c r="I11" i="2" s="1"/>
  <c r="S11" i="2"/>
  <c r="G23" i="2"/>
  <c r="I23" i="2" s="1"/>
  <c r="S12" i="2"/>
  <c r="G21" i="2"/>
  <c r="I21" i="2" s="1"/>
  <c r="AD21" i="2"/>
  <c r="G12" i="2"/>
  <c r="I12" i="2" s="1"/>
  <c r="G18" i="2"/>
  <c r="AC18" i="2"/>
  <c r="D18" i="2"/>
  <c r="CJ198" i="4"/>
  <c r="CK198" i="4" s="1"/>
  <c r="BJ198" i="4"/>
  <c r="BJ209" i="4"/>
  <c r="BO209" i="4" s="1"/>
  <c r="CJ209" i="4"/>
  <c r="CK209" i="4" s="1"/>
  <c r="CJ210" i="4"/>
  <c r="CK210" i="4" s="1"/>
  <c r="BJ210" i="4"/>
  <c r="BO210" i="4" s="1"/>
  <c r="BJ197" i="4"/>
  <c r="BO197" i="4" s="1"/>
  <c r="CJ197" i="4"/>
  <c r="T12" i="2"/>
  <c r="AH18" i="2"/>
  <c r="K23" i="2"/>
  <c r="AH23" i="2"/>
  <c r="D12" i="2"/>
  <c r="T21" i="2"/>
  <c r="AG11" i="2"/>
  <c r="AS23" i="2"/>
  <c r="T11" i="2"/>
  <c r="AG20" i="2"/>
  <c r="BP428" i="4"/>
  <c r="AG23" i="2"/>
  <c r="BP225" i="4"/>
  <c r="AG21" i="2"/>
  <c r="AE21" i="2"/>
  <c r="AG16" i="2"/>
  <c r="K21" i="2"/>
  <c r="AG18" i="2"/>
  <c r="BP187" i="4"/>
  <c r="BP191" i="4"/>
  <c r="AG19" i="2"/>
  <c r="AG17" i="2"/>
  <c r="AG15" i="2"/>
  <c r="BP536" i="4"/>
  <c r="BP613" i="4"/>
  <c r="BP254" i="4"/>
  <c r="AG22" i="2"/>
  <c r="AG13" i="2"/>
  <c r="AS11" i="2"/>
  <c r="AG12" i="2"/>
  <c r="AS21" i="2"/>
  <c r="AN17" i="2"/>
  <c r="D21" i="2"/>
  <c r="AH21" i="2"/>
  <c r="D23" i="2"/>
  <c r="AH11" i="2"/>
  <c r="D11" i="2"/>
  <c r="AN19" i="2"/>
  <c r="AN20" i="2"/>
  <c r="BO198" i="4" l="1"/>
  <c r="CV198" i="4" s="1"/>
  <c r="CW198" i="4" s="1"/>
  <c r="BP301" i="4"/>
  <c r="BP43" i="4"/>
  <c r="BP503" i="4"/>
  <c r="BP459" i="4"/>
  <c r="BP496" i="4"/>
  <c r="BP376" i="4"/>
  <c r="BP402" i="4"/>
  <c r="BP400" i="4"/>
  <c r="BP461" i="4"/>
  <c r="AR12" i="2"/>
  <c r="AS12" i="2" s="1"/>
  <c r="Z12" i="2"/>
  <c r="BP394" i="4"/>
  <c r="BP332" i="4"/>
  <c r="BP391" i="4"/>
  <c r="CW487" i="4"/>
  <c r="BP346" i="4"/>
  <c r="CW530" i="4"/>
  <c r="BP421" i="4"/>
  <c r="BP280" i="4"/>
  <c r="BP249" i="4"/>
  <c r="CW9" i="4"/>
  <c r="CW531" i="4"/>
  <c r="BP497" i="4"/>
  <c r="BP502" i="4"/>
  <c r="BP9" i="4"/>
  <c r="BP487" i="4"/>
  <c r="BP427" i="4"/>
  <c r="BP317" i="4"/>
  <c r="BP501" i="4"/>
  <c r="BP224" i="4"/>
  <c r="BP265" i="4"/>
  <c r="BP441" i="4"/>
  <c r="BP531" i="4"/>
  <c r="BP338" i="4"/>
  <c r="BP380" i="4"/>
  <c r="BP458" i="4"/>
  <c r="BP504" i="4"/>
  <c r="CW120" i="4"/>
  <c r="BP302" i="4"/>
  <c r="BP246" i="4"/>
  <c r="CW124" i="4"/>
  <c r="BP358" i="4"/>
  <c r="BP299" i="4"/>
  <c r="BP333" i="4"/>
  <c r="BP365" i="4"/>
  <c r="BP440" i="4"/>
  <c r="BP305" i="4"/>
  <c r="BP370" i="4"/>
  <c r="BP387" i="4"/>
  <c r="BP500" i="4"/>
  <c r="BP444" i="4"/>
  <c r="BP418" i="4"/>
  <c r="BP359" i="4"/>
  <c r="BP375" i="4"/>
  <c r="BP256" i="4"/>
  <c r="BP244" i="4"/>
  <c r="BP438" i="4"/>
  <c r="BP236" i="4"/>
  <c r="BP247" i="4"/>
  <c r="BP460" i="4"/>
  <c r="BP120" i="4"/>
  <c r="BP257" i="4"/>
  <c r="BP320" i="4"/>
  <c r="BP300" i="4"/>
  <c r="BP173" i="4"/>
  <c r="BP357" i="4"/>
  <c r="BP331" i="4"/>
  <c r="BP321" i="4"/>
  <c r="BP530" i="4"/>
  <c r="BP364" i="4"/>
  <c r="BP319" i="4"/>
  <c r="BP278" i="4"/>
  <c r="BP288" i="4"/>
  <c r="BP296" i="4"/>
  <c r="BP315" i="4"/>
  <c r="BP420" i="4"/>
  <c r="CW173" i="4"/>
  <c r="BP42" i="4"/>
  <c r="BP334" i="4"/>
  <c r="BP499" i="4"/>
  <c r="BP456" i="4"/>
  <c r="BP353" i="4"/>
  <c r="BP260" i="4"/>
  <c r="BP361" i="4"/>
  <c r="BP339" i="4"/>
  <c r="BP286" i="4"/>
  <c r="BP291" i="4"/>
  <c r="BP287" i="4"/>
  <c r="BP282" i="4"/>
  <c r="BP437" i="4"/>
  <c r="BP323" i="4"/>
  <c r="BP439" i="4"/>
  <c r="BP124" i="4"/>
  <c r="BP399" i="4"/>
  <c r="BP253" i="4"/>
  <c r="BP366" i="4"/>
  <c r="BP279" i="4"/>
  <c r="CS563" i="4"/>
  <c r="CW563" i="4" s="1"/>
  <c r="BP563" i="4"/>
  <c r="CV119" i="4"/>
  <c r="CW119" i="4" s="1"/>
  <c r="BP119" i="4"/>
  <c r="BP298" i="4"/>
  <c r="BP283" i="4"/>
  <c r="BP248" i="4"/>
  <c r="BP259" i="4"/>
  <c r="CS471" i="4"/>
  <c r="CW471" i="4" s="1"/>
  <c r="BP471" i="4"/>
  <c r="BP328" i="4"/>
  <c r="BP378" i="4"/>
  <c r="BP363" i="4"/>
  <c r="CS177" i="4"/>
  <c r="CW177" i="4" s="1"/>
  <c r="BP177" i="4"/>
  <c r="CS554" i="4"/>
  <c r="CW554" i="4" s="1"/>
  <c r="BP554" i="4"/>
  <c r="CS486" i="4"/>
  <c r="CW486" i="4" s="1"/>
  <c r="BP486" i="4"/>
  <c r="CS123" i="4"/>
  <c r="CW123" i="4" s="1"/>
  <c r="BP123" i="4"/>
  <c r="CS76" i="4"/>
  <c r="CW76" i="4" s="1"/>
  <c r="BP76" i="4"/>
  <c r="BP495" i="4"/>
  <c r="BP494" i="4"/>
  <c r="BP281" i="4"/>
  <c r="BP322" i="4"/>
  <c r="CS611" i="4"/>
  <c r="CW611" i="4" s="1"/>
  <c r="BP611" i="4"/>
  <c r="BP407" i="4"/>
  <c r="BP401" i="4"/>
  <c r="CS532" i="4"/>
  <c r="CW532" i="4" s="1"/>
  <c r="BP532" i="4"/>
  <c r="CU519" i="4"/>
  <c r="CW519" i="4" s="1"/>
  <c r="BP519" i="4"/>
  <c r="BP258" i="4"/>
  <c r="BP398" i="4"/>
  <c r="BP449" i="4"/>
  <c r="CS583" i="4"/>
  <c r="CW583" i="4" s="1"/>
  <c r="BP583" i="4"/>
  <c r="BP242" i="4"/>
  <c r="BP345" i="4"/>
  <c r="CS172" i="4"/>
  <c r="CW172" i="4" s="1"/>
  <c r="BP172" i="4"/>
  <c r="BP337" i="4"/>
  <c r="CS176" i="4"/>
  <c r="CW176" i="4" s="1"/>
  <c r="BP176" i="4"/>
  <c r="CS118" i="4"/>
  <c r="CW118" i="4" s="1"/>
  <c r="BP118" i="4"/>
  <c r="CS518" i="4"/>
  <c r="CW518" i="4" s="1"/>
  <c r="BP518" i="4"/>
  <c r="CS121" i="4"/>
  <c r="CW121" i="4" s="1"/>
  <c r="BP121" i="4"/>
  <c r="CS485" i="4"/>
  <c r="CW485" i="4" s="1"/>
  <c r="BP485" i="4"/>
  <c r="BP243" i="4"/>
  <c r="CS569" i="4"/>
  <c r="CW569" i="4" s="1"/>
  <c r="BP569" i="4"/>
  <c r="CS484" i="4"/>
  <c r="CW484" i="4" s="1"/>
  <c r="BP484" i="4"/>
  <c r="BP406" i="4"/>
  <c r="CS122" i="4"/>
  <c r="CW122" i="4" s="1"/>
  <c r="BP122" i="4"/>
  <c r="CS174" i="4"/>
  <c r="CW174" i="4" s="1"/>
  <c r="BP174" i="4"/>
  <c r="BP350" i="4"/>
  <c r="BP396" i="4"/>
  <c r="BP241" i="4"/>
  <c r="CS70" i="4"/>
  <c r="CW70" i="4" s="1"/>
  <c r="BP70" i="4"/>
  <c r="CS71" i="4"/>
  <c r="CW71" i="4" s="1"/>
  <c r="BP71" i="4"/>
  <c r="CS75" i="4"/>
  <c r="CW75" i="4" s="1"/>
  <c r="BP75" i="4"/>
  <c r="CS178" i="4"/>
  <c r="CW178" i="4" s="1"/>
  <c r="BP178" i="4"/>
  <c r="BP245" i="4"/>
  <c r="CS69" i="4"/>
  <c r="CW69" i="4" s="1"/>
  <c r="BP69" i="4"/>
  <c r="BP336" i="4"/>
  <c r="CS175" i="4"/>
  <c r="CW175" i="4" s="1"/>
  <c r="BP175" i="4"/>
  <c r="CS221" i="4"/>
  <c r="CW221" i="4" s="1"/>
  <c r="BP221" i="4"/>
  <c r="BP316" i="4"/>
  <c r="CS87" i="4"/>
  <c r="CW87" i="4" s="1"/>
  <c r="BP87" i="4"/>
  <c r="CV197" i="4"/>
  <c r="CW197" i="4" s="1"/>
  <c r="BP197" i="4"/>
  <c r="CV210" i="4"/>
  <c r="CW210" i="4" s="1"/>
  <c r="BP210" i="4"/>
  <c r="CV209" i="4"/>
  <c r="CW209" i="4" s="1"/>
  <c r="BP209" i="4"/>
  <c r="AB11" i="2"/>
  <c r="AB23" i="2"/>
  <c r="J23" i="2"/>
  <c r="AC12" i="2"/>
  <c r="J21" i="2"/>
  <c r="R21" i="2"/>
  <c r="AC11" i="2"/>
  <c r="AB21" i="2"/>
  <c r="R12" i="2"/>
  <c r="I18" i="2"/>
  <c r="J18" i="2"/>
  <c r="AC21" i="2"/>
  <c r="J12" i="2"/>
  <c r="AB18" i="2"/>
  <c r="R23" i="2"/>
  <c r="S23" i="2"/>
  <c r="AC23" i="2"/>
  <c r="AB12" i="2"/>
  <c r="J11" i="2"/>
  <c r="R18" i="2"/>
  <c r="S21" i="2"/>
  <c r="R11" i="2"/>
  <c r="AD11" i="2"/>
  <c r="BK197" i="4"/>
  <c r="BK209" i="4"/>
  <c r="CK197" i="4"/>
  <c r="BK210" i="4"/>
  <c r="BK198" i="4"/>
  <c r="AI18" i="2"/>
  <c r="T10" i="50"/>
  <c r="T9" i="50"/>
  <c r="BP198" i="4" l="1"/>
  <c r="V9" i="50"/>
  <c r="Q9" i="50" s="1"/>
  <c r="AH12" i="2"/>
  <c r="AD12" i="2"/>
  <c r="I51" i="32"/>
  <c r="V12" i="32" l="1"/>
  <c r="Z11" i="32" l="1"/>
  <c r="Z12" i="32"/>
  <c r="Y12" i="32"/>
  <c r="Y11" i="32"/>
  <c r="X11" i="32"/>
  <c r="W11" i="32" s="1"/>
  <c r="X12" i="32"/>
  <c r="W12" i="32" s="1"/>
  <c r="AE11" i="32" l="1"/>
  <c r="AE12" i="32"/>
  <c r="AB11" i="32" l="1"/>
  <c r="AB12" i="32"/>
  <c r="AB13" i="32"/>
  <c r="AA11" i="32"/>
  <c r="AA12" i="32"/>
  <c r="AA13" i="32"/>
  <c r="Z13" i="32"/>
  <c r="Y13" i="32"/>
  <c r="X13" i="32"/>
  <c r="AE13" i="32" l="1"/>
  <c r="W13" i="32"/>
  <c r="D22" i="58"/>
  <c r="D21" i="58"/>
  <c r="C10" i="58"/>
  <c r="B10" i="58"/>
  <c r="B22" i="58" l="1"/>
  <c r="B21" i="58"/>
  <c r="D23" i="58"/>
  <c r="BH605" i="4" l="1"/>
  <c r="BB605" i="4"/>
  <c r="AV605" i="4"/>
  <c r="AP605" i="4"/>
  <c r="B23" i="58"/>
  <c r="D24" i="58"/>
  <c r="AR605" i="4" l="1"/>
  <c r="BL605" i="4" s="1"/>
  <c r="CG605" i="4"/>
  <c r="AX605" i="4"/>
  <c r="BM605" i="4" s="1"/>
  <c r="CH605" i="4"/>
  <c r="BD605" i="4"/>
  <c r="BN605" i="4" s="1"/>
  <c r="CI605" i="4"/>
  <c r="CJ605" i="4"/>
  <c r="BJ605" i="4"/>
  <c r="BO605" i="4" s="1"/>
  <c r="CS605" i="4" l="1"/>
  <c r="AS605" i="4"/>
  <c r="AY605" i="4"/>
  <c r="BK605" i="4"/>
  <c r="BE605" i="4"/>
  <c r="CK605" i="4"/>
  <c r="BB513" i="4"/>
  <c r="BH513" i="4"/>
  <c r="AV513" i="4"/>
  <c r="AP513" i="4"/>
  <c r="N4" i="54"/>
  <c r="CU605" i="4" l="1"/>
  <c r="CT605" i="4"/>
  <c r="CV605" i="4"/>
  <c r="CG513" i="4"/>
  <c r="AX513" i="4"/>
  <c r="BM513" i="4" s="1"/>
  <c r="CH513" i="4"/>
  <c r="BJ513" i="4"/>
  <c r="BO513" i="4" s="1"/>
  <c r="CJ513" i="4"/>
  <c r="AR513" i="4"/>
  <c r="BL513" i="4" s="1"/>
  <c r="CI513" i="4"/>
  <c r="BD513" i="4"/>
  <c r="BN513" i="4" s="1"/>
  <c r="AA4" i="41"/>
  <c r="C56" i="41"/>
  <c r="AD4" i="41" s="1"/>
  <c r="Q4" i="41" s="1"/>
  <c r="CW605" i="4" l="1"/>
  <c r="BP605" i="4"/>
  <c r="CS513" i="4"/>
  <c r="AS513" i="4"/>
  <c r="CK513" i="4"/>
  <c r="CU513" i="4"/>
  <c r="BE513" i="4"/>
  <c r="CV513" i="4"/>
  <c r="BK513" i="4"/>
  <c r="CT513" i="4"/>
  <c r="AY513" i="4"/>
  <c r="AP294" i="4"/>
  <c r="AP263" i="4"/>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147" i="29"/>
  <c r="E148" i="29"/>
  <c r="E149" i="29"/>
  <c r="E150" i="29"/>
  <c r="E151" i="29"/>
  <c r="D116" i="29"/>
  <c r="D117" i="29"/>
  <c r="D118" i="29"/>
  <c r="D119" i="29"/>
  <c r="D120" i="29"/>
  <c r="D121" i="29"/>
  <c r="D122" i="29"/>
  <c r="D123" i="29"/>
  <c r="D124" i="29"/>
  <c r="D125" i="29"/>
  <c r="D126" i="29"/>
  <c r="D127" i="29"/>
  <c r="D128" i="29"/>
  <c r="D129" i="29"/>
  <c r="D130" i="29"/>
  <c r="D131" i="29"/>
  <c r="D132" i="29"/>
  <c r="D133" i="29"/>
  <c r="D134" i="29"/>
  <c r="D135" i="29"/>
  <c r="D136" i="29"/>
  <c r="D137" i="29"/>
  <c r="D138" i="29"/>
  <c r="D139" i="29"/>
  <c r="D140" i="29"/>
  <c r="D141" i="29"/>
  <c r="D142" i="29"/>
  <c r="D143" i="29"/>
  <c r="D144" i="29"/>
  <c r="D145" i="29"/>
  <c r="D146" i="29"/>
  <c r="D147" i="29"/>
  <c r="D148" i="29"/>
  <c r="D149" i="29"/>
  <c r="D150" i="29"/>
  <c r="D151"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141" i="29"/>
  <c r="C142" i="29"/>
  <c r="C143" i="29"/>
  <c r="C144" i="29"/>
  <c r="C145" i="29"/>
  <c r="C146" i="29"/>
  <c r="C147" i="29"/>
  <c r="C148" i="29"/>
  <c r="C149" i="29"/>
  <c r="C150" i="29"/>
  <c r="C151" i="29"/>
  <c r="F115" i="29"/>
  <c r="E115" i="29"/>
  <c r="D115" i="29"/>
  <c r="C115"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CW513" i="4" l="1"/>
  <c r="BP513" i="4"/>
  <c r="AX263" i="4"/>
  <c r="BM263" i="4" s="1"/>
  <c r="CH263" i="4"/>
  <c r="AX294" i="4"/>
  <c r="BM294" i="4" s="1"/>
  <c r="CH294" i="4"/>
  <c r="CI263" i="4"/>
  <c r="BD263" i="4"/>
  <c r="BN263" i="4" s="1"/>
  <c r="BJ263" i="4"/>
  <c r="BO263" i="4" s="1"/>
  <c r="CJ263" i="4"/>
  <c r="BD294" i="4"/>
  <c r="BN294" i="4" s="1"/>
  <c r="CI294" i="4"/>
  <c r="BJ294" i="4"/>
  <c r="BO294" i="4" s="1"/>
  <c r="CJ294" i="4"/>
  <c r="AR294" i="4"/>
  <c r="BL294" i="4" s="1"/>
  <c r="CG294" i="4"/>
  <c r="AR263" i="4"/>
  <c r="BL263" i="4" s="1"/>
  <c r="CG263" i="4"/>
  <c r="G148" i="29"/>
  <c r="G144" i="29"/>
  <c r="G140" i="29"/>
  <c r="G136" i="29"/>
  <c r="G132" i="29"/>
  <c r="G128" i="29"/>
  <c r="G124" i="29"/>
  <c r="G120" i="29"/>
  <c r="G116" i="29"/>
  <c r="G150" i="29"/>
  <c r="G146" i="29"/>
  <c r="G142" i="29"/>
  <c r="G138" i="29"/>
  <c r="G134" i="29"/>
  <c r="G130" i="29"/>
  <c r="G126" i="29"/>
  <c r="G122" i="29"/>
  <c r="G118" i="29"/>
  <c r="G151" i="29"/>
  <c r="G147" i="29"/>
  <c r="G143" i="29"/>
  <c r="G139" i="29"/>
  <c r="G135" i="29"/>
  <c r="G131" i="29"/>
  <c r="G127" i="29"/>
  <c r="G123" i="29"/>
  <c r="G119" i="29"/>
  <c r="G115" i="29"/>
  <c r="G149" i="29"/>
  <c r="G145" i="29"/>
  <c r="G141" i="29"/>
  <c r="G137" i="29"/>
  <c r="G133" i="29"/>
  <c r="G129" i="29"/>
  <c r="G125" i="29"/>
  <c r="G121" i="29"/>
  <c r="G117" i="29"/>
  <c r="BE263" i="4" l="1"/>
  <c r="BE294" i="4"/>
  <c r="AS294" i="4"/>
  <c r="AS263" i="4"/>
  <c r="AY294" i="4"/>
  <c r="AY263" i="4"/>
  <c r="BK294" i="4"/>
  <c r="BK263" i="4"/>
  <c r="CK294" i="4"/>
  <c r="CK263" i="4"/>
  <c r="AC6" i="29"/>
  <c r="R6" i="29" s="1"/>
  <c r="AC7" i="29"/>
  <c r="R7" i="29" s="1"/>
  <c r="B39" i="51"/>
  <c r="B15" i="50"/>
  <c r="B16" i="49"/>
  <c r="B38" i="48"/>
  <c r="B13" i="47"/>
  <c r="B31" i="46"/>
  <c r="B30" i="45"/>
  <c r="B35" i="32"/>
  <c r="B19" i="33"/>
  <c r="B10" i="34"/>
  <c r="B14" i="35"/>
  <c r="B13" i="36"/>
  <c r="B32" i="37"/>
  <c r="B11" i="38"/>
  <c r="B17" i="39"/>
  <c r="B22" i="40"/>
  <c r="B13" i="41"/>
  <c r="B15" i="43"/>
  <c r="B16" i="44"/>
  <c r="BH61" i="4" l="1"/>
  <c r="AV61" i="4"/>
  <c r="AX61" i="4" s="1"/>
  <c r="BM61" i="4" s="1"/>
  <c r="BB61" i="4"/>
  <c r="BB60" i="4"/>
  <c r="BH60" i="4"/>
  <c r="AV60" i="4"/>
  <c r="AX60" i="4" s="1"/>
  <c r="BM60" i="4" s="1"/>
  <c r="BP263" i="4"/>
  <c r="BP294" i="4"/>
  <c r="AP61" i="4"/>
  <c r="AP60" i="4"/>
  <c r="U7" i="29"/>
  <c r="U6" i="29"/>
  <c r="B33" i="31"/>
  <c r="B16" i="30"/>
  <c r="B16" i="29"/>
  <c r="B11" i="27"/>
  <c r="B11" i="26"/>
  <c r="B11" i="25"/>
  <c r="B20" i="24"/>
  <c r="B12" i="23"/>
  <c r="B10" i="22"/>
  <c r="B13" i="21"/>
  <c r="B15" i="20"/>
  <c r="B8" i="18"/>
  <c r="B12" i="17"/>
  <c r="B8" i="16"/>
  <c r="B7" i="15"/>
  <c r="B7" i="13"/>
  <c r="B15" i="11"/>
  <c r="AY60" i="4" l="1"/>
  <c r="CH60" i="4"/>
  <c r="CH61" i="4"/>
  <c r="AY61" i="4"/>
  <c r="BJ60" i="4"/>
  <c r="BO60" i="4" s="1"/>
  <c r="CJ60" i="4"/>
  <c r="BJ61" i="4"/>
  <c r="BO61" i="4" s="1"/>
  <c r="CJ61" i="4"/>
  <c r="BD60" i="4"/>
  <c r="BN60" i="4" s="1"/>
  <c r="CI60" i="4"/>
  <c r="CI61" i="4"/>
  <c r="BD61" i="4"/>
  <c r="BN61" i="4" s="1"/>
  <c r="AR60" i="4"/>
  <c r="CG60" i="4"/>
  <c r="CG61" i="4"/>
  <c r="AR61" i="4"/>
  <c r="B10" i="9"/>
  <c r="B13" i="8"/>
  <c r="B15" i="7"/>
  <c r="B12" i="6"/>
  <c r="CT60" i="4" l="1"/>
  <c r="BL60" i="4"/>
  <c r="CS60" i="4" s="1"/>
  <c r="CT61" i="4"/>
  <c r="BL61" i="4"/>
  <c r="CS61" i="4" s="1"/>
  <c r="CV60" i="4"/>
  <c r="CV61" i="4"/>
  <c r="BE60" i="4"/>
  <c r="CU60" i="4"/>
  <c r="AS61" i="4"/>
  <c r="BE61" i="4"/>
  <c r="CU61" i="4"/>
  <c r="AS60" i="4"/>
  <c r="BK60" i="4"/>
  <c r="BK61" i="4"/>
  <c r="CK61" i="4"/>
  <c r="CK60" i="4"/>
  <c r="V9" i="39"/>
  <c r="V10" i="39"/>
  <c r="U9" i="39"/>
  <c r="U10" i="39"/>
  <c r="T10" i="39"/>
  <c r="T9" i="39"/>
  <c r="B10" i="39"/>
  <c r="B8" i="39"/>
  <c r="B9" i="39"/>
  <c r="B7" i="39"/>
  <c r="E7" i="39"/>
  <c r="E8" i="39"/>
  <c r="CW60" i="4" l="1"/>
  <c r="CW61" i="4"/>
  <c r="BP60" i="4"/>
  <c r="BP61" i="4"/>
  <c r="CI8" i="4"/>
  <c r="AN21" i="2" l="1"/>
  <c r="CB8" i="4"/>
  <c r="AN15" i="2" l="1"/>
  <c r="AN22" i="2"/>
  <c r="AN11" i="2"/>
  <c r="AN13" i="2"/>
  <c r="AN16" i="2"/>
  <c r="AL29" i="2"/>
  <c r="AN12" i="2"/>
  <c r="AN23" i="2"/>
  <c r="AM29" i="2"/>
  <c r="AK29" i="2"/>
  <c r="AN10" i="2" l="1"/>
  <c r="AQ6" i="48" l="1"/>
  <c r="AP6" i="48"/>
  <c r="AM6" i="48"/>
  <c r="AI6" i="48"/>
  <c r="AH6" i="48"/>
  <c r="AE6" i="48"/>
  <c r="Y4" i="19" l="1"/>
  <c r="BD8" i="4" l="1"/>
  <c r="BN8" i="4" s="1"/>
  <c r="C230" i="52" l="1"/>
  <c r="D230" i="52"/>
  <c r="L9" i="52" l="1"/>
  <c r="F60" i="39" l="1"/>
  <c r="H68" i="34" l="1"/>
  <c r="H69" i="34"/>
  <c r="H70" i="34"/>
  <c r="H71" i="34"/>
  <c r="H72" i="34"/>
  <c r="H73" i="34"/>
  <c r="H74" i="34"/>
  <c r="H75" i="34"/>
  <c r="H76" i="34"/>
  <c r="H77" i="34"/>
  <c r="H78" i="34"/>
  <c r="H79" i="34"/>
  <c r="H80" i="34"/>
  <c r="H81" i="34"/>
  <c r="H82" i="34"/>
  <c r="H67" i="34"/>
  <c r="H41" i="34"/>
  <c r="H42" i="34"/>
  <c r="H43" i="34"/>
  <c r="H44" i="34"/>
  <c r="H45" i="34"/>
  <c r="H46" i="34"/>
  <c r="H47" i="34"/>
  <c r="H48" i="34"/>
  <c r="H49" i="34"/>
  <c r="H50" i="34"/>
  <c r="H51" i="34"/>
  <c r="H52" i="34"/>
  <c r="H53" i="34"/>
  <c r="H54" i="34"/>
  <c r="H55" i="34"/>
  <c r="H40" i="34"/>
  <c r="AE11" i="2" l="1"/>
  <c r="AE23" i="2"/>
  <c r="AE12" i="2"/>
  <c r="BE8" i="4"/>
  <c r="B6" i="40"/>
  <c r="AB6" i="40"/>
  <c r="AA6" i="40"/>
  <c r="Z6" i="40"/>
  <c r="Y6" i="40"/>
  <c r="X6" i="40"/>
  <c r="W6" i="40"/>
  <c r="V6" i="40"/>
  <c r="U6" i="40"/>
  <c r="F6" i="40"/>
  <c r="B26" i="50"/>
  <c r="B25" i="50"/>
  <c r="AG5" i="50"/>
  <c r="AE5" i="50"/>
  <c r="AB5" i="50"/>
  <c r="AM5" i="50"/>
  <c r="Z5" i="50"/>
  <c r="AA5" i="50"/>
  <c r="AL5" i="50"/>
  <c r="AK5" i="50"/>
  <c r="AJ5" i="50"/>
  <c r="AI5" i="50"/>
  <c r="AH5" i="50"/>
  <c r="AF5" i="50"/>
  <c r="AD5" i="50"/>
  <c r="AC5" i="50"/>
  <c r="B5" i="50"/>
  <c r="T4" i="26"/>
  <c r="S4" i="26"/>
  <c r="R4" i="26"/>
  <c r="F4" i="26"/>
  <c r="B4" i="26"/>
  <c r="B56" i="41"/>
  <c r="V4" i="41" s="1"/>
  <c r="Z4" i="41"/>
  <c r="Q7" i="36"/>
  <c r="P7" i="36"/>
  <c r="G7" i="36"/>
  <c r="Q6" i="36"/>
  <c r="P6" i="36"/>
  <c r="G6" i="36"/>
  <c r="B6" i="36"/>
  <c r="B119" i="34"/>
  <c r="B117" i="34"/>
  <c r="B120" i="34" s="1"/>
  <c r="B116" i="34"/>
  <c r="B115" i="34"/>
  <c r="D115" i="34" s="1"/>
  <c r="B114" i="34"/>
  <c r="C114" i="34" s="1"/>
  <c r="M4" i="34" s="1"/>
  <c r="D113" i="34"/>
  <c r="C113" i="34"/>
  <c r="D112" i="34"/>
  <c r="C112" i="34"/>
  <c r="D111" i="34"/>
  <c r="C111" i="34"/>
  <c r="D110" i="34"/>
  <c r="C110" i="34"/>
  <c r="D109" i="34"/>
  <c r="C109" i="34"/>
  <c r="C119" i="34" s="1"/>
  <c r="D108" i="34"/>
  <c r="C108" i="34"/>
  <c r="D107" i="34"/>
  <c r="C107" i="34"/>
  <c r="D106" i="34"/>
  <c r="C106" i="34"/>
  <c r="D105" i="34"/>
  <c r="C105" i="34"/>
  <c r="D104" i="34"/>
  <c r="C104" i="34"/>
  <c r="D103" i="34"/>
  <c r="C103" i="34"/>
  <c r="D102" i="34"/>
  <c r="C102" i="34"/>
  <c r="D101" i="34"/>
  <c r="C101" i="34"/>
  <c r="D100" i="34"/>
  <c r="C100" i="34"/>
  <c r="D99" i="34"/>
  <c r="C99" i="34"/>
  <c r="G87" i="34"/>
  <c r="F87" i="34"/>
  <c r="E87" i="34"/>
  <c r="D87" i="34"/>
  <c r="C87" i="34"/>
  <c r="G86" i="34"/>
  <c r="F86" i="34"/>
  <c r="E86" i="34"/>
  <c r="D86" i="34"/>
  <c r="C86" i="34"/>
  <c r="G85" i="34"/>
  <c r="G88" i="34" s="1"/>
  <c r="F85" i="34"/>
  <c r="F88" i="34" s="1"/>
  <c r="E85" i="34"/>
  <c r="E88" i="34" s="1"/>
  <c r="D85" i="34"/>
  <c r="D88" i="34" s="1"/>
  <c r="C85" i="34"/>
  <c r="C88" i="34" s="1"/>
  <c r="G84" i="34"/>
  <c r="F84" i="34"/>
  <c r="E84" i="34"/>
  <c r="D84" i="34"/>
  <c r="C84" i="34"/>
  <c r="G83" i="34"/>
  <c r="F83" i="34"/>
  <c r="E83" i="34"/>
  <c r="D83" i="34"/>
  <c r="C83" i="34"/>
  <c r="G60" i="34"/>
  <c r="F60" i="34"/>
  <c r="E60" i="34"/>
  <c r="D60" i="34"/>
  <c r="C60" i="34"/>
  <c r="G59" i="34"/>
  <c r="F59" i="34"/>
  <c r="E59" i="34"/>
  <c r="D59" i="34"/>
  <c r="C59" i="34"/>
  <c r="G58" i="34"/>
  <c r="G61" i="34" s="1"/>
  <c r="F58" i="34"/>
  <c r="F61" i="34" s="1"/>
  <c r="E58" i="34"/>
  <c r="E61" i="34"/>
  <c r="D58" i="34"/>
  <c r="D61" i="34" s="1"/>
  <c r="C58" i="34"/>
  <c r="C61" i="34" s="1"/>
  <c r="G57" i="34"/>
  <c r="F57" i="34"/>
  <c r="E57" i="34"/>
  <c r="D57" i="34"/>
  <c r="C57" i="34"/>
  <c r="G56" i="34"/>
  <c r="F56" i="34"/>
  <c r="E56" i="34"/>
  <c r="D56" i="34"/>
  <c r="C56" i="34"/>
  <c r="Y4" i="34"/>
  <c r="X4" i="34"/>
  <c r="T4" i="34"/>
  <c r="V4" i="34" s="1"/>
  <c r="B4" i="34"/>
  <c r="Z4" i="33"/>
  <c r="AD4" i="33"/>
  <c r="AF4" i="33"/>
  <c r="Z5" i="33"/>
  <c r="AD5" i="33"/>
  <c r="AF5" i="33"/>
  <c r="Z6" i="33"/>
  <c r="AD6" i="33"/>
  <c r="AF6" i="33"/>
  <c r="Z7" i="33"/>
  <c r="AD7" i="33"/>
  <c r="AF7" i="33"/>
  <c r="Z8" i="33"/>
  <c r="AD8" i="33"/>
  <c r="AF8" i="33"/>
  <c r="Z9" i="33"/>
  <c r="AD9" i="33"/>
  <c r="AF9" i="33"/>
  <c r="Z10" i="33"/>
  <c r="AD10" i="33"/>
  <c r="AF10" i="33"/>
  <c r="Z11" i="33"/>
  <c r="AD11" i="33"/>
  <c r="AF11" i="33"/>
  <c r="B4" i="33"/>
  <c r="C4" i="33" s="1"/>
  <c r="F4" i="33"/>
  <c r="X4" i="33" s="1"/>
  <c r="G4" i="33"/>
  <c r="P4" i="33"/>
  <c r="AE4" i="33" s="1"/>
  <c r="Q4" i="33"/>
  <c r="AB4" i="33" s="1"/>
  <c r="R4" i="33"/>
  <c r="AC4" i="33" s="1"/>
  <c r="B5" i="33"/>
  <c r="C5" i="33" s="1"/>
  <c r="F5" i="33"/>
  <c r="X5" i="33" s="1"/>
  <c r="G5" i="33"/>
  <c r="P5" i="33"/>
  <c r="AE5" i="33" s="1"/>
  <c r="Q5" i="33"/>
  <c r="AB5" i="33" s="1"/>
  <c r="R5" i="33"/>
  <c r="AC5" i="33" s="1"/>
  <c r="B6" i="33"/>
  <c r="C6" i="33" s="1"/>
  <c r="F6" i="33"/>
  <c r="X6" i="33" s="1"/>
  <c r="G6" i="33"/>
  <c r="P6" i="33"/>
  <c r="AE6" i="33" s="1"/>
  <c r="Q6" i="33"/>
  <c r="W6" i="33"/>
  <c r="R6" i="33"/>
  <c r="AC6" i="33" s="1"/>
  <c r="B7" i="33"/>
  <c r="C7" i="33" s="1"/>
  <c r="F7" i="33"/>
  <c r="G7" i="33"/>
  <c r="P7" i="33"/>
  <c r="AE7" i="33" s="1"/>
  <c r="Q7" i="33"/>
  <c r="AB7" i="33" s="1"/>
  <c r="R7" i="33"/>
  <c r="AC7" i="33" s="1"/>
  <c r="B8" i="33"/>
  <c r="C8" i="33" s="1"/>
  <c r="F8" i="33"/>
  <c r="X8" i="33" s="1"/>
  <c r="G8" i="33"/>
  <c r="P8" i="33"/>
  <c r="AE8" i="33" s="1"/>
  <c r="Q8" i="33"/>
  <c r="AB8" i="33" s="1"/>
  <c r="R8" i="33"/>
  <c r="AC8" i="33" s="1"/>
  <c r="B9" i="33"/>
  <c r="C9" i="33" s="1"/>
  <c r="F9" i="33"/>
  <c r="X9" i="33" s="1"/>
  <c r="G9" i="33"/>
  <c r="P9" i="33"/>
  <c r="AE9" i="33" s="1"/>
  <c r="Q9" i="33"/>
  <c r="AB9" i="33" s="1"/>
  <c r="R9" i="33"/>
  <c r="AC9" i="33" s="1"/>
  <c r="B10" i="33"/>
  <c r="C10" i="33" s="1"/>
  <c r="F10" i="33"/>
  <c r="P10" i="33"/>
  <c r="AE10" i="33" s="1"/>
  <c r="Q10" i="33"/>
  <c r="AB10" i="33" s="1"/>
  <c r="R10" i="33"/>
  <c r="AC10" i="33" s="1"/>
  <c r="B11" i="33"/>
  <c r="C11" i="33" s="1"/>
  <c r="F11" i="33"/>
  <c r="P11" i="33"/>
  <c r="AE11" i="33" s="1"/>
  <c r="Q11" i="33"/>
  <c r="AB11" i="33" s="1"/>
  <c r="R11" i="33"/>
  <c r="AC11" i="33" s="1"/>
  <c r="H81" i="33"/>
  <c r="H80" i="33"/>
  <c r="H79" i="33"/>
  <c r="H78" i="33"/>
  <c r="H77" i="33"/>
  <c r="H76" i="33"/>
  <c r="H75" i="33"/>
  <c r="H74" i="33"/>
  <c r="H70" i="33"/>
  <c r="H69" i="33"/>
  <c r="H68" i="33"/>
  <c r="H67" i="33"/>
  <c r="H66" i="33"/>
  <c r="H65" i="33"/>
  <c r="H64" i="33"/>
  <c r="H63" i="33"/>
  <c r="B12" i="33"/>
  <c r="C12" i="33" s="1"/>
  <c r="AB6" i="33"/>
  <c r="L8" i="52"/>
  <c r="L7" i="52"/>
  <c r="C288" i="52"/>
  <c r="B280" i="52" s="1"/>
  <c r="C287" i="52"/>
  <c r="C275" i="52"/>
  <c r="C272" i="52"/>
  <c r="C271" i="52"/>
  <c r="C270" i="52"/>
  <c r="C268" i="52"/>
  <c r="C267" i="52"/>
  <c r="C266" i="52"/>
  <c r="C263" i="52"/>
  <c r="C253" i="52"/>
  <c r="D252" i="52"/>
  <c r="C252" i="52"/>
  <c r="C249" i="52"/>
  <c r="D248" i="52"/>
  <c r="C248" i="52"/>
  <c r="D247" i="52"/>
  <c r="C247" i="52"/>
  <c r="D245" i="52"/>
  <c r="C245" i="52"/>
  <c r="D244" i="52"/>
  <c r="C244" i="52"/>
  <c r="D243" i="52"/>
  <c r="C243" i="52"/>
  <c r="D242" i="52"/>
  <c r="C242" i="52"/>
  <c r="D240" i="52"/>
  <c r="C240" i="52"/>
  <c r="C227" i="52"/>
  <c r="D226" i="52"/>
  <c r="C226" i="52"/>
  <c r="D223" i="52"/>
  <c r="D222" i="52"/>
  <c r="C222" i="52"/>
  <c r="D221" i="52"/>
  <c r="C221" i="52"/>
  <c r="D220" i="52"/>
  <c r="C220" i="52"/>
  <c r="C199" i="52"/>
  <c r="C198" i="52"/>
  <c r="B192" i="52" s="1"/>
  <c r="C12" i="52" s="1"/>
  <c r="C41" i="52" s="1"/>
  <c r="C187" i="52"/>
  <c r="C181" i="52"/>
  <c r="C180" i="52"/>
  <c r="C178" i="52"/>
  <c r="C177" i="52"/>
  <c r="C176" i="52"/>
  <c r="C175" i="52"/>
  <c r="C174" i="52"/>
  <c r="C172" i="52"/>
  <c r="C162" i="52"/>
  <c r="C156" i="52"/>
  <c r="C155" i="52"/>
  <c r="C154" i="52"/>
  <c r="C151" i="52"/>
  <c r="C150" i="52"/>
  <c r="C149" i="52"/>
  <c r="C148" i="52"/>
  <c r="C147" i="52"/>
  <c r="C146" i="52"/>
  <c r="C135" i="52"/>
  <c r="C134" i="52"/>
  <c r="C133" i="52"/>
  <c r="C128" i="52"/>
  <c r="C127" i="52"/>
  <c r="C124" i="52"/>
  <c r="C123" i="52"/>
  <c r="C122" i="52"/>
  <c r="C121" i="52"/>
  <c r="C120" i="52"/>
  <c r="C118" i="52"/>
  <c r="D84" i="52"/>
  <c r="E79" i="52"/>
  <c r="D35" i="52"/>
  <c r="D47" i="52" s="1"/>
  <c r="D27" i="52"/>
  <c r="D20" i="52"/>
  <c r="D12" i="52"/>
  <c r="D41" i="52" s="1"/>
  <c r="B4" i="52"/>
  <c r="C4" i="52" s="1"/>
  <c r="D4" i="52" s="1"/>
  <c r="E4" i="52" s="1"/>
  <c r="F4" i="52" s="1"/>
  <c r="G4" i="52" s="1"/>
  <c r="H4" i="52" s="1"/>
  <c r="I4" i="52" s="1"/>
  <c r="J4" i="52" s="1"/>
  <c r="K4" i="52" s="1"/>
  <c r="L4" i="52" s="1"/>
  <c r="M4" i="52" s="1"/>
  <c r="AI5" i="48"/>
  <c r="AQ5" i="48"/>
  <c r="AP5" i="48"/>
  <c r="AM5" i="48"/>
  <c r="AH5" i="48"/>
  <c r="AE5" i="48"/>
  <c r="J54" i="39"/>
  <c r="J56" i="39" s="1"/>
  <c r="Z12" i="39"/>
  <c r="Z11" i="39"/>
  <c r="Y4" i="39"/>
  <c r="V12" i="39"/>
  <c r="U12" i="39"/>
  <c r="T12" i="39"/>
  <c r="E12" i="39"/>
  <c r="V11" i="39"/>
  <c r="U11" i="39"/>
  <c r="T11" i="39"/>
  <c r="E11" i="39"/>
  <c r="F5" i="30"/>
  <c r="S5" i="25"/>
  <c r="R5" i="25"/>
  <c r="Q5" i="25"/>
  <c r="P5" i="25"/>
  <c r="G5" i="25"/>
  <c r="E5" i="25"/>
  <c r="AB5" i="23"/>
  <c r="AA5" i="23"/>
  <c r="Z5" i="23"/>
  <c r="Y5" i="23"/>
  <c r="W5" i="23"/>
  <c r="V5" i="23"/>
  <c r="U5" i="23"/>
  <c r="T5" i="23"/>
  <c r="S5" i="23"/>
  <c r="G5" i="23"/>
  <c r="R5" i="23" s="1"/>
  <c r="AF5" i="21"/>
  <c r="AE5" i="21"/>
  <c r="AD5" i="21"/>
  <c r="AB5" i="21"/>
  <c r="AA5" i="21"/>
  <c r="Z5" i="21"/>
  <c r="Y5" i="21"/>
  <c r="X5" i="21"/>
  <c r="W5" i="21"/>
  <c r="V5" i="21"/>
  <c r="U5" i="21"/>
  <c r="I5" i="21"/>
  <c r="AD8" i="20"/>
  <c r="AB8" i="20"/>
  <c r="AA8" i="20"/>
  <c r="Z8" i="20"/>
  <c r="Y8" i="20"/>
  <c r="U8" i="20"/>
  <c r="H8" i="20"/>
  <c r="AB7" i="20"/>
  <c r="Y7" i="20"/>
  <c r="W7" i="20"/>
  <c r="V7" i="20"/>
  <c r="U7" i="20"/>
  <c r="H7" i="20"/>
  <c r="G88" i="19"/>
  <c r="W4" i="19" s="1"/>
  <c r="AK6" i="19"/>
  <c r="AJ6" i="19"/>
  <c r="AI6" i="19"/>
  <c r="AH6" i="19"/>
  <c r="AF6" i="19"/>
  <c r="AD6" i="19"/>
  <c r="AB6" i="19" s="1"/>
  <c r="AA6" i="19"/>
  <c r="Z6" i="19"/>
  <c r="X6" i="19"/>
  <c r="V6" i="19"/>
  <c r="U6" i="19"/>
  <c r="L6" i="19"/>
  <c r="F5" i="18"/>
  <c r="F4" i="18"/>
  <c r="U5" i="18"/>
  <c r="T5" i="18"/>
  <c r="S5" i="18"/>
  <c r="Q5" i="18"/>
  <c r="U4" i="18"/>
  <c r="T4" i="18"/>
  <c r="S4" i="18"/>
  <c r="R4" i="18"/>
  <c r="Q4" i="18"/>
  <c r="P4" i="18"/>
  <c r="F5" i="16"/>
  <c r="F4" i="16"/>
  <c r="T5" i="16"/>
  <c r="S5" i="16"/>
  <c r="R5" i="16"/>
  <c r="Q5" i="16"/>
  <c r="P5" i="16"/>
  <c r="T4" i="16"/>
  <c r="S4" i="16"/>
  <c r="R4" i="16"/>
  <c r="Q4" i="16"/>
  <c r="P4" i="16"/>
  <c r="T4" i="15"/>
  <c r="T3" i="15"/>
  <c r="S4" i="15"/>
  <c r="S3" i="15"/>
  <c r="R4" i="15"/>
  <c r="R3" i="15"/>
  <c r="Q4" i="15"/>
  <c r="Q3" i="15"/>
  <c r="P4" i="15"/>
  <c r="P3" i="15"/>
  <c r="F4" i="15"/>
  <c r="F3" i="15"/>
  <c r="T4" i="14"/>
  <c r="T3" i="14"/>
  <c r="S4" i="14"/>
  <c r="S3" i="14"/>
  <c r="R4" i="14"/>
  <c r="R3" i="14"/>
  <c r="Q4" i="14"/>
  <c r="Q3" i="14"/>
  <c r="P4" i="14"/>
  <c r="P3" i="14"/>
  <c r="F4" i="14"/>
  <c r="M4" i="14" s="1"/>
  <c r="F3" i="14"/>
  <c r="M3" i="14" s="1"/>
  <c r="AB4" i="13"/>
  <c r="AB3" i="13"/>
  <c r="AA4" i="13"/>
  <c r="AA3" i="13"/>
  <c r="Z4" i="13"/>
  <c r="Z3" i="13"/>
  <c r="Y4" i="13"/>
  <c r="Y3" i="13"/>
  <c r="X4" i="13"/>
  <c r="X3" i="13"/>
  <c r="W4" i="13"/>
  <c r="Q4" i="13" s="1"/>
  <c r="W3" i="13"/>
  <c r="V4" i="13"/>
  <c r="V3" i="13"/>
  <c r="U4" i="13"/>
  <c r="U3" i="13"/>
  <c r="T4" i="13"/>
  <c r="T3" i="13"/>
  <c r="S4" i="13"/>
  <c r="P4" i="13" s="1"/>
  <c r="L4" i="13" s="1"/>
  <c r="S3" i="13"/>
  <c r="R4" i="13"/>
  <c r="R3" i="13"/>
  <c r="F4" i="13"/>
  <c r="F3" i="13"/>
  <c r="F8" i="35"/>
  <c r="AK12" i="32"/>
  <c r="AJ12" i="32" s="1"/>
  <c r="AI12" i="32"/>
  <c r="AG12" i="32"/>
  <c r="AC12" i="32"/>
  <c r="G12" i="32"/>
  <c r="F21" i="31"/>
  <c r="F20" i="31"/>
  <c r="F19" i="31"/>
  <c r="AF9" i="29"/>
  <c r="AE9" i="29"/>
  <c r="AD9" i="29"/>
  <c r="AA9" i="29"/>
  <c r="Y9" i="29"/>
  <c r="X9" i="29"/>
  <c r="W9" i="29"/>
  <c r="V9" i="29"/>
  <c r="F9" i="29"/>
  <c r="AF8" i="29"/>
  <c r="AE8" i="29"/>
  <c r="AD8" i="29"/>
  <c r="AA8" i="29"/>
  <c r="Y8" i="29"/>
  <c r="X8" i="29"/>
  <c r="W8" i="29"/>
  <c r="V8" i="29"/>
  <c r="F8" i="29"/>
  <c r="K34" i="53"/>
  <c r="K33" i="53"/>
  <c r="K32" i="53"/>
  <c r="K31" i="53"/>
  <c r="K30" i="53"/>
  <c r="K29" i="53"/>
  <c r="K28" i="53"/>
  <c r="K27" i="53"/>
  <c r="K26" i="53"/>
  <c r="K25" i="53"/>
  <c r="L23" i="53"/>
  <c r="L25" i="53" s="1"/>
  <c r="T6" i="26"/>
  <c r="S6" i="26"/>
  <c r="R6" i="26"/>
  <c r="F6" i="26"/>
  <c r="W11" i="24"/>
  <c r="V11" i="24"/>
  <c r="T11" i="24"/>
  <c r="S11" i="24"/>
  <c r="H11" i="24"/>
  <c r="G11" i="24"/>
  <c r="E11" i="24"/>
  <c r="W10" i="24"/>
  <c r="V10" i="24"/>
  <c r="S10" i="24"/>
  <c r="H10" i="24"/>
  <c r="G10" i="24"/>
  <c r="E10" i="24"/>
  <c r="W9" i="24"/>
  <c r="V9" i="24"/>
  <c r="T9" i="24"/>
  <c r="S9" i="24"/>
  <c r="H9" i="24"/>
  <c r="G9" i="24"/>
  <c r="E9" i="24"/>
  <c r="W8" i="24"/>
  <c r="V8" i="24"/>
  <c r="T8" i="24"/>
  <c r="S8" i="24"/>
  <c r="H8" i="24"/>
  <c r="G8" i="24"/>
  <c r="E8" i="24"/>
  <c r="W7" i="24"/>
  <c r="V7" i="24"/>
  <c r="T7" i="24"/>
  <c r="S7" i="24"/>
  <c r="H7" i="24"/>
  <c r="G7" i="24"/>
  <c r="E7" i="24"/>
  <c r="W6" i="24"/>
  <c r="V6" i="24"/>
  <c r="T6" i="24"/>
  <c r="S6" i="24"/>
  <c r="H6" i="24"/>
  <c r="G6" i="24"/>
  <c r="E6" i="24"/>
  <c r="H12" i="24"/>
  <c r="G12" i="24"/>
  <c r="E12" i="24"/>
  <c r="H10" i="12"/>
  <c r="AA4" i="43"/>
  <c r="Z4" i="43"/>
  <c r="X4" i="43"/>
  <c r="P4" i="43"/>
  <c r="F4" i="43"/>
  <c r="B4" i="43"/>
  <c r="V7" i="35"/>
  <c r="V6" i="35"/>
  <c r="AC18" i="31"/>
  <c r="Z18" i="31"/>
  <c r="AC17" i="31"/>
  <c r="Z17" i="31"/>
  <c r="AC16" i="31"/>
  <c r="Z16" i="31"/>
  <c r="AC15" i="31"/>
  <c r="Z15" i="31"/>
  <c r="AC14" i="31"/>
  <c r="Z14" i="31"/>
  <c r="AC13" i="31"/>
  <c r="Z13" i="31"/>
  <c r="AC12" i="31"/>
  <c r="AC11" i="31"/>
  <c r="AC10" i="31"/>
  <c r="AC9" i="31"/>
  <c r="Z9" i="31"/>
  <c r="AC8" i="31"/>
  <c r="AC7" i="31"/>
  <c r="AC6" i="31"/>
  <c r="AC5" i="31"/>
  <c r="AC4" i="31"/>
  <c r="R5" i="26"/>
  <c r="S5" i="24"/>
  <c r="S4" i="24"/>
  <c r="V5" i="29"/>
  <c r="AC5" i="29" s="1"/>
  <c r="V4" i="29"/>
  <c r="AC4" i="29" s="1"/>
  <c r="G50" i="53"/>
  <c r="F50" i="53"/>
  <c r="E50" i="53"/>
  <c r="D50" i="53"/>
  <c r="C50" i="53"/>
  <c r="G49" i="53"/>
  <c r="F49" i="53"/>
  <c r="E49" i="53"/>
  <c r="D49" i="53"/>
  <c r="C49" i="53"/>
  <c r="G48" i="53"/>
  <c r="F48" i="53"/>
  <c r="E48" i="53"/>
  <c r="D48" i="53"/>
  <c r="C48" i="53"/>
  <c r="G44" i="53"/>
  <c r="F152" i="29" s="1"/>
  <c r="F44" i="53"/>
  <c r="E152" i="29" s="1"/>
  <c r="E44" i="53"/>
  <c r="D152" i="29" s="1"/>
  <c r="D44" i="53"/>
  <c r="C152" i="29" s="1"/>
  <c r="C44" i="53"/>
  <c r="D147" i="37"/>
  <c r="C147" i="37"/>
  <c r="B147" i="37"/>
  <c r="E134" i="37"/>
  <c r="BD6" i="37" s="1"/>
  <c r="E129" i="37"/>
  <c r="BC6" i="37" s="1"/>
  <c r="B54" i="37"/>
  <c r="BK4" i="37"/>
  <c r="BJ4" i="37"/>
  <c r="BI4" i="37"/>
  <c r="BH4" i="37"/>
  <c r="BG4" i="37"/>
  <c r="BF4" i="37"/>
  <c r="BE4" i="37"/>
  <c r="BD4" i="37"/>
  <c r="BC4" i="37"/>
  <c r="BB4" i="37"/>
  <c r="AZ4" i="37"/>
  <c r="AT4" i="37"/>
  <c r="AM4" i="37"/>
  <c r="AL4" i="37"/>
  <c r="AK4" i="37"/>
  <c r="AJ4" i="37"/>
  <c r="AI4" i="37"/>
  <c r="AH4" i="37"/>
  <c r="AG4" i="37"/>
  <c r="AF4" i="37"/>
  <c r="AE4" i="37"/>
  <c r="AD4" i="37"/>
  <c r="AC4" i="37"/>
  <c r="AB4" i="37"/>
  <c r="B4" i="37"/>
  <c r="Z8" i="40"/>
  <c r="W8" i="40"/>
  <c r="AB8" i="40"/>
  <c r="AA8" i="40"/>
  <c r="Y8" i="40"/>
  <c r="X8" i="40"/>
  <c r="V8" i="40"/>
  <c r="U8" i="40"/>
  <c r="F8" i="40"/>
  <c r="B8" i="40"/>
  <c r="H80" i="49"/>
  <c r="G80" i="49"/>
  <c r="F80" i="49"/>
  <c r="E80" i="49"/>
  <c r="D80" i="49"/>
  <c r="C80" i="49"/>
  <c r="AY4" i="49"/>
  <c r="AX4" i="49"/>
  <c r="AV4" i="49"/>
  <c r="AT4" i="49"/>
  <c r="AS4" i="49"/>
  <c r="AR4" i="49"/>
  <c r="AQ4" i="49"/>
  <c r="AN4" i="49"/>
  <c r="AM4" i="49"/>
  <c r="AL4" i="49"/>
  <c r="AK4" i="49"/>
  <c r="AJ4" i="49"/>
  <c r="AI4" i="49"/>
  <c r="Y5" i="47"/>
  <c r="X5" i="47"/>
  <c r="W5" i="47"/>
  <c r="V5" i="47"/>
  <c r="U5" i="47"/>
  <c r="T5" i="47"/>
  <c r="S5" i="47"/>
  <c r="F5" i="47"/>
  <c r="B5" i="47"/>
  <c r="Y4" i="47"/>
  <c r="X4" i="47"/>
  <c r="W4" i="47"/>
  <c r="V4" i="47"/>
  <c r="U4" i="47"/>
  <c r="T4" i="47"/>
  <c r="S4" i="47"/>
  <c r="F4" i="47"/>
  <c r="B4" i="47"/>
  <c r="E89" i="45"/>
  <c r="D89" i="45"/>
  <c r="B62" i="45"/>
  <c r="AI9" i="45"/>
  <c r="AD9" i="45" s="1"/>
  <c r="AH9" i="45"/>
  <c r="AG9" i="45"/>
  <c r="AF9" i="45"/>
  <c r="AE9" i="45"/>
  <c r="AC9" i="45"/>
  <c r="AB9" i="45"/>
  <c r="AA9" i="45"/>
  <c r="Z9" i="45"/>
  <c r="Y9" i="45"/>
  <c r="X9" i="45"/>
  <c r="U9" i="45"/>
  <c r="AI8" i="45"/>
  <c r="AD8" i="45" s="1"/>
  <c r="AH8" i="45"/>
  <c r="AG8" i="45"/>
  <c r="AF8" i="45"/>
  <c r="AE8" i="45"/>
  <c r="AC8" i="45"/>
  <c r="AB8" i="45"/>
  <c r="AA8" i="45"/>
  <c r="Z8" i="45"/>
  <c r="Y8" i="45"/>
  <c r="X8" i="45"/>
  <c r="U8" i="45"/>
  <c r="F8" i="45"/>
  <c r="AI7" i="45"/>
  <c r="AD7" i="45" s="1"/>
  <c r="AH7" i="45"/>
  <c r="AG7" i="45"/>
  <c r="AF7" i="45"/>
  <c r="AE7" i="45"/>
  <c r="AC7" i="45"/>
  <c r="AB7" i="45"/>
  <c r="AA7" i="45"/>
  <c r="Z7" i="45"/>
  <c r="Y7" i="45"/>
  <c r="X7" i="45"/>
  <c r="U7" i="45"/>
  <c r="F7" i="45"/>
  <c r="AI6" i="45"/>
  <c r="AD6" i="45" s="1"/>
  <c r="AH6" i="45"/>
  <c r="AG6" i="45"/>
  <c r="AF6" i="45"/>
  <c r="AE6" i="45"/>
  <c r="AC6" i="45"/>
  <c r="AB6" i="45"/>
  <c r="AA6" i="45"/>
  <c r="Z6" i="45"/>
  <c r="Y6" i="45"/>
  <c r="X6" i="45"/>
  <c r="U6" i="45"/>
  <c r="F6" i="45"/>
  <c r="AI5" i="45"/>
  <c r="AD5" i="45" s="1"/>
  <c r="AH5" i="45"/>
  <c r="AG5" i="45"/>
  <c r="AF5" i="45"/>
  <c r="AE5" i="45"/>
  <c r="AC5" i="45"/>
  <c r="AB5" i="45"/>
  <c r="AA5" i="45"/>
  <c r="Z5" i="45"/>
  <c r="Y5" i="45"/>
  <c r="X5" i="45"/>
  <c r="U5" i="45"/>
  <c r="F5" i="45"/>
  <c r="AI4" i="45"/>
  <c r="AD4" i="45" s="1"/>
  <c r="AH4" i="45"/>
  <c r="AG4" i="45"/>
  <c r="AF4" i="45"/>
  <c r="AE4" i="45"/>
  <c r="AC4" i="45"/>
  <c r="AA4" i="45"/>
  <c r="Z4" i="45"/>
  <c r="Y4" i="45"/>
  <c r="X4" i="45"/>
  <c r="U4" i="45"/>
  <c r="F4" i="45"/>
  <c r="B22" i="38"/>
  <c r="V4" i="38"/>
  <c r="T4" i="38"/>
  <c r="P4" i="38" s="1"/>
  <c r="E4" i="38"/>
  <c r="B4" i="38"/>
  <c r="F4" i="30"/>
  <c r="S4" i="25"/>
  <c r="R4" i="25"/>
  <c r="Q4" i="25"/>
  <c r="P4" i="25"/>
  <c r="T4" i="25"/>
  <c r="E4" i="25"/>
  <c r="B4" i="25"/>
  <c r="AB4" i="23"/>
  <c r="AA4" i="23"/>
  <c r="Z4" i="23"/>
  <c r="Y4" i="23"/>
  <c r="W4" i="23"/>
  <c r="V4" i="23"/>
  <c r="U4" i="23"/>
  <c r="T4" i="23"/>
  <c r="S4" i="23"/>
  <c r="G4" i="23"/>
  <c r="R4" i="23" s="1"/>
  <c r="B4" i="23"/>
  <c r="T5" i="22"/>
  <c r="N5" i="22" s="1"/>
  <c r="S5" i="22"/>
  <c r="M5" i="22" s="1"/>
  <c r="E5" i="22"/>
  <c r="B5" i="22"/>
  <c r="T4" i="22"/>
  <c r="N4" i="22" s="1"/>
  <c r="S4" i="22"/>
  <c r="M4" i="22" s="1"/>
  <c r="E4" i="22"/>
  <c r="B4" i="22"/>
  <c r="B27" i="21"/>
  <c r="AF4" i="21"/>
  <c r="AE4" i="21"/>
  <c r="AD4" i="21"/>
  <c r="AB4" i="21"/>
  <c r="AA4" i="21"/>
  <c r="Z4" i="21"/>
  <c r="Y4" i="21"/>
  <c r="X4" i="21"/>
  <c r="W4" i="21"/>
  <c r="V4" i="21"/>
  <c r="U4" i="21"/>
  <c r="I4" i="21"/>
  <c r="B4" i="21"/>
  <c r="K86" i="20"/>
  <c r="AA5" i="20" s="1"/>
  <c r="J86" i="20"/>
  <c r="Z4" i="20" s="1"/>
  <c r="I86" i="20"/>
  <c r="AD5" i="20" s="1"/>
  <c r="H86" i="20"/>
  <c r="F86" i="20"/>
  <c r="E86" i="20"/>
  <c r="C86" i="20"/>
  <c r="AD6" i="20"/>
  <c r="AB6" i="20"/>
  <c r="AA6" i="20"/>
  <c r="Z6" i="20"/>
  <c r="Y6" i="20"/>
  <c r="U6" i="20"/>
  <c r="H6" i="20"/>
  <c r="B6" i="20"/>
  <c r="AB5" i="20"/>
  <c r="Y5" i="20"/>
  <c r="W5" i="20"/>
  <c r="V5" i="20"/>
  <c r="U5" i="20"/>
  <c r="H5" i="20"/>
  <c r="B5" i="20"/>
  <c r="AB4" i="20"/>
  <c r="Y4" i="20"/>
  <c r="W4" i="20"/>
  <c r="V4" i="20"/>
  <c r="U4" i="20"/>
  <c r="H4" i="20"/>
  <c r="B4" i="20"/>
  <c r="AK5" i="19"/>
  <c r="AJ5" i="19"/>
  <c r="AI5" i="19"/>
  <c r="AH5" i="19"/>
  <c r="AF5" i="19"/>
  <c r="AD5" i="19"/>
  <c r="AB5" i="19" s="1"/>
  <c r="AA5" i="19"/>
  <c r="Y5" i="19" s="1"/>
  <c r="Z5" i="19"/>
  <c r="X5" i="19"/>
  <c r="V5" i="19"/>
  <c r="U5" i="19"/>
  <c r="L5" i="19"/>
  <c r="B5" i="19"/>
  <c r="Z4" i="19"/>
  <c r="X4" i="19"/>
  <c r="V4" i="19"/>
  <c r="U4" i="19"/>
  <c r="L4" i="19"/>
  <c r="B4" i="19"/>
  <c r="B4" i="18"/>
  <c r="L5" i="17"/>
  <c r="F5" i="17"/>
  <c r="L4" i="17"/>
  <c r="F4" i="17"/>
  <c r="N4" i="14"/>
  <c r="N3" i="14"/>
  <c r="C62" i="11"/>
  <c r="F3" i="11" s="1"/>
  <c r="C54" i="11"/>
  <c r="B54" i="11"/>
  <c r="C52" i="11"/>
  <c r="B52" i="11"/>
  <c r="C42" i="11"/>
  <c r="D20" i="11" s="1"/>
  <c r="B42" i="11"/>
  <c r="C40" i="11"/>
  <c r="B40" i="11"/>
  <c r="C20" i="11" s="1"/>
  <c r="C25" i="11"/>
  <c r="D19" i="11" s="1"/>
  <c r="B25" i="11"/>
  <c r="C19" i="11" s="1"/>
  <c r="D22" i="11"/>
  <c r="C22" i="11"/>
  <c r="B54" i="9"/>
  <c r="B51" i="9"/>
  <c r="C16" i="9"/>
  <c r="C15" i="9"/>
  <c r="F3" i="9"/>
  <c r="L3" i="8"/>
  <c r="AP29" i="4" s="1"/>
  <c r="F3" i="8"/>
  <c r="K68" i="6"/>
  <c r="K67" i="6"/>
  <c r="K63" i="6"/>
  <c r="K62" i="6"/>
  <c r="K61" i="6"/>
  <c r="AM5" i="6"/>
  <c r="AL5" i="6"/>
  <c r="AK5" i="6"/>
  <c r="AJ5" i="6"/>
  <c r="AI5" i="6"/>
  <c r="AH5" i="6"/>
  <c r="AG5" i="6"/>
  <c r="AF5" i="6"/>
  <c r="AD5" i="6"/>
  <c r="AE5" i="6" s="1"/>
  <c r="AC5" i="6"/>
  <c r="AA5" i="6"/>
  <c r="Z5" i="6"/>
  <c r="Y5" i="6"/>
  <c r="X5" i="6"/>
  <c r="W5" i="6"/>
  <c r="V5" i="6"/>
  <c r="U5" i="6"/>
  <c r="O5" i="6"/>
  <c r="F5" i="6"/>
  <c r="AM4" i="6"/>
  <c r="AL4" i="6"/>
  <c r="AK4" i="6"/>
  <c r="AJ4" i="6"/>
  <c r="AI4" i="6"/>
  <c r="AH4" i="6"/>
  <c r="AG4" i="6"/>
  <c r="AF4" i="6"/>
  <c r="AD4" i="6"/>
  <c r="AE4" i="6" s="1"/>
  <c r="AC4" i="6"/>
  <c r="AA4" i="6"/>
  <c r="Z4" i="6"/>
  <c r="Y4" i="6"/>
  <c r="X4" i="6"/>
  <c r="W4" i="6"/>
  <c r="V4" i="6"/>
  <c r="U4" i="6"/>
  <c r="O4" i="6"/>
  <c r="F4" i="6"/>
  <c r="I164" i="35"/>
  <c r="B164" i="35"/>
  <c r="I163" i="35"/>
  <c r="I162" i="35"/>
  <c r="I161" i="35"/>
  <c r="I160" i="35"/>
  <c r="I159" i="35"/>
  <c r="I158" i="35"/>
  <c r="I157" i="35"/>
  <c r="I156" i="35"/>
  <c r="I155" i="35"/>
  <c r="I154" i="35"/>
  <c r="I153" i="35"/>
  <c r="I152" i="35"/>
  <c r="I151" i="35"/>
  <c r="I150" i="35"/>
  <c r="I149" i="35"/>
  <c r="I148" i="35"/>
  <c r="I147" i="35"/>
  <c r="I146" i="35"/>
  <c r="I145" i="35"/>
  <c r="I144" i="35"/>
  <c r="I143" i="35"/>
  <c r="I142" i="35"/>
  <c r="I141" i="35"/>
  <c r="I140" i="35"/>
  <c r="I139" i="35"/>
  <c r="I138" i="35"/>
  <c r="I137" i="35"/>
  <c r="I136" i="35"/>
  <c r="I135" i="35"/>
  <c r="I134" i="35"/>
  <c r="I133" i="35"/>
  <c r="I132" i="35"/>
  <c r="I131" i="35"/>
  <c r="I130" i="35"/>
  <c r="I129" i="35"/>
  <c r="I128" i="35"/>
  <c r="I120" i="35"/>
  <c r="B120" i="35"/>
  <c r="I119" i="35"/>
  <c r="B119" i="35"/>
  <c r="I118" i="35"/>
  <c r="B118" i="35"/>
  <c r="I117" i="35"/>
  <c r="I116" i="35"/>
  <c r="I115" i="35"/>
  <c r="I114" i="35"/>
  <c r="I113" i="35"/>
  <c r="I112" i="35"/>
  <c r="I111" i="35"/>
  <c r="I110" i="35"/>
  <c r="I109" i="35"/>
  <c r="I108" i="35"/>
  <c r="I107" i="35"/>
  <c r="I106" i="35"/>
  <c r="I105" i="35"/>
  <c r="I104" i="35"/>
  <c r="I103" i="35"/>
  <c r="I102" i="35"/>
  <c r="I101" i="35"/>
  <c r="I100" i="35"/>
  <c r="I99" i="35"/>
  <c r="I98" i="35"/>
  <c r="I97" i="35"/>
  <c r="I96" i="35"/>
  <c r="I95" i="35"/>
  <c r="I94" i="35"/>
  <c r="I93" i="35"/>
  <c r="I92" i="35"/>
  <c r="I91" i="35"/>
  <c r="I90" i="35"/>
  <c r="I89" i="35"/>
  <c r="I88" i="35"/>
  <c r="I87" i="35"/>
  <c r="I86" i="35"/>
  <c r="I85" i="35"/>
  <c r="I84" i="35"/>
  <c r="B84" i="35"/>
  <c r="C79" i="35"/>
  <c r="C78" i="35"/>
  <c r="C77" i="35"/>
  <c r="W5" i="35" s="1"/>
  <c r="F43" i="35"/>
  <c r="V4" i="35" s="1"/>
  <c r="X7" i="35"/>
  <c r="F7" i="35"/>
  <c r="B7" i="35"/>
  <c r="X6" i="35"/>
  <c r="F6" i="35"/>
  <c r="B6" i="35"/>
  <c r="X5" i="35"/>
  <c r="F5" i="35"/>
  <c r="B5" i="35"/>
  <c r="X4" i="35"/>
  <c r="F4" i="35"/>
  <c r="B4" i="35"/>
  <c r="J173" i="31"/>
  <c r="J165" i="31"/>
  <c r="D165" i="31"/>
  <c r="J164" i="31"/>
  <c r="D164" i="31"/>
  <c r="J163" i="31"/>
  <c r="D163" i="31"/>
  <c r="AB16" i="31"/>
  <c r="AB10" i="31"/>
  <c r="D83" i="31"/>
  <c r="M82" i="31"/>
  <c r="J82" i="31"/>
  <c r="G82" i="31"/>
  <c r="D82" i="31"/>
  <c r="M81" i="31"/>
  <c r="J81" i="31"/>
  <c r="G81" i="31"/>
  <c r="D81" i="31"/>
  <c r="P80" i="31"/>
  <c r="M80" i="31"/>
  <c r="J80" i="31"/>
  <c r="G80" i="31"/>
  <c r="D80" i="31"/>
  <c r="P79" i="31"/>
  <c r="P78" i="31"/>
  <c r="P77" i="31"/>
  <c r="P76" i="31"/>
  <c r="P75" i="31"/>
  <c r="P74" i="31"/>
  <c r="D74" i="31"/>
  <c r="P73" i="31"/>
  <c r="M73" i="31"/>
  <c r="J73" i="31"/>
  <c r="G73" i="31"/>
  <c r="D73" i="31"/>
  <c r="P72" i="31"/>
  <c r="M72" i="31"/>
  <c r="J72" i="31"/>
  <c r="G72" i="31"/>
  <c r="D72" i="31"/>
  <c r="P71" i="31"/>
  <c r="M71" i="31"/>
  <c r="J71" i="31"/>
  <c r="G71" i="31"/>
  <c r="D71" i="31"/>
  <c r="P70" i="31"/>
  <c r="P69" i="31"/>
  <c r="K18" i="31"/>
  <c r="G18" i="31"/>
  <c r="F18" i="31"/>
  <c r="B18" i="31"/>
  <c r="K17" i="31"/>
  <c r="G17" i="31"/>
  <c r="F17" i="31"/>
  <c r="B17" i="31"/>
  <c r="K16" i="31"/>
  <c r="G16" i="31"/>
  <c r="F16" i="31"/>
  <c r="B16" i="31"/>
  <c r="AB15" i="31"/>
  <c r="K15" i="31"/>
  <c r="G15" i="31"/>
  <c r="F15" i="31"/>
  <c r="B15" i="31"/>
  <c r="AB14" i="31"/>
  <c r="K14" i="31"/>
  <c r="G14" i="31"/>
  <c r="F14" i="31"/>
  <c r="B14" i="31"/>
  <c r="AB13" i="31"/>
  <c r="K13" i="31"/>
  <c r="G13" i="31"/>
  <c r="F13" i="31"/>
  <c r="B13" i="31"/>
  <c r="K12" i="31"/>
  <c r="G12" i="31"/>
  <c r="F12" i="31"/>
  <c r="B12" i="31"/>
  <c r="AB11" i="31"/>
  <c r="K11" i="31"/>
  <c r="G11" i="31"/>
  <c r="F11" i="31"/>
  <c r="B11" i="31"/>
  <c r="K10" i="31"/>
  <c r="G10" i="31"/>
  <c r="F10" i="31"/>
  <c r="B10" i="31"/>
  <c r="K9" i="31"/>
  <c r="G9" i="31"/>
  <c r="F9" i="31"/>
  <c r="B9" i="31"/>
  <c r="AB8" i="31"/>
  <c r="K8" i="31"/>
  <c r="G8" i="31"/>
  <c r="F8" i="31"/>
  <c r="B8" i="31"/>
  <c r="K7" i="31"/>
  <c r="G7" i="31"/>
  <c r="F7" i="31"/>
  <c r="B7" i="31"/>
  <c r="K6" i="31"/>
  <c r="G6" i="31"/>
  <c r="F6" i="31"/>
  <c r="B6" i="31"/>
  <c r="AB5" i="31"/>
  <c r="K5" i="31"/>
  <c r="G5" i="31"/>
  <c r="F5" i="31"/>
  <c r="B5" i="31"/>
  <c r="AB4" i="31"/>
  <c r="K4" i="31"/>
  <c r="G4" i="31"/>
  <c r="F4" i="31"/>
  <c r="B4" i="31"/>
  <c r="D191" i="29"/>
  <c r="C191" i="29"/>
  <c r="F107" i="29"/>
  <c r="E107" i="29"/>
  <c r="D107" i="29"/>
  <c r="C107" i="29"/>
  <c r="B107" i="29"/>
  <c r="G106" i="29"/>
  <c r="G105" i="29"/>
  <c r="G104" i="29"/>
  <c r="G103" i="29"/>
  <c r="G102" i="29"/>
  <c r="G101" i="29"/>
  <c r="G100" i="29"/>
  <c r="G99" i="29"/>
  <c r="G98" i="29"/>
  <c r="G97" i="29"/>
  <c r="G96" i="29"/>
  <c r="G95" i="29"/>
  <c r="G94" i="29"/>
  <c r="G93" i="29"/>
  <c r="G92" i="29"/>
  <c r="G91" i="29"/>
  <c r="E59" i="29"/>
  <c r="E58" i="29"/>
  <c r="E57" i="29"/>
  <c r="E56" i="29"/>
  <c r="E55" i="29"/>
  <c r="AF5" i="29"/>
  <c r="AE5" i="29"/>
  <c r="AD5" i="29"/>
  <c r="AB5" i="29"/>
  <c r="AA5" i="29"/>
  <c r="Z5" i="29"/>
  <c r="Y5" i="29"/>
  <c r="X5" i="29"/>
  <c r="W5" i="29"/>
  <c r="F5" i="29"/>
  <c r="B5" i="29"/>
  <c r="AF4" i="29"/>
  <c r="AE4" i="29"/>
  <c r="AD4" i="29"/>
  <c r="AB4" i="29"/>
  <c r="AA4" i="29"/>
  <c r="Z4" i="29"/>
  <c r="Y4" i="29"/>
  <c r="X4" i="29"/>
  <c r="W4" i="29"/>
  <c r="F4" i="29"/>
  <c r="B4" i="29"/>
  <c r="T5" i="26"/>
  <c r="S5" i="26"/>
  <c r="F5" i="26"/>
  <c r="B5" i="26"/>
  <c r="E58" i="24"/>
  <c r="T10" i="24" s="1"/>
  <c r="A55" i="24"/>
  <c r="A54" i="24"/>
  <c r="A53" i="24"/>
  <c r="A52" i="24"/>
  <c r="E51" i="24"/>
  <c r="A51" i="24"/>
  <c r="B48" i="24"/>
  <c r="B46" i="24"/>
  <c r="B45" i="24"/>
  <c r="W5" i="24"/>
  <c r="V5" i="24"/>
  <c r="T5" i="24"/>
  <c r="H5" i="24"/>
  <c r="G5" i="24"/>
  <c r="E5" i="24"/>
  <c r="B5" i="24"/>
  <c r="W4" i="24"/>
  <c r="V4" i="24"/>
  <c r="T4" i="24"/>
  <c r="H4" i="24"/>
  <c r="G4" i="24"/>
  <c r="E4" i="24"/>
  <c r="B4" i="24"/>
  <c r="B52" i="12"/>
  <c r="H9" i="12"/>
  <c r="E9" i="12"/>
  <c r="B9" i="12" s="1"/>
  <c r="AD6" i="12"/>
  <c r="AC6" i="12"/>
  <c r="AB6" i="12"/>
  <c r="AA6" i="12"/>
  <c r="Z6" i="12"/>
  <c r="Y6" i="12"/>
  <c r="X6" i="12"/>
  <c r="W6" i="12"/>
  <c r="V6" i="12"/>
  <c r="U6" i="12" s="1"/>
  <c r="H6" i="12"/>
  <c r="B6" i="12"/>
  <c r="AD5" i="12"/>
  <c r="AC5" i="12"/>
  <c r="AB5" i="12"/>
  <c r="AA5" i="12"/>
  <c r="Z5" i="12"/>
  <c r="Y5" i="12"/>
  <c r="X5" i="12"/>
  <c r="W5" i="12"/>
  <c r="V5" i="12"/>
  <c r="U5" i="12" s="1"/>
  <c r="H5" i="12"/>
  <c r="B5" i="12"/>
  <c r="AD4" i="12"/>
  <c r="AC4" i="12"/>
  <c r="AB4" i="12"/>
  <c r="AA4" i="12"/>
  <c r="Z4" i="12"/>
  <c r="Y4" i="12"/>
  <c r="X4" i="12"/>
  <c r="W4" i="12"/>
  <c r="V4" i="12"/>
  <c r="U4" i="12" s="1"/>
  <c r="H4" i="12"/>
  <c r="B4" i="12"/>
  <c r="AD3" i="12"/>
  <c r="AC3" i="12"/>
  <c r="AB3" i="12"/>
  <c r="AA3" i="12"/>
  <c r="Z3" i="12"/>
  <c r="Y3" i="12"/>
  <c r="X3" i="12"/>
  <c r="W3" i="12"/>
  <c r="V3" i="12"/>
  <c r="U3" i="12" s="1"/>
  <c r="H3" i="12"/>
  <c r="B3" i="12"/>
  <c r="C75" i="7"/>
  <c r="C74" i="7"/>
  <c r="AM3" i="7"/>
  <c r="AL3" i="7"/>
  <c r="AK3" i="7"/>
  <c r="AJ3" i="7"/>
  <c r="AI3" i="7"/>
  <c r="AH3" i="7"/>
  <c r="AG3" i="7"/>
  <c r="AF3" i="7"/>
  <c r="AE3" i="7"/>
  <c r="AD3" i="7"/>
  <c r="AC3" i="7"/>
  <c r="AB3" i="7"/>
  <c r="AA3" i="7"/>
  <c r="Z3" i="7"/>
  <c r="Y3" i="7"/>
  <c r="X3" i="7"/>
  <c r="W3" i="7"/>
  <c r="V3" i="7"/>
  <c r="N3" i="7"/>
  <c r="K3" i="7"/>
  <c r="B3" i="7"/>
  <c r="N89" i="32"/>
  <c r="C78" i="32"/>
  <c r="C77" i="32"/>
  <c r="C76" i="32"/>
  <c r="C75" i="32"/>
  <c r="C74" i="32"/>
  <c r="AK13" i="32"/>
  <c r="AJ13" i="32" s="1"/>
  <c r="AI13" i="32"/>
  <c r="AG13" i="32"/>
  <c r="AC13" i="32"/>
  <c r="V13" i="32"/>
  <c r="G13" i="32"/>
  <c r="B13" i="32"/>
  <c r="AK11" i="32"/>
  <c r="AJ11" i="32" s="1"/>
  <c r="AI11" i="32"/>
  <c r="AG11" i="32"/>
  <c r="AC11" i="32"/>
  <c r="V11" i="32"/>
  <c r="G11" i="32"/>
  <c r="B11" i="32"/>
  <c r="AK10" i="32"/>
  <c r="AJ10" i="32" s="1"/>
  <c r="AI10" i="32"/>
  <c r="AG10" i="32"/>
  <c r="AC10" i="32"/>
  <c r="AB10" i="32"/>
  <c r="AA10" i="32"/>
  <c r="Z10" i="32"/>
  <c r="Y10" i="32"/>
  <c r="X10" i="32"/>
  <c r="G10" i="32"/>
  <c r="B10" i="32"/>
  <c r="AK9" i="32"/>
  <c r="AJ9" i="32" s="1"/>
  <c r="AI9" i="32"/>
  <c r="AG9" i="32"/>
  <c r="AC9" i="32"/>
  <c r="AB9" i="32"/>
  <c r="AA9" i="32"/>
  <c r="Z9" i="32"/>
  <c r="Y9" i="32"/>
  <c r="X9" i="32"/>
  <c r="G9" i="32"/>
  <c r="B9" i="32"/>
  <c r="AK8" i="32"/>
  <c r="AJ8" i="32" s="1"/>
  <c r="AI8" i="32"/>
  <c r="AG8" i="32"/>
  <c r="AC8" i="32"/>
  <c r="AB8" i="32"/>
  <c r="AA8" i="32"/>
  <c r="Z8" i="32"/>
  <c r="Y8" i="32"/>
  <c r="X8" i="32"/>
  <c r="AE8" i="32" s="1"/>
  <c r="G8" i="32"/>
  <c r="B8" i="32"/>
  <c r="AK7" i="32"/>
  <c r="AJ7" i="32" s="1"/>
  <c r="AI7" i="32"/>
  <c r="AG7" i="32"/>
  <c r="AC7" i="32"/>
  <c r="AB7" i="32"/>
  <c r="AA7" i="32"/>
  <c r="Z7" i="32"/>
  <c r="Y7" i="32"/>
  <c r="X7" i="32"/>
  <c r="G7" i="32"/>
  <c r="B7" i="32"/>
  <c r="AK6" i="32"/>
  <c r="AJ6" i="32" s="1"/>
  <c r="AI6" i="32"/>
  <c r="AG6" i="32"/>
  <c r="AC6" i="32"/>
  <c r="AB6" i="32"/>
  <c r="AA6" i="32"/>
  <c r="Z6" i="32"/>
  <c r="Y6" i="32"/>
  <c r="X6" i="32"/>
  <c r="G6" i="32"/>
  <c r="B6" i="32"/>
  <c r="AK5" i="32"/>
  <c r="AJ5" i="32" s="1"/>
  <c r="AI5" i="32"/>
  <c r="AG5" i="32"/>
  <c r="AC5" i="32"/>
  <c r="AB5" i="32"/>
  <c r="AA5" i="32"/>
  <c r="Z5" i="32"/>
  <c r="Y5" i="32"/>
  <c r="X5" i="32"/>
  <c r="G5" i="32"/>
  <c r="B5" i="32"/>
  <c r="F98" i="51"/>
  <c r="E98" i="51"/>
  <c r="D98" i="51"/>
  <c r="C98" i="51"/>
  <c r="B2" i="51"/>
  <c r="F176" i="48"/>
  <c r="E176" i="48"/>
  <c r="D176" i="48"/>
  <c r="C176" i="48"/>
  <c r="P167" i="48"/>
  <c r="O167" i="48"/>
  <c r="N167" i="48"/>
  <c r="M167" i="48"/>
  <c r="L167" i="48"/>
  <c r="F167" i="48"/>
  <c r="E167" i="48"/>
  <c r="D167" i="48"/>
  <c r="C167" i="48"/>
  <c r="I148" i="48"/>
  <c r="H148" i="48"/>
  <c r="G148" i="48"/>
  <c r="F148" i="48"/>
  <c r="I139" i="48"/>
  <c r="H139" i="48"/>
  <c r="G139" i="48"/>
  <c r="F139" i="48"/>
  <c r="J129" i="48"/>
  <c r="I129" i="48"/>
  <c r="H129" i="48"/>
  <c r="G129" i="48"/>
  <c r="F129" i="48"/>
  <c r="AQ4" i="48"/>
  <c r="AP4" i="48"/>
  <c r="AM4" i="48"/>
  <c r="AI4" i="48"/>
  <c r="AH4" i="48"/>
  <c r="AE4" i="48"/>
  <c r="AD4" i="48"/>
  <c r="AB7" i="40"/>
  <c r="AA7" i="40"/>
  <c r="Z7" i="40"/>
  <c r="Y7" i="40"/>
  <c r="X7" i="40"/>
  <c r="W7" i="40"/>
  <c r="V7" i="40"/>
  <c r="U7" i="40"/>
  <c r="B7" i="40"/>
  <c r="B71" i="46"/>
  <c r="AI7" i="46"/>
  <c r="AH7" i="46"/>
  <c r="AG7" i="46"/>
  <c r="AF7" i="46"/>
  <c r="AE7" i="46"/>
  <c r="AD7" i="46"/>
  <c r="AC7" i="46"/>
  <c r="AB7" i="46"/>
  <c r="AA7" i="46"/>
  <c r="Y7" i="46"/>
  <c r="X7" i="46"/>
  <c r="W7" i="46"/>
  <c r="V7" i="46"/>
  <c r="G7" i="46"/>
  <c r="B7" i="46"/>
  <c r="AI6" i="46"/>
  <c r="AH6" i="46"/>
  <c r="AG6" i="46"/>
  <c r="AF6" i="46"/>
  <c r="AE6" i="46"/>
  <c r="AD6" i="46"/>
  <c r="AC6" i="46"/>
  <c r="AB6" i="46"/>
  <c r="AA6" i="46"/>
  <c r="Y6" i="46"/>
  <c r="X6" i="46"/>
  <c r="W6" i="46"/>
  <c r="V6" i="46"/>
  <c r="G6" i="46"/>
  <c r="B6" i="46"/>
  <c r="AI5" i="46"/>
  <c r="AH5" i="46"/>
  <c r="AG5" i="46"/>
  <c r="AF5" i="46"/>
  <c r="AE5" i="46"/>
  <c r="AD5" i="46"/>
  <c r="AC5" i="46"/>
  <c r="AB5" i="46"/>
  <c r="AA5" i="46"/>
  <c r="Y5" i="46"/>
  <c r="X5" i="46"/>
  <c r="W5" i="46"/>
  <c r="V5" i="46"/>
  <c r="G5" i="46"/>
  <c r="B5" i="46"/>
  <c r="AI4" i="46"/>
  <c r="AH4" i="46"/>
  <c r="AG4" i="46"/>
  <c r="AF4" i="46"/>
  <c r="AE4" i="46"/>
  <c r="AD4" i="46"/>
  <c r="AC4" i="46"/>
  <c r="AB4" i="46"/>
  <c r="AA4" i="46"/>
  <c r="Z4" i="46"/>
  <c r="Y4" i="46"/>
  <c r="X4" i="46"/>
  <c r="W4" i="46"/>
  <c r="V4" i="46"/>
  <c r="G4" i="46"/>
  <c r="B4" i="46"/>
  <c r="I140" i="39"/>
  <c r="H141" i="39" s="1"/>
  <c r="G140" i="39"/>
  <c r="F140" i="39"/>
  <c r="F138" i="39"/>
  <c r="F137" i="39"/>
  <c r="I143" i="39"/>
  <c r="F134" i="39"/>
  <c r="G135" i="39" s="1"/>
  <c r="G143" i="39" s="1"/>
  <c r="C93" i="39"/>
  <c r="D89" i="39"/>
  <c r="D88" i="39"/>
  <c r="D87" i="39"/>
  <c r="D71" i="39"/>
  <c r="C71" i="39"/>
  <c r="F59" i="39"/>
  <c r="AH8" i="39"/>
  <c r="AD8" i="39"/>
  <c r="V8" i="39"/>
  <c r="U8" i="39"/>
  <c r="T8" i="39"/>
  <c r="AH7" i="39"/>
  <c r="AD7" i="39"/>
  <c r="AI7" i="39"/>
  <c r="V7" i="39"/>
  <c r="U7" i="39"/>
  <c r="T7" i="39"/>
  <c r="V6" i="39"/>
  <c r="U6" i="39"/>
  <c r="T6" i="39"/>
  <c r="E6" i="39"/>
  <c r="B6" i="39"/>
  <c r="V5" i="39"/>
  <c r="U5" i="39"/>
  <c r="T5" i="39"/>
  <c r="E5" i="39"/>
  <c r="B5" i="39"/>
  <c r="V4" i="39"/>
  <c r="U4" i="39"/>
  <c r="T4" i="39"/>
  <c r="E4" i="39"/>
  <c r="B4" i="39"/>
  <c r="Z8" i="31"/>
  <c r="Z5" i="31"/>
  <c r="R5" i="22"/>
  <c r="Z5" i="20"/>
  <c r="Z7" i="20"/>
  <c r="AD7" i="20"/>
  <c r="AE5" i="19"/>
  <c r="O5" i="17"/>
  <c r="C14" i="9"/>
  <c r="F139" i="39"/>
  <c r="O4" i="13"/>
  <c r="AB12" i="31"/>
  <c r="AB6" i="31"/>
  <c r="AD4" i="20"/>
  <c r="K66" i="6"/>
  <c r="AB5" i="6"/>
  <c r="AB4" i="6"/>
  <c r="H139" i="39"/>
  <c r="H143" i="39"/>
  <c r="X11" i="31" l="1"/>
  <c r="Y11" i="31"/>
  <c r="BB62" i="4"/>
  <c r="BH62" i="4"/>
  <c r="AV62" i="4"/>
  <c r="AP62" i="4"/>
  <c r="H44" i="53"/>
  <c r="AP33" i="4"/>
  <c r="BH33" i="4"/>
  <c r="BB33" i="4"/>
  <c r="AV33" i="4"/>
  <c r="N4" i="30"/>
  <c r="AV552" i="4"/>
  <c r="AV63" i="4"/>
  <c r="BB552" i="4"/>
  <c r="BB63" i="4"/>
  <c r="AV595" i="4"/>
  <c r="AV148" i="4"/>
  <c r="BH552" i="4"/>
  <c r="BH63" i="4"/>
  <c r="BB595" i="4"/>
  <c r="BB148" i="4"/>
  <c r="BH595" i="4"/>
  <c r="BH148" i="4"/>
  <c r="AP148" i="4"/>
  <c r="AP63" i="4"/>
  <c r="AP552" i="4"/>
  <c r="AP595" i="4"/>
  <c r="AP392" i="4"/>
  <c r="AP292" i="4"/>
  <c r="AP412" i="4"/>
  <c r="AP217" i="4"/>
  <c r="AE7" i="32"/>
  <c r="AO20" i="51"/>
  <c r="Y20" i="51" s="1"/>
  <c r="AO21" i="51"/>
  <c r="Y21" i="51" s="1"/>
  <c r="AO22" i="51"/>
  <c r="Y22" i="51" s="1"/>
  <c r="AO23" i="51"/>
  <c r="Y23" i="51" s="1"/>
  <c r="AO24" i="51"/>
  <c r="Y24" i="51" s="1"/>
  <c r="AO7" i="51"/>
  <c r="Y7" i="51" s="1"/>
  <c r="AO11" i="51"/>
  <c r="Y11" i="51" s="1"/>
  <c r="AO15" i="51"/>
  <c r="Y15" i="51" s="1"/>
  <c r="AO19" i="51"/>
  <c r="Y19" i="51" s="1"/>
  <c r="AO4" i="51"/>
  <c r="Y4" i="51" s="1"/>
  <c r="AO8" i="51"/>
  <c r="Y8" i="51" s="1"/>
  <c r="AO12" i="51"/>
  <c r="Y12" i="51" s="1"/>
  <c r="AO16" i="51"/>
  <c r="Y16" i="51" s="1"/>
  <c r="AO5" i="51"/>
  <c r="Y5" i="51" s="1"/>
  <c r="AO9" i="51"/>
  <c r="Y9" i="51" s="1"/>
  <c r="AO13" i="51"/>
  <c r="Y13" i="51" s="1"/>
  <c r="AO17" i="51"/>
  <c r="Y17" i="51" s="1"/>
  <c r="AO6" i="51"/>
  <c r="Y6" i="51" s="1"/>
  <c r="AO10" i="51"/>
  <c r="Y10" i="51" s="1"/>
  <c r="AO14" i="51"/>
  <c r="Y14" i="51" s="1"/>
  <c r="AO18" i="51"/>
  <c r="Y18" i="51" s="1"/>
  <c r="T24" i="31"/>
  <c r="O3" i="8"/>
  <c r="AR20" i="51"/>
  <c r="AR21" i="51"/>
  <c r="AR22" i="51"/>
  <c r="AR23" i="51"/>
  <c r="AR24" i="51"/>
  <c r="AR8" i="51"/>
  <c r="AR16" i="51"/>
  <c r="AR5" i="51"/>
  <c r="AR9" i="51"/>
  <c r="AR6" i="51"/>
  <c r="AR10" i="51"/>
  <c r="AR14" i="51"/>
  <c r="AR7" i="51"/>
  <c r="AR15" i="51"/>
  <c r="AR4" i="51"/>
  <c r="Z10" i="31"/>
  <c r="Z26" i="31"/>
  <c r="T26" i="31" s="1"/>
  <c r="Z23" i="31"/>
  <c r="T23" i="31" s="1"/>
  <c r="Z22" i="31"/>
  <c r="T22" i="31" s="1"/>
  <c r="CG29" i="4"/>
  <c r="CK29" i="4" s="1"/>
  <c r="AR29" i="4"/>
  <c r="BL29" i="4" s="1"/>
  <c r="B152" i="29"/>
  <c r="AR12" i="51"/>
  <c r="AR13" i="51"/>
  <c r="AR17" i="51"/>
  <c r="AR18" i="51"/>
  <c r="AR11" i="51"/>
  <c r="AR19" i="51"/>
  <c r="CH8" i="4"/>
  <c r="AX8" i="4"/>
  <c r="BM8" i="4" s="1"/>
  <c r="N5" i="30"/>
  <c r="AL24" i="51"/>
  <c r="AC24" i="51" s="1"/>
  <c r="AL20" i="51"/>
  <c r="AC20" i="51" s="1"/>
  <c r="AL21" i="51"/>
  <c r="AC21" i="51" s="1"/>
  <c r="AL22" i="51"/>
  <c r="AC22" i="51" s="1"/>
  <c r="AL23" i="51"/>
  <c r="AC23" i="51" s="1"/>
  <c r="AL6" i="51"/>
  <c r="AC6" i="51" s="1"/>
  <c r="AL10" i="51"/>
  <c r="AC10" i="51" s="1"/>
  <c r="AL14" i="51"/>
  <c r="AC14" i="51" s="1"/>
  <c r="AL18" i="51"/>
  <c r="AC18" i="51" s="1"/>
  <c r="AL4" i="51"/>
  <c r="AC4" i="51" s="1"/>
  <c r="AL7" i="51"/>
  <c r="AC7" i="51" s="1"/>
  <c r="AL11" i="51"/>
  <c r="AC11" i="51" s="1"/>
  <c r="AL15" i="51"/>
  <c r="AC15" i="51" s="1"/>
  <c r="AL19" i="51"/>
  <c r="AC19" i="51" s="1"/>
  <c r="AL8" i="51"/>
  <c r="AC8" i="51" s="1"/>
  <c r="AL12" i="51"/>
  <c r="AC12" i="51" s="1"/>
  <c r="AL16" i="51"/>
  <c r="AC16" i="51" s="1"/>
  <c r="AL5" i="51"/>
  <c r="AC5" i="51" s="1"/>
  <c r="AL9" i="51"/>
  <c r="AC9" i="51" s="1"/>
  <c r="AL13" i="51"/>
  <c r="AC13" i="51" s="1"/>
  <c r="AL17" i="51"/>
  <c r="AC17" i="51" s="1"/>
  <c r="U14" i="32"/>
  <c r="AH14" i="32" s="1"/>
  <c r="O14" i="32" s="1"/>
  <c r="U22" i="32"/>
  <c r="AH22" i="32" s="1"/>
  <c r="U24" i="32"/>
  <c r="AH24" i="32" s="1"/>
  <c r="U21" i="32"/>
  <c r="AH21" i="32" s="1"/>
  <c r="U20" i="32"/>
  <c r="AH20" i="32" s="1"/>
  <c r="U18" i="32"/>
  <c r="AH18" i="32" s="1"/>
  <c r="U17" i="32"/>
  <c r="AH17" i="32" s="1"/>
  <c r="U16" i="32"/>
  <c r="AH16" i="32" s="1"/>
  <c r="U19" i="32"/>
  <c r="AH19" i="32" s="1"/>
  <c r="U15" i="32"/>
  <c r="AH15" i="32" s="1"/>
  <c r="U23" i="32"/>
  <c r="AH23" i="32" s="1"/>
  <c r="R3" i="7"/>
  <c r="Y4" i="31"/>
  <c r="T25" i="31"/>
  <c r="AB7" i="31"/>
  <c r="AB9" i="31"/>
  <c r="AG6" i="48"/>
  <c r="AG9" i="48"/>
  <c r="AG10" i="48"/>
  <c r="AG7" i="48"/>
  <c r="AG11" i="48"/>
  <c r="AG8" i="48"/>
  <c r="AG12" i="48"/>
  <c r="AN12" i="48"/>
  <c r="AN9" i="48"/>
  <c r="AN11" i="48"/>
  <c r="AF6" i="48"/>
  <c r="AF10" i="48"/>
  <c r="AF7" i="48"/>
  <c r="AF8" i="48"/>
  <c r="AF12" i="48"/>
  <c r="AF11" i="48"/>
  <c r="AF9" i="48"/>
  <c r="AK6" i="48"/>
  <c r="AK9" i="48"/>
  <c r="AK7" i="48"/>
  <c r="AK11" i="48"/>
  <c r="AK8" i="48"/>
  <c r="AK12" i="48"/>
  <c r="AK10" i="48"/>
  <c r="AJ4" i="48"/>
  <c r="AJ10" i="48"/>
  <c r="AJ7" i="48"/>
  <c r="AJ11" i="48"/>
  <c r="AJ8" i="48"/>
  <c r="AJ12" i="48"/>
  <c r="AJ9" i="48"/>
  <c r="AL4" i="48"/>
  <c r="AL8" i="48"/>
  <c r="AL12" i="48"/>
  <c r="AL10" i="48"/>
  <c r="AL9" i="48"/>
  <c r="AL7" i="48"/>
  <c r="AL11" i="48"/>
  <c r="AN6" i="48"/>
  <c r="AN10" i="48"/>
  <c r="AN8" i="48"/>
  <c r="AN7" i="48"/>
  <c r="X17" i="31"/>
  <c r="AU4" i="49"/>
  <c r="AB4" i="49" s="1"/>
  <c r="AU5" i="49"/>
  <c r="AB5" i="49" s="1"/>
  <c r="AU6" i="49"/>
  <c r="AB6" i="49" s="1"/>
  <c r="AU7" i="49"/>
  <c r="AB7" i="49" s="1"/>
  <c r="AW4" i="49"/>
  <c r="AW6" i="49"/>
  <c r="AW5" i="49"/>
  <c r="AW7" i="49"/>
  <c r="AP4" i="49"/>
  <c r="AP7" i="49"/>
  <c r="AP5" i="49"/>
  <c r="AP6" i="49"/>
  <c r="G129" i="37"/>
  <c r="AN4" i="37"/>
  <c r="AN5" i="37"/>
  <c r="AN7" i="37"/>
  <c r="AN6" i="37"/>
  <c r="AU6" i="37" s="1"/>
  <c r="AU5" i="37"/>
  <c r="AP4" i="37"/>
  <c r="AP6" i="37"/>
  <c r="U6" i="37" s="1"/>
  <c r="AP7" i="37"/>
  <c r="U7" i="37" s="1"/>
  <c r="AP5" i="37"/>
  <c r="U5" i="37" s="1"/>
  <c r="AR36" i="4"/>
  <c r="BL36" i="4" s="1"/>
  <c r="CG36" i="4"/>
  <c r="CK36" i="4" s="1"/>
  <c r="AE6" i="19"/>
  <c r="AG6" i="19" s="1"/>
  <c r="AC6" i="19" s="1"/>
  <c r="N5" i="20"/>
  <c r="AR72" i="4"/>
  <c r="BL72" i="4" s="1"/>
  <c r="CG72" i="4"/>
  <c r="CK72" i="4" s="1"/>
  <c r="Q5" i="22"/>
  <c r="AE6" i="32"/>
  <c r="AE10" i="32"/>
  <c r="AE5" i="32"/>
  <c r="AE9" i="32"/>
  <c r="T5" i="50"/>
  <c r="T6" i="50"/>
  <c r="W4" i="50" s="1"/>
  <c r="AA4" i="49"/>
  <c r="AE4" i="49" s="1"/>
  <c r="AG5" i="48"/>
  <c r="O5" i="20"/>
  <c r="S5" i="20" s="1"/>
  <c r="AC4" i="21"/>
  <c r="L4" i="25"/>
  <c r="D117" i="34"/>
  <c r="AN4" i="48"/>
  <c r="O6" i="20"/>
  <c r="S6" i="20" s="1"/>
  <c r="G107" i="29"/>
  <c r="Y16" i="31"/>
  <c r="N4" i="20"/>
  <c r="C117" i="34"/>
  <c r="C120" i="34" s="1"/>
  <c r="L7" i="36"/>
  <c r="Z7" i="31"/>
  <c r="AA4" i="20"/>
  <c r="P4" i="21"/>
  <c r="T4" i="21" s="1"/>
  <c r="Q4" i="22"/>
  <c r="Q5" i="46"/>
  <c r="U5" i="46" s="1"/>
  <c r="AB18" i="31"/>
  <c r="T5" i="25"/>
  <c r="L5" i="25" s="1"/>
  <c r="Z4" i="31"/>
  <c r="W7" i="32"/>
  <c r="Q3" i="7"/>
  <c r="U3" i="7" s="1"/>
  <c r="Y6" i="31"/>
  <c r="X12" i="31"/>
  <c r="Y5" i="31"/>
  <c r="T4" i="6"/>
  <c r="T5" i="6"/>
  <c r="R4" i="22"/>
  <c r="L29" i="53"/>
  <c r="L3" i="14"/>
  <c r="N7" i="20"/>
  <c r="R7" i="20" s="1"/>
  <c r="X5" i="23"/>
  <c r="H56" i="34"/>
  <c r="AG5" i="19"/>
  <c r="Z12" i="31"/>
  <c r="O4" i="17"/>
  <c r="AB17" i="31"/>
  <c r="Z6" i="31"/>
  <c r="C21" i="11"/>
  <c r="Z4" i="37"/>
  <c r="G152" i="29"/>
  <c r="L4" i="14"/>
  <c r="O4" i="14" s="1"/>
  <c r="L6" i="36"/>
  <c r="Q7" i="40"/>
  <c r="T7" i="40" s="1"/>
  <c r="U4" i="26"/>
  <c r="N4" i="26" s="1"/>
  <c r="P7" i="45"/>
  <c r="T7" i="45" s="1"/>
  <c r="X16" i="31"/>
  <c r="T16" i="31" s="1"/>
  <c r="Y12" i="31"/>
  <c r="Y14" i="31"/>
  <c r="AG4" i="48"/>
  <c r="W5" i="19"/>
  <c r="O3" i="7"/>
  <c r="S3" i="7" s="1"/>
  <c r="X15" i="31"/>
  <c r="S4" i="38"/>
  <c r="O7" i="45"/>
  <c r="P8" i="45"/>
  <c r="T8" i="45" s="1"/>
  <c r="O9" i="45"/>
  <c r="Y4" i="37"/>
  <c r="H50" i="53"/>
  <c r="O8" i="20"/>
  <c r="S8" i="20" s="1"/>
  <c r="Q6" i="40"/>
  <c r="T6" i="40" s="1"/>
  <c r="X10" i="31"/>
  <c r="U8" i="24"/>
  <c r="O8" i="24" s="1"/>
  <c r="R8" i="24" s="1"/>
  <c r="U11" i="24"/>
  <c r="O11" i="24" s="1"/>
  <c r="R11" i="24" s="1"/>
  <c r="P3" i="13"/>
  <c r="L3" i="15"/>
  <c r="X5" i="31"/>
  <c r="T5" i="31" s="1"/>
  <c r="AK5" i="48"/>
  <c r="AC5" i="19"/>
  <c r="Q5" i="19" s="1"/>
  <c r="AF4" i="48"/>
  <c r="AK4" i="48"/>
  <c r="W4" i="48" s="1"/>
  <c r="O7" i="20"/>
  <c r="S7" i="20" s="1"/>
  <c r="X18" i="31"/>
  <c r="D21" i="11"/>
  <c r="N3" i="11" s="1"/>
  <c r="H48" i="53"/>
  <c r="H57" i="34"/>
  <c r="H83" i="34"/>
  <c r="H86" i="34"/>
  <c r="H87" i="34"/>
  <c r="AL6" i="48"/>
  <c r="AL5" i="48"/>
  <c r="AI8" i="39"/>
  <c r="Q7" i="46"/>
  <c r="U7" i="46" s="1"/>
  <c r="Z11" i="31"/>
  <c r="T11" i="31" s="1"/>
  <c r="AG8" i="39"/>
  <c r="R5" i="35"/>
  <c r="Q4" i="6"/>
  <c r="R4" i="6"/>
  <c r="S4" i="6"/>
  <c r="Q5" i="6"/>
  <c r="S5" i="6"/>
  <c r="O4" i="20"/>
  <c r="S4" i="20" s="1"/>
  <c r="L30" i="53"/>
  <c r="L32" i="53"/>
  <c r="C20" i="52"/>
  <c r="W6" i="32"/>
  <c r="V6" i="32" s="1"/>
  <c r="W10" i="32"/>
  <c r="V10" i="32" s="1"/>
  <c r="U11" i="32"/>
  <c r="AH11" i="32" s="1"/>
  <c r="O11" i="32" s="1"/>
  <c r="AN3" i="7"/>
  <c r="P3" i="7" s="1"/>
  <c r="N4" i="12"/>
  <c r="O6" i="12"/>
  <c r="S6" i="12" s="1"/>
  <c r="W4" i="35"/>
  <c r="R4" i="35" s="1"/>
  <c r="Q8" i="40"/>
  <c r="L33" i="53"/>
  <c r="L27" i="53"/>
  <c r="Q3" i="13"/>
  <c r="L3" i="13" s="1"/>
  <c r="L4" i="16"/>
  <c r="L5" i="18"/>
  <c r="M6" i="27"/>
  <c r="H84" i="34"/>
  <c r="O8" i="45"/>
  <c r="O4" i="47"/>
  <c r="R4" i="47" s="1"/>
  <c r="Z4" i="34"/>
  <c r="P4" i="34" s="1"/>
  <c r="O7" i="36"/>
  <c r="AN5" i="48"/>
  <c r="Y17" i="31"/>
  <c r="AA7" i="20"/>
  <c r="O4" i="21"/>
  <c r="X4" i="23"/>
  <c r="B32" i="23" s="1"/>
  <c r="B33" i="23" s="1"/>
  <c r="B35" i="23" s="1"/>
  <c r="M4" i="23" s="1"/>
  <c r="M5" i="27"/>
  <c r="U5" i="26"/>
  <c r="N5" i="26" s="1"/>
  <c r="Q5" i="26" s="1"/>
  <c r="S4" i="43"/>
  <c r="L34" i="53"/>
  <c r="B193" i="52"/>
  <c r="B143" i="52"/>
  <c r="C10" i="52" s="1"/>
  <c r="B261" i="52"/>
  <c r="B83" i="52" s="1"/>
  <c r="C82" i="52"/>
  <c r="G73" i="52" s="1"/>
  <c r="C115" i="34"/>
  <c r="F141" i="39"/>
  <c r="F142" i="39" s="1"/>
  <c r="P9" i="39"/>
  <c r="U4" i="34"/>
  <c r="W7" i="35"/>
  <c r="R7" i="35" s="1"/>
  <c r="W6" i="35"/>
  <c r="R6" i="35" s="1"/>
  <c r="O4" i="45"/>
  <c r="P4" i="45"/>
  <c r="T4" i="45" s="1"/>
  <c r="R5" i="6"/>
  <c r="H142" i="39"/>
  <c r="Y9" i="31"/>
  <c r="X9" i="31"/>
  <c r="P5" i="45"/>
  <c r="T5" i="45" s="1"/>
  <c r="O5" i="45"/>
  <c r="P6" i="45"/>
  <c r="T6" i="45" s="1"/>
  <c r="O5" i="47"/>
  <c r="R5" i="47" s="1"/>
  <c r="O3" i="15"/>
  <c r="Y6" i="19"/>
  <c r="W6" i="19"/>
  <c r="B260" i="52"/>
  <c r="C83" i="52" s="1"/>
  <c r="G74" i="52" s="1"/>
  <c r="Y15" i="31"/>
  <c r="X8" i="31"/>
  <c r="Y8" i="31"/>
  <c r="X4" i="31"/>
  <c r="X6" i="31"/>
  <c r="Y18" i="31"/>
  <c r="X14" i="31"/>
  <c r="H49" i="53"/>
  <c r="AC5" i="21"/>
  <c r="P5" i="21"/>
  <c r="T5" i="21" s="1"/>
  <c r="O5" i="21"/>
  <c r="M3" i="9"/>
  <c r="X7" i="31"/>
  <c r="Y7" i="31"/>
  <c r="Y13" i="31"/>
  <c r="X13" i="31"/>
  <c r="V5" i="35"/>
  <c r="AV4" i="37"/>
  <c r="C116" i="52"/>
  <c r="B30" i="52" s="1"/>
  <c r="B115" i="52"/>
  <c r="B8" i="52" s="1"/>
  <c r="B38" i="52" s="1"/>
  <c r="B116" i="52"/>
  <c r="C144" i="52"/>
  <c r="B33" i="52" s="1"/>
  <c r="B144" i="52"/>
  <c r="C169" i="52"/>
  <c r="C26" i="52" s="1"/>
  <c r="B169" i="52"/>
  <c r="C11" i="52" s="1"/>
  <c r="C40" i="52" s="1"/>
  <c r="C193" i="52"/>
  <c r="C192" i="52"/>
  <c r="X7" i="33"/>
  <c r="W7" i="33"/>
  <c r="O6" i="45"/>
  <c r="L4" i="18"/>
  <c r="AP32" i="4" s="1"/>
  <c r="D116" i="34"/>
  <c r="C116" i="34"/>
  <c r="X5" i="50"/>
  <c r="AF5" i="48"/>
  <c r="W5" i="32"/>
  <c r="V5" i="32" s="1"/>
  <c r="W8" i="32"/>
  <c r="V8" i="32" s="1"/>
  <c r="Y10" i="31"/>
  <c r="P9" i="45"/>
  <c r="T9" i="45" s="1"/>
  <c r="U9" i="24"/>
  <c r="O9" i="24" s="1"/>
  <c r="U6" i="24"/>
  <c r="O6" i="24" s="1"/>
  <c r="R6" i="24" s="1"/>
  <c r="U10" i="24"/>
  <c r="O10" i="24" s="1"/>
  <c r="R10" i="24" s="1"/>
  <c r="M23" i="53"/>
  <c r="L31" i="53"/>
  <c r="L28" i="53"/>
  <c r="L26" i="53"/>
  <c r="L4" i="15"/>
  <c r="O4" i="15" s="1"/>
  <c r="L5" i="16"/>
  <c r="O5" i="16" s="1"/>
  <c r="B170" i="52"/>
  <c r="C170" i="52"/>
  <c r="C215" i="52"/>
  <c r="K35" i="53"/>
  <c r="R8" i="20"/>
  <c r="C113" i="52"/>
  <c r="C23" i="52" s="1"/>
  <c r="C44" i="52" s="1"/>
  <c r="B114" i="52"/>
  <c r="B113" i="52"/>
  <c r="C8" i="52" s="1"/>
  <c r="C38" i="52" s="1"/>
  <c r="H85" i="34"/>
  <c r="H88" i="34" s="1"/>
  <c r="J4" i="34"/>
  <c r="W4" i="34" s="1"/>
  <c r="D114" i="34"/>
  <c r="U7" i="24"/>
  <c r="O7" i="24" s="1"/>
  <c r="R7" i="24" s="1"/>
  <c r="B216" i="52"/>
  <c r="B79" i="52" s="1"/>
  <c r="H59" i="34"/>
  <c r="H60" i="34"/>
  <c r="C143" i="52"/>
  <c r="C24" i="52" s="1"/>
  <c r="C45" i="52" s="1"/>
  <c r="D237" i="52"/>
  <c r="B238" i="52"/>
  <c r="B80" i="52" s="1"/>
  <c r="C294" i="52"/>
  <c r="C84" i="52" s="1"/>
  <c r="G75" i="52" s="1"/>
  <c r="C216" i="52"/>
  <c r="B215" i="52"/>
  <c r="C79" i="52" s="1"/>
  <c r="G70" i="52" s="1"/>
  <c r="B294" i="52"/>
  <c r="B84" i="52" s="1"/>
  <c r="E238" i="52"/>
  <c r="E237" i="52"/>
  <c r="D238" i="52"/>
  <c r="C237" i="52"/>
  <c r="C81" i="52" s="1"/>
  <c r="G72" i="52" s="1"/>
  <c r="B237" i="52"/>
  <c r="C80" i="52" s="1"/>
  <c r="G71" i="52" s="1"/>
  <c r="C238" i="52"/>
  <c r="B81" i="52" s="1"/>
  <c r="AD5" i="48"/>
  <c r="AD6" i="48"/>
  <c r="AJ5" i="48"/>
  <c r="AJ6" i="48"/>
  <c r="AA10" i="33"/>
  <c r="AI10" i="33" s="1"/>
  <c r="AG10" i="33" s="1"/>
  <c r="W5" i="33"/>
  <c r="W4" i="33"/>
  <c r="P6" i="39"/>
  <c r="F12" i="33"/>
  <c r="W9" i="33"/>
  <c r="V7" i="32"/>
  <c r="P7" i="39"/>
  <c r="P4" i="39" s="1"/>
  <c r="W8" i="33"/>
  <c r="U7" i="32"/>
  <c r="AH7" i="32" s="1"/>
  <c r="K11" i="2"/>
  <c r="K12" i="2"/>
  <c r="P8" i="39"/>
  <c r="P5" i="39" s="1"/>
  <c r="AA6" i="33"/>
  <c r="AI6" i="33" s="1"/>
  <c r="AG6" i="33" s="1"/>
  <c r="AA11" i="33"/>
  <c r="AL11" i="33" s="1"/>
  <c r="AA7" i="33"/>
  <c r="AK7" i="33" s="1"/>
  <c r="AH7" i="33" s="1"/>
  <c r="U9" i="32"/>
  <c r="AH9" i="32" s="1"/>
  <c r="U12" i="32"/>
  <c r="AH12" i="32" s="1"/>
  <c r="O12" i="32" s="1"/>
  <c r="U13" i="32"/>
  <c r="AH13" i="32" s="1"/>
  <c r="O13" i="32" s="1"/>
  <c r="W9" i="32"/>
  <c r="V9" i="32" s="1"/>
  <c r="N3" i="12"/>
  <c r="P12" i="39"/>
  <c r="P11" i="39"/>
  <c r="AA8" i="33"/>
  <c r="AL8" i="33" s="1"/>
  <c r="AA4" i="33"/>
  <c r="AK4" i="33" s="1"/>
  <c r="AH4" i="33" s="1"/>
  <c r="AA9" i="33"/>
  <c r="AK9" i="33" s="1"/>
  <c r="AH9" i="33" s="1"/>
  <c r="AA5" i="33"/>
  <c r="AK5" i="33" s="1"/>
  <c r="AH5" i="33" s="1"/>
  <c r="U10" i="32"/>
  <c r="AH10" i="32" s="1"/>
  <c r="U5" i="32"/>
  <c r="AH5" i="32" s="1"/>
  <c r="U6" i="32"/>
  <c r="AH6" i="32" s="1"/>
  <c r="U8" i="32"/>
  <c r="AH8" i="32" s="1"/>
  <c r="N5" i="12"/>
  <c r="R5" i="12" s="1"/>
  <c r="O4" i="12"/>
  <c r="B31" i="52"/>
  <c r="C115" i="52"/>
  <c r="B23" i="52" s="1"/>
  <c r="B44" i="52" s="1"/>
  <c r="C114" i="52"/>
  <c r="B9" i="52"/>
  <c r="B39" i="52" s="1"/>
  <c r="P5" i="46"/>
  <c r="Q4" i="46"/>
  <c r="U4" i="46" s="1"/>
  <c r="P7" i="46"/>
  <c r="P6" i="46"/>
  <c r="P4" i="46"/>
  <c r="Q6" i="46"/>
  <c r="U6" i="46" s="1"/>
  <c r="H58" i="34"/>
  <c r="H61" i="34" s="1"/>
  <c r="BH344" i="4" l="1"/>
  <c r="BB327" i="4"/>
  <c r="AV414" i="4"/>
  <c r="AV329" i="4"/>
  <c r="BB344" i="4"/>
  <c r="AV327" i="4"/>
  <c r="BB329" i="4"/>
  <c r="BH414" i="4"/>
  <c r="BH329" i="4"/>
  <c r="AV344" i="4"/>
  <c r="BH327" i="4"/>
  <c r="BB414" i="4"/>
  <c r="AP327" i="4"/>
  <c r="AP344" i="4"/>
  <c r="AP414" i="4"/>
  <c r="AP329" i="4"/>
  <c r="AF4" i="49"/>
  <c r="C19" i="52"/>
  <c r="C33" i="52"/>
  <c r="AV447" i="4"/>
  <c r="BH447" i="4"/>
  <c r="BB447" i="4"/>
  <c r="AP447" i="4"/>
  <c r="CG62" i="4"/>
  <c r="AR62" i="4"/>
  <c r="BL62" i="4" s="1"/>
  <c r="BH422" i="4"/>
  <c r="BB422" i="4"/>
  <c r="AV422" i="4"/>
  <c r="AP422" i="4"/>
  <c r="AV383" i="4"/>
  <c r="BH383" i="4"/>
  <c r="BB383" i="4"/>
  <c r="AP383" i="4"/>
  <c r="AR383" i="4" s="1"/>
  <c r="BL383" i="4" s="1"/>
  <c r="BH416" i="4"/>
  <c r="BB416" i="4"/>
  <c r="AV416" i="4"/>
  <c r="AP416" i="4"/>
  <c r="BH381" i="4"/>
  <c r="AV381" i="4"/>
  <c r="BB381" i="4"/>
  <c r="AP381" i="4"/>
  <c r="BB419" i="4"/>
  <c r="AV419" i="4"/>
  <c r="BH419" i="4"/>
  <c r="AP419" i="4"/>
  <c r="AV411" i="4"/>
  <c r="BB411" i="4"/>
  <c r="BH411" i="4"/>
  <c r="AP411" i="4"/>
  <c r="AV374" i="4"/>
  <c r="BB374" i="4"/>
  <c r="BH374" i="4"/>
  <c r="AP374" i="4"/>
  <c r="BH382" i="4"/>
  <c r="BB382" i="4"/>
  <c r="AV382" i="4"/>
  <c r="AP382" i="4"/>
  <c r="AV467" i="4"/>
  <c r="BH467" i="4"/>
  <c r="AV89" i="4"/>
  <c r="BB467" i="4"/>
  <c r="BB89" i="4"/>
  <c r="BH89" i="4"/>
  <c r="AP467" i="4"/>
  <c r="AP89" i="4"/>
  <c r="BB88" i="4"/>
  <c r="AV88" i="4"/>
  <c r="BH88" i="4"/>
  <c r="AP88" i="4"/>
  <c r="AV564" i="4"/>
  <c r="AV90" i="4"/>
  <c r="BH90" i="4"/>
  <c r="BB564" i="4"/>
  <c r="BB90" i="4"/>
  <c r="BH564" i="4"/>
  <c r="AP90" i="4"/>
  <c r="AP564" i="4"/>
  <c r="AV468" i="4"/>
  <c r="BB468" i="4"/>
  <c r="BB91" i="4"/>
  <c r="BH468" i="4"/>
  <c r="BH91" i="4"/>
  <c r="AV91" i="4"/>
  <c r="AP468" i="4"/>
  <c r="AP91" i="4"/>
  <c r="T12" i="31"/>
  <c r="AV451" i="4" s="1"/>
  <c r="T18" i="31"/>
  <c r="BB562" i="4" s="1"/>
  <c r="T17" i="31"/>
  <c r="BH16" i="4" s="1"/>
  <c r="AX62" i="4"/>
  <c r="BM62" i="4" s="1"/>
  <c r="CH62" i="4"/>
  <c r="BJ62" i="4"/>
  <c r="BO62" i="4" s="1"/>
  <c r="CJ62" i="4"/>
  <c r="CI62" i="4"/>
  <c r="BD62" i="4"/>
  <c r="BN62" i="4" s="1"/>
  <c r="AV609" i="4"/>
  <c r="BH171" i="4"/>
  <c r="BB581" i="4"/>
  <c r="BB117" i="4"/>
  <c r="BH609" i="4"/>
  <c r="BB171" i="4"/>
  <c r="AV581" i="4"/>
  <c r="AV117" i="4"/>
  <c r="BB609" i="4"/>
  <c r="BH581" i="4"/>
  <c r="BH117" i="4"/>
  <c r="AV171" i="4"/>
  <c r="AP581" i="4"/>
  <c r="AP171" i="4"/>
  <c r="AP117" i="4"/>
  <c r="AP609" i="4"/>
  <c r="BH580" i="4"/>
  <c r="AV116" i="4"/>
  <c r="BB116" i="4"/>
  <c r="AV608" i="4"/>
  <c r="BH116" i="4"/>
  <c r="BB608" i="4"/>
  <c r="AV170" i="4"/>
  <c r="BH608" i="4"/>
  <c r="BB170" i="4"/>
  <c r="BH170" i="4"/>
  <c r="AV580" i="4"/>
  <c r="BB580" i="4"/>
  <c r="AP580" i="4"/>
  <c r="AP170" i="4"/>
  <c r="AP608" i="4"/>
  <c r="AP116" i="4"/>
  <c r="AV168" i="4"/>
  <c r="AV114" i="4"/>
  <c r="BB168" i="4"/>
  <c r="BB114" i="4"/>
  <c r="BH168" i="4"/>
  <c r="BH114" i="4"/>
  <c r="AV578" i="4"/>
  <c r="BB578" i="4"/>
  <c r="AV606" i="4"/>
  <c r="BH578" i="4"/>
  <c r="BB606" i="4"/>
  <c r="BH606" i="4"/>
  <c r="AP606" i="4"/>
  <c r="AP168" i="4"/>
  <c r="AP578" i="4"/>
  <c r="AP114" i="4"/>
  <c r="BB169" i="4"/>
  <c r="BB115" i="4"/>
  <c r="BH169" i="4"/>
  <c r="BH115" i="4"/>
  <c r="AV579" i="4"/>
  <c r="BB579" i="4"/>
  <c r="AV607" i="4"/>
  <c r="BH579" i="4"/>
  <c r="BB607" i="4"/>
  <c r="BH607" i="4"/>
  <c r="AV169" i="4"/>
  <c r="AV115" i="4"/>
  <c r="AP169" i="4"/>
  <c r="AP579" i="4"/>
  <c r="AP115" i="4"/>
  <c r="AP607" i="4"/>
  <c r="R5" i="20"/>
  <c r="BH596" i="4"/>
  <c r="BB68" i="4"/>
  <c r="AV596" i="4"/>
  <c r="BH553" i="4"/>
  <c r="BH134" i="4"/>
  <c r="AV553" i="4"/>
  <c r="AV134" i="4"/>
  <c r="BH68" i="4"/>
  <c r="BB596" i="4"/>
  <c r="AV68" i="4"/>
  <c r="BB553" i="4"/>
  <c r="BB134" i="4"/>
  <c r="AP68" i="4"/>
  <c r="AP596" i="4"/>
  <c r="AP134" i="4"/>
  <c r="AP553" i="4"/>
  <c r="BB423" i="4"/>
  <c r="AV367" i="4"/>
  <c r="BB514" i="4"/>
  <c r="BB303" i="4"/>
  <c r="BB67" i="4"/>
  <c r="BH367" i="4"/>
  <c r="BH384" i="4"/>
  <c r="AV384" i="4"/>
  <c r="BH457" i="4"/>
  <c r="BH423" i="4"/>
  <c r="BH403" i="4"/>
  <c r="BH133" i="4"/>
  <c r="BB367" i="4"/>
  <c r="AV457" i="4"/>
  <c r="AV423" i="4"/>
  <c r="AV403" i="4"/>
  <c r="AV133" i="4"/>
  <c r="BB457" i="4"/>
  <c r="BH514" i="4"/>
  <c r="BH303" i="4"/>
  <c r="BH67" i="4"/>
  <c r="AV514" i="4"/>
  <c r="AV303" i="4"/>
  <c r="AV67" i="4"/>
  <c r="BB403" i="4"/>
  <c r="BB133" i="4"/>
  <c r="BB384" i="4"/>
  <c r="AP457" i="4"/>
  <c r="AP67" i="4"/>
  <c r="AP384" i="4"/>
  <c r="AP303" i="4"/>
  <c r="AP514" i="4"/>
  <c r="AP367" i="4"/>
  <c r="AP403" i="4"/>
  <c r="AP133" i="4"/>
  <c r="AP423" i="4"/>
  <c r="BH603" i="4"/>
  <c r="BH111" i="4"/>
  <c r="BB603" i="4"/>
  <c r="BB111" i="4"/>
  <c r="AV603" i="4"/>
  <c r="AV111" i="4"/>
  <c r="BH575" i="4"/>
  <c r="BB575" i="4"/>
  <c r="BH165" i="4"/>
  <c r="BB165" i="4"/>
  <c r="AV165" i="4"/>
  <c r="AV575" i="4"/>
  <c r="AP165" i="4"/>
  <c r="AP603" i="4"/>
  <c r="AP575" i="4"/>
  <c r="AP111" i="4"/>
  <c r="AV166" i="4"/>
  <c r="BH576" i="4"/>
  <c r="BB576" i="4"/>
  <c r="AV576" i="4"/>
  <c r="BH166" i="4"/>
  <c r="BB166" i="4"/>
  <c r="BH604" i="4"/>
  <c r="BH112" i="4"/>
  <c r="BB604" i="4"/>
  <c r="BB112" i="4"/>
  <c r="AV604" i="4"/>
  <c r="AV112" i="4"/>
  <c r="AP166" i="4"/>
  <c r="AP604" i="4"/>
  <c r="AP576" i="4"/>
  <c r="AP112" i="4"/>
  <c r="AX33" i="4"/>
  <c r="BM33" i="4" s="1"/>
  <c r="CH33" i="4"/>
  <c r="BD33" i="4"/>
  <c r="BN33" i="4" s="1"/>
  <c r="CI33" i="4"/>
  <c r="BJ33" i="4"/>
  <c r="BO33" i="4" s="1"/>
  <c r="CJ33" i="4"/>
  <c r="BD552" i="4"/>
  <c r="BN552" i="4" s="1"/>
  <c r="CI552" i="4"/>
  <c r="BD148" i="4"/>
  <c r="BN148" i="4" s="1"/>
  <c r="CI148" i="4"/>
  <c r="AX148" i="4"/>
  <c r="BM148" i="4" s="1"/>
  <c r="CH148" i="4"/>
  <c r="AX63" i="4"/>
  <c r="BM63" i="4" s="1"/>
  <c r="CH63" i="4"/>
  <c r="BJ595" i="4"/>
  <c r="BO595" i="4" s="1"/>
  <c r="CJ595" i="4"/>
  <c r="BJ552" i="4"/>
  <c r="BO552" i="4" s="1"/>
  <c r="CJ552" i="4"/>
  <c r="BD595" i="4"/>
  <c r="BN595" i="4" s="1"/>
  <c r="CI595" i="4"/>
  <c r="AX595" i="4"/>
  <c r="BM595" i="4" s="1"/>
  <c r="CH595" i="4"/>
  <c r="AX552" i="4"/>
  <c r="BM552" i="4" s="1"/>
  <c r="CH552" i="4"/>
  <c r="BJ148" i="4"/>
  <c r="BO148" i="4" s="1"/>
  <c r="CJ148" i="4"/>
  <c r="BJ63" i="4"/>
  <c r="BO63" i="4" s="1"/>
  <c r="CJ63" i="4"/>
  <c r="BD63" i="4"/>
  <c r="BN63" i="4" s="1"/>
  <c r="CI63" i="4"/>
  <c r="BB149" i="4"/>
  <c r="AV557" i="4"/>
  <c r="AV78" i="4"/>
  <c r="AV149" i="4"/>
  <c r="BH149" i="4"/>
  <c r="BB557" i="4"/>
  <c r="BB78" i="4"/>
  <c r="BH557" i="4"/>
  <c r="BH78" i="4"/>
  <c r="AP78" i="4"/>
  <c r="AP557" i="4"/>
  <c r="AP149" i="4"/>
  <c r="AV85" i="4"/>
  <c r="AX85" i="4" s="1"/>
  <c r="BM85" i="4" s="1"/>
  <c r="BH154" i="4"/>
  <c r="BH85" i="4"/>
  <c r="BB16" i="4"/>
  <c r="BH537" i="4"/>
  <c r="BH136" i="4"/>
  <c r="BH45" i="4"/>
  <c r="BB462" i="4"/>
  <c r="AV477" i="4"/>
  <c r="AV271" i="4"/>
  <c r="BH462" i="4"/>
  <c r="BB477" i="4"/>
  <c r="BB271" i="4"/>
  <c r="BH477" i="4"/>
  <c r="BH271" i="4"/>
  <c r="AV537" i="4"/>
  <c r="AX537" i="4" s="1"/>
  <c r="BM537" i="4" s="1"/>
  <c r="AV136" i="4"/>
  <c r="BB537" i="4"/>
  <c r="BB136" i="4"/>
  <c r="BB45" i="4"/>
  <c r="AV462" i="4"/>
  <c r="AV45" i="4"/>
  <c r="AX45" i="4" s="1"/>
  <c r="BM45" i="4" s="1"/>
  <c r="AV94" i="4"/>
  <c r="BB94" i="4"/>
  <c r="BH94" i="4"/>
  <c r="AV481" i="4"/>
  <c r="AX481" i="4" s="1"/>
  <c r="BM481" i="4" s="1"/>
  <c r="AV275" i="4"/>
  <c r="AX275" i="4" s="1"/>
  <c r="BM275" i="4" s="1"/>
  <c r="BB481" i="4"/>
  <c r="BB275" i="4"/>
  <c r="BH481" i="4"/>
  <c r="BH275" i="4"/>
  <c r="BH479" i="4"/>
  <c r="BH273" i="4"/>
  <c r="AV479" i="4"/>
  <c r="AX479" i="4" s="1"/>
  <c r="BM479" i="4" s="1"/>
  <c r="AV273" i="4"/>
  <c r="AX273" i="4" s="1"/>
  <c r="BM273" i="4" s="1"/>
  <c r="BB479" i="4"/>
  <c r="BB273" i="4"/>
  <c r="AV480" i="4"/>
  <c r="AX480" i="4" s="1"/>
  <c r="BM480" i="4" s="1"/>
  <c r="AV274" i="4"/>
  <c r="AX274" i="4" s="1"/>
  <c r="BM274" i="4" s="1"/>
  <c r="BB480" i="4"/>
  <c r="BB274" i="4"/>
  <c r="BH480" i="4"/>
  <c r="BH274" i="4"/>
  <c r="AV93" i="4"/>
  <c r="AX93" i="4" s="1"/>
  <c r="BM93" i="4" s="1"/>
  <c r="BB93" i="4"/>
  <c r="BH93" i="4"/>
  <c r="BB155" i="4"/>
  <c r="AV86" i="4"/>
  <c r="AX86" i="4" s="1"/>
  <c r="BM86" i="4" s="1"/>
  <c r="BH155" i="4"/>
  <c r="BB86" i="4"/>
  <c r="AV17" i="4"/>
  <c r="AX17" i="4" s="1"/>
  <c r="BM17" i="4" s="1"/>
  <c r="BH86" i="4"/>
  <c r="BB17" i="4"/>
  <c r="BH17" i="4"/>
  <c r="AV155" i="4"/>
  <c r="AX155" i="4" s="1"/>
  <c r="BM155" i="4" s="1"/>
  <c r="BH560" i="4"/>
  <c r="AV81" i="4"/>
  <c r="BB81" i="4"/>
  <c r="BB152" i="4"/>
  <c r="BB12" i="4"/>
  <c r="AV560" i="4"/>
  <c r="BB482" i="4"/>
  <c r="BB276" i="4"/>
  <c r="BH482" i="4"/>
  <c r="BH276" i="4"/>
  <c r="AV482" i="4"/>
  <c r="AX482" i="4" s="1"/>
  <c r="BM482" i="4" s="1"/>
  <c r="AV276" i="4"/>
  <c r="AX276" i="4" s="1"/>
  <c r="BM276" i="4" s="1"/>
  <c r="BB478" i="4"/>
  <c r="BB272" i="4"/>
  <c r="BH478" i="4"/>
  <c r="BH272" i="4"/>
  <c r="AV478" i="4"/>
  <c r="AX478" i="4" s="1"/>
  <c r="BM478" i="4" s="1"/>
  <c r="AV272" i="4"/>
  <c r="AX272" i="4" s="1"/>
  <c r="BM272" i="4" s="1"/>
  <c r="BH483" i="4"/>
  <c r="BH277" i="4"/>
  <c r="AV483" i="4"/>
  <c r="AX483" i="4" s="1"/>
  <c r="BM483" i="4" s="1"/>
  <c r="AV277" i="4"/>
  <c r="AX277" i="4" s="1"/>
  <c r="BM277" i="4" s="1"/>
  <c r="BB483" i="4"/>
  <c r="BB277" i="4"/>
  <c r="AS72" i="4"/>
  <c r="AS36" i="4"/>
  <c r="AS29" i="4"/>
  <c r="BD217" i="4"/>
  <c r="CI217" i="4"/>
  <c r="AQ14" i="2" s="1"/>
  <c r="AX392" i="4"/>
  <c r="BM392" i="4" s="1"/>
  <c r="CH392" i="4"/>
  <c r="AX217" i="4"/>
  <c r="CH217" i="4"/>
  <c r="AP14" i="2" s="1"/>
  <c r="BD392" i="4"/>
  <c r="BN392" i="4" s="1"/>
  <c r="CI392" i="4"/>
  <c r="BJ392" i="4"/>
  <c r="BO392" i="4" s="1"/>
  <c r="CJ392" i="4"/>
  <c r="BD292" i="4"/>
  <c r="BN292" i="4" s="1"/>
  <c r="CI292" i="4"/>
  <c r="BJ217" i="4"/>
  <c r="CJ217" i="4"/>
  <c r="AR14" i="2" s="1"/>
  <c r="BJ292" i="4"/>
  <c r="BO292" i="4" s="1"/>
  <c r="CJ292" i="4"/>
  <c r="AX412" i="4"/>
  <c r="BM412" i="4" s="1"/>
  <c r="CH412" i="4"/>
  <c r="BD412" i="4"/>
  <c r="BN412" i="4" s="1"/>
  <c r="CI412" i="4"/>
  <c r="AX292" i="4"/>
  <c r="BM292" i="4" s="1"/>
  <c r="CH292" i="4"/>
  <c r="BJ412" i="4"/>
  <c r="BO412" i="4" s="1"/>
  <c r="CJ412" i="4"/>
  <c r="AX31" i="4"/>
  <c r="BM31" i="4" s="1"/>
  <c r="AX568" i="4"/>
  <c r="BM568" i="4" s="1"/>
  <c r="AX106" i="4"/>
  <c r="BM106" i="4" s="1"/>
  <c r="AP568" i="4"/>
  <c r="AP106" i="4"/>
  <c r="AP270" i="4"/>
  <c r="AX476" i="4"/>
  <c r="BM476" i="4" s="1"/>
  <c r="AX270" i="4"/>
  <c r="BM270" i="4" s="1"/>
  <c r="AP476" i="4"/>
  <c r="AX565" i="4"/>
  <c r="BM565" i="4" s="1"/>
  <c r="AX18" i="4"/>
  <c r="BM18" i="4" s="1"/>
  <c r="AP517" i="4"/>
  <c r="AP454" i="4"/>
  <c r="AX453" i="4"/>
  <c r="BM453" i="4" s="1"/>
  <c r="AX600" i="4"/>
  <c r="BM600" i="4" s="1"/>
  <c r="AX517" i="4"/>
  <c r="BM517" i="4" s="1"/>
  <c r="AX454" i="4"/>
  <c r="BM454" i="4" s="1"/>
  <c r="AX157" i="4"/>
  <c r="BM157" i="4" s="1"/>
  <c r="AX99" i="4"/>
  <c r="BM99" i="4" s="1"/>
  <c r="AP453" i="4"/>
  <c r="AP99" i="4"/>
  <c r="AP600" i="4"/>
  <c r="AP157" i="4"/>
  <c r="AP565" i="4"/>
  <c r="AP482" i="4"/>
  <c r="AP276" i="4"/>
  <c r="AP277" i="4"/>
  <c r="AP483" i="4"/>
  <c r="AX462" i="4"/>
  <c r="BM462" i="4" s="1"/>
  <c r="AX477" i="4"/>
  <c r="BM477" i="4" s="1"/>
  <c r="AX271" i="4"/>
  <c r="BM271" i="4" s="1"/>
  <c r="AX136" i="4"/>
  <c r="BM136" i="4" s="1"/>
  <c r="AP462" i="4"/>
  <c r="AP537" i="4"/>
  <c r="AP477" i="4"/>
  <c r="AP136" i="4"/>
  <c r="AP45" i="4"/>
  <c r="AP271" i="4"/>
  <c r="AP93" i="4"/>
  <c r="AP273" i="4"/>
  <c r="AP479" i="4"/>
  <c r="AP478" i="4"/>
  <c r="AP272" i="4"/>
  <c r="AP154" i="4"/>
  <c r="AP17" i="4"/>
  <c r="AP86" i="4"/>
  <c r="AP155" i="4"/>
  <c r="AP481" i="4"/>
  <c r="AP275" i="4"/>
  <c r="AP480" i="4"/>
  <c r="AP274" i="4"/>
  <c r="C25" i="52"/>
  <c r="C32" i="52"/>
  <c r="AR564" i="4"/>
  <c r="BL564" i="4" s="1"/>
  <c r="O3" i="13"/>
  <c r="O3" i="14"/>
  <c r="AP8" i="4"/>
  <c r="AR595" i="4"/>
  <c r="BL595" i="4" s="1"/>
  <c r="CG595" i="4"/>
  <c r="O17" i="32"/>
  <c r="O22" i="32"/>
  <c r="AY8" i="4"/>
  <c r="X10" i="51"/>
  <c r="X9" i="51"/>
  <c r="X8" i="51"/>
  <c r="X11" i="51"/>
  <c r="AB11" i="51" s="1"/>
  <c r="T11" i="51" s="1"/>
  <c r="X22" i="51"/>
  <c r="P3" i="9"/>
  <c r="AP27" i="4"/>
  <c r="O19" i="32"/>
  <c r="O18" i="32"/>
  <c r="S14" i="32"/>
  <c r="Y6" i="64"/>
  <c r="Q6" i="64" s="1"/>
  <c r="Y5" i="64"/>
  <c r="Q5" i="64" s="1"/>
  <c r="Y12" i="64"/>
  <c r="Q12" i="64" s="1"/>
  <c r="Y16" i="64"/>
  <c r="Q16" i="64" s="1"/>
  <c r="Y19" i="64"/>
  <c r="Q19" i="64" s="1"/>
  <c r="T19" i="64" s="1"/>
  <c r="Y18" i="64"/>
  <c r="Q18" i="64" s="1"/>
  <c r="T18" i="64" s="1"/>
  <c r="Y8" i="64"/>
  <c r="Q8" i="64" s="1"/>
  <c r="Y15" i="64"/>
  <c r="Y14" i="64"/>
  <c r="Y7" i="64"/>
  <c r="Q7" i="64" s="1"/>
  <c r="Y13" i="64"/>
  <c r="Q13" i="64" s="1"/>
  <c r="Y17" i="64"/>
  <c r="Q17" i="64" s="1"/>
  <c r="T17" i="64" s="1"/>
  <c r="Y4" i="64"/>
  <c r="Q4" i="64" s="1"/>
  <c r="Y11" i="64"/>
  <c r="Q11" i="64" s="1"/>
  <c r="Y9" i="64"/>
  <c r="Q9" i="64" s="1"/>
  <c r="Y10" i="64"/>
  <c r="Q10" i="64" s="1"/>
  <c r="X6" i="51"/>
  <c r="X5" i="51"/>
  <c r="X4" i="51"/>
  <c r="X7" i="51"/>
  <c r="X21" i="51"/>
  <c r="C118" i="34"/>
  <c r="O5" i="18"/>
  <c r="AP31" i="4"/>
  <c r="Q3" i="11"/>
  <c r="AP35" i="4"/>
  <c r="AR40" i="4"/>
  <c r="BL40" i="4" s="1"/>
  <c r="CG40" i="4"/>
  <c r="CK40" i="4" s="1"/>
  <c r="O23" i="32"/>
  <c r="O20" i="32"/>
  <c r="AR555" i="4"/>
  <c r="BL555" i="4" s="1"/>
  <c r="CG555" i="4"/>
  <c r="CK555" i="4" s="1"/>
  <c r="X18" i="51"/>
  <c r="AB18" i="51" s="1"/>
  <c r="T18" i="51" s="1"/>
  <c r="X17" i="51"/>
  <c r="X16" i="51"/>
  <c r="AB16" i="51" s="1"/>
  <c r="T16" i="51" s="1"/>
  <c r="X19" i="51"/>
  <c r="X24" i="51"/>
  <c r="X20" i="51"/>
  <c r="T3" i="7"/>
  <c r="AP26" i="4"/>
  <c r="CG552" i="4"/>
  <c r="AR552" i="4"/>
  <c r="BL552" i="4" s="1"/>
  <c r="O15" i="32"/>
  <c r="O16" i="32"/>
  <c r="O21" i="32"/>
  <c r="O24" i="32"/>
  <c r="AR515" i="4"/>
  <c r="BL515" i="4" s="1"/>
  <c r="CG515" i="4"/>
  <c r="CK515" i="4" s="1"/>
  <c r="X14" i="51"/>
  <c r="X13" i="51"/>
  <c r="X12" i="51"/>
  <c r="X15" i="51"/>
  <c r="X23" i="51"/>
  <c r="R9" i="24"/>
  <c r="W10" i="48"/>
  <c r="V10" i="48"/>
  <c r="W7" i="48"/>
  <c r="V7" i="48"/>
  <c r="V4" i="48"/>
  <c r="V12" i="48"/>
  <c r="W12" i="48"/>
  <c r="V9" i="48"/>
  <c r="W9" i="48"/>
  <c r="V8" i="48"/>
  <c r="W8" i="48"/>
  <c r="V11" i="48"/>
  <c r="W11" i="48"/>
  <c r="W5" i="31"/>
  <c r="T10" i="31"/>
  <c r="T8" i="40"/>
  <c r="S7" i="45"/>
  <c r="T4" i="46"/>
  <c r="CG416" i="4"/>
  <c r="AA5" i="49"/>
  <c r="W4" i="49"/>
  <c r="AA6" i="49"/>
  <c r="AA7" i="49"/>
  <c r="AV6" i="37"/>
  <c r="U4" i="37"/>
  <c r="AA4" i="37"/>
  <c r="AU4" i="37" s="1"/>
  <c r="AV5" i="37"/>
  <c r="AV7" i="37"/>
  <c r="AU7" i="37"/>
  <c r="BA4" i="37"/>
  <c r="BA6" i="37"/>
  <c r="BA5" i="37"/>
  <c r="AX5" i="37" s="1"/>
  <c r="T5" i="37" s="1"/>
  <c r="BA7" i="37"/>
  <c r="V5" i="48"/>
  <c r="W5" i="48"/>
  <c r="AA4" i="48"/>
  <c r="Q4" i="48" s="1"/>
  <c r="Z4" i="48" s="1"/>
  <c r="W6" i="48"/>
  <c r="V6" i="48"/>
  <c r="AB8" i="51"/>
  <c r="T8" i="51" s="1"/>
  <c r="S5" i="39"/>
  <c r="AP18" i="4"/>
  <c r="O7" i="32"/>
  <c r="O10" i="32"/>
  <c r="O3" i="10"/>
  <c r="O4" i="18"/>
  <c r="O4" i="16"/>
  <c r="R6" i="20"/>
  <c r="R4" i="20"/>
  <c r="AR73" i="4"/>
  <c r="BL73" i="4" s="1"/>
  <c r="CG73" i="4"/>
  <c r="CK73" i="4" s="1"/>
  <c r="Q4" i="23"/>
  <c r="Q4" i="26"/>
  <c r="CG63" i="4"/>
  <c r="AR63" i="4"/>
  <c r="BL63" i="4" s="1"/>
  <c r="AR148" i="4"/>
  <c r="BL148" i="4" s="1"/>
  <c r="CG148" i="4"/>
  <c r="O8" i="32"/>
  <c r="T9" i="32"/>
  <c r="O5" i="32"/>
  <c r="T5" i="32"/>
  <c r="O9" i="32"/>
  <c r="O6" i="32"/>
  <c r="T10" i="32"/>
  <c r="U7" i="35"/>
  <c r="U4" i="35"/>
  <c r="U6" i="35"/>
  <c r="U5" i="35"/>
  <c r="AR77" i="4"/>
  <c r="BL77" i="4" s="1"/>
  <c r="CG77" i="4"/>
  <c r="CK77" i="4" s="1"/>
  <c r="O6" i="36"/>
  <c r="W5" i="50"/>
  <c r="AR340" i="4"/>
  <c r="BL340" i="4" s="1"/>
  <c r="CG340" i="4"/>
  <c r="CK340" i="4" s="1"/>
  <c r="W16" i="31"/>
  <c r="W17" i="31"/>
  <c r="U4" i="24"/>
  <c r="O4" i="24" s="1"/>
  <c r="O5" i="25"/>
  <c r="O4" i="25"/>
  <c r="B85" i="52"/>
  <c r="B86" i="52" s="1"/>
  <c r="T15" i="31"/>
  <c r="R3" i="12"/>
  <c r="C17" i="52"/>
  <c r="T6" i="31"/>
  <c r="M5" i="6"/>
  <c r="P5" i="6" s="1"/>
  <c r="R4" i="12"/>
  <c r="S13" i="32"/>
  <c r="C18" i="52"/>
  <c r="O3" i="12"/>
  <c r="S3" i="12" s="1"/>
  <c r="S12" i="32"/>
  <c r="S7" i="32"/>
  <c r="C9" i="52"/>
  <c r="B32" i="52"/>
  <c r="N6" i="12"/>
  <c r="S5" i="21"/>
  <c r="T4" i="41"/>
  <c r="S4" i="21"/>
  <c r="S11" i="32"/>
  <c r="D113" i="52"/>
  <c r="T14" i="31"/>
  <c r="M5" i="23"/>
  <c r="Q5" i="23" s="1"/>
  <c r="S9" i="45"/>
  <c r="M4" i="6"/>
  <c r="T13" i="31"/>
  <c r="C34" i="52"/>
  <c r="C46" i="52" s="1"/>
  <c r="L35" i="53"/>
  <c r="T8" i="31"/>
  <c r="S4" i="45"/>
  <c r="T5" i="46"/>
  <c r="T5" i="19"/>
  <c r="S8" i="45"/>
  <c r="T4" i="19"/>
  <c r="U5" i="24"/>
  <c r="O5" i="24" s="1"/>
  <c r="B20" i="52"/>
  <c r="B12" i="52"/>
  <c r="B41" i="52" s="1"/>
  <c r="T6" i="46"/>
  <c r="T7" i="46"/>
  <c r="S6" i="45"/>
  <c r="S5" i="45"/>
  <c r="R5" i="29"/>
  <c r="R4" i="29"/>
  <c r="S4" i="34"/>
  <c r="S8" i="39"/>
  <c r="P10" i="39"/>
  <c r="F135" i="39"/>
  <c r="F143" i="39" s="1"/>
  <c r="B26" i="52"/>
  <c r="B34" i="52"/>
  <c r="B46" i="52" s="1"/>
  <c r="M26" i="53"/>
  <c r="M28" i="53"/>
  <c r="M32" i="53"/>
  <c r="M34" i="53"/>
  <c r="M31" i="53"/>
  <c r="M29" i="53"/>
  <c r="M25" i="53"/>
  <c r="N23" i="53"/>
  <c r="M30" i="53"/>
  <c r="M27" i="53"/>
  <c r="M33" i="53"/>
  <c r="Y5" i="50"/>
  <c r="S5" i="32"/>
  <c r="S4" i="39"/>
  <c r="B11" i="52"/>
  <c r="B40" i="52" s="1"/>
  <c r="B42" i="52" s="1"/>
  <c r="B19" i="52"/>
  <c r="B118" i="34"/>
  <c r="T4" i="31"/>
  <c r="S11" i="39"/>
  <c r="C15" i="52"/>
  <c r="C35" i="52"/>
  <c r="C47" i="52" s="1"/>
  <c r="C48" i="52" s="1"/>
  <c r="C27" i="52"/>
  <c r="B17" i="52"/>
  <c r="B10" i="52"/>
  <c r="B18" i="52"/>
  <c r="T9" i="31"/>
  <c r="R8" i="35"/>
  <c r="U8" i="35" s="1"/>
  <c r="S12" i="39"/>
  <c r="B27" i="52"/>
  <c r="B35" i="52"/>
  <c r="B47" i="52" s="1"/>
  <c r="B24" i="52"/>
  <c r="B45" i="52" s="1"/>
  <c r="B48" i="52" s="1"/>
  <c r="B25" i="52"/>
  <c r="B15" i="52"/>
  <c r="B16" i="52"/>
  <c r="T7" i="31"/>
  <c r="AI21" i="2"/>
  <c r="S6" i="39"/>
  <c r="G76" i="52"/>
  <c r="C85" i="52"/>
  <c r="AG10" i="2"/>
  <c r="F29" i="2"/>
  <c r="V29" i="2"/>
  <c r="AJ10" i="33"/>
  <c r="AL10" i="33"/>
  <c r="AK10" i="33"/>
  <c r="AH10" i="33" s="1"/>
  <c r="V10" i="33" s="1"/>
  <c r="Y10" i="33" s="1"/>
  <c r="AI23" i="2"/>
  <c r="AJ11" i="33"/>
  <c r="AI11" i="33"/>
  <c r="AG11" i="33" s="1"/>
  <c r="AI5" i="33"/>
  <c r="AG5" i="33" s="1"/>
  <c r="V5" i="33" s="1"/>
  <c r="Y5" i="33" s="1"/>
  <c r="AK11" i="33"/>
  <c r="AH11" i="33" s="1"/>
  <c r="AI8" i="33"/>
  <c r="AG8" i="33" s="1"/>
  <c r="AI9" i="33"/>
  <c r="AG9" i="33" s="1"/>
  <c r="V9" i="33" s="1"/>
  <c r="Y9" i="33" s="1"/>
  <c r="AL6" i="33"/>
  <c r="AJ4" i="33"/>
  <c r="AJ6" i="33"/>
  <c r="O5" i="12"/>
  <c r="S5" i="12" s="1"/>
  <c r="AI4" i="33"/>
  <c r="AG4" i="33" s="1"/>
  <c r="V4" i="33" s="1"/>
  <c r="Y4" i="33" s="1"/>
  <c r="AI7" i="33"/>
  <c r="AG7" i="33" s="1"/>
  <c r="V7" i="33" s="1"/>
  <c r="Y7" i="33" s="1"/>
  <c r="AJ5" i="33"/>
  <c r="AJ7" i="33"/>
  <c r="AL5" i="33"/>
  <c r="AJ9" i="33"/>
  <c r="AK6" i="33"/>
  <c r="AH6" i="33" s="1"/>
  <c r="V6" i="33" s="1"/>
  <c r="Y6" i="33" s="1"/>
  <c r="AL7" i="33"/>
  <c r="AK8" i="33"/>
  <c r="AH8" i="33" s="1"/>
  <c r="M29" i="2"/>
  <c r="AB9" i="51"/>
  <c r="T9" i="51" s="1"/>
  <c r="AB10" i="51"/>
  <c r="T10" i="51" s="1"/>
  <c r="AL9" i="33"/>
  <c r="AL4" i="33"/>
  <c r="AJ8" i="33"/>
  <c r="N10" i="12"/>
  <c r="N9" i="12"/>
  <c r="S4" i="12"/>
  <c r="R10" i="12"/>
  <c r="D114" i="52"/>
  <c r="C31" i="52"/>
  <c r="C30" i="52"/>
  <c r="S7" i="39"/>
  <c r="BJ414" i="4" l="1"/>
  <c r="CJ414" i="4"/>
  <c r="BJ327" i="4"/>
  <c r="CJ327" i="4"/>
  <c r="BD329" i="4"/>
  <c r="CI329" i="4"/>
  <c r="AX414" i="4"/>
  <c r="CH414" i="4"/>
  <c r="BD414" i="4"/>
  <c r="CI414" i="4"/>
  <c r="AX329" i="4"/>
  <c r="CH329" i="4"/>
  <c r="AX344" i="4"/>
  <c r="CH344" i="4"/>
  <c r="AX327" i="4"/>
  <c r="CH327" i="4"/>
  <c r="BD327" i="4"/>
  <c r="CI327" i="4"/>
  <c r="BJ329" i="4"/>
  <c r="CJ329" i="4"/>
  <c r="BD344" i="4"/>
  <c r="CI344" i="4"/>
  <c r="BJ344" i="4"/>
  <c r="CJ344" i="4"/>
  <c r="BH229" i="4"/>
  <c r="BB229" i="4"/>
  <c r="AV229" i="4"/>
  <c r="AP229" i="4"/>
  <c r="CG229" i="4" s="1"/>
  <c r="AE7" i="49"/>
  <c r="AF7" i="49"/>
  <c r="AE6" i="49"/>
  <c r="AF6" i="49"/>
  <c r="AE5" i="49"/>
  <c r="AF5" i="49"/>
  <c r="CG383" i="4"/>
  <c r="P14" i="2"/>
  <c r="Y14" i="2" s="1"/>
  <c r="BN217" i="4"/>
  <c r="Z14" i="2"/>
  <c r="BO217" i="4"/>
  <c r="H14" i="2"/>
  <c r="O14" i="2" s="1"/>
  <c r="BM217" i="4"/>
  <c r="D85" i="52"/>
  <c r="D86" i="52" s="1"/>
  <c r="AV520" i="4"/>
  <c r="BB520" i="4"/>
  <c r="BH520" i="4"/>
  <c r="AP520" i="4"/>
  <c r="BH388" i="4"/>
  <c r="BB388" i="4"/>
  <c r="AV388" i="4"/>
  <c r="AP388" i="4"/>
  <c r="BH408" i="4"/>
  <c r="BB408" i="4"/>
  <c r="AV408" i="4"/>
  <c r="BH289" i="4"/>
  <c r="BB289" i="4"/>
  <c r="AV289" i="4"/>
  <c r="AP408" i="4"/>
  <c r="AP289" i="4"/>
  <c r="BH226" i="4"/>
  <c r="BB226" i="4"/>
  <c r="AV226" i="4"/>
  <c r="BB342" i="4"/>
  <c r="BH342" i="4"/>
  <c r="AV342" i="4"/>
  <c r="AP342" i="4"/>
  <c r="AP226" i="4"/>
  <c r="AR226" i="4" s="1"/>
  <c r="BL226" i="4" s="1"/>
  <c r="BH354" i="4"/>
  <c r="BB354" i="4"/>
  <c r="AV354" i="4"/>
  <c r="AP354" i="4"/>
  <c r="BH231" i="4"/>
  <c r="BB231" i="4"/>
  <c r="AV231" i="4"/>
  <c r="AP231" i="4"/>
  <c r="AR231" i="4" s="1"/>
  <c r="BL231" i="4" s="1"/>
  <c r="AA12" i="48"/>
  <c r="BH472" i="4"/>
  <c r="BH371" i="4"/>
  <c r="BB472" i="4"/>
  <c r="BB371" i="4"/>
  <c r="AV472" i="4"/>
  <c r="AV371" i="4"/>
  <c r="BH325" i="4"/>
  <c r="BB261" i="4"/>
  <c r="AV325" i="4"/>
  <c r="BH261" i="4"/>
  <c r="BB325" i="4"/>
  <c r="AV261" i="4"/>
  <c r="AP325" i="4"/>
  <c r="AP472" i="4"/>
  <c r="AP371" i="4"/>
  <c r="AP261" i="4"/>
  <c r="C28" i="52"/>
  <c r="BH527" i="4"/>
  <c r="AV527" i="4"/>
  <c r="BB527" i="4"/>
  <c r="AP527" i="4"/>
  <c r="Q12" i="48"/>
  <c r="Z12" i="48" s="1"/>
  <c r="CS62" i="4"/>
  <c r="CS63" i="4"/>
  <c r="CS148" i="4"/>
  <c r="CS555" i="4"/>
  <c r="CT72" i="4"/>
  <c r="CU72" i="4"/>
  <c r="CV72" i="4"/>
  <c r="CS552" i="4"/>
  <c r="CS73" i="4"/>
  <c r="CS595" i="4"/>
  <c r="CS564" i="4"/>
  <c r="AR416" i="4"/>
  <c r="BL416" i="4" s="1"/>
  <c r="CG564" i="4"/>
  <c r="AV343" i="4"/>
  <c r="BB343" i="4"/>
  <c r="BH343" i="4"/>
  <c r="AP343" i="4"/>
  <c r="CG343" i="4" s="1"/>
  <c r="AV228" i="4"/>
  <c r="BB228" i="4"/>
  <c r="BH228" i="4"/>
  <c r="AP228" i="4"/>
  <c r="AV448" i="4"/>
  <c r="BB448" i="4"/>
  <c r="BH448" i="4"/>
  <c r="AP448" i="4"/>
  <c r="AB14" i="51"/>
  <c r="T14" i="51" s="1"/>
  <c r="AV290" i="4"/>
  <c r="BB290" i="4"/>
  <c r="AV409" i="4"/>
  <c r="BH290" i="4"/>
  <c r="BB409" i="4"/>
  <c r="BH409" i="4"/>
  <c r="AP409" i="4"/>
  <c r="AP290" i="4"/>
  <c r="AV230" i="4"/>
  <c r="BB230" i="4"/>
  <c r="BH230" i="4"/>
  <c r="AP230" i="4"/>
  <c r="BH424" i="4"/>
  <c r="AV304" i="4"/>
  <c r="BB304" i="4"/>
  <c r="AV424" i="4"/>
  <c r="BH304" i="4"/>
  <c r="BB424" i="4"/>
  <c r="AP424" i="4"/>
  <c r="AP304" i="4"/>
  <c r="AV473" i="4"/>
  <c r="BB473" i="4"/>
  <c r="BH473" i="4"/>
  <c r="AP473" i="4"/>
  <c r="AV227" i="4"/>
  <c r="BB227" i="4"/>
  <c r="BH227" i="4"/>
  <c r="AP227" i="4"/>
  <c r="AR227" i="4" s="1"/>
  <c r="BL227" i="4" s="1"/>
  <c r="AV389" i="4"/>
  <c r="BB389" i="4"/>
  <c r="BH389" i="4"/>
  <c r="AP389" i="4"/>
  <c r="AV404" i="4"/>
  <c r="BB404" i="4"/>
  <c r="BH404" i="4"/>
  <c r="AP404" i="4"/>
  <c r="BB372" i="4"/>
  <c r="BH372" i="4"/>
  <c r="AV262" i="4"/>
  <c r="BB262" i="4"/>
  <c r="BH262" i="4"/>
  <c r="AV372" i="4"/>
  <c r="AP262" i="4"/>
  <c r="AP372" i="4"/>
  <c r="BH234" i="4"/>
  <c r="AV234" i="4"/>
  <c r="BB234" i="4"/>
  <c r="AP234" i="4"/>
  <c r="BB326" i="4"/>
  <c r="BH326" i="4"/>
  <c r="AV326" i="4"/>
  <c r="AP326" i="4"/>
  <c r="BB347" i="4"/>
  <c r="BH347" i="4"/>
  <c r="AV347" i="4"/>
  <c r="AP347" i="4"/>
  <c r="AV355" i="4"/>
  <c r="BB355" i="4"/>
  <c r="BH355" i="4"/>
  <c r="AP355" i="4"/>
  <c r="CG355" i="4" s="1"/>
  <c r="CG106" i="4"/>
  <c r="AR106" i="4"/>
  <c r="BL106" i="4" s="1"/>
  <c r="CG374" i="4"/>
  <c r="AR419" i="4"/>
  <c r="BL419" i="4" s="1"/>
  <c r="AR155" i="4"/>
  <c r="BL155" i="4" s="1"/>
  <c r="AR411" i="4"/>
  <c r="BL411" i="4" s="1"/>
  <c r="AR381" i="4"/>
  <c r="BL381" i="4" s="1"/>
  <c r="AR467" i="4"/>
  <c r="BL467" i="4" s="1"/>
  <c r="AA11" i="48"/>
  <c r="AV410" i="4"/>
  <c r="BB373" i="4"/>
  <c r="AV373" i="4"/>
  <c r="BH373" i="4"/>
  <c r="BH410" i="4"/>
  <c r="BB410" i="4"/>
  <c r="AP410" i="4"/>
  <c r="AP373" i="4"/>
  <c r="BD447" i="4"/>
  <c r="BN447" i="4" s="1"/>
  <c r="CI447" i="4"/>
  <c r="AV233" i="4"/>
  <c r="BH233" i="4"/>
  <c r="BB233" i="4"/>
  <c r="AP233" i="4"/>
  <c r="CG233" i="4" s="1"/>
  <c r="BJ447" i="4"/>
  <c r="BO447" i="4" s="1"/>
  <c r="CJ447" i="4"/>
  <c r="AV390" i="4"/>
  <c r="BH390" i="4"/>
  <c r="BH356" i="4"/>
  <c r="AV356" i="4"/>
  <c r="BB356" i="4"/>
  <c r="BB390" i="4"/>
  <c r="AP390" i="4"/>
  <c r="AP356" i="4"/>
  <c r="AX447" i="4"/>
  <c r="BM447" i="4" s="1"/>
  <c r="CH447" i="4"/>
  <c r="AS62" i="4"/>
  <c r="CG557" i="4"/>
  <c r="AR273" i="4"/>
  <c r="BL273" i="4" s="1"/>
  <c r="BD383" i="4"/>
  <c r="BN383" i="4" s="1"/>
  <c r="CI383" i="4"/>
  <c r="BJ383" i="4"/>
  <c r="BO383" i="4" s="1"/>
  <c r="CJ383" i="4"/>
  <c r="AX383" i="4"/>
  <c r="BM383" i="4" s="1"/>
  <c r="CH383" i="4"/>
  <c r="AX416" i="4"/>
  <c r="BM416" i="4" s="1"/>
  <c r="CH416" i="4"/>
  <c r="AX422" i="4"/>
  <c r="BM422" i="4" s="1"/>
  <c r="CH422" i="4"/>
  <c r="BD416" i="4"/>
  <c r="BN416" i="4" s="1"/>
  <c r="CI416" i="4"/>
  <c r="BD422" i="4"/>
  <c r="BN422" i="4" s="1"/>
  <c r="CI422" i="4"/>
  <c r="BJ416" i="4"/>
  <c r="BO416" i="4" s="1"/>
  <c r="CJ416" i="4"/>
  <c r="BJ422" i="4"/>
  <c r="BO422" i="4" s="1"/>
  <c r="CJ422" i="4"/>
  <c r="CG381" i="4"/>
  <c r="CG411" i="4"/>
  <c r="AR374" i="4"/>
  <c r="CG419" i="4"/>
  <c r="AX419" i="4"/>
  <c r="BM419" i="4" s="1"/>
  <c r="CH419" i="4"/>
  <c r="BD419" i="4"/>
  <c r="BN419" i="4" s="1"/>
  <c r="CI419" i="4"/>
  <c r="CI381" i="4"/>
  <c r="BD381" i="4"/>
  <c r="BN381" i="4" s="1"/>
  <c r="BJ419" i="4"/>
  <c r="BO419" i="4" s="1"/>
  <c r="CJ419" i="4"/>
  <c r="AX381" i="4"/>
  <c r="BM381" i="4" s="1"/>
  <c r="CH381" i="4"/>
  <c r="BJ381" i="4"/>
  <c r="BO381" i="4" s="1"/>
  <c r="CJ381" i="4"/>
  <c r="BJ374" i="4"/>
  <c r="CJ374" i="4"/>
  <c r="CI374" i="4"/>
  <c r="BD374" i="4"/>
  <c r="AX374" i="4"/>
  <c r="CH374" i="4"/>
  <c r="CJ411" i="4"/>
  <c r="BJ411" i="4"/>
  <c r="BO411" i="4" s="1"/>
  <c r="BD411" i="4"/>
  <c r="BN411" i="4" s="1"/>
  <c r="CI411" i="4"/>
  <c r="AX411" i="4"/>
  <c r="BM411" i="4" s="1"/>
  <c r="CH411" i="4"/>
  <c r="AR557" i="4"/>
  <c r="BL557" i="4" s="1"/>
  <c r="AX382" i="4"/>
  <c r="BM382" i="4" s="1"/>
  <c r="CH382" i="4"/>
  <c r="BD382" i="4"/>
  <c r="BN382" i="4" s="1"/>
  <c r="CI382" i="4"/>
  <c r="BJ382" i="4"/>
  <c r="BO382" i="4" s="1"/>
  <c r="CJ382" i="4"/>
  <c r="BJ468" i="4"/>
  <c r="BO468" i="4" s="1"/>
  <c r="CJ468" i="4"/>
  <c r="BD91" i="4"/>
  <c r="BN91" i="4" s="1"/>
  <c r="CI91" i="4"/>
  <c r="BD468" i="4"/>
  <c r="BN468" i="4" s="1"/>
  <c r="CI468" i="4"/>
  <c r="AX90" i="4"/>
  <c r="BM90" i="4" s="1"/>
  <c r="CH90" i="4"/>
  <c r="CJ89" i="4"/>
  <c r="BJ89" i="4"/>
  <c r="BO89" i="4" s="1"/>
  <c r="BJ90" i="4"/>
  <c r="BO90" i="4" s="1"/>
  <c r="CJ90" i="4"/>
  <c r="AX468" i="4"/>
  <c r="BM468" i="4" s="1"/>
  <c r="CH468" i="4"/>
  <c r="AX564" i="4"/>
  <c r="BM564" i="4" s="1"/>
  <c r="CH564" i="4"/>
  <c r="BD89" i="4"/>
  <c r="BN89" i="4" s="1"/>
  <c r="CI89" i="4"/>
  <c r="BD467" i="4"/>
  <c r="BN467" i="4" s="1"/>
  <c r="CI467" i="4"/>
  <c r="BJ88" i="4"/>
  <c r="BO88" i="4" s="1"/>
  <c r="CJ88" i="4"/>
  <c r="AX89" i="4"/>
  <c r="BM89" i="4" s="1"/>
  <c r="CH89" i="4"/>
  <c r="CG467" i="4"/>
  <c r="AX91" i="4"/>
  <c r="BM91" i="4" s="1"/>
  <c r="CH91" i="4"/>
  <c r="BJ564" i="4"/>
  <c r="BO564" i="4" s="1"/>
  <c r="CJ564" i="4"/>
  <c r="AX88" i="4"/>
  <c r="BM88" i="4" s="1"/>
  <c r="CH88" i="4"/>
  <c r="CJ467" i="4"/>
  <c r="BJ467" i="4"/>
  <c r="BO467" i="4" s="1"/>
  <c r="CI564" i="4"/>
  <c r="BD564" i="4"/>
  <c r="BN564" i="4" s="1"/>
  <c r="BJ91" i="4"/>
  <c r="BO91" i="4" s="1"/>
  <c r="CJ91" i="4"/>
  <c r="BD90" i="4"/>
  <c r="BN90" i="4" s="1"/>
  <c r="CI90" i="4"/>
  <c r="BD88" i="4"/>
  <c r="BN88" i="4" s="1"/>
  <c r="CI88" i="4"/>
  <c r="AX467" i="4"/>
  <c r="BM467" i="4" s="1"/>
  <c r="CH467" i="4"/>
  <c r="BB451" i="4"/>
  <c r="BB560" i="4"/>
  <c r="AV12" i="4"/>
  <c r="AX12" i="4" s="1"/>
  <c r="BM12" i="4" s="1"/>
  <c r="BH152" i="4"/>
  <c r="BH12" i="4"/>
  <c r="AV152" i="4"/>
  <c r="AX152" i="4" s="1"/>
  <c r="BM152" i="4" s="1"/>
  <c r="BH451" i="4"/>
  <c r="BH81" i="4"/>
  <c r="AP16" i="4"/>
  <c r="BB85" i="4"/>
  <c r="CI85" i="4" s="1"/>
  <c r="BB154" i="4"/>
  <c r="CI154" i="4" s="1"/>
  <c r="AV154" i="4"/>
  <c r="AX154" i="4" s="1"/>
  <c r="BM154" i="4" s="1"/>
  <c r="AP85" i="4"/>
  <c r="AV16" i="4"/>
  <c r="AX16" i="4" s="1"/>
  <c r="BM16" i="4" s="1"/>
  <c r="AV562" i="4"/>
  <c r="AX562" i="4" s="1"/>
  <c r="BM562" i="4" s="1"/>
  <c r="AV15" i="4"/>
  <c r="AX15" i="4" s="1"/>
  <c r="BM15" i="4" s="1"/>
  <c r="BH84" i="4"/>
  <c r="BJ84" i="4" s="1"/>
  <c r="BO84" i="4" s="1"/>
  <c r="AP84" i="4"/>
  <c r="AR84" i="4" s="1"/>
  <c r="BL84" i="4" s="1"/>
  <c r="BH15" i="4"/>
  <c r="CJ15" i="4" s="1"/>
  <c r="W18" i="31"/>
  <c r="AP562" i="4"/>
  <c r="BB15" i="4"/>
  <c r="CI15" i="4" s="1"/>
  <c r="AP15" i="4"/>
  <c r="BB84" i="4"/>
  <c r="BD84" i="4" s="1"/>
  <c r="BN84" i="4" s="1"/>
  <c r="BH562" i="4"/>
  <c r="BJ562" i="4" s="1"/>
  <c r="BO562" i="4" s="1"/>
  <c r="AV84" i="4"/>
  <c r="AX84" i="4" s="1"/>
  <c r="BM84" i="4" s="1"/>
  <c r="CK62" i="4"/>
  <c r="BE62" i="4"/>
  <c r="BK62" i="4"/>
  <c r="AY62" i="4"/>
  <c r="AX581" i="4"/>
  <c r="BM581" i="4" s="1"/>
  <c r="CH581" i="4"/>
  <c r="AX117" i="4"/>
  <c r="BM117" i="4" s="1"/>
  <c r="CH117" i="4"/>
  <c r="BD171" i="4"/>
  <c r="BN171" i="4" s="1"/>
  <c r="CI171" i="4"/>
  <c r="BJ609" i="4"/>
  <c r="BO609" i="4" s="1"/>
  <c r="CJ609" i="4"/>
  <c r="AX171" i="4"/>
  <c r="BM171" i="4" s="1"/>
  <c r="CH171" i="4"/>
  <c r="BD117" i="4"/>
  <c r="BN117" i="4" s="1"/>
  <c r="CI117" i="4"/>
  <c r="BJ117" i="4"/>
  <c r="BO117" i="4" s="1"/>
  <c r="CJ117" i="4"/>
  <c r="CI581" i="4"/>
  <c r="BD581" i="4"/>
  <c r="BN581" i="4" s="1"/>
  <c r="BJ581" i="4"/>
  <c r="BO581" i="4" s="1"/>
  <c r="CJ581" i="4"/>
  <c r="BJ171" i="4"/>
  <c r="BO171" i="4" s="1"/>
  <c r="CJ171" i="4"/>
  <c r="BD609" i="4"/>
  <c r="BN609" i="4" s="1"/>
  <c r="CI609" i="4"/>
  <c r="AX609" i="4"/>
  <c r="BM609" i="4" s="1"/>
  <c r="CH609" i="4"/>
  <c r="AX170" i="4"/>
  <c r="BM170" i="4" s="1"/>
  <c r="CH170" i="4"/>
  <c r="BD608" i="4"/>
  <c r="BN608" i="4" s="1"/>
  <c r="CI608" i="4"/>
  <c r="BJ116" i="4"/>
  <c r="BO116" i="4" s="1"/>
  <c r="CJ116" i="4"/>
  <c r="BD580" i="4"/>
  <c r="BN580" i="4" s="1"/>
  <c r="CI580" i="4"/>
  <c r="AX608" i="4"/>
  <c r="BM608" i="4" s="1"/>
  <c r="CH608" i="4"/>
  <c r="AX580" i="4"/>
  <c r="BM580" i="4" s="1"/>
  <c r="CH580" i="4"/>
  <c r="CI116" i="4"/>
  <c r="BD116" i="4"/>
  <c r="BN116" i="4" s="1"/>
  <c r="BJ170" i="4"/>
  <c r="BO170" i="4" s="1"/>
  <c r="CJ170" i="4"/>
  <c r="AX116" i="4"/>
  <c r="BM116" i="4" s="1"/>
  <c r="CH116" i="4"/>
  <c r="BJ608" i="4"/>
  <c r="BO608" i="4" s="1"/>
  <c r="CJ608" i="4"/>
  <c r="BD170" i="4"/>
  <c r="BN170" i="4" s="1"/>
  <c r="CI170" i="4"/>
  <c r="BJ580" i="4"/>
  <c r="BO580" i="4" s="1"/>
  <c r="CJ580" i="4"/>
  <c r="BJ579" i="4"/>
  <c r="BO579" i="4" s="1"/>
  <c r="CJ579" i="4"/>
  <c r="BD578" i="4"/>
  <c r="BN578" i="4" s="1"/>
  <c r="CI578" i="4"/>
  <c r="AX607" i="4"/>
  <c r="BM607" i="4" s="1"/>
  <c r="CH607" i="4"/>
  <c r="AX578" i="4"/>
  <c r="BM578" i="4" s="1"/>
  <c r="CH578" i="4"/>
  <c r="BD579" i="4"/>
  <c r="BN579" i="4" s="1"/>
  <c r="CI579" i="4"/>
  <c r="BJ114" i="4"/>
  <c r="BO114" i="4" s="1"/>
  <c r="CJ114" i="4"/>
  <c r="AX579" i="4"/>
  <c r="BM579" i="4" s="1"/>
  <c r="CH579" i="4"/>
  <c r="BJ168" i="4"/>
  <c r="BO168" i="4" s="1"/>
  <c r="CJ168" i="4"/>
  <c r="AX115" i="4"/>
  <c r="BM115" i="4" s="1"/>
  <c r="CH115" i="4"/>
  <c r="BJ115" i="4"/>
  <c r="BO115" i="4" s="1"/>
  <c r="CJ115" i="4"/>
  <c r="BJ606" i="4"/>
  <c r="BO606" i="4" s="1"/>
  <c r="CJ606" i="4"/>
  <c r="BD114" i="4"/>
  <c r="BN114" i="4" s="1"/>
  <c r="CI114" i="4"/>
  <c r="AX169" i="4"/>
  <c r="BM169" i="4" s="1"/>
  <c r="CH169" i="4"/>
  <c r="BJ169" i="4"/>
  <c r="BO169" i="4" s="1"/>
  <c r="CJ169" i="4"/>
  <c r="BD606" i="4"/>
  <c r="BN606" i="4" s="1"/>
  <c r="CI606" i="4"/>
  <c r="BD168" i="4"/>
  <c r="BN168" i="4" s="1"/>
  <c r="CI168" i="4"/>
  <c r="BJ607" i="4"/>
  <c r="BO607" i="4" s="1"/>
  <c r="CJ607" i="4"/>
  <c r="BD115" i="4"/>
  <c r="BN115" i="4" s="1"/>
  <c r="CI115" i="4"/>
  <c r="CJ578" i="4"/>
  <c r="BJ578" i="4"/>
  <c r="BO578" i="4" s="1"/>
  <c r="AX114" i="4"/>
  <c r="BM114" i="4" s="1"/>
  <c r="CH114" i="4"/>
  <c r="BD607" i="4"/>
  <c r="BN607" i="4" s="1"/>
  <c r="CI607" i="4"/>
  <c r="CI169" i="4"/>
  <c r="BD169" i="4"/>
  <c r="BN169" i="4" s="1"/>
  <c r="AX606" i="4"/>
  <c r="BM606" i="4" s="1"/>
  <c r="CH606" i="4"/>
  <c r="AX168" i="4"/>
  <c r="BM168" i="4" s="1"/>
  <c r="CH168" i="4"/>
  <c r="AX514" i="4"/>
  <c r="BM514" i="4" s="1"/>
  <c r="CH514" i="4"/>
  <c r="AX457" i="4"/>
  <c r="BM457" i="4" s="1"/>
  <c r="CH457" i="4"/>
  <c r="BJ367" i="4"/>
  <c r="BO367" i="4" s="1"/>
  <c r="CJ367" i="4"/>
  <c r="AX553" i="4"/>
  <c r="BM553" i="4" s="1"/>
  <c r="CH553" i="4"/>
  <c r="AX67" i="4"/>
  <c r="BM67" i="4" s="1"/>
  <c r="CH67" i="4"/>
  <c r="BJ67" i="4"/>
  <c r="BO67" i="4" s="1"/>
  <c r="CJ67" i="4"/>
  <c r="BD367" i="4"/>
  <c r="BN367" i="4" s="1"/>
  <c r="CI367" i="4"/>
  <c r="BD67" i="4"/>
  <c r="BN67" i="4" s="1"/>
  <c r="CI67" i="4"/>
  <c r="BJ134" i="4"/>
  <c r="BO134" i="4" s="1"/>
  <c r="CJ134" i="4"/>
  <c r="AX403" i="4"/>
  <c r="BM403" i="4" s="1"/>
  <c r="CH403" i="4"/>
  <c r="BJ68" i="4"/>
  <c r="BO68" i="4" s="1"/>
  <c r="CJ68" i="4"/>
  <c r="AX303" i="4"/>
  <c r="BM303" i="4" s="1"/>
  <c r="CH303" i="4"/>
  <c r="AX423" i="4"/>
  <c r="BM423" i="4" s="1"/>
  <c r="CH423" i="4"/>
  <c r="BJ384" i="4"/>
  <c r="BO384" i="4" s="1"/>
  <c r="CJ384" i="4"/>
  <c r="AX134" i="4"/>
  <c r="BM134" i="4" s="1"/>
  <c r="CH134" i="4"/>
  <c r="BJ303" i="4"/>
  <c r="BO303" i="4" s="1"/>
  <c r="CJ303" i="4"/>
  <c r="BJ133" i="4"/>
  <c r="BO133" i="4" s="1"/>
  <c r="CJ133" i="4"/>
  <c r="BD303" i="4"/>
  <c r="BN303" i="4" s="1"/>
  <c r="CI303" i="4"/>
  <c r="BD134" i="4"/>
  <c r="BN134" i="4" s="1"/>
  <c r="CI134" i="4"/>
  <c r="BJ553" i="4"/>
  <c r="BO553" i="4" s="1"/>
  <c r="CJ553" i="4"/>
  <c r="AX384" i="4"/>
  <c r="BM384" i="4" s="1"/>
  <c r="CH384" i="4"/>
  <c r="BD384" i="4"/>
  <c r="BN384" i="4" s="1"/>
  <c r="CI384" i="4"/>
  <c r="BJ514" i="4"/>
  <c r="BO514" i="4" s="1"/>
  <c r="CJ514" i="4"/>
  <c r="CJ403" i="4"/>
  <c r="BJ403" i="4"/>
  <c r="BO403" i="4" s="1"/>
  <c r="CI514" i="4"/>
  <c r="BD514" i="4"/>
  <c r="BN514" i="4" s="1"/>
  <c r="BD553" i="4"/>
  <c r="BN553" i="4" s="1"/>
  <c r="CI553" i="4"/>
  <c r="AX596" i="4"/>
  <c r="BM596" i="4" s="1"/>
  <c r="CH596" i="4"/>
  <c r="BD133" i="4"/>
  <c r="BN133" i="4" s="1"/>
  <c r="CI133" i="4"/>
  <c r="CI457" i="4"/>
  <c r="BD457" i="4"/>
  <c r="BN457" i="4" s="1"/>
  <c r="CJ423" i="4"/>
  <c r="BJ423" i="4"/>
  <c r="BO423" i="4" s="1"/>
  <c r="AX367" i="4"/>
  <c r="BM367" i="4" s="1"/>
  <c r="CH367" i="4"/>
  <c r="AX68" i="4"/>
  <c r="BM68" i="4" s="1"/>
  <c r="CH68" i="4"/>
  <c r="BD68" i="4"/>
  <c r="BN68" i="4" s="1"/>
  <c r="CI68" i="4"/>
  <c r="BD403" i="4"/>
  <c r="BN403" i="4" s="1"/>
  <c r="CI403" i="4"/>
  <c r="AX133" i="4"/>
  <c r="BM133" i="4" s="1"/>
  <c r="CH133" i="4"/>
  <c r="BJ457" i="4"/>
  <c r="BO457" i="4" s="1"/>
  <c r="CJ457" i="4"/>
  <c r="BD423" i="4"/>
  <c r="BN423" i="4" s="1"/>
  <c r="CI423" i="4"/>
  <c r="BD596" i="4"/>
  <c r="BN596" i="4" s="1"/>
  <c r="CI596" i="4"/>
  <c r="BJ596" i="4"/>
  <c r="BO596" i="4" s="1"/>
  <c r="CJ596" i="4"/>
  <c r="R9" i="12"/>
  <c r="BH577" i="4"/>
  <c r="BB577" i="4"/>
  <c r="AV577" i="4"/>
  <c r="BH167" i="4"/>
  <c r="BH107" i="4"/>
  <c r="BB167" i="4"/>
  <c r="BB107" i="4"/>
  <c r="AV167" i="4"/>
  <c r="AV107" i="4"/>
  <c r="BH113" i="4"/>
  <c r="BB113" i="4"/>
  <c r="AV113" i="4"/>
  <c r="AP167" i="4"/>
  <c r="AP577" i="4"/>
  <c r="AP113" i="4"/>
  <c r="AP107" i="4"/>
  <c r="BJ112" i="4"/>
  <c r="BO112" i="4" s="1"/>
  <c r="CJ112" i="4"/>
  <c r="BD575" i="4"/>
  <c r="BN575" i="4" s="1"/>
  <c r="CI575" i="4"/>
  <c r="CJ604" i="4"/>
  <c r="BJ604" i="4"/>
  <c r="BO604" i="4" s="1"/>
  <c r="BJ575" i="4"/>
  <c r="BO575" i="4" s="1"/>
  <c r="CJ575" i="4"/>
  <c r="BD166" i="4"/>
  <c r="BN166" i="4" s="1"/>
  <c r="CI166" i="4"/>
  <c r="AX111" i="4"/>
  <c r="BM111" i="4" s="1"/>
  <c r="CH111" i="4"/>
  <c r="BJ166" i="4"/>
  <c r="BO166" i="4" s="1"/>
  <c r="CJ166" i="4"/>
  <c r="AX603" i="4"/>
  <c r="BM603" i="4" s="1"/>
  <c r="CH603" i="4"/>
  <c r="AX112" i="4"/>
  <c r="BM112" i="4" s="1"/>
  <c r="CH112" i="4"/>
  <c r="AX576" i="4"/>
  <c r="BM576" i="4" s="1"/>
  <c r="CH576" i="4"/>
  <c r="AX575" i="4"/>
  <c r="BM575" i="4" s="1"/>
  <c r="CH575" i="4"/>
  <c r="BD111" i="4"/>
  <c r="BN111" i="4" s="1"/>
  <c r="CI111" i="4"/>
  <c r="AX604" i="4"/>
  <c r="BM604" i="4" s="1"/>
  <c r="CH604" i="4"/>
  <c r="CI576" i="4"/>
  <c r="BD576" i="4"/>
  <c r="BN576" i="4" s="1"/>
  <c r="AX165" i="4"/>
  <c r="BM165" i="4" s="1"/>
  <c r="CH165" i="4"/>
  <c r="BD603" i="4"/>
  <c r="BN603" i="4" s="1"/>
  <c r="CI603" i="4"/>
  <c r="BD112" i="4"/>
  <c r="BN112" i="4" s="1"/>
  <c r="CI112" i="4"/>
  <c r="CJ576" i="4"/>
  <c r="BJ576" i="4"/>
  <c r="BO576" i="4" s="1"/>
  <c r="BD165" i="4"/>
  <c r="BN165" i="4" s="1"/>
  <c r="CI165" i="4"/>
  <c r="BJ111" i="4"/>
  <c r="BO111" i="4" s="1"/>
  <c r="CJ111" i="4"/>
  <c r="BD604" i="4"/>
  <c r="BN604" i="4" s="1"/>
  <c r="CI604" i="4"/>
  <c r="AX166" i="4"/>
  <c r="BM166" i="4" s="1"/>
  <c r="CH166" i="4"/>
  <c r="BJ165" i="4"/>
  <c r="BO165" i="4" s="1"/>
  <c r="CJ165" i="4"/>
  <c r="BJ603" i="4"/>
  <c r="BO603" i="4" s="1"/>
  <c r="CJ603" i="4"/>
  <c r="BK33" i="4"/>
  <c r="BE33" i="4"/>
  <c r="AY33" i="4"/>
  <c r="CK63" i="4"/>
  <c r="CK148" i="4"/>
  <c r="CK595" i="4"/>
  <c r="CK552" i="4"/>
  <c r="BE63" i="4"/>
  <c r="BK148" i="4"/>
  <c r="AY595" i="4"/>
  <c r="BK552" i="4"/>
  <c r="AY63" i="4"/>
  <c r="BE148" i="4"/>
  <c r="BK63" i="4"/>
  <c r="AY552" i="4"/>
  <c r="BE595" i="4"/>
  <c r="BK595" i="4"/>
  <c r="AY148" i="4"/>
  <c r="BE552" i="4"/>
  <c r="BJ557" i="4"/>
  <c r="BO557" i="4" s="1"/>
  <c r="CJ557" i="4"/>
  <c r="AX149" i="4"/>
  <c r="BM149" i="4" s="1"/>
  <c r="CH149" i="4"/>
  <c r="BD78" i="4"/>
  <c r="BN78" i="4" s="1"/>
  <c r="CI78" i="4"/>
  <c r="AX78" i="4"/>
  <c r="BM78" i="4" s="1"/>
  <c r="CH78" i="4"/>
  <c r="BD557" i="4"/>
  <c r="BN557" i="4" s="1"/>
  <c r="CI557" i="4"/>
  <c r="AX557" i="4"/>
  <c r="BM557" i="4" s="1"/>
  <c r="CH557" i="4"/>
  <c r="BJ78" i="4"/>
  <c r="BO78" i="4" s="1"/>
  <c r="CJ78" i="4"/>
  <c r="BJ149" i="4"/>
  <c r="BO149" i="4" s="1"/>
  <c r="CJ149" i="4"/>
  <c r="BD149" i="4"/>
  <c r="BN149" i="4" s="1"/>
  <c r="CI149" i="4"/>
  <c r="BH142" i="4"/>
  <c r="BB142" i="4"/>
  <c r="BH543" i="4"/>
  <c r="BH509" i="4"/>
  <c r="BH51" i="4"/>
  <c r="BB543" i="4"/>
  <c r="BB509" i="4"/>
  <c r="BB51" i="4"/>
  <c r="AV543" i="4"/>
  <c r="AX543" i="4" s="1"/>
  <c r="BM543" i="4" s="1"/>
  <c r="AV509" i="4"/>
  <c r="AX509" i="4" s="1"/>
  <c r="BM509" i="4" s="1"/>
  <c r="AV51" i="4"/>
  <c r="AX51" i="4" s="1"/>
  <c r="BM51" i="4" s="1"/>
  <c r="AV142" i="4"/>
  <c r="AX142" i="4" s="1"/>
  <c r="BM142" i="4" s="1"/>
  <c r="BH511" i="4"/>
  <c r="BH145" i="4"/>
  <c r="BB511" i="4"/>
  <c r="BB145" i="4"/>
  <c r="AV511" i="4"/>
  <c r="AX511" i="4" s="1"/>
  <c r="BM511" i="4" s="1"/>
  <c r="AV145" i="4"/>
  <c r="AX145" i="4" s="1"/>
  <c r="BM145" i="4" s="1"/>
  <c r="BH591" i="4"/>
  <c r="BH547" i="4"/>
  <c r="BH55" i="4"/>
  <c r="BB591" i="4"/>
  <c r="BB547" i="4"/>
  <c r="BB55" i="4"/>
  <c r="AV591" i="4"/>
  <c r="AX591" i="4" s="1"/>
  <c r="BM591" i="4" s="1"/>
  <c r="AV547" i="4"/>
  <c r="AX547" i="4" s="1"/>
  <c r="BM547" i="4" s="1"/>
  <c r="AV55" i="4"/>
  <c r="AX55" i="4" s="1"/>
  <c r="BM55" i="4" s="1"/>
  <c r="CG273" i="4"/>
  <c r="BH540" i="4"/>
  <c r="BH506" i="4"/>
  <c r="BH48" i="4"/>
  <c r="BB540" i="4"/>
  <c r="BB506" i="4"/>
  <c r="BB48" i="4"/>
  <c r="AV540" i="4"/>
  <c r="AX540" i="4" s="1"/>
  <c r="BM540" i="4" s="1"/>
  <c r="AV506" i="4"/>
  <c r="AX506" i="4" s="1"/>
  <c r="BM506" i="4" s="1"/>
  <c r="AV48" i="4"/>
  <c r="AX48" i="4" s="1"/>
  <c r="BM48" i="4" s="1"/>
  <c r="BH139" i="4"/>
  <c r="BB139" i="4"/>
  <c r="AV139" i="4"/>
  <c r="AX139" i="4" s="1"/>
  <c r="BM139" i="4" s="1"/>
  <c r="BH141" i="4"/>
  <c r="BB141" i="4"/>
  <c r="AV141" i="4"/>
  <c r="AX141" i="4" s="1"/>
  <c r="BM141" i="4" s="1"/>
  <c r="BH542" i="4"/>
  <c r="BH50" i="4"/>
  <c r="BB542" i="4"/>
  <c r="BB50" i="4"/>
  <c r="AV508" i="4"/>
  <c r="AX508" i="4" s="1"/>
  <c r="BM508" i="4" s="1"/>
  <c r="AV50" i="4"/>
  <c r="AX50" i="4" s="1"/>
  <c r="BM50" i="4" s="1"/>
  <c r="BH587" i="4"/>
  <c r="BB587" i="4"/>
  <c r="AV587" i="4"/>
  <c r="AX587" i="4" s="1"/>
  <c r="BM587" i="4" s="1"/>
  <c r="BH508" i="4"/>
  <c r="BB508" i="4"/>
  <c r="AV542" i="4"/>
  <c r="AX542" i="4" s="1"/>
  <c r="BM542" i="4" s="1"/>
  <c r="BH455" i="4"/>
  <c r="BB455" i="4"/>
  <c r="AV455" i="4"/>
  <c r="AX455" i="4" s="1"/>
  <c r="BM455" i="4" s="1"/>
  <c r="BH546" i="4"/>
  <c r="BB590" i="4"/>
  <c r="BB546" i="4"/>
  <c r="AV590" i="4"/>
  <c r="AX590" i="4" s="1"/>
  <c r="BM590" i="4" s="1"/>
  <c r="AV546" i="4"/>
  <c r="AX546" i="4" s="1"/>
  <c r="BM546" i="4" s="1"/>
  <c r="AV54" i="4"/>
  <c r="AX54" i="4" s="1"/>
  <c r="BM54" i="4" s="1"/>
  <c r="BH510" i="4"/>
  <c r="BB510" i="4"/>
  <c r="AV510" i="4"/>
  <c r="AX510" i="4" s="1"/>
  <c r="BM510" i="4" s="1"/>
  <c r="BH590" i="4"/>
  <c r="BH54" i="4"/>
  <c r="BB54" i="4"/>
  <c r="BH541" i="4"/>
  <c r="BH507" i="4"/>
  <c r="BH49" i="4"/>
  <c r="BB541" i="4"/>
  <c r="BB507" i="4"/>
  <c r="BB49" i="4"/>
  <c r="AV541" i="4"/>
  <c r="AX541" i="4" s="1"/>
  <c r="BM541" i="4" s="1"/>
  <c r="AV507" i="4"/>
  <c r="AX507" i="4" s="1"/>
  <c r="BM507" i="4" s="1"/>
  <c r="AV49" i="4"/>
  <c r="AX49" i="4" s="1"/>
  <c r="BM49" i="4" s="1"/>
  <c r="BH140" i="4"/>
  <c r="BB140" i="4"/>
  <c r="AV140" i="4"/>
  <c r="AX140" i="4" s="1"/>
  <c r="BM140" i="4" s="1"/>
  <c r="BH589" i="4"/>
  <c r="BH545" i="4"/>
  <c r="BH53" i="4"/>
  <c r="BB589" i="4"/>
  <c r="BB545" i="4"/>
  <c r="BB53" i="4"/>
  <c r="AV589" i="4"/>
  <c r="AX589" i="4" s="1"/>
  <c r="BM589" i="4" s="1"/>
  <c r="AV545" i="4"/>
  <c r="AX545" i="4" s="1"/>
  <c r="BM545" i="4" s="1"/>
  <c r="AV53" i="4"/>
  <c r="AX53" i="4" s="1"/>
  <c r="BM53" i="4" s="1"/>
  <c r="BH144" i="4"/>
  <c r="BB144" i="4"/>
  <c r="AV144" i="4"/>
  <c r="AX144" i="4" s="1"/>
  <c r="BM144" i="4" s="1"/>
  <c r="BH549" i="4"/>
  <c r="BH57" i="4"/>
  <c r="BB549" i="4"/>
  <c r="BB57" i="4"/>
  <c r="AV549" i="4"/>
  <c r="AX549" i="4" s="1"/>
  <c r="BM549" i="4" s="1"/>
  <c r="AV57" i="4"/>
  <c r="AX57" i="4" s="1"/>
  <c r="BM57" i="4" s="1"/>
  <c r="BH146" i="4"/>
  <c r="BB146" i="4"/>
  <c r="AV146" i="4"/>
  <c r="AX146" i="4" s="1"/>
  <c r="BM146" i="4" s="1"/>
  <c r="BH588" i="4"/>
  <c r="BH544" i="4"/>
  <c r="BH52" i="4"/>
  <c r="BB588" i="4"/>
  <c r="BB544" i="4"/>
  <c r="BB52" i="4"/>
  <c r="AV588" i="4"/>
  <c r="AX588" i="4" s="1"/>
  <c r="BM588" i="4" s="1"/>
  <c r="AV544" i="4"/>
  <c r="AX544" i="4" s="1"/>
  <c r="BM544" i="4" s="1"/>
  <c r="AV52" i="4"/>
  <c r="AX52" i="4" s="1"/>
  <c r="BM52" i="4" s="1"/>
  <c r="BH143" i="4"/>
  <c r="BB143" i="4"/>
  <c r="AV143" i="4"/>
  <c r="AX143" i="4" s="1"/>
  <c r="BM143" i="4" s="1"/>
  <c r="BH592" i="4"/>
  <c r="BH548" i="4"/>
  <c r="BH56" i="4"/>
  <c r="BB592" i="4"/>
  <c r="BB548" i="4"/>
  <c r="BB56" i="4"/>
  <c r="AV592" i="4"/>
  <c r="AX592" i="4" s="1"/>
  <c r="BM592" i="4" s="1"/>
  <c r="AV548" i="4"/>
  <c r="AX548" i="4" s="1"/>
  <c r="BM548" i="4" s="1"/>
  <c r="AV56" i="4"/>
  <c r="AX56" i="4" s="1"/>
  <c r="BM56" i="4" s="1"/>
  <c r="BB593" i="4"/>
  <c r="BH593" i="4"/>
  <c r="AV550" i="4"/>
  <c r="AX550" i="4" s="1"/>
  <c r="BM550" i="4" s="1"/>
  <c r="AV58" i="4"/>
  <c r="AX58" i="4" s="1"/>
  <c r="BM58" i="4" s="1"/>
  <c r="BB550" i="4"/>
  <c r="BB58" i="4"/>
  <c r="BH550" i="4"/>
  <c r="BH58" i="4"/>
  <c r="AV593" i="4"/>
  <c r="AX593" i="4" s="1"/>
  <c r="BM593" i="4" s="1"/>
  <c r="BH594" i="4"/>
  <c r="BB147" i="4"/>
  <c r="AV59" i="4"/>
  <c r="AX59" i="4" s="1"/>
  <c r="BM59" i="4" s="1"/>
  <c r="BH147" i="4"/>
  <c r="BB59" i="4"/>
  <c r="BH59" i="4"/>
  <c r="AV594" i="4"/>
  <c r="AX594" i="4" s="1"/>
  <c r="BM594" i="4" s="1"/>
  <c r="BB594" i="4"/>
  <c r="AV147" i="4"/>
  <c r="AX147" i="4" s="1"/>
  <c r="BM147" i="4" s="1"/>
  <c r="AV98" i="4"/>
  <c r="AX98" i="4" s="1"/>
  <c r="BM98" i="4" s="1"/>
  <c r="BB98" i="4"/>
  <c r="BH98" i="4"/>
  <c r="BH156" i="4"/>
  <c r="BH96" i="4"/>
  <c r="AV156" i="4"/>
  <c r="AX156" i="4" s="1"/>
  <c r="BM156" i="4" s="1"/>
  <c r="AV96" i="4"/>
  <c r="AX96" i="4" s="1"/>
  <c r="BM96" i="4" s="1"/>
  <c r="BB156" i="4"/>
  <c r="BB96" i="4"/>
  <c r="BH586" i="4"/>
  <c r="BH505" i="4"/>
  <c r="AV538" i="4"/>
  <c r="AV452" i="4"/>
  <c r="AX452" i="4" s="1"/>
  <c r="BM452" i="4" s="1"/>
  <c r="AV137" i="4"/>
  <c r="AX137" i="4" s="1"/>
  <c r="BM137" i="4" s="1"/>
  <c r="AV46" i="4"/>
  <c r="BB538" i="4"/>
  <c r="BB452" i="4"/>
  <c r="BB137" i="4"/>
  <c r="BB46" i="4"/>
  <c r="AV586" i="4"/>
  <c r="AV505" i="4"/>
  <c r="AX505" i="4" s="1"/>
  <c r="BM505" i="4" s="1"/>
  <c r="BH538" i="4"/>
  <c r="BH452" i="4"/>
  <c r="BH137" i="4"/>
  <c r="BH46" i="4"/>
  <c r="BB586" i="4"/>
  <c r="BB505" i="4"/>
  <c r="BH561" i="4"/>
  <c r="BH443" i="4"/>
  <c r="BB466" i="4"/>
  <c r="BB450" i="4"/>
  <c r="BB83" i="4"/>
  <c r="AV14" i="4"/>
  <c r="AX14" i="4" s="1"/>
  <c r="BM14" i="4" s="1"/>
  <c r="BH466" i="4"/>
  <c r="BH450" i="4"/>
  <c r="BH83" i="4"/>
  <c r="BB14" i="4"/>
  <c r="AV599" i="4"/>
  <c r="AX599" i="4" s="1"/>
  <c r="BM599" i="4" s="1"/>
  <c r="AV498" i="4"/>
  <c r="AX498" i="4" s="1"/>
  <c r="BM498" i="4" s="1"/>
  <c r="BH14" i="4"/>
  <c r="BB599" i="4"/>
  <c r="BB498" i="4"/>
  <c r="AV561" i="4"/>
  <c r="AX561" i="4" s="1"/>
  <c r="BM561" i="4" s="1"/>
  <c r="AV443" i="4"/>
  <c r="AX443" i="4" s="1"/>
  <c r="BM443" i="4" s="1"/>
  <c r="BH599" i="4"/>
  <c r="BH498" i="4"/>
  <c r="BB561" i="4"/>
  <c r="BB443" i="4"/>
  <c r="AV466" i="4"/>
  <c r="AX466" i="4" s="1"/>
  <c r="BM466" i="4" s="1"/>
  <c r="AV450" i="4"/>
  <c r="AX450" i="4" s="1"/>
  <c r="BM450" i="4" s="1"/>
  <c r="AV83" i="4"/>
  <c r="AX83" i="4" s="1"/>
  <c r="BM83" i="4" s="1"/>
  <c r="BH92" i="4"/>
  <c r="AV92" i="4"/>
  <c r="AX92" i="4" s="1"/>
  <c r="BM92" i="4" s="1"/>
  <c r="BB92" i="4"/>
  <c r="AV97" i="4"/>
  <c r="AX97" i="4" s="1"/>
  <c r="BM97" i="4" s="1"/>
  <c r="BB97" i="4"/>
  <c r="BH97" i="4"/>
  <c r="AV465" i="4"/>
  <c r="AX465" i="4" s="1"/>
  <c r="BM465" i="4" s="1"/>
  <c r="AV82" i="4"/>
  <c r="AX82" i="4" s="1"/>
  <c r="BM82" i="4" s="1"/>
  <c r="BB465" i="4"/>
  <c r="BB82" i="4"/>
  <c r="AV153" i="4"/>
  <c r="AX153" i="4" s="1"/>
  <c r="BM153" i="4" s="1"/>
  <c r="AV13" i="4"/>
  <c r="AX13" i="4" s="1"/>
  <c r="BM13" i="4" s="1"/>
  <c r="BH465" i="4"/>
  <c r="BH82" i="4"/>
  <c r="BB153" i="4"/>
  <c r="BB13" i="4"/>
  <c r="BH153" i="4"/>
  <c r="BH13" i="4"/>
  <c r="BH598" i="4"/>
  <c r="BH80" i="4"/>
  <c r="BB151" i="4"/>
  <c r="BB11" i="4"/>
  <c r="AV559" i="4"/>
  <c r="AX559" i="4" s="1"/>
  <c r="BM559" i="4" s="1"/>
  <c r="BH151" i="4"/>
  <c r="BH11" i="4"/>
  <c r="BB559" i="4"/>
  <c r="AV464" i="4"/>
  <c r="AX464" i="4" s="1"/>
  <c r="BM464" i="4" s="1"/>
  <c r="BH559" i="4"/>
  <c r="BB464" i="4"/>
  <c r="AV598" i="4"/>
  <c r="AX598" i="4" s="1"/>
  <c r="BM598" i="4" s="1"/>
  <c r="AV80" i="4"/>
  <c r="AX80" i="4" s="1"/>
  <c r="BM80" i="4" s="1"/>
  <c r="BH464" i="4"/>
  <c r="BB598" i="4"/>
  <c r="BB80" i="4"/>
  <c r="AV151" i="4"/>
  <c r="AX151" i="4" s="1"/>
  <c r="BM151" i="4" s="1"/>
  <c r="AV11" i="4"/>
  <c r="AX11" i="4" s="1"/>
  <c r="BM11" i="4" s="1"/>
  <c r="BB95" i="4"/>
  <c r="BH95" i="4"/>
  <c r="AV95" i="4"/>
  <c r="AX95" i="4" s="1"/>
  <c r="BM95" i="4" s="1"/>
  <c r="BH463" i="4"/>
  <c r="BB597" i="4"/>
  <c r="BB79" i="4"/>
  <c r="AV150" i="4"/>
  <c r="AX150" i="4" s="1"/>
  <c r="BM150" i="4" s="1"/>
  <c r="AV10" i="4"/>
  <c r="AX10" i="4" s="1"/>
  <c r="BM10" i="4" s="1"/>
  <c r="BH597" i="4"/>
  <c r="BH79" i="4"/>
  <c r="BB150" i="4"/>
  <c r="BB10" i="4"/>
  <c r="AV558" i="4"/>
  <c r="AX558" i="4" s="1"/>
  <c r="BM558" i="4" s="1"/>
  <c r="BH150" i="4"/>
  <c r="BH10" i="4"/>
  <c r="BB558" i="4"/>
  <c r="AV463" i="4"/>
  <c r="AX463" i="4" s="1"/>
  <c r="BM463" i="4" s="1"/>
  <c r="BH558" i="4"/>
  <c r="BB463" i="4"/>
  <c r="AV597" i="4"/>
  <c r="AX597" i="4" s="1"/>
  <c r="BM597" i="4" s="1"/>
  <c r="AV79" i="4"/>
  <c r="AX79" i="4" s="1"/>
  <c r="BM79" i="4" s="1"/>
  <c r="AY292" i="4"/>
  <c r="AY392" i="4"/>
  <c r="AY412" i="4"/>
  <c r="BE412" i="4"/>
  <c r="BE292" i="4"/>
  <c r="BE392" i="4"/>
  <c r="AS63" i="4"/>
  <c r="AS383" i="4"/>
  <c r="AS555" i="4"/>
  <c r="BK412" i="4"/>
  <c r="BK392" i="4"/>
  <c r="AS73" i="4"/>
  <c r="AS595" i="4"/>
  <c r="AS148" i="4"/>
  <c r="AS552" i="4"/>
  <c r="AS564" i="4"/>
  <c r="AS340" i="4"/>
  <c r="AS77" i="4"/>
  <c r="AS515" i="4"/>
  <c r="AS40" i="4"/>
  <c r="BK292" i="4"/>
  <c r="CG275" i="4"/>
  <c r="BK217" i="4"/>
  <c r="AY217" i="4"/>
  <c r="BE217" i="4"/>
  <c r="CH31" i="4"/>
  <c r="AY31" i="4"/>
  <c r="BD31" i="4"/>
  <c r="BN31" i="4" s="1"/>
  <c r="CI31" i="4"/>
  <c r="BJ31" i="4"/>
  <c r="BO31" i="4" s="1"/>
  <c r="CJ31" i="4"/>
  <c r="AP159" i="4"/>
  <c r="AX159" i="4"/>
  <c r="BM159" i="4" s="1"/>
  <c r="AX101" i="4"/>
  <c r="BM101" i="4" s="1"/>
  <c r="AX20" i="4"/>
  <c r="BM20" i="4" s="1"/>
  <c r="AP101" i="4"/>
  <c r="AX180" i="4"/>
  <c r="BM180" i="4" s="1"/>
  <c r="AX126" i="4"/>
  <c r="BM126" i="4" s="1"/>
  <c r="AP180" i="4"/>
  <c r="AX185" i="4"/>
  <c r="BM185" i="4" s="1"/>
  <c r="AX131" i="4"/>
  <c r="BM131" i="4" s="1"/>
  <c r="AP185" i="4"/>
  <c r="AX182" i="4"/>
  <c r="BM182" i="4" s="1"/>
  <c r="AX128" i="4"/>
  <c r="BM128" i="4" s="1"/>
  <c r="AP182" i="4"/>
  <c r="CH454" i="4"/>
  <c r="AY454" i="4"/>
  <c r="CI157" i="4"/>
  <c r="BD157" i="4"/>
  <c r="BN157" i="4" s="1"/>
  <c r="BJ99" i="4"/>
  <c r="BO99" i="4" s="1"/>
  <c r="CJ99" i="4"/>
  <c r="BJ600" i="4"/>
  <c r="BO600" i="4" s="1"/>
  <c r="CJ600" i="4"/>
  <c r="BD453" i="4"/>
  <c r="BN453" i="4" s="1"/>
  <c r="CI453" i="4"/>
  <c r="BD18" i="4"/>
  <c r="BN18" i="4" s="1"/>
  <c r="CI18" i="4"/>
  <c r="BJ476" i="4"/>
  <c r="BO476" i="4" s="1"/>
  <c r="CJ476" i="4"/>
  <c r="CH106" i="4"/>
  <c r="AY106" i="4"/>
  <c r="AX104" i="4"/>
  <c r="BM104" i="4" s="1"/>
  <c r="AX23" i="4"/>
  <c r="BM23" i="4" s="1"/>
  <c r="AP104" i="4"/>
  <c r="AP161" i="4"/>
  <c r="AX22" i="4"/>
  <c r="BM22" i="4" s="1"/>
  <c r="AX161" i="4"/>
  <c r="BM161" i="4" s="1"/>
  <c r="AX103" i="4"/>
  <c r="BM103" i="4" s="1"/>
  <c r="AP103" i="4"/>
  <c r="AX186" i="4"/>
  <c r="BM186" i="4" s="1"/>
  <c r="AX132" i="4"/>
  <c r="BM132" i="4" s="1"/>
  <c r="AX572" i="4"/>
  <c r="BM572" i="4" s="1"/>
  <c r="AY517" i="4"/>
  <c r="CH517" i="4"/>
  <c r="BD454" i="4"/>
  <c r="BN454" i="4" s="1"/>
  <c r="CI454" i="4"/>
  <c r="BJ157" i="4"/>
  <c r="BO157" i="4" s="1"/>
  <c r="CJ157" i="4"/>
  <c r="AY453" i="4"/>
  <c r="CH453" i="4"/>
  <c r="BD565" i="4"/>
  <c r="BN565" i="4" s="1"/>
  <c r="CI565" i="4"/>
  <c r="AY270" i="4"/>
  <c r="CH270" i="4"/>
  <c r="BD270" i="4"/>
  <c r="BN270" i="4" s="1"/>
  <c r="CI270" i="4"/>
  <c r="CH568" i="4"/>
  <c r="AY568" i="4"/>
  <c r="AP24" i="4"/>
  <c r="AX105" i="4"/>
  <c r="BM105" i="4" s="1"/>
  <c r="AX24" i="4"/>
  <c r="BM24" i="4" s="1"/>
  <c r="AP105" i="4"/>
  <c r="AX179" i="4"/>
  <c r="BM179" i="4" s="1"/>
  <c r="AX571" i="4"/>
  <c r="BM571" i="4" s="1"/>
  <c r="AX125" i="4"/>
  <c r="BM125" i="4" s="1"/>
  <c r="AP179" i="4"/>
  <c r="AX183" i="4"/>
  <c r="BM183" i="4" s="1"/>
  <c r="AX129" i="4"/>
  <c r="BM129" i="4" s="1"/>
  <c r="AP183" i="4"/>
  <c r="AY99" i="4"/>
  <c r="CH99" i="4"/>
  <c r="CH600" i="4"/>
  <c r="AY600" i="4"/>
  <c r="BD517" i="4"/>
  <c r="BN517" i="4" s="1"/>
  <c r="CI517" i="4"/>
  <c r="BJ454" i="4"/>
  <c r="BO454" i="4" s="1"/>
  <c r="CJ454" i="4"/>
  <c r="BJ453" i="4"/>
  <c r="BO453" i="4" s="1"/>
  <c r="CJ453" i="4"/>
  <c r="AY18" i="4"/>
  <c r="CH18" i="4"/>
  <c r="BJ18" i="4"/>
  <c r="BO18" i="4" s="1"/>
  <c r="CJ18" i="4"/>
  <c r="CH476" i="4"/>
  <c r="AY476" i="4"/>
  <c r="BD106" i="4"/>
  <c r="BN106" i="4" s="1"/>
  <c r="CI106" i="4"/>
  <c r="BD568" i="4"/>
  <c r="BN568" i="4" s="1"/>
  <c r="CI568" i="4"/>
  <c r="AX158" i="4"/>
  <c r="BM158" i="4" s="1"/>
  <c r="AX100" i="4"/>
  <c r="BM100" i="4" s="1"/>
  <c r="AX566" i="4"/>
  <c r="BM566" i="4" s="1"/>
  <c r="AX19" i="4"/>
  <c r="BM19" i="4" s="1"/>
  <c r="AP566" i="4"/>
  <c r="AP100" i="4"/>
  <c r="AX102" i="4"/>
  <c r="BM102" i="4" s="1"/>
  <c r="AX21" i="4"/>
  <c r="BM21" i="4" s="1"/>
  <c r="AX567" i="4"/>
  <c r="BM567" i="4" s="1"/>
  <c r="AX160" i="4"/>
  <c r="BM160" i="4" s="1"/>
  <c r="AP567" i="4"/>
  <c r="AP102" i="4"/>
  <c r="AX181" i="4"/>
  <c r="BM181" i="4" s="1"/>
  <c r="AX127" i="4"/>
  <c r="BM127" i="4" s="1"/>
  <c r="AP181" i="4"/>
  <c r="AX184" i="4"/>
  <c r="BM184" i="4" s="1"/>
  <c r="AX130" i="4"/>
  <c r="BM130" i="4" s="1"/>
  <c r="AP184" i="4"/>
  <c r="AY157" i="4"/>
  <c r="CH157" i="4"/>
  <c r="BD99" i="4"/>
  <c r="BN99" i="4" s="1"/>
  <c r="CI99" i="4"/>
  <c r="BD600" i="4"/>
  <c r="BN600" i="4" s="1"/>
  <c r="CI600" i="4"/>
  <c r="BJ517" i="4"/>
  <c r="BO517" i="4" s="1"/>
  <c r="CJ517" i="4"/>
  <c r="AY565" i="4"/>
  <c r="CH565" i="4"/>
  <c r="BJ565" i="4"/>
  <c r="BO565" i="4" s="1"/>
  <c r="CJ565" i="4"/>
  <c r="CI476" i="4"/>
  <c r="BD476" i="4"/>
  <c r="BN476" i="4" s="1"/>
  <c r="BJ270" i="4"/>
  <c r="BO270" i="4" s="1"/>
  <c r="CJ270" i="4"/>
  <c r="BJ106" i="4"/>
  <c r="BO106" i="4" s="1"/>
  <c r="CJ106" i="4"/>
  <c r="BJ568" i="4"/>
  <c r="BO568" i="4" s="1"/>
  <c r="CJ568" i="4"/>
  <c r="T16" i="64"/>
  <c r="AP506" i="4"/>
  <c r="AP48" i="4"/>
  <c r="AP139" i="4"/>
  <c r="AP540" i="4"/>
  <c r="AP542" i="4"/>
  <c r="AP141" i="4"/>
  <c r="AP508" i="4"/>
  <c r="AP50" i="4"/>
  <c r="AP587" i="4"/>
  <c r="AP590" i="4"/>
  <c r="AP546" i="4"/>
  <c r="AP510" i="4"/>
  <c r="AP455" i="4"/>
  <c r="AP54" i="4"/>
  <c r="AP589" i="4"/>
  <c r="AP545" i="4"/>
  <c r="AP144" i="4"/>
  <c r="AP53" i="4"/>
  <c r="AP146" i="4"/>
  <c r="AP549" i="4"/>
  <c r="AP57" i="4"/>
  <c r="AP52" i="4"/>
  <c r="AP588" i="4"/>
  <c r="AP544" i="4"/>
  <c r="AP143" i="4"/>
  <c r="AP56" i="4"/>
  <c r="AP592" i="4"/>
  <c r="AP548" i="4"/>
  <c r="AP145" i="4"/>
  <c r="AP55" i="4"/>
  <c r="AP591" i="4"/>
  <c r="AP547" i="4"/>
  <c r="AP511" i="4"/>
  <c r="AP142" i="4"/>
  <c r="AP509" i="4"/>
  <c r="AP51" i="4"/>
  <c r="AP543" i="4"/>
  <c r="AP49" i="4"/>
  <c r="AP541" i="4"/>
  <c r="AP507" i="4"/>
  <c r="AP140" i="4"/>
  <c r="AP95" i="4"/>
  <c r="AP97" i="4"/>
  <c r="AY275" i="4"/>
  <c r="CH275" i="4"/>
  <c r="BD155" i="4"/>
  <c r="BN155" i="4" s="1"/>
  <c r="CI155" i="4"/>
  <c r="BD85" i="4"/>
  <c r="BN85" i="4" s="1"/>
  <c r="BJ154" i="4"/>
  <c r="BO154" i="4" s="1"/>
  <c r="CJ154" i="4"/>
  <c r="BJ272" i="4"/>
  <c r="BO272" i="4" s="1"/>
  <c r="CJ272" i="4"/>
  <c r="AY273" i="4"/>
  <c r="CH273" i="4"/>
  <c r="BD93" i="4"/>
  <c r="BN93" i="4" s="1"/>
  <c r="CI93" i="4"/>
  <c r="BJ537" i="4"/>
  <c r="BO537" i="4" s="1"/>
  <c r="CJ537" i="4"/>
  <c r="CJ45" i="4"/>
  <c r="BJ45" i="4"/>
  <c r="BO45" i="4" s="1"/>
  <c r="BD537" i="4"/>
  <c r="BN537" i="4" s="1"/>
  <c r="CI537" i="4"/>
  <c r="CJ483" i="4"/>
  <c r="BJ483" i="4"/>
  <c r="BO483" i="4" s="1"/>
  <c r="CH482" i="4"/>
  <c r="AY482" i="4"/>
  <c r="CH84" i="4"/>
  <c r="AP550" i="4"/>
  <c r="AP593" i="4"/>
  <c r="AP58" i="4"/>
  <c r="AX94" i="4"/>
  <c r="BM94" i="4" s="1"/>
  <c r="AP94" i="4"/>
  <c r="AR275" i="4"/>
  <c r="BL275" i="4" s="1"/>
  <c r="BJ480" i="4"/>
  <c r="BO480" i="4" s="1"/>
  <c r="CJ480" i="4"/>
  <c r="CG481" i="4"/>
  <c r="AR481" i="4"/>
  <c r="AY481" i="4"/>
  <c r="CH481" i="4"/>
  <c r="BJ155" i="4"/>
  <c r="BO155" i="4" s="1"/>
  <c r="CJ155" i="4"/>
  <c r="CJ17" i="4"/>
  <c r="BJ17" i="4"/>
  <c r="BO17" i="4" s="1"/>
  <c r="CJ85" i="4"/>
  <c r="BJ85" i="4"/>
  <c r="BO85" i="4" s="1"/>
  <c r="CI478" i="4"/>
  <c r="BD478" i="4"/>
  <c r="BN478" i="4" s="1"/>
  <c r="BJ478" i="4"/>
  <c r="BO478" i="4" s="1"/>
  <c r="CJ478" i="4"/>
  <c r="CH479" i="4"/>
  <c r="AY479" i="4"/>
  <c r="BD479" i="4"/>
  <c r="BN479" i="4" s="1"/>
  <c r="CI479" i="4"/>
  <c r="CH93" i="4"/>
  <c r="AY93" i="4"/>
  <c r="CH537" i="4"/>
  <c r="AY45" i="4"/>
  <c r="CH45" i="4"/>
  <c r="BJ136" i="4"/>
  <c r="BO136" i="4" s="1"/>
  <c r="CJ136" i="4"/>
  <c r="CJ271" i="4"/>
  <c r="BJ271" i="4"/>
  <c r="BO271" i="4" s="1"/>
  <c r="BD136" i="4"/>
  <c r="BN136" i="4" s="1"/>
  <c r="CI136" i="4"/>
  <c r="AY277" i="4"/>
  <c r="CH277" i="4"/>
  <c r="CI277" i="4"/>
  <c r="BD277" i="4"/>
  <c r="BN277" i="4" s="1"/>
  <c r="CI276" i="4"/>
  <c r="BD276" i="4"/>
  <c r="BN276" i="4" s="1"/>
  <c r="BJ276" i="4"/>
  <c r="BO276" i="4" s="1"/>
  <c r="CJ276" i="4"/>
  <c r="AP153" i="4"/>
  <c r="AP465" i="4"/>
  <c r="AP82" i="4"/>
  <c r="BJ274" i="4"/>
  <c r="BO274" i="4" s="1"/>
  <c r="CJ274" i="4"/>
  <c r="BD45" i="4"/>
  <c r="BN45" i="4" s="1"/>
  <c r="CI45" i="4"/>
  <c r="AP559" i="4"/>
  <c r="AP598" i="4"/>
  <c r="AP80" i="4"/>
  <c r="AP464" i="4"/>
  <c r="AP151" i="4"/>
  <c r="AP594" i="4"/>
  <c r="AP59" i="4"/>
  <c r="AP147" i="4"/>
  <c r="AY274" i="4"/>
  <c r="CH274" i="4"/>
  <c r="CI274" i="4"/>
  <c r="BD274" i="4"/>
  <c r="BN274" i="4" s="1"/>
  <c r="CI275" i="4"/>
  <c r="BD275" i="4"/>
  <c r="BN275" i="4" s="1"/>
  <c r="BJ275" i="4"/>
  <c r="BO275" i="4" s="1"/>
  <c r="CJ275" i="4"/>
  <c r="BD86" i="4"/>
  <c r="BN86" i="4" s="1"/>
  <c r="CI86" i="4"/>
  <c r="AY86" i="4"/>
  <c r="CH86" i="4"/>
  <c r="BD154" i="4"/>
  <c r="BN154" i="4" s="1"/>
  <c r="CH154" i="4"/>
  <c r="AY272" i="4"/>
  <c r="CH272" i="4"/>
  <c r="CJ273" i="4"/>
  <c r="BJ273" i="4"/>
  <c r="BO273" i="4" s="1"/>
  <c r="BJ93" i="4"/>
  <c r="BO93" i="4" s="1"/>
  <c r="CJ93" i="4"/>
  <c r="CI271" i="4"/>
  <c r="BD271" i="4"/>
  <c r="BN271" i="4" s="1"/>
  <c r="AY136" i="4"/>
  <c r="CH136" i="4"/>
  <c r="CH271" i="4"/>
  <c r="CJ477" i="4"/>
  <c r="BJ477" i="4"/>
  <c r="BO477" i="4" s="1"/>
  <c r="BJ462" i="4"/>
  <c r="BO462" i="4" s="1"/>
  <c r="CJ462" i="4"/>
  <c r="AY483" i="4"/>
  <c r="CH483" i="4"/>
  <c r="CI483" i="4"/>
  <c r="BD483" i="4"/>
  <c r="BN483" i="4" s="1"/>
  <c r="CI482" i="4"/>
  <c r="BD482" i="4"/>
  <c r="BN482" i="4" s="1"/>
  <c r="BJ482" i="4"/>
  <c r="BO482" i="4" s="1"/>
  <c r="CJ482" i="4"/>
  <c r="CI562" i="4"/>
  <c r="BD562" i="4"/>
  <c r="BN562" i="4" s="1"/>
  <c r="AP96" i="4"/>
  <c r="AP156" i="4"/>
  <c r="BD17" i="4"/>
  <c r="BN17" i="4" s="1"/>
  <c r="CI17" i="4"/>
  <c r="AY85" i="4"/>
  <c r="CH85" i="4"/>
  <c r="BD272" i="4"/>
  <c r="BN272" i="4" s="1"/>
  <c r="CI272" i="4"/>
  <c r="CI273" i="4"/>
  <c r="BD273" i="4"/>
  <c r="BN273" i="4" s="1"/>
  <c r="AP14" i="4"/>
  <c r="AP599" i="4"/>
  <c r="AP466" i="4"/>
  <c r="AP83" i="4"/>
  <c r="AP561" i="4"/>
  <c r="AP443" i="4"/>
  <c r="AP498" i="4"/>
  <c r="AP450" i="4"/>
  <c r="AP92" i="4"/>
  <c r="AP98" i="4"/>
  <c r="AX560" i="4"/>
  <c r="BM560" i="4" s="1"/>
  <c r="AX81" i="4"/>
  <c r="BM81" i="4" s="1"/>
  <c r="AX451" i="4"/>
  <c r="BM451" i="4" s="1"/>
  <c r="AP451" i="4"/>
  <c r="AP152" i="4"/>
  <c r="AP560" i="4"/>
  <c r="AP81" i="4"/>
  <c r="AX46" i="4"/>
  <c r="BM46" i="4" s="1"/>
  <c r="AX538" i="4"/>
  <c r="BM538" i="4" s="1"/>
  <c r="AX586" i="4"/>
  <c r="BM586" i="4" s="1"/>
  <c r="AP538" i="4"/>
  <c r="AP452" i="4"/>
  <c r="AP137" i="4"/>
  <c r="AP586" i="4"/>
  <c r="AP505" i="4"/>
  <c r="AP46" i="4"/>
  <c r="AP558" i="4"/>
  <c r="AP79" i="4"/>
  <c r="AP463" i="4"/>
  <c r="AP150" i="4"/>
  <c r="AP597" i="4"/>
  <c r="CH480" i="4"/>
  <c r="AY480" i="4"/>
  <c r="CI480" i="4"/>
  <c r="BD480" i="4"/>
  <c r="BN480" i="4" s="1"/>
  <c r="CI481" i="4"/>
  <c r="BD481" i="4"/>
  <c r="BN481" i="4" s="1"/>
  <c r="CJ481" i="4"/>
  <c r="BJ481" i="4"/>
  <c r="BO481" i="4" s="1"/>
  <c r="CH155" i="4"/>
  <c r="AY155" i="4"/>
  <c r="AY17" i="4"/>
  <c r="CH17" i="4"/>
  <c r="BJ86" i="4"/>
  <c r="BO86" i="4" s="1"/>
  <c r="CJ86" i="4"/>
  <c r="BJ16" i="4"/>
  <c r="BO16" i="4" s="1"/>
  <c r="CJ16" i="4"/>
  <c r="BD16" i="4"/>
  <c r="BN16" i="4" s="1"/>
  <c r="CI16" i="4"/>
  <c r="CH478" i="4"/>
  <c r="AY478" i="4"/>
  <c r="BJ479" i="4"/>
  <c r="BO479" i="4" s="1"/>
  <c r="CJ479" i="4"/>
  <c r="CI477" i="4"/>
  <c r="BD477" i="4"/>
  <c r="BN477" i="4" s="1"/>
  <c r="CI462" i="4"/>
  <c r="BD462" i="4"/>
  <c r="BN462" i="4" s="1"/>
  <c r="AY477" i="4"/>
  <c r="CH477" i="4"/>
  <c r="CH462" i="4"/>
  <c r="CJ277" i="4"/>
  <c r="BJ277" i="4"/>
  <c r="BO277" i="4" s="1"/>
  <c r="AY276" i="4"/>
  <c r="CH276" i="4"/>
  <c r="D48" i="52"/>
  <c r="E48" i="52"/>
  <c r="S8" i="32"/>
  <c r="P4" i="6"/>
  <c r="AP28" i="4"/>
  <c r="AP12" i="4"/>
  <c r="AA7" i="48"/>
  <c r="AB12" i="51"/>
  <c r="T12" i="51" s="1"/>
  <c r="CG553" i="4"/>
  <c r="AR553" i="4"/>
  <c r="BL553" i="4" s="1"/>
  <c r="AR367" i="4"/>
  <c r="BL367" i="4" s="1"/>
  <c r="CG367" i="4"/>
  <c r="CG403" i="4"/>
  <c r="AR403" i="4"/>
  <c r="BL403" i="4" s="1"/>
  <c r="CG609" i="4"/>
  <c r="AR609" i="4"/>
  <c r="BL609" i="4" s="1"/>
  <c r="AB20" i="51"/>
  <c r="T20" i="51" s="1"/>
  <c r="AB17" i="51"/>
  <c r="T17" i="51" s="1"/>
  <c r="CG165" i="4"/>
  <c r="AR165" i="4"/>
  <c r="BL165" i="4" s="1"/>
  <c r="AR229" i="4"/>
  <c r="BL229" i="4" s="1"/>
  <c r="CG227" i="4"/>
  <c r="T11" i="64"/>
  <c r="Q14" i="64"/>
  <c r="T7" i="64"/>
  <c r="T5" i="64"/>
  <c r="AR476" i="4"/>
  <c r="CG476" i="4"/>
  <c r="CG607" i="4"/>
  <c r="AR607" i="4"/>
  <c r="BL607" i="4" s="1"/>
  <c r="AR580" i="4"/>
  <c r="BL580" i="4" s="1"/>
  <c r="CG580" i="4"/>
  <c r="AR355" i="4"/>
  <c r="BL355" i="4" s="1"/>
  <c r="CG277" i="4"/>
  <c r="AR277" i="4"/>
  <c r="BL277" i="4" s="1"/>
  <c r="AR606" i="4"/>
  <c r="BL606" i="4" s="1"/>
  <c r="CG606" i="4"/>
  <c r="AR47" i="4"/>
  <c r="BL47" i="4" s="1"/>
  <c r="CG47" i="4"/>
  <c r="CK47" i="4" s="1"/>
  <c r="CG8" i="4"/>
  <c r="AR8" i="4"/>
  <c r="BL8" i="4" s="1"/>
  <c r="CG166" i="4"/>
  <c r="AR166" i="4"/>
  <c r="BL166" i="4" s="1"/>
  <c r="CG335" i="4"/>
  <c r="CK335" i="4" s="1"/>
  <c r="AR335" i="4"/>
  <c r="BL335" i="4" s="1"/>
  <c r="AP23" i="4"/>
  <c r="S10" i="32"/>
  <c r="C13" i="52"/>
  <c r="C39" i="52"/>
  <c r="AP13" i="4"/>
  <c r="AP158" i="4"/>
  <c r="AP160" i="4"/>
  <c r="AX4" i="37"/>
  <c r="AR233" i="4"/>
  <c r="BL233" i="4" s="1"/>
  <c r="AB23" i="51"/>
  <c r="T23" i="51" s="1"/>
  <c r="AP127" i="4"/>
  <c r="S16" i="32"/>
  <c r="AR596" i="4"/>
  <c r="BL596" i="4" s="1"/>
  <c r="CG596" i="4"/>
  <c r="AR423" i="4"/>
  <c r="BL423" i="4" s="1"/>
  <c r="CG423" i="4"/>
  <c r="AR514" i="4"/>
  <c r="BL514" i="4" s="1"/>
  <c r="CG514" i="4"/>
  <c r="CG581" i="4"/>
  <c r="AR581" i="4"/>
  <c r="BL581" i="4" s="1"/>
  <c r="AB19" i="51"/>
  <c r="T19" i="51" s="1"/>
  <c r="AP186" i="4"/>
  <c r="AP572" i="4"/>
  <c r="AP132" i="4"/>
  <c r="CG35" i="4"/>
  <c r="CK35" i="4" s="1"/>
  <c r="AR35" i="4"/>
  <c r="BL35" i="4" s="1"/>
  <c r="AR575" i="4"/>
  <c r="BL575" i="4" s="1"/>
  <c r="CG575" i="4"/>
  <c r="AR516" i="4"/>
  <c r="BL516" i="4" s="1"/>
  <c r="CG516" i="4"/>
  <c r="CK516" i="4" s="1"/>
  <c r="AB21" i="51"/>
  <c r="T21" i="51" s="1"/>
  <c r="T4" i="64"/>
  <c r="T6" i="64"/>
  <c r="Q15" i="64"/>
  <c r="S18" i="32"/>
  <c r="AP129" i="4"/>
  <c r="AR482" i="4"/>
  <c r="CG482" i="4"/>
  <c r="AR468" i="4"/>
  <c r="BL468" i="4" s="1"/>
  <c r="CG468" i="4"/>
  <c r="AR483" i="4"/>
  <c r="CG483" i="4"/>
  <c r="AR578" i="4"/>
  <c r="BL578" i="4" s="1"/>
  <c r="CG578" i="4"/>
  <c r="AR138" i="4"/>
  <c r="BL138" i="4" s="1"/>
  <c r="CG138" i="4"/>
  <c r="CK138" i="4" s="1"/>
  <c r="AR37" i="4"/>
  <c r="BL37" i="4" s="1"/>
  <c r="CG37" i="4"/>
  <c r="CK37" i="4" s="1"/>
  <c r="AR38" i="4"/>
  <c r="BL38" i="4" s="1"/>
  <c r="CG38" i="4"/>
  <c r="CK38" i="4" s="1"/>
  <c r="AR576" i="4"/>
  <c r="BL576" i="4" s="1"/>
  <c r="CG576" i="4"/>
  <c r="CG295" i="4"/>
  <c r="CK295" i="4" s="1"/>
  <c r="AR295" i="4"/>
  <c r="BL295" i="4" s="1"/>
  <c r="AP11" i="4"/>
  <c r="AB15" i="51"/>
  <c r="T15" i="51" s="1"/>
  <c r="AR384" i="4"/>
  <c r="BL384" i="4" s="1"/>
  <c r="CG384" i="4"/>
  <c r="AR26" i="4"/>
  <c r="BL26" i="4" s="1"/>
  <c r="CG26" i="4"/>
  <c r="CK26" i="4" s="1"/>
  <c r="AB24" i="51"/>
  <c r="T24" i="51" s="1"/>
  <c r="AP131" i="4"/>
  <c r="S20" i="32"/>
  <c r="AR603" i="4"/>
  <c r="BL603" i="4" s="1"/>
  <c r="CG603" i="4"/>
  <c r="CG556" i="4"/>
  <c r="CK556" i="4" s="1"/>
  <c r="AR556" i="4"/>
  <c r="BL556" i="4" s="1"/>
  <c r="T10" i="64"/>
  <c r="AR276" i="4"/>
  <c r="BL276" i="4" s="1"/>
  <c r="CG276" i="4"/>
  <c r="AB22" i="51"/>
  <c r="T22" i="51" s="1"/>
  <c r="AR414" i="4"/>
  <c r="BL414" i="4" s="1"/>
  <c r="CG414" i="4"/>
  <c r="CG539" i="4"/>
  <c r="CK539" i="4" s="1"/>
  <c r="AR539" i="4"/>
  <c r="BL539" i="4" s="1"/>
  <c r="AR453" i="4"/>
  <c r="BL453" i="4" s="1"/>
  <c r="CG453" i="4"/>
  <c r="AR604" i="4"/>
  <c r="BL604" i="4" s="1"/>
  <c r="CG604" i="4"/>
  <c r="X5" i="37"/>
  <c r="F5" i="37" s="1"/>
  <c r="W10" i="31"/>
  <c r="AP10" i="4"/>
  <c r="AB13" i="51"/>
  <c r="T13" i="51" s="1"/>
  <c r="AP125" i="4"/>
  <c r="S21" i="32"/>
  <c r="AP571" i="4"/>
  <c r="AP126" i="4"/>
  <c r="S15" i="32"/>
  <c r="CG457" i="4"/>
  <c r="AR457" i="4"/>
  <c r="BL457" i="4" s="1"/>
  <c r="CG111" i="4"/>
  <c r="AR111" i="4"/>
  <c r="BL111" i="4" s="1"/>
  <c r="AB5" i="51"/>
  <c r="T5" i="51" s="1"/>
  <c r="T9" i="64"/>
  <c r="T13" i="64"/>
  <c r="T8" i="64"/>
  <c r="T12" i="64"/>
  <c r="AR270" i="4"/>
  <c r="BL270" i="4" s="1"/>
  <c r="CG270" i="4"/>
  <c r="S19" i="32"/>
  <c r="AP130" i="4"/>
  <c r="CG579" i="4"/>
  <c r="AR579" i="4"/>
  <c r="BL579" i="4" s="1"/>
  <c r="AR608" i="4"/>
  <c r="BL608" i="4" s="1"/>
  <c r="CG608" i="4"/>
  <c r="CG27" i="4"/>
  <c r="CK27" i="4" s="1"/>
  <c r="AR27" i="4"/>
  <c r="BL27" i="4" s="1"/>
  <c r="AR389" i="4"/>
  <c r="BL389" i="4" s="1"/>
  <c r="S17" i="32"/>
  <c r="AP128" i="4"/>
  <c r="AR327" i="4"/>
  <c r="BL327" i="4" s="1"/>
  <c r="CG327" i="4"/>
  <c r="AR454" i="4"/>
  <c r="BL454" i="4" s="1"/>
  <c r="CG454" i="4"/>
  <c r="AR112" i="4"/>
  <c r="BL112" i="4" s="1"/>
  <c r="CG112" i="4"/>
  <c r="CG155" i="4"/>
  <c r="O13" i="24"/>
  <c r="AR537" i="4"/>
  <c r="BL537" i="4" s="1"/>
  <c r="CG537" i="4"/>
  <c r="AR272" i="4"/>
  <c r="BL272" i="4" s="1"/>
  <c r="CG272" i="4"/>
  <c r="CG477" i="4"/>
  <c r="AR477" i="4"/>
  <c r="CG478" i="4"/>
  <c r="AR478" i="4"/>
  <c r="CG154" i="4"/>
  <c r="AR154" i="4"/>
  <c r="BL154" i="4" s="1"/>
  <c r="AR86" i="4"/>
  <c r="CG86" i="4"/>
  <c r="AR462" i="4"/>
  <c r="CG462" i="4"/>
  <c r="C86" i="52"/>
  <c r="C21" i="52"/>
  <c r="D21" i="52" s="1"/>
  <c r="AA9" i="48"/>
  <c r="AA8" i="48"/>
  <c r="AA10" i="48"/>
  <c r="AA6" i="48"/>
  <c r="Q6" i="48" s="1"/>
  <c r="Z6" i="48" s="1"/>
  <c r="CG84" i="4"/>
  <c r="W15" i="31"/>
  <c r="W11" i="31"/>
  <c r="W14" i="31"/>
  <c r="W8" i="31"/>
  <c r="W13" i="31"/>
  <c r="AR93" i="4"/>
  <c r="CG93" i="4"/>
  <c r="AR382" i="4"/>
  <c r="BL382" i="4" s="1"/>
  <c r="CG382" i="4"/>
  <c r="AR422" i="4"/>
  <c r="BL422" i="4" s="1"/>
  <c r="CG422" i="4"/>
  <c r="W7" i="49"/>
  <c r="W6" i="49"/>
  <c r="W5" i="49"/>
  <c r="AR447" i="4"/>
  <c r="BL447" i="4" s="1"/>
  <c r="CG447" i="4"/>
  <c r="AX6" i="37"/>
  <c r="T6" i="37" s="1"/>
  <c r="T4" i="37"/>
  <c r="AX7" i="37"/>
  <c r="T7" i="37" s="1"/>
  <c r="AR528" i="4"/>
  <c r="BL528" i="4" s="1"/>
  <c r="CG528" i="4"/>
  <c r="AA5" i="48"/>
  <c r="CG311" i="4"/>
  <c r="AR311" i="4"/>
  <c r="BL311" i="4" s="1"/>
  <c r="AB4" i="51"/>
  <c r="T4" i="51" s="1"/>
  <c r="AB6" i="51"/>
  <c r="T6" i="51" s="1"/>
  <c r="AB7" i="51"/>
  <c r="T7" i="51" s="1"/>
  <c r="CG412" i="4"/>
  <c r="CK412" i="4" s="1"/>
  <c r="AR412" i="4"/>
  <c r="BL412" i="4" s="1"/>
  <c r="CG392" i="4"/>
  <c r="CK392" i="4" s="1"/>
  <c r="AR392" i="4"/>
  <c r="BL392" i="4" s="1"/>
  <c r="AR551" i="4"/>
  <c r="BL551" i="4" s="1"/>
  <c r="CG551" i="4"/>
  <c r="CK551" i="4" s="1"/>
  <c r="AR220" i="4"/>
  <c r="BL220" i="4" s="1"/>
  <c r="CG220" i="4"/>
  <c r="CK220" i="4" s="1"/>
  <c r="AR360" i="4"/>
  <c r="BL360" i="4" s="1"/>
  <c r="CG360" i="4"/>
  <c r="CK360" i="4" s="1"/>
  <c r="AR219" i="4"/>
  <c r="BL219" i="4" s="1"/>
  <c r="CG219" i="4"/>
  <c r="CK219" i="4" s="1"/>
  <c r="AR445" i="4"/>
  <c r="BL445" i="4" s="1"/>
  <c r="CG445" i="4"/>
  <c r="AR415" i="4"/>
  <c r="BL415" i="4" s="1"/>
  <c r="CG415" i="4"/>
  <c r="CK415" i="4" s="1"/>
  <c r="AR216" i="4"/>
  <c r="BL216" i="4" s="1"/>
  <c r="CG216" i="4"/>
  <c r="CK216" i="4" s="1"/>
  <c r="CG377" i="4"/>
  <c r="CK377" i="4" s="1"/>
  <c r="AR377" i="4"/>
  <c r="BL377" i="4" s="1"/>
  <c r="AR318" i="4"/>
  <c r="BL318" i="4" s="1"/>
  <c r="CG318" i="4"/>
  <c r="CK318" i="4" s="1"/>
  <c r="AR395" i="4"/>
  <c r="BL395" i="4" s="1"/>
  <c r="CG395" i="4"/>
  <c r="CK395" i="4" s="1"/>
  <c r="CG512" i="4"/>
  <c r="CK512" i="4" s="1"/>
  <c r="AR512" i="4"/>
  <c r="BL512" i="4" s="1"/>
  <c r="AR99" i="4"/>
  <c r="CG99" i="4"/>
  <c r="S9" i="32"/>
  <c r="AP22" i="4"/>
  <c r="AP21" i="4"/>
  <c r="S6" i="32"/>
  <c r="AP20" i="4"/>
  <c r="AP19" i="4"/>
  <c r="AR18" i="4"/>
  <c r="CG18" i="4"/>
  <c r="AR33" i="4"/>
  <c r="BL33" i="4" s="1"/>
  <c r="CG33" i="4"/>
  <c r="CK33" i="4" s="1"/>
  <c r="AR32" i="4"/>
  <c r="BL32" i="4" s="1"/>
  <c r="CG32" i="4"/>
  <c r="CK32" i="4" s="1"/>
  <c r="AR31" i="4"/>
  <c r="BL31" i="4" s="1"/>
  <c r="CG31" i="4"/>
  <c r="CG39" i="4"/>
  <c r="CK39" i="4" s="1"/>
  <c r="AR39" i="4"/>
  <c r="BL39" i="4" s="1"/>
  <c r="CG303" i="4"/>
  <c r="AR303" i="4"/>
  <c r="BL303" i="4" s="1"/>
  <c r="AR133" i="4"/>
  <c r="BL133" i="4" s="1"/>
  <c r="CG133" i="4"/>
  <c r="CG134" i="4"/>
  <c r="AR134" i="4"/>
  <c r="BL134" i="4" s="1"/>
  <c r="AR68" i="4"/>
  <c r="BL68" i="4" s="1"/>
  <c r="CG68" i="4"/>
  <c r="T6" i="19"/>
  <c r="AR67" i="4"/>
  <c r="BL67" i="4" s="1"/>
  <c r="CG67" i="4"/>
  <c r="AR114" i="4"/>
  <c r="BL114" i="4" s="1"/>
  <c r="CG114" i="4"/>
  <c r="CG168" i="4"/>
  <c r="AR168" i="4"/>
  <c r="BL168" i="4" s="1"/>
  <c r="CG116" i="4"/>
  <c r="AR116" i="4"/>
  <c r="BL116" i="4" s="1"/>
  <c r="AR115" i="4"/>
  <c r="BL115" i="4" s="1"/>
  <c r="CG115" i="4"/>
  <c r="AR170" i="4"/>
  <c r="BL170" i="4" s="1"/>
  <c r="CG170" i="4"/>
  <c r="AR169" i="4"/>
  <c r="BL169" i="4" s="1"/>
  <c r="CG169" i="4"/>
  <c r="AR117" i="4"/>
  <c r="BL117" i="4" s="1"/>
  <c r="CG117" i="4"/>
  <c r="AR171" i="4"/>
  <c r="BL171" i="4" s="1"/>
  <c r="CG171" i="4"/>
  <c r="CG74" i="4"/>
  <c r="CK74" i="4" s="1"/>
  <c r="AR74" i="4"/>
  <c r="BL74" i="4" s="1"/>
  <c r="AR45" i="4"/>
  <c r="CG45" i="4"/>
  <c r="AR271" i="4"/>
  <c r="BL271" i="4" s="1"/>
  <c r="CG271" i="4"/>
  <c r="AR136" i="4"/>
  <c r="CG136" i="4"/>
  <c r="T6" i="32"/>
  <c r="T12" i="32"/>
  <c r="T11" i="32"/>
  <c r="T7" i="32"/>
  <c r="AR78" i="4"/>
  <c r="BL78" i="4" s="1"/>
  <c r="CG78" i="4"/>
  <c r="AR149" i="4"/>
  <c r="BL149" i="4" s="1"/>
  <c r="CG149" i="4"/>
  <c r="AR88" i="4"/>
  <c r="BL88" i="4" s="1"/>
  <c r="CG88" i="4"/>
  <c r="CG89" i="4"/>
  <c r="AR89" i="4"/>
  <c r="BL89" i="4" s="1"/>
  <c r="AR90" i="4"/>
  <c r="BL90" i="4" s="1"/>
  <c r="CG90" i="4"/>
  <c r="AR91" i="4"/>
  <c r="BL91" i="4" s="1"/>
  <c r="CG91" i="4"/>
  <c r="AR329" i="4"/>
  <c r="BL329" i="4" s="1"/>
  <c r="CG329" i="4"/>
  <c r="AR344" i="4"/>
  <c r="BL344" i="4" s="1"/>
  <c r="CG344" i="4"/>
  <c r="AR217" i="4"/>
  <c r="CG217" i="4"/>
  <c r="AR292" i="4"/>
  <c r="BL292" i="4" s="1"/>
  <c r="CG292" i="4"/>
  <c r="AR17" i="4"/>
  <c r="CG17" i="4"/>
  <c r="W6" i="31"/>
  <c r="W7" i="31"/>
  <c r="W12" i="31"/>
  <c r="T13" i="32"/>
  <c r="O9" i="12"/>
  <c r="B36" i="52"/>
  <c r="R4" i="24"/>
  <c r="U4" i="29"/>
  <c r="R5" i="24"/>
  <c r="T8" i="32"/>
  <c r="U5" i="29"/>
  <c r="D13" i="52"/>
  <c r="R6" i="12"/>
  <c r="T19" i="31"/>
  <c r="W19" i="31" s="1"/>
  <c r="O12" i="24"/>
  <c r="B28" i="52"/>
  <c r="N25" i="53"/>
  <c r="O23" i="53"/>
  <c r="N29" i="53"/>
  <c r="N33" i="53"/>
  <c r="N30" i="53"/>
  <c r="N34" i="53"/>
  <c r="N28" i="53"/>
  <c r="N32" i="53"/>
  <c r="N31" i="53"/>
  <c r="N26" i="53"/>
  <c r="N27" i="53"/>
  <c r="E85" i="52"/>
  <c r="E86" i="52" s="1"/>
  <c r="C36" i="52"/>
  <c r="T21" i="31"/>
  <c r="W21" i="31" s="1"/>
  <c r="W9" i="31"/>
  <c r="T20" i="31"/>
  <c r="W20" i="31" s="1"/>
  <c r="W4" i="31"/>
  <c r="M35" i="53"/>
  <c r="B21" i="52"/>
  <c r="B13" i="52"/>
  <c r="AI12" i="2"/>
  <c r="AI11" i="2"/>
  <c r="V8" i="33"/>
  <c r="Y8" i="33" s="1"/>
  <c r="V11" i="33"/>
  <c r="Y11" i="33" s="1"/>
  <c r="O10" i="12"/>
  <c r="S9" i="12"/>
  <c r="S10" i="12"/>
  <c r="E28" i="52"/>
  <c r="D28" i="52"/>
  <c r="CK329" i="4" l="1"/>
  <c r="BM374" i="4"/>
  <c r="BO374" i="4"/>
  <c r="BN374" i="4"/>
  <c r="BL374" i="4"/>
  <c r="BJ15" i="4"/>
  <c r="BO15" i="4" s="1"/>
  <c r="BO344" i="4"/>
  <c r="BK344" i="4"/>
  <c r="BO329" i="4"/>
  <c r="BK329" i="4"/>
  <c r="BM327" i="4"/>
  <c r="AY327" i="4"/>
  <c r="BM329" i="4"/>
  <c r="AY329" i="4"/>
  <c r="BM414" i="4"/>
  <c r="AY414" i="4"/>
  <c r="BO327" i="4"/>
  <c r="BK327" i="4"/>
  <c r="CK344" i="4"/>
  <c r="CK414" i="4"/>
  <c r="CK327" i="4"/>
  <c r="BN344" i="4"/>
  <c r="BE344" i="4"/>
  <c r="BN327" i="4"/>
  <c r="BE327" i="4"/>
  <c r="BM344" i="4"/>
  <c r="AY344" i="4"/>
  <c r="BN414" i="4"/>
  <c r="BE414" i="4"/>
  <c r="BN329" i="4"/>
  <c r="BE329" i="4"/>
  <c r="BO414" i="4"/>
  <c r="BK414" i="4"/>
  <c r="AX229" i="4"/>
  <c r="CH229" i="4"/>
  <c r="BD229" i="4"/>
  <c r="CI229" i="4"/>
  <c r="BJ229" i="4"/>
  <c r="CJ229" i="4"/>
  <c r="AR343" i="4"/>
  <c r="BL343" i="4" s="1"/>
  <c r="X14" i="2"/>
  <c r="CT136" i="4"/>
  <c r="BL136" i="4"/>
  <c r="CS136" i="4" s="1"/>
  <c r="CT45" i="4"/>
  <c r="BL45" i="4"/>
  <c r="CT86" i="4"/>
  <c r="BL86" i="4"/>
  <c r="CS86" i="4" s="1"/>
  <c r="CT18" i="4"/>
  <c r="BL18" i="4"/>
  <c r="CS18" i="4" s="1"/>
  <c r="CT478" i="4"/>
  <c r="BL478" i="4"/>
  <c r="CS478" i="4" s="1"/>
  <c r="CT477" i="4"/>
  <c r="BL477" i="4"/>
  <c r="CS477" i="4" s="1"/>
  <c r="CT99" i="4"/>
  <c r="BL99" i="4"/>
  <c r="CS99" i="4" s="1"/>
  <c r="CT93" i="4"/>
  <c r="BL93" i="4"/>
  <c r="CS93" i="4" s="1"/>
  <c r="CT476" i="4"/>
  <c r="BL476" i="4"/>
  <c r="CS476" i="4" s="1"/>
  <c r="CT17" i="4"/>
  <c r="BL17" i="4"/>
  <c r="CS17" i="4" s="1"/>
  <c r="CV217" i="4"/>
  <c r="BL217" i="4"/>
  <c r="CT462" i="4"/>
  <c r="BL462" i="4"/>
  <c r="CT483" i="4"/>
  <c r="BL483" i="4"/>
  <c r="CT482" i="4"/>
  <c r="BL482" i="4"/>
  <c r="CS482" i="4" s="1"/>
  <c r="CT481" i="4"/>
  <c r="BL481" i="4"/>
  <c r="CS481" i="4" s="1"/>
  <c r="CT537" i="4"/>
  <c r="E21" i="52"/>
  <c r="CJ520" i="4"/>
  <c r="BJ520" i="4"/>
  <c r="BH521" i="4"/>
  <c r="BB521" i="4"/>
  <c r="AV521" i="4"/>
  <c r="AP521" i="4"/>
  <c r="CG521" i="4" s="1"/>
  <c r="BD520" i="4"/>
  <c r="CI520" i="4"/>
  <c r="AX520" i="4"/>
  <c r="CH520" i="4"/>
  <c r="CJ261" i="4"/>
  <c r="BJ261" i="4"/>
  <c r="AX371" i="4"/>
  <c r="CH371" i="4"/>
  <c r="CJ371" i="4"/>
  <c r="BJ371" i="4"/>
  <c r="AX231" i="4"/>
  <c r="CH231" i="4"/>
  <c r="AX354" i="4"/>
  <c r="CH354" i="4"/>
  <c r="AX226" i="4"/>
  <c r="CH226" i="4"/>
  <c r="AX408" i="4"/>
  <c r="CH408" i="4"/>
  <c r="AX388" i="4"/>
  <c r="CH388" i="4"/>
  <c r="BD325" i="4"/>
  <c r="CI325" i="4"/>
  <c r="BD472" i="4"/>
  <c r="CI472" i="4"/>
  <c r="CJ289" i="4"/>
  <c r="BJ289" i="4"/>
  <c r="CG231" i="4"/>
  <c r="AX325" i="4"/>
  <c r="CH325" i="4"/>
  <c r="AX472" i="4"/>
  <c r="CH472" i="4"/>
  <c r="BJ472" i="4"/>
  <c r="CJ472" i="4"/>
  <c r="BD231" i="4"/>
  <c r="CI231" i="4"/>
  <c r="BD354" i="4"/>
  <c r="CI354" i="4"/>
  <c r="AX342" i="4"/>
  <c r="CH342" i="4"/>
  <c r="BD226" i="4"/>
  <c r="CI226" i="4"/>
  <c r="AX289" i="4"/>
  <c r="CH289" i="4"/>
  <c r="CI408" i="4"/>
  <c r="BD408" i="4"/>
  <c r="BD388" i="4"/>
  <c r="CI388" i="4"/>
  <c r="CJ325" i="4"/>
  <c r="BJ325" i="4"/>
  <c r="BD342" i="4"/>
  <c r="CI342" i="4"/>
  <c r="AX261" i="4"/>
  <c r="CH261" i="4"/>
  <c r="BD261" i="4"/>
  <c r="CI261" i="4"/>
  <c r="BD371" i="4"/>
  <c r="CI371" i="4"/>
  <c r="CJ231" i="4"/>
  <c r="BJ231" i="4"/>
  <c r="BJ354" i="4"/>
  <c r="CJ354" i="4"/>
  <c r="BJ342" i="4"/>
  <c r="CJ342" i="4"/>
  <c r="BJ226" i="4"/>
  <c r="CJ226" i="4"/>
  <c r="BD289" i="4"/>
  <c r="CI289" i="4"/>
  <c r="BJ408" i="4"/>
  <c r="CJ408" i="4"/>
  <c r="BJ388" i="4"/>
  <c r="CJ388" i="4"/>
  <c r="AX527" i="4"/>
  <c r="CH527" i="4"/>
  <c r="CJ527" i="4"/>
  <c r="BJ527" i="4"/>
  <c r="BD527" i="4"/>
  <c r="CI527" i="4"/>
  <c r="BB525" i="4"/>
  <c r="BH310" i="4"/>
  <c r="AV310" i="4"/>
  <c r="BH525" i="4"/>
  <c r="AV525" i="4"/>
  <c r="BB310" i="4"/>
  <c r="AP525" i="4"/>
  <c r="AP310" i="4"/>
  <c r="BB523" i="4"/>
  <c r="BH523" i="4"/>
  <c r="AV523" i="4"/>
  <c r="AP523" i="4"/>
  <c r="BH524" i="4"/>
  <c r="AV524" i="4"/>
  <c r="BH309" i="4"/>
  <c r="AV309" i="4"/>
  <c r="BB524" i="4"/>
  <c r="BB309" i="4"/>
  <c r="AP524" i="4"/>
  <c r="AP309" i="4"/>
  <c r="AR309" i="4" s="1"/>
  <c r="BL309" i="4" s="1"/>
  <c r="BB522" i="4"/>
  <c r="BH522" i="4"/>
  <c r="AV522" i="4"/>
  <c r="AP522" i="4"/>
  <c r="CU63" i="4"/>
  <c r="Q7" i="48"/>
  <c r="Z7" i="48" s="1"/>
  <c r="Q11" i="48"/>
  <c r="Z11" i="48" s="1"/>
  <c r="Q9" i="48"/>
  <c r="Z9" i="48" s="1"/>
  <c r="Q5" i="48"/>
  <c r="Z5" i="48" s="1"/>
  <c r="Q8" i="48"/>
  <c r="Z8" i="48" s="1"/>
  <c r="Q10" i="48"/>
  <c r="Z10" i="48" s="1"/>
  <c r="CT62" i="4"/>
  <c r="BP29" i="4"/>
  <c r="CV552" i="4"/>
  <c r="CU62" i="4"/>
  <c r="CT552" i="4"/>
  <c r="CV481" i="4"/>
  <c r="CV63" i="4"/>
  <c r="CT63" i="4"/>
  <c r="CV62" i="4"/>
  <c r="CU552" i="4"/>
  <c r="CT148" i="4"/>
  <c r="CV148" i="4"/>
  <c r="CU148" i="4"/>
  <c r="CV595" i="4"/>
  <c r="CU595" i="4"/>
  <c r="BP36" i="4"/>
  <c r="CT595" i="4"/>
  <c r="AS467" i="4"/>
  <c r="CS608" i="4"/>
  <c r="CS581" i="4"/>
  <c r="CV478" i="4"/>
  <c r="CV537" i="4"/>
  <c r="CV154" i="4"/>
  <c r="CV18" i="4"/>
  <c r="AS411" i="4"/>
  <c r="AS419" i="4"/>
  <c r="CU217" i="4"/>
  <c r="CV555" i="4"/>
  <c r="CU555" i="4"/>
  <c r="CS116" i="4"/>
  <c r="CS90" i="4"/>
  <c r="CS117" i="4"/>
  <c r="CT579" i="4"/>
  <c r="CS576" i="4"/>
  <c r="CS578" i="4"/>
  <c r="CT575" i="4"/>
  <c r="CS8" i="4"/>
  <c r="CS165" i="4"/>
  <c r="CV483" i="4"/>
  <c r="CT154" i="4"/>
  <c r="CS91" i="4"/>
  <c r="CV67" i="4"/>
  <c r="CS89" i="4"/>
  <c r="CS604" i="4"/>
  <c r="CV603" i="4"/>
  <c r="CV86" i="4"/>
  <c r="CU45" i="4"/>
  <c r="CS166" i="4"/>
  <c r="CS169" i="4"/>
  <c r="CS134" i="4"/>
  <c r="CV514" i="4"/>
  <c r="CS553" i="4"/>
  <c r="CT84" i="4"/>
  <c r="BP72" i="4"/>
  <c r="CS72" i="4"/>
  <c r="CW72" i="4" s="1"/>
  <c r="CU115" i="4"/>
  <c r="CS68" i="4"/>
  <c r="CS111" i="4"/>
  <c r="CS580" i="4"/>
  <c r="CV482" i="4"/>
  <c r="CV462" i="4"/>
  <c r="CU537" i="4"/>
  <c r="AS155" i="4"/>
  <c r="CT155" i="4"/>
  <c r="CT217" i="4"/>
  <c r="CS149" i="4"/>
  <c r="CS516" i="4"/>
  <c r="AS273" i="4"/>
  <c r="CS168" i="4"/>
  <c r="CS528" i="4"/>
  <c r="CV88" i="4"/>
  <c r="CS170" i="4"/>
  <c r="CS114" i="4"/>
  <c r="CS112" i="4"/>
  <c r="CT468" i="4"/>
  <c r="CS607" i="4"/>
  <c r="CS609" i="4"/>
  <c r="CU462" i="4"/>
  <c r="CV477" i="4"/>
  <c r="CV93" i="4"/>
  <c r="CV136" i="4"/>
  <c r="CV17" i="4"/>
  <c r="CV45" i="4"/>
  <c r="CS77" i="4"/>
  <c r="CT515" i="4"/>
  <c r="CV515" i="4"/>
  <c r="CU515" i="4"/>
  <c r="CS171" i="4"/>
  <c r="CV596" i="4"/>
  <c r="AS381" i="4"/>
  <c r="CS74" i="4"/>
  <c r="CS133" i="4"/>
  <c r="CS606" i="4"/>
  <c r="CV476" i="4"/>
  <c r="CV99" i="4"/>
  <c r="AS106" i="4"/>
  <c r="CV106" i="4"/>
  <c r="CT73" i="4"/>
  <c r="CU73" i="4"/>
  <c r="CV73" i="4"/>
  <c r="CT77" i="4"/>
  <c r="CV77" i="4"/>
  <c r="CU77" i="4"/>
  <c r="AS416" i="4"/>
  <c r="CG389" i="4"/>
  <c r="BJ230" i="4"/>
  <c r="BO230" i="4" s="1"/>
  <c r="CJ230" i="4"/>
  <c r="CG228" i="4"/>
  <c r="BD355" i="4"/>
  <c r="BN355" i="4" s="1"/>
  <c r="CI355" i="4"/>
  <c r="BJ326" i="4"/>
  <c r="BO326" i="4" s="1"/>
  <c r="CJ326" i="4"/>
  <c r="AX372" i="4"/>
  <c r="BM372" i="4" s="1"/>
  <c r="CH372" i="4"/>
  <c r="BD404" i="4"/>
  <c r="BN404" i="4" s="1"/>
  <c r="CI404" i="4"/>
  <c r="BD227" i="4"/>
  <c r="BN227" i="4" s="1"/>
  <c r="CI227" i="4"/>
  <c r="BD424" i="4"/>
  <c r="BN424" i="4" s="1"/>
  <c r="CI424" i="4"/>
  <c r="BD230" i="4"/>
  <c r="BN230" i="4" s="1"/>
  <c r="CI230" i="4"/>
  <c r="BD290" i="4"/>
  <c r="BN290" i="4" s="1"/>
  <c r="CI290" i="4"/>
  <c r="BJ228" i="4"/>
  <c r="BO228" i="4" s="1"/>
  <c r="CJ228" i="4"/>
  <c r="AR228" i="4"/>
  <c r="BL228" i="4" s="1"/>
  <c r="AX355" i="4"/>
  <c r="BM355" i="4" s="1"/>
  <c r="CH355" i="4"/>
  <c r="BD326" i="4"/>
  <c r="BN326" i="4" s="1"/>
  <c r="CI326" i="4"/>
  <c r="BJ262" i="4"/>
  <c r="BO262" i="4" s="1"/>
  <c r="CJ262" i="4"/>
  <c r="AX404" i="4"/>
  <c r="BM404" i="4" s="1"/>
  <c r="CH404" i="4"/>
  <c r="AX227" i="4"/>
  <c r="BM227" i="4" s="1"/>
  <c r="CH227" i="4"/>
  <c r="BJ304" i="4"/>
  <c r="BO304" i="4" s="1"/>
  <c r="CJ304" i="4"/>
  <c r="AX230" i="4"/>
  <c r="BM230" i="4" s="1"/>
  <c r="CH230" i="4"/>
  <c r="AX290" i="4"/>
  <c r="BM290" i="4" s="1"/>
  <c r="CH290" i="4"/>
  <c r="BD228" i="4"/>
  <c r="BN228" i="4" s="1"/>
  <c r="CI228" i="4"/>
  <c r="AX409" i="4"/>
  <c r="BM409" i="4" s="1"/>
  <c r="CH409" i="4"/>
  <c r="CI262" i="4"/>
  <c r="BD262" i="4"/>
  <c r="BN262" i="4" s="1"/>
  <c r="AX424" i="4"/>
  <c r="BM424" i="4" s="1"/>
  <c r="CH424" i="4"/>
  <c r="AX228" i="4"/>
  <c r="BM228" i="4" s="1"/>
  <c r="CH228" i="4"/>
  <c r="AX326" i="4"/>
  <c r="BM326" i="4" s="1"/>
  <c r="CH326" i="4"/>
  <c r="BJ227" i="4"/>
  <c r="BO227" i="4" s="1"/>
  <c r="CJ227" i="4"/>
  <c r="AX347" i="4"/>
  <c r="BM347" i="4" s="1"/>
  <c r="CH347" i="4"/>
  <c r="BD234" i="4"/>
  <c r="BN234" i="4" s="1"/>
  <c r="CI234" i="4"/>
  <c r="AX262" i="4"/>
  <c r="BM262" i="4" s="1"/>
  <c r="CH262" i="4"/>
  <c r="BJ389" i="4"/>
  <c r="BO389" i="4" s="1"/>
  <c r="CJ389" i="4"/>
  <c r="BJ473" i="4"/>
  <c r="BO473" i="4" s="1"/>
  <c r="CJ473" i="4"/>
  <c r="BD304" i="4"/>
  <c r="BN304" i="4" s="1"/>
  <c r="CI304" i="4"/>
  <c r="BJ347" i="4"/>
  <c r="BO347" i="4" s="1"/>
  <c r="CJ347" i="4"/>
  <c r="AX234" i="4"/>
  <c r="BM234" i="4" s="1"/>
  <c r="CH234" i="4"/>
  <c r="BJ372" i="4"/>
  <c r="BO372" i="4" s="1"/>
  <c r="CJ372" i="4"/>
  <c r="BD389" i="4"/>
  <c r="BN389" i="4" s="1"/>
  <c r="CI389" i="4"/>
  <c r="BD473" i="4"/>
  <c r="BN473" i="4" s="1"/>
  <c r="CI473" i="4"/>
  <c r="AX304" i="4"/>
  <c r="BM304" i="4" s="1"/>
  <c r="CH304" i="4"/>
  <c r="BJ409" i="4"/>
  <c r="BO409" i="4" s="1"/>
  <c r="CJ409" i="4"/>
  <c r="BJ448" i="4"/>
  <c r="BO448" i="4" s="1"/>
  <c r="CJ448" i="4"/>
  <c r="BJ343" i="4"/>
  <c r="BO343" i="4" s="1"/>
  <c r="CJ343" i="4"/>
  <c r="BD347" i="4"/>
  <c r="BN347" i="4" s="1"/>
  <c r="CI347" i="4"/>
  <c r="CJ234" i="4"/>
  <c r="BJ234" i="4"/>
  <c r="BO234" i="4" s="1"/>
  <c r="BD372" i="4"/>
  <c r="BN372" i="4" s="1"/>
  <c r="CI372" i="4"/>
  <c r="AX389" i="4"/>
  <c r="BM389" i="4" s="1"/>
  <c r="CH389" i="4"/>
  <c r="AX473" i="4"/>
  <c r="CH473" i="4"/>
  <c r="BJ424" i="4"/>
  <c r="BO424" i="4" s="1"/>
  <c r="CJ424" i="4"/>
  <c r="BD409" i="4"/>
  <c r="BN409" i="4" s="1"/>
  <c r="CI409" i="4"/>
  <c r="BD448" i="4"/>
  <c r="BN448" i="4" s="1"/>
  <c r="CI448" i="4"/>
  <c r="BD343" i="4"/>
  <c r="BN343" i="4" s="1"/>
  <c r="CI343" i="4"/>
  <c r="CJ355" i="4"/>
  <c r="BJ355" i="4"/>
  <c r="BO355" i="4" s="1"/>
  <c r="BJ404" i="4"/>
  <c r="BO404" i="4" s="1"/>
  <c r="CJ404" i="4"/>
  <c r="CJ290" i="4"/>
  <c r="BJ290" i="4"/>
  <c r="BO290" i="4" s="1"/>
  <c r="AX448" i="4"/>
  <c r="CH448" i="4"/>
  <c r="AX343" i="4"/>
  <c r="BM343" i="4" s="1"/>
  <c r="CH343" i="4"/>
  <c r="CG16" i="4"/>
  <c r="CJ84" i="4"/>
  <c r="AR16" i="4"/>
  <c r="BL16" i="4" s="1"/>
  <c r="CG465" i="4"/>
  <c r="CS155" i="4"/>
  <c r="AR95" i="4"/>
  <c r="BL95" i="4" s="1"/>
  <c r="AR85" i="4"/>
  <c r="BL85" i="4" s="1"/>
  <c r="CV84" i="4"/>
  <c r="AR14" i="4"/>
  <c r="BL14" i="4" s="1"/>
  <c r="CG562" i="4"/>
  <c r="AR15" i="4"/>
  <c r="BL15" i="4" s="1"/>
  <c r="BK447" i="4"/>
  <c r="BD410" i="4"/>
  <c r="BN410" i="4" s="1"/>
  <c r="CI410" i="4"/>
  <c r="BD356" i="4"/>
  <c r="BN356" i="4" s="1"/>
  <c r="CI356" i="4"/>
  <c r="CI233" i="4"/>
  <c r="BD233" i="4"/>
  <c r="BN233" i="4" s="1"/>
  <c r="BJ410" i="4"/>
  <c r="BO410" i="4" s="1"/>
  <c r="CJ410" i="4"/>
  <c r="CK447" i="4"/>
  <c r="AX356" i="4"/>
  <c r="BM356" i="4" s="1"/>
  <c r="CH356" i="4"/>
  <c r="BJ233" i="4"/>
  <c r="BO233" i="4" s="1"/>
  <c r="CJ233" i="4"/>
  <c r="BJ373" i="4"/>
  <c r="BO373" i="4" s="1"/>
  <c r="CJ373" i="4"/>
  <c r="BJ356" i="4"/>
  <c r="BO356" i="4" s="1"/>
  <c r="CJ356" i="4"/>
  <c r="AX233" i="4"/>
  <c r="BM233" i="4" s="1"/>
  <c r="CH233" i="4"/>
  <c r="AX373" i="4"/>
  <c r="BM373" i="4" s="1"/>
  <c r="CH373" i="4"/>
  <c r="BD390" i="4"/>
  <c r="BN390" i="4" s="1"/>
  <c r="CI390" i="4"/>
  <c r="BJ390" i="4"/>
  <c r="BO390" i="4" s="1"/>
  <c r="CJ390" i="4"/>
  <c r="BD373" i="4"/>
  <c r="BN373" i="4" s="1"/>
  <c r="CI373" i="4"/>
  <c r="AY447" i="4"/>
  <c r="AX390" i="4"/>
  <c r="BM390" i="4" s="1"/>
  <c r="CH390" i="4"/>
  <c r="BE447" i="4"/>
  <c r="AX410" i="4"/>
  <c r="BM410" i="4" s="1"/>
  <c r="CH410" i="4"/>
  <c r="CK168" i="4"/>
  <c r="AR140" i="4"/>
  <c r="BL140" i="4" s="1"/>
  <c r="CK422" i="4"/>
  <c r="AY84" i="4"/>
  <c r="CK91" i="4"/>
  <c r="CK114" i="4"/>
  <c r="CK580" i="4"/>
  <c r="AS374" i="4"/>
  <c r="AY154" i="4"/>
  <c r="CK382" i="4"/>
  <c r="CK169" i="4"/>
  <c r="CK367" i="4"/>
  <c r="CK383" i="4"/>
  <c r="AS557" i="4"/>
  <c r="CK468" i="4"/>
  <c r="CK606" i="4"/>
  <c r="CK596" i="4"/>
  <c r="CK416" i="4"/>
  <c r="BE416" i="4"/>
  <c r="AY383" i="4"/>
  <c r="BK422" i="4"/>
  <c r="AY422" i="4"/>
  <c r="BK416" i="4"/>
  <c r="BK383" i="4"/>
  <c r="AY416" i="4"/>
  <c r="BE422" i="4"/>
  <c r="BE383" i="4"/>
  <c r="CK374" i="4"/>
  <c r="CK381" i="4"/>
  <c r="CK419" i="4"/>
  <c r="BE381" i="4"/>
  <c r="AY381" i="4"/>
  <c r="BE419" i="4"/>
  <c r="BK381" i="4"/>
  <c r="BK419" i="4"/>
  <c r="AY419" i="4"/>
  <c r="CK411" i="4"/>
  <c r="AY411" i="4"/>
  <c r="AY374" i="4"/>
  <c r="BE411" i="4"/>
  <c r="BE374" i="4"/>
  <c r="BK411" i="4"/>
  <c r="BK374" i="4"/>
  <c r="BK382" i="4"/>
  <c r="BE382" i="4"/>
  <c r="AY382" i="4"/>
  <c r="BH341" i="4"/>
  <c r="BH232" i="4"/>
  <c r="AV293" i="4"/>
  <c r="BH324" i="4"/>
  <c r="AV232" i="4"/>
  <c r="BB341" i="4"/>
  <c r="BB293" i="4"/>
  <c r="BH293" i="4"/>
  <c r="AV413" i="4"/>
  <c r="BB413" i="4"/>
  <c r="AV324" i="4"/>
  <c r="BH413" i="4"/>
  <c r="BB324" i="4"/>
  <c r="AV341" i="4"/>
  <c r="BB232" i="4"/>
  <c r="AP324" i="4"/>
  <c r="AP413" i="4"/>
  <c r="AP341" i="4"/>
  <c r="AP293" i="4"/>
  <c r="AP232" i="4"/>
  <c r="AV393" i="4"/>
  <c r="BB393" i="4"/>
  <c r="BH393" i="4"/>
  <c r="AP393" i="4"/>
  <c r="CK564" i="4"/>
  <c r="CK89" i="4"/>
  <c r="AY90" i="4"/>
  <c r="CK88" i="4"/>
  <c r="AY89" i="4"/>
  <c r="BK91" i="4"/>
  <c r="CV564" i="4"/>
  <c r="BK564" i="4"/>
  <c r="BK88" i="4"/>
  <c r="AY468" i="4"/>
  <c r="BE468" i="4"/>
  <c r="AY564" i="4"/>
  <c r="CU564" i="4"/>
  <c r="BE564" i="4"/>
  <c r="BE90" i="4"/>
  <c r="CK90" i="4"/>
  <c r="AY467" i="4"/>
  <c r="AY91" i="4"/>
  <c r="BE467" i="4"/>
  <c r="BK90" i="4"/>
  <c r="BE91" i="4"/>
  <c r="AY88" i="4"/>
  <c r="BK467" i="4"/>
  <c r="BK89" i="4"/>
  <c r="BE88" i="4"/>
  <c r="CK467" i="4"/>
  <c r="BE89" i="4"/>
  <c r="BK468" i="4"/>
  <c r="AY16" i="4"/>
  <c r="CH16" i="4"/>
  <c r="CH15" i="4"/>
  <c r="CG85" i="4"/>
  <c r="CK85" i="4" s="1"/>
  <c r="AY15" i="4"/>
  <c r="CH562" i="4"/>
  <c r="CG15" i="4"/>
  <c r="AY562" i="4"/>
  <c r="AR562" i="4"/>
  <c r="BL562" i="4" s="1"/>
  <c r="BD15" i="4"/>
  <c r="BN15" i="4" s="1"/>
  <c r="CI84" i="4"/>
  <c r="CJ562" i="4"/>
  <c r="CK609" i="4"/>
  <c r="CK578" i="4"/>
  <c r="CK514" i="4"/>
  <c r="CK170" i="4"/>
  <c r="CK608" i="4"/>
  <c r="CK423" i="4"/>
  <c r="CK115" i="4"/>
  <c r="CK607" i="4"/>
  <c r="CK579" i="4"/>
  <c r="CK134" i="4"/>
  <c r="CK116" i="4"/>
  <c r="CG140" i="4"/>
  <c r="BE581" i="4"/>
  <c r="CK117" i="4"/>
  <c r="AY609" i="4"/>
  <c r="BK609" i="4"/>
  <c r="CK581" i="4"/>
  <c r="BE609" i="4"/>
  <c r="BK117" i="4"/>
  <c r="BE171" i="4"/>
  <c r="BK171" i="4"/>
  <c r="BE117" i="4"/>
  <c r="AY117" i="4"/>
  <c r="CK171" i="4"/>
  <c r="BK581" i="4"/>
  <c r="AY171" i="4"/>
  <c r="AY581" i="4"/>
  <c r="BK580" i="4"/>
  <c r="BK170" i="4"/>
  <c r="BE580" i="4"/>
  <c r="BE116" i="4"/>
  <c r="BE170" i="4"/>
  <c r="BK116" i="4"/>
  <c r="BK608" i="4"/>
  <c r="AY580" i="4"/>
  <c r="BE608" i="4"/>
  <c r="AY116" i="4"/>
  <c r="AY608" i="4"/>
  <c r="AY170" i="4"/>
  <c r="AY168" i="4"/>
  <c r="AY114" i="4"/>
  <c r="BE168" i="4"/>
  <c r="BE114" i="4"/>
  <c r="BK168" i="4"/>
  <c r="AY578" i="4"/>
  <c r="BK578" i="4"/>
  <c r="AY606" i="4"/>
  <c r="BE606" i="4"/>
  <c r="BK606" i="4"/>
  <c r="AY579" i="4"/>
  <c r="AY607" i="4"/>
  <c r="BE169" i="4"/>
  <c r="BE115" i="4"/>
  <c r="BK169" i="4"/>
  <c r="BK115" i="4"/>
  <c r="BK114" i="4"/>
  <c r="BE578" i="4"/>
  <c r="BE607" i="4"/>
  <c r="BK607" i="4"/>
  <c r="AY169" i="4"/>
  <c r="AY115" i="4"/>
  <c r="BE579" i="4"/>
  <c r="BK579" i="4"/>
  <c r="BK403" i="4"/>
  <c r="AY303" i="4"/>
  <c r="AY553" i="4"/>
  <c r="CK68" i="4"/>
  <c r="CK384" i="4"/>
  <c r="CK403" i="4"/>
  <c r="CK303" i="4"/>
  <c r="BK457" i="4"/>
  <c r="AY68" i="4"/>
  <c r="BE133" i="4"/>
  <c r="BK553" i="4"/>
  <c r="BK303" i="4"/>
  <c r="BE67" i="4"/>
  <c r="BK596" i="4"/>
  <c r="AY133" i="4"/>
  <c r="AY367" i="4"/>
  <c r="AY596" i="4"/>
  <c r="BK514" i="4"/>
  <c r="BE134" i="4"/>
  <c r="AY134" i="4"/>
  <c r="BK68" i="4"/>
  <c r="BE367" i="4"/>
  <c r="BK367" i="4"/>
  <c r="BK423" i="4"/>
  <c r="BE596" i="4"/>
  <c r="BE403" i="4"/>
  <c r="BE553" i="4"/>
  <c r="BE384" i="4"/>
  <c r="BE303" i="4"/>
  <c r="BK384" i="4"/>
  <c r="AY403" i="4"/>
  <c r="BK67" i="4"/>
  <c r="AY457" i="4"/>
  <c r="CK133" i="4"/>
  <c r="CK457" i="4"/>
  <c r="CK553" i="4"/>
  <c r="BE457" i="4"/>
  <c r="BE514" i="4"/>
  <c r="CK67" i="4"/>
  <c r="BE423" i="4"/>
  <c r="BE68" i="4"/>
  <c r="AY384" i="4"/>
  <c r="BK133" i="4"/>
  <c r="AY423" i="4"/>
  <c r="BK134" i="4"/>
  <c r="AY67" i="4"/>
  <c r="AY514" i="4"/>
  <c r="CK576" i="4"/>
  <c r="CK603" i="4"/>
  <c r="CK111" i="4"/>
  <c r="CK604" i="4"/>
  <c r="CK112" i="4"/>
  <c r="CK575" i="4"/>
  <c r="CK166" i="4"/>
  <c r="CK165" i="4"/>
  <c r="AX167" i="4"/>
  <c r="BM167" i="4" s="1"/>
  <c r="CH167" i="4"/>
  <c r="BK603" i="4"/>
  <c r="BK111" i="4"/>
  <c r="BE603" i="4"/>
  <c r="BE111" i="4"/>
  <c r="AY603" i="4"/>
  <c r="BK575" i="4"/>
  <c r="BD107" i="4"/>
  <c r="BN107" i="4" s="1"/>
  <c r="CI107" i="4"/>
  <c r="BK604" i="4"/>
  <c r="CI167" i="4"/>
  <c r="BD167" i="4"/>
  <c r="BN167" i="4" s="1"/>
  <c r="BK165" i="4"/>
  <c r="BE165" i="4"/>
  <c r="AY165" i="4"/>
  <c r="AY575" i="4"/>
  <c r="BK166" i="4"/>
  <c r="BJ107" i="4"/>
  <c r="BO107" i="4" s="1"/>
  <c r="CJ107" i="4"/>
  <c r="BK576" i="4"/>
  <c r="BE576" i="4"/>
  <c r="AX113" i="4"/>
  <c r="BM113" i="4" s="1"/>
  <c r="CH113" i="4"/>
  <c r="BJ167" i="4"/>
  <c r="BO167" i="4" s="1"/>
  <c r="CJ167" i="4"/>
  <c r="AY166" i="4"/>
  <c r="AY576" i="4"/>
  <c r="AY111" i="4"/>
  <c r="BE575" i="4"/>
  <c r="CI113" i="4"/>
  <c r="BD113" i="4"/>
  <c r="BN113" i="4" s="1"/>
  <c r="AX577" i="4"/>
  <c r="CH577" i="4"/>
  <c r="BJ113" i="4"/>
  <c r="BO113" i="4" s="1"/>
  <c r="CJ113" i="4"/>
  <c r="BD577" i="4"/>
  <c r="BN577" i="4" s="1"/>
  <c r="CI577" i="4"/>
  <c r="BE604" i="4"/>
  <c r="BE112" i="4"/>
  <c r="AY604" i="4"/>
  <c r="AY112" i="4"/>
  <c r="BE166" i="4"/>
  <c r="BK112" i="4"/>
  <c r="AX107" i="4"/>
  <c r="BM107" i="4" s="1"/>
  <c r="CH107" i="4"/>
  <c r="BJ577" i="4"/>
  <c r="BO577" i="4" s="1"/>
  <c r="CJ577" i="4"/>
  <c r="CK78" i="4"/>
  <c r="CK557" i="4"/>
  <c r="CK149" i="4"/>
  <c r="BK149" i="4"/>
  <c r="AY557" i="4"/>
  <c r="AY78" i="4"/>
  <c r="AY149" i="4"/>
  <c r="BE149" i="4"/>
  <c r="BK78" i="4"/>
  <c r="BE557" i="4"/>
  <c r="BE78" i="4"/>
  <c r="BK557" i="4"/>
  <c r="S14" i="2"/>
  <c r="T14" i="2"/>
  <c r="CG95" i="4"/>
  <c r="AS84" i="4"/>
  <c r="CS84" i="4"/>
  <c r="AS477" i="4"/>
  <c r="AS136" i="4"/>
  <c r="AS45" i="4"/>
  <c r="AS392" i="4"/>
  <c r="AS478" i="4"/>
  <c r="AS277" i="4"/>
  <c r="BE481" i="4"/>
  <c r="CU481" i="4"/>
  <c r="BE273" i="4"/>
  <c r="BE17" i="4"/>
  <c r="CU17" i="4"/>
  <c r="BE483" i="4"/>
  <c r="CU483" i="4"/>
  <c r="BE86" i="4"/>
  <c r="CU86" i="4"/>
  <c r="BE155" i="4"/>
  <c r="BE106" i="4"/>
  <c r="BE270" i="4"/>
  <c r="BE454" i="4"/>
  <c r="BE157" i="4"/>
  <c r="AS271" i="4"/>
  <c r="AS154" i="4"/>
  <c r="CS154" i="4"/>
  <c r="AS17" i="4"/>
  <c r="AS217" i="4"/>
  <c r="AS31" i="4"/>
  <c r="AS86" i="4"/>
  <c r="AS272" i="4"/>
  <c r="AS454" i="4"/>
  <c r="AS270" i="4"/>
  <c r="AS453" i="4"/>
  <c r="AS476" i="4"/>
  <c r="BE562" i="4"/>
  <c r="BE274" i="4"/>
  <c r="BE276" i="4"/>
  <c r="BE136" i="4"/>
  <c r="CU136" i="4"/>
  <c r="BE478" i="4"/>
  <c r="CU478" i="4"/>
  <c r="BE93" i="4"/>
  <c r="CU93" i="4"/>
  <c r="BE476" i="4"/>
  <c r="CU476" i="4"/>
  <c r="BE99" i="4"/>
  <c r="CU99" i="4"/>
  <c r="BE565" i="4"/>
  <c r="BE18" i="4"/>
  <c r="CU18" i="4"/>
  <c r="AS412" i="4"/>
  <c r="AS276" i="4"/>
  <c r="BE480" i="4"/>
  <c r="BE482" i="4"/>
  <c r="CU482" i="4"/>
  <c r="BE85" i="4"/>
  <c r="BE568" i="4"/>
  <c r="BE517" i="4"/>
  <c r="AS292" i="4"/>
  <c r="AS18" i="4"/>
  <c r="AS99" i="4"/>
  <c r="AS93" i="4"/>
  <c r="AS462" i="4"/>
  <c r="AS537" i="4"/>
  <c r="AS483" i="4"/>
  <c r="AS482" i="4"/>
  <c r="BE477" i="4"/>
  <c r="CU477" i="4"/>
  <c r="BE16" i="4"/>
  <c r="BE272" i="4"/>
  <c r="BE154" i="4"/>
  <c r="CU154" i="4"/>
  <c r="BE275" i="4"/>
  <c r="BE84" i="4"/>
  <c r="CU84" i="4"/>
  <c r="BE277" i="4"/>
  <c r="BE479" i="4"/>
  <c r="AS481" i="4"/>
  <c r="AS275" i="4"/>
  <c r="BE600" i="4"/>
  <c r="BE453" i="4"/>
  <c r="BE31" i="4"/>
  <c r="AS74" i="4"/>
  <c r="AS216" i="4"/>
  <c r="AS360" i="4"/>
  <c r="AS382" i="4"/>
  <c r="AS603" i="4"/>
  <c r="AS37" i="4"/>
  <c r="AS468" i="4"/>
  <c r="AS47" i="4"/>
  <c r="BK16" i="4"/>
  <c r="BK482" i="4"/>
  <c r="BK93" i="4"/>
  <c r="BK136" i="4"/>
  <c r="BK31" i="4"/>
  <c r="AS90" i="4"/>
  <c r="AS78" i="4"/>
  <c r="AS114" i="4"/>
  <c r="AS39" i="4"/>
  <c r="AS377" i="4"/>
  <c r="AS389" i="4"/>
  <c r="AS539" i="4"/>
  <c r="AS556" i="4"/>
  <c r="AS26" i="4"/>
  <c r="AS295" i="4"/>
  <c r="AS35" i="4"/>
  <c r="AS335" i="4"/>
  <c r="AS607" i="4"/>
  <c r="AS227" i="4"/>
  <c r="AS165" i="4"/>
  <c r="AS609" i="4"/>
  <c r="BK15" i="4"/>
  <c r="BK277" i="4"/>
  <c r="BK479" i="4"/>
  <c r="BK481" i="4"/>
  <c r="BK273" i="4"/>
  <c r="BK275" i="4"/>
  <c r="BK274" i="4"/>
  <c r="BK480" i="4"/>
  <c r="BK272" i="4"/>
  <c r="BK106" i="4"/>
  <c r="BK453" i="4"/>
  <c r="BK157" i="4"/>
  <c r="AS91" i="4"/>
  <c r="AS149" i="4"/>
  <c r="AS116" i="4"/>
  <c r="AS68" i="4"/>
  <c r="AS33" i="4"/>
  <c r="AS318" i="4"/>
  <c r="AS445" i="4"/>
  <c r="AS457" i="4"/>
  <c r="AS414" i="4"/>
  <c r="AS576" i="4"/>
  <c r="AS578" i="4"/>
  <c r="AS575" i="4"/>
  <c r="AS423" i="4"/>
  <c r="AS580" i="4"/>
  <c r="AS229" i="4"/>
  <c r="BK517" i="4"/>
  <c r="BK18" i="4"/>
  <c r="BK600" i="4"/>
  <c r="AS329" i="4"/>
  <c r="AS88" i="4"/>
  <c r="AS117" i="4"/>
  <c r="AS170" i="4"/>
  <c r="AS67" i="4"/>
  <c r="AS447" i="4"/>
  <c r="AS89" i="4"/>
  <c r="AS168" i="4"/>
  <c r="AS133" i="4"/>
  <c r="AS32" i="4"/>
  <c r="AS395" i="4"/>
  <c r="AS415" i="4"/>
  <c r="AS219" i="4"/>
  <c r="AS220" i="4"/>
  <c r="AS551" i="4"/>
  <c r="AS311" i="4"/>
  <c r="AS528" i="4"/>
  <c r="AS422" i="4"/>
  <c r="AS226" i="4"/>
  <c r="AS112" i="4"/>
  <c r="AS327" i="4"/>
  <c r="AS608" i="4"/>
  <c r="AS111" i="4"/>
  <c r="AS604" i="4"/>
  <c r="AS38" i="4"/>
  <c r="AS138" i="4"/>
  <c r="AS516" i="4"/>
  <c r="AS514" i="4"/>
  <c r="AS596" i="4"/>
  <c r="AS606" i="4"/>
  <c r="AS355" i="4"/>
  <c r="AS367" i="4"/>
  <c r="BK86" i="4"/>
  <c r="BK477" i="4"/>
  <c r="BK85" i="4"/>
  <c r="BK155" i="4"/>
  <c r="BK476" i="4"/>
  <c r="BK99" i="4"/>
  <c r="AS344" i="4"/>
  <c r="AS171" i="4"/>
  <c r="AS169" i="4"/>
  <c r="AS115" i="4"/>
  <c r="AS134" i="4"/>
  <c r="AS303" i="4"/>
  <c r="AS512" i="4"/>
  <c r="AS231" i="4"/>
  <c r="AS27" i="4"/>
  <c r="AS579" i="4"/>
  <c r="AS384" i="4"/>
  <c r="AS581" i="4"/>
  <c r="AS233" i="4"/>
  <c r="AS166" i="4"/>
  <c r="AS403" i="4"/>
  <c r="AS553" i="4"/>
  <c r="BK562" i="4"/>
  <c r="BK84" i="4"/>
  <c r="BK276" i="4"/>
  <c r="BK478" i="4"/>
  <c r="BK17" i="4"/>
  <c r="BK483" i="4"/>
  <c r="BK154" i="4"/>
  <c r="BK568" i="4"/>
  <c r="BK270" i="4"/>
  <c r="BK565" i="4"/>
  <c r="BK454" i="4"/>
  <c r="CG49" i="4"/>
  <c r="CK454" i="4"/>
  <c r="CK476" i="4"/>
  <c r="CK270" i="4"/>
  <c r="CK31" i="4"/>
  <c r="CK453" i="4"/>
  <c r="CK45" i="4"/>
  <c r="CK18" i="4"/>
  <c r="CK537" i="4"/>
  <c r="CK99" i="4"/>
  <c r="CK106" i="4"/>
  <c r="CI184" i="4"/>
  <c r="BD184" i="4"/>
  <c r="BN184" i="4" s="1"/>
  <c r="AY127" i="4"/>
  <c r="CH127" i="4"/>
  <c r="BJ127" i="4"/>
  <c r="BO127" i="4" s="1"/>
  <c r="CJ127" i="4"/>
  <c r="BJ567" i="4"/>
  <c r="BO567" i="4" s="1"/>
  <c r="CJ567" i="4"/>
  <c r="CH21" i="4"/>
  <c r="AY21" i="4"/>
  <c r="BJ102" i="4"/>
  <c r="BO102" i="4" s="1"/>
  <c r="CJ102" i="4"/>
  <c r="AY19" i="4"/>
  <c r="CH19" i="4"/>
  <c r="BJ566" i="4"/>
  <c r="BO566" i="4" s="1"/>
  <c r="CJ566" i="4"/>
  <c r="BD158" i="4"/>
  <c r="BN158" i="4" s="1"/>
  <c r="CI158" i="4"/>
  <c r="BJ183" i="4"/>
  <c r="BO183" i="4" s="1"/>
  <c r="CJ183" i="4"/>
  <c r="AY125" i="4"/>
  <c r="CH125" i="4"/>
  <c r="AY179" i="4"/>
  <c r="CH179" i="4"/>
  <c r="BD125" i="4"/>
  <c r="BN125" i="4" s="1"/>
  <c r="CI125" i="4"/>
  <c r="CJ24" i="4"/>
  <c r="BJ24" i="4"/>
  <c r="BO24" i="4" s="1"/>
  <c r="CH132" i="4"/>
  <c r="AY132" i="4"/>
  <c r="CJ132" i="4"/>
  <c r="BJ132" i="4"/>
  <c r="BO132" i="4" s="1"/>
  <c r="AY103" i="4"/>
  <c r="CH103" i="4"/>
  <c r="BJ103" i="4"/>
  <c r="BO103" i="4" s="1"/>
  <c r="CJ103" i="4"/>
  <c r="BJ22" i="4"/>
  <c r="BO22" i="4" s="1"/>
  <c r="CJ22" i="4"/>
  <c r="BD23" i="4"/>
  <c r="BN23" i="4" s="1"/>
  <c r="CI23" i="4"/>
  <c r="CJ104" i="4"/>
  <c r="BJ104" i="4"/>
  <c r="BO104" i="4" s="1"/>
  <c r="CH128" i="4"/>
  <c r="AY128" i="4"/>
  <c r="CJ128" i="4"/>
  <c r="BJ128" i="4"/>
  <c r="BO128" i="4" s="1"/>
  <c r="AY185" i="4"/>
  <c r="CH185" i="4"/>
  <c r="BJ185" i="4"/>
  <c r="BO185" i="4" s="1"/>
  <c r="CJ185" i="4"/>
  <c r="BD126" i="4"/>
  <c r="BN126" i="4" s="1"/>
  <c r="CI126" i="4"/>
  <c r="CJ20" i="4"/>
  <c r="BJ20" i="4"/>
  <c r="BO20" i="4" s="1"/>
  <c r="CI159" i="4"/>
  <c r="BD159" i="4"/>
  <c r="BN159" i="4" s="1"/>
  <c r="CH130" i="4"/>
  <c r="AY130" i="4"/>
  <c r="BJ130" i="4"/>
  <c r="BO130" i="4" s="1"/>
  <c r="CJ130" i="4"/>
  <c r="AY181" i="4"/>
  <c r="CH181" i="4"/>
  <c r="CJ181" i="4"/>
  <c r="BJ181" i="4"/>
  <c r="BO181" i="4" s="1"/>
  <c r="CH160" i="4"/>
  <c r="AY160" i="4"/>
  <c r="BD102" i="4"/>
  <c r="BN102" i="4" s="1"/>
  <c r="CI102" i="4"/>
  <c r="BD21" i="4"/>
  <c r="BN21" i="4" s="1"/>
  <c r="CI21" i="4"/>
  <c r="BJ19" i="4"/>
  <c r="BO19" i="4" s="1"/>
  <c r="CJ19" i="4"/>
  <c r="CH100" i="4"/>
  <c r="AY100" i="4"/>
  <c r="CJ100" i="4"/>
  <c r="BJ100" i="4"/>
  <c r="BO100" i="4" s="1"/>
  <c r="BD129" i="4"/>
  <c r="BN129" i="4" s="1"/>
  <c r="CI129" i="4"/>
  <c r="AY129" i="4"/>
  <c r="CH129" i="4"/>
  <c r="AY571" i="4"/>
  <c r="CH571" i="4"/>
  <c r="BD179" i="4"/>
  <c r="BN179" i="4" s="1"/>
  <c r="CI179" i="4"/>
  <c r="AY105" i="4"/>
  <c r="CH105" i="4"/>
  <c r="CH572" i="4"/>
  <c r="AY572" i="4"/>
  <c r="AY186" i="4"/>
  <c r="CH186" i="4"/>
  <c r="BJ186" i="4"/>
  <c r="BO186" i="4" s="1"/>
  <c r="CJ186" i="4"/>
  <c r="AY161" i="4"/>
  <c r="CH161" i="4"/>
  <c r="BJ161" i="4"/>
  <c r="BO161" i="4" s="1"/>
  <c r="CJ161" i="4"/>
  <c r="BJ23" i="4"/>
  <c r="BO23" i="4" s="1"/>
  <c r="CJ23" i="4"/>
  <c r="AY182" i="4"/>
  <c r="CH182" i="4"/>
  <c r="BJ182" i="4"/>
  <c r="BO182" i="4" s="1"/>
  <c r="CJ182" i="4"/>
  <c r="BD131" i="4"/>
  <c r="BN131" i="4" s="1"/>
  <c r="CI131" i="4"/>
  <c r="CI180" i="4"/>
  <c r="BD180" i="4"/>
  <c r="BN180" i="4" s="1"/>
  <c r="AY101" i="4"/>
  <c r="CH101" i="4"/>
  <c r="BJ101" i="4"/>
  <c r="BO101" i="4" s="1"/>
  <c r="CJ101" i="4"/>
  <c r="CH184" i="4"/>
  <c r="AY184" i="4"/>
  <c r="BJ184" i="4"/>
  <c r="BO184" i="4" s="1"/>
  <c r="CJ184" i="4"/>
  <c r="BD127" i="4"/>
  <c r="BN127" i="4" s="1"/>
  <c r="CI127" i="4"/>
  <c r="AY567" i="4"/>
  <c r="CH567" i="4"/>
  <c r="CI160" i="4"/>
  <c r="BD160" i="4"/>
  <c r="BN160" i="4" s="1"/>
  <c r="BJ21" i="4"/>
  <c r="BO21" i="4" s="1"/>
  <c r="CJ21" i="4"/>
  <c r="CH566" i="4"/>
  <c r="AY566" i="4"/>
  <c r="AY158" i="4"/>
  <c r="CH158" i="4"/>
  <c r="BJ158" i="4"/>
  <c r="BO158" i="4" s="1"/>
  <c r="CJ158" i="4"/>
  <c r="BD183" i="4"/>
  <c r="BN183" i="4" s="1"/>
  <c r="CI183" i="4"/>
  <c r="AY183" i="4"/>
  <c r="CH183" i="4"/>
  <c r="BD571" i="4"/>
  <c r="BN571" i="4" s="1"/>
  <c r="CI571" i="4"/>
  <c r="BJ125" i="4"/>
  <c r="BO125" i="4" s="1"/>
  <c r="CJ125" i="4"/>
  <c r="CH24" i="4"/>
  <c r="AY24" i="4"/>
  <c r="BD105" i="4"/>
  <c r="BN105" i="4" s="1"/>
  <c r="CI105" i="4"/>
  <c r="BD572" i="4"/>
  <c r="BN572" i="4" s="1"/>
  <c r="CI572" i="4"/>
  <c r="BD132" i="4"/>
  <c r="BN132" i="4" s="1"/>
  <c r="CI132" i="4"/>
  <c r="BD103" i="4"/>
  <c r="BN103" i="4" s="1"/>
  <c r="CI103" i="4"/>
  <c r="AY22" i="4"/>
  <c r="CH22" i="4"/>
  <c r="CH104" i="4"/>
  <c r="AY104" i="4"/>
  <c r="BD128" i="4"/>
  <c r="BN128" i="4" s="1"/>
  <c r="CI128" i="4"/>
  <c r="BD185" i="4"/>
  <c r="BN185" i="4" s="1"/>
  <c r="CI185" i="4"/>
  <c r="CH126" i="4"/>
  <c r="AY126" i="4"/>
  <c r="BJ126" i="4"/>
  <c r="BO126" i="4" s="1"/>
  <c r="CJ126" i="4"/>
  <c r="CH20" i="4"/>
  <c r="AY20" i="4"/>
  <c r="AY159" i="4"/>
  <c r="CH159" i="4"/>
  <c r="CJ159" i="4"/>
  <c r="BJ159" i="4"/>
  <c r="BO159" i="4" s="1"/>
  <c r="BD130" i="4"/>
  <c r="BN130" i="4" s="1"/>
  <c r="CI130" i="4"/>
  <c r="BD181" i="4"/>
  <c r="BN181" i="4" s="1"/>
  <c r="CI181" i="4"/>
  <c r="BD567" i="4"/>
  <c r="BN567" i="4" s="1"/>
  <c r="CI567" i="4"/>
  <c r="BJ160" i="4"/>
  <c r="BO160" i="4" s="1"/>
  <c r="CJ160" i="4"/>
  <c r="CH102" i="4"/>
  <c r="AY102" i="4"/>
  <c r="BD566" i="4"/>
  <c r="BN566" i="4" s="1"/>
  <c r="CI566" i="4"/>
  <c r="BD100" i="4"/>
  <c r="BN100" i="4" s="1"/>
  <c r="CI100" i="4"/>
  <c r="BD19" i="4"/>
  <c r="BN19" i="4" s="1"/>
  <c r="CI19" i="4"/>
  <c r="BJ129" i="4"/>
  <c r="BO129" i="4" s="1"/>
  <c r="CJ129" i="4"/>
  <c r="BJ571" i="4"/>
  <c r="BO571" i="4" s="1"/>
  <c r="CJ571" i="4"/>
  <c r="BJ179" i="4"/>
  <c r="BO179" i="4" s="1"/>
  <c r="CJ179" i="4"/>
  <c r="BD24" i="4"/>
  <c r="BN24" i="4" s="1"/>
  <c r="CI24" i="4"/>
  <c r="BJ105" i="4"/>
  <c r="BO105" i="4" s="1"/>
  <c r="CJ105" i="4"/>
  <c r="BJ572" i="4"/>
  <c r="BO572" i="4" s="1"/>
  <c r="CJ572" i="4"/>
  <c r="CI186" i="4"/>
  <c r="BD186" i="4"/>
  <c r="BN186" i="4" s="1"/>
  <c r="BD161" i="4"/>
  <c r="BN161" i="4" s="1"/>
  <c r="CI161" i="4"/>
  <c r="BD22" i="4"/>
  <c r="BN22" i="4" s="1"/>
  <c r="CI22" i="4"/>
  <c r="AY23" i="4"/>
  <c r="CH23" i="4"/>
  <c r="BD104" i="4"/>
  <c r="BN104" i="4" s="1"/>
  <c r="CI104" i="4"/>
  <c r="BD182" i="4"/>
  <c r="BN182" i="4" s="1"/>
  <c r="CI182" i="4"/>
  <c r="AY131" i="4"/>
  <c r="CH131" i="4"/>
  <c r="BJ131" i="4"/>
  <c r="BO131" i="4" s="1"/>
  <c r="CJ131" i="4"/>
  <c r="CH180" i="4"/>
  <c r="AY180" i="4"/>
  <c r="BJ180" i="4"/>
  <c r="BO180" i="4" s="1"/>
  <c r="CJ180" i="4"/>
  <c r="BD20" i="4"/>
  <c r="BN20" i="4" s="1"/>
  <c r="CI20" i="4"/>
  <c r="BD101" i="4"/>
  <c r="BN101" i="4" s="1"/>
  <c r="CI101" i="4"/>
  <c r="CK136" i="4"/>
  <c r="AR49" i="4"/>
  <c r="T14" i="64"/>
  <c r="T15" i="64"/>
  <c r="CK271" i="4"/>
  <c r="CK462" i="4"/>
  <c r="CK17" i="4"/>
  <c r="CK93" i="4"/>
  <c r="CK483" i="4"/>
  <c r="BD507" i="4"/>
  <c r="BN507" i="4" s="1"/>
  <c r="CI507" i="4"/>
  <c r="AY541" i="4"/>
  <c r="CH541" i="4"/>
  <c r="BJ49" i="4"/>
  <c r="BO49" i="4" s="1"/>
  <c r="CJ49" i="4"/>
  <c r="CH51" i="4"/>
  <c r="AY51" i="4"/>
  <c r="BD142" i="4"/>
  <c r="BN142" i="4" s="1"/>
  <c r="CI142" i="4"/>
  <c r="CH142" i="4"/>
  <c r="AY142" i="4"/>
  <c r="BJ547" i="4"/>
  <c r="BO547" i="4" s="1"/>
  <c r="CJ547" i="4"/>
  <c r="AY145" i="4"/>
  <c r="CH145" i="4"/>
  <c r="AY547" i="4"/>
  <c r="CH547" i="4"/>
  <c r="AY56" i="4"/>
  <c r="CH56" i="4"/>
  <c r="BJ592" i="4"/>
  <c r="BO592" i="4" s="1"/>
  <c r="CJ592" i="4"/>
  <c r="CH588" i="4"/>
  <c r="AY588" i="4"/>
  <c r="AY544" i="4"/>
  <c r="CH544" i="4"/>
  <c r="BD143" i="4"/>
  <c r="BN143" i="4" s="1"/>
  <c r="CI143" i="4"/>
  <c r="BJ57" i="4"/>
  <c r="BO57" i="4" s="1"/>
  <c r="CJ57" i="4"/>
  <c r="CH57" i="4"/>
  <c r="AY57" i="4"/>
  <c r="CH144" i="4"/>
  <c r="AY144" i="4"/>
  <c r="CI144" i="4"/>
  <c r="BD144" i="4"/>
  <c r="BN144" i="4" s="1"/>
  <c r="AY53" i="4"/>
  <c r="CH53" i="4"/>
  <c r="BD590" i="4"/>
  <c r="BN590" i="4" s="1"/>
  <c r="CI590" i="4"/>
  <c r="AY546" i="4"/>
  <c r="CH546" i="4"/>
  <c r="BD455" i="4"/>
  <c r="BN455" i="4" s="1"/>
  <c r="CI455" i="4"/>
  <c r="BJ50" i="4"/>
  <c r="BO50" i="4" s="1"/>
  <c r="CJ50" i="4"/>
  <c r="AY141" i="4"/>
  <c r="CH141" i="4"/>
  <c r="BD587" i="4"/>
  <c r="BN587" i="4" s="1"/>
  <c r="CI587" i="4"/>
  <c r="AY139" i="4"/>
  <c r="CH139" i="4"/>
  <c r="BJ506" i="4"/>
  <c r="BO506" i="4" s="1"/>
  <c r="CJ506" i="4"/>
  <c r="BD139" i="4"/>
  <c r="BN139" i="4" s="1"/>
  <c r="CI139" i="4"/>
  <c r="CK275" i="4"/>
  <c r="BD541" i="4"/>
  <c r="BN541" i="4" s="1"/>
  <c r="CI541" i="4"/>
  <c r="BD49" i="4"/>
  <c r="BN49" i="4" s="1"/>
  <c r="CI49" i="4"/>
  <c r="CJ140" i="4"/>
  <c r="BJ140" i="4"/>
  <c r="BO140" i="4" s="1"/>
  <c r="BJ142" i="4"/>
  <c r="BO142" i="4" s="1"/>
  <c r="CJ142" i="4"/>
  <c r="BD509" i="4"/>
  <c r="BN509" i="4" s="1"/>
  <c r="CI509" i="4"/>
  <c r="AY509" i="4"/>
  <c r="CH509" i="4"/>
  <c r="BJ145" i="4"/>
  <c r="BO145" i="4" s="1"/>
  <c r="CJ145" i="4"/>
  <c r="BJ591" i="4"/>
  <c r="BO591" i="4" s="1"/>
  <c r="CJ591" i="4"/>
  <c r="BD547" i="4"/>
  <c r="BN547" i="4" s="1"/>
  <c r="CI547" i="4"/>
  <c r="AY591" i="4"/>
  <c r="CH591" i="4"/>
  <c r="CH592" i="4"/>
  <c r="AY592" i="4"/>
  <c r="BD548" i="4"/>
  <c r="BN548" i="4" s="1"/>
  <c r="CI548" i="4"/>
  <c r="BD52" i="4"/>
  <c r="BN52" i="4" s="1"/>
  <c r="CI52" i="4"/>
  <c r="BJ143" i="4"/>
  <c r="BO143" i="4" s="1"/>
  <c r="CJ143" i="4"/>
  <c r="BD544" i="4"/>
  <c r="BN544" i="4" s="1"/>
  <c r="CI544" i="4"/>
  <c r="AY549" i="4"/>
  <c r="CH549" i="4"/>
  <c r="CI146" i="4"/>
  <c r="BD146" i="4"/>
  <c r="BN146" i="4" s="1"/>
  <c r="AY545" i="4"/>
  <c r="CH545" i="4"/>
  <c r="BD545" i="4"/>
  <c r="BN545" i="4" s="1"/>
  <c r="CI545" i="4"/>
  <c r="CJ144" i="4"/>
  <c r="BJ144" i="4"/>
  <c r="BO144" i="4" s="1"/>
  <c r="BJ546" i="4"/>
  <c r="BO546" i="4" s="1"/>
  <c r="CJ546" i="4"/>
  <c r="BJ54" i="4"/>
  <c r="BO54" i="4" s="1"/>
  <c r="CJ54" i="4"/>
  <c r="CH590" i="4"/>
  <c r="AY590" i="4"/>
  <c r="AY54" i="4"/>
  <c r="CH54" i="4"/>
  <c r="BD141" i="4"/>
  <c r="BN141" i="4" s="1"/>
  <c r="CI141" i="4"/>
  <c r="BJ587" i="4"/>
  <c r="BO587" i="4" s="1"/>
  <c r="CJ587" i="4"/>
  <c r="CH508" i="4"/>
  <c r="AY508" i="4"/>
  <c r="BJ542" i="4"/>
  <c r="BO542" i="4" s="1"/>
  <c r="CJ542" i="4"/>
  <c r="CH506" i="4"/>
  <c r="AY506" i="4"/>
  <c r="BJ540" i="4"/>
  <c r="BO540" i="4" s="1"/>
  <c r="CJ540" i="4"/>
  <c r="BD506" i="4"/>
  <c r="BN506" i="4" s="1"/>
  <c r="CI506" i="4"/>
  <c r="CK273" i="4"/>
  <c r="CH140" i="4"/>
  <c r="AY140" i="4"/>
  <c r="AY49" i="4"/>
  <c r="CH49" i="4"/>
  <c r="BJ507" i="4"/>
  <c r="BO507" i="4" s="1"/>
  <c r="CJ507" i="4"/>
  <c r="BJ509" i="4"/>
  <c r="BO509" i="4" s="1"/>
  <c r="CJ509" i="4"/>
  <c r="BD543" i="4"/>
  <c r="BN543" i="4" s="1"/>
  <c r="CI543" i="4"/>
  <c r="AY543" i="4"/>
  <c r="CH543" i="4"/>
  <c r="AY511" i="4"/>
  <c r="CH511" i="4"/>
  <c r="AY55" i="4"/>
  <c r="CH55" i="4"/>
  <c r="BD591" i="4"/>
  <c r="BN591" i="4" s="1"/>
  <c r="CI591" i="4"/>
  <c r="BD55" i="4"/>
  <c r="BN55" i="4" s="1"/>
  <c r="CI55" i="4"/>
  <c r="BD56" i="4"/>
  <c r="BN56" i="4" s="1"/>
  <c r="CI56" i="4"/>
  <c r="BD592" i="4"/>
  <c r="BN592" i="4" s="1"/>
  <c r="CI592" i="4"/>
  <c r="AY52" i="4"/>
  <c r="CH52" i="4"/>
  <c r="BJ544" i="4"/>
  <c r="BO544" i="4" s="1"/>
  <c r="CJ544" i="4"/>
  <c r="BD588" i="4"/>
  <c r="BN588" i="4" s="1"/>
  <c r="CI588" i="4"/>
  <c r="BD57" i="4"/>
  <c r="BN57" i="4" s="1"/>
  <c r="CI57" i="4"/>
  <c r="CH146" i="4"/>
  <c r="AY146" i="4"/>
  <c r="CH589" i="4"/>
  <c r="AY589" i="4"/>
  <c r="BD589" i="4"/>
  <c r="BN589" i="4" s="1"/>
  <c r="CI589" i="4"/>
  <c r="BJ545" i="4"/>
  <c r="BO545" i="4" s="1"/>
  <c r="CJ545" i="4"/>
  <c r="AY455" i="4"/>
  <c r="CH455" i="4"/>
  <c r="CH510" i="4"/>
  <c r="AY510" i="4"/>
  <c r="BD54" i="4"/>
  <c r="BN54" i="4" s="1"/>
  <c r="CI54" i="4"/>
  <c r="BD510" i="4"/>
  <c r="BN510" i="4" s="1"/>
  <c r="CI510" i="4"/>
  <c r="CI508" i="4"/>
  <c r="BD508" i="4"/>
  <c r="BN508" i="4" s="1"/>
  <c r="BJ141" i="4"/>
  <c r="BO141" i="4" s="1"/>
  <c r="CJ141" i="4"/>
  <c r="AY542" i="4"/>
  <c r="CH542" i="4"/>
  <c r="AY50" i="4"/>
  <c r="CH50" i="4"/>
  <c r="AY48" i="4"/>
  <c r="CH48" i="4"/>
  <c r="AY540" i="4"/>
  <c r="CH540" i="4"/>
  <c r="BD540" i="4"/>
  <c r="BN540" i="4" s="1"/>
  <c r="CI540" i="4"/>
  <c r="CH507" i="4"/>
  <c r="AY507" i="4"/>
  <c r="CI140" i="4"/>
  <c r="BD140" i="4"/>
  <c r="BN140" i="4" s="1"/>
  <c r="BJ541" i="4"/>
  <c r="BO541" i="4" s="1"/>
  <c r="CJ541" i="4"/>
  <c r="BJ543" i="4"/>
  <c r="BO543" i="4" s="1"/>
  <c r="CJ543" i="4"/>
  <c r="BJ51" i="4"/>
  <c r="BO51" i="4" s="1"/>
  <c r="CJ51" i="4"/>
  <c r="BD51" i="4"/>
  <c r="BN51" i="4" s="1"/>
  <c r="CI51" i="4"/>
  <c r="BD145" i="4"/>
  <c r="BN145" i="4" s="1"/>
  <c r="CI145" i="4"/>
  <c r="BD511" i="4"/>
  <c r="BN511" i="4" s="1"/>
  <c r="CI511" i="4"/>
  <c r="BJ55" i="4"/>
  <c r="BO55" i="4" s="1"/>
  <c r="CJ55" i="4"/>
  <c r="BJ511" i="4"/>
  <c r="BO511" i="4" s="1"/>
  <c r="CJ511" i="4"/>
  <c r="AY548" i="4"/>
  <c r="CH548" i="4"/>
  <c r="BJ548" i="4"/>
  <c r="BO548" i="4" s="1"/>
  <c r="CJ548" i="4"/>
  <c r="BJ56" i="4"/>
  <c r="BO56" i="4" s="1"/>
  <c r="CJ56" i="4"/>
  <c r="AY143" i="4"/>
  <c r="CH143" i="4"/>
  <c r="BJ588" i="4"/>
  <c r="BO588" i="4" s="1"/>
  <c r="CJ588" i="4"/>
  <c r="BJ52" i="4"/>
  <c r="BO52" i="4" s="1"/>
  <c r="CJ52" i="4"/>
  <c r="BD549" i="4"/>
  <c r="BN549" i="4" s="1"/>
  <c r="CI549" i="4"/>
  <c r="BJ146" i="4"/>
  <c r="BO146" i="4" s="1"/>
  <c r="CJ146" i="4"/>
  <c r="BJ549" i="4"/>
  <c r="BO549" i="4" s="1"/>
  <c r="CJ549" i="4"/>
  <c r="CI53" i="4"/>
  <c r="BD53" i="4"/>
  <c r="BN53" i="4" s="1"/>
  <c r="BJ53" i="4"/>
  <c r="BO53" i="4" s="1"/>
  <c r="CJ53" i="4"/>
  <c r="BJ589" i="4"/>
  <c r="BO589" i="4" s="1"/>
  <c r="CJ589" i="4"/>
  <c r="BD546" i="4"/>
  <c r="BN546" i="4" s="1"/>
  <c r="CI546" i="4"/>
  <c r="BJ590" i="4"/>
  <c r="BO590" i="4" s="1"/>
  <c r="CJ590" i="4"/>
  <c r="BJ510" i="4"/>
  <c r="BO510" i="4" s="1"/>
  <c r="CJ510" i="4"/>
  <c r="BJ455" i="4"/>
  <c r="BO455" i="4" s="1"/>
  <c r="CJ455" i="4"/>
  <c r="BD542" i="4"/>
  <c r="BN542" i="4" s="1"/>
  <c r="CI542" i="4"/>
  <c r="CJ508" i="4"/>
  <c r="BJ508" i="4"/>
  <c r="BO508" i="4" s="1"/>
  <c r="BD50" i="4"/>
  <c r="BN50" i="4" s="1"/>
  <c r="CI50" i="4"/>
  <c r="CH587" i="4"/>
  <c r="AY587" i="4"/>
  <c r="BJ139" i="4"/>
  <c r="BO139" i="4" s="1"/>
  <c r="CJ139" i="4"/>
  <c r="BD48" i="4"/>
  <c r="BN48" i="4" s="1"/>
  <c r="CI48" i="4"/>
  <c r="BJ48" i="4"/>
  <c r="BO48" i="4" s="1"/>
  <c r="CJ48" i="4"/>
  <c r="BJ79" i="4"/>
  <c r="BO79" i="4" s="1"/>
  <c r="CJ79" i="4"/>
  <c r="BD150" i="4"/>
  <c r="BN150" i="4" s="1"/>
  <c r="CI150" i="4"/>
  <c r="CI463" i="4"/>
  <c r="BD463" i="4"/>
  <c r="BN463" i="4" s="1"/>
  <c r="CI558" i="4"/>
  <c r="BD558" i="4"/>
  <c r="BN558" i="4" s="1"/>
  <c r="BD46" i="4"/>
  <c r="BN46" i="4" s="1"/>
  <c r="CI46" i="4"/>
  <c r="CH452" i="4"/>
  <c r="AY452" i="4"/>
  <c r="AY46" i="4"/>
  <c r="CH46" i="4"/>
  <c r="BJ46" i="4"/>
  <c r="BO46" i="4" s="1"/>
  <c r="CJ46" i="4"/>
  <c r="CH451" i="4"/>
  <c r="AY451" i="4"/>
  <c r="AY152" i="4"/>
  <c r="CH152" i="4"/>
  <c r="AY81" i="4"/>
  <c r="CH81" i="4"/>
  <c r="BD12" i="4"/>
  <c r="BN12" i="4" s="1"/>
  <c r="CI12" i="4"/>
  <c r="BD98" i="4"/>
  <c r="BN98" i="4" s="1"/>
  <c r="CI98" i="4"/>
  <c r="AY92" i="4"/>
  <c r="CH92" i="4"/>
  <c r="CH443" i="4"/>
  <c r="CJ561" i="4"/>
  <c r="BJ561" i="4"/>
  <c r="BO561" i="4" s="1"/>
  <c r="CI450" i="4"/>
  <c r="BD450" i="4"/>
  <c r="BN450" i="4" s="1"/>
  <c r="BD83" i="4"/>
  <c r="BN83" i="4" s="1"/>
  <c r="CI83" i="4"/>
  <c r="CH450" i="4"/>
  <c r="AY450" i="4"/>
  <c r="BJ14" i="4"/>
  <c r="BO14" i="4" s="1"/>
  <c r="CJ14" i="4"/>
  <c r="AY96" i="4"/>
  <c r="CH96" i="4"/>
  <c r="BD96" i="4"/>
  <c r="BN96" i="4" s="1"/>
  <c r="CI96" i="4"/>
  <c r="BE271" i="4"/>
  <c r="CH594" i="4"/>
  <c r="AY594" i="4"/>
  <c r="CI147" i="4"/>
  <c r="BD147" i="4"/>
  <c r="BN147" i="4" s="1"/>
  <c r="BD559" i="4"/>
  <c r="BN559" i="4" s="1"/>
  <c r="CI559" i="4"/>
  <c r="AY80" i="4"/>
  <c r="CH80" i="4"/>
  <c r="CH559" i="4"/>
  <c r="AY559" i="4"/>
  <c r="BJ559" i="4"/>
  <c r="BO559" i="4" s="1"/>
  <c r="CJ559" i="4"/>
  <c r="BE45" i="4"/>
  <c r="CI465" i="4"/>
  <c r="BD465" i="4"/>
  <c r="BN465" i="4" s="1"/>
  <c r="AY465" i="4"/>
  <c r="CH465" i="4"/>
  <c r="AY82" i="4"/>
  <c r="CH82" i="4"/>
  <c r="BD94" i="4"/>
  <c r="BN94" i="4" s="1"/>
  <c r="CI94" i="4"/>
  <c r="CI593" i="4"/>
  <c r="BD593" i="4"/>
  <c r="BN593" i="4" s="1"/>
  <c r="AY593" i="4"/>
  <c r="CH593" i="4"/>
  <c r="CK477" i="4"/>
  <c r="CK155" i="4"/>
  <c r="AY462" i="4"/>
  <c r="BJ463" i="4"/>
  <c r="BO463" i="4" s="1"/>
  <c r="CJ463" i="4"/>
  <c r="BD597" i="4"/>
  <c r="BN597" i="4" s="1"/>
  <c r="CI597" i="4"/>
  <c r="CH10" i="4"/>
  <c r="BJ10" i="4"/>
  <c r="BO10" i="4" s="1"/>
  <c r="CJ10" i="4"/>
  <c r="BD137" i="4"/>
  <c r="BN137" i="4" s="1"/>
  <c r="CI137" i="4"/>
  <c r="CH538" i="4"/>
  <c r="AY538" i="4"/>
  <c r="CH137" i="4"/>
  <c r="AY137" i="4"/>
  <c r="BJ137" i="4"/>
  <c r="BO137" i="4" s="1"/>
  <c r="CJ137" i="4"/>
  <c r="CI81" i="4"/>
  <c r="BD81" i="4"/>
  <c r="BN81" i="4" s="1"/>
  <c r="CI560" i="4"/>
  <c r="BD560" i="4"/>
  <c r="BN560" i="4" s="1"/>
  <c r="BD451" i="4"/>
  <c r="BN451" i="4" s="1"/>
  <c r="CI451" i="4"/>
  <c r="BD152" i="4"/>
  <c r="BN152" i="4" s="1"/>
  <c r="CI152" i="4"/>
  <c r="AY98" i="4"/>
  <c r="CH98" i="4"/>
  <c r="BJ92" i="4"/>
  <c r="BO92" i="4" s="1"/>
  <c r="CJ92" i="4"/>
  <c r="AY561" i="4"/>
  <c r="CH561" i="4"/>
  <c r="CH498" i="4"/>
  <c r="AY498" i="4"/>
  <c r="CI466" i="4"/>
  <c r="BD466" i="4"/>
  <c r="BN466" i="4" s="1"/>
  <c r="CI443" i="4"/>
  <c r="BD443" i="4"/>
  <c r="BN443" i="4" s="1"/>
  <c r="CH466" i="4"/>
  <c r="AY466" i="4"/>
  <c r="BJ450" i="4"/>
  <c r="BO450" i="4" s="1"/>
  <c r="CJ450" i="4"/>
  <c r="AY156" i="4"/>
  <c r="CH156" i="4"/>
  <c r="BD156" i="4"/>
  <c r="BN156" i="4" s="1"/>
  <c r="CI156" i="4"/>
  <c r="CJ147" i="4"/>
  <c r="BJ147" i="4"/>
  <c r="BO147" i="4" s="1"/>
  <c r="CI594" i="4"/>
  <c r="BD594" i="4"/>
  <c r="BN594" i="4" s="1"/>
  <c r="AY11" i="4"/>
  <c r="CH11" i="4"/>
  <c r="BJ11" i="4"/>
  <c r="BO11" i="4" s="1"/>
  <c r="CJ11" i="4"/>
  <c r="CH464" i="4"/>
  <c r="AY464" i="4"/>
  <c r="CI11" i="4"/>
  <c r="BD11" i="4"/>
  <c r="BN11" i="4" s="1"/>
  <c r="BD80" i="4"/>
  <c r="BN80" i="4" s="1"/>
  <c r="CI80" i="4"/>
  <c r="BD82" i="4"/>
  <c r="BN82" i="4" s="1"/>
  <c r="CI82" i="4"/>
  <c r="BJ13" i="4"/>
  <c r="BO13" i="4" s="1"/>
  <c r="CJ13" i="4"/>
  <c r="BJ82" i="4"/>
  <c r="BO82" i="4" s="1"/>
  <c r="CJ82" i="4"/>
  <c r="AY537" i="4"/>
  <c r="CK481" i="4"/>
  <c r="AY94" i="4"/>
  <c r="CH94" i="4"/>
  <c r="BJ550" i="4"/>
  <c r="BO550" i="4" s="1"/>
  <c r="CJ550" i="4"/>
  <c r="CI550" i="4"/>
  <c r="BD550" i="4"/>
  <c r="BN550" i="4" s="1"/>
  <c r="CI97" i="4"/>
  <c r="BD97" i="4"/>
  <c r="BN97" i="4" s="1"/>
  <c r="AY95" i="4"/>
  <c r="CH95" i="4"/>
  <c r="CK478" i="4"/>
  <c r="AR465" i="4"/>
  <c r="CK276" i="4"/>
  <c r="CK482" i="4"/>
  <c r="CK277" i="4"/>
  <c r="CH79" i="4"/>
  <c r="AY79" i="4"/>
  <c r="CH558" i="4"/>
  <c r="AY558" i="4"/>
  <c r="BJ558" i="4"/>
  <c r="BO558" i="4" s="1"/>
  <c r="CJ558" i="4"/>
  <c r="AY150" i="4"/>
  <c r="CH150" i="4"/>
  <c r="BJ150" i="4"/>
  <c r="BO150" i="4" s="1"/>
  <c r="CJ150" i="4"/>
  <c r="AY505" i="4"/>
  <c r="CH505" i="4"/>
  <c r="CJ505" i="4"/>
  <c r="BJ505" i="4"/>
  <c r="BO505" i="4" s="1"/>
  <c r="BJ452" i="4"/>
  <c r="BO452" i="4" s="1"/>
  <c r="CJ452" i="4"/>
  <c r="CI505" i="4"/>
  <c r="BD505" i="4"/>
  <c r="BN505" i="4" s="1"/>
  <c r="CI452" i="4"/>
  <c r="BD452" i="4"/>
  <c r="BN452" i="4" s="1"/>
  <c r="BJ451" i="4"/>
  <c r="BO451" i="4" s="1"/>
  <c r="CJ451" i="4"/>
  <c r="BJ12" i="4"/>
  <c r="BO12" i="4" s="1"/>
  <c r="CJ12" i="4"/>
  <c r="BJ81" i="4"/>
  <c r="BO81" i="4" s="1"/>
  <c r="CJ81" i="4"/>
  <c r="BJ560" i="4"/>
  <c r="BO560" i="4" s="1"/>
  <c r="CJ560" i="4"/>
  <c r="BJ98" i="4"/>
  <c r="BO98" i="4" s="1"/>
  <c r="CJ98" i="4"/>
  <c r="BD92" i="4"/>
  <c r="BN92" i="4" s="1"/>
  <c r="CI92" i="4"/>
  <c r="BJ83" i="4"/>
  <c r="BO83" i="4" s="1"/>
  <c r="CJ83" i="4"/>
  <c r="AY599" i="4"/>
  <c r="CH599" i="4"/>
  <c r="BJ498" i="4"/>
  <c r="BO498" i="4" s="1"/>
  <c r="CJ498" i="4"/>
  <c r="CI561" i="4"/>
  <c r="BD561" i="4"/>
  <c r="BN561" i="4" s="1"/>
  <c r="CI498" i="4"/>
  <c r="BD498" i="4"/>
  <c r="BN498" i="4" s="1"/>
  <c r="BJ466" i="4"/>
  <c r="BO466" i="4" s="1"/>
  <c r="CJ466" i="4"/>
  <c r="BJ96" i="4"/>
  <c r="BO96" i="4" s="1"/>
  <c r="CJ96" i="4"/>
  <c r="BJ594" i="4"/>
  <c r="BO594" i="4" s="1"/>
  <c r="CJ594" i="4"/>
  <c r="AY59" i="4"/>
  <c r="CH59" i="4"/>
  <c r="AY151" i="4"/>
  <c r="CH151" i="4"/>
  <c r="BJ151" i="4"/>
  <c r="BO151" i="4" s="1"/>
  <c r="CJ151" i="4"/>
  <c r="BJ80" i="4"/>
  <c r="BO80" i="4" s="1"/>
  <c r="CJ80" i="4"/>
  <c r="CI151" i="4"/>
  <c r="BD151" i="4"/>
  <c r="BN151" i="4" s="1"/>
  <c r="CI464" i="4"/>
  <c r="BD464" i="4"/>
  <c r="BN464" i="4" s="1"/>
  <c r="CI13" i="4"/>
  <c r="BD13" i="4"/>
  <c r="BN13" i="4" s="1"/>
  <c r="AY13" i="4"/>
  <c r="CH13" i="4"/>
  <c r="BJ153" i="4"/>
  <c r="BO153" i="4" s="1"/>
  <c r="CJ153" i="4"/>
  <c r="BK271" i="4"/>
  <c r="BJ94" i="4"/>
  <c r="BO94" i="4" s="1"/>
  <c r="CJ94" i="4"/>
  <c r="BD58" i="4"/>
  <c r="BN58" i="4" s="1"/>
  <c r="CI58" i="4"/>
  <c r="AY58" i="4"/>
  <c r="CH58" i="4"/>
  <c r="BJ593" i="4"/>
  <c r="BO593" i="4" s="1"/>
  <c r="CJ593" i="4"/>
  <c r="BE537" i="4"/>
  <c r="BK537" i="4"/>
  <c r="AY97" i="4"/>
  <c r="CH97" i="4"/>
  <c r="CJ95" i="4"/>
  <c r="BJ95" i="4"/>
  <c r="BO95" i="4" s="1"/>
  <c r="CK86" i="4"/>
  <c r="CK154" i="4"/>
  <c r="CK272" i="4"/>
  <c r="BE462" i="4"/>
  <c r="AY463" i="4"/>
  <c r="CH463" i="4"/>
  <c r="BD10" i="4"/>
  <c r="BN10" i="4" s="1"/>
  <c r="CI10" i="4"/>
  <c r="CI79" i="4"/>
  <c r="BD79" i="4"/>
  <c r="BN79" i="4" s="1"/>
  <c r="CH597" i="4"/>
  <c r="AY597" i="4"/>
  <c r="BJ597" i="4"/>
  <c r="BO597" i="4" s="1"/>
  <c r="CJ597" i="4"/>
  <c r="CH586" i="4"/>
  <c r="AY586" i="4"/>
  <c r="BJ586" i="4"/>
  <c r="BO586" i="4" s="1"/>
  <c r="CJ586" i="4"/>
  <c r="BJ538" i="4"/>
  <c r="BO538" i="4" s="1"/>
  <c r="CJ538" i="4"/>
  <c r="CI586" i="4"/>
  <c r="BD586" i="4"/>
  <c r="BN586" i="4" s="1"/>
  <c r="CI538" i="4"/>
  <c r="BD538" i="4"/>
  <c r="BN538" i="4" s="1"/>
  <c r="CH12" i="4"/>
  <c r="AY12" i="4"/>
  <c r="BJ152" i="4"/>
  <c r="BO152" i="4" s="1"/>
  <c r="CJ152" i="4"/>
  <c r="CH560" i="4"/>
  <c r="AY560" i="4"/>
  <c r="CH83" i="4"/>
  <c r="AY83" i="4"/>
  <c r="CJ443" i="4"/>
  <c r="BJ443" i="4"/>
  <c r="BO443" i="4" s="1"/>
  <c r="BD14" i="4"/>
  <c r="BN14" i="4" s="1"/>
  <c r="CI14" i="4"/>
  <c r="CJ599" i="4"/>
  <c r="BJ599" i="4"/>
  <c r="BO599" i="4" s="1"/>
  <c r="CH14" i="4"/>
  <c r="AY14" i="4"/>
  <c r="CI599" i="4"/>
  <c r="BD599" i="4"/>
  <c r="BN599" i="4" s="1"/>
  <c r="BJ156" i="4"/>
  <c r="BO156" i="4" s="1"/>
  <c r="CJ156" i="4"/>
  <c r="BK462" i="4"/>
  <c r="AY271" i="4"/>
  <c r="AY147" i="4"/>
  <c r="CH147" i="4"/>
  <c r="BD59" i="4"/>
  <c r="BN59" i="4" s="1"/>
  <c r="CI59" i="4"/>
  <c r="CJ59" i="4"/>
  <c r="BJ59" i="4"/>
  <c r="BO59" i="4" s="1"/>
  <c r="CH598" i="4"/>
  <c r="AY598" i="4"/>
  <c r="BJ598" i="4"/>
  <c r="BO598" i="4" s="1"/>
  <c r="CJ598" i="4"/>
  <c r="BJ464" i="4"/>
  <c r="BO464" i="4" s="1"/>
  <c r="CJ464" i="4"/>
  <c r="CI598" i="4"/>
  <c r="BD598" i="4"/>
  <c r="BN598" i="4" s="1"/>
  <c r="CI153" i="4"/>
  <c r="BD153" i="4"/>
  <c r="BN153" i="4" s="1"/>
  <c r="AY153" i="4"/>
  <c r="CH153" i="4"/>
  <c r="CJ465" i="4"/>
  <c r="BJ465" i="4"/>
  <c r="BO465" i="4" s="1"/>
  <c r="CH550" i="4"/>
  <c r="AY550" i="4"/>
  <c r="BJ58" i="4"/>
  <c r="BO58" i="4" s="1"/>
  <c r="CJ58" i="4"/>
  <c r="BK45" i="4"/>
  <c r="BJ97" i="4"/>
  <c r="BO97" i="4" s="1"/>
  <c r="CJ97" i="4"/>
  <c r="BD95" i="4"/>
  <c r="BN95" i="4" s="1"/>
  <c r="CI95" i="4"/>
  <c r="AS8" i="4"/>
  <c r="CG10" i="4"/>
  <c r="AR10" i="4"/>
  <c r="X6" i="37"/>
  <c r="F6" i="37" s="1"/>
  <c r="CG184" i="4"/>
  <c r="AR184" i="4"/>
  <c r="AR548" i="4"/>
  <c r="CG548" i="4"/>
  <c r="AR544" i="4"/>
  <c r="CG544" i="4"/>
  <c r="AR230" i="4"/>
  <c r="BL230" i="4" s="1"/>
  <c r="CG230" i="4"/>
  <c r="CG180" i="4"/>
  <c r="AR180" i="4"/>
  <c r="AR448" i="4"/>
  <c r="BL448" i="4" s="1"/>
  <c r="CG448" i="4"/>
  <c r="AR510" i="4"/>
  <c r="CG510" i="4"/>
  <c r="AR546" i="4"/>
  <c r="CG546" i="4"/>
  <c r="AR185" i="4"/>
  <c r="CG185" i="4"/>
  <c r="CG107" i="4"/>
  <c r="AR107" i="4"/>
  <c r="BL107" i="4" s="1"/>
  <c r="CG129" i="4"/>
  <c r="AR129" i="4"/>
  <c r="AR508" i="4"/>
  <c r="CG508" i="4"/>
  <c r="AR587" i="4"/>
  <c r="CG587" i="4"/>
  <c r="AR347" i="4"/>
  <c r="BL347" i="4" s="1"/>
  <c r="CG347" i="4"/>
  <c r="AR186" i="4"/>
  <c r="CG186" i="4"/>
  <c r="CG181" i="4"/>
  <c r="AR181" i="4"/>
  <c r="E13" i="52"/>
  <c r="AR507" i="4"/>
  <c r="CG507" i="4"/>
  <c r="CG372" i="4"/>
  <c r="AR372" i="4"/>
  <c r="BL372" i="4" s="1"/>
  <c r="AR128" i="4"/>
  <c r="CG128" i="4"/>
  <c r="AR130" i="4"/>
  <c r="CG130" i="4"/>
  <c r="CG589" i="4"/>
  <c r="AR589" i="4"/>
  <c r="CG125" i="4"/>
  <c r="AR125" i="4"/>
  <c r="AR455" i="4"/>
  <c r="BL455" i="4" s="1"/>
  <c r="CG455" i="4"/>
  <c r="CG131" i="4"/>
  <c r="AR131" i="4"/>
  <c r="AR577" i="4"/>
  <c r="BL577" i="4" s="1"/>
  <c r="CG577" i="4"/>
  <c r="AR183" i="4"/>
  <c r="CG183" i="4"/>
  <c r="AR506" i="4"/>
  <c r="CG506" i="4"/>
  <c r="AR127" i="4"/>
  <c r="CG127" i="4"/>
  <c r="AR543" i="4"/>
  <c r="CG543" i="4"/>
  <c r="X7" i="37"/>
  <c r="F7" i="37" s="1"/>
  <c r="CG182" i="4"/>
  <c r="AR182" i="4"/>
  <c r="AR592" i="4"/>
  <c r="CG592" i="4"/>
  <c r="AR549" i="4"/>
  <c r="CG549" i="4"/>
  <c r="AR126" i="4"/>
  <c r="CG126" i="4"/>
  <c r="AR179" i="4"/>
  <c r="CG179" i="4"/>
  <c r="CG590" i="4"/>
  <c r="AR590" i="4"/>
  <c r="AR356" i="4"/>
  <c r="BL356" i="4" s="1"/>
  <c r="CG356" i="4"/>
  <c r="CG113" i="4"/>
  <c r="AR113" i="4"/>
  <c r="BL113" i="4" s="1"/>
  <c r="AR542" i="4"/>
  <c r="CG542" i="4"/>
  <c r="AR540" i="4"/>
  <c r="CG540" i="4"/>
  <c r="AR132" i="4"/>
  <c r="CG132" i="4"/>
  <c r="AR473" i="4"/>
  <c r="BL473" i="4" s="1"/>
  <c r="CG473" i="4"/>
  <c r="CG409" i="4"/>
  <c r="AR409" i="4"/>
  <c r="BL409" i="4" s="1"/>
  <c r="CG541" i="4"/>
  <c r="AR541" i="4"/>
  <c r="CG509" i="4"/>
  <c r="AR509" i="4"/>
  <c r="AR591" i="4"/>
  <c r="CG591" i="4"/>
  <c r="CG373" i="4"/>
  <c r="AR373" i="4"/>
  <c r="BL373" i="4" s="1"/>
  <c r="AR28" i="4"/>
  <c r="BL28" i="4" s="1"/>
  <c r="CG28" i="4"/>
  <c r="CK28" i="4" s="1"/>
  <c r="AR527" i="4"/>
  <c r="BL527" i="4" s="1"/>
  <c r="CG527" i="4"/>
  <c r="X4" i="37"/>
  <c r="F4" i="37" s="1"/>
  <c r="AR588" i="4"/>
  <c r="CG588" i="4"/>
  <c r="AR545" i="4"/>
  <c r="CG545" i="4"/>
  <c r="AR571" i="4"/>
  <c r="CG571" i="4"/>
  <c r="AR390" i="4"/>
  <c r="BL390" i="4" s="1"/>
  <c r="CG390" i="4"/>
  <c r="AR167" i="4"/>
  <c r="BL167" i="4" s="1"/>
  <c r="CG167" i="4"/>
  <c r="CG141" i="4"/>
  <c r="AR141" i="4"/>
  <c r="AR572" i="4"/>
  <c r="CG572" i="4"/>
  <c r="C42" i="52"/>
  <c r="E42" i="52" s="1"/>
  <c r="CG290" i="4"/>
  <c r="AR290" i="4"/>
  <c r="BL290" i="4" s="1"/>
  <c r="CG547" i="4"/>
  <c r="AR547" i="4"/>
  <c r="CG511" i="4"/>
  <c r="AR511" i="4"/>
  <c r="AR326" i="4"/>
  <c r="BL326" i="4" s="1"/>
  <c r="CG326" i="4"/>
  <c r="AR262" i="4"/>
  <c r="BL262" i="4" s="1"/>
  <c r="CG262" i="4"/>
  <c r="AR410" i="4"/>
  <c r="BL410" i="4" s="1"/>
  <c r="CG410" i="4"/>
  <c r="R13" i="24"/>
  <c r="CG594" i="4"/>
  <c r="AR594" i="4"/>
  <c r="AR593" i="4"/>
  <c r="CG593" i="4"/>
  <c r="CG137" i="4"/>
  <c r="AR137" i="4"/>
  <c r="AR550" i="4"/>
  <c r="CG550" i="4"/>
  <c r="CG505" i="4"/>
  <c r="AR505" i="4"/>
  <c r="AR46" i="4"/>
  <c r="CG46" i="4"/>
  <c r="CG586" i="4"/>
  <c r="AR586" i="4"/>
  <c r="AR452" i="4"/>
  <c r="BL452" i="4" s="1"/>
  <c r="CG452" i="4"/>
  <c r="AR538" i="4"/>
  <c r="CG538" i="4"/>
  <c r="CG520" i="4"/>
  <c r="AR520" i="4"/>
  <c r="BL520" i="4" s="1"/>
  <c r="AR310" i="4"/>
  <c r="BL310" i="4" s="1"/>
  <c r="CG310" i="4"/>
  <c r="CG226" i="4"/>
  <c r="AR289" i="4"/>
  <c r="BL289" i="4" s="1"/>
  <c r="CG289" i="4"/>
  <c r="AR261" i="4"/>
  <c r="BL261" i="4" s="1"/>
  <c r="CG261" i="4"/>
  <c r="AR325" i="4"/>
  <c r="BL325" i="4" s="1"/>
  <c r="CG325" i="4"/>
  <c r="AR371" i="4"/>
  <c r="BL371" i="4" s="1"/>
  <c r="CG371" i="4"/>
  <c r="CG388" i="4"/>
  <c r="AR388" i="4"/>
  <c r="BL388" i="4" s="1"/>
  <c r="AR408" i="4"/>
  <c r="BL408" i="4" s="1"/>
  <c r="CG408" i="4"/>
  <c r="AR472" i="4"/>
  <c r="BL472" i="4" s="1"/>
  <c r="CG472" i="4"/>
  <c r="AR354" i="4"/>
  <c r="BL354" i="4" s="1"/>
  <c r="CG354" i="4"/>
  <c r="CG14" i="4"/>
  <c r="AR98" i="4"/>
  <c r="CG98" i="4"/>
  <c r="AR558" i="4"/>
  <c r="CG558" i="4"/>
  <c r="AR443" i="4"/>
  <c r="BL443" i="4" s="1"/>
  <c r="CG443" i="4"/>
  <c r="AR498" i="4"/>
  <c r="BL498" i="4" s="1"/>
  <c r="CG498" i="4"/>
  <c r="AR156" i="4"/>
  <c r="CG156" i="4"/>
  <c r="AR151" i="4"/>
  <c r="CG151" i="4"/>
  <c r="AR559" i="4"/>
  <c r="CG559" i="4"/>
  <c r="AR451" i="4"/>
  <c r="BL451" i="4" s="1"/>
  <c r="CG451" i="4"/>
  <c r="CG150" i="4"/>
  <c r="AR150" i="4"/>
  <c r="AR597" i="4"/>
  <c r="CG597" i="4"/>
  <c r="AR466" i="4"/>
  <c r="CG466" i="4"/>
  <c r="AR464" i="4"/>
  <c r="CG464" i="4"/>
  <c r="AR81" i="4"/>
  <c r="CG81" i="4"/>
  <c r="AR92" i="4"/>
  <c r="CG92" i="4"/>
  <c r="AR463" i="4"/>
  <c r="CG463" i="4"/>
  <c r="AR450" i="4"/>
  <c r="BL450" i="4" s="1"/>
  <c r="CG450" i="4"/>
  <c r="AR561" i="4"/>
  <c r="CG561" i="4"/>
  <c r="AR94" i="4"/>
  <c r="CG94" i="4"/>
  <c r="AR82" i="4"/>
  <c r="CG82" i="4"/>
  <c r="AR80" i="4"/>
  <c r="CG80" i="4"/>
  <c r="CG152" i="4"/>
  <c r="AR152" i="4"/>
  <c r="AR97" i="4"/>
  <c r="CG97" i="4"/>
  <c r="AR79" i="4"/>
  <c r="CG79" i="4"/>
  <c r="AR83" i="4"/>
  <c r="CG83" i="4"/>
  <c r="AR599" i="4"/>
  <c r="CG599" i="4"/>
  <c r="AR96" i="4"/>
  <c r="CG96" i="4"/>
  <c r="AR153" i="4"/>
  <c r="CG153" i="4"/>
  <c r="AR598" i="4"/>
  <c r="CG598" i="4"/>
  <c r="AR560" i="4"/>
  <c r="CG560" i="4"/>
  <c r="CK528" i="4"/>
  <c r="CK311" i="4"/>
  <c r="CG342" i="4"/>
  <c r="AR342" i="4"/>
  <c r="BL342" i="4" s="1"/>
  <c r="CG424" i="4"/>
  <c r="AR424" i="4"/>
  <c r="BL424" i="4" s="1"/>
  <c r="AR404" i="4"/>
  <c r="BL404" i="4" s="1"/>
  <c r="CG404" i="4"/>
  <c r="CG304" i="4"/>
  <c r="AR304" i="4"/>
  <c r="BL304" i="4" s="1"/>
  <c r="AR234" i="4"/>
  <c r="BL234" i="4" s="1"/>
  <c r="CG234" i="4"/>
  <c r="CK445" i="4"/>
  <c r="AM620" i="4"/>
  <c r="AR215" i="4"/>
  <c r="BL215" i="4" s="1"/>
  <c r="CG215" i="4"/>
  <c r="CK215" i="4" s="1"/>
  <c r="CB620" i="4"/>
  <c r="AR104" i="4"/>
  <c r="CG104" i="4"/>
  <c r="AR19" i="4"/>
  <c r="CG19" i="4"/>
  <c r="AR101" i="4"/>
  <c r="CG101" i="4"/>
  <c r="AR22" i="4"/>
  <c r="CG22" i="4"/>
  <c r="AR566" i="4"/>
  <c r="CG566" i="4"/>
  <c r="AR158" i="4"/>
  <c r="CG158" i="4"/>
  <c r="AR100" i="4"/>
  <c r="CG100" i="4"/>
  <c r="AR103" i="4"/>
  <c r="CG103" i="4"/>
  <c r="AR24" i="4"/>
  <c r="CG24" i="4"/>
  <c r="AR161" i="4"/>
  <c r="CG161" i="4"/>
  <c r="AR20" i="4"/>
  <c r="CG20" i="4"/>
  <c r="AR102" i="4"/>
  <c r="CG102" i="4"/>
  <c r="AR21" i="4"/>
  <c r="CG21" i="4"/>
  <c r="AR23" i="4"/>
  <c r="CG23" i="4"/>
  <c r="AR105" i="4"/>
  <c r="CG105" i="4"/>
  <c r="CG50" i="4"/>
  <c r="AR50" i="4"/>
  <c r="CG54" i="4"/>
  <c r="AR54" i="4"/>
  <c r="CG56" i="4"/>
  <c r="AR56" i="4"/>
  <c r="AR139" i="4"/>
  <c r="CG139" i="4"/>
  <c r="AR53" i="4"/>
  <c r="CG53" i="4"/>
  <c r="CG57" i="4"/>
  <c r="AR57" i="4"/>
  <c r="AR55" i="4"/>
  <c r="CG55" i="4"/>
  <c r="CG52" i="4"/>
  <c r="AR52" i="4"/>
  <c r="CG51" i="4"/>
  <c r="AR51" i="4"/>
  <c r="CG48" i="4"/>
  <c r="AR48" i="4"/>
  <c r="CG145" i="4"/>
  <c r="AR145" i="4"/>
  <c r="CG146" i="4"/>
  <c r="AR146" i="4"/>
  <c r="CG143" i="4"/>
  <c r="AR143" i="4"/>
  <c r="CG144" i="4"/>
  <c r="AR144" i="4"/>
  <c r="CG142" i="4"/>
  <c r="AR142" i="4"/>
  <c r="CG147" i="4"/>
  <c r="AR147" i="4"/>
  <c r="AR58" i="4"/>
  <c r="CG58" i="4"/>
  <c r="AR59" i="4"/>
  <c r="CG59" i="4"/>
  <c r="CK217" i="4"/>
  <c r="CK292" i="4"/>
  <c r="CG11" i="4"/>
  <c r="AR11" i="4"/>
  <c r="AR12" i="4"/>
  <c r="CG12" i="4"/>
  <c r="CG13" i="4"/>
  <c r="AR13" i="4"/>
  <c r="CJ8" i="4"/>
  <c r="R12" i="24"/>
  <c r="E36" i="52"/>
  <c r="D36" i="52"/>
  <c r="O25" i="53"/>
  <c r="O26" i="53"/>
  <c r="O28" i="53"/>
  <c r="O33" i="53"/>
  <c r="O34" i="53"/>
  <c r="O31" i="53"/>
  <c r="P23" i="53"/>
  <c r="O27" i="53"/>
  <c r="O32" i="53"/>
  <c r="O29" i="53"/>
  <c r="O30" i="53"/>
  <c r="N35" i="53"/>
  <c r="V12" i="33"/>
  <c r="Y12" i="33" s="1"/>
  <c r="AS343" i="4" l="1"/>
  <c r="BO229" i="4"/>
  <c r="BK229" i="4"/>
  <c r="BN229" i="4"/>
  <c r="BE229" i="4"/>
  <c r="CK229" i="4"/>
  <c r="BM229" i="4"/>
  <c r="AY229" i="4"/>
  <c r="AR521" i="4"/>
  <c r="BL521" i="4" s="1"/>
  <c r="CT142" i="4"/>
  <c r="BL142" i="4"/>
  <c r="CT143" i="4"/>
  <c r="BL143" i="4"/>
  <c r="CS143" i="4" s="1"/>
  <c r="CT145" i="4"/>
  <c r="BL145" i="4"/>
  <c r="CS145" i="4" s="1"/>
  <c r="CT51" i="4"/>
  <c r="BL51" i="4"/>
  <c r="CT56" i="4"/>
  <c r="BL56" i="4"/>
  <c r="CS56" i="4" s="1"/>
  <c r="CT50" i="4"/>
  <c r="BL50" i="4"/>
  <c r="CT586" i="4"/>
  <c r="BL586" i="4"/>
  <c r="CS586" i="4" s="1"/>
  <c r="CT137" i="4"/>
  <c r="BL137" i="4"/>
  <c r="CS137" i="4" s="1"/>
  <c r="CT132" i="4"/>
  <c r="BL132" i="4"/>
  <c r="CT542" i="4"/>
  <c r="BL542" i="4"/>
  <c r="CS542" i="4" s="1"/>
  <c r="CT179" i="4"/>
  <c r="BL179" i="4"/>
  <c r="CT125" i="4"/>
  <c r="BL125" i="4"/>
  <c r="CT186" i="4"/>
  <c r="BL186" i="4"/>
  <c r="CT185" i="4"/>
  <c r="BL185" i="4"/>
  <c r="BK388" i="4"/>
  <c r="BO388" i="4"/>
  <c r="BK342" i="4"/>
  <c r="BO342" i="4"/>
  <c r="BE261" i="4"/>
  <c r="BN261" i="4"/>
  <c r="BE388" i="4"/>
  <c r="BN388" i="4"/>
  <c r="AY289" i="4"/>
  <c r="BM289" i="4"/>
  <c r="BE231" i="4"/>
  <c r="BN231" i="4"/>
  <c r="BK289" i="4"/>
  <c r="BO289" i="4"/>
  <c r="BK371" i="4"/>
  <c r="BO371" i="4"/>
  <c r="CT12" i="4"/>
  <c r="BL12" i="4"/>
  <c r="CS12" i="4" s="1"/>
  <c r="CT58" i="4"/>
  <c r="BL58" i="4"/>
  <c r="CS58" i="4" s="1"/>
  <c r="CT53" i="4"/>
  <c r="BL53" i="4"/>
  <c r="CS53" i="4" s="1"/>
  <c r="CT102" i="4"/>
  <c r="BL102" i="4"/>
  <c r="CS102" i="4" s="1"/>
  <c r="CT158" i="4"/>
  <c r="BL158" i="4"/>
  <c r="CS158" i="4" s="1"/>
  <c r="CT19" i="4"/>
  <c r="BL19" i="4"/>
  <c r="CS19" i="4" s="1"/>
  <c r="CT83" i="4"/>
  <c r="BL83" i="4"/>
  <c r="CS83" i="4" s="1"/>
  <c r="CT80" i="4"/>
  <c r="BL80" i="4"/>
  <c r="CS80" i="4" s="1"/>
  <c r="CT94" i="4"/>
  <c r="BL94" i="4"/>
  <c r="CS94" i="4" s="1"/>
  <c r="CT92" i="4"/>
  <c r="BL92" i="4"/>
  <c r="CS92" i="4" s="1"/>
  <c r="CT597" i="4"/>
  <c r="BL597" i="4"/>
  <c r="CS597" i="4" s="1"/>
  <c r="CT151" i="4"/>
  <c r="BL151" i="4"/>
  <c r="CT572" i="4"/>
  <c r="BL572" i="4"/>
  <c r="CS572" i="4" s="1"/>
  <c r="CT541" i="4"/>
  <c r="BL541" i="4"/>
  <c r="CS541" i="4" s="1"/>
  <c r="H22" i="2"/>
  <c r="O22" i="2" s="1"/>
  <c r="BM577" i="4"/>
  <c r="BK325" i="4"/>
  <c r="BO325" i="4"/>
  <c r="BE408" i="4"/>
  <c r="BN408" i="4"/>
  <c r="BE325" i="4"/>
  <c r="BN325" i="4"/>
  <c r="AY408" i="4"/>
  <c r="BM408" i="4"/>
  <c r="AY354" i="4"/>
  <c r="BM354" i="4"/>
  <c r="BE520" i="4"/>
  <c r="BN520" i="4"/>
  <c r="CT55" i="4"/>
  <c r="BL55" i="4"/>
  <c r="CS55" i="4" s="1"/>
  <c r="CT96" i="4"/>
  <c r="BL96" i="4"/>
  <c r="CS96" i="4" s="1"/>
  <c r="CT558" i="4"/>
  <c r="BL558" i="4"/>
  <c r="CS558" i="4" s="1"/>
  <c r="CT538" i="4"/>
  <c r="BL538" i="4"/>
  <c r="CS538" i="4" s="1"/>
  <c r="CT511" i="4"/>
  <c r="BL511" i="4"/>
  <c r="CS511" i="4" s="1"/>
  <c r="CT571" i="4"/>
  <c r="BL571" i="4"/>
  <c r="CT127" i="4"/>
  <c r="BL127" i="4"/>
  <c r="CS127" i="4" s="1"/>
  <c r="CT11" i="4"/>
  <c r="BL11" i="4"/>
  <c r="CS11" i="4" s="1"/>
  <c r="CT48" i="4"/>
  <c r="BL48" i="4"/>
  <c r="CS48" i="4" s="1"/>
  <c r="CT152" i="4"/>
  <c r="BL152" i="4"/>
  <c r="CS152" i="4" s="1"/>
  <c r="CT150" i="4"/>
  <c r="BL150" i="4"/>
  <c r="CS150" i="4" s="1"/>
  <c r="CT141" i="4"/>
  <c r="BL141" i="4"/>
  <c r="CS141" i="4" s="1"/>
  <c r="CT591" i="4"/>
  <c r="BL591" i="4"/>
  <c r="CS591" i="4" s="1"/>
  <c r="CT540" i="4"/>
  <c r="BL540" i="4"/>
  <c r="CS540" i="4" s="1"/>
  <c r="CT126" i="4"/>
  <c r="BL126" i="4"/>
  <c r="CS126" i="4" s="1"/>
  <c r="CT592" i="4"/>
  <c r="BL592" i="4"/>
  <c r="CS592" i="4" s="1"/>
  <c r="CT589" i="4"/>
  <c r="BL589" i="4"/>
  <c r="CS589" i="4" s="1"/>
  <c r="CT508" i="4"/>
  <c r="BL508" i="4"/>
  <c r="CS508" i="4" s="1"/>
  <c r="CT546" i="4"/>
  <c r="BL546" i="4"/>
  <c r="CS546" i="4" s="1"/>
  <c r="CT548" i="4"/>
  <c r="BL548" i="4"/>
  <c r="CS548" i="4" s="1"/>
  <c r="CT10" i="4"/>
  <c r="BL10" i="4"/>
  <c r="H17" i="2"/>
  <c r="X17" i="2" s="1"/>
  <c r="BM448" i="4"/>
  <c r="H20" i="2"/>
  <c r="X20" i="2" s="1"/>
  <c r="BM473" i="4"/>
  <c r="BE527" i="4"/>
  <c r="BN527" i="4"/>
  <c r="AY527" i="4"/>
  <c r="BM527" i="4"/>
  <c r="BK408" i="4"/>
  <c r="BO408" i="4"/>
  <c r="BK226" i="4"/>
  <c r="BO226" i="4"/>
  <c r="BK354" i="4"/>
  <c r="BO354" i="4"/>
  <c r="BE371" i="4"/>
  <c r="BN371" i="4"/>
  <c r="AY261" i="4"/>
  <c r="BM261" i="4"/>
  <c r="BE226" i="4"/>
  <c r="BN226" i="4"/>
  <c r="BE354" i="4"/>
  <c r="BN354" i="4"/>
  <c r="BK472" i="4"/>
  <c r="BO472" i="4"/>
  <c r="AY325" i="4"/>
  <c r="BM325" i="4"/>
  <c r="BK520" i="4"/>
  <c r="BO520" i="4"/>
  <c r="CT505" i="4"/>
  <c r="BL505" i="4"/>
  <c r="CS505" i="4" s="1"/>
  <c r="CT594" i="4"/>
  <c r="BL594" i="4"/>
  <c r="CS594" i="4" s="1"/>
  <c r="CT549" i="4"/>
  <c r="BL549" i="4"/>
  <c r="CT131" i="4"/>
  <c r="BL131" i="4"/>
  <c r="CT587" i="4"/>
  <c r="BL587" i="4"/>
  <c r="CT510" i="4"/>
  <c r="BL510" i="4"/>
  <c r="CS510" i="4" s="1"/>
  <c r="CT544" i="4"/>
  <c r="BL544" i="4"/>
  <c r="CS544" i="4" s="1"/>
  <c r="CT465" i="4"/>
  <c r="BL465" i="4"/>
  <c r="CS465" i="4" s="1"/>
  <c r="CT49" i="4"/>
  <c r="BL49" i="4"/>
  <c r="CS49" i="4" s="1"/>
  <c r="BE289" i="4"/>
  <c r="BN289" i="4"/>
  <c r="BE342" i="4"/>
  <c r="BN342" i="4"/>
  <c r="AY342" i="4"/>
  <c r="BM342" i="4"/>
  <c r="AY472" i="4"/>
  <c r="BM472" i="4"/>
  <c r="BK261" i="4"/>
  <c r="BO261" i="4"/>
  <c r="CT23" i="4"/>
  <c r="BL23" i="4"/>
  <c r="CS23" i="4" s="1"/>
  <c r="CT161" i="4"/>
  <c r="BL161" i="4"/>
  <c r="CS161" i="4" s="1"/>
  <c r="CT103" i="4"/>
  <c r="BL103" i="4"/>
  <c r="CS103" i="4" s="1"/>
  <c r="CT22" i="4"/>
  <c r="BL22" i="4"/>
  <c r="CS22" i="4" s="1"/>
  <c r="CT598" i="4"/>
  <c r="BL598" i="4"/>
  <c r="CS598" i="4" s="1"/>
  <c r="CT97" i="4"/>
  <c r="BL97" i="4"/>
  <c r="CT464" i="4"/>
  <c r="BL464" i="4"/>
  <c r="CS464" i="4" s="1"/>
  <c r="CT588" i="4"/>
  <c r="BL588" i="4"/>
  <c r="CT590" i="4"/>
  <c r="BL590" i="4"/>
  <c r="CT183" i="4"/>
  <c r="BL183" i="4"/>
  <c r="CS183" i="4" s="1"/>
  <c r="CT130" i="4"/>
  <c r="BL130" i="4"/>
  <c r="CS130" i="4" s="1"/>
  <c r="CT181" i="4"/>
  <c r="BL181" i="4"/>
  <c r="CT13" i="4"/>
  <c r="BL13" i="4"/>
  <c r="CS13" i="4" s="1"/>
  <c r="CT147" i="4"/>
  <c r="BL147" i="4"/>
  <c r="CS147" i="4" s="1"/>
  <c r="CT144" i="4"/>
  <c r="BL144" i="4"/>
  <c r="CT146" i="4"/>
  <c r="BL146" i="4"/>
  <c r="CS146" i="4" s="1"/>
  <c r="CT52" i="4"/>
  <c r="BL52" i="4"/>
  <c r="CS52" i="4" s="1"/>
  <c r="CT57" i="4"/>
  <c r="BL57" i="4"/>
  <c r="CS57" i="4" s="1"/>
  <c r="CT54" i="4"/>
  <c r="BL54" i="4"/>
  <c r="CT59" i="4"/>
  <c r="BL59" i="4"/>
  <c r="CT139" i="4"/>
  <c r="BL139" i="4"/>
  <c r="CS139" i="4" s="1"/>
  <c r="CT105" i="4"/>
  <c r="BL105" i="4"/>
  <c r="CS105" i="4" s="1"/>
  <c r="CT21" i="4"/>
  <c r="BL21" i="4"/>
  <c r="CS21" i="4" s="1"/>
  <c r="CT20" i="4"/>
  <c r="BL20" i="4"/>
  <c r="CS20" i="4" s="1"/>
  <c r="CT24" i="4"/>
  <c r="BL24" i="4"/>
  <c r="CS24" i="4" s="1"/>
  <c r="CT100" i="4"/>
  <c r="BL100" i="4"/>
  <c r="CT566" i="4"/>
  <c r="BL566" i="4"/>
  <c r="CS566" i="4" s="1"/>
  <c r="CT101" i="4"/>
  <c r="BL101" i="4"/>
  <c r="CT104" i="4"/>
  <c r="BL104" i="4"/>
  <c r="CT560" i="4"/>
  <c r="BL560" i="4"/>
  <c r="CS560" i="4" s="1"/>
  <c r="CT153" i="4"/>
  <c r="BL153" i="4"/>
  <c r="CS153" i="4" s="1"/>
  <c r="CT599" i="4"/>
  <c r="BL599" i="4"/>
  <c r="CS599" i="4" s="1"/>
  <c r="CT79" i="4"/>
  <c r="BL79" i="4"/>
  <c r="CS79" i="4" s="1"/>
  <c r="CT82" i="4"/>
  <c r="BL82" i="4"/>
  <c r="CS82" i="4" s="1"/>
  <c r="CT561" i="4"/>
  <c r="BL561" i="4"/>
  <c r="CS561" i="4" s="1"/>
  <c r="CT463" i="4"/>
  <c r="BL463" i="4"/>
  <c r="CS463" i="4" s="1"/>
  <c r="CT81" i="4"/>
  <c r="BL81" i="4"/>
  <c r="CS81" i="4" s="1"/>
  <c r="CT466" i="4"/>
  <c r="BL466" i="4"/>
  <c r="CS466" i="4" s="1"/>
  <c r="CT559" i="4"/>
  <c r="BL559" i="4"/>
  <c r="CS559" i="4" s="1"/>
  <c r="CT156" i="4"/>
  <c r="BL156" i="4"/>
  <c r="CS156" i="4" s="1"/>
  <c r="CT98" i="4"/>
  <c r="BL98" i="4"/>
  <c r="CS98" i="4" s="1"/>
  <c r="CT46" i="4"/>
  <c r="BL46" i="4"/>
  <c r="CS46" i="4" s="1"/>
  <c r="CT550" i="4"/>
  <c r="BL550" i="4"/>
  <c r="CS550" i="4" s="1"/>
  <c r="CT593" i="4"/>
  <c r="BL593" i="4"/>
  <c r="CT547" i="4"/>
  <c r="BL547" i="4"/>
  <c r="CS547" i="4" s="1"/>
  <c r="CT545" i="4"/>
  <c r="BL545" i="4"/>
  <c r="CS545" i="4" s="1"/>
  <c r="CT509" i="4"/>
  <c r="BL509" i="4"/>
  <c r="CS509" i="4" s="1"/>
  <c r="CT182" i="4"/>
  <c r="BL182" i="4"/>
  <c r="CS182" i="4" s="1"/>
  <c r="CT543" i="4"/>
  <c r="BL543" i="4"/>
  <c r="CS543" i="4" s="1"/>
  <c r="CT506" i="4"/>
  <c r="BL506" i="4"/>
  <c r="CS506" i="4" s="1"/>
  <c r="CT128" i="4"/>
  <c r="BL128" i="4"/>
  <c r="CS128" i="4" s="1"/>
  <c r="CT507" i="4"/>
  <c r="BL507" i="4"/>
  <c r="CS507" i="4" s="1"/>
  <c r="CT129" i="4"/>
  <c r="BL129" i="4"/>
  <c r="CS129" i="4" s="1"/>
  <c r="CT180" i="4"/>
  <c r="BL180" i="4"/>
  <c r="CS180" i="4" s="1"/>
  <c r="CT184" i="4"/>
  <c r="BL184" i="4"/>
  <c r="CS184" i="4" s="1"/>
  <c r="BK527" i="4"/>
  <c r="BO527" i="4"/>
  <c r="BK231" i="4"/>
  <c r="BO231" i="4"/>
  <c r="BE472" i="4"/>
  <c r="BN472" i="4"/>
  <c r="AY388" i="4"/>
  <c r="BM388" i="4"/>
  <c r="AY226" i="4"/>
  <c r="BM226" i="4"/>
  <c r="AY231" i="4"/>
  <c r="BM231" i="4"/>
  <c r="AY371" i="4"/>
  <c r="BM371" i="4"/>
  <c r="AY520" i="4"/>
  <c r="BM520" i="4"/>
  <c r="CU557" i="4"/>
  <c r="CK342" i="4"/>
  <c r="BP292" i="4"/>
  <c r="CT581" i="4"/>
  <c r="CK354" i="4"/>
  <c r="CV112" i="4"/>
  <c r="CK289" i="4"/>
  <c r="CT609" i="4"/>
  <c r="CK527" i="4"/>
  <c r="CJ521" i="4"/>
  <c r="BJ521" i="4"/>
  <c r="CI521" i="4"/>
  <c r="BD521" i="4"/>
  <c r="AX521" i="4"/>
  <c r="CH521" i="4"/>
  <c r="CK325" i="4"/>
  <c r="CK231" i="4"/>
  <c r="CK388" i="4"/>
  <c r="CK408" i="4"/>
  <c r="CK371" i="4"/>
  <c r="CV557" i="4"/>
  <c r="CS557" i="4"/>
  <c r="CV581" i="4"/>
  <c r="D42" i="52"/>
  <c r="AX525" i="4"/>
  <c r="CH525" i="4"/>
  <c r="AR523" i="4"/>
  <c r="BL523" i="4" s="1"/>
  <c r="CG523" i="4"/>
  <c r="BJ525" i="4"/>
  <c r="CJ525" i="4"/>
  <c r="CJ523" i="4"/>
  <c r="BJ523" i="4"/>
  <c r="CI310" i="4"/>
  <c r="BD310" i="4"/>
  <c r="BJ310" i="4"/>
  <c r="CJ310" i="4"/>
  <c r="BD523" i="4"/>
  <c r="CI523" i="4"/>
  <c r="CI525" i="4"/>
  <c r="BD525" i="4"/>
  <c r="AX523" i="4"/>
  <c r="CH523" i="4"/>
  <c r="AX310" i="4"/>
  <c r="CH310" i="4"/>
  <c r="AX309" i="4"/>
  <c r="BM309" i="4" s="1"/>
  <c r="CH309" i="4"/>
  <c r="AX522" i="4"/>
  <c r="BM522" i="4" s="1"/>
  <c r="CH522" i="4"/>
  <c r="BJ309" i="4"/>
  <c r="BO309" i="4" s="1"/>
  <c r="CJ309" i="4"/>
  <c r="BJ522" i="4"/>
  <c r="BO522" i="4" s="1"/>
  <c r="CJ522" i="4"/>
  <c r="BD309" i="4"/>
  <c r="BN309" i="4" s="1"/>
  <c r="CI309" i="4"/>
  <c r="AX524" i="4"/>
  <c r="CH524" i="4"/>
  <c r="CG309" i="4"/>
  <c r="BB526" i="4"/>
  <c r="BH526" i="4"/>
  <c r="AV526" i="4"/>
  <c r="AP526" i="4"/>
  <c r="AR526" i="4" s="1"/>
  <c r="BL526" i="4" s="1"/>
  <c r="CI522" i="4"/>
  <c r="BD522" i="4"/>
  <c r="BN522" i="4" s="1"/>
  <c r="BD524" i="4"/>
  <c r="CI524" i="4"/>
  <c r="BJ524" i="4"/>
  <c r="CJ524" i="4"/>
  <c r="CV576" i="4"/>
  <c r="CU608" i="4"/>
  <c r="CV78" i="4"/>
  <c r="CT78" i="4"/>
  <c r="CV115" i="4"/>
  <c r="CV89" i="4"/>
  <c r="CU578" i="4"/>
  <c r="CU68" i="4"/>
  <c r="CU576" i="4"/>
  <c r="CU467" i="4"/>
  <c r="CT89" i="4"/>
  <c r="CU168" i="4"/>
  <c r="CT112" i="4"/>
  <c r="CT576" i="4"/>
  <c r="AR22" i="2"/>
  <c r="CA621" i="4"/>
  <c r="AP10" i="2"/>
  <c r="AQ22" i="2"/>
  <c r="CU581" i="4"/>
  <c r="CU112" i="4"/>
  <c r="CT170" i="4"/>
  <c r="AP17" i="2"/>
  <c r="AP20" i="2"/>
  <c r="AP22" i="2"/>
  <c r="P22" i="2"/>
  <c r="Y22" i="2" s="1"/>
  <c r="Z22" i="2"/>
  <c r="Z10" i="2"/>
  <c r="AQ17" i="2"/>
  <c r="AQ20" i="2"/>
  <c r="AQ10" i="2"/>
  <c r="CT168" i="4"/>
  <c r="P17" i="2"/>
  <c r="Y17" i="2" s="1"/>
  <c r="P20" i="2"/>
  <c r="Y20" i="2" s="1"/>
  <c r="CK261" i="4"/>
  <c r="AR10" i="2"/>
  <c r="P10" i="2"/>
  <c r="AR17" i="2"/>
  <c r="AO17" i="2"/>
  <c r="CV168" i="4"/>
  <c r="Z17" i="2"/>
  <c r="AO14" i="2"/>
  <c r="AS14" i="2" s="1"/>
  <c r="CK226" i="4"/>
  <c r="CK520" i="4"/>
  <c r="CK472" i="4"/>
  <c r="AR20" i="2"/>
  <c r="Z20" i="2"/>
  <c r="CW63" i="4"/>
  <c r="H10" i="2"/>
  <c r="CS78" i="4"/>
  <c r="CT553" i="4"/>
  <c r="CV171" i="4"/>
  <c r="CW148" i="4"/>
  <c r="CU580" i="4"/>
  <c r="CU604" i="4"/>
  <c r="CV604" i="4"/>
  <c r="CU114" i="4"/>
  <c r="CU117" i="4"/>
  <c r="CT68" i="4"/>
  <c r="CW62" i="4"/>
  <c r="CU607" i="4"/>
  <c r="CV607" i="4"/>
  <c r="CS467" i="4"/>
  <c r="CV68" i="4"/>
  <c r="CV578" i="4"/>
  <c r="BP148" i="4"/>
  <c r="CT604" i="4"/>
  <c r="CT607" i="4"/>
  <c r="CT578" i="4"/>
  <c r="CT114" i="4"/>
  <c r="BP392" i="4"/>
  <c r="CV114" i="4"/>
  <c r="CV117" i="4"/>
  <c r="CW552" i="4"/>
  <c r="CT149" i="4"/>
  <c r="CV134" i="4"/>
  <c r="CV580" i="4"/>
  <c r="CT117" i="4"/>
  <c r="CV467" i="4"/>
  <c r="CU170" i="4"/>
  <c r="CU89" i="4"/>
  <c r="CV170" i="4"/>
  <c r="CU553" i="4"/>
  <c r="CT134" i="4"/>
  <c r="CT580" i="4"/>
  <c r="CU149" i="4"/>
  <c r="CV149" i="4"/>
  <c r="BP271" i="4"/>
  <c r="CU134" i="4"/>
  <c r="BP63" i="4"/>
  <c r="CV553" i="4"/>
  <c r="CV579" i="4"/>
  <c r="BP62" i="4"/>
  <c r="CW595" i="4"/>
  <c r="BP552" i="4"/>
  <c r="CU166" i="4"/>
  <c r="CT606" i="4"/>
  <c r="CU171" i="4"/>
  <c r="CT90" i="4"/>
  <c r="CV166" i="4"/>
  <c r="CV90" i="4"/>
  <c r="CU90" i="4"/>
  <c r="CT166" i="4"/>
  <c r="CT171" i="4"/>
  <c r="CS88" i="4"/>
  <c r="CT88" i="4"/>
  <c r="BP595" i="4"/>
  <c r="CU165" i="4"/>
  <c r="CV606" i="4"/>
  <c r="CU609" i="4"/>
  <c r="CU88" i="4"/>
  <c r="BP412" i="4"/>
  <c r="CV165" i="4"/>
  <c r="CU606" i="4"/>
  <c r="CV155" i="4"/>
  <c r="CT165" i="4"/>
  <c r="CV609" i="4"/>
  <c r="BP340" i="4"/>
  <c r="CU596" i="4"/>
  <c r="CT596" i="4"/>
  <c r="CU169" i="4"/>
  <c r="CS596" i="4"/>
  <c r="CW77" i="4"/>
  <c r="CS468" i="4"/>
  <c r="CS514" i="4"/>
  <c r="CV466" i="4"/>
  <c r="CV560" i="4"/>
  <c r="CV139" i="4"/>
  <c r="CV549" i="4"/>
  <c r="CV588" i="4"/>
  <c r="CV541" i="4"/>
  <c r="CV141" i="4"/>
  <c r="CV544" i="4"/>
  <c r="CV100" i="4"/>
  <c r="CT111" i="4"/>
  <c r="CV133" i="4"/>
  <c r="CT169" i="4"/>
  <c r="CU116" i="4"/>
  <c r="CT91" i="4"/>
  <c r="CU111" i="4"/>
  <c r="CT514" i="4"/>
  <c r="CU514" i="4"/>
  <c r="CW73" i="4"/>
  <c r="CT608" i="4"/>
  <c r="CV608" i="4"/>
  <c r="CU91" i="4"/>
  <c r="CT133" i="4"/>
  <c r="CU468" i="4"/>
  <c r="CV91" i="4"/>
  <c r="CV169" i="4"/>
  <c r="CT116" i="4"/>
  <c r="CV116" i="4"/>
  <c r="CV111" i="4"/>
  <c r="CU133" i="4"/>
  <c r="CV468" i="4"/>
  <c r="BP40" i="4"/>
  <c r="CS512" i="4"/>
  <c r="CT47" i="4"/>
  <c r="CV47" i="4"/>
  <c r="CU47" i="4"/>
  <c r="CS577" i="4"/>
  <c r="CV464" i="4"/>
  <c r="CV586" i="4"/>
  <c r="CV593" i="4"/>
  <c r="CV11" i="4"/>
  <c r="CV92" i="4"/>
  <c r="CV546" i="4"/>
  <c r="CV180" i="4"/>
  <c r="CV186" i="4"/>
  <c r="CV130" i="4"/>
  <c r="CV103" i="4"/>
  <c r="CV183" i="4"/>
  <c r="CV102" i="4"/>
  <c r="CS216" i="4"/>
  <c r="CU74" i="4"/>
  <c r="CV74" i="4"/>
  <c r="CS115" i="4"/>
  <c r="CS603" i="4"/>
  <c r="CS67" i="4"/>
  <c r="CS575" i="4"/>
  <c r="CS579" i="4"/>
  <c r="CV97" i="4"/>
  <c r="CV153" i="4"/>
  <c r="CV83" i="4"/>
  <c r="CV81" i="4"/>
  <c r="CV150" i="4"/>
  <c r="CV463" i="4"/>
  <c r="CV79" i="4"/>
  <c r="CV589" i="4"/>
  <c r="CV146" i="4"/>
  <c r="CV511" i="4"/>
  <c r="CV144" i="4"/>
  <c r="CV104" i="4"/>
  <c r="CU575" i="4"/>
  <c r="CU603" i="4"/>
  <c r="CU67" i="4"/>
  <c r="CU579" i="4"/>
  <c r="AS140" i="4"/>
  <c r="CT140" i="4"/>
  <c r="AS95" i="4"/>
  <c r="CT95" i="4"/>
  <c r="AS14" i="4"/>
  <c r="CT14" i="4"/>
  <c r="CV598" i="4"/>
  <c r="CU10" i="4"/>
  <c r="CV542" i="4"/>
  <c r="CV591" i="4"/>
  <c r="CV142" i="4"/>
  <c r="CV179" i="4"/>
  <c r="CV21" i="4"/>
  <c r="CV184" i="4"/>
  <c r="CV23" i="4"/>
  <c r="CV185" i="4"/>
  <c r="AS16" i="4"/>
  <c r="CU528" i="4"/>
  <c r="CV528" i="4"/>
  <c r="CU516" i="4"/>
  <c r="CV516" i="4"/>
  <c r="CT551" i="4"/>
  <c r="CU551" i="4"/>
  <c r="CV551" i="4"/>
  <c r="CV599" i="4"/>
  <c r="CV80" i="4"/>
  <c r="CV594" i="4"/>
  <c r="CV12" i="4"/>
  <c r="CV559" i="4"/>
  <c r="CV561" i="4"/>
  <c r="CV46" i="4"/>
  <c r="CV48" i="4"/>
  <c r="CV510" i="4"/>
  <c r="CV53" i="4"/>
  <c r="CV56" i="4"/>
  <c r="CV55" i="4"/>
  <c r="CV51" i="4"/>
  <c r="CV545" i="4"/>
  <c r="CV509" i="4"/>
  <c r="CV181" i="4"/>
  <c r="CV132" i="4"/>
  <c r="CV575" i="4"/>
  <c r="CT67" i="4"/>
  <c r="CT115" i="4"/>
  <c r="AS562" i="4"/>
  <c r="CT562" i="4"/>
  <c r="CT219" i="4"/>
  <c r="CU219" i="4"/>
  <c r="CV219" i="4"/>
  <c r="CT556" i="4"/>
  <c r="CU556" i="4"/>
  <c r="CV556" i="4"/>
  <c r="CV58" i="4"/>
  <c r="CV597" i="4"/>
  <c r="CV505" i="4"/>
  <c r="CV82" i="4"/>
  <c r="CV137" i="4"/>
  <c r="CV10" i="4"/>
  <c r="CV508" i="4"/>
  <c r="CV145" i="4"/>
  <c r="CV131" i="4"/>
  <c r="CV572" i="4"/>
  <c r="CV571" i="4"/>
  <c r="CV125" i="4"/>
  <c r="CV158" i="4"/>
  <c r="CV161" i="4"/>
  <c r="CV19" i="4"/>
  <c r="CV566" i="4"/>
  <c r="AS15" i="4"/>
  <c r="CT15" i="4"/>
  <c r="CT220" i="4"/>
  <c r="CV220" i="4"/>
  <c r="CU220" i="4"/>
  <c r="CT539" i="4"/>
  <c r="CV539" i="4"/>
  <c r="CU539" i="4"/>
  <c r="BP515" i="4"/>
  <c r="CS515" i="4"/>
  <c r="CW515" i="4" s="1"/>
  <c r="CV59" i="4"/>
  <c r="CV151" i="4"/>
  <c r="CV96" i="4"/>
  <c r="CV98" i="4"/>
  <c r="CV558" i="4"/>
  <c r="CV147" i="4"/>
  <c r="CV590" i="4"/>
  <c r="CV52" i="4"/>
  <c r="CV548" i="4"/>
  <c r="CV543" i="4"/>
  <c r="CV507" i="4"/>
  <c r="CV506" i="4"/>
  <c r="CV50" i="4"/>
  <c r="CV57" i="4"/>
  <c r="CV592" i="4"/>
  <c r="CV547" i="4"/>
  <c r="CV49" i="4"/>
  <c r="CV20" i="4"/>
  <c r="CV128" i="4"/>
  <c r="CT603" i="4"/>
  <c r="CT138" i="4"/>
  <c r="CU138" i="4"/>
  <c r="CV138" i="4"/>
  <c r="BP77" i="4"/>
  <c r="CV24" i="4"/>
  <c r="CT512" i="4"/>
  <c r="CU512" i="4"/>
  <c r="CV512" i="4"/>
  <c r="CS167" i="4"/>
  <c r="CS113" i="4"/>
  <c r="CS107" i="4"/>
  <c r="CV156" i="4"/>
  <c r="CV152" i="4"/>
  <c r="CV538" i="4"/>
  <c r="CV94" i="4"/>
  <c r="CV550" i="4"/>
  <c r="CV13" i="4"/>
  <c r="CV540" i="4"/>
  <c r="CV587" i="4"/>
  <c r="CV54" i="4"/>
  <c r="CV143" i="4"/>
  <c r="CV105" i="4"/>
  <c r="CV129" i="4"/>
  <c r="CV126" i="4"/>
  <c r="CV101" i="4"/>
  <c r="CV182" i="4"/>
  <c r="CV22" i="4"/>
  <c r="CV127" i="4"/>
  <c r="AS85" i="4"/>
  <c r="CT85" i="4"/>
  <c r="CS106" i="4"/>
  <c r="CT106" i="4"/>
  <c r="CT216" i="4"/>
  <c r="CU216" i="4"/>
  <c r="CV216" i="4"/>
  <c r="CU8" i="4"/>
  <c r="CT8" i="4"/>
  <c r="CV8" i="4"/>
  <c r="CT555" i="4"/>
  <c r="CW555" i="4" s="1"/>
  <c r="BP555" i="4"/>
  <c r="BP73" i="4"/>
  <c r="CK230" i="4"/>
  <c r="CK262" i="4"/>
  <c r="CK84" i="4"/>
  <c r="C17" i="2"/>
  <c r="C19" i="2"/>
  <c r="C14" i="2"/>
  <c r="CK343" i="4"/>
  <c r="CK227" i="4"/>
  <c r="AS228" i="4"/>
  <c r="CK448" i="4"/>
  <c r="CK389" i="4"/>
  <c r="CK304" i="4"/>
  <c r="CV465" i="4"/>
  <c r="CK355" i="4"/>
  <c r="BK404" i="4"/>
  <c r="BE409" i="4"/>
  <c r="BE372" i="4"/>
  <c r="BK343" i="4"/>
  <c r="BE473" i="4"/>
  <c r="BK347" i="4"/>
  <c r="BK389" i="4"/>
  <c r="BE262" i="4"/>
  <c r="AY290" i="4"/>
  <c r="AY404" i="4"/>
  <c r="BE424" i="4"/>
  <c r="BK326" i="4"/>
  <c r="BK355" i="4"/>
  <c r="BK234" i="4"/>
  <c r="BK227" i="4"/>
  <c r="CK404" i="4"/>
  <c r="AY343" i="4"/>
  <c r="BK424" i="4"/>
  <c r="BK448" i="4"/>
  <c r="BE389" i="4"/>
  <c r="AY262" i="4"/>
  <c r="AY230" i="4"/>
  <c r="BK262" i="4"/>
  <c r="BK228" i="4"/>
  <c r="BE227" i="4"/>
  <c r="BE355" i="4"/>
  <c r="AY326" i="4"/>
  <c r="CK290" i="4"/>
  <c r="CK409" i="4"/>
  <c r="AY448" i="4"/>
  <c r="BE343" i="4"/>
  <c r="AY473" i="4"/>
  <c r="BE347" i="4"/>
  <c r="BK409" i="4"/>
  <c r="BK372" i="4"/>
  <c r="BE304" i="4"/>
  <c r="BE234" i="4"/>
  <c r="AY409" i="4"/>
  <c r="BK304" i="4"/>
  <c r="BE326" i="4"/>
  <c r="BE290" i="4"/>
  <c r="BE404" i="4"/>
  <c r="CK228" i="4"/>
  <c r="AY424" i="4"/>
  <c r="CK424" i="4"/>
  <c r="CK326" i="4"/>
  <c r="CK473" i="4"/>
  <c r="CK372" i="4"/>
  <c r="CK347" i="4"/>
  <c r="BK290" i="4"/>
  <c r="AY228" i="4"/>
  <c r="BE448" i="4"/>
  <c r="AY389" i="4"/>
  <c r="AY304" i="4"/>
  <c r="AY234" i="4"/>
  <c r="BK473" i="4"/>
  <c r="AY347" i="4"/>
  <c r="BE228" i="4"/>
  <c r="AY227" i="4"/>
  <c r="AY355" i="4"/>
  <c r="BE230" i="4"/>
  <c r="AY372" i="4"/>
  <c r="BK230" i="4"/>
  <c r="CK16" i="4"/>
  <c r="CK410" i="4"/>
  <c r="CK233" i="4"/>
  <c r="AY410" i="4"/>
  <c r="AY356" i="4"/>
  <c r="CK373" i="4"/>
  <c r="BE410" i="4"/>
  <c r="BK390" i="4"/>
  <c r="BK356" i="4"/>
  <c r="AY233" i="4"/>
  <c r="CK390" i="4"/>
  <c r="AY390" i="4"/>
  <c r="BK410" i="4"/>
  <c r="AY373" i="4"/>
  <c r="CK356" i="4"/>
  <c r="BE390" i="4"/>
  <c r="BK373" i="4"/>
  <c r="BE233" i="4"/>
  <c r="BK233" i="4"/>
  <c r="BE356" i="4"/>
  <c r="BE373" i="4"/>
  <c r="BE15" i="4"/>
  <c r="CK15" i="4"/>
  <c r="BP383" i="4"/>
  <c r="BP374" i="4"/>
  <c r="BJ293" i="4"/>
  <c r="BO293" i="4" s="1"/>
  <c r="CJ293" i="4"/>
  <c r="BD293" i="4"/>
  <c r="BN293" i="4" s="1"/>
  <c r="CI293" i="4"/>
  <c r="BD393" i="4"/>
  <c r="BN393" i="4" s="1"/>
  <c r="CI393" i="4"/>
  <c r="AX341" i="4"/>
  <c r="BM341" i="4" s="1"/>
  <c r="CH341" i="4"/>
  <c r="BD341" i="4"/>
  <c r="BN341" i="4" s="1"/>
  <c r="CI341" i="4"/>
  <c r="BJ393" i="4"/>
  <c r="BO393" i="4" s="1"/>
  <c r="CJ393" i="4"/>
  <c r="AX393" i="4"/>
  <c r="BM393" i="4" s="1"/>
  <c r="CH393" i="4"/>
  <c r="BD324" i="4"/>
  <c r="BN324" i="4" s="1"/>
  <c r="CI324" i="4"/>
  <c r="AX232" i="4"/>
  <c r="CH232" i="4"/>
  <c r="AP15" i="2" s="1"/>
  <c r="BJ413" i="4"/>
  <c r="BO413" i="4" s="1"/>
  <c r="CJ413" i="4"/>
  <c r="CJ324" i="4"/>
  <c r="BJ324" i="4"/>
  <c r="BO324" i="4" s="1"/>
  <c r="AX324" i="4"/>
  <c r="BM324" i="4" s="1"/>
  <c r="CH324" i="4"/>
  <c r="AX293" i="4"/>
  <c r="BM293" i="4" s="1"/>
  <c r="CH293" i="4"/>
  <c r="BD413" i="4"/>
  <c r="BN413" i="4" s="1"/>
  <c r="CI413" i="4"/>
  <c r="BJ232" i="4"/>
  <c r="CJ232" i="4"/>
  <c r="AR15" i="2" s="1"/>
  <c r="BD232" i="4"/>
  <c r="CI232" i="4"/>
  <c r="AX413" i="4"/>
  <c r="BM413" i="4" s="1"/>
  <c r="CH413" i="4"/>
  <c r="BJ341" i="4"/>
  <c r="BO341" i="4" s="1"/>
  <c r="CJ341" i="4"/>
  <c r="CT467" i="4"/>
  <c r="CT564" i="4"/>
  <c r="CW564" i="4" s="1"/>
  <c r="BP564" i="4"/>
  <c r="CK562" i="4"/>
  <c r="CW17" i="4"/>
  <c r="CK167" i="4"/>
  <c r="CK113" i="4"/>
  <c r="CK577" i="4"/>
  <c r="CK107" i="4"/>
  <c r="BK577" i="4"/>
  <c r="BE577" i="4"/>
  <c r="BK167" i="4"/>
  <c r="BK107" i="4"/>
  <c r="BE107" i="4"/>
  <c r="AY107" i="4"/>
  <c r="BK113" i="4"/>
  <c r="AY113" i="4"/>
  <c r="BE167" i="4"/>
  <c r="AY577" i="4"/>
  <c r="BE113" i="4"/>
  <c r="AY167" i="4"/>
  <c r="CW482" i="4"/>
  <c r="CW99" i="4"/>
  <c r="CW481" i="4"/>
  <c r="CW93" i="4"/>
  <c r="CW18" i="4"/>
  <c r="CW86" i="4"/>
  <c r="CT557" i="4"/>
  <c r="BP537" i="4"/>
  <c r="CS537" i="4"/>
  <c r="CW537" i="4" s="1"/>
  <c r="CW476" i="4"/>
  <c r="CW154" i="4"/>
  <c r="CW478" i="4"/>
  <c r="CW136" i="4"/>
  <c r="CW84" i="4"/>
  <c r="BP483" i="4"/>
  <c r="CS483" i="4"/>
  <c r="CW483" i="4" s="1"/>
  <c r="BP462" i="4"/>
  <c r="CS462" i="4"/>
  <c r="CW462" i="4" s="1"/>
  <c r="BP217" i="4"/>
  <c r="CS217" i="4"/>
  <c r="CW217" i="4" s="1"/>
  <c r="BP45" i="4"/>
  <c r="CS45" i="4"/>
  <c r="CW45" i="4" s="1"/>
  <c r="CW477" i="4"/>
  <c r="AC14" i="2"/>
  <c r="AD14" i="2"/>
  <c r="BP18" i="4"/>
  <c r="BP93" i="4"/>
  <c r="BP276" i="4"/>
  <c r="BP86" i="4"/>
  <c r="BP481" i="4"/>
  <c r="BP476" i="4"/>
  <c r="BP270" i="4"/>
  <c r="BP17" i="4"/>
  <c r="AS142" i="4"/>
  <c r="CS142" i="4"/>
  <c r="AS145" i="4"/>
  <c r="AS56" i="4"/>
  <c r="AS560" i="4"/>
  <c r="AS153" i="4"/>
  <c r="AS599" i="4"/>
  <c r="AS79" i="4"/>
  <c r="AS82" i="4"/>
  <c r="AS561" i="4"/>
  <c r="AS463" i="4"/>
  <c r="AS81" i="4"/>
  <c r="AS466" i="4"/>
  <c r="AS559" i="4"/>
  <c r="AS156" i="4"/>
  <c r="AS443" i="4"/>
  <c r="AS98" i="4"/>
  <c r="AS538" i="4"/>
  <c r="AS511" i="4"/>
  <c r="AS545" i="4"/>
  <c r="AS509" i="4"/>
  <c r="AS182" i="4"/>
  <c r="AS543" i="4"/>
  <c r="AS506" i="4"/>
  <c r="AS455" i="4"/>
  <c r="AS128" i="4"/>
  <c r="AS507" i="4"/>
  <c r="AS129" i="4"/>
  <c r="AS180" i="4"/>
  <c r="AS184" i="4"/>
  <c r="BE598" i="4"/>
  <c r="CU598" i="4"/>
  <c r="BE59" i="4"/>
  <c r="CU59" i="4"/>
  <c r="BE498" i="4"/>
  <c r="BE92" i="4"/>
  <c r="CU92" i="4"/>
  <c r="BE97" i="4"/>
  <c r="CU97" i="4"/>
  <c r="BE82" i="4"/>
  <c r="CU82" i="4"/>
  <c r="BE152" i="4"/>
  <c r="CU152" i="4"/>
  <c r="BE137" i="4"/>
  <c r="CU137" i="4"/>
  <c r="BE593" i="4"/>
  <c r="CU593" i="4"/>
  <c r="BE98" i="4"/>
  <c r="CU98" i="4"/>
  <c r="BE463" i="4"/>
  <c r="CU463" i="4"/>
  <c r="BE50" i="4"/>
  <c r="CU50" i="4"/>
  <c r="BE542" i="4"/>
  <c r="CU542" i="4"/>
  <c r="BE546" i="4"/>
  <c r="CU546" i="4"/>
  <c r="BE549" i="4"/>
  <c r="CU549" i="4"/>
  <c r="BE511" i="4"/>
  <c r="CU511" i="4"/>
  <c r="BE51" i="4"/>
  <c r="CU51" i="4"/>
  <c r="BE508" i="4"/>
  <c r="CU508" i="4"/>
  <c r="BE592" i="4"/>
  <c r="CU592" i="4"/>
  <c r="BE55" i="4"/>
  <c r="CU55" i="4"/>
  <c r="BE141" i="4"/>
  <c r="CU141" i="4"/>
  <c r="BE544" i="4"/>
  <c r="CU544" i="4"/>
  <c r="BE52" i="4"/>
  <c r="CU52" i="4"/>
  <c r="BE455" i="4"/>
  <c r="BE143" i="4"/>
  <c r="CU143" i="4"/>
  <c r="BE142" i="4"/>
  <c r="CU142" i="4"/>
  <c r="AS49" i="4"/>
  <c r="BE101" i="4"/>
  <c r="CU101" i="4"/>
  <c r="BE104" i="4"/>
  <c r="CU104" i="4"/>
  <c r="BE186" i="4"/>
  <c r="CU186" i="4"/>
  <c r="BE181" i="4"/>
  <c r="CU181" i="4"/>
  <c r="BE571" i="4"/>
  <c r="CU571" i="4"/>
  <c r="BE160" i="4"/>
  <c r="BE131" i="4"/>
  <c r="CU131" i="4"/>
  <c r="BE102" i="4"/>
  <c r="CU102" i="4"/>
  <c r="BP277" i="4"/>
  <c r="BP477" i="4"/>
  <c r="AS12" i="4"/>
  <c r="AS58" i="4"/>
  <c r="AS55" i="4"/>
  <c r="AS53" i="4"/>
  <c r="AS23" i="4"/>
  <c r="AS102" i="4"/>
  <c r="AS161" i="4"/>
  <c r="AS103" i="4"/>
  <c r="AS158" i="4"/>
  <c r="AS22" i="4"/>
  <c r="AS19" i="4"/>
  <c r="AS13" i="4"/>
  <c r="AS147" i="4"/>
  <c r="AS48" i="4"/>
  <c r="AS132" i="4"/>
  <c r="CS132" i="4"/>
  <c r="AS542" i="4"/>
  <c r="AS549" i="4"/>
  <c r="AS587" i="4"/>
  <c r="CS587" i="4"/>
  <c r="BE14" i="4"/>
  <c r="BE81" i="4"/>
  <c r="CU81" i="4"/>
  <c r="BE83" i="4"/>
  <c r="CU83" i="4"/>
  <c r="BE46" i="4"/>
  <c r="CU46" i="4"/>
  <c r="BE48" i="4"/>
  <c r="CU48" i="4"/>
  <c r="BE53" i="4"/>
  <c r="CU53" i="4"/>
  <c r="BE540" i="4"/>
  <c r="CU540" i="4"/>
  <c r="BE54" i="4"/>
  <c r="CU54" i="4"/>
  <c r="BE588" i="4"/>
  <c r="CU588" i="4"/>
  <c r="BE543" i="4"/>
  <c r="CU543" i="4"/>
  <c r="BE49" i="4"/>
  <c r="CU49" i="4"/>
  <c r="BE587" i="4"/>
  <c r="CU587" i="4"/>
  <c r="BE590" i="4"/>
  <c r="CU590" i="4"/>
  <c r="BE144" i="4"/>
  <c r="CU144" i="4"/>
  <c r="BE22" i="4"/>
  <c r="CU22" i="4"/>
  <c r="BE100" i="4"/>
  <c r="CU100" i="4"/>
  <c r="BE185" i="4"/>
  <c r="CU185" i="4"/>
  <c r="BE132" i="4"/>
  <c r="CU132" i="4"/>
  <c r="BE105" i="4"/>
  <c r="CU105" i="4"/>
  <c r="BE183" i="4"/>
  <c r="CU183" i="4"/>
  <c r="BE180" i="4"/>
  <c r="CU180" i="4"/>
  <c r="BE179" i="4"/>
  <c r="CU179" i="4"/>
  <c r="BE129" i="4"/>
  <c r="CU129" i="4"/>
  <c r="BE23" i="4"/>
  <c r="CU23" i="4"/>
  <c r="BE125" i="4"/>
  <c r="CU125" i="4"/>
  <c r="BE184" i="4"/>
  <c r="CU184" i="4"/>
  <c r="BP272" i="4"/>
  <c r="BP154" i="4"/>
  <c r="AS143" i="4"/>
  <c r="AS51" i="4"/>
  <c r="AS50" i="4"/>
  <c r="AS11" i="4"/>
  <c r="AS144" i="4"/>
  <c r="AS146" i="4"/>
  <c r="AS52" i="4"/>
  <c r="AS57" i="4"/>
  <c r="AS54" i="4"/>
  <c r="AS179" i="4"/>
  <c r="CS179" i="4"/>
  <c r="AS131" i="4"/>
  <c r="AS125" i="4"/>
  <c r="AS186" i="4"/>
  <c r="AS185" i="4"/>
  <c r="AS510" i="4"/>
  <c r="AS544" i="4"/>
  <c r="BE599" i="4"/>
  <c r="CU599" i="4"/>
  <c r="BE586" i="4"/>
  <c r="CU586" i="4"/>
  <c r="BE13" i="4"/>
  <c r="CU13" i="4"/>
  <c r="BE151" i="4"/>
  <c r="CU151" i="4"/>
  <c r="BE505" i="4"/>
  <c r="CU505" i="4"/>
  <c r="BE594" i="4"/>
  <c r="CU594" i="4"/>
  <c r="AS59" i="4"/>
  <c r="AS139" i="4"/>
  <c r="AS105" i="4"/>
  <c r="AS21" i="4"/>
  <c r="AS20" i="4"/>
  <c r="AS24" i="4"/>
  <c r="AS100" i="4"/>
  <c r="AS566" i="4"/>
  <c r="AS101" i="4"/>
  <c r="AS104" i="4"/>
  <c r="AS598" i="4"/>
  <c r="AS96" i="4"/>
  <c r="AS83" i="4"/>
  <c r="AS97" i="4"/>
  <c r="AS80" i="4"/>
  <c r="AS94" i="4"/>
  <c r="AS450" i="4"/>
  <c r="AS92" i="4"/>
  <c r="AS464" i="4"/>
  <c r="AS597" i="4"/>
  <c r="AS451" i="4"/>
  <c r="AS151" i="4"/>
  <c r="AS498" i="4"/>
  <c r="AS558" i="4"/>
  <c r="AS452" i="4"/>
  <c r="AS46" i="4"/>
  <c r="AS550" i="4"/>
  <c r="AS593" i="4"/>
  <c r="AS547" i="4"/>
  <c r="AS572" i="4"/>
  <c r="AS571" i="4"/>
  <c r="AS588" i="4"/>
  <c r="AS541" i="4"/>
  <c r="AS590" i="4"/>
  <c r="AS127" i="4"/>
  <c r="AS183" i="4"/>
  <c r="AS130" i="4"/>
  <c r="AS181" i="4"/>
  <c r="BE153" i="4"/>
  <c r="CU153" i="4"/>
  <c r="BE561" i="4"/>
  <c r="CU561" i="4"/>
  <c r="AS465" i="4"/>
  <c r="BE550" i="4"/>
  <c r="CU550" i="4"/>
  <c r="BE80" i="4"/>
  <c r="CU80" i="4"/>
  <c r="BE466" i="4"/>
  <c r="CU466" i="4"/>
  <c r="BE451" i="4"/>
  <c r="BE597" i="4"/>
  <c r="CU597" i="4"/>
  <c r="BE465" i="4"/>
  <c r="CU465" i="4"/>
  <c r="BE559" i="4"/>
  <c r="CU559" i="4"/>
  <c r="BE450" i="4"/>
  <c r="BE12" i="4"/>
  <c r="CU12" i="4"/>
  <c r="BE558" i="4"/>
  <c r="CU558" i="4"/>
  <c r="BE145" i="4"/>
  <c r="CU145" i="4"/>
  <c r="BE56" i="4"/>
  <c r="CU56" i="4"/>
  <c r="BE591" i="4"/>
  <c r="CU591" i="4"/>
  <c r="BE506" i="4"/>
  <c r="CU506" i="4"/>
  <c r="BE545" i="4"/>
  <c r="CU545" i="4"/>
  <c r="BE146" i="4"/>
  <c r="CU146" i="4"/>
  <c r="BE548" i="4"/>
  <c r="CU548" i="4"/>
  <c r="BE547" i="4"/>
  <c r="CU547" i="4"/>
  <c r="BE139" i="4"/>
  <c r="CU139" i="4"/>
  <c r="BE507" i="4"/>
  <c r="CU507" i="4"/>
  <c r="BE20" i="4"/>
  <c r="CU20" i="4"/>
  <c r="BE182" i="4"/>
  <c r="CU182" i="4"/>
  <c r="BE567" i="4"/>
  <c r="BE130" i="4"/>
  <c r="CU130" i="4"/>
  <c r="BE127" i="4"/>
  <c r="CU127" i="4"/>
  <c r="BE21" i="4"/>
  <c r="CU21" i="4"/>
  <c r="BE159" i="4"/>
  <c r="BP478" i="4"/>
  <c r="BP136" i="4"/>
  <c r="BP84" i="4"/>
  <c r="AS152" i="4"/>
  <c r="AS150" i="4"/>
  <c r="AS586" i="4"/>
  <c r="AS505" i="4"/>
  <c r="AS137" i="4"/>
  <c r="AS594" i="4"/>
  <c r="AS141" i="4"/>
  <c r="AS591" i="4"/>
  <c r="AS540" i="4"/>
  <c r="AS126" i="4"/>
  <c r="AS592" i="4"/>
  <c r="AS589" i="4"/>
  <c r="AS508" i="4"/>
  <c r="AS546" i="4"/>
  <c r="AS548" i="4"/>
  <c r="AS10" i="4"/>
  <c r="BE95" i="4"/>
  <c r="BE538" i="4"/>
  <c r="CU538" i="4"/>
  <c r="BE79" i="4"/>
  <c r="CU79" i="4"/>
  <c r="BE58" i="4"/>
  <c r="CU58" i="4"/>
  <c r="BE464" i="4"/>
  <c r="CU464" i="4"/>
  <c r="BE452" i="4"/>
  <c r="BE11" i="4"/>
  <c r="CU11" i="4"/>
  <c r="BE156" i="4"/>
  <c r="CU156" i="4"/>
  <c r="BE560" i="4"/>
  <c r="CU560" i="4"/>
  <c r="BE94" i="4"/>
  <c r="CU94" i="4"/>
  <c r="BE147" i="4"/>
  <c r="CU147" i="4"/>
  <c r="BE96" i="4"/>
  <c r="CU96" i="4"/>
  <c r="BE150" i="4"/>
  <c r="CU150" i="4"/>
  <c r="BE140" i="4"/>
  <c r="BE510" i="4"/>
  <c r="CU510" i="4"/>
  <c r="BE589" i="4"/>
  <c r="CU589" i="4"/>
  <c r="BE57" i="4"/>
  <c r="CU57" i="4"/>
  <c r="BE509" i="4"/>
  <c r="CU509" i="4"/>
  <c r="BE541" i="4"/>
  <c r="CU541" i="4"/>
  <c r="BE161" i="4"/>
  <c r="CU161" i="4"/>
  <c r="BE24" i="4"/>
  <c r="CU24" i="4"/>
  <c r="BE19" i="4"/>
  <c r="CU19" i="4"/>
  <c r="BE566" i="4"/>
  <c r="CU566" i="4"/>
  <c r="BE128" i="4"/>
  <c r="CU128" i="4"/>
  <c r="BE103" i="4"/>
  <c r="CU103" i="4"/>
  <c r="BE572" i="4"/>
  <c r="CU572" i="4"/>
  <c r="BE126" i="4"/>
  <c r="CU126" i="4"/>
  <c r="BE158" i="4"/>
  <c r="CU158" i="4"/>
  <c r="BP275" i="4"/>
  <c r="BP482" i="4"/>
  <c r="BP99" i="4"/>
  <c r="BP453" i="4"/>
  <c r="BP454" i="4"/>
  <c r="BP31" i="4"/>
  <c r="AS167" i="4"/>
  <c r="AS113" i="4"/>
  <c r="AS107" i="4"/>
  <c r="BK599" i="4"/>
  <c r="BK586" i="4"/>
  <c r="BK83" i="4"/>
  <c r="BK451" i="4"/>
  <c r="BK13" i="4"/>
  <c r="BK105" i="4"/>
  <c r="BK101" i="4"/>
  <c r="BK183" i="4"/>
  <c r="AS408" i="4"/>
  <c r="AS261" i="4"/>
  <c r="AS326" i="4"/>
  <c r="AS28" i="4"/>
  <c r="AS473" i="4"/>
  <c r="AS347" i="4"/>
  <c r="AS448" i="4"/>
  <c r="AS230" i="4"/>
  <c r="BK464" i="4"/>
  <c r="BK152" i="4"/>
  <c r="BK597" i="4"/>
  <c r="BK466" i="4"/>
  <c r="BK150" i="4"/>
  <c r="BK147" i="4"/>
  <c r="BK92" i="4"/>
  <c r="BK455" i="4"/>
  <c r="BK590" i="4"/>
  <c r="BK589" i="4"/>
  <c r="BK146" i="4"/>
  <c r="BK52" i="4"/>
  <c r="BK55" i="4"/>
  <c r="BK51" i="4"/>
  <c r="BK541" i="4"/>
  <c r="BK587" i="4"/>
  <c r="BK546" i="4"/>
  <c r="BK143" i="4"/>
  <c r="BK145" i="4"/>
  <c r="BK140" i="4"/>
  <c r="BK50" i="4"/>
  <c r="BK57" i="4"/>
  <c r="BK125" i="4"/>
  <c r="BK182" i="4"/>
  <c r="BK186" i="4"/>
  <c r="BK100" i="4"/>
  <c r="BK130" i="4"/>
  <c r="BK104" i="4"/>
  <c r="BK24" i="4"/>
  <c r="BK102" i="4"/>
  <c r="BK507" i="4"/>
  <c r="BK49" i="4"/>
  <c r="BK129" i="4"/>
  <c r="BK161" i="4"/>
  <c r="BK185" i="4"/>
  <c r="BK132" i="4"/>
  <c r="BK566" i="4"/>
  <c r="AS342" i="4"/>
  <c r="AS354" i="4"/>
  <c r="AS371" i="4"/>
  <c r="AS521" i="4"/>
  <c r="AS410" i="4"/>
  <c r="AS234" i="4"/>
  <c r="AS404" i="4"/>
  <c r="AS388" i="4"/>
  <c r="AS309" i="4"/>
  <c r="AS290" i="4"/>
  <c r="AS390" i="4"/>
  <c r="AS373" i="4"/>
  <c r="AS409" i="4"/>
  <c r="AS577" i="4"/>
  <c r="BK58" i="4"/>
  <c r="BK156" i="4"/>
  <c r="BK538" i="4"/>
  <c r="BK80" i="4"/>
  <c r="BK560" i="4"/>
  <c r="BK12" i="4"/>
  <c r="BK452" i="4"/>
  <c r="BK558" i="4"/>
  <c r="BK82" i="4"/>
  <c r="BK450" i="4"/>
  <c r="BK137" i="4"/>
  <c r="BK463" i="4"/>
  <c r="BK14" i="4"/>
  <c r="BK561" i="4"/>
  <c r="BK48" i="4"/>
  <c r="BK139" i="4"/>
  <c r="BK548" i="4"/>
  <c r="BK141" i="4"/>
  <c r="BK544" i="4"/>
  <c r="BK509" i="4"/>
  <c r="BK144" i="4"/>
  <c r="BK547" i="4"/>
  <c r="BK572" i="4"/>
  <c r="BK571" i="4"/>
  <c r="BK159" i="4"/>
  <c r="BK158" i="4"/>
  <c r="BK21" i="4"/>
  <c r="BK23" i="4"/>
  <c r="BK22" i="4"/>
  <c r="BK567" i="4"/>
  <c r="AS310" i="4"/>
  <c r="BK95" i="4"/>
  <c r="BK593" i="4"/>
  <c r="BK151" i="4"/>
  <c r="BK594" i="4"/>
  <c r="BK98" i="4"/>
  <c r="BK81" i="4"/>
  <c r="BK10" i="4"/>
  <c r="BK559" i="4"/>
  <c r="BK508" i="4"/>
  <c r="BK56" i="4"/>
  <c r="BK545" i="4"/>
  <c r="BK542" i="4"/>
  <c r="BK142" i="4"/>
  <c r="BK131" i="4"/>
  <c r="BK179" i="4"/>
  <c r="BK128" i="4"/>
  <c r="BK103" i="4"/>
  <c r="BK127" i="4"/>
  <c r="AS215" i="4"/>
  <c r="AS304" i="4"/>
  <c r="AS424" i="4"/>
  <c r="AS472" i="4"/>
  <c r="AS325" i="4"/>
  <c r="AS289" i="4"/>
  <c r="AS520" i="4"/>
  <c r="AS262" i="4"/>
  <c r="AS527" i="4"/>
  <c r="AS356" i="4"/>
  <c r="AS372" i="4"/>
  <c r="BK97" i="4"/>
  <c r="BK465" i="4"/>
  <c r="BK598" i="4"/>
  <c r="BK59" i="4"/>
  <c r="BK94" i="4"/>
  <c r="BK153" i="4"/>
  <c r="BK96" i="4"/>
  <c r="BK498" i="4"/>
  <c r="BK505" i="4"/>
  <c r="BK550" i="4"/>
  <c r="BK11" i="4"/>
  <c r="BK46" i="4"/>
  <c r="BK79" i="4"/>
  <c r="BK510" i="4"/>
  <c r="BK53" i="4"/>
  <c r="BK549" i="4"/>
  <c r="BK588" i="4"/>
  <c r="BK511" i="4"/>
  <c r="BK543" i="4"/>
  <c r="BK540" i="4"/>
  <c r="BK54" i="4"/>
  <c r="BK591" i="4"/>
  <c r="BK506" i="4"/>
  <c r="BK592" i="4"/>
  <c r="BK180" i="4"/>
  <c r="BK160" i="4"/>
  <c r="BK126" i="4"/>
  <c r="BK184" i="4"/>
  <c r="BK19" i="4"/>
  <c r="BK181" i="4"/>
  <c r="BK20" i="4"/>
  <c r="CK559" i="4"/>
  <c r="CK599" i="4"/>
  <c r="CK158" i="4"/>
  <c r="CK132" i="4"/>
  <c r="CK128" i="4"/>
  <c r="CK53" i="4"/>
  <c r="CK24" i="4"/>
  <c r="CK10" i="4"/>
  <c r="CK22" i="4"/>
  <c r="CK180" i="4"/>
  <c r="CK184" i="4"/>
  <c r="CK104" i="4"/>
  <c r="CK126" i="4"/>
  <c r="CK186" i="4"/>
  <c r="CK19" i="4"/>
  <c r="CK572" i="4"/>
  <c r="CK571" i="4"/>
  <c r="CK139" i="4"/>
  <c r="CK20" i="4"/>
  <c r="CK83" i="4"/>
  <c r="CK145" i="4"/>
  <c r="CK55" i="4"/>
  <c r="CK102" i="4"/>
  <c r="CK182" i="4"/>
  <c r="CK181" i="4"/>
  <c r="CK13" i="4"/>
  <c r="CK21" i="4"/>
  <c r="CK541" i="4"/>
  <c r="CK590" i="4"/>
  <c r="CK125" i="4"/>
  <c r="CK548" i="4"/>
  <c r="CK23" i="4"/>
  <c r="CK161" i="4"/>
  <c r="CK100" i="4"/>
  <c r="CK127" i="4"/>
  <c r="CK130" i="4"/>
  <c r="CK11" i="4"/>
  <c r="CK48" i="4"/>
  <c r="CK56" i="4"/>
  <c r="CK105" i="4"/>
  <c r="CK103" i="4"/>
  <c r="CK566" i="4"/>
  <c r="CK498" i="4"/>
  <c r="CK179" i="4"/>
  <c r="CK131" i="4"/>
  <c r="CK507" i="4"/>
  <c r="CK129" i="4"/>
  <c r="CK101" i="4"/>
  <c r="CK98" i="4"/>
  <c r="CK592" i="4"/>
  <c r="CK183" i="4"/>
  <c r="CK587" i="4"/>
  <c r="CK185" i="4"/>
  <c r="CK146" i="4"/>
  <c r="CK50" i="4"/>
  <c r="CK96" i="4"/>
  <c r="CK588" i="4"/>
  <c r="CK549" i="4"/>
  <c r="CK506" i="4"/>
  <c r="CK142" i="4"/>
  <c r="CK143" i="4"/>
  <c r="CK52" i="4"/>
  <c r="CK54" i="4"/>
  <c r="CK545" i="4"/>
  <c r="CK508" i="4"/>
  <c r="CK451" i="4"/>
  <c r="CK49" i="4"/>
  <c r="CK455" i="4"/>
  <c r="CK591" i="4"/>
  <c r="CK509" i="4"/>
  <c r="CK510" i="4"/>
  <c r="CK544" i="4"/>
  <c r="CK140" i="4"/>
  <c r="CK51" i="4"/>
  <c r="CK57" i="4"/>
  <c r="CK144" i="4"/>
  <c r="CK80" i="4"/>
  <c r="CK450" i="4"/>
  <c r="CK464" i="4"/>
  <c r="CK547" i="4"/>
  <c r="CK141" i="4"/>
  <c r="CK542" i="4"/>
  <c r="CK543" i="4"/>
  <c r="CK546" i="4"/>
  <c r="CK511" i="4"/>
  <c r="CK540" i="4"/>
  <c r="CK589" i="4"/>
  <c r="CK95" i="4"/>
  <c r="CK58" i="4"/>
  <c r="CK463" i="4"/>
  <c r="CK443" i="4"/>
  <c r="CK59" i="4"/>
  <c r="CK598" i="4"/>
  <c r="CK14" i="4"/>
  <c r="CK465" i="4"/>
  <c r="AY10" i="4"/>
  <c r="AY443" i="4"/>
  <c r="CK560" i="4"/>
  <c r="CK561" i="4"/>
  <c r="CK81" i="4"/>
  <c r="CK156" i="4"/>
  <c r="CK452" i="4"/>
  <c r="CK586" i="4"/>
  <c r="CK550" i="4"/>
  <c r="CK137" i="4"/>
  <c r="CK147" i="4"/>
  <c r="CK97" i="4"/>
  <c r="CK152" i="4"/>
  <c r="CK94" i="4"/>
  <c r="CK92" i="4"/>
  <c r="CK597" i="4"/>
  <c r="CK150" i="4"/>
  <c r="CK151" i="4"/>
  <c r="CK558" i="4"/>
  <c r="CK538" i="4"/>
  <c r="BK443" i="4"/>
  <c r="BE10" i="4"/>
  <c r="BE443" i="4"/>
  <c r="CK12" i="4"/>
  <c r="CK153" i="4"/>
  <c r="CK79" i="4"/>
  <c r="CK82" i="4"/>
  <c r="CK466" i="4"/>
  <c r="CK46" i="4"/>
  <c r="CK505" i="4"/>
  <c r="CK593" i="4"/>
  <c r="CK594" i="4"/>
  <c r="CG526" i="4"/>
  <c r="AR524" i="4"/>
  <c r="BL524" i="4" s="1"/>
  <c r="CG524" i="4"/>
  <c r="AR232" i="4"/>
  <c r="BL232" i="4" s="1"/>
  <c r="CG232" i="4"/>
  <c r="AO15" i="2" s="1"/>
  <c r="AR324" i="4"/>
  <c r="BL324" i="4" s="1"/>
  <c r="CG324" i="4"/>
  <c r="AR393" i="4"/>
  <c r="BL393" i="4" s="1"/>
  <c r="CG393" i="4"/>
  <c r="AR293" i="4"/>
  <c r="BL293" i="4" s="1"/>
  <c r="CG293" i="4"/>
  <c r="AR341" i="4"/>
  <c r="BL341" i="4" s="1"/>
  <c r="CG341" i="4"/>
  <c r="AR525" i="4"/>
  <c r="BL525" i="4" s="1"/>
  <c r="CG525" i="4"/>
  <c r="AR522" i="4"/>
  <c r="BL522" i="4" s="1"/>
  <c r="CG522" i="4"/>
  <c r="AR413" i="4"/>
  <c r="BL413" i="4" s="1"/>
  <c r="CG413" i="4"/>
  <c r="CK234" i="4"/>
  <c r="AN14" i="2"/>
  <c r="AN29" i="2" s="1"/>
  <c r="AJ29" i="2"/>
  <c r="AG14" i="2"/>
  <c r="AG29" i="2" s="1"/>
  <c r="B29" i="2"/>
  <c r="AR517" i="4"/>
  <c r="BL517" i="4" s="1"/>
  <c r="CG517" i="4"/>
  <c r="AR600" i="4"/>
  <c r="BL600" i="4" s="1"/>
  <c r="CG600" i="4"/>
  <c r="CK600" i="4" s="1"/>
  <c r="AR565" i="4"/>
  <c r="BL565" i="4" s="1"/>
  <c r="CG565" i="4"/>
  <c r="AR567" i="4"/>
  <c r="CG567" i="4"/>
  <c r="CK567" i="4" s="1"/>
  <c r="AR159" i="4"/>
  <c r="CG159" i="4"/>
  <c r="CK159" i="4" s="1"/>
  <c r="AR157" i="4"/>
  <c r="BL157" i="4" s="1"/>
  <c r="CG157" i="4"/>
  <c r="CK157" i="4" s="1"/>
  <c r="AR160" i="4"/>
  <c r="CG160" i="4"/>
  <c r="CK160" i="4" s="1"/>
  <c r="AR568" i="4"/>
  <c r="BL568" i="4" s="1"/>
  <c r="CG568" i="4"/>
  <c r="CK568" i="4" s="1"/>
  <c r="CK8" i="4"/>
  <c r="BK8" i="4"/>
  <c r="AE14" i="2"/>
  <c r="O35" i="53"/>
  <c r="P31" i="53"/>
  <c r="P29" i="53"/>
  <c r="P27" i="53"/>
  <c r="P26" i="53"/>
  <c r="P28" i="53"/>
  <c r="P34" i="53"/>
  <c r="P30" i="53"/>
  <c r="P32" i="53"/>
  <c r="P33" i="53"/>
  <c r="P25" i="53"/>
  <c r="CH620" i="4" l="1"/>
  <c r="O17" i="2"/>
  <c r="X22" i="2"/>
  <c r="O20" i="2"/>
  <c r="S20" i="2" s="1"/>
  <c r="AY523" i="4"/>
  <c r="BM523" i="4"/>
  <c r="BE523" i="4"/>
  <c r="BN523" i="4"/>
  <c r="BK525" i="4"/>
  <c r="BO525" i="4"/>
  <c r="AY525" i="4"/>
  <c r="BM525" i="4"/>
  <c r="BE521" i="4"/>
  <c r="BN521" i="4"/>
  <c r="CU521" i="4" s="1"/>
  <c r="BK524" i="4"/>
  <c r="BO524" i="4"/>
  <c r="BE310" i="4"/>
  <c r="BN310" i="4"/>
  <c r="AY521" i="4"/>
  <c r="BM521" i="4"/>
  <c r="CT521" i="4" s="1"/>
  <c r="P15" i="2"/>
  <c r="Y15" i="2" s="1"/>
  <c r="BN232" i="4"/>
  <c r="BE524" i="4"/>
  <c r="BN524" i="4"/>
  <c r="BE525" i="4"/>
  <c r="BN525" i="4"/>
  <c r="BK523" i="4"/>
  <c r="BO523" i="4"/>
  <c r="CT160" i="4"/>
  <c r="BL160" i="4"/>
  <c r="CT159" i="4"/>
  <c r="BL159" i="4"/>
  <c r="CS159" i="4" s="1"/>
  <c r="CT567" i="4"/>
  <c r="BL567" i="4"/>
  <c r="Z15" i="2"/>
  <c r="BO232" i="4"/>
  <c r="H15" i="2"/>
  <c r="O15" i="2" s="1"/>
  <c r="BM232" i="4"/>
  <c r="AY524" i="4"/>
  <c r="BM524" i="4"/>
  <c r="AY310" i="4"/>
  <c r="BM310" i="4"/>
  <c r="BK310" i="4"/>
  <c r="BO310" i="4"/>
  <c r="BK521" i="4"/>
  <c r="BO521" i="4"/>
  <c r="CV521" i="4" s="1"/>
  <c r="BP273" i="4"/>
  <c r="BP226" i="4"/>
  <c r="CW112" i="4"/>
  <c r="BP112" i="4"/>
  <c r="BP557" i="4"/>
  <c r="AQ19" i="2"/>
  <c r="CK309" i="4"/>
  <c r="AO19" i="2"/>
  <c r="CK521" i="4"/>
  <c r="CK525" i="4"/>
  <c r="CW581" i="4"/>
  <c r="BP581" i="4"/>
  <c r="CK524" i="4"/>
  <c r="AR19" i="2"/>
  <c r="AP19" i="2"/>
  <c r="CK310" i="4"/>
  <c r="AS523" i="4"/>
  <c r="CK523" i="4"/>
  <c r="AX526" i="4"/>
  <c r="AX620" i="4" s="1"/>
  <c r="CH526" i="4"/>
  <c r="AP13" i="2" s="1"/>
  <c r="BE522" i="4"/>
  <c r="BJ526" i="4"/>
  <c r="BJ620" i="4" s="1"/>
  <c r="CJ526" i="4"/>
  <c r="AR13" i="2" s="1"/>
  <c r="BK522" i="4"/>
  <c r="AY522" i="4"/>
  <c r="CI526" i="4"/>
  <c r="CI620" i="4" s="1"/>
  <c r="BD526" i="4"/>
  <c r="BD620" i="4" s="1"/>
  <c r="P19" i="2"/>
  <c r="BE309" i="4"/>
  <c r="BK309" i="4"/>
  <c r="Z19" i="2"/>
  <c r="H19" i="2"/>
  <c r="AY309" i="4"/>
  <c r="CW168" i="4"/>
  <c r="CW576" i="4"/>
  <c r="CW89" i="4"/>
  <c r="BP78" i="4"/>
  <c r="CU78" i="4"/>
  <c r="CW78" i="4" s="1"/>
  <c r="CW170" i="4"/>
  <c r="CW578" i="4"/>
  <c r="BP576" i="4"/>
  <c r="BP457" i="4"/>
  <c r="CW88" i="4"/>
  <c r="Z16" i="2"/>
  <c r="AE16" i="2" s="1"/>
  <c r="BP168" i="4"/>
  <c r="H16" i="2"/>
  <c r="O16" i="2" s="1"/>
  <c r="BP443" i="4"/>
  <c r="CT167" i="4"/>
  <c r="CW165" i="4"/>
  <c r="BP155" i="4"/>
  <c r="CW171" i="4"/>
  <c r="AO10" i="2"/>
  <c r="P16" i="2"/>
  <c r="Y16" i="2" s="1"/>
  <c r="AO13" i="2"/>
  <c r="AQ16" i="2"/>
  <c r="AR16" i="2"/>
  <c r="AQ15" i="2"/>
  <c r="AS15" i="2" s="1"/>
  <c r="CW68" i="4"/>
  <c r="CW114" i="4"/>
  <c r="BP170" i="4"/>
  <c r="AP16" i="2"/>
  <c r="BP422" i="4"/>
  <c r="CW553" i="4"/>
  <c r="AO22" i="2"/>
  <c r="AS22" i="2" s="1"/>
  <c r="CU140" i="4"/>
  <c r="CU155" i="4"/>
  <c r="CW155" i="4" s="1"/>
  <c r="CS140" i="4"/>
  <c r="CW604" i="4"/>
  <c r="CW580" i="4"/>
  <c r="BP165" i="4"/>
  <c r="BP381" i="4"/>
  <c r="W17" i="2"/>
  <c r="AA17" i="2" s="1"/>
  <c r="N17" i="2"/>
  <c r="Q17" i="2" s="1"/>
  <c r="W19" i="2"/>
  <c r="N19" i="2"/>
  <c r="N14" i="2"/>
  <c r="W14" i="2"/>
  <c r="CW133" i="4"/>
  <c r="CW117" i="4"/>
  <c r="BP367" i="4"/>
  <c r="CU167" i="4"/>
  <c r="CV167" i="4"/>
  <c r="BP578" i="4"/>
  <c r="BP580" i="4"/>
  <c r="BP117" i="4"/>
  <c r="CW90" i="4"/>
  <c r="BP68" i="4"/>
  <c r="BP114" i="4"/>
  <c r="CW608" i="4"/>
  <c r="BP467" i="4"/>
  <c r="CW467" i="4"/>
  <c r="CW609" i="4"/>
  <c r="BP423" i="4"/>
  <c r="CW134" i="4"/>
  <c r="CW607" i="4"/>
  <c r="CW149" i="4"/>
  <c r="BP447" i="4"/>
  <c r="BP134" i="4"/>
  <c r="BP553" i="4"/>
  <c r="BP607" i="4"/>
  <c r="BP149" i="4"/>
  <c r="BP604" i="4"/>
  <c r="BP608" i="4"/>
  <c r="BP169" i="4"/>
  <c r="BP171" i="4"/>
  <c r="BP89" i="4"/>
  <c r="BP382" i="4"/>
  <c r="CW116" i="4"/>
  <c r="CW606" i="4"/>
  <c r="BP416" i="4"/>
  <c r="BP303" i="4"/>
  <c r="BP90" i="4"/>
  <c r="BP606" i="4"/>
  <c r="CW579" i="4"/>
  <c r="BP116" i="4"/>
  <c r="CS95" i="4"/>
  <c r="BP377" i="4"/>
  <c r="CU95" i="4"/>
  <c r="CV95" i="4"/>
  <c r="CV14" i="4"/>
  <c r="BP609" i="4"/>
  <c r="BP309" i="4"/>
  <c r="BP395" i="4"/>
  <c r="CW468" i="4"/>
  <c r="CW596" i="4"/>
  <c r="BP403" i="4"/>
  <c r="BP411" i="4"/>
  <c r="BP384" i="4"/>
  <c r="CW166" i="4"/>
  <c r="CU107" i="4"/>
  <c r="BP32" i="4"/>
  <c r="BP520" i="4"/>
  <c r="CV107" i="4"/>
  <c r="CV15" i="4"/>
  <c r="BP261" i="4"/>
  <c r="CU15" i="4"/>
  <c r="CT107" i="4"/>
  <c r="BP166" i="4"/>
  <c r="CS15" i="4"/>
  <c r="BP329" i="4"/>
  <c r="CW169" i="4"/>
  <c r="BP27" i="4"/>
  <c r="CW67" i="4"/>
  <c r="BP106" i="4"/>
  <c r="BP231" i="4"/>
  <c r="BP344" i="4"/>
  <c r="BP419" i="4"/>
  <c r="CV577" i="4"/>
  <c r="BP133" i="4"/>
  <c r="CS562" i="4"/>
  <c r="BP360" i="4"/>
  <c r="CU14" i="4"/>
  <c r="BP468" i="4"/>
  <c r="CU562" i="4"/>
  <c r="BP88" i="4"/>
  <c r="CV562" i="4"/>
  <c r="CW111" i="4"/>
  <c r="CW91" i="4"/>
  <c r="CW514" i="4"/>
  <c r="CU106" i="4"/>
  <c r="CW106" i="4" s="1"/>
  <c r="CV140" i="4"/>
  <c r="BP33" i="4"/>
  <c r="BP229" i="4"/>
  <c r="CW603" i="4"/>
  <c r="BP311" i="4"/>
  <c r="CW115" i="4"/>
  <c r="BP295" i="4"/>
  <c r="CU577" i="4"/>
  <c r="BP445" i="4"/>
  <c r="BP37" i="4"/>
  <c r="CT577" i="4"/>
  <c r="BP596" i="4"/>
  <c r="BP579" i="4"/>
  <c r="CS85" i="4"/>
  <c r="BP472" i="4"/>
  <c r="CW575" i="4"/>
  <c r="BP415" i="4"/>
  <c r="BP35" i="4"/>
  <c r="CU113" i="4"/>
  <c r="CT113" i="4"/>
  <c r="BP91" i="4"/>
  <c r="BP111" i="4"/>
  <c r="BP575" i="4"/>
  <c r="CV113" i="4"/>
  <c r="BP603" i="4"/>
  <c r="CW8" i="4"/>
  <c r="BP514" i="4"/>
  <c r="BP115" i="4"/>
  <c r="BP335" i="4"/>
  <c r="BP39" i="4"/>
  <c r="CV16" i="4"/>
  <c r="CT16" i="4"/>
  <c r="CU16" i="4"/>
  <c r="CU160" i="4"/>
  <c r="BP220" i="4"/>
  <c r="CS220" i="4"/>
  <c r="CW220" i="4" s="1"/>
  <c r="BP26" i="4"/>
  <c r="CV160" i="4"/>
  <c r="CS600" i="4"/>
  <c r="CU85" i="4"/>
  <c r="BP38" i="4"/>
  <c r="CT215" i="4"/>
  <c r="CV215" i="4"/>
  <c r="CU215" i="4"/>
  <c r="CS565" i="4"/>
  <c r="CV85" i="4"/>
  <c r="BP138" i="4"/>
  <c r="CS138" i="4"/>
  <c r="CW138" i="4" s="1"/>
  <c r="CV567" i="4"/>
  <c r="CS47" i="4"/>
  <c r="CW47" i="4" s="1"/>
  <c r="BP47" i="4"/>
  <c r="CW216" i="4"/>
  <c r="BP219" i="4"/>
  <c r="CS219" i="4"/>
  <c r="CW219" i="4" s="1"/>
  <c r="CV159" i="4"/>
  <c r="CT516" i="4"/>
  <c r="CW516" i="4" s="1"/>
  <c r="BP516" i="4"/>
  <c r="CT74" i="4"/>
  <c r="CW74" i="4" s="1"/>
  <c r="BP74" i="4"/>
  <c r="BP216" i="4"/>
  <c r="CU159" i="4"/>
  <c r="CU567" i="4"/>
  <c r="BP67" i="4"/>
  <c r="BP551" i="4"/>
  <c r="CS551" i="4"/>
  <c r="CW551" i="4" s="1"/>
  <c r="BP327" i="4"/>
  <c r="BP318" i="4"/>
  <c r="BP556" i="4"/>
  <c r="CS556" i="4"/>
  <c r="CW556" i="4" s="1"/>
  <c r="BP414" i="4"/>
  <c r="CW512" i="4"/>
  <c r="CS568" i="4"/>
  <c r="CS539" i="4"/>
  <c r="CW539" i="4" s="1"/>
  <c r="BP539" i="4"/>
  <c r="CT528" i="4"/>
  <c r="CW528" i="4" s="1"/>
  <c r="BP528" i="4"/>
  <c r="BP512" i="4"/>
  <c r="C10" i="2"/>
  <c r="C15" i="2"/>
  <c r="C13" i="2"/>
  <c r="C22" i="2"/>
  <c r="BP389" i="4"/>
  <c r="BP355" i="4"/>
  <c r="BP448" i="4"/>
  <c r="BP343" i="4"/>
  <c r="BP227" i="4"/>
  <c r="BP233" i="4"/>
  <c r="CK324" i="4"/>
  <c r="CK393" i="4"/>
  <c r="CK341" i="4"/>
  <c r="CK232" i="4"/>
  <c r="CK413" i="4"/>
  <c r="CK293" i="4"/>
  <c r="AY324" i="4"/>
  <c r="BK324" i="4"/>
  <c r="BE324" i="4"/>
  <c r="BK232" i="4"/>
  <c r="AY393" i="4"/>
  <c r="BE393" i="4"/>
  <c r="AY341" i="4"/>
  <c r="BE232" i="4"/>
  <c r="BK341" i="4"/>
  <c r="BE413" i="4"/>
  <c r="BK413" i="4"/>
  <c r="BK393" i="4"/>
  <c r="BE293" i="4"/>
  <c r="AY413" i="4"/>
  <c r="AY293" i="4"/>
  <c r="AY232" i="4"/>
  <c r="BE341" i="4"/>
  <c r="BK293" i="4"/>
  <c r="CW592" i="4"/>
  <c r="CW141" i="4"/>
  <c r="CW152" i="4"/>
  <c r="CW598" i="4"/>
  <c r="CW127" i="4"/>
  <c r="CW550" i="4"/>
  <c r="CW83" i="4"/>
  <c r="CW105" i="4"/>
  <c r="CW52" i="4"/>
  <c r="CW143" i="4"/>
  <c r="CW542" i="4"/>
  <c r="CW48" i="4"/>
  <c r="CW22" i="4"/>
  <c r="CW102" i="4"/>
  <c r="CW20" i="4"/>
  <c r="CW540" i="4"/>
  <c r="CW541" i="4"/>
  <c r="CW464" i="4"/>
  <c r="CW557" i="4"/>
  <c r="CW92" i="4"/>
  <c r="CW510" i="4"/>
  <c r="CW58" i="4"/>
  <c r="CW546" i="4"/>
  <c r="CW508" i="4"/>
  <c r="CW137" i="4"/>
  <c r="CW594" i="4"/>
  <c r="CW129" i="4"/>
  <c r="CW548" i="4"/>
  <c r="CW586" i="4"/>
  <c r="CW465" i="4"/>
  <c r="CW130" i="4"/>
  <c r="BP571" i="4"/>
  <c r="CS571" i="4"/>
  <c r="CW571" i="4" s="1"/>
  <c r="CW547" i="4"/>
  <c r="CW80" i="4"/>
  <c r="BP101" i="4"/>
  <c r="CS101" i="4"/>
  <c r="CW101" i="4" s="1"/>
  <c r="BP100" i="4"/>
  <c r="CS100" i="4"/>
  <c r="CW100" i="4" s="1"/>
  <c r="BP59" i="4"/>
  <c r="CS59" i="4"/>
  <c r="CW59" i="4" s="1"/>
  <c r="BP186" i="4"/>
  <c r="CS186" i="4"/>
  <c r="CW186" i="4" s="1"/>
  <c r="BP131" i="4"/>
  <c r="CS131" i="4"/>
  <c r="CW131" i="4" s="1"/>
  <c r="BP54" i="4"/>
  <c r="CS54" i="4"/>
  <c r="CW54" i="4" s="1"/>
  <c r="BP144" i="4"/>
  <c r="CS144" i="4"/>
  <c r="CW144" i="4" s="1"/>
  <c r="BP50" i="4"/>
  <c r="CS50" i="4"/>
  <c r="CW50" i="4" s="1"/>
  <c r="CW587" i="4"/>
  <c r="CW13" i="4"/>
  <c r="CW103" i="4"/>
  <c r="CW53" i="4"/>
  <c r="CW184" i="4"/>
  <c r="CW128" i="4"/>
  <c r="CW506" i="4"/>
  <c r="CW182" i="4"/>
  <c r="CW545" i="4"/>
  <c r="CW538" i="4"/>
  <c r="CW559" i="4"/>
  <c r="CW81" i="4"/>
  <c r="CW561" i="4"/>
  <c r="CW79" i="4"/>
  <c r="CW153" i="4"/>
  <c r="CW56" i="4"/>
  <c r="CW142" i="4"/>
  <c r="BP181" i="4"/>
  <c r="CS181" i="4"/>
  <c r="CW181" i="4" s="1"/>
  <c r="CW183" i="4"/>
  <c r="BP590" i="4"/>
  <c r="CS590" i="4"/>
  <c r="CW590" i="4" s="1"/>
  <c r="BP588" i="4"/>
  <c r="CS588" i="4"/>
  <c r="CW588" i="4" s="1"/>
  <c r="CW572" i="4"/>
  <c r="BP593" i="4"/>
  <c r="CS593" i="4"/>
  <c r="CW593" i="4" s="1"/>
  <c r="CW46" i="4"/>
  <c r="CW558" i="4"/>
  <c r="BP151" i="4"/>
  <c r="CS151" i="4"/>
  <c r="CW151" i="4" s="1"/>
  <c r="CW597" i="4"/>
  <c r="CW94" i="4"/>
  <c r="BP97" i="4"/>
  <c r="CS97" i="4"/>
  <c r="CW97" i="4" s="1"/>
  <c r="CW96" i="4"/>
  <c r="BP104" i="4"/>
  <c r="CS104" i="4"/>
  <c r="CW104" i="4" s="1"/>
  <c r="CW566" i="4"/>
  <c r="CW24" i="4"/>
  <c r="CW21" i="4"/>
  <c r="CW139" i="4"/>
  <c r="CW544" i="4"/>
  <c r="BP185" i="4"/>
  <c r="CS185" i="4"/>
  <c r="CW185" i="4" s="1"/>
  <c r="BP125" i="4"/>
  <c r="CS125" i="4"/>
  <c r="CW125" i="4" s="1"/>
  <c r="CW179" i="4"/>
  <c r="CW57" i="4"/>
  <c r="CW146" i="4"/>
  <c r="CW11" i="4"/>
  <c r="BP51" i="4"/>
  <c r="CS51" i="4"/>
  <c r="CW51" i="4" s="1"/>
  <c r="BP549" i="4"/>
  <c r="CS549" i="4"/>
  <c r="CW549" i="4" s="1"/>
  <c r="CW132" i="4"/>
  <c r="CW147" i="4"/>
  <c r="CW19" i="4"/>
  <c r="CW158" i="4"/>
  <c r="CW161" i="4"/>
  <c r="CW23" i="4"/>
  <c r="CW55" i="4"/>
  <c r="CW12" i="4"/>
  <c r="CW49" i="4"/>
  <c r="CW180" i="4"/>
  <c r="CW507" i="4"/>
  <c r="CW543" i="4"/>
  <c r="CW509" i="4"/>
  <c r="CW511" i="4"/>
  <c r="CW98" i="4"/>
  <c r="CW156" i="4"/>
  <c r="CW466" i="4"/>
  <c r="CW463" i="4"/>
  <c r="CW82" i="4"/>
  <c r="CW599" i="4"/>
  <c r="CW560" i="4"/>
  <c r="CW145" i="4"/>
  <c r="BP10" i="4"/>
  <c r="CS10" i="4"/>
  <c r="CW589" i="4"/>
  <c r="CW126" i="4"/>
  <c r="CW591" i="4"/>
  <c r="CW505" i="4"/>
  <c r="CW150" i="4"/>
  <c r="BP592" i="4"/>
  <c r="BP540" i="4"/>
  <c r="BP141" i="4"/>
  <c r="BP152" i="4"/>
  <c r="K20" i="2"/>
  <c r="K22" i="2"/>
  <c r="AE17" i="2"/>
  <c r="T22" i="2"/>
  <c r="AD22" i="2"/>
  <c r="T10" i="2"/>
  <c r="Y10" i="2"/>
  <c r="AE20" i="2"/>
  <c r="T20" i="2"/>
  <c r="G19" i="2"/>
  <c r="AH14" i="2"/>
  <c r="AI14" i="2" s="1"/>
  <c r="G14" i="2"/>
  <c r="K17" i="2"/>
  <c r="X10" i="2"/>
  <c r="D17" i="2"/>
  <c r="G17" i="2"/>
  <c r="I17" i="2" s="1"/>
  <c r="T17" i="2"/>
  <c r="K10" i="2"/>
  <c r="O10" i="2"/>
  <c r="BP546" i="4"/>
  <c r="BP586" i="4"/>
  <c r="BP594" i="4"/>
  <c r="BP498" i="4"/>
  <c r="BP83" i="4"/>
  <c r="BP598" i="4"/>
  <c r="BP105" i="4"/>
  <c r="BP52" i="4"/>
  <c r="BP143" i="4"/>
  <c r="BP542" i="4"/>
  <c r="BP505" i="4"/>
  <c r="BP508" i="4"/>
  <c r="BP137" i="4"/>
  <c r="BP183" i="4"/>
  <c r="BP46" i="4"/>
  <c r="BP92" i="4"/>
  <c r="BP544" i="4"/>
  <c r="BP179" i="4"/>
  <c r="BP548" i="4"/>
  <c r="BP49" i="4"/>
  <c r="BP180" i="4"/>
  <c r="BP507" i="4"/>
  <c r="BP455" i="4"/>
  <c r="BP543" i="4"/>
  <c r="BP509" i="4"/>
  <c r="BP511" i="4"/>
  <c r="BP98" i="4"/>
  <c r="BP156" i="4"/>
  <c r="BP466" i="4"/>
  <c r="BP463" i="4"/>
  <c r="BP82" i="4"/>
  <c r="BP599" i="4"/>
  <c r="BP560" i="4"/>
  <c r="BP145" i="4"/>
  <c r="BP572" i="4"/>
  <c r="BP558" i="4"/>
  <c r="BP597" i="4"/>
  <c r="BP94" i="4"/>
  <c r="BP96" i="4"/>
  <c r="BP566" i="4"/>
  <c r="BP24" i="4"/>
  <c r="BP21" i="4"/>
  <c r="BP139" i="4"/>
  <c r="BP57" i="4"/>
  <c r="BP146" i="4"/>
  <c r="BP11" i="4"/>
  <c r="BP587" i="4"/>
  <c r="BP48" i="4"/>
  <c r="BP13" i="4"/>
  <c r="BP22" i="4"/>
  <c r="BP103" i="4"/>
  <c r="BP102" i="4"/>
  <c r="BP53" i="4"/>
  <c r="BP58" i="4"/>
  <c r="AS567" i="4"/>
  <c r="BP589" i="4"/>
  <c r="BP126" i="4"/>
  <c r="BP591" i="4"/>
  <c r="BP150" i="4"/>
  <c r="BP184" i="4"/>
  <c r="BP129" i="4"/>
  <c r="BP128" i="4"/>
  <c r="BP506" i="4"/>
  <c r="BP182" i="4"/>
  <c r="BP545" i="4"/>
  <c r="BP538" i="4"/>
  <c r="BP559" i="4"/>
  <c r="BP81" i="4"/>
  <c r="BP561" i="4"/>
  <c r="BP79" i="4"/>
  <c r="BP153" i="4"/>
  <c r="BP56" i="4"/>
  <c r="BP142" i="4"/>
  <c r="AS160" i="4"/>
  <c r="AS159" i="4"/>
  <c r="BP465" i="4"/>
  <c r="BP130" i="4"/>
  <c r="BP127" i="4"/>
  <c r="BP541" i="4"/>
  <c r="BP547" i="4"/>
  <c r="BP550" i="4"/>
  <c r="BP452" i="4"/>
  <c r="BP451" i="4"/>
  <c r="BP464" i="4"/>
  <c r="BP450" i="4"/>
  <c r="BP80" i="4"/>
  <c r="BP20" i="4"/>
  <c r="BP510" i="4"/>
  <c r="BP132" i="4"/>
  <c r="BP147" i="4"/>
  <c r="BP19" i="4"/>
  <c r="BP158" i="4"/>
  <c r="BP161" i="4"/>
  <c r="BP23" i="4"/>
  <c r="BP55" i="4"/>
  <c r="BP12" i="4"/>
  <c r="AS568" i="4"/>
  <c r="AS157" i="4"/>
  <c r="AS600" i="4"/>
  <c r="AS413" i="4"/>
  <c r="AS525" i="4"/>
  <c r="AS293" i="4"/>
  <c r="AS324" i="4"/>
  <c r="AS524" i="4"/>
  <c r="AS522" i="4"/>
  <c r="AS341" i="4"/>
  <c r="AS393" i="4"/>
  <c r="AS232" i="4"/>
  <c r="AS526" i="4"/>
  <c r="AS565" i="4"/>
  <c r="AS517" i="4"/>
  <c r="AS17" i="2"/>
  <c r="CK522" i="4"/>
  <c r="D19" i="2"/>
  <c r="AH17" i="2"/>
  <c r="AI17" i="2" s="1"/>
  <c r="D14" i="2"/>
  <c r="AN30" i="2"/>
  <c r="CK517" i="4"/>
  <c r="CK565" i="4"/>
  <c r="BP8" i="4"/>
  <c r="K14" i="2"/>
  <c r="P35" i="53"/>
  <c r="CJ620" i="4" l="1"/>
  <c r="BK620" i="4"/>
  <c r="X15" i="2"/>
  <c r="K15" i="2"/>
  <c r="BK526" i="4"/>
  <c r="BO526" i="4"/>
  <c r="BO620" i="4" s="1"/>
  <c r="BE526" i="4"/>
  <c r="BE620" i="4" s="1"/>
  <c r="BN526" i="4"/>
  <c r="BN620" i="4" s="1"/>
  <c r="AY526" i="4"/>
  <c r="AY620" i="4" s="1"/>
  <c r="BM526" i="4"/>
  <c r="BM620" i="4" s="1"/>
  <c r="CK526" i="4"/>
  <c r="H13" i="2"/>
  <c r="K13" i="2" s="1"/>
  <c r="AS19" i="2"/>
  <c r="AH19" i="2"/>
  <c r="AI19" i="2" s="1"/>
  <c r="AQ13" i="2"/>
  <c r="AQ29" i="2" s="1"/>
  <c r="AP29" i="2"/>
  <c r="Z13" i="2"/>
  <c r="AE13" i="2" s="1"/>
  <c r="AE19" i="2"/>
  <c r="O19" i="2"/>
  <c r="S19" i="2" s="1"/>
  <c r="X19" i="2"/>
  <c r="AB19" i="2" s="1"/>
  <c r="K19" i="2"/>
  <c r="Y19" i="2"/>
  <c r="AD19" i="2" s="1"/>
  <c r="T19" i="2"/>
  <c r="P13" i="2"/>
  <c r="X16" i="2"/>
  <c r="T16" i="2"/>
  <c r="BP356" i="4"/>
  <c r="CW167" i="4"/>
  <c r="BP167" i="4"/>
  <c r="CW15" i="4"/>
  <c r="BP304" i="4"/>
  <c r="BP234" i="4"/>
  <c r="CS14" i="4"/>
  <c r="N22" i="2"/>
  <c r="Q22" i="2" s="1"/>
  <c r="W22" i="2"/>
  <c r="AA22" i="2" s="1"/>
  <c r="N13" i="2"/>
  <c r="W13" i="2"/>
  <c r="N15" i="2"/>
  <c r="W15" i="2"/>
  <c r="CW140" i="4"/>
  <c r="BP140" i="4"/>
  <c r="BP424" i="4"/>
  <c r="BP290" i="4"/>
  <c r="BP228" i="4"/>
  <c r="BP15" i="4"/>
  <c r="CW113" i="4"/>
  <c r="CW577" i="4"/>
  <c r="CW107" i="4"/>
  <c r="BP326" i="4"/>
  <c r="BP577" i="4"/>
  <c r="BP390" i="4"/>
  <c r="BP404" i="4"/>
  <c r="BP473" i="4"/>
  <c r="BP107" i="4"/>
  <c r="CW562" i="4"/>
  <c r="BP410" i="4"/>
  <c r="BP113" i="4"/>
  <c r="CW95" i="4"/>
  <c r="BP95" i="4"/>
  <c r="BP562" i="4"/>
  <c r="BP373" i="4"/>
  <c r="BP262" i="4"/>
  <c r="BP230" i="4"/>
  <c r="BP354" i="4"/>
  <c r="BP372" i="4"/>
  <c r="BP14" i="4"/>
  <c r="BP409" i="4"/>
  <c r="CW159" i="4"/>
  <c r="BP28" i="4"/>
  <c r="BP527" i="4"/>
  <c r="BP289" i="4"/>
  <c r="BP371" i="4"/>
  <c r="BP347" i="4"/>
  <c r="CW85" i="4"/>
  <c r="CU568" i="4"/>
  <c r="CV568" i="4"/>
  <c r="CV600" i="4"/>
  <c r="CU600" i="4"/>
  <c r="CT517" i="4"/>
  <c r="CU517" i="4"/>
  <c r="CV517" i="4"/>
  <c r="BP85" i="4"/>
  <c r="BP310" i="4"/>
  <c r="CS215" i="4"/>
  <c r="CW215" i="4" s="1"/>
  <c r="BP215" i="4"/>
  <c r="CT157" i="4"/>
  <c r="CV157" i="4"/>
  <c r="CU157" i="4"/>
  <c r="BP521" i="4"/>
  <c r="CS521" i="4"/>
  <c r="CW521" i="4" s="1"/>
  <c r="BP408" i="4"/>
  <c r="BP342" i="4"/>
  <c r="BP388" i="4"/>
  <c r="BP325" i="4"/>
  <c r="CT565" i="4"/>
  <c r="CU565" i="4"/>
  <c r="CV565" i="4"/>
  <c r="CS16" i="4"/>
  <c r="CW16" i="4" s="1"/>
  <c r="BP16" i="4"/>
  <c r="AD16" i="2"/>
  <c r="K16" i="2"/>
  <c r="S16" i="2"/>
  <c r="AD15" i="2"/>
  <c r="T15" i="2"/>
  <c r="AE15" i="2"/>
  <c r="S15" i="2"/>
  <c r="AC17" i="2"/>
  <c r="BP160" i="4"/>
  <c r="CS160" i="4"/>
  <c r="CW160" i="4" s="1"/>
  <c r="BP567" i="4"/>
  <c r="CS567" i="4"/>
  <c r="CW567" i="4" s="1"/>
  <c r="CW10" i="4"/>
  <c r="R17" i="2"/>
  <c r="AB17" i="2"/>
  <c r="AC22" i="2"/>
  <c r="AC20" i="2"/>
  <c r="G22" i="2"/>
  <c r="N10" i="2"/>
  <c r="W10" i="2"/>
  <c r="AB10" i="2" s="1"/>
  <c r="AA14" i="2"/>
  <c r="AB14" i="2"/>
  <c r="Q19" i="2"/>
  <c r="AC10" i="2"/>
  <c r="AH15" i="2"/>
  <c r="AI15" i="2" s="1"/>
  <c r="G15" i="2"/>
  <c r="I14" i="2"/>
  <c r="J14" i="2"/>
  <c r="I19" i="2"/>
  <c r="J19" i="2"/>
  <c r="AD20" i="2"/>
  <c r="AD17" i="2"/>
  <c r="D13" i="2"/>
  <c r="G13" i="2"/>
  <c r="S17" i="2"/>
  <c r="J17" i="2"/>
  <c r="Q14" i="2"/>
  <c r="R14" i="2"/>
  <c r="AA19" i="2"/>
  <c r="S22" i="2"/>
  <c r="S10" i="2"/>
  <c r="AD10" i="2"/>
  <c r="D10" i="2"/>
  <c r="G10" i="2"/>
  <c r="BP159" i="4"/>
  <c r="D15" i="2"/>
  <c r="D22" i="2"/>
  <c r="AH22" i="2"/>
  <c r="U6" i="26"/>
  <c r="N6" i="26" s="1"/>
  <c r="Q6" i="26" s="1"/>
  <c r="AC9" i="29"/>
  <c r="R9" i="29" s="1"/>
  <c r="AC8" i="29"/>
  <c r="R8" i="29" s="1"/>
  <c r="CW14" i="4" l="1"/>
  <c r="H29" i="2"/>
  <c r="O13" i="2"/>
  <c r="S13" i="2" s="1"/>
  <c r="S29" i="2" s="1"/>
  <c r="X13" i="2"/>
  <c r="X29" i="2" s="1"/>
  <c r="AS13" i="2"/>
  <c r="R19" i="2"/>
  <c r="AH13" i="2"/>
  <c r="K29" i="2"/>
  <c r="BP523" i="4"/>
  <c r="Y13" i="2"/>
  <c r="Y29" i="2" s="1"/>
  <c r="T13" i="2"/>
  <c r="T29" i="2" s="1"/>
  <c r="AC19" i="2"/>
  <c r="BP413" i="4"/>
  <c r="BP293" i="4"/>
  <c r="BP232" i="4"/>
  <c r="BP324" i="4"/>
  <c r="BP341" i="4"/>
  <c r="BP393" i="4"/>
  <c r="CW565" i="4"/>
  <c r="BP524" i="4"/>
  <c r="BP526" i="4"/>
  <c r="BP522" i="4"/>
  <c r="CT600" i="4"/>
  <c r="BP600" i="4"/>
  <c r="BP525" i="4"/>
  <c r="CT568" i="4"/>
  <c r="CW568" i="4" s="1"/>
  <c r="BP568" i="4"/>
  <c r="CS517" i="4"/>
  <c r="CW517" i="4" s="1"/>
  <c r="BP517" i="4"/>
  <c r="BP565" i="4"/>
  <c r="CS157" i="4"/>
  <c r="CW157" i="4" s="1"/>
  <c r="BP157" i="4"/>
  <c r="AC16" i="2"/>
  <c r="AC15" i="2"/>
  <c r="AB22" i="2"/>
  <c r="R22" i="2"/>
  <c r="I10" i="2"/>
  <c r="J10" i="2"/>
  <c r="I13" i="2"/>
  <c r="J13" i="2"/>
  <c r="Q15" i="2"/>
  <c r="R15" i="2"/>
  <c r="Q10" i="2"/>
  <c r="Q13" i="2"/>
  <c r="I15" i="2"/>
  <c r="J15" i="2"/>
  <c r="I22" i="2"/>
  <c r="J22" i="2"/>
  <c r="R10" i="2"/>
  <c r="AA13" i="2"/>
  <c r="AA15" i="2"/>
  <c r="AB15" i="2"/>
  <c r="AA10" i="2"/>
  <c r="U8" i="29"/>
  <c r="U9" i="29"/>
  <c r="P29" i="2"/>
  <c r="O29" i="2" l="1"/>
  <c r="R13" i="2"/>
  <c r="CW600" i="4"/>
  <c r="AB13" i="2"/>
  <c r="AC13" i="2"/>
  <c r="AC29" i="2" s="1"/>
  <c r="AD13" i="2"/>
  <c r="AD29" i="2" s="1"/>
  <c r="AI13" i="2"/>
  <c r="AE22" i="2" l="1"/>
  <c r="AI22" i="2"/>
  <c r="AS10" i="2"/>
  <c r="AR29" i="2"/>
  <c r="AE10" i="2"/>
  <c r="AH10" i="2"/>
  <c r="Z29" i="2"/>
  <c r="AE29" i="2" l="1"/>
  <c r="AI10" i="2"/>
  <c r="AR480" i="4" l="1"/>
  <c r="BL480" i="4" s="1"/>
  <c r="CG480" i="4"/>
  <c r="CT480" i="4" l="1"/>
  <c r="CU480" i="4"/>
  <c r="CV480" i="4"/>
  <c r="AS480" i="4"/>
  <c r="AR274" i="4"/>
  <c r="CG274" i="4"/>
  <c r="CK480" i="4"/>
  <c r="BL274" i="4" l="1"/>
  <c r="AO16" i="2"/>
  <c r="AS16" i="2" s="1"/>
  <c r="BP480" i="4"/>
  <c r="C16" i="2"/>
  <c r="CS480" i="4"/>
  <c r="CW480" i="4" s="1"/>
  <c r="AS274" i="4"/>
  <c r="CK274" i="4"/>
  <c r="AR479" i="4"/>
  <c r="BL479" i="4" s="1"/>
  <c r="BL620" i="4" s="1"/>
  <c r="CG479" i="4"/>
  <c r="AO20" i="2" s="1"/>
  <c r="AR620" i="4" l="1"/>
  <c r="CG620" i="4"/>
  <c r="W16" i="2"/>
  <c r="N16" i="2"/>
  <c r="CT479" i="4"/>
  <c r="CT620" i="4" s="1"/>
  <c r="CU479" i="4"/>
  <c r="CU620" i="4" s="1"/>
  <c r="CV479" i="4"/>
  <c r="CV620" i="4" s="1"/>
  <c r="C20" i="2"/>
  <c r="G16" i="2"/>
  <c r="AS479" i="4"/>
  <c r="AS620" i="4" s="1"/>
  <c r="D16" i="2"/>
  <c r="AH16" i="2"/>
  <c r="AI16" i="2" s="1"/>
  <c r="CK479" i="4"/>
  <c r="CK620" i="4" s="1"/>
  <c r="N20" i="2" l="1"/>
  <c r="N29" i="2" s="1"/>
  <c r="W20" i="2"/>
  <c r="BP479" i="4"/>
  <c r="BP274" i="4"/>
  <c r="BP620" i="4" s="1"/>
  <c r="CS479" i="4"/>
  <c r="CS620" i="4" s="1"/>
  <c r="G20" i="2"/>
  <c r="I16" i="2"/>
  <c r="J16" i="2"/>
  <c r="AA16" i="2"/>
  <c r="AB16" i="2"/>
  <c r="Q16" i="2"/>
  <c r="R16" i="2"/>
  <c r="D20" i="2"/>
  <c r="D29" i="2" s="1"/>
  <c r="C29" i="2"/>
  <c r="AH20" i="2"/>
  <c r="AS20" i="2"/>
  <c r="AS29" i="2" s="1"/>
  <c r="AO29" i="2"/>
  <c r="CW479" i="4" l="1"/>
  <c r="CW620" i="4" s="1"/>
  <c r="CJ621" i="4"/>
  <c r="AS30" i="2"/>
  <c r="I20" i="2"/>
  <c r="I29" i="2" s="1"/>
  <c r="J20" i="2"/>
  <c r="J29" i="2" s="1"/>
  <c r="G29" i="2"/>
  <c r="AA20" i="2"/>
  <c r="AA29" i="2" s="1"/>
  <c r="AB20" i="2"/>
  <c r="AB29" i="2" s="1"/>
  <c r="W29" i="2"/>
  <c r="Q20" i="2"/>
  <c r="Q29" i="2" s="1"/>
  <c r="R20" i="2"/>
  <c r="R29" i="2" s="1"/>
  <c r="AH29" i="2"/>
  <c r="AI20" i="2"/>
  <c r="AI29" i="2" s="1"/>
  <c r="AA15" i="48" l="1"/>
  <c r="AA16" i="48"/>
  <c r="AA14" i="48"/>
  <c r="W14" i="48"/>
  <c r="AA13" i="48"/>
  <c r="W13" i="48" s="1"/>
  <c r="B7" i="37"/>
  <c r="B5" i="37"/>
  <c r="B6"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3" authorId="0" shapeId="0" xr:uid="{00000000-0006-0000-0100-000003000000}">
      <text>
        <r>
          <rPr>
            <sz val="9"/>
            <color indexed="81"/>
            <rFont val="Tahoma"/>
            <family val="2"/>
          </rPr>
          <t>Please specify the name of the Program Administrator.</t>
        </r>
      </text>
    </comment>
    <comment ref="B5" authorId="0" shapeId="0" xr:uid="{00000000-0006-0000-0100-000004000000}">
      <text>
        <r>
          <rPr>
            <b/>
            <sz val="9"/>
            <color indexed="81"/>
            <rFont val="Tahoma"/>
            <family val="2"/>
          </rPr>
          <t>2022 Plan Energy Savings Goal:</t>
        </r>
        <r>
          <rPr>
            <sz val="9"/>
            <color indexed="81"/>
            <rFont val="Tahoma"/>
            <family val="2"/>
          </rPr>
          <t xml:space="preserve"> The value contained in column (b) – 2022 Plan Energy Savings Goal for the “Program A” row of the Program-Level Adjustments Tab should be equal to the sum of the values set forth in column (t) – 2022 Plan Goal for the rows associated with “Program A” Measures (Program designation specified in column (a)) of the Measure-Level Adjustments Tab.
</t>
        </r>
      </text>
    </comment>
    <comment ref="C5" authorId="0" shapeId="0" xr:uid="{00000000-0006-0000-0100-000005000000}">
      <text>
        <r>
          <rPr>
            <b/>
            <sz val="9"/>
            <color indexed="81"/>
            <rFont val="Tahoma"/>
            <family val="2"/>
          </rPr>
          <t xml:space="preserve">2022 Adjusted Energy Savings Goal: </t>
        </r>
        <r>
          <rPr>
            <sz val="9"/>
            <color indexed="81"/>
            <rFont val="Tahoma"/>
            <family val="2"/>
          </rPr>
          <t xml:space="preserve">The value contained in column (c) – 2022 Adjusted Energy Savings Goal for the “Program A” row of the Program-Level Adjustments Tab should be equal to the sum of the values set forth in column (aw) – 2022 Final Goal for the rows associated with “Program A” Measures (as listed in column (a)) of the Measure-Level Adjustments Tab.
</t>
        </r>
      </text>
    </comment>
    <comment ref="D5" authorId="0" shapeId="0" xr:uid="{00000000-0006-0000-01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100-000007000000}">
      <text>
        <r>
          <rPr>
            <sz val="9"/>
            <color indexed="81"/>
            <rFont val="Tahoma"/>
            <family val="2"/>
          </rPr>
          <t>Briefly describe the main cause of the significant savings goal adjustments.</t>
        </r>
      </text>
    </comment>
    <comment ref="F5" authorId="0" shapeId="0" xr:uid="{00000000-0006-0000-0100-000008000000}">
      <text>
        <r>
          <rPr>
            <b/>
            <sz val="9"/>
            <color indexed="81"/>
            <rFont val="Tahoma"/>
            <family val="2"/>
          </rPr>
          <t>2023 Plan Energy Savings Goal:</t>
        </r>
        <r>
          <rPr>
            <sz val="9"/>
            <color indexed="81"/>
            <rFont val="Tahoma"/>
            <family val="2"/>
          </rPr>
          <t xml:space="preserve"> The value contained in column (f) – 2023 Plan Energy Savings Goal for the “Program A” row of the Program-Level Adjustments Tab should be equal to the sum of the values set forth in column (u) – 2023 Plan Goal for the rows associated with “Program A” Measures (Program designation specified in column (a)) of the Measure-Level Adjustments Tab.
</t>
        </r>
      </text>
    </comment>
    <comment ref="G5" authorId="0" shapeId="0" xr:uid="{3BB512DD-8728-4CC4-A08F-79B069045FCF}">
      <text>
        <r>
          <rPr>
            <b/>
            <sz val="9"/>
            <color indexed="81"/>
            <rFont val="Tahoma"/>
            <family val="2"/>
          </rPr>
          <t xml:space="preserve">2023 Adjusted Energy Savings Goal: </t>
        </r>
        <r>
          <rPr>
            <sz val="9"/>
            <color indexed="81"/>
            <rFont val="Tahoma"/>
            <family val="2"/>
          </rPr>
          <t xml:space="preserve">The value contained in column (g) – 2023 Adjusted Energy Savings Goal for the “Program A” row of the Program-Level Adjustments Tab should be equal to the sum of the values set forth in column (ax) – 2023 Final Goal for the rows associated with “Program A” Measures (as listed in column (a)) of the Measure-Level Adjustments Tab.
</t>
        </r>
        <r>
          <rPr>
            <b/>
            <sz val="9"/>
            <color indexed="81"/>
            <rFont val="Tahoma"/>
            <family val="2"/>
          </rPr>
          <t xml:space="preserve">
</t>
        </r>
      </text>
    </comment>
    <comment ref="L5" authorId="0" shapeId="0" xr:uid="{00000000-0006-0000-0100-00000B000000}">
      <text>
        <r>
          <rPr>
            <sz val="9"/>
            <color indexed="81"/>
            <rFont val="Tahoma"/>
            <family val="2"/>
          </rPr>
          <t xml:space="preserve">Briefly describe the main cause of the significant savings goal adjustments.
</t>
        </r>
      </text>
    </comment>
    <comment ref="M5" authorId="0" shapeId="0" xr:uid="{00000000-0006-0000-0100-00000C000000}">
      <text>
        <r>
          <rPr>
            <b/>
            <sz val="9"/>
            <color indexed="81"/>
            <rFont val="Tahoma"/>
            <family val="2"/>
          </rPr>
          <t>2024 Plan Energy Savings Goal:</t>
        </r>
        <r>
          <rPr>
            <sz val="9"/>
            <color indexed="81"/>
            <rFont val="Tahoma"/>
            <family val="2"/>
          </rPr>
          <t xml:space="preserve"> The value contained in column (j) – 2024 Plan Energy Savings Goal for the “Program A” row of the Program-Level Adjustments Tab should be equal to the sum of the values set forth in column (v) – 2024 Plan Goal for the rows associated with “Program A” Measures (Program designation specified in column (a)) of the Measure-Level Adjustments Tab.
</t>
        </r>
      </text>
    </comment>
    <comment ref="N5" authorId="0" shapeId="0" xr:uid="{92D945A2-0719-4FDB-9128-901AB885A0ED}">
      <text>
        <r>
          <rPr>
            <b/>
            <sz val="9"/>
            <color indexed="81"/>
            <rFont val="Tahoma"/>
            <family val="2"/>
          </rPr>
          <t xml:space="preserve">2024 Adjusted Energy Savings Goal: </t>
        </r>
        <r>
          <rPr>
            <sz val="9"/>
            <color indexed="81"/>
            <rFont val="Tahoma"/>
            <family val="2"/>
          </rPr>
          <t xml:space="preserve">The value contained in column (k) – 2024 Adjusted Energy Savings Goal for the “Program A” row of the Program-Level Adjustments Tab should be equal to the sum of the values set forth in column (ay) – 2024 Final Goal for the rows associated with “Program A” Measures (as listed in column (a)) of the Measure-Level Adjustments Tab.
</t>
        </r>
      </text>
    </comment>
    <comment ref="U5" authorId="0" shapeId="0" xr:uid="{00000000-0006-0000-0100-00000F000000}">
      <text>
        <r>
          <rPr>
            <sz val="9"/>
            <color indexed="81"/>
            <rFont val="Tahoma"/>
            <family val="2"/>
          </rPr>
          <t>Briefly describe the main cause of the significant savings goal adjustments.</t>
        </r>
      </text>
    </comment>
    <comment ref="V5" authorId="0" shapeId="0" xr:uid="{00000000-0006-0000-0100-000010000000}">
      <text>
        <r>
          <rPr>
            <b/>
            <sz val="9"/>
            <color indexed="81"/>
            <rFont val="Tahoma"/>
            <family val="2"/>
          </rPr>
          <t>2025 Plan Energy Savings Goal:</t>
        </r>
        <r>
          <rPr>
            <sz val="9"/>
            <color indexed="81"/>
            <rFont val="Tahoma"/>
            <family val="2"/>
          </rPr>
          <t xml:space="preserve"> The value contained in column (n) – 2025 Plan Energy Savings Goal for the “Program A” row of the Program-Level Adjustments Tab should be equal to the sum of the values set forth in column (w) – 2025 Plan Goal for the rows associated with “Program A” Measures (Program designation specified in column (a)) of the Measure-Level Adjustments Tab.
</t>
        </r>
      </text>
    </comment>
    <comment ref="AF5" authorId="0" shapeId="0" xr:uid="{00000000-0006-0000-0100-000013000000}">
      <text>
        <r>
          <rPr>
            <sz val="9"/>
            <color indexed="81"/>
            <rFont val="Tahoma"/>
            <family val="2"/>
          </rPr>
          <t>Briefly describe the main cause of the significant savings goal adjustments.</t>
        </r>
      </text>
    </comment>
    <comment ref="A7" authorId="0" shapeId="0" xr:uid="{00000000-0006-0000-01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tc={D46BE4D8-F291-4676-BBD1-B5444641D540}</author>
    <author>tc={4C53A02C-CE46-4E1B-B726-1B56CBC88B7C}</author>
    <author>tc={CFCF32B3-18E2-48A3-B535-5CCDAC06D464}</author>
    <author>tc={820D7B7F-2741-4AE2-87D2-5295DB720D5E}</author>
  </authors>
  <commentList>
    <comment ref="H51" authorId="0" shapeId="0" xr:uid="{D46BE4D8-F291-4676-BBD1-B5444641D54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 v9, this is 18.5</t>
        </r>
      </text>
    </comment>
    <comment ref="I51" authorId="1" shapeId="0" xr:uid="{4C53A02C-CE46-4E1B-B726-1B56CBC88B7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also looks like it should be updated.</t>
        </r>
      </text>
    </comment>
    <comment ref="E87" authorId="2" shapeId="0" xr:uid="{CFCF32B3-18E2-48A3-B535-5CCDAC06D46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variable is not in TRM v9.0. What is the source?</t>
        </r>
      </text>
    </comment>
    <comment ref="G87" authorId="3" shapeId="0" xr:uid="{820D7B7F-2741-4AE2-87D2-5295DB720D5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This should be eta_B according to conventions in TRM v9.0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Randy Opdyke</author>
  </authors>
  <commentList>
    <comment ref="W4" authorId="0" shapeId="0" xr:uid="{C06322B3-A4BE-4780-AC2D-8AB06AEB6439}">
      <text>
        <r>
          <rPr>
            <sz val="9"/>
            <color indexed="81"/>
            <rFont val="Tahoma"/>
            <family val="2"/>
          </rPr>
          <t>custom input</t>
        </r>
      </text>
    </comment>
    <comment ref="X4" authorId="0" shapeId="0" xr:uid="{31CC5B77-16B2-4254-BDC1-E253F3BBA262}">
      <text>
        <r>
          <rPr>
            <sz val="9"/>
            <color indexed="81"/>
            <rFont val="Tahoma"/>
            <family val="2"/>
          </rPr>
          <t>Custom Input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tc={673BB76F-4858-4AA2-8B8E-6B5950B4CDD5}</author>
    <author>tc={CA439481-C792-42C2-A9A3-4CCBCC25B72D}</author>
    <author>tc={D0EC2BA4-7926-4A97-9A9D-ECF277A2FCD3}</author>
  </authors>
  <commentList>
    <comment ref="G81" authorId="0" shapeId="0" xr:uid="{673BB76F-4858-4AA2-8B8E-6B5950B4CDD5}">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upper bound of TRM assumption
</t>
        </r>
      </text>
    </comment>
    <comment ref="G82" authorId="1" shapeId="0" xr:uid="{CA439481-C792-42C2-A9A3-4CCBCC25B72D}">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upper bound of TRM assumption
</t>
        </r>
      </text>
    </comment>
    <comment ref="A85" authorId="2" shapeId="0" xr:uid="{D0EC2BA4-7926-4A97-9A9D-ECF277A2FCD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average for planning values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tc={36B0A889-CAC3-4DEE-AC7F-DDF17AA3099E}</author>
  </authors>
  <commentList>
    <comment ref="L4" authorId="0" shapeId="0" xr:uid="{36B0A889-CAC3-4DEE-AC7F-DDF17AA3099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custom input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tc={89145DAF-6E7E-4FF3-94DB-609438EEF05D}</author>
  </authors>
  <commentList>
    <comment ref="J4" authorId="0" shapeId="0" xr:uid="{89145DAF-6E7E-4FF3-94DB-609438EEF05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Custom Input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SMR</author>
    <author>Bridgid Lutz</author>
  </authors>
  <commentList>
    <comment ref="N4" authorId="0" shapeId="0" xr:uid="{00000000-0006-0000-2200-000001000000}">
      <text>
        <r>
          <rPr>
            <sz val="9"/>
            <color indexed="81"/>
            <rFont val="Tahoma"/>
            <family val="2"/>
          </rPr>
          <t>Custom input</t>
        </r>
      </text>
    </comment>
    <comment ref="N5" authorId="0" shapeId="0" xr:uid="{111A99C8-438D-4D54-AD36-44E66E9791B8}">
      <text>
        <r>
          <rPr>
            <sz val="9"/>
            <color indexed="81"/>
            <rFont val="Tahoma"/>
            <family val="2"/>
          </rPr>
          <t>Custom input</t>
        </r>
      </text>
    </comment>
    <comment ref="N6" authorId="0" shapeId="0" xr:uid="{F4E47F7C-1987-4CF6-9182-A19A48FC97E8}">
      <text>
        <r>
          <rPr>
            <sz val="9"/>
            <color indexed="81"/>
            <rFont val="Tahoma"/>
            <family val="2"/>
          </rPr>
          <t>Custom input</t>
        </r>
      </text>
    </comment>
    <comment ref="N7" authorId="0" shapeId="0" xr:uid="{03EDE7D4-1C30-404D-B9C1-CB8A1DF0FEAA}">
      <text>
        <r>
          <rPr>
            <sz val="9"/>
            <color indexed="81"/>
            <rFont val="Tahoma"/>
            <family val="2"/>
          </rPr>
          <t>Custom input</t>
        </r>
      </text>
    </comment>
    <comment ref="C121" authorId="1" shapeId="0" xr:uid="{00000000-0006-0000-2200-000002000000}">
      <text>
        <r>
          <rPr>
            <sz val="9"/>
            <color indexed="81"/>
            <rFont val="Tahoma"/>
            <family val="2"/>
          </rPr>
          <t xml:space="preserve">
Enter values before performing duct sealing</t>
        </r>
      </text>
    </comment>
    <comment ref="D121" authorId="1" shapeId="0" xr:uid="{00000000-0006-0000-2200-000003000000}">
      <text>
        <r>
          <rPr>
            <sz val="9"/>
            <color indexed="81"/>
            <rFont val="Tahoma"/>
            <family val="2"/>
          </rPr>
          <t xml:space="preserve">
Enter values before performing duct sealing</t>
        </r>
      </text>
    </comment>
    <comment ref="E121" authorId="1" shapeId="0" xr:uid="{00000000-0006-0000-2200-000004000000}">
      <text>
        <r>
          <rPr>
            <sz val="9"/>
            <color indexed="81"/>
            <rFont val="Tahoma"/>
            <family val="2"/>
          </rPr>
          <t xml:space="preserve">
Enter values before performing duct sealing</t>
        </r>
      </text>
    </comment>
    <comment ref="F121" authorId="1" shapeId="0" xr:uid="{00000000-0006-0000-2200-000005000000}">
      <text>
        <r>
          <rPr>
            <sz val="9"/>
            <color indexed="81"/>
            <rFont val="Tahoma"/>
            <family val="2"/>
          </rPr>
          <t xml:space="preserve">
Enter values before performing duct sealing</t>
        </r>
      </text>
    </comment>
    <comment ref="C122" authorId="1" shapeId="0" xr:uid="{00000000-0006-0000-2200-000006000000}">
      <text>
        <r>
          <rPr>
            <sz val="9"/>
            <color indexed="81"/>
            <rFont val="Tahoma"/>
            <family val="2"/>
          </rPr>
          <t xml:space="preserve">
Enter Value after performing duct sealing</t>
        </r>
      </text>
    </comment>
    <comment ref="D122" authorId="1" shapeId="0" xr:uid="{00000000-0006-0000-2200-000007000000}">
      <text>
        <r>
          <rPr>
            <sz val="9"/>
            <color indexed="81"/>
            <rFont val="Tahoma"/>
            <family val="2"/>
          </rPr>
          <t xml:space="preserve">
Enter Value after performing duct sealing</t>
        </r>
      </text>
    </comment>
    <comment ref="E122" authorId="1" shapeId="0" xr:uid="{00000000-0006-0000-2200-000008000000}">
      <text>
        <r>
          <rPr>
            <sz val="9"/>
            <color indexed="81"/>
            <rFont val="Tahoma"/>
            <family val="2"/>
          </rPr>
          <t xml:space="preserve">
Enter Value after performing duct sealing</t>
        </r>
      </text>
    </comment>
    <comment ref="F122" authorId="1" shapeId="0" xr:uid="{00000000-0006-0000-2200-000009000000}">
      <text>
        <r>
          <rPr>
            <sz val="9"/>
            <color indexed="81"/>
            <rFont val="Tahoma"/>
            <family val="2"/>
          </rPr>
          <t xml:space="preserve">
Enter Value after performing duct sealing</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Randy Opdyke</author>
  </authors>
  <commentList>
    <comment ref="W4" authorId="0" shapeId="0" xr:uid="{B121082D-B501-45C4-AF93-E8C592FB0AD8}">
      <text>
        <r>
          <rPr>
            <sz val="9"/>
            <color indexed="81"/>
            <rFont val="Tahoma"/>
            <family val="2"/>
          </rPr>
          <t>Custom Input</t>
        </r>
        <r>
          <rPr>
            <b/>
            <sz val="9"/>
            <color indexed="81"/>
            <rFont val="Tahoma"/>
            <family val="2"/>
          </rPr>
          <t xml:space="preserve">
</t>
        </r>
      </text>
    </comment>
    <comment ref="W5" authorId="0" shapeId="0" xr:uid="{606110E6-60CF-431C-A214-F1EA8A472753}">
      <text>
        <r>
          <rPr>
            <sz val="9"/>
            <color indexed="81"/>
            <rFont val="Tahoma"/>
            <family val="2"/>
          </rPr>
          <t>Custom Input</t>
        </r>
        <r>
          <rPr>
            <b/>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Kristi Simkins</author>
    <author>Randy Opdyke</author>
  </authors>
  <commentList>
    <comment ref="AE3" authorId="0" shapeId="0" xr:uid="{B473FB88-0713-4494-B4A5-663B7D7CB32D}">
      <text>
        <r>
          <rPr>
            <b/>
            <sz val="9"/>
            <color indexed="81"/>
            <rFont val="Tahoma"/>
            <family val="2"/>
          </rPr>
          <t>Kristi Simkins:</t>
        </r>
        <r>
          <rPr>
            <sz val="9"/>
            <color indexed="81"/>
            <rFont val="Tahoma"/>
            <family val="2"/>
          </rPr>
          <t xml:space="preserve">
MBH of Furnace</t>
        </r>
      </text>
    </comment>
    <comment ref="AG4" authorId="1" shapeId="0" xr:uid="{8C95D0CF-E3A4-4650-BBDB-A971A4C01026}">
      <text>
        <r>
          <rPr>
            <b/>
            <sz val="9"/>
            <color indexed="81"/>
            <rFont val="Tahoma"/>
            <family val="2"/>
          </rPr>
          <t>Randy Opdyke:</t>
        </r>
        <r>
          <rPr>
            <sz val="9"/>
            <color indexed="81"/>
            <rFont val="Tahoma"/>
            <family val="2"/>
          </rPr>
          <t xml:space="preserve">
Custom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Liu, Bruce</author>
  </authors>
  <commentList>
    <comment ref="B127" authorId="0" shapeId="0" xr:uid="{7F105FF7-CF10-4518-A06E-D10E3C5017A0}">
      <text>
        <r>
          <rPr>
            <b/>
            <sz val="9"/>
            <color indexed="81"/>
            <rFont val="Tahoma"/>
            <family val="2"/>
          </rPr>
          <t>Liu, Bruce:</t>
        </r>
        <r>
          <rPr>
            <sz val="9"/>
            <color indexed="81"/>
            <rFont val="Tahoma"/>
            <family val="2"/>
          </rPr>
          <t xml:space="preserve">
Use actual SEER rating where it is possible. Double check participation data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tc={AA038127-CEE3-46F1-896C-E0A3E7BDDFE8}</author>
    <author>Bridgid Lutz</author>
  </authors>
  <commentList>
    <comment ref="AC3" authorId="0" shapeId="0" xr:uid="{AA038127-CEE3-46F1-896C-E0A3E7BDDFE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assuming 2/3rd is vertical length</t>
        </r>
      </text>
    </comment>
    <comment ref="K4" authorId="1" shapeId="0" xr:uid="{00000000-0006-0000-2600-000001000000}">
      <text>
        <r>
          <rPr>
            <sz val="9"/>
            <color indexed="81"/>
            <rFont val="Tahoma"/>
            <family val="2"/>
          </rPr>
          <t xml:space="preserve">
Custom Input</t>
        </r>
      </text>
    </comment>
    <comment ref="L4" authorId="1" shapeId="0" xr:uid="{00000000-0006-0000-2600-000002000000}">
      <text>
        <r>
          <rPr>
            <sz val="9"/>
            <color indexed="81"/>
            <rFont val="Tahoma"/>
            <family val="2"/>
          </rPr>
          <t xml:space="preserve">
Custom Input</t>
        </r>
      </text>
    </comment>
    <comment ref="M4" authorId="1" shapeId="0" xr:uid="{00000000-0006-0000-2600-000003000000}">
      <text>
        <r>
          <rPr>
            <sz val="9"/>
            <color indexed="81"/>
            <rFont val="Tahoma"/>
            <family val="2"/>
          </rPr>
          <t xml:space="preserve">
Custom Input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Randy Opdyke</author>
    <author>Jen Morris</author>
    <author>Sharon Bosley</author>
    <author>Choong, Linda L.</author>
  </authors>
  <commentList>
    <comment ref="A1" authorId="0" shapeId="0" xr:uid="{DC7E9B17-5B2B-4BED-A11C-4C963ADD0CE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199C35F4-3CAA-4AEA-B53A-46FF4A0989ED}">
      <text>
        <r>
          <rPr>
            <sz val="9"/>
            <color indexed="81"/>
            <rFont val="Tahoma"/>
            <family val="2"/>
          </rPr>
          <t xml:space="preserve">Please specify the current date in this cell and in the filename when saving the document.
</t>
        </r>
      </text>
    </comment>
    <comment ref="A3" authorId="0" shapeId="0" xr:uid="{8F456018-4893-47F3-AA1D-47FB74B9A636}">
      <text>
        <r>
          <rPr>
            <sz val="9"/>
            <color indexed="81"/>
            <rFont val="Tahoma"/>
            <family val="2"/>
          </rPr>
          <t>Please specify the name of the Program Administrator.</t>
        </r>
      </text>
    </comment>
    <comment ref="AT4" authorId="1" shapeId="0" xr:uid="{BA07C8A8-658E-4ED4-AF1A-20E1EB922BD6}">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BF4" authorId="1" shapeId="0" xr:uid="{BF9B900E-4434-4036-95FF-F0D199E6600F}">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CM4" authorId="2" shapeId="0" xr:uid="{A06D35BF-901D-4084-B569-BE9BED593CAB}">
      <text>
        <r>
          <rPr>
            <b/>
            <sz val="9"/>
            <color indexed="81"/>
            <rFont val="Tahoma"/>
            <family val="2"/>
          </rPr>
          <t xml:space="preserve">Stipulation Section F (3a): </t>
        </r>
        <r>
          <rPr>
            <sz val="9"/>
            <color indexed="81"/>
            <rFont val="Tahoma"/>
            <family val="2"/>
          </rPr>
          <t xml:space="preserve">3. Nicor Gas will adjust its savings goals to reflect any reduced contribution to program costs provided by ComEd.  The savings adjustment will be calculated as follows:
a) The planning assumptions originally used to construct the offering will be recalculated to remove assumptions for ComEd budget and savings contributions.  This adjustment will be reflected in the adjustable savings goal spreadsheet and Independent Evaluator review process outlined in Section II.B.8 of this Stipulation, and will apply from the date ComEd exited the joint program.
</t>
        </r>
      </text>
    </comment>
    <comment ref="R5" authorId="2" shapeId="0" xr:uid="{BCE5981E-696F-4935-AE0D-F77EC7F5DB42}">
      <text>
        <r>
          <rPr>
            <b/>
            <sz val="9"/>
            <color indexed="81"/>
            <rFont val="Tahoma"/>
            <family val="2"/>
          </rPr>
          <t>Randy Opdyke:</t>
        </r>
        <r>
          <rPr>
            <sz val="9"/>
            <color indexed="81"/>
            <rFont val="Tahoma"/>
            <family val="2"/>
          </rPr>
          <t xml:space="preserve">
To preserve the approved plan NTG values (the as-filed NTGs that were based on 2021 deemed values). Use these Columns to calculate Approved Plan Net Savings.</t>
        </r>
      </text>
    </comment>
    <comment ref="V5" authorId="2" shapeId="0" xr:uid="{14A8B9C8-753F-4490-97EF-0A15B6470B47}">
      <text>
        <r>
          <rPr>
            <b/>
            <sz val="9"/>
            <color indexed="81"/>
            <rFont val="Tahoma"/>
            <family val="2"/>
          </rPr>
          <t>Randy Opdyke:</t>
        </r>
        <r>
          <rPr>
            <sz val="9"/>
            <color indexed="81"/>
            <rFont val="Tahoma"/>
            <family val="2"/>
          </rPr>
          <t xml:space="preserve">
Illinois Energy Efficiency Policy Manual Version 2.0 
6.2 Adjustable Savings Goals Beginning in 2022: 
“In addition, gas utility annual energy savings goals will be adjusted for the entire Plan period, prior to the start of the first Plan Year of an approved Plan, so that they are aligned with changes to IL-TRM values and the most recent Evaluator’s recommended Net-to-Gross (NTG) Ratio values available.”
Per the recommendations of our 3rd party evaluator. Updates are based on October 1, 2021 Final Deemed NTG values for 2022. </t>
        </r>
      </text>
    </comment>
    <comment ref="Z5" authorId="2" shapeId="0" xr:uid="{A8962A5B-B1F3-40D8-814B-9EA53B88D388}">
      <text>
        <r>
          <rPr>
            <sz val="9"/>
            <color indexed="81"/>
            <rFont val="Tahoma"/>
            <family val="2"/>
          </rPr>
          <t>Gas utilities have the discretion at the time of Plan filings to propose adjustable savings
goals with NTG collars as set forth below. Gas utility annual energy savings goals may
be adjusted, as specifically provided below, if final deemed NTG Ratios determined
under the NTG Policy defined in Section 7.2 fall outside the bounds of NTG collars
approved by the Commission in Program Administrator Energy Efficiency Plan Dockets.
NTG collars only apply to Energy Efficiency Measures, Program components and/or
Programs subject to their own single NTG Ratio and that account for ten (10) percent or
more of Portfolio Plan savings. NTG collars must be at least ten (10) percentage points,
except for income qualified Measures, where the NTG collars are defined as plus-orminus zero (0) percentage points.</t>
        </r>
      </text>
    </comment>
    <comment ref="AA5" authorId="2" shapeId="0" xr:uid="{F2A76F5C-B107-4646-B47E-D2F4F12A9F9E}">
      <text>
        <r>
          <rPr>
            <sz val="9"/>
            <color indexed="81"/>
            <rFont val="Tahoma"/>
            <family val="2"/>
          </rPr>
          <t xml:space="preserve">Final Evaluated NTG for each year
</t>
        </r>
      </text>
    </comment>
    <comment ref="AE5" authorId="2" shapeId="0" xr:uid="{C3520DE8-5BA5-43E9-8024-FB38B62483BE}">
      <text>
        <r>
          <rPr>
            <sz val="9"/>
            <color indexed="81"/>
            <rFont val="Tahoma"/>
            <family val="2"/>
          </rPr>
          <t>Gas utilities have the discretion at the time of Plan filings to propose adjustable savings
goals with NTG collars as set forth below. Gas utility annual energy savings goals may
be adjusted, as specifically provided below, if final deemed NTG Ratios determined
under the NTG Policy defined in Section 7.2 fall outside the bounds of NTG collars
approved by the Commission in Program Administrator Energy Efficiency Plan Dockets.
NTG collars only apply to Energy Efficiency Measures, Program components and/or
Programs subject to their own single NTG Ratio and that account for ten (10) percent or
more of Portfolio Plan savings. NTG collars must be at least ten (10) percentage points,
except for income qualified Measures, where the NTG collars are defined as plus-orminus zero (0) percentage points.</t>
        </r>
      </text>
    </comment>
    <comment ref="B6" authorId="0" shapeId="0" xr:uid="{BEA3230B-A7E6-4B3F-B518-3DF634944ADC}">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C6" authorId="0" shapeId="0" xr:uid="{395931D5-E1EC-4D18-BCB4-B97C83DC23AA}">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E6" authorId="0" shapeId="0" xr:uid="{E3DEDC6C-069D-49D1-A76F-33B98FA615E8}">
      <text>
        <r>
          <rPr>
            <b/>
            <sz val="9"/>
            <color indexed="81"/>
            <rFont val="Tahoma"/>
            <family val="2"/>
          </rPr>
          <t xml:space="preserve">Column (e)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9.0 and/or if the Program Administrator will not adjust the savings goal for a low-impact Measure based upon IL-TRM changes. 
</t>
        </r>
      </text>
    </comment>
    <comment ref="F6" authorId="0" shapeId="0" xr:uid="{BDEBDB59-98B3-4137-8900-81DD64BB6801}">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55D8D98E-8632-4E5A-99DB-39735C2AEE0A}">
      <text>
        <r>
          <rPr>
            <b/>
            <sz val="9"/>
            <color indexed="81"/>
            <rFont val="Tahoma"/>
            <family val="2"/>
          </rPr>
          <t xml:space="preserve">Column (g) – Unit of Participation: </t>
        </r>
        <r>
          <rPr>
            <sz val="9"/>
            <color indexed="81"/>
            <rFont val="Tahoma"/>
            <family val="2"/>
          </rPr>
          <t>Describe the unit of participation for the Measure. For example, is participation calculated on a per home basis?</t>
        </r>
      </text>
    </comment>
    <comment ref="AE6" authorId="2" shapeId="0" xr:uid="{D5AB9191-0B8E-481B-9CCA-79B102D5F0F7}">
      <text>
        <r>
          <rPr>
            <sz val="9"/>
            <color indexed="81"/>
            <rFont val="Tahoma"/>
            <family val="2"/>
          </rPr>
          <t>For the purpose of calculating the adjusted savings goal, gas utilities will calculate the
NTG Ratio as follows:
• If the deemed NTG Ratio exceeds the collar cap, the adjusted NTG Ratio will
equal the NTG Ratio included in the gas utility’s approved Energy Efficiency
Plan, plus the difference between the deemed NTG Ratio and the collar cap, i.e.:
o adjusted NTG Ratio = Plan NTG Ratio + (deemed NTG Ratio - cap NTG
Illinois Energy Efficiency Policy Manual Version 2.0
Page 23
Ratio)
• If the deemed NTG Ratio is less than the collar floor, the adjusted NTG Ratio will
equal the NTG Ratio included in the gas utility’s approved Energy Efficiency
Plan, less the difference between the collar floor NTG Ratio and the deemed
NTG Ratio, i.e.:
o adjusted NTG Ratio = Plan NTG Ratio – (floor NTG Ratio – deemed NTG
Ratio)
• If the deemed NTG Ratio is between the collar cap and the collar floor, the
adjusted NTG Ratio will equal the NTG Ratio included in the gas utility’s
approved Energy Efficiency Plan.</t>
        </r>
        <r>
          <rPr>
            <b/>
            <sz val="9"/>
            <color indexed="81"/>
            <rFont val="Tahoma"/>
            <family val="2"/>
          </rPr>
          <t xml:space="preserve">
</t>
        </r>
      </text>
    </comment>
    <comment ref="AF6" authorId="2" shapeId="0" xr:uid="{D6F0714E-396B-47DD-A50C-7CF92FC8CACC}">
      <text>
        <r>
          <rPr>
            <sz val="9"/>
            <color indexed="81"/>
            <rFont val="Tahoma"/>
            <family val="2"/>
          </rPr>
          <t>For the purpose of calculating the adjusted savings goal, gas utilities will calculate the
NTG Ratio as follows:
• If the deemed NTG Ratio exceeds the collar cap, the adjusted NTG Ratio will
equal the NTG Ratio included in the gas utility’s approved Energy Efficiency
Plan, plus the difference between the deemed NTG Ratio and the collar cap, i.e.:
o adjusted NTG Ratio = Plan NTG Ratio + (deemed NTG Ratio - cap NTG
Illinois Energy Efficiency Policy Manual Version 2.0
Page 23
Ratio)
• If the deemed NTG Ratio is less than the collar floor, the adjusted NTG Ratio will
equal the NTG Ratio included in the gas utility’s approved Energy Efficiency
Plan, less the difference between the collar floor NTG Ratio and the deemed
NTG Ratio, i.e.:
o adjusted NTG Ratio = Plan NTG Ratio – (floor NTG Ratio – deemed NTG
Ratio)
• If the deemed NTG Ratio is between the collar cap and the collar floor, the
adjusted NTG Ratio will equal the NTG Ratio included in the gas utility’s
approved Energy Efficiency Plan.</t>
        </r>
        <r>
          <rPr>
            <b/>
            <sz val="9"/>
            <color indexed="81"/>
            <rFont val="Tahoma"/>
            <family val="2"/>
          </rPr>
          <t xml:space="preserve">
</t>
        </r>
      </text>
    </comment>
    <comment ref="BL6" authorId="0" shapeId="0" xr:uid="{5C5D387D-BD2B-4F2A-9A2C-10175B8199D6}">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BM6" authorId="0" shapeId="0" xr:uid="{00D0A5FC-EE5A-4848-819E-1655D12ED783}">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N6" authorId="0" shapeId="0" xr:uid="{0CAAF760-730B-4FAA-A75A-C0D6D9FAEC23}">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O6" authorId="0" shapeId="0" xr:uid="{C580DD08-EFCA-486F-B9B9-5E7A9758B917}">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P6" authorId="1" shapeId="0" xr:uid="{D2D4B2E9-7232-45C6-817F-BB482D68AD0C}">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Q6" authorId="3" shapeId="0" xr:uid="{AEF98A54-7D6B-466D-A825-5E812257F0BE}">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R6" authorId="3" shapeId="0" xr:uid="{723D9297-2F66-4BAB-8819-0734CFC4EA4E}">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BS6" authorId="0" shapeId="0" xr:uid="{23E668E8-1FEB-40B2-83C5-145CE4454779}">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CM6" authorId="0" shapeId="0" xr:uid="{E35AFB7C-34C1-470C-9C85-437C450EE808}">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CO6" authorId="0" shapeId="0" xr:uid="{A90D1683-EBFD-442A-96D8-AD8582BDBA4C}">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CP6" authorId="0" shapeId="0" xr:uid="{8A66A7B0-E4B5-45A8-98F5-D1D88B2639B6}">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CQ6" authorId="0" shapeId="0" xr:uid="{79EF6210-EF7D-43B9-A067-CA7527E37B6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CR6" authorId="0" shapeId="0" xr:uid="{297216CE-E4DA-47A5-AC54-5E0568B7A8DD}">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BL7" authorId="0" shapeId="0" xr:uid="{135382AD-D104-4B43-BE91-172E8DD6DCD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BM7" authorId="0" shapeId="0" xr:uid="{CDBDA4B7-165A-4670-97DA-4E4238A041A7}">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N7" authorId="0" shapeId="0" xr:uid="{6CD8012E-2C1C-4963-A38E-1983929A44FD}">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O7" authorId="0" shapeId="0" xr:uid="{1E057292-DCF0-4772-A27F-EF5FC173B17C}">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P18" authorId="4" shapeId="0" xr:uid="{A77BC697-BA5D-41BC-9810-BACCECA6FBAB}">
      <text>
        <r>
          <rPr>
            <b/>
            <sz val="9"/>
            <color indexed="81"/>
            <rFont val="Tahoma"/>
            <family val="2"/>
          </rPr>
          <t>Sharon Bosley:</t>
        </r>
        <r>
          <rPr>
            <sz val="9"/>
            <color indexed="81"/>
            <rFont val="Tahoma"/>
            <family val="2"/>
          </rPr>
          <t xml:space="preserve">
No Annual Therm Savings</t>
        </r>
      </text>
    </comment>
    <comment ref="AV18" authorId="4" shapeId="0" xr:uid="{2187BFA2-2250-4070-92E6-7A361A64D29F}">
      <text>
        <r>
          <rPr>
            <b/>
            <sz val="9"/>
            <color indexed="81"/>
            <rFont val="Tahoma"/>
            <family val="2"/>
          </rPr>
          <t>Sharon Bosley:</t>
        </r>
        <r>
          <rPr>
            <sz val="9"/>
            <color indexed="81"/>
            <rFont val="Tahoma"/>
            <family val="2"/>
          </rPr>
          <t xml:space="preserve">
No Annual Therm Savings</t>
        </r>
      </text>
    </comment>
    <comment ref="BB18" authorId="4" shapeId="0" xr:uid="{FA381E6A-FD3D-4DA1-BDC6-326052726EE0}">
      <text>
        <r>
          <rPr>
            <b/>
            <sz val="9"/>
            <color indexed="81"/>
            <rFont val="Tahoma"/>
            <family val="2"/>
          </rPr>
          <t>Sharon Bosley:</t>
        </r>
        <r>
          <rPr>
            <sz val="9"/>
            <color indexed="81"/>
            <rFont val="Tahoma"/>
            <family val="2"/>
          </rPr>
          <t xml:space="preserve">
No Annual Therm Savings</t>
        </r>
      </text>
    </comment>
    <comment ref="BH18" authorId="4" shapeId="0" xr:uid="{6F36AF08-56AB-4F6B-AD8D-6D269750A7C9}">
      <text>
        <r>
          <rPr>
            <b/>
            <sz val="9"/>
            <color indexed="81"/>
            <rFont val="Tahoma"/>
            <family val="2"/>
          </rPr>
          <t>Sharon Bosley:</t>
        </r>
        <r>
          <rPr>
            <sz val="9"/>
            <color indexed="81"/>
            <rFont val="Tahoma"/>
            <family val="2"/>
          </rPr>
          <t xml:space="preserve">
No Annual Therm Savings</t>
        </r>
      </text>
    </comment>
    <comment ref="AP42" authorId="4" shapeId="0" xr:uid="{A7D40B4C-BED4-4A1B-8119-1B4F2C700F43}">
      <text>
        <r>
          <rPr>
            <b/>
            <sz val="9"/>
            <color indexed="81"/>
            <rFont val="Tahoma"/>
            <family val="2"/>
          </rPr>
          <t>Sharon Bosley:</t>
        </r>
        <r>
          <rPr>
            <sz val="9"/>
            <color indexed="81"/>
            <rFont val="Tahoma"/>
            <family val="2"/>
          </rPr>
          <t xml:space="preserve">
No tab 4.2.16
</t>
        </r>
      </text>
    </comment>
    <comment ref="AV42" authorId="4" shapeId="0" xr:uid="{A9596BD8-67C2-48A8-8F1F-1C5E1959EBC2}">
      <text>
        <r>
          <rPr>
            <b/>
            <sz val="9"/>
            <color indexed="81"/>
            <rFont val="Tahoma"/>
            <family val="2"/>
          </rPr>
          <t>Sharon Bosley:</t>
        </r>
        <r>
          <rPr>
            <sz val="9"/>
            <color indexed="81"/>
            <rFont val="Tahoma"/>
            <family val="2"/>
          </rPr>
          <t xml:space="preserve">
No tab 4.2.16
</t>
        </r>
      </text>
    </comment>
    <comment ref="BB42" authorId="4" shapeId="0" xr:uid="{6BFCF028-53A3-45AD-812C-740D7587FC64}">
      <text>
        <r>
          <rPr>
            <b/>
            <sz val="9"/>
            <color indexed="81"/>
            <rFont val="Tahoma"/>
            <family val="2"/>
          </rPr>
          <t>Sharon Bosley:</t>
        </r>
        <r>
          <rPr>
            <sz val="9"/>
            <color indexed="81"/>
            <rFont val="Tahoma"/>
            <family val="2"/>
          </rPr>
          <t xml:space="preserve">
No tab 4.2.16
</t>
        </r>
      </text>
    </comment>
    <comment ref="BH42" authorId="4" shapeId="0" xr:uid="{5C69DDE6-AEF2-47D6-86A4-279207E55FDD}">
      <text>
        <r>
          <rPr>
            <b/>
            <sz val="9"/>
            <color indexed="81"/>
            <rFont val="Tahoma"/>
            <family val="2"/>
          </rPr>
          <t>Sharon Bosley:</t>
        </r>
        <r>
          <rPr>
            <sz val="9"/>
            <color indexed="81"/>
            <rFont val="Tahoma"/>
            <family val="2"/>
          </rPr>
          <t xml:space="preserve">
No tab 4.2.16
</t>
        </r>
      </text>
    </comment>
    <comment ref="AP43" authorId="4" shapeId="0" xr:uid="{95402404-200A-471F-BEBB-5634F004F205}">
      <text>
        <r>
          <rPr>
            <b/>
            <sz val="9"/>
            <color indexed="81"/>
            <rFont val="Tahoma"/>
            <family val="2"/>
          </rPr>
          <t>Sharon Bosley:</t>
        </r>
        <r>
          <rPr>
            <sz val="9"/>
            <color indexed="81"/>
            <rFont val="Tahoma"/>
            <family val="2"/>
          </rPr>
          <t xml:space="preserve">
No tab 4.2.6</t>
        </r>
      </text>
    </comment>
    <comment ref="AV43" authorId="4" shapeId="0" xr:uid="{4E6A8142-66A3-4C31-AC61-23E76F5580CB}">
      <text>
        <r>
          <rPr>
            <b/>
            <sz val="9"/>
            <color indexed="81"/>
            <rFont val="Tahoma"/>
            <family val="2"/>
          </rPr>
          <t>Sharon Bosley:</t>
        </r>
        <r>
          <rPr>
            <sz val="9"/>
            <color indexed="81"/>
            <rFont val="Tahoma"/>
            <family val="2"/>
          </rPr>
          <t xml:space="preserve">
No tab 4.2.6</t>
        </r>
      </text>
    </comment>
    <comment ref="BB43" authorId="4" shapeId="0" xr:uid="{8F1A1CB9-BFAA-4260-84BD-16CB02784299}">
      <text>
        <r>
          <rPr>
            <b/>
            <sz val="9"/>
            <color indexed="81"/>
            <rFont val="Tahoma"/>
            <family val="2"/>
          </rPr>
          <t>Sharon Bosley:</t>
        </r>
        <r>
          <rPr>
            <sz val="9"/>
            <color indexed="81"/>
            <rFont val="Tahoma"/>
            <family val="2"/>
          </rPr>
          <t xml:space="preserve">
No tab 4.2.6</t>
        </r>
      </text>
    </comment>
    <comment ref="BH43" authorId="4" shapeId="0" xr:uid="{73427DD6-9DBA-4644-935D-730733FB3A42}">
      <text>
        <r>
          <rPr>
            <b/>
            <sz val="9"/>
            <color indexed="81"/>
            <rFont val="Tahoma"/>
            <family val="2"/>
          </rPr>
          <t>Sharon Bosley:</t>
        </r>
        <r>
          <rPr>
            <sz val="9"/>
            <color indexed="81"/>
            <rFont val="Tahoma"/>
            <family val="2"/>
          </rPr>
          <t xml:space="preserve">
No tab 4.2.6</t>
        </r>
      </text>
    </comment>
    <comment ref="AP60" authorId="4" shapeId="0" xr:uid="{D6C9380C-BD6B-4F47-A1EA-DB45B78872C5}">
      <text>
        <r>
          <rPr>
            <b/>
            <sz val="9"/>
            <color indexed="81"/>
            <rFont val="Tahoma"/>
            <family val="2"/>
          </rPr>
          <t>Sharon Bosley:</t>
        </r>
        <r>
          <rPr>
            <sz val="9"/>
            <color indexed="81"/>
            <rFont val="Tahoma"/>
            <family val="2"/>
          </rPr>
          <t xml:space="preserve">
No 4.4.11.3 or 4, only 4.4.11.7 &amp; 8</t>
        </r>
      </text>
    </comment>
    <comment ref="AV60" authorId="4" shapeId="0" xr:uid="{3B95A24E-59A6-44D0-8E2A-A69BD91CBA39}">
      <text>
        <r>
          <rPr>
            <b/>
            <sz val="9"/>
            <color indexed="81"/>
            <rFont val="Tahoma"/>
            <family val="2"/>
          </rPr>
          <t>Sharon Bosley:</t>
        </r>
        <r>
          <rPr>
            <sz val="9"/>
            <color indexed="81"/>
            <rFont val="Tahoma"/>
            <family val="2"/>
          </rPr>
          <t xml:space="preserve">
No 4.4.11.3 or 4, only 4.4.11.7 &amp; 8</t>
        </r>
      </text>
    </comment>
    <comment ref="BB60" authorId="4" shapeId="0" xr:uid="{7D5DD5D9-62BB-425C-B7C9-37FDAE3589DF}">
      <text>
        <r>
          <rPr>
            <b/>
            <sz val="9"/>
            <color indexed="81"/>
            <rFont val="Tahoma"/>
            <family val="2"/>
          </rPr>
          <t>Sharon Bosley:</t>
        </r>
        <r>
          <rPr>
            <sz val="9"/>
            <color indexed="81"/>
            <rFont val="Tahoma"/>
            <family val="2"/>
          </rPr>
          <t xml:space="preserve">
No 4.4.11.3 or 4, only 4.4.11.7 &amp; 8</t>
        </r>
      </text>
    </comment>
    <comment ref="BH60" authorId="4" shapeId="0" xr:uid="{9E48E2EB-F25B-415C-BCB1-122F77606CAF}">
      <text>
        <r>
          <rPr>
            <b/>
            <sz val="9"/>
            <color indexed="81"/>
            <rFont val="Tahoma"/>
            <family val="2"/>
          </rPr>
          <t>Sharon Bosley:</t>
        </r>
        <r>
          <rPr>
            <sz val="9"/>
            <color indexed="81"/>
            <rFont val="Tahoma"/>
            <family val="2"/>
          </rPr>
          <t xml:space="preserve">
No 4.4.11.3 or 4, only 4.4.11.7 &amp; 8</t>
        </r>
      </text>
    </comment>
    <comment ref="AP70" authorId="4" shapeId="0" xr:uid="{A2EF8825-6CC9-4DD8-8053-C09D03D8AF39}">
      <text>
        <r>
          <rPr>
            <b/>
            <sz val="9"/>
            <color indexed="81"/>
            <rFont val="Tahoma"/>
            <family val="2"/>
          </rPr>
          <t>Sharon Bosley:</t>
        </r>
        <r>
          <rPr>
            <sz val="9"/>
            <color indexed="81"/>
            <rFont val="Tahoma"/>
            <family val="2"/>
          </rPr>
          <t xml:space="preserve">
There is no tab 4.3.8</t>
        </r>
      </text>
    </comment>
    <comment ref="AV70" authorId="4" shapeId="0" xr:uid="{09EE0DD2-F95B-455C-B48A-F5AF231D118F}">
      <text>
        <r>
          <rPr>
            <b/>
            <sz val="9"/>
            <color indexed="81"/>
            <rFont val="Tahoma"/>
            <family val="2"/>
          </rPr>
          <t>Sharon Bosley:</t>
        </r>
        <r>
          <rPr>
            <sz val="9"/>
            <color indexed="81"/>
            <rFont val="Tahoma"/>
            <family val="2"/>
          </rPr>
          <t xml:space="preserve">
There is no tab 4.3.8</t>
        </r>
      </text>
    </comment>
    <comment ref="BB70" authorId="4" shapeId="0" xr:uid="{B26CECD0-657F-4127-A1E3-FBEEF37550F3}">
      <text>
        <r>
          <rPr>
            <b/>
            <sz val="9"/>
            <color indexed="81"/>
            <rFont val="Tahoma"/>
            <family val="2"/>
          </rPr>
          <t>Sharon Bosley:</t>
        </r>
        <r>
          <rPr>
            <sz val="9"/>
            <color indexed="81"/>
            <rFont val="Tahoma"/>
            <family val="2"/>
          </rPr>
          <t xml:space="preserve">
There is no tab 4.3.8</t>
        </r>
      </text>
    </comment>
    <comment ref="BH70" authorId="4" shapeId="0" xr:uid="{DA371D7A-33EC-4BB7-A677-60AF24B02D78}">
      <text>
        <r>
          <rPr>
            <b/>
            <sz val="9"/>
            <color indexed="81"/>
            <rFont val="Tahoma"/>
            <family val="2"/>
          </rPr>
          <t>Sharon Bosley:</t>
        </r>
        <r>
          <rPr>
            <sz val="9"/>
            <color indexed="81"/>
            <rFont val="Tahoma"/>
            <family val="2"/>
          </rPr>
          <t xml:space="preserve">
There is no tab 4.3.8</t>
        </r>
      </text>
    </comment>
    <comment ref="AP75" authorId="4" shapeId="0" xr:uid="{C014C5ED-8451-4BC4-A4E4-CBA723DAD4B0}">
      <text>
        <r>
          <rPr>
            <b/>
            <sz val="9"/>
            <color indexed="81"/>
            <rFont val="Tahoma"/>
            <family val="2"/>
          </rPr>
          <t>Sharon Bosley:</t>
        </r>
        <r>
          <rPr>
            <sz val="9"/>
            <color indexed="81"/>
            <rFont val="Tahoma"/>
            <family val="2"/>
          </rPr>
          <t xml:space="preserve">
No 4/8/4/1 or 2 measure</t>
        </r>
      </text>
    </comment>
    <comment ref="AV75" authorId="4" shapeId="0" xr:uid="{07AE888B-1655-446B-8FE9-2FB6FBA630E6}">
      <text>
        <r>
          <rPr>
            <b/>
            <sz val="9"/>
            <color indexed="81"/>
            <rFont val="Tahoma"/>
            <family val="2"/>
          </rPr>
          <t>Sharon Bosley:</t>
        </r>
        <r>
          <rPr>
            <sz val="9"/>
            <color indexed="81"/>
            <rFont val="Tahoma"/>
            <family val="2"/>
          </rPr>
          <t xml:space="preserve">
No 4/8/4/1 or 2 measure</t>
        </r>
      </text>
    </comment>
    <comment ref="BB75" authorId="4" shapeId="0" xr:uid="{7DF6C9AD-C93E-44D0-AAC6-4A778CF061B5}">
      <text>
        <r>
          <rPr>
            <b/>
            <sz val="9"/>
            <color indexed="81"/>
            <rFont val="Tahoma"/>
            <family val="2"/>
          </rPr>
          <t>Sharon Bosley:</t>
        </r>
        <r>
          <rPr>
            <sz val="9"/>
            <color indexed="81"/>
            <rFont val="Tahoma"/>
            <family val="2"/>
          </rPr>
          <t xml:space="preserve">
No 4/8/4/1 or 2 measure</t>
        </r>
      </text>
    </comment>
    <comment ref="BH75" authorId="4" shapeId="0" xr:uid="{FDA14604-BA1B-4DDB-93C4-AF5268BF0CB5}">
      <text>
        <r>
          <rPr>
            <b/>
            <sz val="9"/>
            <color indexed="81"/>
            <rFont val="Tahoma"/>
            <family val="2"/>
          </rPr>
          <t>Sharon Bosley:</t>
        </r>
        <r>
          <rPr>
            <sz val="9"/>
            <color indexed="81"/>
            <rFont val="Tahoma"/>
            <family val="2"/>
          </rPr>
          <t xml:space="preserve">
No 4/8/4/1 or 2 measure</t>
        </r>
      </text>
    </comment>
    <comment ref="AP91" authorId="4" shapeId="0" xr:uid="{7E953413-10DE-4712-89BC-66089E1B821C}">
      <text>
        <r>
          <rPr>
            <b/>
            <sz val="9"/>
            <color indexed="81"/>
            <rFont val="Tahoma"/>
            <family val="2"/>
          </rPr>
          <t>Sharon Bosley:</t>
        </r>
        <r>
          <rPr>
            <sz val="9"/>
            <color indexed="81"/>
            <rFont val="Tahoma"/>
            <family val="2"/>
          </rPr>
          <t xml:space="preserve">
There are two of the same measures</t>
        </r>
      </text>
    </comment>
    <comment ref="AV91" authorId="4" shapeId="0" xr:uid="{C66E89F3-94C1-4615-9B65-CF5774B8926F}">
      <text>
        <r>
          <rPr>
            <b/>
            <sz val="9"/>
            <color indexed="81"/>
            <rFont val="Tahoma"/>
            <family val="2"/>
          </rPr>
          <t>Sharon Bosley:</t>
        </r>
        <r>
          <rPr>
            <sz val="9"/>
            <color indexed="81"/>
            <rFont val="Tahoma"/>
            <family val="2"/>
          </rPr>
          <t xml:space="preserve">
There are two of the same measures</t>
        </r>
      </text>
    </comment>
    <comment ref="BB91" authorId="4" shapeId="0" xr:uid="{C41629F1-0D17-4354-A899-A47EDDF8C525}">
      <text>
        <r>
          <rPr>
            <b/>
            <sz val="9"/>
            <color indexed="81"/>
            <rFont val="Tahoma"/>
            <family val="2"/>
          </rPr>
          <t>Sharon Bosley:</t>
        </r>
        <r>
          <rPr>
            <sz val="9"/>
            <color indexed="81"/>
            <rFont val="Tahoma"/>
            <family val="2"/>
          </rPr>
          <t xml:space="preserve">
There are two of the same measures</t>
        </r>
      </text>
    </comment>
    <comment ref="BH91" authorId="4" shapeId="0" xr:uid="{7543E9F3-6804-4F59-9A3F-BF4E8B21DADB}">
      <text>
        <r>
          <rPr>
            <b/>
            <sz val="9"/>
            <color indexed="81"/>
            <rFont val="Tahoma"/>
            <family val="2"/>
          </rPr>
          <t>Sharon Bosley:</t>
        </r>
        <r>
          <rPr>
            <sz val="9"/>
            <color indexed="81"/>
            <rFont val="Tahoma"/>
            <family val="2"/>
          </rPr>
          <t xml:space="preserve">
There are two of the same measures</t>
        </r>
      </text>
    </comment>
    <comment ref="AP99" authorId="4" shapeId="0" xr:uid="{B933CA62-4A88-44EC-AF1D-E655EE5EE4CB}">
      <text>
        <r>
          <rPr>
            <b/>
            <sz val="9"/>
            <color indexed="81"/>
            <rFont val="Tahoma"/>
            <family val="2"/>
          </rPr>
          <t>Sharon Bosley:</t>
        </r>
        <r>
          <rPr>
            <sz val="9"/>
            <color indexed="81"/>
            <rFont val="Tahoma"/>
            <family val="2"/>
          </rPr>
          <t xml:space="preserve">
There are two of the same measure</t>
        </r>
      </text>
    </comment>
    <comment ref="AV99" authorId="4" shapeId="0" xr:uid="{F8B1B562-3A64-4934-941B-BB887AECC60A}">
      <text>
        <r>
          <rPr>
            <b/>
            <sz val="9"/>
            <color indexed="81"/>
            <rFont val="Tahoma"/>
            <family val="2"/>
          </rPr>
          <t>Sharon Bosley:</t>
        </r>
        <r>
          <rPr>
            <sz val="9"/>
            <color indexed="81"/>
            <rFont val="Tahoma"/>
            <family val="2"/>
          </rPr>
          <t xml:space="preserve">
There are two of the same measure</t>
        </r>
      </text>
    </comment>
    <comment ref="BB99" authorId="4" shapeId="0" xr:uid="{9AA182C1-C27E-448D-B990-99E9908ED3E1}">
      <text>
        <r>
          <rPr>
            <b/>
            <sz val="9"/>
            <color indexed="81"/>
            <rFont val="Tahoma"/>
            <family val="2"/>
          </rPr>
          <t>Sharon Bosley:</t>
        </r>
        <r>
          <rPr>
            <sz val="9"/>
            <color indexed="81"/>
            <rFont val="Tahoma"/>
            <family val="2"/>
          </rPr>
          <t xml:space="preserve">
There are two of the same measure</t>
        </r>
      </text>
    </comment>
    <comment ref="BH99" authorId="4" shapeId="0" xr:uid="{68F41F80-4A9C-49DF-8FA5-2A7B88F3DAD4}">
      <text>
        <r>
          <rPr>
            <b/>
            <sz val="9"/>
            <color indexed="81"/>
            <rFont val="Tahoma"/>
            <family val="2"/>
          </rPr>
          <t>Sharon Bosley:</t>
        </r>
        <r>
          <rPr>
            <sz val="9"/>
            <color indexed="81"/>
            <rFont val="Tahoma"/>
            <family val="2"/>
          </rPr>
          <t xml:space="preserve">
There are two of the same measure</t>
        </r>
      </text>
    </comment>
    <comment ref="AP118" authorId="4" shapeId="0" xr:uid="{730CF572-5E45-4855-AE51-084469F4102E}">
      <text>
        <r>
          <rPr>
            <b/>
            <sz val="9"/>
            <color indexed="81"/>
            <rFont val="Tahoma"/>
            <family val="2"/>
          </rPr>
          <t>Sharon Bosley:</t>
        </r>
        <r>
          <rPr>
            <sz val="9"/>
            <color indexed="81"/>
            <rFont val="Tahoma"/>
            <family val="2"/>
          </rPr>
          <t xml:space="preserve">
No Tab 4.8.16</t>
        </r>
      </text>
    </comment>
    <comment ref="AV118" authorId="4" shapeId="0" xr:uid="{29A9D0A9-FC74-429D-9F89-46B21EE63ADF}">
      <text>
        <r>
          <rPr>
            <b/>
            <sz val="9"/>
            <color indexed="81"/>
            <rFont val="Tahoma"/>
            <family val="2"/>
          </rPr>
          <t>Sharon Bosley:</t>
        </r>
        <r>
          <rPr>
            <sz val="9"/>
            <color indexed="81"/>
            <rFont val="Tahoma"/>
            <family val="2"/>
          </rPr>
          <t xml:space="preserve">
No Tab 4.8.16</t>
        </r>
      </text>
    </comment>
    <comment ref="BB118" authorId="4" shapeId="0" xr:uid="{EA189DC5-FBF9-4968-A71C-CAE842C3ED41}">
      <text>
        <r>
          <rPr>
            <b/>
            <sz val="9"/>
            <color indexed="81"/>
            <rFont val="Tahoma"/>
            <family val="2"/>
          </rPr>
          <t>Sharon Bosley:</t>
        </r>
        <r>
          <rPr>
            <sz val="9"/>
            <color indexed="81"/>
            <rFont val="Tahoma"/>
            <family val="2"/>
          </rPr>
          <t xml:space="preserve">
No Tab 4.8.16</t>
        </r>
      </text>
    </comment>
    <comment ref="BH118" authorId="4" shapeId="0" xr:uid="{284CB989-8EBA-4593-B0B4-FD10E77E7201}">
      <text>
        <r>
          <rPr>
            <b/>
            <sz val="9"/>
            <color indexed="81"/>
            <rFont val="Tahoma"/>
            <family val="2"/>
          </rPr>
          <t>Sharon Bosley:</t>
        </r>
        <r>
          <rPr>
            <sz val="9"/>
            <color indexed="81"/>
            <rFont val="Tahoma"/>
            <family val="2"/>
          </rPr>
          <t xml:space="preserve">
No Tab 4.8.16</t>
        </r>
      </text>
    </comment>
    <comment ref="AP119" authorId="4" shapeId="0" xr:uid="{BFBE0C15-31B1-4BF6-8543-508411A7151C}">
      <text>
        <r>
          <rPr>
            <b/>
            <sz val="9"/>
            <color indexed="81"/>
            <rFont val="Tahoma"/>
            <family val="2"/>
          </rPr>
          <t>Sharon Bosley:</t>
        </r>
        <r>
          <rPr>
            <sz val="9"/>
            <color indexed="81"/>
            <rFont val="Tahoma"/>
            <family val="2"/>
          </rPr>
          <t xml:space="preserve">
No table 4.4.47
</t>
        </r>
      </text>
    </comment>
    <comment ref="AV119" authorId="4" shapeId="0" xr:uid="{05D69949-4DB6-4260-99AF-D979BBB987DA}">
      <text>
        <r>
          <rPr>
            <b/>
            <sz val="9"/>
            <color indexed="81"/>
            <rFont val="Tahoma"/>
            <family val="2"/>
          </rPr>
          <t>Sharon Bosley:</t>
        </r>
        <r>
          <rPr>
            <sz val="9"/>
            <color indexed="81"/>
            <rFont val="Tahoma"/>
            <family val="2"/>
          </rPr>
          <t xml:space="preserve">
No tabe 4.4.47
</t>
        </r>
      </text>
    </comment>
    <comment ref="BB119" authorId="4" shapeId="0" xr:uid="{F34D2FA4-245E-4BAF-ABC8-707AAD32A1CF}">
      <text>
        <r>
          <rPr>
            <b/>
            <sz val="9"/>
            <color indexed="81"/>
            <rFont val="Tahoma"/>
            <family val="2"/>
          </rPr>
          <t>Sharon Bosley:</t>
        </r>
        <r>
          <rPr>
            <sz val="9"/>
            <color indexed="81"/>
            <rFont val="Tahoma"/>
            <family val="2"/>
          </rPr>
          <t xml:space="preserve">
No tabe 4.4.47
</t>
        </r>
      </text>
    </comment>
    <comment ref="BH119" authorId="4" shapeId="0" xr:uid="{F46F11D3-001C-44C0-9C15-7B20CEA59FFD}">
      <text>
        <r>
          <rPr>
            <b/>
            <sz val="9"/>
            <color indexed="81"/>
            <rFont val="Tahoma"/>
            <family val="2"/>
          </rPr>
          <t>Sharon Bosley:</t>
        </r>
        <r>
          <rPr>
            <sz val="9"/>
            <color indexed="81"/>
            <rFont val="Tahoma"/>
            <family val="2"/>
          </rPr>
          <t xml:space="preserve">
No tabe 4.4.47
</t>
        </r>
      </text>
    </comment>
    <comment ref="AP121" authorId="4" shapeId="0" xr:uid="{AA0C547A-01BE-4F1F-9870-8B519C08580F}">
      <text>
        <r>
          <rPr>
            <b/>
            <sz val="9"/>
            <color indexed="81"/>
            <rFont val="Tahoma"/>
            <family val="2"/>
          </rPr>
          <t>Sharon Bosley:</t>
        </r>
        <r>
          <rPr>
            <sz val="9"/>
            <color indexed="81"/>
            <rFont val="Tahoma"/>
            <family val="2"/>
          </rPr>
          <t xml:space="preserve">
No tab 4.8.12</t>
        </r>
      </text>
    </comment>
    <comment ref="AV121" authorId="4" shapeId="0" xr:uid="{A9665D45-9F90-4FE0-B3E4-296B934381F2}">
      <text>
        <r>
          <rPr>
            <b/>
            <sz val="9"/>
            <color indexed="81"/>
            <rFont val="Tahoma"/>
            <family val="2"/>
          </rPr>
          <t>Sharon Bosley:</t>
        </r>
        <r>
          <rPr>
            <sz val="9"/>
            <color indexed="81"/>
            <rFont val="Tahoma"/>
            <family val="2"/>
          </rPr>
          <t xml:space="preserve">
No tab 4.8.12</t>
        </r>
      </text>
    </comment>
    <comment ref="BB121" authorId="4" shapeId="0" xr:uid="{9985D904-239B-433B-8B26-525FA8E08D7E}">
      <text>
        <r>
          <rPr>
            <b/>
            <sz val="9"/>
            <color indexed="81"/>
            <rFont val="Tahoma"/>
            <family val="2"/>
          </rPr>
          <t>Sharon Bosley:</t>
        </r>
        <r>
          <rPr>
            <sz val="9"/>
            <color indexed="81"/>
            <rFont val="Tahoma"/>
            <family val="2"/>
          </rPr>
          <t xml:space="preserve">
No tab 4.8.12</t>
        </r>
      </text>
    </comment>
    <comment ref="BH121" authorId="4" shapeId="0" xr:uid="{413E1411-4E49-48B3-8824-B876ECE9D532}">
      <text>
        <r>
          <rPr>
            <b/>
            <sz val="9"/>
            <color indexed="81"/>
            <rFont val="Tahoma"/>
            <family val="2"/>
          </rPr>
          <t>Sharon Bosley:</t>
        </r>
        <r>
          <rPr>
            <sz val="9"/>
            <color indexed="81"/>
            <rFont val="Tahoma"/>
            <family val="2"/>
          </rPr>
          <t xml:space="preserve">
No tab 4.8.12</t>
        </r>
      </text>
    </comment>
    <comment ref="AP123" authorId="4" shapeId="0" xr:uid="{10CC9CA8-D3F9-47B8-8F7F-C0BE46A525C0}">
      <text>
        <r>
          <rPr>
            <b/>
            <sz val="9"/>
            <color indexed="81"/>
            <rFont val="Tahoma"/>
            <family val="2"/>
          </rPr>
          <t>Sharon Bosley:</t>
        </r>
        <r>
          <rPr>
            <sz val="9"/>
            <color indexed="81"/>
            <rFont val="Tahoma"/>
            <family val="2"/>
          </rPr>
          <t xml:space="preserve">
No tab 4.4.52</t>
        </r>
      </text>
    </comment>
    <comment ref="AV123" authorId="4" shapeId="0" xr:uid="{0408452B-052B-47FA-8746-ED0B586CCEA6}">
      <text>
        <r>
          <rPr>
            <b/>
            <sz val="9"/>
            <color indexed="81"/>
            <rFont val="Tahoma"/>
            <family val="2"/>
          </rPr>
          <t>Sharon Bosley:</t>
        </r>
        <r>
          <rPr>
            <sz val="9"/>
            <color indexed="81"/>
            <rFont val="Tahoma"/>
            <family val="2"/>
          </rPr>
          <t xml:space="preserve">
No tab 4.4.52</t>
        </r>
      </text>
    </comment>
    <comment ref="BB123" authorId="4" shapeId="0" xr:uid="{B9345EA8-7BEA-40E5-BDC3-75ED53DF5AA7}">
      <text>
        <r>
          <rPr>
            <b/>
            <sz val="9"/>
            <color indexed="81"/>
            <rFont val="Tahoma"/>
            <family val="2"/>
          </rPr>
          <t>Sharon Bosley:</t>
        </r>
        <r>
          <rPr>
            <sz val="9"/>
            <color indexed="81"/>
            <rFont val="Tahoma"/>
            <family val="2"/>
          </rPr>
          <t xml:space="preserve">
No tab 4.4.52</t>
        </r>
      </text>
    </comment>
    <comment ref="BH123" authorId="4" shapeId="0" xr:uid="{1A369857-9ECE-4E77-AA5B-8921CEFB7606}">
      <text>
        <r>
          <rPr>
            <b/>
            <sz val="9"/>
            <color indexed="81"/>
            <rFont val="Tahoma"/>
            <family val="2"/>
          </rPr>
          <t>Sharon Bosley:</t>
        </r>
        <r>
          <rPr>
            <sz val="9"/>
            <color indexed="81"/>
            <rFont val="Tahoma"/>
            <family val="2"/>
          </rPr>
          <t xml:space="preserve">
No tab 4.4.52</t>
        </r>
      </text>
    </comment>
    <comment ref="AP124" authorId="4" shapeId="0" xr:uid="{6AF20187-F459-4CAD-8EF6-7AD5798FE140}">
      <text>
        <r>
          <rPr>
            <b/>
            <sz val="9"/>
            <color indexed="81"/>
            <rFont val="Tahoma"/>
            <family val="2"/>
          </rPr>
          <t>Sharon Bosley:</t>
        </r>
        <r>
          <rPr>
            <sz val="9"/>
            <color indexed="81"/>
            <rFont val="Tahoma"/>
            <family val="2"/>
          </rPr>
          <t xml:space="preserve">
No tab 4.4.49</t>
        </r>
      </text>
    </comment>
    <comment ref="AV124" authorId="4" shapeId="0" xr:uid="{EC204F87-328F-4147-BEF7-32CCDC4ABDBE}">
      <text>
        <r>
          <rPr>
            <b/>
            <sz val="9"/>
            <color indexed="81"/>
            <rFont val="Tahoma"/>
            <family val="2"/>
          </rPr>
          <t>Sharon Bosley:</t>
        </r>
        <r>
          <rPr>
            <sz val="9"/>
            <color indexed="81"/>
            <rFont val="Tahoma"/>
            <family val="2"/>
          </rPr>
          <t xml:space="preserve">
No tab 4.4.49</t>
        </r>
      </text>
    </comment>
    <comment ref="BB124" authorId="4" shapeId="0" xr:uid="{1929E5F0-18D5-4C31-BF50-F496C392510E}">
      <text>
        <r>
          <rPr>
            <b/>
            <sz val="9"/>
            <color indexed="81"/>
            <rFont val="Tahoma"/>
            <family val="2"/>
          </rPr>
          <t>Sharon Bosley:</t>
        </r>
        <r>
          <rPr>
            <sz val="9"/>
            <color indexed="81"/>
            <rFont val="Tahoma"/>
            <family val="2"/>
          </rPr>
          <t xml:space="preserve">
No tab 4.4.49</t>
        </r>
      </text>
    </comment>
    <comment ref="BH124" authorId="4" shapeId="0" xr:uid="{56D7DDC8-2C71-453E-BAB6-A35138A51366}">
      <text>
        <r>
          <rPr>
            <b/>
            <sz val="9"/>
            <color indexed="81"/>
            <rFont val="Tahoma"/>
            <family val="2"/>
          </rPr>
          <t>Sharon Bosley:</t>
        </r>
        <r>
          <rPr>
            <sz val="9"/>
            <color indexed="81"/>
            <rFont val="Tahoma"/>
            <family val="2"/>
          </rPr>
          <t xml:space="preserve">
No tab 4.4.49</t>
        </r>
      </text>
    </comment>
    <comment ref="AP125" authorId="4" shapeId="0" xr:uid="{85AD561D-7E18-4965-B350-38D56883A4AE}">
      <text>
        <r>
          <rPr>
            <b/>
            <sz val="9"/>
            <color indexed="81"/>
            <rFont val="Tahoma"/>
            <family val="2"/>
          </rPr>
          <t>Sharon Bosley:</t>
        </r>
        <r>
          <rPr>
            <sz val="9"/>
            <color indexed="81"/>
            <rFont val="Tahoma"/>
            <family val="2"/>
          </rPr>
          <t xml:space="preserve">
no measure 4.4.16.21</t>
        </r>
      </text>
    </comment>
    <comment ref="AV125" authorId="4" shapeId="0" xr:uid="{6F8FD1EE-F912-4E79-934F-0E457F86B1C0}">
      <text>
        <r>
          <rPr>
            <b/>
            <sz val="9"/>
            <color indexed="81"/>
            <rFont val="Tahoma"/>
            <family val="2"/>
          </rPr>
          <t>Sharon Bosley:</t>
        </r>
        <r>
          <rPr>
            <sz val="9"/>
            <color indexed="81"/>
            <rFont val="Tahoma"/>
            <family val="2"/>
          </rPr>
          <t xml:space="preserve">
no measure 4.4.16.21</t>
        </r>
      </text>
    </comment>
    <comment ref="BB125" authorId="4" shapeId="0" xr:uid="{5928C59A-02BC-41F5-AFAC-7085110EFC6F}">
      <text>
        <r>
          <rPr>
            <b/>
            <sz val="9"/>
            <color indexed="81"/>
            <rFont val="Tahoma"/>
            <family val="2"/>
          </rPr>
          <t>Sharon Bosley:</t>
        </r>
        <r>
          <rPr>
            <sz val="9"/>
            <color indexed="81"/>
            <rFont val="Tahoma"/>
            <family val="2"/>
          </rPr>
          <t xml:space="preserve">
no measure 4.4.16.21</t>
        </r>
      </text>
    </comment>
    <comment ref="BH125" authorId="4" shapeId="0" xr:uid="{178389F8-FFD8-46D9-8D32-03BDF27CDAA3}">
      <text>
        <r>
          <rPr>
            <b/>
            <sz val="9"/>
            <color indexed="81"/>
            <rFont val="Tahoma"/>
            <family val="2"/>
          </rPr>
          <t>Sharon Bosley:</t>
        </r>
        <r>
          <rPr>
            <sz val="9"/>
            <color indexed="81"/>
            <rFont val="Tahoma"/>
            <family val="2"/>
          </rPr>
          <t xml:space="preserve">
no measure 4.4.16.21</t>
        </r>
      </text>
    </comment>
    <comment ref="AP157" authorId="4" shapeId="0" xr:uid="{E12D243C-5101-4BFD-AB6A-65CBCBBDFCAE}">
      <text>
        <r>
          <rPr>
            <b/>
            <sz val="9"/>
            <color indexed="81"/>
            <rFont val="Tahoma"/>
            <family val="2"/>
          </rPr>
          <t>Sharon Bosley:</t>
        </r>
        <r>
          <rPr>
            <sz val="9"/>
            <color indexed="81"/>
            <rFont val="Tahoma"/>
            <family val="2"/>
          </rPr>
          <t xml:space="preserve">
No Annual Therm Savings</t>
        </r>
      </text>
    </comment>
    <comment ref="AQ157" authorId="4" shapeId="0" xr:uid="{23C6E391-6131-4D08-872E-F89902A3A291}">
      <text>
        <r>
          <rPr>
            <b/>
            <sz val="9"/>
            <color indexed="81"/>
            <rFont val="Tahoma"/>
            <family val="2"/>
          </rPr>
          <t>Sharon Bosley:</t>
        </r>
        <r>
          <rPr>
            <sz val="9"/>
            <color indexed="81"/>
            <rFont val="Tahoma"/>
            <family val="2"/>
          </rPr>
          <t xml:space="preserve">
There are two 4.4.16.7 Measures</t>
        </r>
      </text>
    </comment>
    <comment ref="AV157" authorId="4" shapeId="0" xr:uid="{F397089C-7BDB-4E15-9710-78605B8574F0}">
      <text>
        <r>
          <rPr>
            <b/>
            <sz val="9"/>
            <color indexed="81"/>
            <rFont val="Tahoma"/>
            <family val="2"/>
          </rPr>
          <t>Sharon Bosley:</t>
        </r>
        <r>
          <rPr>
            <sz val="9"/>
            <color indexed="81"/>
            <rFont val="Tahoma"/>
            <family val="2"/>
          </rPr>
          <t xml:space="preserve">
No Annual Therm Savings</t>
        </r>
      </text>
    </comment>
    <comment ref="AW157" authorId="4" shapeId="0" xr:uid="{F04DF9D1-8271-4282-9E6A-DE9D811CE2BE}">
      <text>
        <r>
          <rPr>
            <b/>
            <sz val="9"/>
            <color indexed="81"/>
            <rFont val="Tahoma"/>
            <family val="2"/>
          </rPr>
          <t>Sharon Bosley:</t>
        </r>
        <r>
          <rPr>
            <sz val="9"/>
            <color indexed="81"/>
            <rFont val="Tahoma"/>
            <family val="2"/>
          </rPr>
          <t xml:space="preserve">
There are two 4.4.16.7 Measures</t>
        </r>
      </text>
    </comment>
    <comment ref="BB157" authorId="4" shapeId="0" xr:uid="{CDCF1920-B3F2-4662-9040-18261595F4F9}">
      <text>
        <r>
          <rPr>
            <b/>
            <sz val="9"/>
            <color indexed="81"/>
            <rFont val="Tahoma"/>
            <family val="2"/>
          </rPr>
          <t>Sharon Bosley:</t>
        </r>
        <r>
          <rPr>
            <sz val="9"/>
            <color indexed="81"/>
            <rFont val="Tahoma"/>
            <family val="2"/>
          </rPr>
          <t xml:space="preserve">
No Annual Therm Savings</t>
        </r>
      </text>
    </comment>
    <comment ref="BC157" authorId="4" shapeId="0" xr:uid="{826A5CC3-D5F3-411C-A5CB-16EB551764C1}">
      <text>
        <r>
          <rPr>
            <b/>
            <sz val="9"/>
            <color indexed="81"/>
            <rFont val="Tahoma"/>
            <family val="2"/>
          </rPr>
          <t>Sharon Bosley:</t>
        </r>
        <r>
          <rPr>
            <sz val="9"/>
            <color indexed="81"/>
            <rFont val="Tahoma"/>
            <family val="2"/>
          </rPr>
          <t xml:space="preserve">
There are two 4.4.16.7 Measures</t>
        </r>
      </text>
    </comment>
    <comment ref="BH157" authorId="4" shapeId="0" xr:uid="{BEF88F90-6B7B-45D5-9F77-034CA316E8D2}">
      <text>
        <r>
          <rPr>
            <b/>
            <sz val="9"/>
            <color indexed="81"/>
            <rFont val="Tahoma"/>
            <family val="2"/>
          </rPr>
          <t>Sharon Bosley:</t>
        </r>
        <r>
          <rPr>
            <sz val="9"/>
            <color indexed="81"/>
            <rFont val="Tahoma"/>
            <family val="2"/>
          </rPr>
          <t xml:space="preserve">
No Annual Therm Savings</t>
        </r>
      </text>
    </comment>
    <comment ref="BI157" authorId="4" shapeId="0" xr:uid="{4E016EC5-58D2-429C-983E-37700C37954C}">
      <text>
        <r>
          <rPr>
            <b/>
            <sz val="9"/>
            <color indexed="81"/>
            <rFont val="Tahoma"/>
            <family val="2"/>
          </rPr>
          <t>Sharon Bosley:</t>
        </r>
        <r>
          <rPr>
            <sz val="9"/>
            <color indexed="81"/>
            <rFont val="Tahoma"/>
            <family val="2"/>
          </rPr>
          <t xml:space="preserve">
There are two 4.4.16.7 Measures</t>
        </r>
      </text>
    </comment>
    <comment ref="AP172" authorId="4" shapeId="0" xr:uid="{1CF19852-A2FA-4767-9470-118D2B9C4701}">
      <text>
        <r>
          <rPr>
            <b/>
            <sz val="9"/>
            <color indexed="81"/>
            <rFont val="Tahoma"/>
            <family val="2"/>
          </rPr>
          <t>Sharon Bosley:</t>
        </r>
        <r>
          <rPr>
            <sz val="9"/>
            <color indexed="81"/>
            <rFont val="Tahoma"/>
            <family val="2"/>
          </rPr>
          <t xml:space="preserve">
No Tab 4.8.16</t>
        </r>
      </text>
    </comment>
    <comment ref="AV172" authorId="4" shapeId="0" xr:uid="{EB4AF276-AFE9-4B8F-A686-2DA536FEF047}">
      <text>
        <r>
          <rPr>
            <b/>
            <sz val="9"/>
            <color indexed="81"/>
            <rFont val="Tahoma"/>
            <family val="2"/>
          </rPr>
          <t>Sharon Bosley:</t>
        </r>
        <r>
          <rPr>
            <sz val="9"/>
            <color indexed="81"/>
            <rFont val="Tahoma"/>
            <family val="2"/>
          </rPr>
          <t xml:space="preserve">
No Tab 4.8.16</t>
        </r>
      </text>
    </comment>
    <comment ref="BB172" authorId="4" shapeId="0" xr:uid="{2AB1F507-8CA7-492B-8DE1-2121A5EE3F33}">
      <text>
        <r>
          <rPr>
            <b/>
            <sz val="9"/>
            <color indexed="81"/>
            <rFont val="Tahoma"/>
            <family val="2"/>
          </rPr>
          <t>Sharon Bosley:</t>
        </r>
        <r>
          <rPr>
            <sz val="9"/>
            <color indexed="81"/>
            <rFont val="Tahoma"/>
            <family val="2"/>
          </rPr>
          <t xml:space="preserve">
No Tab 4.8.16</t>
        </r>
      </text>
    </comment>
    <comment ref="BH172" authorId="4" shapeId="0" xr:uid="{235D45A1-8609-46AF-B37B-687378FCD0D5}">
      <text>
        <r>
          <rPr>
            <b/>
            <sz val="9"/>
            <color indexed="81"/>
            <rFont val="Tahoma"/>
            <family val="2"/>
          </rPr>
          <t>Sharon Bosley:</t>
        </r>
        <r>
          <rPr>
            <sz val="9"/>
            <color indexed="81"/>
            <rFont val="Tahoma"/>
            <family val="2"/>
          </rPr>
          <t xml:space="preserve">
No Tab 4.8.16</t>
        </r>
      </text>
    </comment>
    <comment ref="AP173" authorId="4" shapeId="0" xr:uid="{B8F85163-5263-4404-B8FF-942884DE396C}">
      <text>
        <r>
          <rPr>
            <b/>
            <sz val="9"/>
            <color indexed="81"/>
            <rFont val="Tahoma"/>
            <family val="2"/>
          </rPr>
          <t>Sharon Bosley:</t>
        </r>
        <r>
          <rPr>
            <sz val="9"/>
            <color indexed="81"/>
            <rFont val="Tahoma"/>
            <family val="2"/>
          </rPr>
          <t xml:space="preserve">
No tabe 4.4.47
</t>
        </r>
      </text>
    </comment>
    <comment ref="AV173" authorId="4" shapeId="0" xr:uid="{476688C9-EABB-4EE7-A0B5-2CBF977659B0}">
      <text>
        <r>
          <rPr>
            <b/>
            <sz val="9"/>
            <color indexed="81"/>
            <rFont val="Tahoma"/>
            <family val="2"/>
          </rPr>
          <t>Sharon Bosley:</t>
        </r>
        <r>
          <rPr>
            <sz val="9"/>
            <color indexed="81"/>
            <rFont val="Tahoma"/>
            <family val="2"/>
          </rPr>
          <t xml:space="preserve">
No tabe 4.4.47
</t>
        </r>
      </text>
    </comment>
    <comment ref="BB173" authorId="4" shapeId="0" xr:uid="{00D02275-69DB-4243-B662-DE717F1265B1}">
      <text>
        <r>
          <rPr>
            <b/>
            <sz val="9"/>
            <color indexed="81"/>
            <rFont val="Tahoma"/>
            <family val="2"/>
          </rPr>
          <t>Sharon Bosley:</t>
        </r>
        <r>
          <rPr>
            <sz val="9"/>
            <color indexed="81"/>
            <rFont val="Tahoma"/>
            <family val="2"/>
          </rPr>
          <t xml:space="preserve">
No tabe 4.4.47
</t>
        </r>
      </text>
    </comment>
    <comment ref="BH173" authorId="4" shapeId="0" xr:uid="{D04329A4-B911-4607-BD02-23EDBD493F8F}">
      <text>
        <r>
          <rPr>
            <b/>
            <sz val="9"/>
            <color indexed="81"/>
            <rFont val="Tahoma"/>
            <family val="2"/>
          </rPr>
          <t>Sharon Bosley:</t>
        </r>
        <r>
          <rPr>
            <sz val="9"/>
            <color indexed="81"/>
            <rFont val="Tahoma"/>
            <family val="2"/>
          </rPr>
          <t xml:space="preserve">
No tabe 4.4.47
</t>
        </r>
      </text>
    </comment>
    <comment ref="AP175" authorId="4" shapeId="0" xr:uid="{17B87744-B43D-416E-9211-515D52D524B7}">
      <text>
        <r>
          <rPr>
            <b/>
            <sz val="9"/>
            <color indexed="81"/>
            <rFont val="Tahoma"/>
            <family val="2"/>
          </rPr>
          <t>Sharon Bosley:</t>
        </r>
        <r>
          <rPr>
            <sz val="9"/>
            <color indexed="81"/>
            <rFont val="Tahoma"/>
            <family val="2"/>
          </rPr>
          <t xml:space="preserve">
No tab 4.8.12</t>
        </r>
      </text>
    </comment>
    <comment ref="AV175" authorId="4" shapeId="0" xr:uid="{351AA50E-A430-416A-97BE-A53A28F8D224}">
      <text>
        <r>
          <rPr>
            <b/>
            <sz val="9"/>
            <color indexed="81"/>
            <rFont val="Tahoma"/>
            <family val="2"/>
          </rPr>
          <t>Sharon Bosley:</t>
        </r>
        <r>
          <rPr>
            <sz val="9"/>
            <color indexed="81"/>
            <rFont val="Tahoma"/>
            <family val="2"/>
          </rPr>
          <t xml:space="preserve">
No tab 4.8.12</t>
        </r>
      </text>
    </comment>
    <comment ref="BB175" authorId="4" shapeId="0" xr:uid="{234162E1-5B91-4A7B-B3B8-874A7F267599}">
      <text>
        <r>
          <rPr>
            <b/>
            <sz val="9"/>
            <color indexed="81"/>
            <rFont val="Tahoma"/>
            <family val="2"/>
          </rPr>
          <t>Sharon Bosley:</t>
        </r>
        <r>
          <rPr>
            <sz val="9"/>
            <color indexed="81"/>
            <rFont val="Tahoma"/>
            <family val="2"/>
          </rPr>
          <t xml:space="preserve">
No tab 4.8.12</t>
        </r>
      </text>
    </comment>
    <comment ref="BH175" authorId="4" shapeId="0" xr:uid="{872EE800-CA1E-464C-B2E5-CF42D0A5B0E9}">
      <text>
        <r>
          <rPr>
            <b/>
            <sz val="9"/>
            <color indexed="81"/>
            <rFont val="Tahoma"/>
            <family val="2"/>
          </rPr>
          <t>Sharon Bosley:</t>
        </r>
        <r>
          <rPr>
            <sz val="9"/>
            <color indexed="81"/>
            <rFont val="Tahoma"/>
            <family val="2"/>
          </rPr>
          <t xml:space="preserve">
No tab 4.8.12</t>
        </r>
      </text>
    </comment>
    <comment ref="AP177" authorId="4" shapeId="0" xr:uid="{FF340E7B-1CD1-4731-9B44-3D2343495EE4}">
      <text>
        <r>
          <rPr>
            <b/>
            <sz val="9"/>
            <color indexed="81"/>
            <rFont val="Tahoma"/>
            <family val="2"/>
          </rPr>
          <t>Sharon Bosley:</t>
        </r>
        <r>
          <rPr>
            <sz val="9"/>
            <color indexed="81"/>
            <rFont val="Tahoma"/>
            <family val="2"/>
          </rPr>
          <t xml:space="preserve">
No tab 4.4.52</t>
        </r>
      </text>
    </comment>
    <comment ref="AV177" authorId="4" shapeId="0" xr:uid="{DB0B540B-88B1-426A-8CFC-5AA1E9063102}">
      <text>
        <r>
          <rPr>
            <b/>
            <sz val="9"/>
            <color indexed="81"/>
            <rFont val="Tahoma"/>
            <family val="2"/>
          </rPr>
          <t>Sharon Bosley:</t>
        </r>
        <r>
          <rPr>
            <sz val="9"/>
            <color indexed="81"/>
            <rFont val="Tahoma"/>
            <family val="2"/>
          </rPr>
          <t xml:space="preserve">
No tab 4.4.52</t>
        </r>
      </text>
    </comment>
    <comment ref="BB177" authorId="4" shapeId="0" xr:uid="{2E24C7E7-D92B-4076-B19F-2B957E487F12}">
      <text>
        <r>
          <rPr>
            <b/>
            <sz val="9"/>
            <color indexed="81"/>
            <rFont val="Tahoma"/>
            <family val="2"/>
          </rPr>
          <t>Sharon Bosley:</t>
        </r>
        <r>
          <rPr>
            <sz val="9"/>
            <color indexed="81"/>
            <rFont val="Tahoma"/>
            <family val="2"/>
          </rPr>
          <t xml:space="preserve">
No tab 4.4.52</t>
        </r>
      </text>
    </comment>
    <comment ref="BH177" authorId="4" shapeId="0" xr:uid="{E6B4F244-FF13-491E-A8E8-9EC06056EAC3}">
      <text>
        <r>
          <rPr>
            <b/>
            <sz val="9"/>
            <color indexed="81"/>
            <rFont val="Tahoma"/>
            <family val="2"/>
          </rPr>
          <t>Sharon Bosley:</t>
        </r>
        <r>
          <rPr>
            <sz val="9"/>
            <color indexed="81"/>
            <rFont val="Tahoma"/>
            <family val="2"/>
          </rPr>
          <t xml:space="preserve">
No tab 4.4.52</t>
        </r>
      </text>
    </comment>
    <comment ref="AP178" authorId="4" shapeId="0" xr:uid="{B0C88DA6-12AB-4F24-A046-0A232BFAE154}">
      <text>
        <r>
          <rPr>
            <b/>
            <sz val="9"/>
            <color indexed="81"/>
            <rFont val="Tahoma"/>
            <family val="2"/>
          </rPr>
          <t>Sharon Bosley:</t>
        </r>
        <r>
          <rPr>
            <sz val="9"/>
            <color indexed="81"/>
            <rFont val="Tahoma"/>
            <family val="2"/>
          </rPr>
          <t xml:space="preserve">
No tab 4.4.49</t>
        </r>
      </text>
    </comment>
    <comment ref="AV178" authorId="4" shapeId="0" xr:uid="{9DC84F7D-B1B0-4B53-866B-7660FBD47D01}">
      <text>
        <r>
          <rPr>
            <b/>
            <sz val="9"/>
            <color indexed="81"/>
            <rFont val="Tahoma"/>
            <family val="2"/>
          </rPr>
          <t>Sharon Bosley:</t>
        </r>
        <r>
          <rPr>
            <sz val="9"/>
            <color indexed="81"/>
            <rFont val="Tahoma"/>
            <family val="2"/>
          </rPr>
          <t xml:space="preserve">
No tab 4.4.49</t>
        </r>
      </text>
    </comment>
    <comment ref="BB178" authorId="4" shapeId="0" xr:uid="{BA6E23AB-1B52-4C2D-830F-BC355B728C35}">
      <text>
        <r>
          <rPr>
            <b/>
            <sz val="9"/>
            <color indexed="81"/>
            <rFont val="Tahoma"/>
            <family val="2"/>
          </rPr>
          <t>Sharon Bosley:</t>
        </r>
        <r>
          <rPr>
            <sz val="9"/>
            <color indexed="81"/>
            <rFont val="Tahoma"/>
            <family val="2"/>
          </rPr>
          <t xml:space="preserve">
No tab 4.4.49</t>
        </r>
      </text>
    </comment>
    <comment ref="BH178" authorId="4" shapeId="0" xr:uid="{4EACA0C6-5682-44C7-8C0E-A7D400DDBBAF}">
      <text>
        <r>
          <rPr>
            <b/>
            <sz val="9"/>
            <color indexed="81"/>
            <rFont val="Tahoma"/>
            <family val="2"/>
          </rPr>
          <t>Sharon Bosley:</t>
        </r>
        <r>
          <rPr>
            <sz val="9"/>
            <color indexed="81"/>
            <rFont val="Tahoma"/>
            <family val="2"/>
          </rPr>
          <t xml:space="preserve">
No tab 4.4.49</t>
        </r>
      </text>
    </comment>
    <comment ref="AP179" authorId="4" shapeId="0" xr:uid="{FBFC9326-482B-4B11-9081-0BBB3427D41A}">
      <text>
        <r>
          <rPr>
            <b/>
            <sz val="9"/>
            <color indexed="81"/>
            <rFont val="Tahoma"/>
            <family val="2"/>
          </rPr>
          <t>Sharon Bosley:</t>
        </r>
        <r>
          <rPr>
            <sz val="9"/>
            <color indexed="81"/>
            <rFont val="Tahoma"/>
            <family val="2"/>
          </rPr>
          <t xml:space="preserve">
no measure 4.4.16.21</t>
        </r>
      </text>
    </comment>
    <comment ref="AV179" authorId="4" shapeId="0" xr:uid="{C9E425B1-85C7-437A-B6DE-C7955B962EEC}">
      <text>
        <r>
          <rPr>
            <b/>
            <sz val="9"/>
            <color indexed="81"/>
            <rFont val="Tahoma"/>
            <family val="2"/>
          </rPr>
          <t>Sharon Bosley:</t>
        </r>
        <r>
          <rPr>
            <sz val="9"/>
            <color indexed="81"/>
            <rFont val="Tahoma"/>
            <family val="2"/>
          </rPr>
          <t xml:space="preserve">
no measure 4.4.16.21</t>
        </r>
      </text>
    </comment>
    <comment ref="BB179" authorId="4" shapeId="0" xr:uid="{9098759A-28AE-4D75-B7EE-BBAC70F5A225}">
      <text>
        <r>
          <rPr>
            <b/>
            <sz val="9"/>
            <color indexed="81"/>
            <rFont val="Tahoma"/>
            <family val="2"/>
          </rPr>
          <t>Sharon Bosley:</t>
        </r>
        <r>
          <rPr>
            <sz val="9"/>
            <color indexed="81"/>
            <rFont val="Tahoma"/>
            <family val="2"/>
          </rPr>
          <t xml:space="preserve">
no measure 4.4.16.21</t>
        </r>
      </text>
    </comment>
    <comment ref="BH179" authorId="4" shapeId="0" xr:uid="{111A2B71-47EF-4F5D-8E1D-F68B61CB2278}">
      <text>
        <r>
          <rPr>
            <b/>
            <sz val="9"/>
            <color indexed="81"/>
            <rFont val="Tahoma"/>
            <family val="2"/>
          </rPr>
          <t>Sharon Bosley:</t>
        </r>
        <r>
          <rPr>
            <sz val="9"/>
            <color indexed="81"/>
            <rFont val="Tahoma"/>
            <family val="2"/>
          </rPr>
          <t xml:space="preserve">
no measure 4.4.16.21</t>
        </r>
      </text>
    </comment>
    <comment ref="S185" authorId="5" shapeId="0" xr:uid="{680AC1BB-4253-4488-881C-F49CE4C314EC}">
      <text>
        <r>
          <rPr>
            <b/>
            <sz val="9"/>
            <color indexed="81"/>
            <rFont val="Tahoma"/>
            <family val="2"/>
          </rPr>
          <t>Choong, Linda L.:</t>
        </r>
        <r>
          <rPr>
            <sz val="9"/>
            <color indexed="81"/>
            <rFont val="Tahoma"/>
            <family val="2"/>
          </rPr>
          <t xml:space="preserve">
</t>
        </r>
      </text>
    </comment>
    <comment ref="W185" authorId="5" shapeId="0" xr:uid="{05D03B67-25DE-41E3-A76E-4ED9BE9D84BE}">
      <text>
        <r>
          <rPr>
            <b/>
            <sz val="9"/>
            <color indexed="81"/>
            <rFont val="Tahoma"/>
            <family val="2"/>
          </rPr>
          <t>Choong, Linda L.:</t>
        </r>
        <r>
          <rPr>
            <sz val="9"/>
            <color indexed="81"/>
            <rFont val="Tahoma"/>
            <family val="2"/>
          </rPr>
          <t xml:space="preserve">
</t>
        </r>
      </text>
    </comment>
    <comment ref="AP220" authorId="4" shapeId="0" xr:uid="{6DDA9D01-C836-44C7-8E66-3B497446207D}">
      <text>
        <r>
          <rPr>
            <b/>
            <sz val="9"/>
            <color indexed="81"/>
            <rFont val="Tahoma"/>
            <family val="2"/>
          </rPr>
          <t>Sharon Bosley:</t>
        </r>
        <r>
          <rPr>
            <sz val="9"/>
            <color indexed="81"/>
            <rFont val="Tahoma"/>
            <family val="2"/>
          </rPr>
          <t xml:space="preserve">
numbers are off</t>
        </r>
      </text>
    </comment>
    <comment ref="AV220" authorId="4" shapeId="0" xr:uid="{D9824591-443B-4311-8E4B-59E6195E18F1}">
      <text>
        <r>
          <rPr>
            <b/>
            <sz val="9"/>
            <color indexed="81"/>
            <rFont val="Tahoma"/>
            <family val="2"/>
          </rPr>
          <t>Sharon Bosley:</t>
        </r>
        <r>
          <rPr>
            <sz val="9"/>
            <color indexed="81"/>
            <rFont val="Tahoma"/>
            <family val="2"/>
          </rPr>
          <t xml:space="preserve">
numbers are off</t>
        </r>
      </text>
    </comment>
    <comment ref="BB220" authorId="4" shapeId="0" xr:uid="{7D07D916-9E12-4553-95F9-4363902ED4F6}">
      <text>
        <r>
          <rPr>
            <b/>
            <sz val="9"/>
            <color indexed="81"/>
            <rFont val="Tahoma"/>
            <family val="2"/>
          </rPr>
          <t>Sharon Bosley:</t>
        </r>
        <r>
          <rPr>
            <sz val="9"/>
            <color indexed="81"/>
            <rFont val="Tahoma"/>
            <family val="2"/>
          </rPr>
          <t xml:space="preserve">
numbers are off</t>
        </r>
      </text>
    </comment>
    <comment ref="BH220" authorId="4" shapeId="0" xr:uid="{C3DD122E-A467-4A1B-8B18-9F230A2CD665}">
      <text>
        <r>
          <rPr>
            <b/>
            <sz val="9"/>
            <color indexed="81"/>
            <rFont val="Tahoma"/>
            <family val="2"/>
          </rPr>
          <t>Sharon Bosley:</t>
        </r>
        <r>
          <rPr>
            <sz val="9"/>
            <color indexed="81"/>
            <rFont val="Tahoma"/>
            <family val="2"/>
          </rPr>
          <t xml:space="preserve">
numbers are off</t>
        </r>
      </text>
    </comment>
    <comment ref="AP221" authorId="4" shapeId="0" xr:uid="{9F41C63D-200C-426A-A6A1-9322BB76EAB0}">
      <text>
        <r>
          <rPr>
            <b/>
            <sz val="9"/>
            <color indexed="81"/>
            <rFont val="Tahoma"/>
            <family val="2"/>
          </rPr>
          <t>Sharon Bosley:</t>
        </r>
        <r>
          <rPr>
            <sz val="9"/>
            <color indexed="81"/>
            <rFont val="Tahoma"/>
            <family val="2"/>
          </rPr>
          <t xml:space="preserve">
No matching measure</t>
        </r>
      </text>
    </comment>
    <comment ref="AV221" authorId="4" shapeId="0" xr:uid="{4C5DB2D0-749A-48C0-AFE3-D69CE07F2EE5}">
      <text>
        <r>
          <rPr>
            <b/>
            <sz val="9"/>
            <color indexed="81"/>
            <rFont val="Tahoma"/>
            <family val="2"/>
          </rPr>
          <t>Sharon Bosley:</t>
        </r>
        <r>
          <rPr>
            <sz val="9"/>
            <color indexed="81"/>
            <rFont val="Tahoma"/>
            <family val="2"/>
          </rPr>
          <t xml:space="preserve">
No matching measure</t>
        </r>
      </text>
    </comment>
    <comment ref="BB221" authorId="4" shapeId="0" xr:uid="{43D335BB-9217-445B-A568-1D536124154F}">
      <text>
        <r>
          <rPr>
            <b/>
            <sz val="9"/>
            <color indexed="81"/>
            <rFont val="Tahoma"/>
            <family val="2"/>
          </rPr>
          <t>Sharon Bosley:</t>
        </r>
        <r>
          <rPr>
            <sz val="9"/>
            <color indexed="81"/>
            <rFont val="Tahoma"/>
            <family val="2"/>
          </rPr>
          <t xml:space="preserve">
No matching measure</t>
        </r>
      </text>
    </comment>
    <comment ref="BH221" authorId="4" shapeId="0" xr:uid="{E1C390A3-7328-4FDE-B544-8D8E2D08E91B}">
      <text>
        <r>
          <rPr>
            <b/>
            <sz val="9"/>
            <color indexed="81"/>
            <rFont val="Tahoma"/>
            <family val="2"/>
          </rPr>
          <t>Sharon Bosley:</t>
        </r>
        <r>
          <rPr>
            <sz val="9"/>
            <color indexed="81"/>
            <rFont val="Tahoma"/>
            <family val="2"/>
          </rPr>
          <t xml:space="preserve">
No matching measure</t>
        </r>
      </text>
    </comment>
    <comment ref="AP230" authorId="4" shapeId="0" xr:uid="{2B9C66A9-5E3E-4508-AB76-8BAD1772C73B}">
      <text>
        <r>
          <rPr>
            <b/>
            <sz val="9"/>
            <color indexed="81"/>
            <rFont val="Tahoma"/>
            <family val="2"/>
          </rPr>
          <t>Sharon Bosley:</t>
        </r>
        <r>
          <rPr>
            <sz val="9"/>
            <color indexed="81"/>
            <rFont val="Tahoma"/>
            <family val="2"/>
          </rPr>
          <t xml:space="preserve">
No matching Tab</t>
        </r>
      </text>
    </comment>
    <comment ref="AV230" authorId="4" shapeId="0" xr:uid="{788BB8DD-F85C-4FA7-B1B5-E5CF80442F0F}">
      <text>
        <r>
          <rPr>
            <b/>
            <sz val="9"/>
            <color indexed="81"/>
            <rFont val="Tahoma"/>
            <family val="2"/>
          </rPr>
          <t>Sharon Bosley:</t>
        </r>
        <r>
          <rPr>
            <sz val="9"/>
            <color indexed="81"/>
            <rFont val="Tahoma"/>
            <family val="2"/>
          </rPr>
          <t xml:space="preserve">
No matching Tab</t>
        </r>
      </text>
    </comment>
    <comment ref="BB230" authorId="4" shapeId="0" xr:uid="{DE827009-A608-4C66-8D32-3615A2452D8D}">
      <text>
        <r>
          <rPr>
            <b/>
            <sz val="9"/>
            <color indexed="81"/>
            <rFont val="Tahoma"/>
            <family val="2"/>
          </rPr>
          <t>Sharon Bosley:</t>
        </r>
        <r>
          <rPr>
            <sz val="9"/>
            <color indexed="81"/>
            <rFont val="Tahoma"/>
            <family val="2"/>
          </rPr>
          <t xml:space="preserve">
No matching Tab</t>
        </r>
      </text>
    </comment>
    <comment ref="BH230" authorId="4" shapeId="0" xr:uid="{52551E1C-3A61-473F-8249-6EA44033F78B}">
      <text>
        <r>
          <rPr>
            <b/>
            <sz val="9"/>
            <color indexed="81"/>
            <rFont val="Tahoma"/>
            <family val="2"/>
          </rPr>
          <t>Sharon Bosley:</t>
        </r>
        <r>
          <rPr>
            <sz val="9"/>
            <color indexed="81"/>
            <rFont val="Tahoma"/>
            <family val="2"/>
          </rPr>
          <t xml:space="preserve">
No matching Tab</t>
        </r>
      </text>
    </comment>
    <comment ref="AP231" authorId="4" shapeId="0" xr:uid="{C66029F8-AB4D-44F6-870A-3339C43972BE}">
      <text>
        <r>
          <rPr>
            <b/>
            <sz val="9"/>
            <color indexed="81"/>
            <rFont val="Tahoma"/>
            <family val="2"/>
          </rPr>
          <t>Sharon Bosley:</t>
        </r>
        <r>
          <rPr>
            <sz val="9"/>
            <color indexed="81"/>
            <rFont val="Tahoma"/>
            <family val="2"/>
          </rPr>
          <t xml:space="preserve">
no mathcing measure</t>
        </r>
      </text>
    </comment>
    <comment ref="AV231" authorId="4" shapeId="0" xr:uid="{73A95DB4-3914-41A3-90E2-E4D7FCC35F6D}">
      <text>
        <r>
          <rPr>
            <b/>
            <sz val="9"/>
            <color indexed="81"/>
            <rFont val="Tahoma"/>
            <family val="2"/>
          </rPr>
          <t>Sharon Bosley:</t>
        </r>
        <r>
          <rPr>
            <sz val="9"/>
            <color indexed="81"/>
            <rFont val="Tahoma"/>
            <family val="2"/>
          </rPr>
          <t xml:space="preserve">
no mathcing measure</t>
        </r>
      </text>
    </comment>
    <comment ref="BB231" authorId="4" shapeId="0" xr:uid="{00C1BB9C-8891-4183-97C1-90EA10229488}">
      <text>
        <r>
          <rPr>
            <b/>
            <sz val="9"/>
            <color indexed="81"/>
            <rFont val="Tahoma"/>
            <family val="2"/>
          </rPr>
          <t>Sharon Bosley:</t>
        </r>
        <r>
          <rPr>
            <sz val="9"/>
            <color indexed="81"/>
            <rFont val="Tahoma"/>
            <family val="2"/>
          </rPr>
          <t xml:space="preserve">
no mathcing measure</t>
        </r>
      </text>
    </comment>
    <comment ref="BH231" authorId="4" shapeId="0" xr:uid="{A43B1253-3E3B-4FDA-B795-EA7550638D76}">
      <text>
        <r>
          <rPr>
            <b/>
            <sz val="9"/>
            <color indexed="81"/>
            <rFont val="Tahoma"/>
            <family val="2"/>
          </rPr>
          <t>Sharon Bosley:</t>
        </r>
        <r>
          <rPr>
            <sz val="9"/>
            <color indexed="81"/>
            <rFont val="Tahoma"/>
            <family val="2"/>
          </rPr>
          <t xml:space="preserve">
no mathcing measure</t>
        </r>
      </text>
    </comment>
    <comment ref="AP232" authorId="4" shapeId="0" xr:uid="{57969178-FA0C-4169-860B-E97DA02BEF1F}">
      <text>
        <r>
          <rPr>
            <b/>
            <sz val="9"/>
            <color indexed="81"/>
            <rFont val="Tahoma"/>
            <family val="2"/>
          </rPr>
          <t>Sharon Bosley:</t>
        </r>
        <r>
          <rPr>
            <sz val="9"/>
            <color indexed="81"/>
            <rFont val="Tahoma"/>
            <family val="2"/>
          </rPr>
          <t xml:space="preserve">
No mathcing measure</t>
        </r>
      </text>
    </comment>
    <comment ref="AV232" authorId="4" shapeId="0" xr:uid="{9EC01A5E-3DE2-4CFA-AE92-52C701BB41A4}">
      <text>
        <r>
          <rPr>
            <b/>
            <sz val="9"/>
            <color indexed="81"/>
            <rFont val="Tahoma"/>
            <family val="2"/>
          </rPr>
          <t>Sharon Bosley:</t>
        </r>
        <r>
          <rPr>
            <sz val="9"/>
            <color indexed="81"/>
            <rFont val="Tahoma"/>
            <family val="2"/>
          </rPr>
          <t xml:space="preserve">
No mathcing measure</t>
        </r>
      </text>
    </comment>
    <comment ref="BB232" authorId="4" shapeId="0" xr:uid="{B080F0E9-EC93-48B0-AF76-DBB406AEA5A5}">
      <text>
        <r>
          <rPr>
            <b/>
            <sz val="9"/>
            <color indexed="81"/>
            <rFont val="Tahoma"/>
            <family val="2"/>
          </rPr>
          <t>Sharon Bosley:</t>
        </r>
        <r>
          <rPr>
            <sz val="9"/>
            <color indexed="81"/>
            <rFont val="Tahoma"/>
            <family val="2"/>
          </rPr>
          <t xml:space="preserve">
No mathcing measure</t>
        </r>
      </text>
    </comment>
    <comment ref="BH232" authorId="4" shapeId="0" xr:uid="{4DFA06AF-8402-4416-AB32-571ED66FA2F5}">
      <text>
        <r>
          <rPr>
            <b/>
            <sz val="9"/>
            <color indexed="81"/>
            <rFont val="Tahoma"/>
            <family val="2"/>
          </rPr>
          <t>Sharon Bosley:</t>
        </r>
        <r>
          <rPr>
            <sz val="9"/>
            <color indexed="81"/>
            <rFont val="Tahoma"/>
            <family val="2"/>
          </rPr>
          <t xml:space="preserve">
No mathcing measure</t>
        </r>
      </text>
    </comment>
    <comment ref="AP233" authorId="4" shapeId="0" xr:uid="{0B544BED-1692-4616-9F08-DDA987155923}">
      <text>
        <r>
          <rPr>
            <b/>
            <sz val="9"/>
            <color indexed="81"/>
            <rFont val="Tahoma"/>
            <family val="2"/>
          </rPr>
          <t>Sharon Bosley:</t>
        </r>
        <r>
          <rPr>
            <sz val="9"/>
            <color indexed="81"/>
            <rFont val="Tahoma"/>
            <family val="2"/>
          </rPr>
          <t xml:space="preserve">
no mathcing measure</t>
        </r>
      </text>
    </comment>
    <comment ref="AV233" authorId="4" shapeId="0" xr:uid="{B1A79CB8-BD09-4E4B-9114-EC7FEEDF36FC}">
      <text>
        <r>
          <rPr>
            <b/>
            <sz val="9"/>
            <color indexed="81"/>
            <rFont val="Tahoma"/>
            <family val="2"/>
          </rPr>
          <t>Sharon Bosley:</t>
        </r>
        <r>
          <rPr>
            <sz val="9"/>
            <color indexed="81"/>
            <rFont val="Tahoma"/>
            <family val="2"/>
          </rPr>
          <t xml:space="preserve">
no mathcing measure</t>
        </r>
      </text>
    </comment>
    <comment ref="BB233" authorId="4" shapeId="0" xr:uid="{2FE6A289-39F6-4669-8713-35F82AC9A057}">
      <text>
        <r>
          <rPr>
            <b/>
            <sz val="9"/>
            <color indexed="81"/>
            <rFont val="Tahoma"/>
            <family val="2"/>
          </rPr>
          <t>Sharon Bosley:</t>
        </r>
        <r>
          <rPr>
            <sz val="9"/>
            <color indexed="81"/>
            <rFont val="Tahoma"/>
            <family val="2"/>
          </rPr>
          <t xml:space="preserve">
no mathcing measure</t>
        </r>
      </text>
    </comment>
    <comment ref="BH233" authorId="4" shapeId="0" xr:uid="{BA8E3DFB-8CA1-48B7-9442-8566D49E6A77}">
      <text>
        <r>
          <rPr>
            <b/>
            <sz val="9"/>
            <color indexed="81"/>
            <rFont val="Tahoma"/>
            <family val="2"/>
          </rPr>
          <t>Sharon Bosley:</t>
        </r>
        <r>
          <rPr>
            <sz val="9"/>
            <color indexed="81"/>
            <rFont val="Tahoma"/>
            <family val="2"/>
          </rPr>
          <t xml:space="preserve">
no mathcing measure</t>
        </r>
      </text>
    </comment>
    <comment ref="AP234" authorId="4" shapeId="0" xr:uid="{7B507F37-4BFA-4393-8174-F797F6BA207F}">
      <text>
        <r>
          <rPr>
            <b/>
            <sz val="9"/>
            <color indexed="81"/>
            <rFont val="Tahoma"/>
            <family val="2"/>
          </rPr>
          <t>Sharon Bosley:</t>
        </r>
        <r>
          <rPr>
            <sz val="9"/>
            <color indexed="81"/>
            <rFont val="Tahoma"/>
            <family val="2"/>
          </rPr>
          <t xml:space="preserve">
number off</t>
        </r>
      </text>
    </comment>
    <comment ref="AV234" authorId="4" shapeId="0" xr:uid="{B3EC3853-7E89-480F-AB6D-93DFF94158B8}">
      <text>
        <r>
          <rPr>
            <b/>
            <sz val="9"/>
            <color indexed="81"/>
            <rFont val="Tahoma"/>
            <family val="2"/>
          </rPr>
          <t>Sharon Bosley:</t>
        </r>
        <r>
          <rPr>
            <sz val="9"/>
            <color indexed="81"/>
            <rFont val="Tahoma"/>
            <family val="2"/>
          </rPr>
          <t xml:space="preserve">
number off</t>
        </r>
      </text>
    </comment>
    <comment ref="BB234" authorId="4" shapeId="0" xr:uid="{6CB1AD16-55F9-4BF4-AFFA-674650FAD42B}">
      <text>
        <r>
          <rPr>
            <b/>
            <sz val="9"/>
            <color indexed="81"/>
            <rFont val="Tahoma"/>
            <family val="2"/>
          </rPr>
          <t>Sharon Bosley:</t>
        </r>
        <r>
          <rPr>
            <sz val="9"/>
            <color indexed="81"/>
            <rFont val="Tahoma"/>
            <family val="2"/>
          </rPr>
          <t xml:space="preserve">
number off</t>
        </r>
      </text>
    </comment>
    <comment ref="BH234" authorId="4" shapeId="0" xr:uid="{71369D3D-BC74-4218-8BBF-C04DFBF32DDC}">
      <text>
        <r>
          <rPr>
            <b/>
            <sz val="9"/>
            <color indexed="81"/>
            <rFont val="Tahoma"/>
            <family val="2"/>
          </rPr>
          <t>Sharon Bosley:</t>
        </r>
        <r>
          <rPr>
            <sz val="9"/>
            <color indexed="81"/>
            <rFont val="Tahoma"/>
            <family val="2"/>
          </rPr>
          <t xml:space="preserve">
number off</t>
        </r>
      </text>
    </comment>
    <comment ref="AP236" authorId="4" shapeId="0" xr:uid="{F4A2C319-1859-4D3C-998C-C04E99C9BEA6}">
      <text>
        <r>
          <rPr>
            <b/>
            <sz val="9"/>
            <color indexed="81"/>
            <rFont val="Tahoma"/>
            <family val="2"/>
          </rPr>
          <t>Sharon Bosley:</t>
        </r>
        <r>
          <rPr>
            <sz val="9"/>
            <color indexed="81"/>
            <rFont val="Tahoma"/>
            <family val="2"/>
          </rPr>
          <t xml:space="preserve">
No matching Tab</t>
        </r>
      </text>
    </comment>
    <comment ref="AQ236" authorId="4" shapeId="0" xr:uid="{57CC8771-9640-49A8-B446-0A086E0055E7}">
      <text>
        <r>
          <rPr>
            <b/>
            <sz val="9"/>
            <color indexed="81"/>
            <rFont val="Tahoma"/>
            <family val="2"/>
          </rPr>
          <t>Sharon Bosley:</t>
        </r>
        <r>
          <rPr>
            <sz val="9"/>
            <color indexed="81"/>
            <rFont val="Tahoma"/>
            <family val="2"/>
          </rPr>
          <t xml:space="preserve">
</t>
        </r>
      </text>
    </comment>
    <comment ref="AV236" authorId="4" shapeId="0" xr:uid="{FF2E79E9-E995-4738-BAE5-E2B5F9F3B29A}">
      <text>
        <r>
          <rPr>
            <b/>
            <sz val="9"/>
            <color indexed="81"/>
            <rFont val="Tahoma"/>
            <family val="2"/>
          </rPr>
          <t>Sharon Bosley:</t>
        </r>
        <r>
          <rPr>
            <sz val="9"/>
            <color indexed="81"/>
            <rFont val="Tahoma"/>
            <family val="2"/>
          </rPr>
          <t xml:space="preserve">
No matching Tab</t>
        </r>
      </text>
    </comment>
    <comment ref="AW236" authorId="4" shapeId="0" xr:uid="{0F10FFE6-57C2-4EA2-A98F-D21B570E8E2A}">
      <text>
        <r>
          <rPr>
            <b/>
            <sz val="9"/>
            <color indexed="81"/>
            <rFont val="Tahoma"/>
            <family val="2"/>
          </rPr>
          <t>Sharon Bosley:</t>
        </r>
        <r>
          <rPr>
            <sz val="9"/>
            <color indexed="81"/>
            <rFont val="Tahoma"/>
            <family val="2"/>
          </rPr>
          <t xml:space="preserve">
</t>
        </r>
      </text>
    </comment>
    <comment ref="BB236" authorId="4" shapeId="0" xr:uid="{7DCCC588-6615-4828-A9E0-DAE2FAB14C4A}">
      <text>
        <r>
          <rPr>
            <b/>
            <sz val="9"/>
            <color indexed="81"/>
            <rFont val="Tahoma"/>
            <family val="2"/>
          </rPr>
          <t>Sharon Bosley:</t>
        </r>
        <r>
          <rPr>
            <sz val="9"/>
            <color indexed="81"/>
            <rFont val="Tahoma"/>
            <family val="2"/>
          </rPr>
          <t xml:space="preserve">
No matching Tab</t>
        </r>
      </text>
    </comment>
    <comment ref="BC236" authorId="4" shapeId="0" xr:uid="{C8D725A4-C734-494C-9E36-D20083A3B088}">
      <text>
        <r>
          <rPr>
            <b/>
            <sz val="9"/>
            <color indexed="81"/>
            <rFont val="Tahoma"/>
            <family val="2"/>
          </rPr>
          <t>Sharon Bosley:</t>
        </r>
        <r>
          <rPr>
            <sz val="9"/>
            <color indexed="81"/>
            <rFont val="Tahoma"/>
            <family val="2"/>
          </rPr>
          <t xml:space="preserve">
</t>
        </r>
      </text>
    </comment>
    <comment ref="BH236" authorId="4" shapeId="0" xr:uid="{5F884C34-23AD-4B85-A79C-2E179F6A144D}">
      <text>
        <r>
          <rPr>
            <b/>
            <sz val="9"/>
            <color indexed="81"/>
            <rFont val="Tahoma"/>
            <family val="2"/>
          </rPr>
          <t>Sharon Bosley:</t>
        </r>
        <r>
          <rPr>
            <sz val="9"/>
            <color indexed="81"/>
            <rFont val="Tahoma"/>
            <family val="2"/>
          </rPr>
          <t xml:space="preserve">
No matching Tab</t>
        </r>
      </text>
    </comment>
    <comment ref="BI236" authorId="4" shapeId="0" xr:uid="{7AB84B95-56E9-4DEA-B9E0-61A29A4E9035}">
      <text>
        <r>
          <rPr>
            <b/>
            <sz val="9"/>
            <color indexed="81"/>
            <rFont val="Tahoma"/>
            <family val="2"/>
          </rPr>
          <t>Sharon Bosley:</t>
        </r>
        <r>
          <rPr>
            <sz val="9"/>
            <color indexed="81"/>
            <rFont val="Tahoma"/>
            <family val="2"/>
          </rPr>
          <t xml:space="preserve">
</t>
        </r>
      </text>
    </comment>
    <comment ref="AP241" authorId="4" shapeId="0" xr:uid="{9928EDF2-AFB7-4F79-AC3B-E5731F9CED8F}">
      <text>
        <r>
          <rPr>
            <b/>
            <sz val="9"/>
            <color indexed="81"/>
            <rFont val="Tahoma"/>
            <family val="2"/>
          </rPr>
          <t>Sharon Bosley:</t>
        </r>
        <r>
          <rPr>
            <sz val="9"/>
            <color indexed="81"/>
            <rFont val="Tahoma"/>
            <family val="2"/>
          </rPr>
          <t xml:space="preserve">
No matching measue</t>
        </r>
      </text>
    </comment>
    <comment ref="AV241" authorId="4" shapeId="0" xr:uid="{EB874380-CC2C-45F1-BB4B-C35FF3529816}">
      <text>
        <r>
          <rPr>
            <b/>
            <sz val="9"/>
            <color indexed="81"/>
            <rFont val="Tahoma"/>
            <family val="2"/>
          </rPr>
          <t>Sharon Bosley:</t>
        </r>
        <r>
          <rPr>
            <sz val="9"/>
            <color indexed="81"/>
            <rFont val="Tahoma"/>
            <family val="2"/>
          </rPr>
          <t xml:space="preserve">
No matching measue</t>
        </r>
      </text>
    </comment>
    <comment ref="BB241" authorId="4" shapeId="0" xr:uid="{DACA0E40-A152-446D-BC21-7B89DC176993}">
      <text>
        <r>
          <rPr>
            <b/>
            <sz val="9"/>
            <color indexed="81"/>
            <rFont val="Tahoma"/>
            <family val="2"/>
          </rPr>
          <t>Sharon Bosley:</t>
        </r>
        <r>
          <rPr>
            <sz val="9"/>
            <color indexed="81"/>
            <rFont val="Tahoma"/>
            <family val="2"/>
          </rPr>
          <t xml:space="preserve">
No matching measue</t>
        </r>
      </text>
    </comment>
    <comment ref="BH241" authorId="4" shapeId="0" xr:uid="{9D34679E-425D-4BAA-83E6-84C49C5DF269}">
      <text>
        <r>
          <rPr>
            <b/>
            <sz val="9"/>
            <color indexed="81"/>
            <rFont val="Tahoma"/>
            <family val="2"/>
          </rPr>
          <t>Sharon Bosley:</t>
        </r>
        <r>
          <rPr>
            <sz val="9"/>
            <color indexed="81"/>
            <rFont val="Tahoma"/>
            <family val="2"/>
          </rPr>
          <t xml:space="preserve">
No matching measue</t>
        </r>
      </text>
    </comment>
    <comment ref="AP242" authorId="4" shapeId="0" xr:uid="{10753262-806E-4A78-9913-B9FA28F627CA}">
      <text>
        <r>
          <rPr>
            <b/>
            <sz val="9"/>
            <color indexed="81"/>
            <rFont val="Tahoma"/>
            <family val="2"/>
          </rPr>
          <t>Sharon Bosley:</t>
        </r>
        <r>
          <rPr>
            <sz val="9"/>
            <color indexed="81"/>
            <rFont val="Tahoma"/>
            <family val="2"/>
          </rPr>
          <t xml:space="preserve">
no matching measure</t>
        </r>
      </text>
    </comment>
    <comment ref="AV242" authorId="4" shapeId="0" xr:uid="{2571E784-7E03-4CF1-A9A9-000723C32A36}">
      <text>
        <r>
          <rPr>
            <b/>
            <sz val="9"/>
            <color indexed="81"/>
            <rFont val="Tahoma"/>
            <family val="2"/>
          </rPr>
          <t>Sharon Bosley:</t>
        </r>
        <r>
          <rPr>
            <sz val="9"/>
            <color indexed="81"/>
            <rFont val="Tahoma"/>
            <family val="2"/>
          </rPr>
          <t xml:space="preserve">
no matching measure</t>
        </r>
      </text>
    </comment>
    <comment ref="BB242" authorId="4" shapeId="0" xr:uid="{D2E6BD84-E643-454C-9A5A-256462926153}">
      <text>
        <r>
          <rPr>
            <b/>
            <sz val="9"/>
            <color indexed="81"/>
            <rFont val="Tahoma"/>
            <family val="2"/>
          </rPr>
          <t>Sharon Bosley:</t>
        </r>
        <r>
          <rPr>
            <sz val="9"/>
            <color indexed="81"/>
            <rFont val="Tahoma"/>
            <family val="2"/>
          </rPr>
          <t xml:space="preserve">
no matching measure</t>
        </r>
      </text>
    </comment>
    <comment ref="BH242" authorId="4" shapeId="0" xr:uid="{886EF60C-8B33-456C-AA0A-94DA256932E3}">
      <text>
        <r>
          <rPr>
            <b/>
            <sz val="9"/>
            <color indexed="81"/>
            <rFont val="Tahoma"/>
            <family val="2"/>
          </rPr>
          <t>Sharon Bosley:</t>
        </r>
        <r>
          <rPr>
            <sz val="9"/>
            <color indexed="81"/>
            <rFont val="Tahoma"/>
            <family val="2"/>
          </rPr>
          <t xml:space="preserve">
no matching measure</t>
        </r>
      </text>
    </comment>
    <comment ref="AP245" authorId="4" shapeId="0" xr:uid="{93F28269-1B80-4B63-BC78-71EC502DD6CF}">
      <text>
        <r>
          <rPr>
            <b/>
            <sz val="9"/>
            <color indexed="81"/>
            <rFont val="Tahoma"/>
            <family val="2"/>
          </rPr>
          <t>Sharon Bosley:</t>
        </r>
        <r>
          <rPr>
            <sz val="9"/>
            <color indexed="81"/>
            <rFont val="Tahoma"/>
            <family val="2"/>
          </rPr>
          <t xml:space="preserve">
measures stop at 6</t>
        </r>
      </text>
    </comment>
    <comment ref="AV245" authorId="4" shapeId="0" xr:uid="{4126C6A4-009A-4C3A-8A6B-9770A355E8C6}">
      <text>
        <r>
          <rPr>
            <b/>
            <sz val="9"/>
            <color indexed="81"/>
            <rFont val="Tahoma"/>
            <family val="2"/>
          </rPr>
          <t>Sharon Bosley:</t>
        </r>
        <r>
          <rPr>
            <sz val="9"/>
            <color indexed="81"/>
            <rFont val="Tahoma"/>
            <family val="2"/>
          </rPr>
          <t xml:space="preserve">
measures stop at 6</t>
        </r>
      </text>
    </comment>
    <comment ref="BB245" authorId="4" shapeId="0" xr:uid="{5D21FA8E-B51A-4B00-98C8-81E71C1500E5}">
      <text>
        <r>
          <rPr>
            <b/>
            <sz val="9"/>
            <color indexed="81"/>
            <rFont val="Tahoma"/>
            <family val="2"/>
          </rPr>
          <t>Sharon Bosley:</t>
        </r>
        <r>
          <rPr>
            <sz val="9"/>
            <color indexed="81"/>
            <rFont val="Tahoma"/>
            <family val="2"/>
          </rPr>
          <t xml:space="preserve">
measures stop at 6</t>
        </r>
      </text>
    </comment>
    <comment ref="BH245" authorId="4" shapeId="0" xr:uid="{5E84A9E4-E680-4168-BF96-8363E5E22D16}">
      <text>
        <r>
          <rPr>
            <b/>
            <sz val="9"/>
            <color indexed="81"/>
            <rFont val="Tahoma"/>
            <family val="2"/>
          </rPr>
          <t>Sharon Bosley:</t>
        </r>
        <r>
          <rPr>
            <sz val="9"/>
            <color indexed="81"/>
            <rFont val="Tahoma"/>
            <family val="2"/>
          </rPr>
          <t xml:space="preserve">
measures stop at 6</t>
        </r>
      </text>
    </comment>
    <comment ref="AP246" authorId="4" shapeId="0" xr:uid="{8720FB3F-43B7-45F6-BFA9-AA2026308BE0}">
      <text>
        <r>
          <rPr>
            <b/>
            <sz val="9"/>
            <color indexed="81"/>
            <rFont val="Tahoma"/>
            <family val="2"/>
          </rPr>
          <t>Sharon Bosley:</t>
        </r>
        <r>
          <rPr>
            <sz val="9"/>
            <color indexed="81"/>
            <rFont val="Tahoma"/>
            <family val="2"/>
          </rPr>
          <t xml:space="preserve">
no matching meaasure</t>
        </r>
      </text>
    </comment>
    <comment ref="AV246" authorId="4" shapeId="0" xr:uid="{F6A081E0-476F-46AC-B133-DA52F84CA48E}">
      <text>
        <r>
          <rPr>
            <b/>
            <sz val="9"/>
            <color indexed="81"/>
            <rFont val="Tahoma"/>
            <family val="2"/>
          </rPr>
          <t>Sharon Bosley:</t>
        </r>
        <r>
          <rPr>
            <sz val="9"/>
            <color indexed="81"/>
            <rFont val="Tahoma"/>
            <family val="2"/>
          </rPr>
          <t xml:space="preserve">
no matching meaasure</t>
        </r>
      </text>
    </comment>
    <comment ref="BB246" authorId="4" shapeId="0" xr:uid="{0CE9EFD3-54EE-4CD3-8FCA-D1D98267793D}">
      <text>
        <r>
          <rPr>
            <b/>
            <sz val="9"/>
            <color indexed="81"/>
            <rFont val="Tahoma"/>
            <family val="2"/>
          </rPr>
          <t>Sharon Bosley:</t>
        </r>
        <r>
          <rPr>
            <sz val="9"/>
            <color indexed="81"/>
            <rFont val="Tahoma"/>
            <family val="2"/>
          </rPr>
          <t xml:space="preserve">
no matching meaasure</t>
        </r>
      </text>
    </comment>
    <comment ref="BH246" authorId="4" shapeId="0" xr:uid="{CD94D689-4FC9-42C0-B63C-C35D1EECCBBD}">
      <text>
        <r>
          <rPr>
            <b/>
            <sz val="9"/>
            <color indexed="81"/>
            <rFont val="Tahoma"/>
            <family val="2"/>
          </rPr>
          <t>Sharon Bosley:</t>
        </r>
        <r>
          <rPr>
            <sz val="9"/>
            <color indexed="81"/>
            <rFont val="Tahoma"/>
            <family val="2"/>
          </rPr>
          <t xml:space="preserve">
no matching meaasure</t>
        </r>
      </text>
    </comment>
    <comment ref="AP256" authorId="4" shapeId="0" xr:uid="{46BD9ABD-57A4-481A-A699-10C48CF1C111}">
      <text>
        <r>
          <rPr>
            <b/>
            <sz val="9"/>
            <color indexed="81"/>
            <rFont val="Tahoma"/>
            <family val="2"/>
          </rPr>
          <t>Sharon Bosley:</t>
        </r>
        <r>
          <rPr>
            <sz val="9"/>
            <color indexed="81"/>
            <rFont val="Tahoma"/>
            <family val="2"/>
          </rPr>
          <t xml:space="preserve">
no matching measure</t>
        </r>
      </text>
    </comment>
    <comment ref="AV256" authorId="4" shapeId="0" xr:uid="{02AD905F-CE09-4B06-A91D-5EBC8E9355AD}">
      <text>
        <r>
          <rPr>
            <b/>
            <sz val="9"/>
            <color indexed="81"/>
            <rFont val="Tahoma"/>
            <family val="2"/>
          </rPr>
          <t>Sharon Bosley:</t>
        </r>
        <r>
          <rPr>
            <sz val="9"/>
            <color indexed="81"/>
            <rFont val="Tahoma"/>
            <family val="2"/>
          </rPr>
          <t xml:space="preserve">
no matching measure</t>
        </r>
      </text>
    </comment>
    <comment ref="BB256" authorId="4" shapeId="0" xr:uid="{D175C0D4-D55B-4B02-9895-AE71E952C656}">
      <text>
        <r>
          <rPr>
            <b/>
            <sz val="9"/>
            <color indexed="81"/>
            <rFont val="Tahoma"/>
            <family val="2"/>
          </rPr>
          <t>Sharon Bosley:</t>
        </r>
        <r>
          <rPr>
            <sz val="9"/>
            <color indexed="81"/>
            <rFont val="Tahoma"/>
            <family val="2"/>
          </rPr>
          <t xml:space="preserve">
no matching measure</t>
        </r>
      </text>
    </comment>
    <comment ref="BH256" authorId="4" shapeId="0" xr:uid="{A22C899B-0534-4FF4-8176-D11FFC770537}">
      <text>
        <r>
          <rPr>
            <b/>
            <sz val="9"/>
            <color indexed="81"/>
            <rFont val="Tahoma"/>
            <family val="2"/>
          </rPr>
          <t>Sharon Bosley:</t>
        </r>
        <r>
          <rPr>
            <sz val="9"/>
            <color indexed="81"/>
            <rFont val="Tahoma"/>
            <family val="2"/>
          </rPr>
          <t xml:space="preserve">
no matching measure</t>
        </r>
      </text>
    </comment>
    <comment ref="AP257" authorId="4" shapeId="0" xr:uid="{7ED31A8A-77FF-457B-B97E-F950261F8674}">
      <text>
        <r>
          <rPr>
            <b/>
            <sz val="9"/>
            <color indexed="81"/>
            <rFont val="Tahoma"/>
            <family val="2"/>
          </rPr>
          <t>Sharon Bosley:</t>
        </r>
        <r>
          <rPr>
            <sz val="9"/>
            <color indexed="81"/>
            <rFont val="Tahoma"/>
            <family val="2"/>
          </rPr>
          <t xml:space="preserve">
no matching measure</t>
        </r>
      </text>
    </comment>
    <comment ref="AV257" authorId="4" shapeId="0" xr:uid="{B1444330-DCED-4825-9829-F5EF921C7833}">
      <text>
        <r>
          <rPr>
            <b/>
            <sz val="9"/>
            <color indexed="81"/>
            <rFont val="Tahoma"/>
            <family val="2"/>
          </rPr>
          <t>Sharon Bosley:</t>
        </r>
        <r>
          <rPr>
            <sz val="9"/>
            <color indexed="81"/>
            <rFont val="Tahoma"/>
            <family val="2"/>
          </rPr>
          <t xml:space="preserve">
no matching measure</t>
        </r>
      </text>
    </comment>
    <comment ref="BB257" authorId="4" shapeId="0" xr:uid="{1CFEF87C-A596-4934-9AF7-59CBD14944F1}">
      <text>
        <r>
          <rPr>
            <b/>
            <sz val="9"/>
            <color indexed="81"/>
            <rFont val="Tahoma"/>
            <family val="2"/>
          </rPr>
          <t>Sharon Bosley:</t>
        </r>
        <r>
          <rPr>
            <sz val="9"/>
            <color indexed="81"/>
            <rFont val="Tahoma"/>
            <family val="2"/>
          </rPr>
          <t xml:space="preserve">
no matching measure</t>
        </r>
      </text>
    </comment>
    <comment ref="BH257" authorId="4" shapeId="0" xr:uid="{579166AC-39D2-4E2A-BD3F-6009146B7589}">
      <text>
        <r>
          <rPr>
            <b/>
            <sz val="9"/>
            <color indexed="81"/>
            <rFont val="Tahoma"/>
            <family val="2"/>
          </rPr>
          <t>Sharon Bosley:</t>
        </r>
        <r>
          <rPr>
            <sz val="9"/>
            <color indexed="81"/>
            <rFont val="Tahoma"/>
            <family val="2"/>
          </rPr>
          <t xml:space="preserve">
no matching measure</t>
        </r>
      </text>
    </comment>
    <comment ref="AP259" authorId="4" shapeId="0" xr:uid="{6330A65C-AA4D-49F2-80DE-4D7023DC9038}">
      <text>
        <r>
          <rPr>
            <b/>
            <sz val="9"/>
            <color indexed="81"/>
            <rFont val="Tahoma"/>
            <family val="2"/>
          </rPr>
          <t>Sharon Bosley:</t>
        </r>
        <r>
          <rPr>
            <sz val="9"/>
            <color indexed="81"/>
            <rFont val="Tahoma"/>
            <family val="2"/>
          </rPr>
          <t xml:space="preserve">
no matching measure</t>
        </r>
      </text>
    </comment>
    <comment ref="AV259" authorId="4" shapeId="0" xr:uid="{78611B9F-8EA6-4939-94BC-2F0636264DA5}">
      <text>
        <r>
          <rPr>
            <b/>
            <sz val="9"/>
            <color indexed="81"/>
            <rFont val="Tahoma"/>
            <family val="2"/>
          </rPr>
          <t>Sharon Bosley:</t>
        </r>
        <r>
          <rPr>
            <sz val="9"/>
            <color indexed="81"/>
            <rFont val="Tahoma"/>
            <family val="2"/>
          </rPr>
          <t xml:space="preserve">
no matching measure</t>
        </r>
      </text>
    </comment>
    <comment ref="BB259" authorId="4" shapeId="0" xr:uid="{0FD1C928-0271-481C-9891-034B96679A31}">
      <text>
        <r>
          <rPr>
            <b/>
            <sz val="9"/>
            <color indexed="81"/>
            <rFont val="Tahoma"/>
            <family val="2"/>
          </rPr>
          <t>Sharon Bosley:</t>
        </r>
        <r>
          <rPr>
            <sz val="9"/>
            <color indexed="81"/>
            <rFont val="Tahoma"/>
            <family val="2"/>
          </rPr>
          <t xml:space="preserve">
no matching measure</t>
        </r>
      </text>
    </comment>
    <comment ref="BH259" authorId="4" shapeId="0" xr:uid="{A52D6A0A-FBE3-4B9D-A069-41E93EB83221}">
      <text>
        <r>
          <rPr>
            <b/>
            <sz val="9"/>
            <color indexed="81"/>
            <rFont val="Tahoma"/>
            <family val="2"/>
          </rPr>
          <t>Sharon Bosley:</t>
        </r>
        <r>
          <rPr>
            <sz val="9"/>
            <color indexed="81"/>
            <rFont val="Tahoma"/>
            <family val="2"/>
          </rPr>
          <t xml:space="preserve">
no matching measure</t>
        </r>
      </text>
    </comment>
    <comment ref="AP260" authorId="4" shapeId="0" xr:uid="{21ACF979-9F79-4974-9CB2-C2CCC95A4DDE}">
      <text>
        <r>
          <rPr>
            <b/>
            <sz val="9"/>
            <color indexed="81"/>
            <rFont val="Tahoma"/>
            <family val="2"/>
          </rPr>
          <t>Sharon Bosley:</t>
        </r>
        <r>
          <rPr>
            <sz val="9"/>
            <color indexed="81"/>
            <rFont val="Tahoma"/>
            <family val="2"/>
          </rPr>
          <t xml:space="preserve">
measure number isn't right?</t>
        </r>
      </text>
    </comment>
    <comment ref="AV260" authorId="4" shapeId="0" xr:uid="{F0223A15-5711-4875-8ACF-23B653B2E4BC}">
      <text>
        <r>
          <rPr>
            <b/>
            <sz val="9"/>
            <color indexed="81"/>
            <rFont val="Tahoma"/>
            <family val="2"/>
          </rPr>
          <t>Sharon Bosley:</t>
        </r>
        <r>
          <rPr>
            <sz val="9"/>
            <color indexed="81"/>
            <rFont val="Tahoma"/>
            <family val="2"/>
          </rPr>
          <t xml:space="preserve">
measure number isn't right?</t>
        </r>
      </text>
    </comment>
    <comment ref="BB260" authorId="4" shapeId="0" xr:uid="{BACCAEB9-250D-4D07-876B-E51D4818B3E2}">
      <text>
        <r>
          <rPr>
            <b/>
            <sz val="9"/>
            <color indexed="81"/>
            <rFont val="Tahoma"/>
            <family val="2"/>
          </rPr>
          <t>Sharon Bosley:</t>
        </r>
        <r>
          <rPr>
            <sz val="9"/>
            <color indexed="81"/>
            <rFont val="Tahoma"/>
            <family val="2"/>
          </rPr>
          <t xml:space="preserve">
measure number isn't right?</t>
        </r>
      </text>
    </comment>
    <comment ref="BH260" authorId="4" shapeId="0" xr:uid="{31F45091-C112-44D5-9414-3A9BF6F3D7F7}">
      <text>
        <r>
          <rPr>
            <b/>
            <sz val="9"/>
            <color indexed="81"/>
            <rFont val="Tahoma"/>
            <family val="2"/>
          </rPr>
          <t>Sharon Bosley:</t>
        </r>
        <r>
          <rPr>
            <sz val="9"/>
            <color indexed="81"/>
            <rFont val="Tahoma"/>
            <family val="2"/>
          </rPr>
          <t xml:space="preserve">
measure number isn't right?</t>
        </r>
      </text>
    </comment>
    <comment ref="AP261" authorId="4" shapeId="0" xr:uid="{2F353E43-2C22-4D78-9981-D2DDBE6F8091}">
      <text>
        <r>
          <rPr>
            <b/>
            <sz val="9"/>
            <color indexed="81"/>
            <rFont val="Tahoma"/>
            <family val="2"/>
          </rPr>
          <t>Sharon Bosley:</t>
        </r>
        <r>
          <rPr>
            <sz val="9"/>
            <color indexed="81"/>
            <rFont val="Tahoma"/>
            <family val="2"/>
          </rPr>
          <t xml:space="preserve">
no matching measure</t>
        </r>
      </text>
    </comment>
    <comment ref="AV261" authorId="4" shapeId="0" xr:uid="{1DEE257B-5B97-4C50-B1B4-4CFB788888EF}">
      <text>
        <r>
          <rPr>
            <b/>
            <sz val="9"/>
            <color indexed="81"/>
            <rFont val="Tahoma"/>
            <family val="2"/>
          </rPr>
          <t>Sharon Bosley:</t>
        </r>
        <r>
          <rPr>
            <sz val="9"/>
            <color indexed="81"/>
            <rFont val="Tahoma"/>
            <family val="2"/>
          </rPr>
          <t xml:space="preserve">
no matching measure</t>
        </r>
      </text>
    </comment>
    <comment ref="BB261" authorId="4" shapeId="0" xr:uid="{DB488C7D-ACD8-45B0-AC42-BCB8A525117C}">
      <text>
        <r>
          <rPr>
            <b/>
            <sz val="9"/>
            <color indexed="81"/>
            <rFont val="Tahoma"/>
            <family val="2"/>
          </rPr>
          <t>Sharon Bosley:</t>
        </r>
        <r>
          <rPr>
            <sz val="9"/>
            <color indexed="81"/>
            <rFont val="Tahoma"/>
            <family val="2"/>
          </rPr>
          <t xml:space="preserve">
no matching measure</t>
        </r>
      </text>
    </comment>
    <comment ref="BH261" authorId="4" shapeId="0" xr:uid="{A268394A-B3F4-4D4B-B20D-22C03A8A5791}">
      <text>
        <r>
          <rPr>
            <b/>
            <sz val="9"/>
            <color indexed="81"/>
            <rFont val="Tahoma"/>
            <family val="2"/>
          </rPr>
          <t>Sharon Bosley:</t>
        </r>
        <r>
          <rPr>
            <sz val="9"/>
            <color indexed="81"/>
            <rFont val="Tahoma"/>
            <family val="2"/>
          </rPr>
          <t xml:space="preserve">
no matching measure</t>
        </r>
      </text>
    </comment>
    <comment ref="AP262" authorId="4" shapeId="0" xr:uid="{CC3DFF63-DCB2-4286-8D46-D7633C84CF63}">
      <text>
        <r>
          <rPr>
            <b/>
            <sz val="9"/>
            <color indexed="81"/>
            <rFont val="Tahoma"/>
            <family val="2"/>
          </rPr>
          <t>Sharon Bosley:</t>
        </r>
        <r>
          <rPr>
            <sz val="9"/>
            <color indexed="81"/>
            <rFont val="Tahoma"/>
            <family val="2"/>
          </rPr>
          <t xml:space="preserve">
no Tab</t>
        </r>
      </text>
    </comment>
    <comment ref="AV262" authorId="4" shapeId="0" xr:uid="{A3100C12-0F8B-41B2-9023-048E64943960}">
      <text>
        <r>
          <rPr>
            <b/>
            <sz val="9"/>
            <color indexed="81"/>
            <rFont val="Tahoma"/>
            <family val="2"/>
          </rPr>
          <t>Sharon Bosley:</t>
        </r>
        <r>
          <rPr>
            <sz val="9"/>
            <color indexed="81"/>
            <rFont val="Tahoma"/>
            <family val="2"/>
          </rPr>
          <t xml:space="preserve">
no Tab</t>
        </r>
      </text>
    </comment>
    <comment ref="BB262" authorId="4" shapeId="0" xr:uid="{A022AE87-D449-429C-8B20-5432FD0C5D4F}">
      <text>
        <r>
          <rPr>
            <b/>
            <sz val="9"/>
            <color indexed="81"/>
            <rFont val="Tahoma"/>
            <family val="2"/>
          </rPr>
          <t>Sharon Bosley:</t>
        </r>
        <r>
          <rPr>
            <sz val="9"/>
            <color indexed="81"/>
            <rFont val="Tahoma"/>
            <family val="2"/>
          </rPr>
          <t xml:space="preserve">
no Tab</t>
        </r>
      </text>
    </comment>
    <comment ref="BH262" authorId="4" shapeId="0" xr:uid="{E74E9BD8-3755-4692-A522-16DFF9EF92D8}">
      <text>
        <r>
          <rPr>
            <b/>
            <sz val="9"/>
            <color indexed="81"/>
            <rFont val="Tahoma"/>
            <family val="2"/>
          </rPr>
          <t>Sharon Bosley:</t>
        </r>
        <r>
          <rPr>
            <sz val="9"/>
            <color indexed="81"/>
            <rFont val="Tahoma"/>
            <family val="2"/>
          </rPr>
          <t xml:space="preserve">
no Tab</t>
        </r>
      </text>
    </comment>
    <comment ref="AP263" authorId="4" shapeId="0" xr:uid="{62B09B66-3453-4151-B73C-71559327E80D}">
      <text>
        <r>
          <rPr>
            <b/>
            <sz val="9"/>
            <color indexed="81"/>
            <rFont val="Tahoma"/>
            <family val="2"/>
          </rPr>
          <t>Sharon Bosley:</t>
        </r>
        <r>
          <rPr>
            <sz val="9"/>
            <color indexed="81"/>
            <rFont val="Tahoma"/>
            <family val="2"/>
          </rPr>
          <t xml:space="preserve">
no matching measure</t>
        </r>
      </text>
    </comment>
    <comment ref="AV263" authorId="4" shapeId="0" xr:uid="{728D2E19-4308-4F0C-BC27-8CE3F5E745B6}">
      <text>
        <r>
          <rPr>
            <b/>
            <sz val="9"/>
            <color indexed="81"/>
            <rFont val="Tahoma"/>
            <family val="2"/>
          </rPr>
          <t>Sharon Bosley:</t>
        </r>
        <r>
          <rPr>
            <sz val="9"/>
            <color indexed="81"/>
            <rFont val="Tahoma"/>
            <family val="2"/>
          </rPr>
          <t xml:space="preserve">
no matching measure</t>
        </r>
      </text>
    </comment>
    <comment ref="BB263" authorId="4" shapeId="0" xr:uid="{EDC3CDCA-9A2C-4E00-864C-5AF6F00E3552}">
      <text>
        <r>
          <rPr>
            <b/>
            <sz val="9"/>
            <color indexed="81"/>
            <rFont val="Tahoma"/>
            <family val="2"/>
          </rPr>
          <t>Sharon Bosley:</t>
        </r>
        <r>
          <rPr>
            <sz val="9"/>
            <color indexed="81"/>
            <rFont val="Tahoma"/>
            <family val="2"/>
          </rPr>
          <t xml:space="preserve">
no matching measure</t>
        </r>
      </text>
    </comment>
    <comment ref="BH263" authorId="4" shapeId="0" xr:uid="{9834BA71-6D1F-4A13-95D3-5499DFB5C727}">
      <text>
        <r>
          <rPr>
            <b/>
            <sz val="9"/>
            <color indexed="81"/>
            <rFont val="Tahoma"/>
            <family val="2"/>
          </rPr>
          <t>Sharon Bosley:</t>
        </r>
        <r>
          <rPr>
            <sz val="9"/>
            <color indexed="81"/>
            <rFont val="Tahoma"/>
            <family val="2"/>
          </rPr>
          <t xml:space="preserve">
no matching measure</t>
        </r>
      </text>
    </comment>
    <comment ref="AP265" authorId="4" shapeId="0" xr:uid="{A59F99C0-0457-4DD2-B900-79BE229594E4}">
      <text>
        <r>
          <rPr>
            <b/>
            <sz val="9"/>
            <color indexed="81"/>
            <rFont val="Tahoma"/>
            <family val="2"/>
          </rPr>
          <t>Sharon Bosley:</t>
        </r>
        <r>
          <rPr>
            <sz val="9"/>
            <color indexed="81"/>
            <rFont val="Tahoma"/>
            <family val="2"/>
          </rPr>
          <t xml:space="preserve">
no matching measure</t>
        </r>
      </text>
    </comment>
    <comment ref="AV265" authorId="4" shapeId="0" xr:uid="{24ADCE99-B849-40F1-AE87-4374862AFA00}">
      <text>
        <r>
          <rPr>
            <b/>
            <sz val="9"/>
            <color indexed="81"/>
            <rFont val="Tahoma"/>
            <family val="2"/>
          </rPr>
          <t>Sharon Bosley:</t>
        </r>
        <r>
          <rPr>
            <sz val="9"/>
            <color indexed="81"/>
            <rFont val="Tahoma"/>
            <family val="2"/>
          </rPr>
          <t xml:space="preserve">
no matching measure</t>
        </r>
      </text>
    </comment>
    <comment ref="BB265" authorId="4" shapeId="0" xr:uid="{22A9AAA7-AFA2-4FD3-8406-7D41433548C3}">
      <text>
        <r>
          <rPr>
            <b/>
            <sz val="9"/>
            <color indexed="81"/>
            <rFont val="Tahoma"/>
            <family val="2"/>
          </rPr>
          <t>Sharon Bosley:</t>
        </r>
        <r>
          <rPr>
            <sz val="9"/>
            <color indexed="81"/>
            <rFont val="Tahoma"/>
            <family val="2"/>
          </rPr>
          <t xml:space="preserve">
no matching measure</t>
        </r>
      </text>
    </comment>
    <comment ref="BH265" authorId="4" shapeId="0" xr:uid="{ED866E7D-7ADB-4AB8-8EA2-5A370502B2D2}">
      <text>
        <r>
          <rPr>
            <b/>
            <sz val="9"/>
            <color indexed="81"/>
            <rFont val="Tahoma"/>
            <family val="2"/>
          </rPr>
          <t>Sharon Bosley:</t>
        </r>
        <r>
          <rPr>
            <sz val="9"/>
            <color indexed="81"/>
            <rFont val="Tahoma"/>
            <family val="2"/>
          </rPr>
          <t xml:space="preserve">
no matching measure</t>
        </r>
      </text>
    </comment>
    <comment ref="AP266" authorId="4" shapeId="0" xr:uid="{13A4102B-FE64-4837-9B40-1BC584880778}">
      <text>
        <r>
          <rPr>
            <b/>
            <sz val="9"/>
            <color indexed="81"/>
            <rFont val="Tahoma"/>
            <family val="2"/>
          </rPr>
          <t>Sharon Bosley:</t>
        </r>
        <r>
          <rPr>
            <sz val="9"/>
            <color indexed="81"/>
            <rFont val="Tahoma"/>
            <family val="2"/>
          </rPr>
          <t xml:space="preserve">
no matching measure</t>
        </r>
      </text>
    </comment>
    <comment ref="AV266" authorId="4" shapeId="0" xr:uid="{27A20A0A-1F92-45CB-BBF4-35418573DE9C}">
      <text>
        <r>
          <rPr>
            <b/>
            <sz val="9"/>
            <color indexed="81"/>
            <rFont val="Tahoma"/>
            <family val="2"/>
          </rPr>
          <t>Sharon Bosley:</t>
        </r>
        <r>
          <rPr>
            <sz val="9"/>
            <color indexed="81"/>
            <rFont val="Tahoma"/>
            <family val="2"/>
          </rPr>
          <t xml:space="preserve">
no matching measure</t>
        </r>
      </text>
    </comment>
    <comment ref="BB266" authorId="4" shapeId="0" xr:uid="{F8A740E5-8BCC-4D8B-9515-E601633B7BB2}">
      <text>
        <r>
          <rPr>
            <b/>
            <sz val="9"/>
            <color indexed="81"/>
            <rFont val="Tahoma"/>
            <family val="2"/>
          </rPr>
          <t>Sharon Bosley:</t>
        </r>
        <r>
          <rPr>
            <sz val="9"/>
            <color indexed="81"/>
            <rFont val="Tahoma"/>
            <family val="2"/>
          </rPr>
          <t xml:space="preserve">
no matching measure</t>
        </r>
      </text>
    </comment>
    <comment ref="BH266" authorId="4" shapeId="0" xr:uid="{08D6AD33-7EB8-44DB-A421-2F54F4704AA3}">
      <text>
        <r>
          <rPr>
            <b/>
            <sz val="9"/>
            <color indexed="81"/>
            <rFont val="Tahoma"/>
            <family val="2"/>
          </rPr>
          <t>Sharon Bosley:</t>
        </r>
        <r>
          <rPr>
            <sz val="9"/>
            <color indexed="81"/>
            <rFont val="Tahoma"/>
            <family val="2"/>
          </rPr>
          <t xml:space="preserve">
no matching measure</t>
        </r>
      </text>
    </comment>
    <comment ref="AP270" authorId="4" shapeId="0" xr:uid="{A29E85E8-6035-4274-AABC-204709404137}">
      <text>
        <r>
          <rPr>
            <b/>
            <sz val="9"/>
            <color indexed="81"/>
            <rFont val="Tahoma"/>
            <family val="2"/>
          </rPr>
          <t>Sharon Bosley:</t>
        </r>
        <r>
          <rPr>
            <sz val="9"/>
            <color indexed="81"/>
            <rFont val="Tahoma"/>
            <family val="2"/>
          </rPr>
          <t xml:space="preserve">
no matching measure</t>
        </r>
      </text>
    </comment>
    <comment ref="AV270" authorId="4" shapeId="0" xr:uid="{843FF2BA-6496-4164-B04D-9C5B46B53E98}">
      <text>
        <r>
          <rPr>
            <b/>
            <sz val="9"/>
            <color indexed="81"/>
            <rFont val="Tahoma"/>
            <family val="2"/>
          </rPr>
          <t>Sharon Bosley:</t>
        </r>
        <r>
          <rPr>
            <sz val="9"/>
            <color indexed="81"/>
            <rFont val="Tahoma"/>
            <family val="2"/>
          </rPr>
          <t xml:space="preserve">
no matching measure</t>
        </r>
      </text>
    </comment>
    <comment ref="BB270" authorId="4" shapeId="0" xr:uid="{EB651150-D6B1-49E2-924B-1B52ADFF7FC7}">
      <text>
        <r>
          <rPr>
            <b/>
            <sz val="9"/>
            <color indexed="81"/>
            <rFont val="Tahoma"/>
            <family val="2"/>
          </rPr>
          <t>Sharon Bosley:</t>
        </r>
        <r>
          <rPr>
            <sz val="9"/>
            <color indexed="81"/>
            <rFont val="Tahoma"/>
            <family val="2"/>
          </rPr>
          <t xml:space="preserve">
no matching measure</t>
        </r>
      </text>
    </comment>
    <comment ref="BH270" authorId="4" shapeId="0" xr:uid="{396AC0F4-29B8-447C-A161-887F2C97F155}">
      <text>
        <r>
          <rPr>
            <b/>
            <sz val="9"/>
            <color indexed="81"/>
            <rFont val="Tahoma"/>
            <family val="2"/>
          </rPr>
          <t>Sharon Bosley:</t>
        </r>
        <r>
          <rPr>
            <sz val="9"/>
            <color indexed="81"/>
            <rFont val="Tahoma"/>
            <family val="2"/>
          </rPr>
          <t xml:space="preserve">
no matching measure</t>
        </r>
      </text>
    </comment>
    <comment ref="AP280" authorId="4" shapeId="0" xr:uid="{99026737-7FE9-4D1F-88F0-8F1229F497EC}">
      <text>
        <r>
          <rPr>
            <b/>
            <sz val="9"/>
            <color indexed="81"/>
            <rFont val="Tahoma"/>
            <family val="2"/>
          </rPr>
          <t>Sharon Bosley:</t>
        </r>
        <r>
          <rPr>
            <sz val="9"/>
            <color indexed="81"/>
            <rFont val="Tahoma"/>
            <family val="2"/>
          </rPr>
          <t xml:space="preserve">
No matching tab</t>
        </r>
      </text>
    </comment>
    <comment ref="AV280" authorId="4" shapeId="0" xr:uid="{28DBC612-A23B-456A-B391-0E79C56E4644}">
      <text>
        <r>
          <rPr>
            <b/>
            <sz val="9"/>
            <color indexed="81"/>
            <rFont val="Tahoma"/>
            <family val="2"/>
          </rPr>
          <t>Sharon Bosley:</t>
        </r>
        <r>
          <rPr>
            <sz val="9"/>
            <color indexed="81"/>
            <rFont val="Tahoma"/>
            <family val="2"/>
          </rPr>
          <t xml:space="preserve">
No matching tab</t>
        </r>
      </text>
    </comment>
    <comment ref="BB280" authorId="4" shapeId="0" xr:uid="{78AF3418-8BFC-401E-BC36-D1041CEA6AA8}">
      <text>
        <r>
          <rPr>
            <b/>
            <sz val="9"/>
            <color indexed="81"/>
            <rFont val="Tahoma"/>
            <family val="2"/>
          </rPr>
          <t>Sharon Bosley:</t>
        </r>
        <r>
          <rPr>
            <sz val="9"/>
            <color indexed="81"/>
            <rFont val="Tahoma"/>
            <family val="2"/>
          </rPr>
          <t xml:space="preserve">
No matching tab</t>
        </r>
      </text>
    </comment>
    <comment ref="BH280" authorId="4" shapeId="0" xr:uid="{2CEA8A2A-FDF6-422F-8B57-971E407DB75A}">
      <text>
        <r>
          <rPr>
            <b/>
            <sz val="9"/>
            <color indexed="81"/>
            <rFont val="Tahoma"/>
            <family val="2"/>
          </rPr>
          <t>Sharon Bosley:</t>
        </r>
        <r>
          <rPr>
            <sz val="9"/>
            <color indexed="81"/>
            <rFont val="Tahoma"/>
            <family val="2"/>
          </rPr>
          <t xml:space="preserve">
No matching tab</t>
        </r>
      </text>
    </comment>
    <comment ref="AP286" authorId="4" shapeId="0" xr:uid="{84D5858C-4DCD-42D9-8FD6-EEFDE9675BC7}">
      <text>
        <r>
          <rPr>
            <b/>
            <sz val="9"/>
            <color indexed="81"/>
            <rFont val="Tahoma"/>
            <family val="2"/>
          </rPr>
          <t>Sharon Bosley:</t>
        </r>
        <r>
          <rPr>
            <sz val="9"/>
            <color indexed="81"/>
            <rFont val="Tahoma"/>
            <family val="2"/>
          </rPr>
          <t xml:space="preserve">
no matching measure</t>
        </r>
      </text>
    </comment>
    <comment ref="AV286" authorId="4" shapeId="0" xr:uid="{061A2DF2-3F40-4CF7-8FF6-69D48EBADF36}">
      <text>
        <r>
          <rPr>
            <b/>
            <sz val="9"/>
            <color indexed="81"/>
            <rFont val="Tahoma"/>
            <family val="2"/>
          </rPr>
          <t>Sharon Bosley:</t>
        </r>
        <r>
          <rPr>
            <sz val="9"/>
            <color indexed="81"/>
            <rFont val="Tahoma"/>
            <family val="2"/>
          </rPr>
          <t xml:space="preserve">
no matching measure</t>
        </r>
      </text>
    </comment>
    <comment ref="BB286" authorId="4" shapeId="0" xr:uid="{27DE6280-B6F1-432B-8DD7-103593203935}">
      <text>
        <r>
          <rPr>
            <b/>
            <sz val="9"/>
            <color indexed="81"/>
            <rFont val="Tahoma"/>
            <family val="2"/>
          </rPr>
          <t>Sharon Bosley:</t>
        </r>
        <r>
          <rPr>
            <sz val="9"/>
            <color indexed="81"/>
            <rFont val="Tahoma"/>
            <family val="2"/>
          </rPr>
          <t xml:space="preserve">
no matching measure</t>
        </r>
      </text>
    </comment>
    <comment ref="BH286" authorId="4" shapeId="0" xr:uid="{F5E5047B-7576-4D10-9CA0-7D7795D3C522}">
      <text>
        <r>
          <rPr>
            <b/>
            <sz val="9"/>
            <color indexed="81"/>
            <rFont val="Tahoma"/>
            <family val="2"/>
          </rPr>
          <t>Sharon Bosley:</t>
        </r>
        <r>
          <rPr>
            <sz val="9"/>
            <color indexed="81"/>
            <rFont val="Tahoma"/>
            <family val="2"/>
          </rPr>
          <t xml:space="preserve">
no matching measure</t>
        </r>
      </text>
    </comment>
    <comment ref="AP287" authorId="4" shapeId="0" xr:uid="{372F5928-F347-4B5E-86A6-C79C8C348E09}">
      <text>
        <r>
          <rPr>
            <b/>
            <sz val="9"/>
            <color indexed="81"/>
            <rFont val="Tahoma"/>
            <family val="2"/>
          </rPr>
          <t>Sharon Bosley:</t>
        </r>
        <r>
          <rPr>
            <sz val="9"/>
            <color indexed="81"/>
            <rFont val="Tahoma"/>
            <family val="2"/>
          </rPr>
          <t xml:space="preserve">
no matching measure</t>
        </r>
      </text>
    </comment>
    <comment ref="AV287" authorId="4" shapeId="0" xr:uid="{1214A0D9-A3E6-42CE-A171-EF4665E1DDC1}">
      <text>
        <r>
          <rPr>
            <b/>
            <sz val="9"/>
            <color indexed="81"/>
            <rFont val="Tahoma"/>
            <family val="2"/>
          </rPr>
          <t>Sharon Bosley:</t>
        </r>
        <r>
          <rPr>
            <sz val="9"/>
            <color indexed="81"/>
            <rFont val="Tahoma"/>
            <family val="2"/>
          </rPr>
          <t xml:space="preserve">
no matching measure</t>
        </r>
      </text>
    </comment>
    <comment ref="BB287" authorId="4" shapeId="0" xr:uid="{F5BD1D92-9337-45DD-9B37-FC1FCE8789AF}">
      <text>
        <r>
          <rPr>
            <b/>
            <sz val="9"/>
            <color indexed="81"/>
            <rFont val="Tahoma"/>
            <family val="2"/>
          </rPr>
          <t>Sharon Bosley:</t>
        </r>
        <r>
          <rPr>
            <sz val="9"/>
            <color indexed="81"/>
            <rFont val="Tahoma"/>
            <family val="2"/>
          </rPr>
          <t xml:space="preserve">
no matching measure</t>
        </r>
      </text>
    </comment>
    <comment ref="BH287" authorId="4" shapeId="0" xr:uid="{C4F27897-3F55-402E-8DD6-C4D93451EEA4}">
      <text>
        <r>
          <rPr>
            <b/>
            <sz val="9"/>
            <color indexed="81"/>
            <rFont val="Tahoma"/>
            <family val="2"/>
          </rPr>
          <t>Sharon Bosley:</t>
        </r>
        <r>
          <rPr>
            <sz val="9"/>
            <color indexed="81"/>
            <rFont val="Tahoma"/>
            <family val="2"/>
          </rPr>
          <t xml:space="preserve">
no matching measure</t>
        </r>
      </text>
    </comment>
    <comment ref="AP289" authorId="4" shapeId="0" xr:uid="{1E830933-B98F-4012-A958-B14573BCDD0F}">
      <text>
        <r>
          <rPr>
            <b/>
            <sz val="9"/>
            <color indexed="81"/>
            <rFont val="Tahoma"/>
            <family val="2"/>
          </rPr>
          <t>Sharon Bosley:</t>
        </r>
        <r>
          <rPr>
            <sz val="9"/>
            <color indexed="81"/>
            <rFont val="Tahoma"/>
            <family val="2"/>
          </rPr>
          <t xml:space="preserve">
no matching measure</t>
        </r>
      </text>
    </comment>
    <comment ref="AV289" authorId="4" shapeId="0" xr:uid="{811ED00E-F425-4150-93AE-B5058497FD48}">
      <text>
        <r>
          <rPr>
            <b/>
            <sz val="9"/>
            <color indexed="81"/>
            <rFont val="Tahoma"/>
            <family val="2"/>
          </rPr>
          <t>Sharon Bosley:</t>
        </r>
        <r>
          <rPr>
            <sz val="9"/>
            <color indexed="81"/>
            <rFont val="Tahoma"/>
            <family val="2"/>
          </rPr>
          <t xml:space="preserve">
no matching measure</t>
        </r>
      </text>
    </comment>
    <comment ref="BB289" authorId="4" shapeId="0" xr:uid="{53B3B7E3-2155-4F09-B360-D6F937E50CE8}">
      <text>
        <r>
          <rPr>
            <b/>
            <sz val="9"/>
            <color indexed="81"/>
            <rFont val="Tahoma"/>
            <family val="2"/>
          </rPr>
          <t>Sharon Bosley:</t>
        </r>
        <r>
          <rPr>
            <sz val="9"/>
            <color indexed="81"/>
            <rFont val="Tahoma"/>
            <family val="2"/>
          </rPr>
          <t xml:space="preserve">
no matching measure</t>
        </r>
      </text>
    </comment>
    <comment ref="BH289" authorId="4" shapeId="0" xr:uid="{810A5F26-3C00-4228-B044-29CF019BE1A9}">
      <text>
        <r>
          <rPr>
            <b/>
            <sz val="9"/>
            <color indexed="81"/>
            <rFont val="Tahoma"/>
            <family val="2"/>
          </rPr>
          <t>Sharon Bosley:</t>
        </r>
        <r>
          <rPr>
            <sz val="9"/>
            <color indexed="81"/>
            <rFont val="Tahoma"/>
            <family val="2"/>
          </rPr>
          <t xml:space="preserve">
no matching measure</t>
        </r>
      </text>
    </comment>
    <comment ref="AP290" authorId="4" shapeId="0" xr:uid="{E724B066-26D6-4884-9177-F7EA5EB971D0}">
      <text>
        <r>
          <rPr>
            <b/>
            <sz val="9"/>
            <color indexed="81"/>
            <rFont val="Tahoma"/>
            <family val="2"/>
          </rPr>
          <t>Sharon Bosley:</t>
        </r>
        <r>
          <rPr>
            <sz val="9"/>
            <color indexed="81"/>
            <rFont val="Tahoma"/>
            <family val="2"/>
          </rPr>
          <t xml:space="preserve">
no matching tab</t>
        </r>
      </text>
    </comment>
    <comment ref="AV290" authorId="4" shapeId="0" xr:uid="{F477B8D8-FCCB-4D8E-A969-8D2033702A30}">
      <text>
        <r>
          <rPr>
            <b/>
            <sz val="9"/>
            <color indexed="81"/>
            <rFont val="Tahoma"/>
            <family val="2"/>
          </rPr>
          <t>Sharon Bosley:</t>
        </r>
        <r>
          <rPr>
            <sz val="9"/>
            <color indexed="81"/>
            <rFont val="Tahoma"/>
            <family val="2"/>
          </rPr>
          <t xml:space="preserve">
no matching tab</t>
        </r>
      </text>
    </comment>
    <comment ref="BB290" authorId="4" shapeId="0" xr:uid="{936BC492-29F3-4A42-BF7B-09E4D2F1C60B}">
      <text>
        <r>
          <rPr>
            <b/>
            <sz val="9"/>
            <color indexed="81"/>
            <rFont val="Tahoma"/>
            <family val="2"/>
          </rPr>
          <t>Sharon Bosley:</t>
        </r>
        <r>
          <rPr>
            <sz val="9"/>
            <color indexed="81"/>
            <rFont val="Tahoma"/>
            <family val="2"/>
          </rPr>
          <t xml:space="preserve">
no matching tab</t>
        </r>
      </text>
    </comment>
    <comment ref="BH290" authorId="4" shapeId="0" xr:uid="{8FC45999-5FAC-46EA-B027-B7C713B5B31D}">
      <text>
        <r>
          <rPr>
            <b/>
            <sz val="9"/>
            <color indexed="81"/>
            <rFont val="Tahoma"/>
            <family val="2"/>
          </rPr>
          <t>Sharon Bosley:</t>
        </r>
        <r>
          <rPr>
            <sz val="9"/>
            <color indexed="81"/>
            <rFont val="Tahoma"/>
            <family val="2"/>
          </rPr>
          <t xml:space="preserve">
no matching tab</t>
        </r>
      </text>
    </comment>
    <comment ref="AP291" authorId="4" shapeId="0" xr:uid="{028AEEBC-B893-4AE2-84BA-557040184C82}">
      <text>
        <r>
          <rPr>
            <b/>
            <sz val="9"/>
            <color indexed="81"/>
            <rFont val="Tahoma"/>
            <family val="2"/>
          </rPr>
          <t>Sharon Bosley:</t>
        </r>
        <r>
          <rPr>
            <sz val="9"/>
            <color indexed="81"/>
            <rFont val="Tahoma"/>
            <family val="2"/>
          </rPr>
          <t xml:space="preserve">
no matching measure</t>
        </r>
      </text>
    </comment>
    <comment ref="AV291" authorId="4" shapeId="0" xr:uid="{FB53F2D1-101C-4F9D-82DF-9ED16C71173F}">
      <text>
        <r>
          <rPr>
            <b/>
            <sz val="9"/>
            <color indexed="81"/>
            <rFont val="Tahoma"/>
            <family val="2"/>
          </rPr>
          <t>Sharon Bosley:</t>
        </r>
        <r>
          <rPr>
            <sz val="9"/>
            <color indexed="81"/>
            <rFont val="Tahoma"/>
            <family val="2"/>
          </rPr>
          <t xml:space="preserve">
no matching measure</t>
        </r>
      </text>
    </comment>
    <comment ref="BB291" authorId="4" shapeId="0" xr:uid="{32FA305B-846F-4FD3-8B8C-4E920300AD14}">
      <text>
        <r>
          <rPr>
            <b/>
            <sz val="9"/>
            <color indexed="81"/>
            <rFont val="Tahoma"/>
            <family val="2"/>
          </rPr>
          <t>Sharon Bosley:</t>
        </r>
        <r>
          <rPr>
            <sz val="9"/>
            <color indexed="81"/>
            <rFont val="Tahoma"/>
            <family val="2"/>
          </rPr>
          <t xml:space="preserve">
no matching measure</t>
        </r>
      </text>
    </comment>
    <comment ref="BH291" authorId="4" shapeId="0" xr:uid="{D8A72AF8-A7F1-41FE-8C65-A39C9FE44D23}">
      <text>
        <r>
          <rPr>
            <b/>
            <sz val="9"/>
            <color indexed="81"/>
            <rFont val="Tahoma"/>
            <family val="2"/>
          </rPr>
          <t>Sharon Bosley:</t>
        </r>
        <r>
          <rPr>
            <sz val="9"/>
            <color indexed="81"/>
            <rFont val="Tahoma"/>
            <family val="2"/>
          </rPr>
          <t xml:space="preserve">
no matching measure</t>
        </r>
      </text>
    </comment>
    <comment ref="AP293" authorId="4" shapeId="0" xr:uid="{0A62554C-943B-4E79-B381-1F61D8A7D910}">
      <text>
        <r>
          <rPr>
            <b/>
            <sz val="9"/>
            <color indexed="81"/>
            <rFont val="Tahoma"/>
            <family val="2"/>
          </rPr>
          <t>Sharon Bosley:</t>
        </r>
        <r>
          <rPr>
            <sz val="9"/>
            <color indexed="81"/>
            <rFont val="Tahoma"/>
            <family val="2"/>
          </rPr>
          <t xml:space="preserve">
no matching measure</t>
        </r>
      </text>
    </comment>
    <comment ref="AV293" authorId="4" shapeId="0" xr:uid="{2AEB6352-8EB0-44F0-942A-FC005A3C21C3}">
      <text>
        <r>
          <rPr>
            <b/>
            <sz val="9"/>
            <color indexed="81"/>
            <rFont val="Tahoma"/>
            <family val="2"/>
          </rPr>
          <t>Sharon Bosley:</t>
        </r>
        <r>
          <rPr>
            <sz val="9"/>
            <color indexed="81"/>
            <rFont val="Tahoma"/>
            <family val="2"/>
          </rPr>
          <t xml:space="preserve">
no matching measure</t>
        </r>
      </text>
    </comment>
    <comment ref="BB293" authorId="4" shapeId="0" xr:uid="{424BDB8D-7430-447D-85BF-7FB5A669472B}">
      <text>
        <r>
          <rPr>
            <b/>
            <sz val="9"/>
            <color indexed="81"/>
            <rFont val="Tahoma"/>
            <family val="2"/>
          </rPr>
          <t>Sharon Bosley:</t>
        </r>
        <r>
          <rPr>
            <sz val="9"/>
            <color indexed="81"/>
            <rFont val="Tahoma"/>
            <family val="2"/>
          </rPr>
          <t xml:space="preserve">
no matching measure</t>
        </r>
      </text>
    </comment>
    <comment ref="BH293" authorId="4" shapeId="0" xr:uid="{50608AE5-47E3-4D7D-96D1-50718A9B7464}">
      <text>
        <r>
          <rPr>
            <b/>
            <sz val="9"/>
            <color indexed="81"/>
            <rFont val="Tahoma"/>
            <family val="2"/>
          </rPr>
          <t>Sharon Bosley:</t>
        </r>
        <r>
          <rPr>
            <sz val="9"/>
            <color indexed="81"/>
            <rFont val="Tahoma"/>
            <family val="2"/>
          </rPr>
          <t xml:space="preserve">
no matching measure</t>
        </r>
      </text>
    </comment>
    <comment ref="AP294" authorId="4" shapeId="0" xr:uid="{20CBC605-3D4C-4CC4-8A3C-D23FB17208C8}">
      <text>
        <r>
          <rPr>
            <b/>
            <sz val="9"/>
            <color indexed="81"/>
            <rFont val="Tahoma"/>
            <family val="2"/>
          </rPr>
          <t>Sharon Bosley:</t>
        </r>
        <r>
          <rPr>
            <sz val="9"/>
            <color indexed="81"/>
            <rFont val="Tahoma"/>
            <family val="2"/>
          </rPr>
          <t xml:space="preserve">
no matching measure</t>
        </r>
      </text>
    </comment>
    <comment ref="AV294" authorId="4" shapeId="0" xr:uid="{3797FD28-1761-4F68-8B00-1AF83B0388A7}">
      <text>
        <r>
          <rPr>
            <b/>
            <sz val="9"/>
            <color indexed="81"/>
            <rFont val="Tahoma"/>
            <family val="2"/>
          </rPr>
          <t>Sharon Bosley:</t>
        </r>
        <r>
          <rPr>
            <sz val="9"/>
            <color indexed="81"/>
            <rFont val="Tahoma"/>
            <family val="2"/>
          </rPr>
          <t xml:space="preserve">
no matching measure</t>
        </r>
      </text>
    </comment>
    <comment ref="BB294" authorId="4" shapeId="0" xr:uid="{64A9C069-5CAF-4702-BEB9-0A1A2EF50FC9}">
      <text>
        <r>
          <rPr>
            <b/>
            <sz val="9"/>
            <color indexed="81"/>
            <rFont val="Tahoma"/>
            <family val="2"/>
          </rPr>
          <t>Sharon Bosley:</t>
        </r>
        <r>
          <rPr>
            <sz val="9"/>
            <color indexed="81"/>
            <rFont val="Tahoma"/>
            <family val="2"/>
          </rPr>
          <t xml:space="preserve">
no matching measure</t>
        </r>
      </text>
    </comment>
    <comment ref="BH294" authorId="4" shapeId="0" xr:uid="{27670318-574F-4780-86E9-55BE1C43DD72}">
      <text>
        <r>
          <rPr>
            <b/>
            <sz val="9"/>
            <color indexed="81"/>
            <rFont val="Tahoma"/>
            <family val="2"/>
          </rPr>
          <t>Sharon Bosley:</t>
        </r>
        <r>
          <rPr>
            <sz val="9"/>
            <color indexed="81"/>
            <rFont val="Tahoma"/>
            <family val="2"/>
          </rPr>
          <t xml:space="preserve">
no matching measure</t>
        </r>
      </text>
    </comment>
    <comment ref="AP295" authorId="4" shapeId="0" xr:uid="{ED2B378F-E469-4D8E-9B37-A719D08A7349}">
      <text>
        <r>
          <rPr>
            <b/>
            <sz val="9"/>
            <color indexed="81"/>
            <rFont val="Tahoma"/>
            <family val="2"/>
          </rPr>
          <t>Sharon Bosley:</t>
        </r>
        <r>
          <rPr>
            <sz val="9"/>
            <color indexed="81"/>
            <rFont val="Tahoma"/>
            <family val="2"/>
          </rPr>
          <t xml:space="preserve">
No matching Tab</t>
        </r>
      </text>
    </comment>
    <comment ref="AV295" authorId="4" shapeId="0" xr:uid="{07261D2C-4B4F-4BBB-B8AD-CEE761B4A168}">
      <text>
        <r>
          <rPr>
            <b/>
            <sz val="9"/>
            <color indexed="81"/>
            <rFont val="Tahoma"/>
            <family val="2"/>
          </rPr>
          <t>Sharon Bosley:</t>
        </r>
        <r>
          <rPr>
            <sz val="9"/>
            <color indexed="81"/>
            <rFont val="Tahoma"/>
            <family val="2"/>
          </rPr>
          <t xml:space="preserve">
No matching Tab</t>
        </r>
      </text>
    </comment>
    <comment ref="BB295" authorId="4" shapeId="0" xr:uid="{5BDA7236-9FC6-40EF-90B2-16A7B9E98621}">
      <text>
        <r>
          <rPr>
            <b/>
            <sz val="9"/>
            <color indexed="81"/>
            <rFont val="Tahoma"/>
            <family val="2"/>
          </rPr>
          <t>Sharon Bosley:</t>
        </r>
        <r>
          <rPr>
            <sz val="9"/>
            <color indexed="81"/>
            <rFont val="Tahoma"/>
            <family val="2"/>
          </rPr>
          <t xml:space="preserve">
No matching Tab</t>
        </r>
      </text>
    </comment>
    <comment ref="BH295" authorId="4" shapeId="0" xr:uid="{C6CE1F0B-82D1-412B-BAC5-895B8918C938}">
      <text>
        <r>
          <rPr>
            <b/>
            <sz val="9"/>
            <color indexed="81"/>
            <rFont val="Tahoma"/>
            <family val="2"/>
          </rPr>
          <t>Sharon Bosley:</t>
        </r>
        <r>
          <rPr>
            <sz val="9"/>
            <color indexed="81"/>
            <rFont val="Tahoma"/>
            <family val="2"/>
          </rPr>
          <t xml:space="preserve">
No matching Tab</t>
        </r>
      </text>
    </comment>
    <comment ref="AP296" authorId="4" shapeId="0" xr:uid="{20CEF2E5-3F6F-4A96-9582-BE2FA36CB734}">
      <text>
        <r>
          <rPr>
            <b/>
            <sz val="9"/>
            <color indexed="81"/>
            <rFont val="Tahoma"/>
            <family val="2"/>
          </rPr>
          <t>Sharon Bosley:</t>
        </r>
        <r>
          <rPr>
            <sz val="9"/>
            <color indexed="81"/>
            <rFont val="Tahoma"/>
            <family val="2"/>
          </rPr>
          <t xml:space="preserve">
no matching measure</t>
        </r>
      </text>
    </comment>
    <comment ref="AV296" authorId="4" shapeId="0" xr:uid="{DE4D7A71-8253-49BA-BE3B-65EA598EA7B3}">
      <text>
        <r>
          <rPr>
            <b/>
            <sz val="9"/>
            <color indexed="81"/>
            <rFont val="Tahoma"/>
            <family val="2"/>
          </rPr>
          <t>Sharon Bosley:</t>
        </r>
        <r>
          <rPr>
            <sz val="9"/>
            <color indexed="81"/>
            <rFont val="Tahoma"/>
            <family val="2"/>
          </rPr>
          <t xml:space="preserve">
no matching measure</t>
        </r>
      </text>
    </comment>
    <comment ref="BB296" authorId="4" shapeId="0" xr:uid="{3DABE3C5-6D64-4273-9A92-BA2AA9E48059}">
      <text>
        <r>
          <rPr>
            <b/>
            <sz val="9"/>
            <color indexed="81"/>
            <rFont val="Tahoma"/>
            <family val="2"/>
          </rPr>
          <t>Sharon Bosley:</t>
        </r>
        <r>
          <rPr>
            <sz val="9"/>
            <color indexed="81"/>
            <rFont val="Tahoma"/>
            <family val="2"/>
          </rPr>
          <t xml:space="preserve">
no matching measure</t>
        </r>
      </text>
    </comment>
    <comment ref="BH296" authorId="4" shapeId="0" xr:uid="{D6448548-38D6-43F4-820F-3A0E80CF100A}">
      <text>
        <r>
          <rPr>
            <b/>
            <sz val="9"/>
            <color indexed="81"/>
            <rFont val="Tahoma"/>
            <family val="2"/>
          </rPr>
          <t>Sharon Bosley:</t>
        </r>
        <r>
          <rPr>
            <sz val="9"/>
            <color indexed="81"/>
            <rFont val="Tahoma"/>
            <family val="2"/>
          </rPr>
          <t xml:space="preserve">
no matching measure</t>
        </r>
      </text>
    </comment>
    <comment ref="AP298" authorId="4" shapeId="0" xr:uid="{8AEDDFCC-6D75-4CF0-ACBC-084E7EE9A5D0}">
      <text>
        <r>
          <rPr>
            <b/>
            <sz val="9"/>
            <color indexed="81"/>
            <rFont val="Tahoma"/>
            <family val="2"/>
          </rPr>
          <t>Sharon Bosley:</t>
        </r>
        <r>
          <rPr>
            <sz val="9"/>
            <color indexed="81"/>
            <rFont val="Tahoma"/>
            <family val="2"/>
          </rPr>
          <t xml:space="preserve">
measures stop at 6</t>
        </r>
      </text>
    </comment>
    <comment ref="AV298" authorId="4" shapeId="0" xr:uid="{2D0E3BDF-5A17-4912-92EF-CE1B1721F9DD}">
      <text>
        <r>
          <rPr>
            <b/>
            <sz val="9"/>
            <color indexed="81"/>
            <rFont val="Tahoma"/>
            <family val="2"/>
          </rPr>
          <t>Sharon Bosley:</t>
        </r>
        <r>
          <rPr>
            <sz val="9"/>
            <color indexed="81"/>
            <rFont val="Tahoma"/>
            <family val="2"/>
          </rPr>
          <t xml:space="preserve">
measures stop at 6</t>
        </r>
      </text>
    </comment>
    <comment ref="BB298" authorId="4" shapeId="0" xr:uid="{6FA96797-9ECF-4B5F-A01F-8CDD46D3F14C}">
      <text>
        <r>
          <rPr>
            <b/>
            <sz val="9"/>
            <color indexed="81"/>
            <rFont val="Tahoma"/>
            <family val="2"/>
          </rPr>
          <t>Sharon Bosley:</t>
        </r>
        <r>
          <rPr>
            <sz val="9"/>
            <color indexed="81"/>
            <rFont val="Tahoma"/>
            <family val="2"/>
          </rPr>
          <t xml:space="preserve">
measures stop at 6</t>
        </r>
      </text>
    </comment>
    <comment ref="BH298" authorId="4" shapeId="0" xr:uid="{A377C8C9-19B5-4855-A6E0-A4FAE8689023}">
      <text>
        <r>
          <rPr>
            <b/>
            <sz val="9"/>
            <color indexed="81"/>
            <rFont val="Tahoma"/>
            <family val="2"/>
          </rPr>
          <t>Sharon Bosley:</t>
        </r>
        <r>
          <rPr>
            <sz val="9"/>
            <color indexed="81"/>
            <rFont val="Tahoma"/>
            <family val="2"/>
          </rPr>
          <t xml:space="preserve">
measures stop at 6</t>
        </r>
      </text>
    </comment>
    <comment ref="AP299" authorId="4" shapeId="0" xr:uid="{B3E3A864-9DD3-4669-9E10-A5081FD3DC4E}">
      <text>
        <r>
          <rPr>
            <b/>
            <sz val="9"/>
            <color indexed="81"/>
            <rFont val="Tahoma"/>
            <family val="2"/>
          </rPr>
          <t>Sharon Bosley:</t>
        </r>
        <r>
          <rPr>
            <sz val="9"/>
            <color indexed="81"/>
            <rFont val="Tahoma"/>
            <family val="2"/>
          </rPr>
          <t xml:space="preserve">
no matching measure</t>
        </r>
      </text>
    </comment>
    <comment ref="AV299" authorId="4" shapeId="0" xr:uid="{C5DC55F9-2C06-490E-90FA-ED91E1ECC7F6}">
      <text>
        <r>
          <rPr>
            <b/>
            <sz val="9"/>
            <color indexed="81"/>
            <rFont val="Tahoma"/>
            <family val="2"/>
          </rPr>
          <t>Sharon Bosley:</t>
        </r>
        <r>
          <rPr>
            <sz val="9"/>
            <color indexed="81"/>
            <rFont val="Tahoma"/>
            <family val="2"/>
          </rPr>
          <t xml:space="preserve">
no matching measure</t>
        </r>
      </text>
    </comment>
    <comment ref="BB299" authorId="4" shapeId="0" xr:uid="{4B6639D7-BCC3-4AD8-A89B-A5052619D68B}">
      <text>
        <r>
          <rPr>
            <b/>
            <sz val="9"/>
            <color indexed="81"/>
            <rFont val="Tahoma"/>
            <family val="2"/>
          </rPr>
          <t>Sharon Bosley:</t>
        </r>
        <r>
          <rPr>
            <sz val="9"/>
            <color indexed="81"/>
            <rFont val="Tahoma"/>
            <family val="2"/>
          </rPr>
          <t xml:space="preserve">
no matching measure</t>
        </r>
      </text>
    </comment>
    <comment ref="BH299" authorId="4" shapeId="0" xr:uid="{4D198248-463C-44A3-9C1F-C19EA5A140BD}">
      <text>
        <r>
          <rPr>
            <b/>
            <sz val="9"/>
            <color indexed="81"/>
            <rFont val="Tahoma"/>
            <family val="2"/>
          </rPr>
          <t>Sharon Bosley:</t>
        </r>
        <r>
          <rPr>
            <sz val="9"/>
            <color indexed="81"/>
            <rFont val="Tahoma"/>
            <family val="2"/>
          </rPr>
          <t xml:space="preserve">
no matching measure</t>
        </r>
      </text>
    </comment>
    <comment ref="AP300" authorId="4" shapeId="0" xr:uid="{5EEE8B4C-D617-49C2-8DC7-95150390BA87}">
      <text>
        <r>
          <rPr>
            <b/>
            <sz val="9"/>
            <color indexed="81"/>
            <rFont val="Tahoma"/>
            <family val="2"/>
          </rPr>
          <t>Sharon Bosley:</t>
        </r>
        <r>
          <rPr>
            <sz val="9"/>
            <color indexed="81"/>
            <rFont val="Tahoma"/>
            <family val="2"/>
          </rPr>
          <t xml:space="preserve">
no matching measure</t>
        </r>
      </text>
    </comment>
    <comment ref="AV300" authorId="4" shapeId="0" xr:uid="{E40C125A-991D-457B-998F-5A814D716771}">
      <text>
        <r>
          <rPr>
            <b/>
            <sz val="9"/>
            <color indexed="81"/>
            <rFont val="Tahoma"/>
            <family val="2"/>
          </rPr>
          <t>Sharon Bosley:</t>
        </r>
        <r>
          <rPr>
            <sz val="9"/>
            <color indexed="81"/>
            <rFont val="Tahoma"/>
            <family val="2"/>
          </rPr>
          <t xml:space="preserve">
no matching measure</t>
        </r>
      </text>
    </comment>
    <comment ref="BB300" authorId="4" shapeId="0" xr:uid="{19F19383-3BF1-46A2-8186-1C90F204472E}">
      <text>
        <r>
          <rPr>
            <b/>
            <sz val="9"/>
            <color indexed="81"/>
            <rFont val="Tahoma"/>
            <family val="2"/>
          </rPr>
          <t>Sharon Bosley:</t>
        </r>
        <r>
          <rPr>
            <sz val="9"/>
            <color indexed="81"/>
            <rFont val="Tahoma"/>
            <family val="2"/>
          </rPr>
          <t xml:space="preserve">
no matching measure</t>
        </r>
      </text>
    </comment>
    <comment ref="BH300" authorId="4" shapeId="0" xr:uid="{4DC51C02-FDFC-45F7-87C4-9E1ED9E74630}">
      <text>
        <r>
          <rPr>
            <b/>
            <sz val="9"/>
            <color indexed="81"/>
            <rFont val="Tahoma"/>
            <family val="2"/>
          </rPr>
          <t>Sharon Bosley:</t>
        </r>
        <r>
          <rPr>
            <sz val="9"/>
            <color indexed="81"/>
            <rFont val="Tahoma"/>
            <family val="2"/>
          </rPr>
          <t xml:space="preserve">
no matching measure</t>
        </r>
      </text>
    </comment>
    <comment ref="AP301" authorId="4" shapeId="0" xr:uid="{A5053B3A-BD36-4A22-B9EA-0FC5184B4B72}">
      <text>
        <r>
          <rPr>
            <b/>
            <sz val="9"/>
            <color indexed="81"/>
            <rFont val="Tahoma"/>
            <family val="2"/>
          </rPr>
          <t>Sharon Bosley:</t>
        </r>
        <r>
          <rPr>
            <sz val="9"/>
            <color indexed="81"/>
            <rFont val="Tahoma"/>
            <family val="2"/>
          </rPr>
          <t xml:space="preserve">
No matching Tab</t>
        </r>
      </text>
    </comment>
    <comment ref="AV301" authorId="4" shapeId="0" xr:uid="{EA95333A-359C-4474-908F-C47EA77648B6}">
      <text>
        <r>
          <rPr>
            <b/>
            <sz val="9"/>
            <color indexed="81"/>
            <rFont val="Tahoma"/>
            <family val="2"/>
          </rPr>
          <t>Sharon Bosley:</t>
        </r>
        <r>
          <rPr>
            <sz val="9"/>
            <color indexed="81"/>
            <rFont val="Tahoma"/>
            <family val="2"/>
          </rPr>
          <t xml:space="preserve">
No matching Tab</t>
        </r>
      </text>
    </comment>
    <comment ref="BB301" authorId="4" shapeId="0" xr:uid="{895D3059-560B-47C9-B82E-A5C5D44F70AE}">
      <text>
        <r>
          <rPr>
            <b/>
            <sz val="9"/>
            <color indexed="81"/>
            <rFont val="Tahoma"/>
            <family val="2"/>
          </rPr>
          <t>Sharon Bosley:</t>
        </r>
        <r>
          <rPr>
            <sz val="9"/>
            <color indexed="81"/>
            <rFont val="Tahoma"/>
            <family val="2"/>
          </rPr>
          <t xml:space="preserve">
No matching Tab</t>
        </r>
      </text>
    </comment>
    <comment ref="BH301" authorId="4" shapeId="0" xr:uid="{0EB3599E-26EB-41D1-8D3B-15FE7E3B48A0}">
      <text>
        <r>
          <rPr>
            <b/>
            <sz val="9"/>
            <color indexed="81"/>
            <rFont val="Tahoma"/>
            <family val="2"/>
          </rPr>
          <t>Sharon Bosley:</t>
        </r>
        <r>
          <rPr>
            <sz val="9"/>
            <color indexed="81"/>
            <rFont val="Tahoma"/>
            <family val="2"/>
          </rPr>
          <t xml:space="preserve">
No matching Tab</t>
        </r>
      </text>
    </comment>
    <comment ref="AP302" authorId="4" shapeId="0" xr:uid="{99301E6E-6862-4CCF-8EC4-0E53141A47E7}">
      <text>
        <r>
          <rPr>
            <b/>
            <sz val="9"/>
            <color indexed="81"/>
            <rFont val="Tahoma"/>
            <family val="2"/>
          </rPr>
          <t>Sharon Bosley:</t>
        </r>
        <r>
          <rPr>
            <sz val="9"/>
            <color indexed="81"/>
            <rFont val="Tahoma"/>
            <family val="2"/>
          </rPr>
          <t xml:space="preserve">
no matching measure</t>
        </r>
      </text>
    </comment>
    <comment ref="AV302" authorId="4" shapeId="0" xr:uid="{FD650C5F-296C-4BD1-A07E-75B83085426E}">
      <text>
        <r>
          <rPr>
            <b/>
            <sz val="9"/>
            <color indexed="81"/>
            <rFont val="Tahoma"/>
            <family val="2"/>
          </rPr>
          <t>Sharon Bosley:</t>
        </r>
        <r>
          <rPr>
            <sz val="9"/>
            <color indexed="81"/>
            <rFont val="Tahoma"/>
            <family val="2"/>
          </rPr>
          <t xml:space="preserve">
no matching measure</t>
        </r>
      </text>
    </comment>
    <comment ref="BB302" authorId="4" shapeId="0" xr:uid="{1A726F93-9DF0-4056-BACA-FC3A670E2F04}">
      <text>
        <r>
          <rPr>
            <b/>
            <sz val="9"/>
            <color indexed="81"/>
            <rFont val="Tahoma"/>
            <family val="2"/>
          </rPr>
          <t>Sharon Bosley:</t>
        </r>
        <r>
          <rPr>
            <sz val="9"/>
            <color indexed="81"/>
            <rFont val="Tahoma"/>
            <family val="2"/>
          </rPr>
          <t xml:space="preserve">
no matching measure</t>
        </r>
      </text>
    </comment>
    <comment ref="BH302" authorId="4" shapeId="0" xr:uid="{29F7B9DD-787A-423C-94FF-F0329E774687}">
      <text>
        <r>
          <rPr>
            <b/>
            <sz val="9"/>
            <color indexed="81"/>
            <rFont val="Tahoma"/>
            <family val="2"/>
          </rPr>
          <t>Sharon Bosley:</t>
        </r>
        <r>
          <rPr>
            <sz val="9"/>
            <color indexed="81"/>
            <rFont val="Tahoma"/>
            <family val="2"/>
          </rPr>
          <t xml:space="preserve">
no matching measure</t>
        </r>
      </text>
    </comment>
    <comment ref="AP304" authorId="4" shapeId="0" xr:uid="{D9B7F772-B101-4B1A-ACFE-94EE37A276D5}">
      <text>
        <r>
          <rPr>
            <b/>
            <sz val="9"/>
            <color indexed="81"/>
            <rFont val="Tahoma"/>
            <family val="2"/>
          </rPr>
          <t>Sharon Bosley:</t>
        </r>
        <r>
          <rPr>
            <sz val="9"/>
            <color indexed="81"/>
            <rFont val="Tahoma"/>
            <family val="2"/>
          </rPr>
          <t xml:space="preserve">
numbers off</t>
        </r>
      </text>
    </comment>
    <comment ref="AV304" authorId="4" shapeId="0" xr:uid="{DAE5DF21-1154-492B-8BDB-D501B3B1BE61}">
      <text>
        <r>
          <rPr>
            <b/>
            <sz val="9"/>
            <color indexed="81"/>
            <rFont val="Tahoma"/>
            <family val="2"/>
          </rPr>
          <t>Sharon Bosley:</t>
        </r>
        <r>
          <rPr>
            <sz val="9"/>
            <color indexed="81"/>
            <rFont val="Tahoma"/>
            <family val="2"/>
          </rPr>
          <t xml:space="preserve">
numbers off</t>
        </r>
      </text>
    </comment>
    <comment ref="BB304" authorId="4" shapeId="0" xr:uid="{8BF7E762-B3F6-4ECC-B182-2CBD8441F375}">
      <text>
        <r>
          <rPr>
            <b/>
            <sz val="9"/>
            <color indexed="81"/>
            <rFont val="Tahoma"/>
            <family val="2"/>
          </rPr>
          <t>Sharon Bosley:</t>
        </r>
        <r>
          <rPr>
            <sz val="9"/>
            <color indexed="81"/>
            <rFont val="Tahoma"/>
            <family val="2"/>
          </rPr>
          <t xml:space="preserve">
numbers off</t>
        </r>
      </text>
    </comment>
    <comment ref="BH304" authorId="4" shapeId="0" xr:uid="{BECCD50E-6F9A-4208-836D-F8589653A0B6}">
      <text>
        <r>
          <rPr>
            <b/>
            <sz val="9"/>
            <color indexed="81"/>
            <rFont val="Tahoma"/>
            <family val="2"/>
          </rPr>
          <t>Sharon Bosley:</t>
        </r>
        <r>
          <rPr>
            <sz val="9"/>
            <color indexed="81"/>
            <rFont val="Tahoma"/>
            <family val="2"/>
          </rPr>
          <t xml:space="preserve">
numbers off</t>
        </r>
      </text>
    </comment>
    <comment ref="AP305" authorId="4" shapeId="0" xr:uid="{BAE84631-8211-4CFF-88DC-3FC495746FD2}">
      <text>
        <r>
          <rPr>
            <b/>
            <sz val="9"/>
            <color indexed="81"/>
            <rFont val="Tahoma"/>
            <family val="2"/>
          </rPr>
          <t>Sharon Bosley:</t>
        </r>
        <r>
          <rPr>
            <sz val="9"/>
            <color indexed="81"/>
            <rFont val="Tahoma"/>
            <family val="2"/>
          </rPr>
          <t xml:space="preserve">
No matching Tab</t>
        </r>
      </text>
    </comment>
    <comment ref="AV305" authorId="4" shapeId="0" xr:uid="{91AC5AF0-B7C8-4571-9477-2812A2C3A44E}">
      <text>
        <r>
          <rPr>
            <b/>
            <sz val="9"/>
            <color indexed="81"/>
            <rFont val="Tahoma"/>
            <family val="2"/>
          </rPr>
          <t>Sharon Bosley:</t>
        </r>
        <r>
          <rPr>
            <sz val="9"/>
            <color indexed="81"/>
            <rFont val="Tahoma"/>
            <family val="2"/>
          </rPr>
          <t xml:space="preserve">
No matching Tab</t>
        </r>
      </text>
    </comment>
    <comment ref="BB305" authorId="4" shapeId="0" xr:uid="{3B315689-9427-494B-8973-BE56DE28BEED}">
      <text>
        <r>
          <rPr>
            <b/>
            <sz val="9"/>
            <color indexed="81"/>
            <rFont val="Tahoma"/>
            <family val="2"/>
          </rPr>
          <t>Sharon Bosley:</t>
        </r>
        <r>
          <rPr>
            <sz val="9"/>
            <color indexed="81"/>
            <rFont val="Tahoma"/>
            <family val="2"/>
          </rPr>
          <t xml:space="preserve">
No matching Tab</t>
        </r>
      </text>
    </comment>
    <comment ref="BH305" authorId="4" shapeId="0" xr:uid="{590E4876-23C5-46D7-AF0E-BF66B928A77E}">
      <text>
        <r>
          <rPr>
            <b/>
            <sz val="9"/>
            <color indexed="81"/>
            <rFont val="Tahoma"/>
            <family val="2"/>
          </rPr>
          <t>Sharon Bosley:</t>
        </r>
        <r>
          <rPr>
            <sz val="9"/>
            <color indexed="81"/>
            <rFont val="Tahoma"/>
            <family val="2"/>
          </rPr>
          <t xml:space="preserve">
No matching Tab</t>
        </r>
      </text>
    </comment>
    <comment ref="AP315" authorId="4" shapeId="0" xr:uid="{D89695EE-4EF4-4F7B-895C-481239774D3B}">
      <text>
        <r>
          <rPr>
            <b/>
            <sz val="9"/>
            <color indexed="81"/>
            <rFont val="Tahoma"/>
            <family val="2"/>
          </rPr>
          <t>Sharon Bosley:</t>
        </r>
        <r>
          <rPr>
            <sz val="9"/>
            <color indexed="81"/>
            <rFont val="Tahoma"/>
            <family val="2"/>
          </rPr>
          <t xml:space="preserve">
no matching measure</t>
        </r>
      </text>
    </comment>
    <comment ref="AV315" authorId="4" shapeId="0" xr:uid="{005B2858-27D1-4F13-8B59-BBADB3C85424}">
      <text>
        <r>
          <rPr>
            <b/>
            <sz val="9"/>
            <color indexed="81"/>
            <rFont val="Tahoma"/>
            <family val="2"/>
          </rPr>
          <t>Sharon Bosley:</t>
        </r>
        <r>
          <rPr>
            <sz val="9"/>
            <color indexed="81"/>
            <rFont val="Tahoma"/>
            <family val="2"/>
          </rPr>
          <t xml:space="preserve">
no matching measure</t>
        </r>
      </text>
    </comment>
    <comment ref="BB315" authorId="4" shapeId="0" xr:uid="{57F98A2E-DAB8-4B21-A750-DB59AB1C225F}">
      <text>
        <r>
          <rPr>
            <b/>
            <sz val="9"/>
            <color indexed="81"/>
            <rFont val="Tahoma"/>
            <family val="2"/>
          </rPr>
          <t>Sharon Bosley:</t>
        </r>
        <r>
          <rPr>
            <sz val="9"/>
            <color indexed="81"/>
            <rFont val="Tahoma"/>
            <family val="2"/>
          </rPr>
          <t xml:space="preserve">
no matching measure</t>
        </r>
      </text>
    </comment>
    <comment ref="BH315" authorId="4" shapeId="0" xr:uid="{21A3A258-64FD-414E-9A37-814069329735}">
      <text>
        <r>
          <rPr>
            <b/>
            <sz val="9"/>
            <color indexed="81"/>
            <rFont val="Tahoma"/>
            <family val="2"/>
          </rPr>
          <t>Sharon Bosley:</t>
        </r>
        <r>
          <rPr>
            <sz val="9"/>
            <color indexed="81"/>
            <rFont val="Tahoma"/>
            <family val="2"/>
          </rPr>
          <t xml:space="preserve">
no matching measure</t>
        </r>
      </text>
    </comment>
    <comment ref="AP316" authorId="4" shapeId="0" xr:uid="{34911E47-8992-479C-81AD-5AAEEDB7B413}">
      <text>
        <r>
          <rPr>
            <b/>
            <sz val="9"/>
            <color indexed="81"/>
            <rFont val="Tahoma"/>
            <family val="2"/>
          </rPr>
          <t>Sharon Bosley:</t>
        </r>
        <r>
          <rPr>
            <sz val="9"/>
            <color indexed="81"/>
            <rFont val="Tahoma"/>
            <family val="2"/>
          </rPr>
          <t xml:space="preserve">
no matching measure</t>
        </r>
      </text>
    </comment>
    <comment ref="AV316" authorId="4" shapeId="0" xr:uid="{AFFEE9AD-AEA2-455F-88A8-44140ADADC61}">
      <text>
        <r>
          <rPr>
            <b/>
            <sz val="9"/>
            <color indexed="81"/>
            <rFont val="Tahoma"/>
            <family val="2"/>
          </rPr>
          <t>Sharon Bosley:</t>
        </r>
        <r>
          <rPr>
            <sz val="9"/>
            <color indexed="81"/>
            <rFont val="Tahoma"/>
            <family val="2"/>
          </rPr>
          <t xml:space="preserve">
no matching measure</t>
        </r>
      </text>
    </comment>
    <comment ref="BB316" authorId="4" shapeId="0" xr:uid="{2AED4BE3-CDFC-4820-A089-22AB859A1B4A}">
      <text>
        <r>
          <rPr>
            <b/>
            <sz val="9"/>
            <color indexed="81"/>
            <rFont val="Tahoma"/>
            <family val="2"/>
          </rPr>
          <t>Sharon Bosley:</t>
        </r>
        <r>
          <rPr>
            <sz val="9"/>
            <color indexed="81"/>
            <rFont val="Tahoma"/>
            <family val="2"/>
          </rPr>
          <t xml:space="preserve">
no matching measure</t>
        </r>
      </text>
    </comment>
    <comment ref="BH316" authorId="4" shapeId="0" xr:uid="{A95193FB-8DEF-4636-84A8-601844BC88C1}">
      <text>
        <r>
          <rPr>
            <b/>
            <sz val="9"/>
            <color indexed="81"/>
            <rFont val="Tahoma"/>
            <family val="2"/>
          </rPr>
          <t>Sharon Bosley:</t>
        </r>
        <r>
          <rPr>
            <sz val="9"/>
            <color indexed="81"/>
            <rFont val="Tahoma"/>
            <family val="2"/>
          </rPr>
          <t xml:space="preserve">
no matching measure</t>
        </r>
      </text>
    </comment>
    <comment ref="AP317" authorId="4" shapeId="0" xr:uid="{9FEACBD2-B1AE-477E-B44B-86EEC5F555BD}">
      <text>
        <r>
          <rPr>
            <b/>
            <sz val="9"/>
            <color indexed="81"/>
            <rFont val="Tahoma"/>
            <family val="2"/>
          </rPr>
          <t>Sharon Bosley:</t>
        </r>
        <r>
          <rPr>
            <sz val="9"/>
            <color indexed="81"/>
            <rFont val="Tahoma"/>
            <family val="2"/>
          </rPr>
          <t xml:space="preserve">
no matching tab</t>
        </r>
      </text>
    </comment>
    <comment ref="AV317" authorId="4" shapeId="0" xr:uid="{FE65E870-E6AC-48C9-80D1-F4D9D27D922D}">
      <text>
        <r>
          <rPr>
            <b/>
            <sz val="9"/>
            <color indexed="81"/>
            <rFont val="Tahoma"/>
            <family val="2"/>
          </rPr>
          <t>Sharon Bosley:</t>
        </r>
        <r>
          <rPr>
            <sz val="9"/>
            <color indexed="81"/>
            <rFont val="Tahoma"/>
            <family val="2"/>
          </rPr>
          <t xml:space="preserve">
no matching tab</t>
        </r>
      </text>
    </comment>
    <comment ref="BB317" authorId="4" shapeId="0" xr:uid="{853A1F73-C76A-44BA-8C11-830AE69475D5}">
      <text>
        <r>
          <rPr>
            <b/>
            <sz val="9"/>
            <color indexed="81"/>
            <rFont val="Tahoma"/>
            <family val="2"/>
          </rPr>
          <t>Sharon Bosley:</t>
        </r>
        <r>
          <rPr>
            <sz val="9"/>
            <color indexed="81"/>
            <rFont val="Tahoma"/>
            <family val="2"/>
          </rPr>
          <t xml:space="preserve">
no matching tab</t>
        </r>
      </text>
    </comment>
    <comment ref="BH317" authorId="4" shapeId="0" xr:uid="{F34CDF94-CBBE-4623-B4B6-BB27985EEC33}">
      <text>
        <r>
          <rPr>
            <b/>
            <sz val="9"/>
            <color indexed="81"/>
            <rFont val="Tahoma"/>
            <family val="2"/>
          </rPr>
          <t>Sharon Bosley:</t>
        </r>
        <r>
          <rPr>
            <sz val="9"/>
            <color indexed="81"/>
            <rFont val="Tahoma"/>
            <family val="2"/>
          </rPr>
          <t xml:space="preserve">
no matching tab</t>
        </r>
      </text>
    </comment>
    <comment ref="AP319" authorId="4" shapeId="0" xr:uid="{11BB27FE-2BE7-4106-9DF3-91B0CC8719BD}">
      <text>
        <r>
          <rPr>
            <b/>
            <sz val="9"/>
            <color indexed="81"/>
            <rFont val="Tahoma"/>
            <family val="2"/>
          </rPr>
          <t>Sharon Bosley:</t>
        </r>
        <r>
          <rPr>
            <sz val="9"/>
            <color indexed="81"/>
            <rFont val="Tahoma"/>
            <family val="2"/>
          </rPr>
          <t xml:space="preserve">
no matching measure</t>
        </r>
      </text>
    </comment>
    <comment ref="AV319" authorId="4" shapeId="0" xr:uid="{A6AE4785-82FA-4CDA-84AD-51FE9BEF8BF2}">
      <text>
        <r>
          <rPr>
            <b/>
            <sz val="9"/>
            <color indexed="81"/>
            <rFont val="Tahoma"/>
            <family val="2"/>
          </rPr>
          <t>Sharon Bosley:</t>
        </r>
        <r>
          <rPr>
            <sz val="9"/>
            <color indexed="81"/>
            <rFont val="Tahoma"/>
            <family val="2"/>
          </rPr>
          <t xml:space="preserve">
no matching measure</t>
        </r>
      </text>
    </comment>
    <comment ref="BB319" authorId="4" shapeId="0" xr:uid="{93EA1313-5512-4200-A3F7-8AFAABF2E576}">
      <text>
        <r>
          <rPr>
            <b/>
            <sz val="9"/>
            <color indexed="81"/>
            <rFont val="Tahoma"/>
            <family val="2"/>
          </rPr>
          <t>Sharon Bosley:</t>
        </r>
        <r>
          <rPr>
            <sz val="9"/>
            <color indexed="81"/>
            <rFont val="Tahoma"/>
            <family val="2"/>
          </rPr>
          <t xml:space="preserve">
no matching measure</t>
        </r>
      </text>
    </comment>
    <comment ref="BH319" authorId="4" shapeId="0" xr:uid="{DBBD8D66-5182-420D-93B1-63D0C384E077}">
      <text>
        <r>
          <rPr>
            <b/>
            <sz val="9"/>
            <color indexed="81"/>
            <rFont val="Tahoma"/>
            <family val="2"/>
          </rPr>
          <t>Sharon Bosley:</t>
        </r>
        <r>
          <rPr>
            <sz val="9"/>
            <color indexed="81"/>
            <rFont val="Tahoma"/>
            <family val="2"/>
          </rPr>
          <t xml:space="preserve">
no matching measure</t>
        </r>
      </text>
    </comment>
    <comment ref="AP320" authorId="4" shapeId="0" xr:uid="{922C6E42-F986-4307-A537-DB3CF93C30A1}">
      <text>
        <r>
          <rPr>
            <b/>
            <sz val="9"/>
            <color indexed="81"/>
            <rFont val="Tahoma"/>
            <family val="2"/>
          </rPr>
          <t>Sharon Bosley:</t>
        </r>
        <r>
          <rPr>
            <sz val="9"/>
            <color indexed="81"/>
            <rFont val="Tahoma"/>
            <family val="2"/>
          </rPr>
          <t xml:space="preserve">
no matching measure</t>
        </r>
      </text>
    </comment>
    <comment ref="AV320" authorId="4" shapeId="0" xr:uid="{AC33925C-E2B6-43FE-80C2-2AD080B01C58}">
      <text>
        <r>
          <rPr>
            <b/>
            <sz val="9"/>
            <color indexed="81"/>
            <rFont val="Tahoma"/>
            <family val="2"/>
          </rPr>
          <t>Sharon Bosley:</t>
        </r>
        <r>
          <rPr>
            <sz val="9"/>
            <color indexed="81"/>
            <rFont val="Tahoma"/>
            <family val="2"/>
          </rPr>
          <t xml:space="preserve">
no matching measure</t>
        </r>
      </text>
    </comment>
    <comment ref="BB320" authorId="4" shapeId="0" xr:uid="{27104DB0-F3A2-4779-8879-5E948D118CC5}">
      <text>
        <r>
          <rPr>
            <b/>
            <sz val="9"/>
            <color indexed="81"/>
            <rFont val="Tahoma"/>
            <family val="2"/>
          </rPr>
          <t>Sharon Bosley:</t>
        </r>
        <r>
          <rPr>
            <sz val="9"/>
            <color indexed="81"/>
            <rFont val="Tahoma"/>
            <family val="2"/>
          </rPr>
          <t xml:space="preserve">
no matching measure</t>
        </r>
      </text>
    </comment>
    <comment ref="BH320" authorId="4" shapeId="0" xr:uid="{A7876616-3844-4671-9338-A2E60724DCFB}">
      <text>
        <r>
          <rPr>
            <b/>
            <sz val="9"/>
            <color indexed="81"/>
            <rFont val="Tahoma"/>
            <family val="2"/>
          </rPr>
          <t>Sharon Bosley:</t>
        </r>
        <r>
          <rPr>
            <sz val="9"/>
            <color indexed="81"/>
            <rFont val="Tahoma"/>
            <family val="2"/>
          </rPr>
          <t xml:space="preserve">
no matching measure</t>
        </r>
      </text>
    </comment>
    <comment ref="AP321" authorId="4" shapeId="0" xr:uid="{49865EB1-A2F0-4A86-AC00-0EFDD0079A4C}">
      <text>
        <r>
          <rPr>
            <b/>
            <sz val="9"/>
            <color indexed="81"/>
            <rFont val="Tahoma"/>
            <family val="2"/>
          </rPr>
          <t>Sharon Bosley:</t>
        </r>
        <r>
          <rPr>
            <sz val="9"/>
            <color indexed="81"/>
            <rFont val="Tahoma"/>
            <family val="2"/>
          </rPr>
          <t xml:space="preserve">
no matching measure</t>
        </r>
      </text>
    </comment>
    <comment ref="AV321" authorId="4" shapeId="0" xr:uid="{69186896-26D2-4ACE-92DA-90EAC87BE41D}">
      <text>
        <r>
          <rPr>
            <b/>
            <sz val="9"/>
            <color indexed="81"/>
            <rFont val="Tahoma"/>
            <family val="2"/>
          </rPr>
          <t>Sharon Bosley:</t>
        </r>
        <r>
          <rPr>
            <sz val="9"/>
            <color indexed="81"/>
            <rFont val="Tahoma"/>
            <family val="2"/>
          </rPr>
          <t xml:space="preserve">
no matching measure</t>
        </r>
      </text>
    </comment>
    <comment ref="BB321" authorId="4" shapeId="0" xr:uid="{251E5F9D-A577-4D3F-9CD5-D895C2FF517C}">
      <text>
        <r>
          <rPr>
            <b/>
            <sz val="9"/>
            <color indexed="81"/>
            <rFont val="Tahoma"/>
            <family val="2"/>
          </rPr>
          <t>Sharon Bosley:</t>
        </r>
        <r>
          <rPr>
            <sz val="9"/>
            <color indexed="81"/>
            <rFont val="Tahoma"/>
            <family val="2"/>
          </rPr>
          <t xml:space="preserve">
no matching measure</t>
        </r>
      </text>
    </comment>
    <comment ref="BH321" authorId="4" shapeId="0" xr:uid="{8773E383-2FEA-422E-86A9-33B44B024AB6}">
      <text>
        <r>
          <rPr>
            <b/>
            <sz val="9"/>
            <color indexed="81"/>
            <rFont val="Tahoma"/>
            <family val="2"/>
          </rPr>
          <t>Sharon Bosley:</t>
        </r>
        <r>
          <rPr>
            <sz val="9"/>
            <color indexed="81"/>
            <rFont val="Tahoma"/>
            <family val="2"/>
          </rPr>
          <t xml:space="preserve">
no matching measure</t>
        </r>
      </text>
    </comment>
    <comment ref="AP322" authorId="4" shapeId="0" xr:uid="{0E14790A-D28E-4DA4-A285-B3A760949629}">
      <text>
        <r>
          <rPr>
            <b/>
            <sz val="9"/>
            <color indexed="81"/>
            <rFont val="Tahoma"/>
            <family val="2"/>
          </rPr>
          <t>Sharon Bosley:</t>
        </r>
        <r>
          <rPr>
            <sz val="9"/>
            <color indexed="81"/>
            <rFont val="Tahoma"/>
            <family val="2"/>
          </rPr>
          <t xml:space="preserve">
no matching measure</t>
        </r>
      </text>
    </comment>
    <comment ref="AV322" authorId="4" shapeId="0" xr:uid="{8416DF12-DC86-4C5E-988F-AFBEAD0EAED8}">
      <text>
        <r>
          <rPr>
            <b/>
            <sz val="9"/>
            <color indexed="81"/>
            <rFont val="Tahoma"/>
            <family val="2"/>
          </rPr>
          <t>Sharon Bosley:</t>
        </r>
        <r>
          <rPr>
            <sz val="9"/>
            <color indexed="81"/>
            <rFont val="Tahoma"/>
            <family val="2"/>
          </rPr>
          <t xml:space="preserve">
no matching measure</t>
        </r>
      </text>
    </comment>
    <comment ref="BB322" authorId="4" shapeId="0" xr:uid="{C7D80FDC-55AF-4B90-BC5A-C2F6E8C2BAB5}">
      <text>
        <r>
          <rPr>
            <b/>
            <sz val="9"/>
            <color indexed="81"/>
            <rFont val="Tahoma"/>
            <family val="2"/>
          </rPr>
          <t>Sharon Bosley:</t>
        </r>
        <r>
          <rPr>
            <sz val="9"/>
            <color indexed="81"/>
            <rFont val="Tahoma"/>
            <family val="2"/>
          </rPr>
          <t xml:space="preserve">
no matching measure</t>
        </r>
      </text>
    </comment>
    <comment ref="BH322" authorId="4" shapeId="0" xr:uid="{6AFAE202-B91B-403C-A0A4-33E850EA86DD}">
      <text>
        <r>
          <rPr>
            <b/>
            <sz val="9"/>
            <color indexed="81"/>
            <rFont val="Tahoma"/>
            <family val="2"/>
          </rPr>
          <t>Sharon Bosley:</t>
        </r>
        <r>
          <rPr>
            <sz val="9"/>
            <color indexed="81"/>
            <rFont val="Tahoma"/>
            <family val="2"/>
          </rPr>
          <t xml:space="preserve">
no matching measure</t>
        </r>
      </text>
    </comment>
    <comment ref="AP323" authorId="4" shapeId="0" xr:uid="{8866D330-7485-453D-A204-CFA41F0EE624}">
      <text>
        <r>
          <rPr>
            <b/>
            <sz val="9"/>
            <color indexed="81"/>
            <rFont val="Tahoma"/>
            <family val="2"/>
          </rPr>
          <t>Sharon Bosley:</t>
        </r>
        <r>
          <rPr>
            <sz val="9"/>
            <color indexed="81"/>
            <rFont val="Tahoma"/>
            <family val="2"/>
          </rPr>
          <t xml:space="preserve">
no matching measure</t>
        </r>
      </text>
    </comment>
    <comment ref="AV323" authorId="4" shapeId="0" xr:uid="{B3613468-A10F-49B8-8B9A-463D56A9D441}">
      <text>
        <r>
          <rPr>
            <b/>
            <sz val="9"/>
            <color indexed="81"/>
            <rFont val="Tahoma"/>
            <family val="2"/>
          </rPr>
          <t>Sharon Bosley:</t>
        </r>
        <r>
          <rPr>
            <sz val="9"/>
            <color indexed="81"/>
            <rFont val="Tahoma"/>
            <family val="2"/>
          </rPr>
          <t xml:space="preserve">
no matching measure</t>
        </r>
      </text>
    </comment>
    <comment ref="BB323" authorId="4" shapeId="0" xr:uid="{5704CF18-71E5-48E0-AD65-CE84222A4835}">
      <text>
        <r>
          <rPr>
            <b/>
            <sz val="9"/>
            <color indexed="81"/>
            <rFont val="Tahoma"/>
            <family val="2"/>
          </rPr>
          <t>Sharon Bosley:</t>
        </r>
        <r>
          <rPr>
            <sz val="9"/>
            <color indexed="81"/>
            <rFont val="Tahoma"/>
            <family val="2"/>
          </rPr>
          <t xml:space="preserve">
no matching measure</t>
        </r>
      </text>
    </comment>
    <comment ref="BH323" authorId="4" shapeId="0" xr:uid="{BABD6451-7A06-411B-9A0F-BD3385D3AEBE}">
      <text>
        <r>
          <rPr>
            <b/>
            <sz val="9"/>
            <color indexed="81"/>
            <rFont val="Tahoma"/>
            <family val="2"/>
          </rPr>
          <t>Sharon Bosley:</t>
        </r>
        <r>
          <rPr>
            <sz val="9"/>
            <color indexed="81"/>
            <rFont val="Tahoma"/>
            <family val="2"/>
          </rPr>
          <t xml:space="preserve">
no matching measure</t>
        </r>
      </text>
    </comment>
    <comment ref="AP324" authorId="4" shapeId="0" xr:uid="{288F9FF9-24EB-433A-90F8-A79CBE2D9EB1}">
      <text>
        <r>
          <rPr>
            <b/>
            <sz val="9"/>
            <color indexed="81"/>
            <rFont val="Tahoma"/>
            <family val="2"/>
          </rPr>
          <t>Sharon Bosley:</t>
        </r>
        <r>
          <rPr>
            <sz val="9"/>
            <color indexed="81"/>
            <rFont val="Tahoma"/>
            <family val="2"/>
          </rPr>
          <t xml:space="preserve">
no matching measure</t>
        </r>
      </text>
    </comment>
    <comment ref="AV324" authorId="4" shapeId="0" xr:uid="{32115C85-7202-4EE5-A4ED-6A9BBCC12F87}">
      <text>
        <r>
          <rPr>
            <b/>
            <sz val="9"/>
            <color indexed="81"/>
            <rFont val="Tahoma"/>
            <family val="2"/>
          </rPr>
          <t>Sharon Bosley:</t>
        </r>
        <r>
          <rPr>
            <sz val="9"/>
            <color indexed="81"/>
            <rFont val="Tahoma"/>
            <family val="2"/>
          </rPr>
          <t xml:space="preserve">
no matching measure</t>
        </r>
      </text>
    </comment>
    <comment ref="BB324" authorId="4" shapeId="0" xr:uid="{8F7B2FD3-9A7B-42A2-B6A6-53063B6D9BEA}">
      <text>
        <r>
          <rPr>
            <b/>
            <sz val="9"/>
            <color indexed="81"/>
            <rFont val="Tahoma"/>
            <family val="2"/>
          </rPr>
          <t>Sharon Bosley:</t>
        </r>
        <r>
          <rPr>
            <sz val="9"/>
            <color indexed="81"/>
            <rFont val="Tahoma"/>
            <family val="2"/>
          </rPr>
          <t xml:space="preserve">
no matching measure</t>
        </r>
      </text>
    </comment>
    <comment ref="BH324" authorId="4" shapeId="0" xr:uid="{C9B7CD20-F9B8-412C-A485-0787EE433C1C}">
      <text>
        <r>
          <rPr>
            <b/>
            <sz val="9"/>
            <color indexed="81"/>
            <rFont val="Tahoma"/>
            <family val="2"/>
          </rPr>
          <t>Sharon Bosley:</t>
        </r>
        <r>
          <rPr>
            <sz val="9"/>
            <color indexed="81"/>
            <rFont val="Tahoma"/>
            <family val="2"/>
          </rPr>
          <t xml:space="preserve">
no matching measure</t>
        </r>
      </text>
    </comment>
    <comment ref="AP325" authorId="4" shapeId="0" xr:uid="{FF909532-9B17-4093-A509-60275A942569}">
      <text>
        <r>
          <rPr>
            <b/>
            <sz val="9"/>
            <color indexed="81"/>
            <rFont val="Tahoma"/>
            <family val="2"/>
          </rPr>
          <t>Sharon Bosley:</t>
        </r>
        <r>
          <rPr>
            <sz val="9"/>
            <color indexed="81"/>
            <rFont val="Tahoma"/>
            <family val="2"/>
          </rPr>
          <t xml:space="preserve">
no matching measure</t>
        </r>
      </text>
    </comment>
    <comment ref="AV325" authorId="4" shapeId="0" xr:uid="{DFB67780-5FCC-439E-B7B3-BD4429823CE9}">
      <text>
        <r>
          <rPr>
            <b/>
            <sz val="9"/>
            <color indexed="81"/>
            <rFont val="Tahoma"/>
            <family val="2"/>
          </rPr>
          <t>Sharon Bosley:</t>
        </r>
        <r>
          <rPr>
            <sz val="9"/>
            <color indexed="81"/>
            <rFont val="Tahoma"/>
            <family val="2"/>
          </rPr>
          <t xml:space="preserve">
no matching measure</t>
        </r>
      </text>
    </comment>
    <comment ref="BB325" authorId="4" shapeId="0" xr:uid="{7C96B550-B8C6-4347-A7B7-A4BE7CFDB689}">
      <text>
        <r>
          <rPr>
            <b/>
            <sz val="9"/>
            <color indexed="81"/>
            <rFont val="Tahoma"/>
            <family val="2"/>
          </rPr>
          <t>Sharon Bosley:</t>
        </r>
        <r>
          <rPr>
            <sz val="9"/>
            <color indexed="81"/>
            <rFont val="Tahoma"/>
            <family val="2"/>
          </rPr>
          <t xml:space="preserve">
no matching measure</t>
        </r>
      </text>
    </comment>
    <comment ref="BH325" authorId="4" shapeId="0" xr:uid="{A00A560E-D5E2-49C8-9BB6-6B358BEEDEAE}">
      <text>
        <r>
          <rPr>
            <b/>
            <sz val="9"/>
            <color indexed="81"/>
            <rFont val="Tahoma"/>
            <family val="2"/>
          </rPr>
          <t>Sharon Bosley:</t>
        </r>
        <r>
          <rPr>
            <sz val="9"/>
            <color indexed="81"/>
            <rFont val="Tahoma"/>
            <family val="2"/>
          </rPr>
          <t xml:space="preserve">
no matching measure</t>
        </r>
      </text>
    </comment>
    <comment ref="AP326" authorId="4" shapeId="0" xr:uid="{24CFAA23-A328-4145-89CA-63445C4982BB}">
      <text>
        <r>
          <rPr>
            <b/>
            <sz val="9"/>
            <color indexed="81"/>
            <rFont val="Tahoma"/>
            <family val="2"/>
          </rPr>
          <t>Sharon Bosley:</t>
        </r>
        <r>
          <rPr>
            <sz val="9"/>
            <color indexed="81"/>
            <rFont val="Tahoma"/>
            <family val="2"/>
          </rPr>
          <t xml:space="preserve">
No matching tab</t>
        </r>
      </text>
    </comment>
    <comment ref="AV326" authorId="4" shapeId="0" xr:uid="{409C1922-8815-40B4-ABC3-F6FEA0CB13CD}">
      <text>
        <r>
          <rPr>
            <b/>
            <sz val="9"/>
            <color indexed="81"/>
            <rFont val="Tahoma"/>
            <family val="2"/>
          </rPr>
          <t>Sharon Bosley:</t>
        </r>
        <r>
          <rPr>
            <sz val="9"/>
            <color indexed="81"/>
            <rFont val="Tahoma"/>
            <family val="2"/>
          </rPr>
          <t xml:space="preserve">
No matching tab</t>
        </r>
      </text>
    </comment>
    <comment ref="BB326" authorId="4" shapeId="0" xr:uid="{82C8A7D5-666D-42FA-840B-402E95D44314}">
      <text>
        <r>
          <rPr>
            <b/>
            <sz val="9"/>
            <color indexed="81"/>
            <rFont val="Tahoma"/>
            <family val="2"/>
          </rPr>
          <t>Sharon Bosley:</t>
        </r>
        <r>
          <rPr>
            <sz val="9"/>
            <color indexed="81"/>
            <rFont val="Tahoma"/>
            <family val="2"/>
          </rPr>
          <t xml:space="preserve">
No matching tab</t>
        </r>
      </text>
    </comment>
    <comment ref="BH326" authorId="4" shapeId="0" xr:uid="{6453EC30-3C22-42C2-A565-397B9815386A}">
      <text>
        <r>
          <rPr>
            <b/>
            <sz val="9"/>
            <color indexed="81"/>
            <rFont val="Tahoma"/>
            <family val="2"/>
          </rPr>
          <t>Sharon Bosley:</t>
        </r>
        <r>
          <rPr>
            <sz val="9"/>
            <color indexed="81"/>
            <rFont val="Tahoma"/>
            <family val="2"/>
          </rPr>
          <t xml:space="preserve">
No matching tab</t>
        </r>
      </text>
    </comment>
    <comment ref="AP327" authorId="4" shapeId="0" xr:uid="{3D7AB570-D12B-4B45-B5E9-166454A9C8EA}">
      <text>
        <r>
          <rPr>
            <b/>
            <sz val="9"/>
            <color indexed="81"/>
            <rFont val="Tahoma"/>
            <family val="2"/>
          </rPr>
          <t>Sharon Bosley:</t>
        </r>
        <r>
          <rPr>
            <sz val="9"/>
            <color indexed="81"/>
            <rFont val="Tahoma"/>
            <family val="2"/>
          </rPr>
          <t xml:space="preserve">
no matching measure</t>
        </r>
      </text>
    </comment>
    <comment ref="AV327" authorId="4" shapeId="0" xr:uid="{F621CE31-17D9-4EC5-9ACF-DFC0EFA912EF}">
      <text>
        <r>
          <rPr>
            <b/>
            <sz val="9"/>
            <color indexed="81"/>
            <rFont val="Tahoma"/>
            <family val="2"/>
          </rPr>
          <t>Sharon Bosley:</t>
        </r>
        <r>
          <rPr>
            <sz val="9"/>
            <color indexed="81"/>
            <rFont val="Tahoma"/>
            <family val="2"/>
          </rPr>
          <t xml:space="preserve">
no matching measure</t>
        </r>
      </text>
    </comment>
    <comment ref="BB327" authorId="4" shapeId="0" xr:uid="{CE203A1D-1B9B-4B3A-81A5-45EF2DDFF622}">
      <text>
        <r>
          <rPr>
            <b/>
            <sz val="9"/>
            <color indexed="81"/>
            <rFont val="Tahoma"/>
            <family val="2"/>
          </rPr>
          <t>Sharon Bosley:</t>
        </r>
        <r>
          <rPr>
            <sz val="9"/>
            <color indexed="81"/>
            <rFont val="Tahoma"/>
            <family val="2"/>
          </rPr>
          <t xml:space="preserve">
no matching measure</t>
        </r>
      </text>
    </comment>
    <comment ref="BH327" authorId="4" shapeId="0" xr:uid="{6C5AC138-89E1-448F-B91C-E2DACF22E0FE}">
      <text>
        <r>
          <rPr>
            <b/>
            <sz val="9"/>
            <color indexed="81"/>
            <rFont val="Tahoma"/>
            <family val="2"/>
          </rPr>
          <t>Sharon Bosley:</t>
        </r>
        <r>
          <rPr>
            <sz val="9"/>
            <color indexed="81"/>
            <rFont val="Tahoma"/>
            <family val="2"/>
          </rPr>
          <t xml:space="preserve">
no matching measure</t>
        </r>
      </text>
    </comment>
    <comment ref="AP328" authorId="4" shapeId="0" xr:uid="{C742460D-D2D4-4E71-8FEC-25B6C1F36DDB}">
      <text>
        <r>
          <rPr>
            <b/>
            <sz val="9"/>
            <color indexed="81"/>
            <rFont val="Tahoma"/>
            <family val="2"/>
          </rPr>
          <t>Sharon Bosley:</t>
        </r>
        <r>
          <rPr>
            <sz val="9"/>
            <color indexed="81"/>
            <rFont val="Tahoma"/>
            <family val="2"/>
          </rPr>
          <t xml:space="preserve">
measures stop at 6</t>
        </r>
      </text>
    </comment>
    <comment ref="AV328" authorId="4" shapeId="0" xr:uid="{BB16E144-6D2B-495A-BFEC-1DDA11BA55F4}">
      <text>
        <r>
          <rPr>
            <b/>
            <sz val="9"/>
            <color indexed="81"/>
            <rFont val="Tahoma"/>
            <family val="2"/>
          </rPr>
          <t>Sharon Bosley:</t>
        </r>
        <r>
          <rPr>
            <sz val="9"/>
            <color indexed="81"/>
            <rFont val="Tahoma"/>
            <family val="2"/>
          </rPr>
          <t xml:space="preserve">
measures stop at 6</t>
        </r>
      </text>
    </comment>
    <comment ref="BB328" authorId="4" shapeId="0" xr:uid="{D3E98877-9170-4324-9406-249501715257}">
      <text>
        <r>
          <rPr>
            <b/>
            <sz val="9"/>
            <color indexed="81"/>
            <rFont val="Tahoma"/>
            <family val="2"/>
          </rPr>
          <t>Sharon Bosley:</t>
        </r>
        <r>
          <rPr>
            <sz val="9"/>
            <color indexed="81"/>
            <rFont val="Tahoma"/>
            <family val="2"/>
          </rPr>
          <t xml:space="preserve">
measures stop at 6</t>
        </r>
      </text>
    </comment>
    <comment ref="BH328" authorId="4" shapeId="0" xr:uid="{84B6F7F5-8AA0-4FE8-B3CC-64AB7D78EEFD}">
      <text>
        <r>
          <rPr>
            <b/>
            <sz val="9"/>
            <color indexed="81"/>
            <rFont val="Tahoma"/>
            <family val="2"/>
          </rPr>
          <t>Sharon Bosley:</t>
        </r>
        <r>
          <rPr>
            <sz val="9"/>
            <color indexed="81"/>
            <rFont val="Tahoma"/>
            <family val="2"/>
          </rPr>
          <t xml:space="preserve">
measures stop at 6</t>
        </r>
      </text>
    </comment>
    <comment ref="AP331" authorId="4" shapeId="0" xr:uid="{94D2E2CD-CBF0-473D-AB62-1F4ABBFEF35E}">
      <text>
        <r>
          <rPr>
            <b/>
            <sz val="9"/>
            <color indexed="81"/>
            <rFont val="Tahoma"/>
            <family val="2"/>
          </rPr>
          <t>Sharon Bosley:</t>
        </r>
        <r>
          <rPr>
            <sz val="9"/>
            <color indexed="81"/>
            <rFont val="Tahoma"/>
            <family val="2"/>
          </rPr>
          <t xml:space="preserve">
no matching measure</t>
        </r>
      </text>
    </comment>
    <comment ref="AV331" authorId="4" shapeId="0" xr:uid="{12291C7B-574E-48EC-82D8-102E2608F4D2}">
      <text>
        <r>
          <rPr>
            <b/>
            <sz val="9"/>
            <color indexed="81"/>
            <rFont val="Tahoma"/>
            <family val="2"/>
          </rPr>
          <t>Sharon Bosley:</t>
        </r>
        <r>
          <rPr>
            <sz val="9"/>
            <color indexed="81"/>
            <rFont val="Tahoma"/>
            <family val="2"/>
          </rPr>
          <t xml:space="preserve">
no matching measure</t>
        </r>
      </text>
    </comment>
    <comment ref="BB331" authorId="4" shapeId="0" xr:uid="{FC48EF5C-695E-43DB-B0BF-EABB388FF6C3}">
      <text>
        <r>
          <rPr>
            <b/>
            <sz val="9"/>
            <color indexed="81"/>
            <rFont val="Tahoma"/>
            <family val="2"/>
          </rPr>
          <t>Sharon Bosley:</t>
        </r>
        <r>
          <rPr>
            <sz val="9"/>
            <color indexed="81"/>
            <rFont val="Tahoma"/>
            <family val="2"/>
          </rPr>
          <t xml:space="preserve">
no matching measure</t>
        </r>
      </text>
    </comment>
    <comment ref="BH331" authorId="4" shapeId="0" xr:uid="{9E084944-7E95-42D2-9589-ED99A5E57916}">
      <text>
        <r>
          <rPr>
            <b/>
            <sz val="9"/>
            <color indexed="81"/>
            <rFont val="Tahoma"/>
            <family val="2"/>
          </rPr>
          <t>Sharon Bosley:</t>
        </r>
        <r>
          <rPr>
            <sz val="9"/>
            <color indexed="81"/>
            <rFont val="Tahoma"/>
            <family val="2"/>
          </rPr>
          <t xml:space="preserve">
no matching measure</t>
        </r>
      </text>
    </comment>
    <comment ref="AP332" authorId="4" shapeId="0" xr:uid="{FF6DD4C9-A01A-43B5-8C12-F97C8EFB2294}">
      <text>
        <r>
          <rPr>
            <b/>
            <sz val="9"/>
            <color indexed="81"/>
            <rFont val="Tahoma"/>
            <family val="2"/>
          </rPr>
          <t>Sharon Bosley:</t>
        </r>
        <r>
          <rPr>
            <sz val="9"/>
            <color indexed="81"/>
            <rFont val="Tahoma"/>
            <family val="2"/>
          </rPr>
          <t xml:space="preserve">
no matching measure</t>
        </r>
      </text>
    </comment>
    <comment ref="AV332" authorId="4" shapeId="0" xr:uid="{F220DCBB-9B94-4E37-84CC-B72CAB33E1C2}">
      <text>
        <r>
          <rPr>
            <b/>
            <sz val="9"/>
            <color indexed="81"/>
            <rFont val="Tahoma"/>
            <family val="2"/>
          </rPr>
          <t>Sharon Bosley:</t>
        </r>
        <r>
          <rPr>
            <sz val="9"/>
            <color indexed="81"/>
            <rFont val="Tahoma"/>
            <family val="2"/>
          </rPr>
          <t xml:space="preserve">
no matching measure</t>
        </r>
      </text>
    </comment>
    <comment ref="BB332" authorId="4" shapeId="0" xr:uid="{6E840C30-350B-4038-9921-2F2E999C1105}">
      <text>
        <r>
          <rPr>
            <b/>
            <sz val="9"/>
            <color indexed="81"/>
            <rFont val="Tahoma"/>
            <family val="2"/>
          </rPr>
          <t>Sharon Bosley:</t>
        </r>
        <r>
          <rPr>
            <sz val="9"/>
            <color indexed="81"/>
            <rFont val="Tahoma"/>
            <family val="2"/>
          </rPr>
          <t xml:space="preserve">
no matching measure</t>
        </r>
      </text>
    </comment>
    <comment ref="BH332" authorId="4" shapeId="0" xr:uid="{52F5FF31-15C9-4081-8186-FE6A7EFBF474}">
      <text>
        <r>
          <rPr>
            <b/>
            <sz val="9"/>
            <color indexed="81"/>
            <rFont val="Tahoma"/>
            <family val="2"/>
          </rPr>
          <t>Sharon Bosley:</t>
        </r>
        <r>
          <rPr>
            <sz val="9"/>
            <color indexed="81"/>
            <rFont val="Tahoma"/>
            <family val="2"/>
          </rPr>
          <t xml:space="preserve">
no matching measure</t>
        </r>
      </text>
    </comment>
    <comment ref="AP333" authorId="4" shapeId="0" xr:uid="{E24CD3EE-4FCD-471C-8B12-9A5E6B3BB6AB}">
      <text>
        <r>
          <rPr>
            <b/>
            <sz val="9"/>
            <color indexed="81"/>
            <rFont val="Tahoma"/>
            <family val="2"/>
          </rPr>
          <t>Sharon Bosley:</t>
        </r>
        <r>
          <rPr>
            <sz val="9"/>
            <color indexed="81"/>
            <rFont val="Tahoma"/>
            <family val="2"/>
          </rPr>
          <t xml:space="preserve">
no matching measure</t>
        </r>
      </text>
    </comment>
    <comment ref="AV333" authorId="4" shapeId="0" xr:uid="{021E8706-2A7E-4CBC-9B53-87772D140A1F}">
      <text>
        <r>
          <rPr>
            <b/>
            <sz val="9"/>
            <color indexed="81"/>
            <rFont val="Tahoma"/>
            <family val="2"/>
          </rPr>
          <t>Sharon Bosley:</t>
        </r>
        <r>
          <rPr>
            <sz val="9"/>
            <color indexed="81"/>
            <rFont val="Tahoma"/>
            <family val="2"/>
          </rPr>
          <t xml:space="preserve">
no matching measure</t>
        </r>
      </text>
    </comment>
    <comment ref="BB333" authorId="4" shapeId="0" xr:uid="{B8F3D241-BCBD-40AF-8C11-979486A67049}">
      <text>
        <r>
          <rPr>
            <b/>
            <sz val="9"/>
            <color indexed="81"/>
            <rFont val="Tahoma"/>
            <family val="2"/>
          </rPr>
          <t>Sharon Bosley:</t>
        </r>
        <r>
          <rPr>
            <sz val="9"/>
            <color indexed="81"/>
            <rFont val="Tahoma"/>
            <family val="2"/>
          </rPr>
          <t xml:space="preserve">
no matching measure</t>
        </r>
      </text>
    </comment>
    <comment ref="BH333" authorId="4" shapeId="0" xr:uid="{77BD4659-E1DA-450F-A34E-81D20E51AAE1}">
      <text>
        <r>
          <rPr>
            <b/>
            <sz val="9"/>
            <color indexed="81"/>
            <rFont val="Tahoma"/>
            <family val="2"/>
          </rPr>
          <t>Sharon Bosley:</t>
        </r>
        <r>
          <rPr>
            <sz val="9"/>
            <color indexed="81"/>
            <rFont val="Tahoma"/>
            <family val="2"/>
          </rPr>
          <t xml:space="preserve">
no matching measure</t>
        </r>
      </text>
    </comment>
    <comment ref="AP334" authorId="4" shapeId="0" xr:uid="{002BECC5-D20C-467E-B5DD-AA737EB0A8EA}">
      <text>
        <r>
          <rPr>
            <b/>
            <sz val="9"/>
            <color indexed="81"/>
            <rFont val="Tahoma"/>
            <family val="2"/>
          </rPr>
          <t>Sharon Bosley:</t>
        </r>
        <r>
          <rPr>
            <sz val="9"/>
            <color indexed="81"/>
            <rFont val="Tahoma"/>
            <family val="2"/>
          </rPr>
          <t xml:space="preserve">
no mathcing tab</t>
        </r>
      </text>
    </comment>
    <comment ref="AV334" authorId="4" shapeId="0" xr:uid="{73199880-667C-4649-A704-16E1CB23D085}">
      <text>
        <r>
          <rPr>
            <b/>
            <sz val="9"/>
            <color indexed="81"/>
            <rFont val="Tahoma"/>
            <family val="2"/>
          </rPr>
          <t>Sharon Bosley:</t>
        </r>
        <r>
          <rPr>
            <sz val="9"/>
            <color indexed="81"/>
            <rFont val="Tahoma"/>
            <family val="2"/>
          </rPr>
          <t xml:space="preserve">
no mathcing tab</t>
        </r>
      </text>
    </comment>
    <comment ref="BB334" authorId="4" shapeId="0" xr:uid="{A489C63A-E913-4721-B503-79E7BCF93894}">
      <text>
        <r>
          <rPr>
            <b/>
            <sz val="9"/>
            <color indexed="81"/>
            <rFont val="Tahoma"/>
            <family val="2"/>
          </rPr>
          <t>Sharon Bosley:</t>
        </r>
        <r>
          <rPr>
            <sz val="9"/>
            <color indexed="81"/>
            <rFont val="Tahoma"/>
            <family val="2"/>
          </rPr>
          <t xml:space="preserve">
no mathcing tab</t>
        </r>
      </text>
    </comment>
    <comment ref="BH334" authorId="4" shapeId="0" xr:uid="{35B6CDAA-59DA-439F-B79C-FF30D84261BB}">
      <text>
        <r>
          <rPr>
            <b/>
            <sz val="9"/>
            <color indexed="81"/>
            <rFont val="Tahoma"/>
            <family val="2"/>
          </rPr>
          <t>Sharon Bosley:</t>
        </r>
        <r>
          <rPr>
            <sz val="9"/>
            <color indexed="81"/>
            <rFont val="Tahoma"/>
            <family val="2"/>
          </rPr>
          <t xml:space="preserve">
no mathcing tab</t>
        </r>
      </text>
    </comment>
    <comment ref="AP335" authorId="4" shapeId="0" xr:uid="{2F2ADB3E-0120-44F5-9988-0F17EC760034}">
      <text>
        <r>
          <rPr>
            <b/>
            <sz val="9"/>
            <color indexed="81"/>
            <rFont val="Tahoma"/>
            <family val="2"/>
          </rPr>
          <t>Sharon Bosley:</t>
        </r>
        <r>
          <rPr>
            <sz val="9"/>
            <color indexed="81"/>
            <rFont val="Tahoma"/>
            <family val="2"/>
          </rPr>
          <t xml:space="preserve">
no mathcing tab</t>
        </r>
      </text>
    </comment>
    <comment ref="AV335" authorId="4" shapeId="0" xr:uid="{F6DF139A-3218-4960-8A1B-2016DA784C27}">
      <text>
        <r>
          <rPr>
            <b/>
            <sz val="9"/>
            <color indexed="81"/>
            <rFont val="Tahoma"/>
            <family val="2"/>
          </rPr>
          <t>Sharon Bosley:</t>
        </r>
        <r>
          <rPr>
            <sz val="9"/>
            <color indexed="81"/>
            <rFont val="Tahoma"/>
            <family val="2"/>
          </rPr>
          <t xml:space="preserve">
no mathcing tab</t>
        </r>
      </text>
    </comment>
    <comment ref="BB335" authorId="4" shapeId="0" xr:uid="{DBCAA958-4D0F-4896-A86C-37AFF3EA65D0}">
      <text>
        <r>
          <rPr>
            <b/>
            <sz val="9"/>
            <color indexed="81"/>
            <rFont val="Tahoma"/>
            <family val="2"/>
          </rPr>
          <t>Sharon Bosley:</t>
        </r>
        <r>
          <rPr>
            <sz val="9"/>
            <color indexed="81"/>
            <rFont val="Tahoma"/>
            <family val="2"/>
          </rPr>
          <t xml:space="preserve">
no mathcing tab</t>
        </r>
      </text>
    </comment>
    <comment ref="BH335" authorId="4" shapeId="0" xr:uid="{3A0B8BCF-7349-421B-A122-849DE494096C}">
      <text>
        <r>
          <rPr>
            <b/>
            <sz val="9"/>
            <color indexed="81"/>
            <rFont val="Tahoma"/>
            <family val="2"/>
          </rPr>
          <t>Sharon Bosley:</t>
        </r>
        <r>
          <rPr>
            <sz val="9"/>
            <color indexed="81"/>
            <rFont val="Tahoma"/>
            <family val="2"/>
          </rPr>
          <t xml:space="preserve">
no mathcing tab</t>
        </r>
      </text>
    </comment>
    <comment ref="AP336" authorId="4" shapeId="0" xr:uid="{F89866C4-FC93-4C11-9559-2DC08DB9401B}">
      <text>
        <r>
          <rPr>
            <b/>
            <sz val="9"/>
            <color indexed="81"/>
            <rFont val="Tahoma"/>
            <family val="2"/>
          </rPr>
          <t>Sharon Bosley:</t>
        </r>
        <r>
          <rPr>
            <sz val="9"/>
            <color indexed="81"/>
            <rFont val="Tahoma"/>
            <family val="2"/>
          </rPr>
          <t xml:space="preserve">
no mathcing measure</t>
        </r>
      </text>
    </comment>
    <comment ref="AV336" authorId="4" shapeId="0" xr:uid="{56332B09-873B-4A20-BB3B-CE4B9B8A748C}">
      <text>
        <r>
          <rPr>
            <b/>
            <sz val="9"/>
            <color indexed="81"/>
            <rFont val="Tahoma"/>
            <family val="2"/>
          </rPr>
          <t>Sharon Bosley:</t>
        </r>
        <r>
          <rPr>
            <sz val="9"/>
            <color indexed="81"/>
            <rFont val="Tahoma"/>
            <family val="2"/>
          </rPr>
          <t xml:space="preserve">
no mathcing measure</t>
        </r>
      </text>
    </comment>
    <comment ref="BB336" authorId="4" shapeId="0" xr:uid="{8619F770-AE12-42C4-A8E4-BAAEC6C1380A}">
      <text>
        <r>
          <rPr>
            <b/>
            <sz val="9"/>
            <color indexed="81"/>
            <rFont val="Tahoma"/>
            <family val="2"/>
          </rPr>
          <t>Sharon Bosley:</t>
        </r>
        <r>
          <rPr>
            <sz val="9"/>
            <color indexed="81"/>
            <rFont val="Tahoma"/>
            <family val="2"/>
          </rPr>
          <t xml:space="preserve">
no mathcing measure</t>
        </r>
      </text>
    </comment>
    <comment ref="BH336" authorId="4" shapeId="0" xr:uid="{95D4C193-FAF8-4F61-B7CC-2E2BCA0FBF57}">
      <text>
        <r>
          <rPr>
            <b/>
            <sz val="9"/>
            <color indexed="81"/>
            <rFont val="Tahoma"/>
            <family val="2"/>
          </rPr>
          <t>Sharon Bosley:</t>
        </r>
        <r>
          <rPr>
            <sz val="9"/>
            <color indexed="81"/>
            <rFont val="Tahoma"/>
            <family val="2"/>
          </rPr>
          <t xml:space="preserve">
no mathcing measure</t>
        </r>
      </text>
    </comment>
    <comment ref="AP337" authorId="4" shapeId="0" xr:uid="{0EF35284-7252-4E8E-AFB8-D9B11C67F54E}">
      <text>
        <r>
          <rPr>
            <b/>
            <sz val="9"/>
            <color indexed="81"/>
            <rFont val="Tahoma"/>
            <family val="2"/>
          </rPr>
          <t>Sharon Bosley:</t>
        </r>
        <r>
          <rPr>
            <sz val="9"/>
            <color indexed="81"/>
            <rFont val="Tahoma"/>
            <family val="2"/>
          </rPr>
          <t xml:space="preserve">
no mathcing measure</t>
        </r>
      </text>
    </comment>
    <comment ref="AV337" authorId="4" shapeId="0" xr:uid="{737B150D-76CF-4EAB-B117-69854218C994}">
      <text>
        <r>
          <rPr>
            <b/>
            <sz val="9"/>
            <color indexed="81"/>
            <rFont val="Tahoma"/>
            <family val="2"/>
          </rPr>
          <t>Sharon Bosley:</t>
        </r>
        <r>
          <rPr>
            <sz val="9"/>
            <color indexed="81"/>
            <rFont val="Tahoma"/>
            <family val="2"/>
          </rPr>
          <t xml:space="preserve">
no mathcing measure</t>
        </r>
      </text>
    </comment>
    <comment ref="BB337" authorId="4" shapeId="0" xr:uid="{591A338E-ACD6-4776-B148-B994739ED5E6}">
      <text>
        <r>
          <rPr>
            <b/>
            <sz val="9"/>
            <color indexed="81"/>
            <rFont val="Tahoma"/>
            <family val="2"/>
          </rPr>
          <t>Sharon Bosley:</t>
        </r>
        <r>
          <rPr>
            <sz val="9"/>
            <color indexed="81"/>
            <rFont val="Tahoma"/>
            <family val="2"/>
          </rPr>
          <t xml:space="preserve">
no mathcing measure</t>
        </r>
      </text>
    </comment>
    <comment ref="BH337" authorId="4" shapeId="0" xr:uid="{0C39EF0F-14A2-4043-A46D-0942D0180E4E}">
      <text>
        <r>
          <rPr>
            <b/>
            <sz val="9"/>
            <color indexed="81"/>
            <rFont val="Tahoma"/>
            <family val="2"/>
          </rPr>
          <t>Sharon Bosley:</t>
        </r>
        <r>
          <rPr>
            <sz val="9"/>
            <color indexed="81"/>
            <rFont val="Tahoma"/>
            <family val="2"/>
          </rPr>
          <t xml:space="preserve">
no mathcing measure</t>
        </r>
      </text>
    </comment>
    <comment ref="AP338" authorId="4" shapeId="0" xr:uid="{E6C1E4A9-AD06-44FE-87DB-4ADF84605F16}">
      <text>
        <r>
          <rPr>
            <b/>
            <sz val="9"/>
            <color indexed="81"/>
            <rFont val="Tahoma"/>
            <family val="2"/>
          </rPr>
          <t>Sharon Bosley:</t>
        </r>
        <r>
          <rPr>
            <sz val="9"/>
            <color indexed="81"/>
            <rFont val="Tahoma"/>
            <family val="2"/>
          </rPr>
          <t xml:space="preserve">
no mathcing measure</t>
        </r>
      </text>
    </comment>
    <comment ref="AV338" authorId="4" shapeId="0" xr:uid="{4222DC99-A3F4-4013-8F68-C4A5C5EAEC8D}">
      <text>
        <r>
          <rPr>
            <b/>
            <sz val="9"/>
            <color indexed="81"/>
            <rFont val="Tahoma"/>
            <family val="2"/>
          </rPr>
          <t>Sharon Bosley:</t>
        </r>
        <r>
          <rPr>
            <sz val="9"/>
            <color indexed="81"/>
            <rFont val="Tahoma"/>
            <family val="2"/>
          </rPr>
          <t xml:space="preserve">
no mathcing measure</t>
        </r>
      </text>
    </comment>
    <comment ref="BB338" authorId="4" shapeId="0" xr:uid="{69FA4C6D-B10F-4DAF-8439-7C7CA4775F30}">
      <text>
        <r>
          <rPr>
            <b/>
            <sz val="9"/>
            <color indexed="81"/>
            <rFont val="Tahoma"/>
            <family val="2"/>
          </rPr>
          <t>Sharon Bosley:</t>
        </r>
        <r>
          <rPr>
            <sz val="9"/>
            <color indexed="81"/>
            <rFont val="Tahoma"/>
            <family val="2"/>
          </rPr>
          <t xml:space="preserve">
no mathcing measure</t>
        </r>
      </text>
    </comment>
    <comment ref="BH338" authorId="4" shapeId="0" xr:uid="{2B275DB8-7FBF-4EB0-9713-26C8A9314831}">
      <text>
        <r>
          <rPr>
            <b/>
            <sz val="9"/>
            <color indexed="81"/>
            <rFont val="Tahoma"/>
            <family val="2"/>
          </rPr>
          <t>Sharon Bosley:</t>
        </r>
        <r>
          <rPr>
            <sz val="9"/>
            <color indexed="81"/>
            <rFont val="Tahoma"/>
            <family val="2"/>
          </rPr>
          <t xml:space="preserve">
no mathcing measure</t>
        </r>
      </text>
    </comment>
    <comment ref="AP339" authorId="4" shapeId="0" xr:uid="{41C227F2-48E7-4153-8D26-2FC019A33E28}">
      <text>
        <r>
          <rPr>
            <b/>
            <sz val="9"/>
            <color indexed="81"/>
            <rFont val="Tahoma"/>
            <family val="2"/>
          </rPr>
          <t>Sharon Bosley:</t>
        </r>
        <r>
          <rPr>
            <sz val="9"/>
            <color indexed="81"/>
            <rFont val="Tahoma"/>
            <family val="2"/>
          </rPr>
          <t xml:space="preserve">
no mathcing measure</t>
        </r>
      </text>
    </comment>
    <comment ref="AV339" authorId="4" shapeId="0" xr:uid="{9AB6139A-4DB5-4B41-A421-6355EAB9105C}">
      <text>
        <r>
          <rPr>
            <b/>
            <sz val="9"/>
            <color indexed="81"/>
            <rFont val="Tahoma"/>
            <family val="2"/>
          </rPr>
          <t>Sharon Bosley:</t>
        </r>
        <r>
          <rPr>
            <sz val="9"/>
            <color indexed="81"/>
            <rFont val="Tahoma"/>
            <family val="2"/>
          </rPr>
          <t xml:space="preserve">
no mathcing measure</t>
        </r>
      </text>
    </comment>
    <comment ref="BB339" authorId="4" shapeId="0" xr:uid="{6AD72D8C-291E-4BA2-9AC6-098ADFDD9110}">
      <text>
        <r>
          <rPr>
            <b/>
            <sz val="9"/>
            <color indexed="81"/>
            <rFont val="Tahoma"/>
            <family val="2"/>
          </rPr>
          <t>Sharon Bosley:</t>
        </r>
        <r>
          <rPr>
            <sz val="9"/>
            <color indexed="81"/>
            <rFont val="Tahoma"/>
            <family val="2"/>
          </rPr>
          <t xml:space="preserve">
no mathcing measure</t>
        </r>
      </text>
    </comment>
    <comment ref="BH339" authorId="4" shapeId="0" xr:uid="{557876DF-7418-4948-981E-E759D74DF625}">
      <text>
        <r>
          <rPr>
            <b/>
            <sz val="9"/>
            <color indexed="81"/>
            <rFont val="Tahoma"/>
            <family val="2"/>
          </rPr>
          <t>Sharon Bosley:</t>
        </r>
        <r>
          <rPr>
            <sz val="9"/>
            <color indexed="81"/>
            <rFont val="Tahoma"/>
            <family val="2"/>
          </rPr>
          <t xml:space="preserve">
no mathcing measure</t>
        </r>
      </text>
    </comment>
    <comment ref="AP341" authorId="4" shapeId="0" xr:uid="{E7576F06-0C55-40B5-9047-A4CE9CFF9824}">
      <text>
        <r>
          <rPr>
            <b/>
            <sz val="9"/>
            <color indexed="81"/>
            <rFont val="Tahoma"/>
            <family val="2"/>
          </rPr>
          <t>Sharon Bosley:</t>
        </r>
        <r>
          <rPr>
            <sz val="9"/>
            <color indexed="81"/>
            <rFont val="Tahoma"/>
            <family val="2"/>
          </rPr>
          <t xml:space="preserve">
no mathcing measure</t>
        </r>
      </text>
    </comment>
    <comment ref="AV341" authorId="4" shapeId="0" xr:uid="{08A38152-0779-4C67-A1E8-37DE4AC6452B}">
      <text>
        <r>
          <rPr>
            <b/>
            <sz val="9"/>
            <color indexed="81"/>
            <rFont val="Tahoma"/>
            <family val="2"/>
          </rPr>
          <t>Sharon Bosley:</t>
        </r>
        <r>
          <rPr>
            <sz val="9"/>
            <color indexed="81"/>
            <rFont val="Tahoma"/>
            <family val="2"/>
          </rPr>
          <t xml:space="preserve">
no mathcing measure</t>
        </r>
      </text>
    </comment>
    <comment ref="BB341" authorId="4" shapeId="0" xr:uid="{9FF31102-4E77-462C-88DD-F2F18ACBB5D6}">
      <text>
        <r>
          <rPr>
            <b/>
            <sz val="9"/>
            <color indexed="81"/>
            <rFont val="Tahoma"/>
            <family val="2"/>
          </rPr>
          <t>Sharon Bosley:</t>
        </r>
        <r>
          <rPr>
            <sz val="9"/>
            <color indexed="81"/>
            <rFont val="Tahoma"/>
            <family val="2"/>
          </rPr>
          <t xml:space="preserve">
no mathcing measure</t>
        </r>
      </text>
    </comment>
    <comment ref="BH341" authorId="4" shapeId="0" xr:uid="{526FC8B2-3901-4BC0-AAC3-E5D73D386EA6}">
      <text>
        <r>
          <rPr>
            <b/>
            <sz val="9"/>
            <color indexed="81"/>
            <rFont val="Tahoma"/>
            <family val="2"/>
          </rPr>
          <t>Sharon Bosley:</t>
        </r>
        <r>
          <rPr>
            <sz val="9"/>
            <color indexed="81"/>
            <rFont val="Tahoma"/>
            <family val="2"/>
          </rPr>
          <t xml:space="preserve">
no mathcing measure</t>
        </r>
      </text>
    </comment>
    <comment ref="AP343" authorId="4" shapeId="0" xr:uid="{6DBA9341-6E6B-4ECF-BC4D-3764FE8D360E}">
      <text>
        <r>
          <rPr>
            <b/>
            <sz val="9"/>
            <color indexed="81"/>
            <rFont val="Tahoma"/>
            <family val="2"/>
          </rPr>
          <t>Sharon Bosley:</t>
        </r>
        <r>
          <rPr>
            <sz val="9"/>
            <color indexed="81"/>
            <rFont val="Tahoma"/>
            <family val="2"/>
          </rPr>
          <t xml:space="preserve">
no mathcing tab</t>
        </r>
      </text>
    </comment>
    <comment ref="AV343" authorId="4" shapeId="0" xr:uid="{A7079B1F-3F78-46A3-8808-0964C35537B6}">
      <text>
        <r>
          <rPr>
            <b/>
            <sz val="9"/>
            <color indexed="81"/>
            <rFont val="Tahoma"/>
            <family val="2"/>
          </rPr>
          <t>Sharon Bosley:</t>
        </r>
        <r>
          <rPr>
            <sz val="9"/>
            <color indexed="81"/>
            <rFont val="Tahoma"/>
            <family val="2"/>
          </rPr>
          <t xml:space="preserve">
no mathcing tab</t>
        </r>
      </text>
    </comment>
    <comment ref="BB343" authorId="4" shapeId="0" xr:uid="{580316A4-50C2-4093-9A3E-14EC4B8AC34D}">
      <text>
        <r>
          <rPr>
            <b/>
            <sz val="9"/>
            <color indexed="81"/>
            <rFont val="Tahoma"/>
            <family val="2"/>
          </rPr>
          <t>Sharon Bosley:</t>
        </r>
        <r>
          <rPr>
            <sz val="9"/>
            <color indexed="81"/>
            <rFont val="Tahoma"/>
            <family val="2"/>
          </rPr>
          <t xml:space="preserve">
no mathcing tab</t>
        </r>
      </text>
    </comment>
    <comment ref="BH343" authorId="4" shapeId="0" xr:uid="{47C8887F-D925-47A1-9031-A9AB4012DA4C}">
      <text>
        <r>
          <rPr>
            <b/>
            <sz val="9"/>
            <color indexed="81"/>
            <rFont val="Tahoma"/>
            <family val="2"/>
          </rPr>
          <t>Sharon Bosley:</t>
        </r>
        <r>
          <rPr>
            <sz val="9"/>
            <color indexed="81"/>
            <rFont val="Tahoma"/>
            <family val="2"/>
          </rPr>
          <t xml:space="preserve">
no mathcing tab</t>
        </r>
      </text>
    </comment>
    <comment ref="AP345" authorId="4" shapeId="0" xr:uid="{13A57470-03FF-4D60-AFB7-BCA0590DEB74}">
      <text>
        <r>
          <rPr>
            <b/>
            <sz val="9"/>
            <color indexed="81"/>
            <rFont val="Tahoma"/>
            <family val="2"/>
          </rPr>
          <t>Sharon Bosley:</t>
        </r>
        <r>
          <rPr>
            <sz val="9"/>
            <color indexed="81"/>
            <rFont val="Tahoma"/>
            <family val="2"/>
          </rPr>
          <t xml:space="preserve">
no mathcing measure</t>
        </r>
      </text>
    </comment>
    <comment ref="AV345" authorId="4" shapeId="0" xr:uid="{502BE03C-75C3-484D-970B-A1D891663742}">
      <text>
        <r>
          <rPr>
            <b/>
            <sz val="9"/>
            <color indexed="81"/>
            <rFont val="Tahoma"/>
            <family val="2"/>
          </rPr>
          <t>Sharon Bosley:</t>
        </r>
        <r>
          <rPr>
            <sz val="9"/>
            <color indexed="81"/>
            <rFont val="Tahoma"/>
            <family val="2"/>
          </rPr>
          <t xml:space="preserve">
no mathcing measure</t>
        </r>
      </text>
    </comment>
    <comment ref="BB345" authorId="4" shapeId="0" xr:uid="{394F69D7-2290-4C8A-9A91-E8F699C2FD9E}">
      <text>
        <r>
          <rPr>
            <b/>
            <sz val="9"/>
            <color indexed="81"/>
            <rFont val="Tahoma"/>
            <family val="2"/>
          </rPr>
          <t>Sharon Bosley:</t>
        </r>
        <r>
          <rPr>
            <sz val="9"/>
            <color indexed="81"/>
            <rFont val="Tahoma"/>
            <family val="2"/>
          </rPr>
          <t xml:space="preserve">
no mathcing measure</t>
        </r>
      </text>
    </comment>
    <comment ref="BH345" authorId="4" shapeId="0" xr:uid="{3BAF99DA-213A-42A2-847E-BC56F732465D}">
      <text>
        <r>
          <rPr>
            <b/>
            <sz val="9"/>
            <color indexed="81"/>
            <rFont val="Tahoma"/>
            <family val="2"/>
          </rPr>
          <t>Sharon Bosley:</t>
        </r>
        <r>
          <rPr>
            <sz val="9"/>
            <color indexed="81"/>
            <rFont val="Tahoma"/>
            <family val="2"/>
          </rPr>
          <t xml:space="preserve">
no mathcing measure</t>
        </r>
      </text>
    </comment>
    <comment ref="AP346" authorId="4" shapeId="0" xr:uid="{FFB5647D-E8BA-4530-93C8-35D6777537E5}">
      <text>
        <r>
          <rPr>
            <b/>
            <sz val="9"/>
            <color indexed="81"/>
            <rFont val="Tahoma"/>
            <family val="2"/>
          </rPr>
          <t>Sharon Bosley:</t>
        </r>
        <r>
          <rPr>
            <sz val="9"/>
            <color indexed="81"/>
            <rFont val="Tahoma"/>
            <family val="2"/>
          </rPr>
          <t xml:space="preserve">
no mathcing tab</t>
        </r>
      </text>
    </comment>
    <comment ref="AV346" authorId="4" shapeId="0" xr:uid="{5447B1B5-803F-45DA-9A0A-623F6777B5EE}">
      <text>
        <r>
          <rPr>
            <b/>
            <sz val="9"/>
            <color indexed="81"/>
            <rFont val="Tahoma"/>
            <family val="2"/>
          </rPr>
          <t>Sharon Bosley:</t>
        </r>
        <r>
          <rPr>
            <sz val="9"/>
            <color indexed="81"/>
            <rFont val="Tahoma"/>
            <family val="2"/>
          </rPr>
          <t xml:space="preserve">
no mathcing tab</t>
        </r>
      </text>
    </comment>
    <comment ref="BB346" authorId="4" shapeId="0" xr:uid="{308F92CB-3FFE-4ED8-8031-84011DB71AE1}">
      <text>
        <r>
          <rPr>
            <b/>
            <sz val="9"/>
            <color indexed="81"/>
            <rFont val="Tahoma"/>
            <family val="2"/>
          </rPr>
          <t>Sharon Bosley:</t>
        </r>
        <r>
          <rPr>
            <sz val="9"/>
            <color indexed="81"/>
            <rFont val="Tahoma"/>
            <family val="2"/>
          </rPr>
          <t xml:space="preserve">
no mathcing tab</t>
        </r>
      </text>
    </comment>
    <comment ref="BH346" authorId="4" shapeId="0" xr:uid="{C751EBC7-D798-40F5-8F2B-94106F0CEC19}">
      <text>
        <r>
          <rPr>
            <b/>
            <sz val="9"/>
            <color indexed="81"/>
            <rFont val="Tahoma"/>
            <family val="2"/>
          </rPr>
          <t>Sharon Bosley:</t>
        </r>
        <r>
          <rPr>
            <sz val="9"/>
            <color indexed="81"/>
            <rFont val="Tahoma"/>
            <family val="2"/>
          </rPr>
          <t xml:space="preserve">
no mathcing tab</t>
        </r>
      </text>
    </comment>
    <comment ref="AP347" authorId="4" shapeId="0" xr:uid="{7A910A03-DBFB-4A72-9036-C2D2A78882C0}">
      <text>
        <r>
          <rPr>
            <b/>
            <sz val="9"/>
            <color indexed="81"/>
            <rFont val="Tahoma"/>
            <family val="2"/>
          </rPr>
          <t>Sharon Bosley:</t>
        </r>
        <r>
          <rPr>
            <sz val="9"/>
            <color indexed="81"/>
            <rFont val="Tahoma"/>
            <family val="2"/>
          </rPr>
          <t xml:space="preserve">
no mathcing measure</t>
        </r>
      </text>
    </comment>
    <comment ref="AV347" authorId="4" shapeId="0" xr:uid="{C2C9EF88-0A87-4EF1-809D-0CEAFE7755DD}">
      <text>
        <r>
          <rPr>
            <b/>
            <sz val="9"/>
            <color indexed="81"/>
            <rFont val="Tahoma"/>
            <family val="2"/>
          </rPr>
          <t>Sharon Bosley:</t>
        </r>
        <r>
          <rPr>
            <sz val="9"/>
            <color indexed="81"/>
            <rFont val="Tahoma"/>
            <family val="2"/>
          </rPr>
          <t xml:space="preserve">
no mathcing measure</t>
        </r>
      </text>
    </comment>
    <comment ref="BB347" authorId="4" shapeId="0" xr:uid="{5580643A-59DB-4BFB-8300-3D054D072FAF}">
      <text>
        <r>
          <rPr>
            <b/>
            <sz val="9"/>
            <color indexed="81"/>
            <rFont val="Tahoma"/>
            <family val="2"/>
          </rPr>
          <t>Sharon Bosley:</t>
        </r>
        <r>
          <rPr>
            <sz val="9"/>
            <color indexed="81"/>
            <rFont val="Tahoma"/>
            <family val="2"/>
          </rPr>
          <t xml:space="preserve">
no mathcing measure</t>
        </r>
      </text>
    </comment>
    <comment ref="BH347" authorId="4" shapeId="0" xr:uid="{43D8FD01-61EA-4F04-9F50-1C8D074B27F2}">
      <text>
        <r>
          <rPr>
            <b/>
            <sz val="9"/>
            <color indexed="81"/>
            <rFont val="Tahoma"/>
            <family val="2"/>
          </rPr>
          <t>Sharon Bosley:</t>
        </r>
        <r>
          <rPr>
            <sz val="9"/>
            <color indexed="81"/>
            <rFont val="Tahoma"/>
            <family val="2"/>
          </rPr>
          <t xml:space="preserve">
no mathcing measure</t>
        </r>
      </text>
    </comment>
    <comment ref="AP353" authorId="4" shapeId="0" xr:uid="{902286C0-3709-4B1C-B53E-890E5CD1C5F9}">
      <text>
        <r>
          <rPr>
            <b/>
            <sz val="9"/>
            <color indexed="81"/>
            <rFont val="Tahoma"/>
            <family val="2"/>
          </rPr>
          <t>Sharon Bosley:</t>
        </r>
        <r>
          <rPr>
            <sz val="9"/>
            <color indexed="81"/>
            <rFont val="Tahoma"/>
            <family val="2"/>
          </rPr>
          <t xml:space="preserve">
no mathcing measuer</t>
        </r>
      </text>
    </comment>
    <comment ref="AV353" authorId="4" shapeId="0" xr:uid="{3901241A-1A1A-46A2-82A2-1EA782D3D348}">
      <text>
        <r>
          <rPr>
            <b/>
            <sz val="9"/>
            <color indexed="81"/>
            <rFont val="Tahoma"/>
            <family val="2"/>
          </rPr>
          <t>Sharon Bosley:</t>
        </r>
        <r>
          <rPr>
            <sz val="9"/>
            <color indexed="81"/>
            <rFont val="Tahoma"/>
            <family val="2"/>
          </rPr>
          <t xml:space="preserve">
no mathcing measuer</t>
        </r>
      </text>
    </comment>
    <comment ref="BB353" authorId="4" shapeId="0" xr:uid="{83F0486F-1298-4CF1-AD8D-01A4BF035DD2}">
      <text>
        <r>
          <rPr>
            <b/>
            <sz val="9"/>
            <color indexed="81"/>
            <rFont val="Tahoma"/>
            <family val="2"/>
          </rPr>
          <t>Sharon Bosley:</t>
        </r>
        <r>
          <rPr>
            <sz val="9"/>
            <color indexed="81"/>
            <rFont val="Tahoma"/>
            <family val="2"/>
          </rPr>
          <t xml:space="preserve">
no mathcing measuer</t>
        </r>
      </text>
    </comment>
    <comment ref="BH353" authorId="4" shapeId="0" xr:uid="{9DB19C4E-21FE-4C93-A067-EB7E974D908E}">
      <text>
        <r>
          <rPr>
            <b/>
            <sz val="9"/>
            <color indexed="81"/>
            <rFont val="Tahoma"/>
            <family val="2"/>
          </rPr>
          <t>Sharon Bosley:</t>
        </r>
        <r>
          <rPr>
            <sz val="9"/>
            <color indexed="81"/>
            <rFont val="Tahoma"/>
            <family val="2"/>
          </rPr>
          <t xml:space="preserve">
no mathcing measuer</t>
        </r>
      </text>
    </comment>
    <comment ref="AP354" authorId="4" shapeId="0" xr:uid="{67B260FD-87C1-4FFB-A8C3-FFF66D9BAE8C}">
      <text>
        <r>
          <rPr>
            <b/>
            <sz val="9"/>
            <color indexed="81"/>
            <rFont val="Tahoma"/>
            <family val="2"/>
          </rPr>
          <t>Sharon Bosley:</t>
        </r>
        <r>
          <rPr>
            <sz val="9"/>
            <color indexed="81"/>
            <rFont val="Tahoma"/>
            <family val="2"/>
          </rPr>
          <t xml:space="preserve">
no mathcing measuer</t>
        </r>
      </text>
    </comment>
    <comment ref="AV354" authorId="4" shapeId="0" xr:uid="{BAE23CA9-0262-4776-A7BB-638158952D5D}">
      <text>
        <r>
          <rPr>
            <b/>
            <sz val="9"/>
            <color indexed="81"/>
            <rFont val="Tahoma"/>
            <family val="2"/>
          </rPr>
          <t>Sharon Bosley:</t>
        </r>
        <r>
          <rPr>
            <sz val="9"/>
            <color indexed="81"/>
            <rFont val="Tahoma"/>
            <family val="2"/>
          </rPr>
          <t xml:space="preserve">
no mathcing measuer</t>
        </r>
      </text>
    </comment>
    <comment ref="BB354" authorId="4" shapeId="0" xr:uid="{529EDEAB-CC2F-419C-896C-49020E185F8E}">
      <text>
        <r>
          <rPr>
            <b/>
            <sz val="9"/>
            <color indexed="81"/>
            <rFont val="Tahoma"/>
            <family val="2"/>
          </rPr>
          <t>Sharon Bosley:</t>
        </r>
        <r>
          <rPr>
            <sz val="9"/>
            <color indexed="81"/>
            <rFont val="Tahoma"/>
            <family val="2"/>
          </rPr>
          <t xml:space="preserve">
no mathcing measuer</t>
        </r>
      </text>
    </comment>
    <comment ref="BH354" authorId="4" shapeId="0" xr:uid="{9F8F3CE7-9BA8-4747-84F6-2CC33284BCD6}">
      <text>
        <r>
          <rPr>
            <b/>
            <sz val="9"/>
            <color indexed="81"/>
            <rFont val="Tahoma"/>
            <family val="2"/>
          </rPr>
          <t>Sharon Bosley:</t>
        </r>
        <r>
          <rPr>
            <sz val="9"/>
            <color indexed="81"/>
            <rFont val="Tahoma"/>
            <family val="2"/>
          </rPr>
          <t xml:space="preserve">
no mathcing measuer</t>
        </r>
      </text>
    </comment>
    <comment ref="AP355" authorId="4" shapeId="0" xr:uid="{F27583D0-0774-42AC-8CB9-B0DFA8B01E53}">
      <text>
        <r>
          <rPr>
            <b/>
            <sz val="9"/>
            <color indexed="81"/>
            <rFont val="Tahoma"/>
            <family val="2"/>
          </rPr>
          <t>Sharon Bosley:</t>
        </r>
        <r>
          <rPr>
            <sz val="9"/>
            <color indexed="81"/>
            <rFont val="Tahoma"/>
            <family val="2"/>
          </rPr>
          <t xml:space="preserve">
no matching tab</t>
        </r>
      </text>
    </comment>
    <comment ref="AV355" authorId="4" shapeId="0" xr:uid="{9EEC4AF0-0BDF-47C8-8345-4E7A1DEC8B34}">
      <text>
        <r>
          <rPr>
            <b/>
            <sz val="9"/>
            <color indexed="81"/>
            <rFont val="Tahoma"/>
            <family val="2"/>
          </rPr>
          <t>Sharon Bosley:</t>
        </r>
        <r>
          <rPr>
            <sz val="9"/>
            <color indexed="81"/>
            <rFont val="Tahoma"/>
            <family val="2"/>
          </rPr>
          <t xml:space="preserve">
no matching tab</t>
        </r>
      </text>
    </comment>
    <comment ref="BB355" authorId="4" shapeId="0" xr:uid="{735B743D-E860-40A7-B88E-8F246364E1E3}">
      <text>
        <r>
          <rPr>
            <b/>
            <sz val="9"/>
            <color indexed="81"/>
            <rFont val="Tahoma"/>
            <family val="2"/>
          </rPr>
          <t>Sharon Bosley:</t>
        </r>
        <r>
          <rPr>
            <sz val="9"/>
            <color indexed="81"/>
            <rFont val="Tahoma"/>
            <family val="2"/>
          </rPr>
          <t xml:space="preserve">
no matching tab</t>
        </r>
      </text>
    </comment>
    <comment ref="BH355" authorId="4" shapeId="0" xr:uid="{49B84792-4B0E-4F72-B61C-D7785A502758}">
      <text>
        <r>
          <rPr>
            <b/>
            <sz val="9"/>
            <color indexed="81"/>
            <rFont val="Tahoma"/>
            <family val="2"/>
          </rPr>
          <t>Sharon Bosley:</t>
        </r>
        <r>
          <rPr>
            <sz val="9"/>
            <color indexed="81"/>
            <rFont val="Tahoma"/>
            <family val="2"/>
          </rPr>
          <t xml:space="preserve">
no matching tab</t>
        </r>
      </text>
    </comment>
    <comment ref="AP356" authorId="4" shapeId="0" xr:uid="{A98C3F5C-242A-4FC7-914F-6EA822225271}">
      <text>
        <r>
          <rPr>
            <b/>
            <sz val="9"/>
            <color indexed="81"/>
            <rFont val="Tahoma"/>
            <family val="2"/>
          </rPr>
          <t>Sharon Bosley:</t>
        </r>
        <r>
          <rPr>
            <sz val="9"/>
            <color indexed="81"/>
            <rFont val="Tahoma"/>
            <family val="2"/>
          </rPr>
          <t xml:space="preserve">
no mathcing measuer</t>
        </r>
      </text>
    </comment>
    <comment ref="AV356" authorId="4" shapeId="0" xr:uid="{8325AC54-68BA-49C4-B4D0-128783BDA663}">
      <text>
        <r>
          <rPr>
            <b/>
            <sz val="9"/>
            <color indexed="81"/>
            <rFont val="Tahoma"/>
            <family val="2"/>
          </rPr>
          <t>Sharon Bosley:</t>
        </r>
        <r>
          <rPr>
            <sz val="9"/>
            <color indexed="81"/>
            <rFont val="Tahoma"/>
            <family val="2"/>
          </rPr>
          <t xml:space="preserve">
no mathcing measuer</t>
        </r>
      </text>
    </comment>
    <comment ref="BB356" authorId="4" shapeId="0" xr:uid="{39FC7669-BDB9-40ED-B7B7-A3DA86430495}">
      <text>
        <r>
          <rPr>
            <b/>
            <sz val="9"/>
            <color indexed="81"/>
            <rFont val="Tahoma"/>
            <family val="2"/>
          </rPr>
          <t>Sharon Bosley:</t>
        </r>
        <r>
          <rPr>
            <sz val="9"/>
            <color indexed="81"/>
            <rFont val="Tahoma"/>
            <family val="2"/>
          </rPr>
          <t xml:space="preserve">
no mathcing measuer</t>
        </r>
      </text>
    </comment>
    <comment ref="BH356" authorId="4" shapeId="0" xr:uid="{442D20A5-489B-4915-8BD6-36FC63EDD212}">
      <text>
        <r>
          <rPr>
            <b/>
            <sz val="9"/>
            <color indexed="81"/>
            <rFont val="Tahoma"/>
            <family val="2"/>
          </rPr>
          <t>Sharon Bosley:</t>
        </r>
        <r>
          <rPr>
            <sz val="9"/>
            <color indexed="81"/>
            <rFont val="Tahoma"/>
            <family val="2"/>
          </rPr>
          <t xml:space="preserve">
no mathcing measuer</t>
        </r>
      </text>
    </comment>
    <comment ref="AP357" authorId="4" shapeId="0" xr:uid="{7B45F227-365D-49AE-98E6-EE0DD316A7A0}">
      <text>
        <r>
          <rPr>
            <b/>
            <sz val="9"/>
            <color indexed="81"/>
            <rFont val="Tahoma"/>
            <family val="2"/>
          </rPr>
          <t>Sharon Bosley:</t>
        </r>
        <r>
          <rPr>
            <sz val="9"/>
            <color indexed="81"/>
            <rFont val="Tahoma"/>
            <family val="2"/>
          </rPr>
          <t xml:space="preserve">
no mathcing measuer</t>
        </r>
      </text>
    </comment>
    <comment ref="AV357" authorId="4" shapeId="0" xr:uid="{95F0E391-748F-49D1-8CFA-285F0AF35DB6}">
      <text>
        <r>
          <rPr>
            <b/>
            <sz val="9"/>
            <color indexed="81"/>
            <rFont val="Tahoma"/>
            <family val="2"/>
          </rPr>
          <t>Sharon Bosley:</t>
        </r>
        <r>
          <rPr>
            <sz val="9"/>
            <color indexed="81"/>
            <rFont val="Tahoma"/>
            <family val="2"/>
          </rPr>
          <t xml:space="preserve">
no mathcing measuer</t>
        </r>
      </text>
    </comment>
    <comment ref="BB357" authorId="4" shapeId="0" xr:uid="{7048C1A3-F730-4265-A9F1-EE3725974E6C}">
      <text>
        <r>
          <rPr>
            <b/>
            <sz val="9"/>
            <color indexed="81"/>
            <rFont val="Tahoma"/>
            <family val="2"/>
          </rPr>
          <t>Sharon Bosley:</t>
        </r>
        <r>
          <rPr>
            <sz val="9"/>
            <color indexed="81"/>
            <rFont val="Tahoma"/>
            <family val="2"/>
          </rPr>
          <t xml:space="preserve">
no mathcing measuer</t>
        </r>
      </text>
    </comment>
    <comment ref="BH357" authorId="4" shapeId="0" xr:uid="{43D8F541-F1B3-4E6F-BD83-6555C5C9AA5E}">
      <text>
        <r>
          <rPr>
            <b/>
            <sz val="9"/>
            <color indexed="81"/>
            <rFont val="Tahoma"/>
            <family val="2"/>
          </rPr>
          <t>Sharon Bosley:</t>
        </r>
        <r>
          <rPr>
            <sz val="9"/>
            <color indexed="81"/>
            <rFont val="Tahoma"/>
            <family val="2"/>
          </rPr>
          <t xml:space="preserve">
no mathcing measuer</t>
        </r>
      </text>
    </comment>
    <comment ref="AP358" authorId="4" shapeId="0" xr:uid="{5BCA9E2D-B5BA-44D3-B33B-3EC1A52083EB}">
      <text>
        <r>
          <rPr>
            <b/>
            <sz val="9"/>
            <color indexed="81"/>
            <rFont val="Tahoma"/>
            <family val="2"/>
          </rPr>
          <t>Sharon Bosley:</t>
        </r>
        <r>
          <rPr>
            <sz val="9"/>
            <color indexed="81"/>
            <rFont val="Tahoma"/>
            <family val="2"/>
          </rPr>
          <t xml:space="preserve">
no mathcing measuer</t>
        </r>
      </text>
    </comment>
    <comment ref="AV358" authorId="4" shapeId="0" xr:uid="{CD2C1D61-1FA9-4AFD-B8C9-4799C3A142C7}">
      <text>
        <r>
          <rPr>
            <b/>
            <sz val="9"/>
            <color indexed="81"/>
            <rFont val="Tahoma"/>
            <family val="2"/>
          </rPr>
          <t>Sharon Bosley:</t>
        </r>
        <r>
          <rPr>
            <sz val="9"/>
            <color indexed="81"/>
            <rFont val="Tahoma"/>
            <family val="2"/>
          </rPr>
          <t xml:space="preserve">
no mathcing measuer</t>
        </r>
      </text>
    </comment>
    <comment ref="BB358" authorId="4" shapeId="0" xr:uid="{476B7412-40D8-47E5-80A5-290A6B455C1C}">
      <text>
        <r>
          <rPr>
            <b/>
            <sz val="9"/>
            <color indexed="81"/>
            <rFont val="Tahoma"/>
            <family val="2"/>
          </rPr>
          <t>Sharon Bosley:</t>
        </r>
        <r>
          <rPr>
            <sz val="9"/>
            <color indexed="81"/>
            <rFont val="Tahoma"/>
            <family val="2"/>
          </rPr>
          <t xml:space="preserve">
no mathcing measuer</t>
        </r>
      </text>
    </comment>
    <comment ref="BH358" authorId="4" shapeId="0" xr:uid="{E8DCC003-8C19-4C61-892F-B09EDE0398F4}">
      <text>
        <r>
          <rPr>
            <b/>
            <sz val="9"/>
            <color indexed="81"/>
            <rFont val="Tahoma"/>
            <family val="2"/>
          </rPr>
          <t>Sharon Bosley:</t>
        </r>
        <r>
          <rPr>
            <sz val="9"/>
            <color indexed="81"/>
            <rFont val="Tahoma"/>
            <family val="2"/>
          </rPr>
          <t xml:space="preserve">
no mathcing measuer</t>
        </r>
      </text>
    </comment>
    <comment ref="AP359" authorId="4" shapeId="0" xr:uid="{D1336720-33F8-4849-BC47-D842037507AF}">
      <text>
        <r>
          <rPr>
            <b/>
            <sz val="9"/>
            <color indexed="81"/>
            <rFont val="Tahoma"/>
            <family val="2"/>
          </rPr>
          <t>Sharon Bosley:</t>
        </r>
        <r>
          <rPr>
            <sz val="9"/>
            <color indexed="81"/>
            <rFont val="Tahoma"/>
            <family val="2"/>
          </rPr>
          <t xml:space="preserve">
no mathcing measuer</t>
        </r>
      </text>
    </comment>
    <comment ref="AV359" authorId="4" shapeId="0" xr:uid="{11750F2A-B695-4599-B672-2BC7C77CA7EA}">
      <text>
        <r>
          <rPr>
            <b/>
            <sz val="9"/>
            <color indexed="81"/>
            <rFont val="Tahoma"/>
            <family val="2"/>
          </rPr>
          <t>Sharon Bosley:</t>
        </r>
        <r>
          <rPr>
            <sz val="9"/>
            <color indexed="81"/>
            <rFont val="Tahoma"/>
            <family val="2"/>
          </rPr>
          <t xml:space="preserve">
no mathcing measuer</t>
        </r>
      </text>
    </comment>
    <comment ref="BB359" authorId="4" shapeId="0" xr:uid="{0EBCB03D-9F1D-49C1-A0C6-7D9972BACC76}">
      <text>
        <r>
          <rPr>
            <b/>
            <sz val="9"/>
            <color indexed="81"/>
            <rFont val="Tahoma"/>
            <family val="2"/>
          </rPr>
          <t>Sharon Bosley:</t>
        </r>
        <r>
          <rPr>
            <sz val="9"/>
            <color indexed="81"/>
            <rFont val="Tahoma"/>
            <family val="2"/>
          </rPr>
          <t xml:space="preserve">
no mathcing measuer</t>
        </r>
      </text>
    </comment>
    <comment ref="BH359" authorId="4" shapeId="0" xr:uid="{5527624C-FBEC-44F1-851B-8EC990674E41}">
      <text>
        <r>
          <rPr>
            <b/>
            <sz val="9"/>
            <color indexed="81"/>
            <rFont val="Tahoma"/>
            <family val="2"/>
          </rPr>
          <t>Sharon Bosley:</t>
        </r>
        <r>
          <rPr>
            <sz val="9"/>
            <color indexed="81"/>
            <rFont val="Tahoma"/>
            <family val="2"/>
          </rPr>
          <t xml:space="preserve">
no mathcing measuer</t>
        </r>
      </text>
    </comment>
    <comment ref="AP361" authorId="4" shapeId="0" xr:uid="{7D97844E-CB95-4C15-B141-8862F091F781}">
      <text>
        <r>
          <rPr>
            <b/>
            <sz val="9"/>
            <color indexed="81"/>
            <rFont val="Tahoma"/>
            <family val="2"/>
          </rPr>
          <t>Sharon Bosley:</t>
        </r>
        <r>
          <rPr>
            <sz val="9"/>
            <color indexed="81"/>
            <rFont val="Tahoma"/>
            <family val="2"/>
          </rPr>
          <t xml:space="preserve">
no mathcing measuer</t>
        </r>
      </text>
    </comment>
    <comment ref="AV361" authorId="4" shapeId="0" xr:uid="{E00E5AAA-8CD6-47EB-8863-583D8975341C}">
      <text>
        <r>
          <rPr>
            <b/>
            <sz val="9"/>
            <color indexed="81"/>
            <rFont val="Tahoma"/>
            <family val="2"/>
          </rPr>
          <t>Sharon Bosley:</t>
        </r>
        <r>
          <rPr>
            <sz val="9"/>
            <color indexed="81"/>
            <rFont val="Tahoma"/>
            <family val="2"/>
          </rPr>
          <t xml:space="preserve">
no mathcing measuer</t>
        </r>
      </text>
    </comment>
    <comment ref="BB361" authorId="4" shapeId="0" xr:uid="{A481D9CB-227A-42E4-9C6E-DC38B382D827}">
      <text>
        <r>
          <rPr>
            <b/>
            <sz val="9"/>
            <color indexed="81"/>
            <rFont val="Tahoma"/>
            <family val="2"/>
          </rPr>
          <t>Sharon Bosley:</t>
        </r>
        <r>
          <rPr>
            <sz val="9"/>
            <color indexed="81"/>
            <rFont val="Tahoma"/>
            <family val="2"/>
          </rPr>
          <t xml:space="preserve">
no mathcing measuer</t>
        </r>
      </text>
    </comment>
    <comment ref="BH361" authorId="4" shapeId="0" xr:uid="{2C733E6A-3ACE-4FEF-9AEE-98FE37F1C115}">
      <text>
        <r>
          <rPr>
            <b/>
            <sz val="9"/>
            <color indexed="81"/>
            <rFont val="Tahoma"/>
            <family val="2"/>
          </rPr>
          <t>Sharon Bosley:</t>
        </r>
        <r>
          <rPr>
            <sz val="9"/>
            <color indexed="81"/>
            <rFont val="Tahoma"/>
            <family val="2"/>
          </rPr>
          <t xml:space="preserve">
no mathcing measuer</t>
        </r>
      </text>
    </comment>
    <comment ref="AP363" authorId="4" shapeId="0" xr:uid="{A8E5655D-0078-444B-AF16-128621552584}">
      <text>
        <r>
          <rPr>
            <b/>
            <sz val="9"/>
            <color indexed="81"/>
            <rFont val="Tahoma"/>
            <family val="2"/>
          </rPr>
          <t>Sharon Bosley:</t>
        </r>
        <r>
          <rPr>
            <sz val="9"/>
            <color indexed="81"/>
            <rFont val="Tahoma"/>
            <family val="2"/>
          </rPr>
          <t xml:space="preserve">
no mathcing measuer</t>
        </r>
      </text>
    </comment>
    <comment ref="AV363" authorId="4" shapeId="0" xr:uid="{F7DA4A7A-7ED7-4B4F-8900-690D381AC39D}">
      <text>
        <r>
          <rPr>
            <b/>
            <sz val="9"/>
            <color indexed="81"/>
            <rFont val="Tahoma"/>
            <family val="2"/>
          </rPr>
          <t>Sharon Bosley:</t>
        </r>
        <r>
          <rPr>
            <sz val="9"/>
            <color indexed="81"/>
            <rFont val="Tahoma"/>
            <family val="2"/>
          </rPr>
          <t xml:space="preserve">
no mathcing measuer</t>
        </r>
      </text>
    </comment>
    <comment ref="BB363" authorId="4" shapeId="0" xr:uid="{22BCE025-6687-4241-84F1-B7E9770870B4}">
      <text>
        <r>
          <rPr>
            <b/>
            <sz val="9"/>
            <color indexed="81"/>
            <rFont val="Tahoma"/>
            <family val="2"/>
          </rPr>
          <t>Sharon Bosley:</t>
        </r>
        <r>
          <rPr>
            <sz val="9"/>
            <color indexed="81"/>
            <rFont val="Tahoma"/>
            <family val="2"/>
          </rPr>
          <t xml:space="preserve">
no mathcing measuer</t>
        </r>
      </text>
    </comment>
    <comment ref="BH363" authorId="4" shapeId="0" xr:uid="{EFE0F208-8042-4F16-98FD-2C98A959BD8D}">
      <text>
        <r>
          <rPr>
            <b/>
            <sz val="9"/>
            <color indexed="81"/>
            <rFont val="Tahoma"/>
            <family val="2"/>
          </rPr>
          <t>Sharon Bosley:</t>
        </r>
        <r>
          <rPr>
            <sz val="9"/>
            <color indexed="81"/>
            <rFont val="Tahoma"/>
            <family val="2"/>
          </rPr>
          <t xml:space="preserve">
no mathcing measuer</t>
        </r>
      </text>
    </comment>
    <comment ref="AP364" authorId="4" shapeId="0" xr:uid="{7277AEB6-E3C9-447A-8F91-B4A3579C607D}">
      <text>
        <r>
          <rPr>
            <b/>
            <sz val="9"/>
            <color indexed="81"/>
            <rFont val="Tahoma"/>
            <family val="2"/>
          </rPr>
          <t>Sharon Bosley:</t>
        </r>
        <r>
          <rPr>
            <sz val="9"/>
            <color indexed="81"/>
            <rFont val="Tahoma"/>
            <family val="2"/>
          </rPr>
          <t xml:space="preserve">
no mathcing measuer</t>
        </r>
      </text>
    </comment>
    <comment ref="AV364" authorId="4" shapeId="0" xr:uid="{5DC20444-8B53-4290-9A2E-5EF0DC272DB7}">
      <text>
        <r>
          <rPr>
            <b/>
            <sz val="9"/>
            <color indexed="81"/>
            <rFont val="Tahoma"/>
            <family val="2"/>
          </rPr>
          <t>Sharon Bosley:</t>
        </r>
        <r>
          <rPr>
            <sz val="9"/>
            <color indexed="81"/>
            <rFont val="Tahoma"/>
            <family val="2"/>
          </rPr>
          <t xml:space="preserve">
no mathcing measuer</t>
        </r>
      </text>
    </comment>
    <comment ref="BB364" authorId="4" shapeId="0" xr:uid="{D1CB2BEC-3E43-471E-A5A4-7CA51113B475}">
      <text>
        <r>
          <rPr>
            <b/>
            <sz val="9"/>
            <color indexed="81"/>
            <rFont val="Tahoma"/>
            <family val="2"/>
          </rPr>
          <t>Sharon Bosley:</t>
        </r>
        <r>
          <rPr>
            <sz val="9"/>
            <color indexed="81"/>
            <rFont val="Tahoma"/>
            <family val="2"/>
          </rPr>
          <t xml:space="preserve">
no mathcing measuer</t>
        </r>
      </text>
    </comment>
    <comment ref="BH364" authorId="4" shapeId="0" xr:uid="{74EAA58A-E750-4871-BCD7-1551A6216D83}">
      <text>
        <r>
          <rPr>
            <b/>
            <sz val="9"/>
            <color indexed="81"/>
            <rFont val="Tahoma"/>
            <family val="2"/>
          </rPr>
          <t>Sharon Bosley:</t>
        </r>
        <r>
          <rPr>
            <sz val="9"/>
            <color indexed="81"/>
            <rFont val="Tahoma"/>
            <family val="2"/>
          </rPr>
          <t xml:space="preserve">
no mathcing measuer</t>
        </r>
      </text>
    </comment>
    <comment ref="AP365" authorId="4" shapeId="0" xr:uid="{9835FF1C-F044-4016-A9A0-6BD33E1242CC}">
      <text>
        <r>
          <rPr>
            <b/>
            <sz val="9"/>
            <color indexed="81"/>
            <rFont val="Tahoma"/>
            <family val="2"/>
          </rPr>
          <t>Sharon Bosley:</t>
        </r>
        <r>
          <rPr>
            <sz val="9"/>
            <color indexed="81"/>
            <rFont val="Tahoma"/>
            <family val="2"/>
          </rPr>
          <t xml:space="preserve">
no mathcing measuer</t>
        </r>
      </text>
    </comment>
    <comment ref="AV365" authorId="4" shapeId="0" xr:uid="{15B1548C-B5D9-4157-9F77-AECF862A1D00}">
      <text>
        <r>
          <rPr>
            <b/>
            <sz val="9"/>
            <color indexed="81"/>
            <rFont val="Tahoma"/>
            <family val="2"/>
          </rPr>
          <t>Sharon Bosley:</t>
        </r>
        <r>
          <rPr>
            <sz val="9"/>
            <color indexed="81"/>
            <rFont val="Tahoma"/>
            <family val="2"/>
          </rPr>
          <t xml:space="preserve">
no mathcing measuer</t>
        </r>
      </text>
    </comment>
    <comment ref="BB365" authorId="4" shapeId="0" xr:uid="{E0EA6D78-7915-41C0-A649-9EAEA19ACE9E}">
      <text>
        <r>
          <rPr>
            <b/>
            <sz val="9"/>
            <color indexed="81"/>
            <rFont val="Tahoma"/>
            <family val="2"/>
          </rPr>
          <t>Sharon Bosley:</t>
        </r>
        <r>
          <rPr>
            <sz val="9"/>
            <color indexed="81"/>
            <rFont val="Tahoma"/>
            <family val="2"/>
          </rPr>
          <t xml:space="preserve">
no mathcing measuer</t>
        </r>
      </text>
    </comment>
    <comment ref="BH365" authorId="4" shapeId="0" xr:uid="{560F57A3-CFC2-4083-91FA-567872DBCB4B}">
      <text>
        <r>
          <rPr>
            <b/>
            <sz val="9"/>
            <color indexed="81"/>
            <rFont val="Tahoma"/>
            <family val="2"/>
          </rPr>
          <t>Sharon Bosley:</t>
        </r>
        <r>
          <rPr>
            <sz val="9"/>
            <color indexed="81"/>
            <rFont val="Tahoma"/>
            <family val="2"/>
          </rPr>
          <t xml:space="preserve">
no mathcing measuer</t>
        </r>
      </text>
    </comment>
    <comment ref="AP366" authorId="4" shapeId="0" xr:uid="{3600B671-3C94-45E1-996B-DF674D7DD520}">
      <text>
        <r>
          <rPr>
            <b/>
            <sz val="9"/>
            <color indexed="81"/>
            <rFont val="Tahoma"/>
            <family val="2"/>
          </rPr>
          <t>Sharon Bosley:</t>
        </r>
        <r>
          <rPr>
            <sz val="9"/>
            <color indexed="81"/>
            <rFont val="Tahoma"/>
            <family val="2"/>
          </rPr>
          <t xml:space="preserve">
no mathcing measuer</t>
        </r>
      </text>
    </comment>
    <comment ref="AV366" authorId="4" shapeId="0" xr:uid="{71B14EF2-A981-45A2-B3F4-2449EBA78965}">
      <text>
        <r>
          <rPr>
            <b/>
            <sz val="9"/>
            <color indexed="81"/>
            <rFont val="Tahoma"/>
            <family val="2"/>
          </rPr>
          <t>Sharon Bosley:</t>
        </r>
        <r>
          <rPr>
            <sz val="9"/>
            <color indexed="81"/>
            <rFont val="Tahoma"/>
            <family val="2"/>
          </rPr>
          <t xml:space="preserve">
no mathcing measuer</t>
        </r>
      </text>
    </comment>
    <comment ref="BB366" authorId="4" shapeId="0" xr:uid="{479F6C71-45A8-4869-91AE-3884CAD61DE2}">
      <text>
        <r>
          <rPr>
            <b/>
            <sz val="9"/>
            <color indexed="81"/>
            <rFont val="Tahoma"/>
            <family val="2"/>
          </rPr>
          <t>Sharon Bosley:</t>
        </r>
        <r>
          <rPr>
            <sz val="9"/>
            <color indexed="81"/>
            <rFont val="Tahoma"/>
            <family val="2"/>
          </rPr>
          <t xml:space="preserve">
no mathcing measuer</t>
        </r>
      </text>
    </comment>
    <comment ref="BH366" authorId="4" shapeId="0" xr:uid="{4EBE9C41-F5FE-40E8-A059-F108CC40F57C}">
      <text>
        <r>
          <rPr>
            <b/>
            <sz val="9"/>
            <color indexed="81"/>
            <rFont val="Tahoma"/>
            <family val="2"/>
          </rPr>
          <t>Sharon Bosley:</t>
        </r>
        <r>
          <rPr>
            <sz val="9"/>
            <color indexed="81"/>
            <rFont val="Tahoma"/>
            <family val="2"/>
          </rPr>
          <t xml:space="preserve">
no mathcing measuer</t>
        </r>
      </text>
    </comment>
    <comment ref="AP370" authorId="4" shapeId="0" xr:uid="{E87142DB-F241-48F2-965A-624F93A39109}">
      <text>
        <r>
          <rPr>
            <b/>
            <sz val="9"/>
            <color indexed="81"/>
            <rFont val="Tahoma"/>
            <family val="2"/>
          </rPr>
          <t>Sharon Bosley:</t>
        </r>
        <r>
          <rPr>
            <sz val="9"/>
            <color indexed="81"/>
            <rFont val="Tahoma"/>
            <family val="2"/>
          </rPr>
          <t xml:space="preserve">
no mathcing measuer</t>
        </r>
      </text>
    </comment>
    <comment ref="AV370" authorId="4" shapeId="0" xr:uid="{71484308-9BBF-4CF0-B464-349FC99A12A8}">
      <text>
        <r>
          <rPr>
            <b/>
            <sz val="9"/>
            <color indexed="81"/>
            <rFont val="Tahoma"/>
            <family val="2"/>
          </rPr>
          <t>Sharon Bosley:</t>
        </r>
        <r>
          <rPr>
            <sz val="9"/>
            <color indexed="81"/>
            <rFont val="Tahoma"/>
            <family val="2"/>
          </rPr>
          <t xml:space="preserve">
no mathcing measuer</t>
        </r>
      </text>
    </comment>
    <comment ref="BB370" authorId="4" shapeId="0" xr:uid="{B0B483FE-4016-4B10-8EDE-6E7B928FB5CF}">
      <text>
        <r>
          <rPr>
            <b/>
            <sz val="9"/>
            <color indexed="81"/>
            <rFont val="Tahoma"/>
            <family val="2"/>
          </rPr>
          <t>Sharon Bosley:</t>
        </r>
        <r>
          <rPr>
            <sz val="9"/>
            <color indexed="81"/>
            <rFont val="Tahoma"/>
            <family val="2"/>
          </rPr>
          <t xml:space="preserve">
no mathcing measuer</t>
        </r>
      </text>
    </comment>
    <comment ref="BH370" authorId="4" shapeId="0" xr:uid="{07E012F4-481E-4DA4-AB47-5312D7488E56}">
      <text>
        <r>
          <rPr>
            <b/>
            <sz val="9"/>
            <color indexed="81"/>
            <rFont val="Tahoma"/>
            <family val="2"/>
          </rPr>
          <t>Sharon Bosley:</t>
        </r>
        <r>
          <rPr>
            <sz val="9"/>
            <color indexed="81"/>
            <rFont val="Tahoma"/>
            <family val="2"/>
          </rPr>
          <t xml:space="preserve">
no mathcing measuer</t>
        </r>
      </text>
    </comment>
    <comment ref="AP371" authorId="4" shapeId="0" xr:uid="{05758E62-E8B5-4F60-B780-FE278C469D09}">
      <text>
        <r>
          <rPr>
            <b/>
            <sz val="9"/>
            <color indexed="81"/>
            <rFont val="Tahoma"/>
            <family val="2"/>
          </rPr>
          <t>Sharon Bosley:</t>
        </r>
        <r>
          <rPr>
            <sz val="9"/>
            <color indexed="81"/>
            <rFont val="Tahoma"/>
            <family val="2"/>
          </rPr>
          <t xml:space="preserve">
no mathcing measuer</t>
        </r>
      </text>
    </comment>
    <comment ref="AV371" authorId="4" shapeId="0" xr:uid="{97AFEF2D-E8F6-46BD-ABC0-102D3EC58153}">
      <text>
        <r>
          <rPr>
            <b/>
            <sz val="9"/>
            <color indexed="81"/>
            <rFont val="Tahoma"/>
            <family val="2"/>
          </rPr>
          <t>Sharon Bosley:</t>
        </r>
        <r>
          <rPr>
            <sz val="9"/>
            <color indexed="81"/>
            <rFont val="Tahoma"/>
            <family val="2"/>
          </rPr>
          <t xml:space="preserve">
no mathcing measuer</t>
        </r>
      </text>
    </comment>
    <comment ref="BB371" authorId="4" shapeId="0" xr:uid="{98ABDB12-8626-4D70-A5E4-85ADEC405650}">
      <text>
        <r>
          <rPr>
            <b/>
            <sz val="9"/>
            <color indexed="81"/>
            <rFont val="Tahoma"/>
            <family val="2"/>
          </rPr>
          <t>Sharon Bosley:</t>
        </r>
        <r>
          <rPr>
            <sz val="9"/>
            <color indexed="81"/>
            <rFont val="Tahoma"/>
            <family val="2"/>
          </rPr>
          <t xml:space="preserve">
no mathcing measuer</t>
        </r>
      </text>
    </comment>
    <comment ref="BH371" authorId="4" shapeId="0" xr:uid="{D5D3B4D0-C2BB-4BFD-A5A1-4B398CC6B7DC}">
      <text>
        <r>
          <rPr>
            <b/>
            <sz val="9"/>
            <color indexed="81"/>
            <rFont val="Tahoma"/>
            <family val="2"/>
          </rPr>
          <t>Sharon Bosley:</t>
        </r>
        <r>
          <rPr>
            <sz val="9"/>
            <color indexed="81"/>
            <rFont val="Tahoma"/>
            <family val="2"/>
          </rPr>
          <t xml:space="preserve">
no mathcing measuer</t>
        </r>
      </text>
    </comment>
    <comment ref="AP373" authorId="4" shapeId="0" xr:uid="{FB0D08DC-E06F-460C-B3D9-0D47A4DD511A}">
      <text>
        <r>
          <rPr>
            <b/>
            <sz val="9"/>
            <color indexed="81"/>
            <rFont val="Tahoma"/>
            <family val="2"/>
          </rPr>
          <t>Sharon Bosley:</t>
        </r>
        <r>
          <rPr>
            <sz val="9"/>
            <color indexed="81"/>
            <rFont val="Tahoma"/>
            <family val="2"/>
          </rPr>
          <t xml:space="preserve">
no mathcing measuer</t>
        </r>
      </text>
    </comment>
    <comment ref="AV373" authorId="4" shapeId="0" xr:uid="{65B9A4E5-6071-4550-9B13-0DA2ACE11C7B}">
      <text>
        <r>
          <rPr>
            <b/>
            <sz val="9"/>
            <color indexed="81"/>
            <rFont val="Tahoma"/>
            <family val="2"/>
          </rPr>
          <t>Sharon Bosley:</t>
        </r>
        <r>
          <rPr>
            <sz val="9"/>
            <color indexed="81"/>
            <rFont val="Tahoma"/>
            <family val="2"/>
          </rPr>
          <t xml:space="preserve">
no mathcing measuer</t>
        </r>
      </text>
    </comment>
    <comment ref="BB373" authorId="4" shapeId="0" xr:uid="{8F9C2C32-59F9-46A2-A9E0-5E732B1C7A67}">
      <text>
        <r>
          <rPr>
            <b/>
            <sz val="9"/>
            <color indexed="81"/>
            <rFont val="Tahoma"/>
            <family val="2"/>
          </rPr>
          <t>Sharon Bosley:</t>
        </r>
        <r>
          <rPr>
            <sz val="9"/>
            <color indexed="81"/>
            <rFont val="Tahoma"/>
            <family val="2"/>
          </rPr>
          <t xml:space="preserve">
no mathcing measuer</t>
        </r>
      </text>
    </comment>
    <comment ref="BH373" authorId="4" shapeId="0" xr:uid="{E7A56FE6-B832-4E89-A98C-4F4CC97F019E}">
      <text>
        <r>
          <rPr>
            <b/>
            <sz val="9"/>
            <color indexed="81"/>
            <rFont val="Tahoma"/>
            <family val="2"/>
          </rPr>
          <t>Sharon Bosley:</t>
        </r>
        <r>
          <rPr>
            <sz val="9"/>
            <color indexed="81"/>
            <rFont val="Tahoma"/>
            <family val="2"/>
          </rPr>
          <t xml:space="preserve">
no mathcing measuer</t>
        </r>
      </text>
    </comment>
    <comment ref="AP375" authorId="4" shapeId="0" xr:uid="{189032E7-5879-43A1-9B60-EB23131913C3}">
      <text>
        <r>
          <rPr>
            <b/>
            <sz val="9"/>
            <color indexed="81"/>
            <rFont val="Tahoma"/>
            <family val="2"/>
          </rPr>
          <t>Sharon Bosley:</t>
        </r>
        <r>
          <rPr>
            <sz val="9"/>
            <color indexed="81"/>
            <rFont val="Tahoma"/>
            <family val="2"/>
          </rPr>
          <t xml:space="preserve">
no mathcing measuer</t>
        </r>
      </text>
    </comment>
    <comment ref="AV375" authorId="4" shapeId="0" xr:uid="{871E7EC0-7054-404C-931D-47D4FD9ABB69}">
      <text>
        <r>
          <rPr>
            <b/>
            <sz val="9"/>
            <color indexed="81"/>
            <rFont val="Tahoma"/>
            <family val="2"/>
          </rPr>
          <t>Sharon Bosley:</t>
        </r>
        <r>
          <rPr>
            <sz val="9"/>
            <color indexed="81"/>
            <rFont val="Tahoma"/>
            <family val="2"/>
          </rPr>
          <t xml:space="preserve">
no mathcing measuer</t>
        </r>
      </text>
    </comment>
    <comment ref="BB375" authorId="4" shapeId="0" xr:uid="{73C54E4B-DB11-4E71-BA70-BFDFE8B5CC38}">
      <text>
        <r>
          <rPr>
            <b/>
            <sz val="9"/>
            <color indexed="81"/>
            <rFont val="Tahoma"/>
            <family val="2"/>
          </rPr>
          <t>Sharon Bosley:</t>
        </r>
        <r>
          <rPr>
            <sz val="9"/>
            <color indexed="81"/>
            <rFont val="Tahoma"/>
            <family val="2"/>
          </rPr>
          <t xml:space="preserve">
no mathcing measuer</t>
        </r>
      </text>
    </comment>
    <comment ref="BH375" authorId="4" shapeId="0" xr:uid="{B9BAB2BB-D6C2-4999-8303-77F034CD9C37}">
      <text>
        <r>
          <rPr>
            <b/>
            <sz val="9"/>
            <color indexed="81"/>
            <rFont val="Tahoma"/>
            <family val="2"/>
          </rPr>
          <t>Sharon Bosley:</t>
        </r>
        <r>
          <rPr>
            <sz val="9"/>
            <color indexed="81"/>
            <rFont val="Tahoma"/>
            <family val="2"/>
          </rPr>
          <t xml:space="preserve">
no mathcing measuer</t>
        </r>
      </text>
    </comment>
    <comment ref="AP376" authorId="4" shapeId="0" xr:uid="{C144FA19-2CE1-471A-BC6D-508DE6A9A658}">
      <text>
        <r>
          <rPr>
            <b/>
            <sz val="9"/>
            <color indexed="81"/>
            <rFont val="Tahoma"/>
            <family val="2"/>
          </rPr>
          <t>Sharon Bosley:</t>
        </r>
        <r>
          <rPr>
            <sz val="9"/>
            <color indexed="81"/>
            <rFont val="Tahoma"/>
            <family val="2"/>
          </rPr>
          <t xml:space="preserve">
no mathcing measuer</t>
        </r>
      </text>
    </comment>
    <comment ref="AV376" authorId="4" shapeId="0" xr:uid="{2CFE25A9-278E-438B-83BF-34F9F45D36B4}">
      <text>
        <r>
          <rPr>
            <b/>
            <sz val="9"/>
            <color indexed="81"/>
            <rFont val="Tahoma"/>
            <family val="2"/>
          </rPr>
          <t>Sharon Bosley:</t>
        </r>
        <r>
          <rPr>
            <sz val="9"/>
            <color indexed="81"/>
            <rFont val="Tahoma"/>
            <family val="2"/>
          </rPr>
          <t xml:space="preserve">
no mathcing measuer</t>
        </r>
      </text>
    </comment>
    <comment ref="BB376" authorId="4" shapeId="0" xr:uid="{C1601CA0-FB71-455F-ABEA-DA162EDFF7C2}">
      <text>
        <r>
          <rPr>
            <b/>
            <sz val="9"/>
            <color indexed="81"/>
            <rFont val="Tahoma"/>
            <family val="2"/>
          </rPr>
          <t>Sharon Bosley:</t>
        </r>
        <r>
          <rPr>
            <sz val="9"/>
            <color indexed="81"/>
            <rFont val="Tahoma"/>
            <family val="2"/>
          </rPr>
          <t xml:space="preserve">
no mathcing measuer</t>
        </r>
      </text>
    </comment>
    <comment ref="BH376" authorId="4" shapeId="0" xr:uid="{6CDB1CBB-68A7-4EE8-B861-489681DD42E2}">
      <text>
        <r>
          <rPr>
            <b/>
            <sz val="9"/>
            <color indexed="81"/>
            <rFont val="Tahoma"/>
            <family val="2"/>
          </rPr>
          <t>Sharon Bosley:</t>
        </r>
        <r>
          <rPr>
            <sz val="9"/>
            <color indexed="81"/>
            <rFont val="Tahoma"/>
            <family val="2"/>
          </rPr>
          <t xml:space="preserve">
no mathcing measuer</t>
        </r>
      </text>
    </comment>
    <comment ref="AP378" authorId="4" shapeId="0" xr:uid="{2AFB2541-DF23-4BC3-B860-14743100A1D4}">
      <text>
        <r>
          <rPr>
            <b/>
            <sz val="9"/>
            <color indexed="81"/>
            <rFont val="Tahoma"/>
            <family val="2"/>
          </rPr>
          <t>Sharon Bosley:</t>
        </r>
        <r>
          <rPr>
            <sz val="9"/>
            <color indexed="81"/>
            <rFont val="Tahoma"/>
            <family val="2"/>
          </rPr>
          <t xml:space="preserve">
no mathcing measuer</t>
        </r>
      </text>
    </comment>
    <comment ref="AV378" authorId="4" shapeId="0" xr:uid="{5DD8B27F-7DED-4918-A8FC-7B378FB3050C}">
      <text>
        <r>
          <rPr>
            <b/>
            <sz val="9"/>
            <color indexed="81"/>
            <rFont val="Tahoma"/>
            <family val="2"/>
          </rPr>
          <t>Sharon Bosley:</t>
        </r>
        <r>
          <rPr>
            <sz val="9"/>
            <color indexed="81"/>
            <rFont val="Tahoma"/>
            <family val="2"/>
          </rPr>
          <t xml:space="preserve">
no mathcing measuer</t>
        </r>
      </text>
    </comment>
    <comment ref="BB378" authorId="4" shapeId="0" xr:uid="{272F3667-013B-4A99-8D6E-C4599ED1AA5A}">
      <text>
        <r>
          <rPr>
            <b/>
            <sz val="9"/>
            <color indexed="81"/>
            <rFont val="Tahoma"/>
            <family val="2"/>
          </rPr>
          <t>Sharon Bosley:</t>
        </r>
        <r>
          <rPr>
            <sz val="9"/>
            <color indexed="81"/>
            <rFont val="Tahoma"/>
            <family val="2"/>
          </rPr>
          <t xml:space="preserve">
no mathcing measuer</t>
        </r>
      </text>
    </comment>
    <comment ref="BH378" authorId="4" shapeId="0" xr:uid="{77814F02-9D1E-421F-A40C-365AB4DFD894}">
      <text>
        <r>
          <rPr>
            <b/>
            <sz val="9"/>
            <color indexed="81"/>
            <rFont val="Tahoma"/>
            <family val="2"/>
          </rPr>
          <t>Sharon Bosley:</t>
        </r>
        <r>
          <rPr>
            <sz val="9"/>
            <color indexed="81"/>
            <rFont val="Tahoma"/>
            <family val="2"/>
          </rPr>
          <t xml:space="preserve">
no mathcing measuer</t>
        </r>
      </text>
    </comment>
    <comment ref="AP380" authorId="4" shapeId="0" xr:uid="{6B4D8044-2EBF-4D9F-8AAD-69A76CEE78AF}">
      <text>
        <r>
          <rPr>
            <b/>
            <sz val="9"/>
            <color indexed="81"/>
            <rFont val="Tahoma"/>
            <family val="2"/>
          </rPr>
          <t>Sharon Bosley:</t>
        </r>
        <r>
          <rPr>
            <sz val="9"/>
            <color indexed="81"/>
            <rFont val="Tahoma"/>
            <family val="2"/>
          </rPr>
          <t xml:space="preserve">
no mathcing measuer</t>
        </r>
      </text>
    </comment>
    <comment ref="AV380" authorId="4" shapeId="0" xr:uid="{AD299FDE-ED70-4335-83D2-AE2529E84F7D}">
      <text>
        <r>
          <rPr>
            <b/>
            <sz val="9"/>
            <color indexed="81"/>
            <rFont val="Tahoma"/>
            <family val="2"/>
          </rPr>
          <t>Sharon Bosley:</t>
        </r>
        <r>
          <rPr>
            <sz val="9"/>
            <color indexed="81"/>
            <rFont val="Tahoma"/>
            <family val="2"/>
          </rPr>
          <t xml:space="preserve">
no mathcing measuer</t>
        </r>
      </text>
    </comment>
    <comment ref="BB380" authorId="4" shapeId="0" xr:uid="{97C21261-7887-4C28-8781-95EF14124D9B}">
      <text>
        <r>
          <rPr>
            <b/>
            <sz val="9"/>
            <color indexed="81"/>
            <rFont val="Tahoma"/>
            <family val="2"/>
          </rPr>
          <t>Sharon Bosley:</t>
        </r>
        <r>
          <rPr>
            <sz val="9"/>
            <color indexed="81"/>
            <rFont val="Tahoma"/>
            <family val="2"/>
          </rPr>
          <t xml:space="preserve">
no mathcing measuer</t>
        </r>
      </text>
    </comment>
    <comment ref="BH380" authorId="4" shapeId="0" xr:uid="{E16D3A68-4E4A-49F1-82EE-DBB68C7B421B}">
      <text>
        <r>
          <rPr>
            <b/>
            <sz val="9"/>
            <color indexed="81"/>
            <rFont val="Tahoma"/>
            <family val="2"/>
          </rPr>
          <t>Sharon Bosley:</t>
        </r>
        <r>
          <rPr>
            <sz val="9"/>
            <color indexed="81"/>
            <rFont val="Tahoma"/>
            <family val="2"/>
          </rPr>
          <t xml:space="preserve">
no mathcing measuer</t>
        </r>
      </text>
    </comment>
    <comment ref="AP387" authorId="4" shapeId="0" xr:uid="{46B5C169-4496-457C-A6E9-525D249E4F39}">
      <text>
        <r>
          <rPr>
            <b/>
            <sz val="9"/>
            <color indexed="81"/>
            <rFont val="Tahoma"/>
            <family val="2"/>
          </rPr>
          <t>Sharon Bosley:</t>
        </r>
        <r>
          <rPr>
            <sz val="9"/>
            <color indexed="81"/>
            <rFont val="Tahoma"/>
            <family val="2"/>
          </rPr>
          <t xml:space="preserve">
no mathcing measuer</t>
        </r>
      </text>
    </comment>
    <comment ref="AV387" authorId="4" shapeId="0" xr:uid="{9A52D19D-50E5-437E-B997-EACB719FECC9}">
      <text>
        <r>
          <rPr>
            <b/>
            <sz val="9"/>
            <color indexed="81"/>
            <rFont val="Tahoma"/>
            <family val="2"/>
          </rPr>
          <t>Sharon Bosley:</t>
        </r>
        <r>
          <rPr>
            <sz val="9"/>
            <color indexed="81"/>
            <rFont val="Tahoma"/>
            <family val="2"/>
          </rPr>
          <t xml:space="preserve">
no mathcing measuer</t>
        </r>
      </text>
    </comment>
    <comment ref="BB387" authorId="4" shapeId="0" xr:uid="{9BCA065D-6B4C-4589-8D8F-95BA59E8ED86}">
      <text>
        <r>
          <rPr>
            <b/>
            <sz val="9"/>
            <color indexed="81"/>
            <rFont val="Tahoma"/>
            <family val="2"/>
          </rPr>
          <t>Sharon Bosley:</t>
        </r>
        <r>
          <rPr>
            <sz val="9"/>
            <color indexed="81"/>
            <rFont val="Tahoma"/>
            <family val="2"/>
          </rPr>
          <t xml:space="preserve">
no mathcing measuer</t>
        </r>
      </text>
    </comment>
    <comment ref="BH387" authorId="4" shapeId="0" xr:uid="{1A08077A-C21E-4E47-89BD-970CD9C982A3}">
      <text>
        <r>
          <rPr>
            <b/>
            <sz val="9"/>
            <color indexed="81"/>
            <rFont val="Tahoma"/>
            <family val="2"/>
          </rPr>
          <t>Sharon Bosley:</t>
        </r>
        <r>
          <rPr>
            <sz val="9"/>
            <color indexed="81"/>
            <rFont val="Tahoma"/>
            <family val="2"/>
          </rPr>
          <t xml:space="preserve">
no mathcing measuer</t>
        </r>
      </text>
    </comment>
    <comment ref="AP388" authorId="4" shapeId="0" xr:uid="{8161D650-36E5-4D63-B56A-DC7969085698}">
      <text>
        <r>
          <rPr>
            <b/>
            <sz val="9"/>
            <color indexed="81"/>
            <rFont val="Tahoma"/>
            <family val="2"/>
          </rPr>
          <t>Sharon Bosley:</t>
        </r>
        <r>
          <rPr>
            <sz val="9"/>
            <color indexed="81"/>
            <rFont val="Tahoma"/>
            <family val="2"/>
          </rPr>
          <t xml:space="preserve">
no mathcing measuer</t>
        </r>
      </text>
    </comment>
    <comment ref="AV388" authorId="4" shapeId="0" xr:uid="{BE32C6D2-59A3-4B2C-B4D2-A7216EFD684D}">
      <text>
        <r>
          <rPr>
            <b/>
            <sz val="9"/>
            <color indexed="81"/>
            <rFont val="Tahoma"/>
            <family val="2"/>
          </rPr>
          <t>Sharon Bosley:</t>
        </r>
        <r>
          <rPr>
            <sz val="9"/>
            <color indexed="81"/>
            <rFont val="Tahoma"/>
            <family val="2"/>
          </rPr>
          <t xml:space="preserve">
no mathcing measuer</t>
        </r>
      </text>
    </comment>
    <comment ref="BB388" authorId="4" shapeId="0" xr:uid="{F01565A4-6400-40B8-ABB2-EE3063BDC7BC}">
      <text>
        <r>
          <rPr>
            <b/>
            <sz val="9"/>
            <color indexed="81"/>
            <rFont val="Tahoma"/>
            <family val="2"/>
          </rPr>
          <t>Sharon Bosley:</t>
        </r>
        <r>
          <rPr>
            <sz val="9"/>
            <color indexed="81"/>
            <rFont val="Tahoma"/>
            <family val="2"/>
          </rPr>
          <t xml:space="preserve">
no mathcing measuer</t>
        </r>
      </text>
    </comment>
    <comment ref="BH388" authorId="4" shapeId="0" xr:uid="{E69F72F4-BA42-4B64-98EC-5EA2EEF11299}">
      <text>
        <r>
          <rPr>
            <b/>
            <sz val="9"/>
            <color indexed="81"/>
            <rFont val="Tahoma"/>
            <family val="2"/>
          </rPr>
          <t>Sharon Bosley:</t>
        </r>
        <r>
          <rPr>
            <sz val="9"/>
            <color indexed="81"/>
            <rFont val="Tahoma"/>
            <family val="2"/>
          </rPr>
          <t xml:space="preserve">
no mathcing measuer</t>
        </r>
      </text>
    </comment>
    <comment ref="AP389" authorId="4" shapeId="0" xr:uid="{31FBF8C7-02F3-454C-91B6-383ACEFACC50}">
      <text>
        <r>
          <rPr>
            <b/>
            <sz val="9"/>
            <color indexed="81"/>
            <rFont val="Tahoma"/>
            <family val="2"/>
          </rPr>
          <t>Sharon Bosley:</t>
        </r>
        <r>
          <rPr>
            <sz val="9"/>
            <color indexed="81"/>
            <rFont val="Tahoma"/>
            <family val="2"/>
          </rPr>
          <t xml:space="preserve">
no mathcing tab</t>
        </r>
      </text>
    </comment>
    <comment ref="AV389" authorId="4" shapeId="0" xr:uid="{F1DEADA3-E791-4DDC-834E-9595B592854E}">
      <text>
        <r>
          <rPr>
            <b/>
            <sz val="9"/>
            <color indexed="81"/>
            <rFont val="Tahoma"/>
            <family val="2"/>
          </rPr>
          <t>Sharon Bosley:</t>
        </r>
        <r>
          <rPr>
            <sz val="9"/>
            <color indexed="81"/>
            <rFont val="Tahoma"/>
            <family val="2"/>
          </rPr>
          <t xml:space="preserve">
no mathcing tab</t>
        </r>
      </text>
    </comment>
    <comment ref="BB389" authorId="4" shapeId="0" xr:uid="{CBE96758-3B40-43D7-B080-36C492D64D11}">
      <text>
        <r>
          <rPr>
            <b/>
            <sz val="9"/>
            <color indexed="81"/>
            <rFont val="Tahoma"/>
            <family val="2"/>
          </rPr>
          <t>Sharon Bosley:</t>
        </r>
        <r>
          <rPr>
            <sz val="9"/>
            <color indexed="81"/>
            <rFont val="Tahoma"/>
            <family val="2"/>
          </rPr>
          <t xml:space="preserve">
no mathcing tab</t>
        </r>
      </text>
    </comment>
    <comment ref="BH389" authorId="4" shapeId="0" xr:uid="{3C87E21C-F039-4647-8BDE-4BE56EAB447D}">
      <text>
        <r>
          <rPr>
            <b/>
            <sz val="9"/>
            <color indexed="81"/>
            <rFont val="Tahoma"/>
            <family val="2"/>
          </rPr>
          <t>Sharon Bosley:</t>
        </r>
        <r>
          <rPr>
            <sz val="9"/>
            <color indexed="81"/>
            <rFont val="Tahoma"/>
            <family val="2"/>
          </rPr>
          <t xml:space="preserve">
no mathcing tab</t>
        </r>
      </text>
    </comment>
    <comment ref="AP390" authorId="4" shapeId="0" xr:uid="{E25FD7BE-F527-4B5A-8C39-499ED09205D6}">
      <text>
        <r>
          <rPr>
            <b/>
            <sz val="9"/>
            <color indexed="81"/>
            <rFont val="Tahoma"/>
            <family val="2"/>
          </rPr>
          <t>Sharon Bosley:</t>
        </r>
        <r>
          <rPr>
            <sz val="9"/>
            <color indexed="81"/>
            <rFont val="Tahoma"/>
            <family val="2"/>
          </rPr>
          <t xml:space="preserve">
no mathcing measuer</t>
        </r>
      </text>
    </comment>
    <comment ref="AV390" authorId="4" shapeId="0" xr:uid="{C2B80D4A-77D3-4B61-8F7E-F28BEF539247}">
      <text>
        <r>
          <rPr>
            <b/>
            <sz val="9"/>
            <color indexed="81"/>
            <rFont val="Tahoma"/>
            <family val="2"/>
          </rPr>
          <t>Sharon Bosley:</t>
        </r>
        <r>
          <rPr>
            <sz val="9"/>
            <color indexed="81"/>
            <rFont val="Tahoma"/>
            <family val="2"/>
          </rPr>
          <t xml:space="preserve">
no mathcing measuer</t>
        </r>
      </text>
    </comment>
    <comment ref="BB390" authorId="4" shapeId="0" xr:uid="{06448661-5D53-4485-9F05-6A12AFFEEAC0}">
      <text>
        <r>
          <rPr>
            <b/>
            <sz val="9"/>
            <color indexed="81"/>
            <rFont val="Tahoma"/>
            <family val="2"/>
          </rPr>
          <t>Sharon Bosley:</t>
        </r>
        <r>
          <rPr>
            <sz val="9"/>
            <color indexed="81"/>
            <rFont val="Tahoma"/>
            <family val="2"/>
          </rPr>
          <t xml:space="preserve">
no mathcing measuer</t>
        </r>
      </text>
    </comment>
    <comment ref="BH390" authorId="4" shapeId="0" xr:uid="{3DDB1E05-4D63-4E57-A8C4-EBD14F8254DE}">
      <text>
        <r>
          <rPr>
            <b/>
            <sz val="9"/>
            <color indexed="81"/>
            <rFont val="Tahoma"/>
            <family val="2"/>
          </rPr>
          <t>Sharon Bosley:</t>
        </r>
        <r>
          <rPr>
            <sz val="9"/>
            <color indexed="81"/>
            <rFont val="Tahoma"/>
            <family val="2"/>
          </rPr>
          <t xml:space="preserve">
no mathcing measuer</t>
        </r>
      </text>
    </comment>
    <comment ref="AP391" authorId="4" shapeId="0" xr:uid="{FEF9B500-A63E-436C-9E95-7E9F3C38FA8E}">
      <text>
        <r>
          <rPr>
            <b/>
            <sz val="9"/>
            <color indexed="81"/>
            <rFont val="Tahoma"/>
            <family val="2"/>
          </rPr>
          <t>Sharon Bosley:</t>
        </r>
        <r>
          <rPr>
            <sz val="9"/>
            <color indexed="81"/>
            <rFont val="Tahoma"/>
            <family val="2"/>
          </rPr>
          <t xml:space="preserve">
no mathcing measuer</t>
        </r>
      </text>
    </comment>
    <comment ref="AV391" authorId="4" shapeId="0" xr:uid="{D64BD81B-DA1A-47CD-9D0A-DB79E8967A6C}">
      <text>
        <r>
          <rPr>
            <b/>
            <sz val="9"/>
            <color indexed="81"/>
            <rFont val="Tahoma"/>
            <family val="2"/>
          </rPr>
          <t>Sharon Bosley:</t>
        </r>
        <r>
          <rPr>
            <sz val="9"/>
            <color indexed="81"/>
            <rFont val="Tahoma"/>
            <family val="2"/>
          </rPr>
          <t xml:space="preserve">
no mathcing measuer</t>
        </r>
      </text>
    </comment>
    <comment ref="BB391" authorId="4" shapeId="0" xr:uid="{C65E681A-AF9E-40CC-B07E-D4355540143E}">
      <text>
        <r>
          <rPr>
            <b/>
            <sz val="9"/>
            <color indexed="81"/>
            <rFont val="Tahoma"/>
            <family val="2"/>
          </rPr>
          <t>Sharon Bosley:</t>
        </r>
        <r>
          <rPr>
            <sz val="9"/>
            <color indexed="81"/>
            <rFont val="Tahoma"/>
            <family val="2"/>
          </rPr>
          <t xml:space="preserve">
no mathcing measuer</t>
        </r>
      </text>
    </comment>
    <comment ref="BH391" authorId="4" shapeId="0" xr:uid="{8F230C6F-EC00-4DCB-A9BF-5088CA67787E}">
      <text>
        <r>
          <rPr>
            <b/>
            <sz val="9"/>
            <color indexed="81"/>
            <rFont val="Tahoma"/>
            <family val="2"/>
          </rPr>
          <t>Sharon Bosley:</t>
        </r>
        <r>
          <rPr>
            <sz val="9"/>
            <color indexed="81"/>
            <rFont val="Tahoma"/>
            <family val="2"/>
          </rPr>
          <t xml:space="preserve">
no mathcing measuer</t>
        </r>
      </text>
    </comment>
    <comment ref="AP393" authorId="4" shapeId="0" xr:uid="{CE4DF3DD-2F46-4595-9C29-A8C387479676}">
      <text>
        <r>
          <rPr>
            <b/>
            <sz val="9"/>
            <color indexed="81"/>
            <rFont val="Tahoma"/>
            <family val="2"/>
          </rPr>
          <t>Sharon Bosley:</t>
        </r>
        <r>
          <rPr>
            <sz val="9"/>
            <color indexed="81"/>
            <rFont val="Tahoma"/>
            <family val="2"/>
          </rPr>
          <t xml:space="preserve">
no mathcing measuer</t>
        </r>
      </text>
    </comment>
    <comment ref="AV393" authorId="4" shapeId="0" xr:uid="{EFE8CA4B-C0C8-489F-AE24-03EDC5696CB2}">
      <text>
        <r>
          <rPr>
            <b/>
            <sz val="9"/>
            <color indexed="81"/>
            <rFont val="Tahoma"/>
            <family val="2"/>
          </rPr>
          <t>Sharon Bosley:</t>
        </r>
        <r>
          <rPr>
            <sz val="9"/>
            <color indexed="81"/>
            <rFont val="Tahoma"/>
            <family val="2"/>
          </rPr>
          <t xml:space="preserve">
no mathcing measuer</t>
        </r>
      </text>
    </comment>
    <comment ref="BB393" authorId="4" shapeId="0" xr:uid="{90058753-E431-42F6-87DD-AF271E154710}">
      <text>
        <r>
          <rPr>
            <b/>
            <sz val="9"/>
            <color indexed="81"/>
            <rFont val="Tahoma"/>
            <family val="2"/>
          </rPr>
          <t>Sharon Bosley:</t>
        </r>
        <r>
          <rPr>
            <sz val="9"/>
            <color indexed="81"/>
            <rFont val="Tahoma"/>
            <family val="2"/>
          </rPr>
          <t xml:space="preserve">
no mathcing measuer</t>
        </r>
      </text>
    </comment>
    <comment ref="BH393" authorId="4" shapeId="0" xr:uid="{A1D26848-8069-4C05-9BC0-F834E976F421}">
      <text>
        <r>
          <rPr>
            <b/>
            <sz val="9"/>
            <color indexed="81"/>
            <rFont val="Tahoma"/>
            <family val="2"/>
          </rPr>
          <t>Sharon Bosley:</t>
        </r>
        <r>
          <rPr>
            <sz val="9"/>
            <color indexed="81"/>
            <rFont val="Tahoma"/>
            <family val="2"/>
          </rPr>
          <t xml:space="preserve">
no mathcing measuer</t>
        </r>
      </text>
    </comment>
    <comment ref="AP394" authorId="4" shapeId="0" xr:uid="{08A2F01B-C93E-433C-895D-0CF8292EF371}">
      <text>
        <r>
          <rPr>
            <b/>
            <sz val="9"/>
            <color indexed="81"/>
            <rFont val="Tahoma"/>
            <family val="2"/>
          </rPr>
          <t>Sharon Bosley:</t>
        </r>
        <r>
          <rPr>
            <sz val="9"/>
            <color indexed="81"/>
            <rFont val="Tahoma"/>
            <family val="2"/>
          </rPr>
          <t xml:space="preserve">
no mathcing measuer</t>
        </r>
      </text>
    </comment>
    <comment ref="AV394" authorId="4" shapeId="0" xr:uid="{AB6B14C5-4C31-48D0-8A2E-CE631038D586}">
      <text>
        <r>
          <rPr>
            <b/>
            <sz val="9"/>
            <color indexed="81"/>
            <rFont val="Tahoma"/>
            <family val="2"/>
          </rPr>
          <t>Sharon Bosley:</t>
        </r>
        <r>
          <rPr>
            <sz val="9"/>
            <color indexed="81"/>
            <rFont val="Tahoma"/>
            <family val="2"/>
          </rPr>
          <t xml:space="preserve">
no mathcing measuer</t>
        </r>
      </text>
    </comment>
    <comment ref="BB394" authorId="4" shapeId="0" xr:uid="{CCF03158-CC16-4AAB-9D08-696641131CEC}">
      <text>
        <r>
          <rPr>
            <b/>
            <sz val="9"/>
            <color indexed="81"/>
            <rFont val="Tahoma"/>
            <family val="2"/>
          </rPr>
          <t>Sharon Bosley:</t>
        </r>
        <r>
          <rPr>
            <sz val="9"/>
            <color indexed="81"/>
            <rFont val="Tahoma"/>
            <family val="2"/>
          </rPr>
          <t xml:space="preserve">
no mathcing measuer</t>
        </r>
      </text>
    </comment>
    <comment ref="BH394" authorId="4" shapeId="0" xr:uid="{62FBCB9A-F293-4827-8A7D-3D76D4E3DDD0}">
      <text>
        <r>
          <rPr>
            <b/>
            <sz val="9"/>
            <color indexed="81"/>
            <rFont val="Tahoma"/>
            <family val="2"/>
          </rPr>
          <t>Sharon Bosley:</t>
        </r>
        <r>
          <rPr>
            <sz val="9"/>
            <color indexed="81"/>
            <rFont val="Tahoma"/>
            <family val="2"/>
          </rPr>
          <t xml:space="preserve">
no mathcing measuer</t>
        </r>
      </text>
    </comment>
    <comment ref="AP396" authorId="4" shapeId="0" xr:uid="{C6F37F05-19FF-45DC-8DB1-369230885E3D}">
      <text>
        <r>
          <rPr>
            <b/>
            <sz val="9"/>
            <color indexed="81"/>
            <rFont val="Tahoma"/>
            <family val="2"/>
          </rPr>
          <t>Sharon Bosley:</t>
        </r>
        <r>
          <rPr>
            <sz val="9"/>
            <color indexed="81"/>
            <rFont val="Tahoma"/>
            <family val="2"/>
          </rPr>
          <t xml:space="preserve">
no mathcing measuer</t>
        </r>
      </text>
    </comment>
    <comment ref="AV396" authorId="4" shapeId="0" xr:uid="{C649B48E-64D4-44F3-BB54-CEB9DF15D28E}">
      <text>
        <r>
          <rPr>
            <b/>
            <sz val="9"/>
            <color indexed="81"/>
            <rFont val="Tahoma"/>
            <family val="2"/>
          </rPr>
          <t>Sharon Bosley:</t>
        </r>
        <r>
          <rPr>
            <sz val="9"/>
            <color indexed="81"/>
            <rFont val="Tahoma"/>
            <family val="2"/>
          </rPr>
          <t xml:space="preserve">
no mathcing measuer</t>
        </r>
      </text>
    </comment>
    <comment ref="BB396" authorId="4" shapeId="0" xr:uid="{18CB5A7E-6B60-4850-8D4E-D8DEB3DC923C}">
      <text>
        <r>
          <rPr>
            <b/>
            <sz val="9"/>
            <color indexed="81"/>
            <rFont val="Tahoma"/>
            <family val="2"/>
          </rPr>
          <t>Sharon Bosley:</t>
        </r>
        <r>
          <rPr>
            <sz val="9"/>
            <color indexed="81"/>
            <rFont val="Tahoma"/>
            <family val="2"/>
          </rPr>
          <t xml:space="preserve">
no mathcing measuer</t>
        </r>
      </text>
    </comment>
    <comment ref="BH396" authorId="4" shapeId="0" xr:uid="{0AF03904-9E47-400F-8FE4-942B624B4557}">
      <text>
        <r>
          <rPr>
            <b/>
            <sz val="9"/>
            <color indexed="81"/>
            <rFont val="Tahoma"/>
            <family val="2"/>
          </rPr>
          <t>Sharon Bosley:</t>
        </r>
        <r>
          <rPr>
            <sz val="9"/>
            <color indexed="81"/>
            <rFont val="Tahoma"/>
            <family val="2"/>
          </rPr>
          <t xml:space="preserve">
no mathcing measuer</t>
        </r>
      </text>
    </comment>
    <comment ref="AP398" authorId="4" shapeId="0" xr:uid="{1481C817-7B64-4957-B60C-71C5A80AD343}">
      <text>
        <r>
          <rPr>
            <b/>
            <sz val="9"/>
            <color indexed="81"/>
            <rFont val="Tahoma"/>
            <family val="2"/>
          </rPr>
          <t>Sharon Bosley:</t>
        </r>
        <r>
          <rPr>
            <sz val="9"/>
            <color indexed="81"/>
            <rFont val="Tahoma"/>
            <family val="2"/>
          </rPr>
          <t xml:space="preserve">
no mathcing measuer</t>
        </r>
      </text>
    </comment>
    <comment ref="AV398" authorId="4" shapeId="0" xr:uid="{F067D1E1-1E8E-4076-AA93-CCCDD0073E8A}">
      <text>
        <r>
          <rPr>
            <b/>
            <sz val="9"/>
            <color indexed="81"/>
            <rFont val="Tahoma"/>
            <family val="2"/>
          </rPr>
          <t>Sharon Bosley:</t>
        </r>
        <r>
          <rPr>
            <sz val="9"/>
            <color indexed="81"/>
            <rFont val="Tahoma"/>
            <family val="2"/>
          </rPr>
          <t xml:space="preserve">
no mathcing measuer</t>
        </r>
      </text>
    </comment>
    <comment ref="BB398" authorId="4" shapeId="0" xr:uid="{19359E61-7244-410C-A048-FB8B0EA92B07}">
      <text>
        <r>
          <rPr>
            <b/>
            <sz val="9"/>
            <color indexed="81"/>
            <rFont val="Tahoma"/>
            <family val="2"/>
          </rPr>
          <t>Sharon Bosley:</t>
        </r>
        <r>
          <rPr>
            <sz val="9"/>
            <color indexed="81"/>
            <rFont val="Tahoma"/>
            <family val="2"/>
          </rPr>
          <t xml:space="preserve">
no mathcing measuer</t>
        </r>
      </text>
    </comment>
    <comment ref="BH398" authorId="4" shapeId="0" xr:uid="{2C2196F1-9DF1-4097-A370-6DECF61110F9}">
      <text>
        <r>
          <rPr>
            <b/>
            <sz val="9"/>
            <color indexed="81"/>
            <rFont val="Tahoma"/>
            <family val="2"/>
          </rPr>
          <t>Sharon Bosley:</t>
        </r>
        <r>
          <rPr>
            <sz val="9"/>
            <color indexed="81"/>
            <rFont val="Tahoma"/>
            <family val="2"/>
          </rPr>
          <t xml:space="preserve">
no mathcing measuer</t>
        </r>
      </text>
    </comment>
    <comment ref="AP399" authorId="4" shapeId="0" xr:uid="{F3F4B798-5385-4287-98C5-5DA414F4C03A}">
      <text>
        <r>
          <rPr>
            <b/>
            <sz val="9"/>
            <color indexed="81"/>
            <rFont val="Tahoma"/>
            <family val="2"/>
          </rPr>
          <t>Sharon Bosley:</t>
        </r>
        <r>
          <rPr>
            <sz val="9"/>
            <color indexed="81"/>
            <rFont val="Tahoma"/>
            <family val="2"/>
          </rPr>
          <t xml:space="preserve">
no mathcing measuer</t>
        </r>
      </text>
    </comment>
    <comment ref="AV399" authorId="4" shapeId="0" xr:uid="{4D4A1686-FC16-442D-B647-12D685FB654E}">
      <text>
        <r>
          <rPr>
            <b/>
            <sz val="9"/>
            <color indexed="81"/>
            <rFont val="Tahoma"/>
            <family val="2"/>
          </rPr>
          <t>Sharon Bosley:</t>
        </r>
        <r>
          <rPr>
            <sz val="9"/>
            <color indexed="81"/>
            <rFont val="Tahoma"/>
            <family val="2"/>
          </rPr>
          <t xml:space="preserve">
no mathcing measuer</t>
        </r>
      </text>
    </comment>
    <comment ref="BB399" authorId="4" shapeId="0" xr:uid="{9007B18B-EC00-49EA-B597-480E7B4EFC42}">
      <text>
        <r>
          <rPr>
            <b/>
            <sz val="9"/>
            <color indexed="81"/>
            <rFont val="Tahoma"/>
            <family val="2"/>
          </rPr>
          <t>Sharon Bosley:</t>
        </r>
        <r>
          <rPr>
            <sz val="9"/>
            <color indexed="81"/>
            <rFont val="Tahoma"/>
            <family val="2"/>
          </rPr>
          <t xml:space="preserve">
no mathcing measuer</t>
        </r>
      </text>
    </comment>
    <comment ref="BH399" authorId="4" shapeId="0" xr:uid="{435E81B7-900B-4DE5-B730-DF80C941258A}">
      <text>
        <r>
          <rPr>
            <b/>
            <sz val="9"/>
            <color indexed="81"/>
            <rFont val="Tahoma"/>
            <family val="2"/>
          </rPr>
          <t>Sharon Bosley:</t>
        </r>
        <r>
          <rPr>
            <sz val="9"/>
            <color indexed="81"/>
            <rFont val="Tahoma"/>
            <family val="2"/>
          </rPr>
          <t xml:space="preserve">
no mathcing measuer</t>
        </r>
      </text>
    </comment>
    <comment ref="AP400" authorId="4" shapeId="0" xr:uid="{2F47803D-F42E-4513-82D1-F36AE8DA0726}">
      <text>
        <r>
          <rPr>
            <b/>
            <sz val="9"/>
            <color indexed="81"/>
            <rFont val="Tahoma"/>
            <family val="2"/>
          </rPr>
          <t>Sharon Bosley:</t>
        </r>
        <r>
          <rPr>
            <sz val="9"/>
            <color indexed="81"/>
            <rFont val="Tahoma"/>
            <family val="2"/>
          </rPr>
          <t xml:space="preserve">
no mathcing measuer</t>
        </r>
      </text>
    </comment>
    <comment ref="AV400" authorId="4" shapeId="0" xr:uid="{D36E5AB5-F817-49E7-9886-1E35BA91BABD}">
      <text>
        <r>
          <rPr>
            <b/>
            <sz val="9"/>
            <color indexed="81"/>
            <rFont val="Tahoma"/>
            <family val="2"/>
          </rPr>
          <t>Sharon Bosley:</t>
        </r>
        <r>
          <rPr>
            <sz val="9"/>
            <color indexed="81"/>
            <rFont val="Tahoma"/>
            <family val="2"/>
          </rPr>
          <t xml:space="preserve">
no mathcing measuer</t>
        </r>
      </text>
    </comment>
    <comment ref="BB400" authorId="4" shapeId="0" xr:uid="{E7CBA2AC-4196-41AB-8E8E-1C4887C591D5}">
      <text>
        <r>
          <rPr>
            <b/>
            <sz val="9"/>
            <color indexed="81"/>
            <rFont val="Tahoma"/>
            <family val="2"/>
          </rPr>
          <t>Sharon Bosley:</t>
        </r>
        <r>
          <rPr>
            <sz val="9"/>
            <color indexed="81"/>
            <rFont val="Tahoma"/>
            <family val="2"/>
          </rPr>
          <t xml:space="preserve">
no mathcing measuer</t>
        </r>
      </text>
    </comment>
    <comment ref="BH400" authorId="4" shapeId="0" xr:uid="{E971C1B9-1EC5-44D5-8527-C541935C574E}">
      <text>
        <r>
          <rPr>
            <b/>
            <sz val="9"/>
            <color indexed="81"/>
            <rFont val="Tahoma"/>
            <family val="2"/>
          </rPr>
          <t>Sharon Bosley:</t>
        </r>
        <r>
          <rPr>
            <sz val="9"/>
            <color indexed="81"/>
            <rFont val="Tahoma"/>
            <family val="2"/>
          </rPr>
          <t xml:space="preserve">
no mathcing measuer</t>
        </r>
      </text>
    </comment>
    <comment ref="AP401" authorId="4" shapeId="0" xr:uid="{C0AA548B-B647-4FA6-B026-D47A205709E5}">
      <text>
        <r>
          <rPr>
            <b/>
            <sz val="9"/>
            <color indexed="81"/>
            <rFont val="Tahoma"/>
            <family val="2"/>
          </rPr>
          <t>Sharon Bosley:</t>
        </r>
        <r>
          <rPr>
            <sz val="9"/>
            <color indexed="81"/>
            <rFont val="Tahoma"/>
            <family val="2"/>
          </rPr>
          <t xml:space="preserve">
no mathcing tab</t>
        </r>
      </text>
    </comment>
    <comment ref="AV401" authorId="4" shapeId="0" xr:uid="{2D3AE1FF-475D-42FE-A754-72C8FBF48598}">
      <text>
        <r>
          <rPr>
            <b/>
            <sz val="9"/>
            <color indexed="81"/>
            <rFont val="Tahoma"/>
            <family val="2"/>
          </rPr>
          <t>Sharon Bosley:</t>
        </r>
        <r>
          <rPr>
            <sz val="9"/>
            <color indexed="81"/>
            <rFont val="Tahoma"/>
            <family val="2"/>
          </rPr>
          <t xml:space="preserve">
no mathcing tab</t>
        </r>
      </text>
    </comment>
    <comment ref="BB401" authorId="4" shapeId="0" xr:uid="{DB1958CD-3E5E-465B-84A8-1F8F573E6F95}">
      <text>
        <r>
          <rPr>
            <b/>
            <sz val="9"/>
            <color indexed="81"/>
            <rFont val="Tahoma"/>
            <family val="2"/>
          </rPr>
          <t>Sharon Bosley:</t>
        </r>
        <r>
          <rPr>
            <sz val="9"/>
            <color indexed="81"/>
            <rFont val="Tahoma"/>
            <family val="2"/>
          </rPr>
          <t xml:space="preserve">
no mathcing tab</t>
        </r>
      </text>
    </comment>
    <comment ref="BH401" authorId="4" shapeId="0" xr:uid="{21C3316A-E932-4F8D-97DC-AFED039C1574}">
      <text>
        <r>
          <rPr>
            <b/>
            <sz val="9"/>
            <color indexed="81"/>
            <rFont val="Tahoma"/>
            <family val="2"/>
          </rPr>
          <t>Sharon Bosley:</t>
        </r>
        <r>
          <rPr>
            <sz val="9"/>
            <color indexed="81"/>
            <rFont val="Tahoma"/>
            <family val="2"/>
          </rPr>
          <t xml:space="preserve">
no mathcing tab</t>
        </r>
      </text>
    </comment>
    <comment ref="AP402" authorId="4" shapeId="0" xr:uid="{87BB4BA6-B6F8-470F-A6BA-E48221EF4503}">
      <text>
        <r>
          <rPr>
            <b/>
            <sz val="9"/>
            <color indexed="81"/>
            <rFont val="Tahoma"/>
            <family val="2"/>
          </rPr>
          <t>Sharon Bosley:</t>
        </r>
        <r>
          <rPr>
            <sz val="9"/>
            <color indexed="81"/>
            <rFont val="Tahoma"/>
            <family val="2"/>
          </rPr>
          <t xml:space="preserve">
no mathcing measuer</t>
        </r>
      </text>
    </comment>
    <comment ref="AV402" authorId="4" shapeId="0" xr:uid="{429D38BA-0992-4242-9213-BDBAB49482B7}">
      <text>
        <r>
          <rPr>
            <b/>
            <sz val="9"/>
            <color indexed="81"/>
            <rFont val="Tahoma"/>
            <family val="2"/>
          </rPr>
          <t>Sharon Bosley:</t>
        </r>
        <r>
          <rPr>
            <sz val="9"/>
            <color indexed="81"/>
            <rFont val="Tahoma"/>
            <family val="2"/>
          </rPr>
          <t xml:space="preserve">
no mathcing measuer</t>
        </r>
      </text>
    </comment>
    <comment ref="BB402" authorId="4" shapeId="0" xr:uid="{A544FDD2-1C24-4CB1-93D9-F1E7E4778871}">
      <text>
        <r>
          <rPr>
            <b/>
            <sz val="9"/>
            <color indexed="81"/>
            <rFont val="Tahoma"/>
            <family val="2"/>
          </rPr>
          <t>Sharon Bosley:</t>
        </r>
        <r>
          <rPr>
            <sz val="9"/>
            <color indexed="81"/>
            <rFont val="Tahoma"/>
            <family val="2"/>
          </rPr>
          <t xml:space="preserve">
no mathcing measuer</t>
        </r>
      </text>
    </comment>
    <comment ref="BH402" authorId="4" shapeId="0" xr:uid="{B2708EDF-895C-4E75-AE62-9626117C989B}">
      <text>
        <r>
          <rPr>
            <b/>
            <sz val="9"/>
            <color indexed="81"/>
            <rFont val="Tahoma"/>
            <family val="2"/>
          </rPr>
          <t>Sharon Bosley:</t>
        </r>
        <r>
          <rPr>
            <sz val="9"/>
            <color indexed="81"/>
            <rFont val="Tahoma"/>
            <family val="2"/>
          </rPr>
          <t xml:space="preserve">
no mathcing measuer</t>
        </r>
      </text>
    </comment>
    <comment ref="AP406" authorId="4" shapeId="0" xr:uid="{A10901B5-885B-4128-B9CA-3C5FFE669D20}">
      <text>
        <r>
          <rPr>
            <b/>
            <sz val="9"/>
            <color indexed="81"/>
            <rFont val="Tahoma"/>
            <family val="2"/>
          </rPr>
          <t>Sharon Bosley:</t>
        </r>
        <r>
          <rPr>
            <sz val="9"/>
            <color indexed="81"/>
            <rFont val="Tahoma"/>
            <family val="2"/>
          </rPr>
          <t xml:space="preserve">
no mathcing measuer</t>
        </r>
      </text>
    </comment>
    <comment ref="AV406" authorId="4" shapeId="0" xr:uid="{FEBA3DDB-0A41-4C54-9ABF-6783CE69C554}">
      <text>
        <r>
          <rPr>
            <b/>
            <sz val="9"/>
            <color indexed="81"/>
            <rFont val="Tahoma"/>
            <family val="2"/>
          </rPr>
          <t>Sharon Bosley:</t>
        </r>
        <r>
          <rPr>
            <sz val="9"/>
            <color indexed="81"/>
            <rFont val="Tahoma"/>
            <family val="2"/>
          </rPr>
          <t xml:space="preserve">
no mathcing measuer</t>
        </r>
      </text>
    </comment>
    <comment ref="BB406" authorId="4" shapeId="0" xr:uid="{42253530-2A4D-4517-8DC3-D9B4175DAF8B}">
      <text>
        <r>
          <rPr>
            <b/>
            <sz val="9"/>
            <color indexed="81"/>
            <rFont val="Tahoma"/>
            <family val="2"/>
          </rPr>
          <t>Sharon Bosley:</t>
        </r>
        <r>
          <rPr>
            <sz val="9"/>
            <color indexed="81"/>
            <rFont val="Tahoma"/>
            <family val="2"/>
          </rPr>
          <t xml:space="preserve">
no mathcing measuer</t>
        </r>
      </text>
    </comment>
    <comment ref="BH406" authorId="4" shapeId="0" xr:uid="{6568E48D-6D99-4018-A907-D88433D49EA2}">
      <text>
        <r>
          <rPr>
            <b/>
            <sz val="9"/>
            <color indexed="81"/>
            <rFont val="Tahoma"/>
            <family val="2"/>
          </rPr>
          <t>Sharon Bosley:</t>
        </r>
        <r>
          <rPr>
            <sz val="9"/>
            <color indexed="81"/>
            <rFont val="Tahoma"/>
            <family val="2"/>
          </rPr>
          <t xml:space="preserve">
no mathcing measuer</t>
        </r>
      </text>
    </comment>
    <comment ref="AP407" authorId="4" shapeId="0" xr:uid="{593A2102-9F1A-4483-B7FF-46A5DABD5F44}">
      <text>
        <r>
          <rPr>
            <b/>
            <sz val="9"/>
            <color indexed="81"/>
            <rFont val="Tahoma"/>
            <family val="2"/>
          </rPr>
          <t>Sharon Bosley:</t>
        </r>
        <r>
          <rPr>
            <sz val="9"/>
            <color indexed="81"/>
            <rFont val="Tahoma"/>
            <family val="2"/>
          </rPr>
          <t xml:space="preserve">
no mathcing measuer</t>
        </r>
      </text>
    </comment>
    <comment ref="AV407" authorId="4" shapeId="0" xr:uid="{48C1EB15-8669-4B14-BE15-89DB43B90BEC}">
      <text>
        <r>
          <rPr>
            <b/>
            <sz val="9"/>
            <color indexed="81"/>
            <rFont val="Tahoma"/>
            <family val="2"/>
          </rPr>
          <t>Sharon Bosley:</t>
        </r>
        <r>
          <rPr>
            <sz val="9"/>
            <color indexed="81"/>
            <rFont val="Tahoma"/>
            <family val="2"/>
          </rPr>
          <t xml:space="preserve">
no mathcing measuer</t>
        </r>
      </text>
    </comment>
    <comment ref="BB407" authorId="4" shapeId="0" xr:uid="{D45A35A3-C68B-40A1-A159-5768BFCC9317}">
      <text>
        <r>
          <rPr>
            <b/>
            <sz val="9"/>
            <color indexed="81"/>
            <rFont val="Tahoma"/>
            <family val="2"/>
          </rPr>
          <t>Sharon Bosley:</t>
        </r>
        <r>
          <rPr>
            <sz val="9"/>
            <color indexed="81"/>
            <rFont val="Tahoma"/>
            <family val="2"/>
          </rPr>
          <t xml:space="preserve">
no mathcing measuer</t>
        </r>
      </text>
    </comment>
    <comment ref="BH407" authorId="4" shapeId="0" xr:uid="{C4FFF175-C2DF-4A42-A705-6A019163A8F4}">
      <text>
        <r>
          <rPr>
            <b/>
            <sz val="9"/>
            <color indexed="81"/>
            <rFont val="Tahoma"/>
            <family val="2"/>
          </rPr>
          <t>Sharon Bosley:</t>
        </r>
        <r>
          <rPr>
            <sz val="9"/>
            <color indexed="81"/>
            <rFont val="Tahoma"/>
            <family val="2"/>
          </rPr>
          <t xml:space="preserve">
no mathcing measuer</t>
        </r>
      </text>
    </comment>
    <comment ref="AP408" authorId="4" shapeId="0" xr:uid="{A30CA9E8-4038-4718-9C96-CA8523D13DD8}">
      <text>
        <r>
          <rPr>
            <b/>
            <sz val="9"/>
            <color indexed="81"/>
            <rFont val="Tahoma"/>
            <family val="2"/>
          </rPr>
          <t>Sharon Bosley:</t>
        </r>
        <r>
          <rPr>
            <sz val="9"/>
            <color indexed="81"/>
            <rFont val="Tahoma"/>
            <family val="2"/>
          </rPr>
          <t xml:space="preserve">
no mathcing measuer</t>
        </r>
      </text>
    </comment>
    <comment ref="AV408" authorId="4" shapeId="0" xr:uid="{0EED6E96-B460-47D1-A568-F1EE04BDD285}">
      <text>
        <r>
          <rPr>
            <b/>
            <sz val="9"/>
            <color indexed="81"/>
            <rFont val="Tahoma"/>
            <family val="2"/>
          </rPr>
          <t>Sharon Bosley:</t>
        </r>
        <r>
          <rPr>
            <sz val="9"/>
            <color indexed="81"/>
            <rFont val="Tahoma"/>
            <family val="2"/>
          </rPr>
          <t xml:space="preserve">
no mathcing measuer</t>
        </r>
      </text>
    </comment>
    <comment ref="BB408" authorId="4" shapeId="0" xr:uid="{B59D6746-AD05-4EA1-B290-4B55F4D86429}">
      <text>
        <r>
          <rPr>
            <b/>
            <sz val="9"/>
            <color indexed="81"/>
            <rFont val="Tahoma"/>
            <family val="2"/>
          </rPr>
          <t>Sharon Bosley:</t>
        </r>
        <r>
          <rPr>
            <sz val="9"/>
            <color indexed="81"/>
            <rFont val="Tahoma"/>
            <family val="2"/>
          </rPr>
          <t xml:space="preserve">
no mathcing measuer</t>
        </r>
      </text>
    </comment>
    <comment ref="BH408" authorId="4" shapeId="0" xr:uid="{2C9FF68A-8BBB-4420-BD4F-15EE69438A5F}">
      <text>
        <r>
          <rPr>
            <b/>
            <sz val="9"/>
            <color indexed="81"/>
            <rFont val="Tahoma"/>
            <family val="2"/>
          </rPr>
          <t>Sharon Bosley:</t>
        </r>
        <r>
          <rPr>
            <sz val="9"/>
            <color indexed="81"/>
            <rFont val="Tahoma"/>
            <family val="2"/>
          </rPr>
          <t xml:space="preserve">
no mathcing measuer</t>
        </r>
      </text>
    </comment>
    <comment ref="AP409" authorId="4" shapeId="0" xr:uid="{129BCECD-73A5-4487-89CD-615A58744A12}">
      <text>
        <r>
          <rPr>
            <b/>
            <sz val="9"/>
            <color indexed="81"/>
            <rFont val="Tahoma"/>
            <family val="2"/>
          </rPr>
          <t>Sharon Bosley:</t>
        </r>
        <r>
          <rPr>
            <sz val="9"/>
            <color indexed="81"/>
            <rFont val="Tahoma"/>
            <family val="2"/>
          </rPr>
          <t xml:space="preserve">
no mathcing tab</t>
        </r>
      </text>
    </comment>
    <comment ref="AV409" authorId="4" shapeId="0" xr:uid="{46C65D9B-A155-4BA2-8FCB-0793C35E7993}">
      <text>
        <r>
          <rPr>
            <b/>
            <sz val="9"/>
            <color indexed="81"/>
            <rFont val="Tahoma"/>
            <family val="2"/>
          </rPr>
          <t>Sharon Bosley:</t>
        </r>
        <r>
          <rPr>
            <sz val="9"/>
            <color indexed="81"/>
            <rFont val="Tahoma"/>
            <family val="2"/>
          </rPr>
          <t xml:space="preserve">
no mathcing tab</t>
        </r>
      </text>
    </comment>
    <comment ref="BB409" authorId="4" shapeId="0" xr:uid="{11FF3F72-48E2-42D6-939E-53F77C54F2E3}">
      <text>
        <r>
          <rPr>
            <b/>
            <sz val="9"/>
            <color indexed="81"/>
            <rFont val="Tahoma"/>
            <family val="2"/>
          </rPr>
          <t>Sharon Bosley:</t>
        </r>
        <r>
          <rPr>
            <sz val="9"/>
            <color indexed="81"/>
            <rFont val="Tahoma"/>
            <family val="2"/>
          </rPr>
          <t xml:space="preserve">
no mathcing tab</t>
        </r>
      </text>
    </comment>
    <comment ref="BH409" authorId="4" shapeId="0" xr:uid="{21B3C74C-E56A-4D8A-A568-A3F432267C65}">
      <text>
        <r>
          <rPr>
            <b/>
            <sz val="9"/>
            <color indexed="81"/>
            <rFont val="Tahoma"/>
            <family val="2"/>
          </rPr>
          <t>Sharon Bosley:</t>
        </r>
        <r>
          <rPr>
            <sz val="9"/>
            <color indexed="81"/>
            <rFont val="Tahoma"/>
            <family val="2"/>
          </rPr>
          <t xml:space="preserve">
no mathcing tab</t>
        </r>
      </text>
    </comment>
    <comment ref="AP410" authorId="4" shapeId="0" xr:uid="{D085F4F3-C8FE-496E-94F8-FAEAB49DD6ED}">
      <text>
        <r>
          <rPr>
            <b/>
            <sz val="9"/>
            <color indexed="81"/>
            <rFont val="Tahoma"/>
            <family val="2"/>
          </rPr>
          <t>Sharon Bosley:</t>
        </r>
        <r>
          <rPr>
            <sz val="9"/>
            <color indexed="81"/>
            <rFont val="Tahoma"/>
            <family val="2"/>
          </rPr>
          <t xml:space="preserve">
no mathcing tab</t>
        </r>
      </text>
    </comment>
    <comment ref="AV410" authorId="4" shapeId="0" xr:uid="{17907CB0-C139-4795-925D-9415B06784E9}">
      <text>
        <r>
          <rPr>
            <b/>
            <sz val="9"/>
            <color indexed="81"/>
            <rFont val="Tahoma"/>
            <family val="2"/>
          </rPr>
          <t>Sharon Bosley:</t>
        </r>
        <r>
          <rPr>
            <sz val="9"/>
            <color indexed="81"/>
            <rFont val="Tahoma"/>
            <family val="2"/>
          </rPr>
          <t xml:space="preserve">
no mathcing tab</t>
        </r>
      </text>
    </comment>
    <comment ref="BB410" authorId="4" shapeId="0" xr:uid="{3AF1F187-668C-467A-9113-7E25549DD23A}">
      <text>
        <r>
          <rPr>
            <b/>
            <sz val="9"/>
            <color indexed="81"/>
            <rFont val="Tahoma"/>
            <family val="2"/>
          </rPr>
          <t>Sharon Bosley:</t>
        </r>
        <r>
          <rPr>
            <sz val="9"/>
            <color indexed="81"/>
            <rFont val="Tahoma"/>
            <family val="2"/>
          </rPr>
          <t xml:space="preserve">
no mathcing tab</t>
        </r>
      </text>
    </comment>
    <comment ref="BH410" authorId="4" shapeId="0" xr:uid="{DB4C66EE-1931-4613-A626-22FC278BD1A5}">
      <text>
        <r>
          <rPr>
            <b/>
            <sz val="9"/>
            <color indexed="81"/>
            <rFont val="Tahoma"/>
            <family val="2"/>
          </rPr>
          <t>Sharon Bosley:</t>
        </r>
        <r>
          <rPr>
            <sz val="9"/>
            <color indexed="81"/>
            <rFont val="Tahoma"/>
            <family val="2"/>
          </rPr>
          <t xml:space="preserve">
no mathcing tab</t>
        </r>
      </text>
    </comment>
    <comment ref="AP418" authorId="4" shapeId="0" xr:uid="{11A25DA5-FE5B-4425-992C-3ECF59A19773}">
      <text>
        <r>
          <rPr>
            <b/>
            <sz val="9"/>
            <color indexed="81"/>
            <rFont val="Tahoma"/>
            <family val="2"/>
          </rPr>
          <t>Sharon Bosley:</t>
        </r>
        <r>
          <rPr>
            <sz val="9"/>
            <color indexed="81"/>
            <rFont val="Tahoma"/>
            <family val="2"/>
          </rPr>
          <t xml:space="preserve">
no mathcing measure</t>
        </r>
      </text>
    </comment>
    <comment ref="AV418" authorId="4" shapeId="0" xr:uid="{61D0E48C-4868-4D28-BACB-6A0656D076EB}">
      <text>
        <r>
          <rPr>
            <b/>
            <sz val="9"/>
            <color indexed="81"/>
            <rFont val="Tahoma"/>
            <family val="2"/>
          </rPr>
          <t>Sharon Bosley:</t>
        </r>
        <r>
          <rPr>
            <sz val="9"/>
            <color indexed="81"/>
            <rFont val="Tahoma"/>
            <family val="2"/>
          </rPr>
          <t xml:space="preserve">
no mathcing measure</t>
        </r>
      </text>
    </comment>
    <comment ref="BB418" authorId="4" shapeId="0" xr:uid="{BEEC3F13-D93B-4D69-B1F1-D722017B2D48}">
      <text>
        <r>
          <rPr>
            <b/>
            <sz val="9"/>
            <color indexed="81"/>
            <rFont val="Tahoma"/>
            <family val="2"/>
          </rPr>
          <t>Sharon Bosley:</t>
        </r>
        <r>
          <rPr>
            <sz val="9"/>
            <color indexed="81"/>
            <rFont val="Tahoma"/>
            <family val="2"/>
          </rPr>
          <t xml:space="preserve">
no mathcing measure</t>
        </r>
      </text>
    </comment>
    <comment ref="BH418" authorId="4" shapeId="0" xr:uid="{F1952622-D87E-48B9-9E1C-154233086A45}">
      <text>
        <r>
          <rPr>
            <b/>
            <sz val="9"/>
            <color indexed="81"/>
            <rFont val="Tahoma"/>
            <family val="2"/>
          </rPr>
          <t>Sharon Bosley:</t>
        </r>
        <r>
          <rPr>
            <sz val="9"/>
            <color indexed="81"/>
            <rFont val="Tahoma"/>
            <family val="2"/>
          </rPr>
          <t xml:space="preserve">
no mathcing measure</t>
        </r>
      </text>
    </comment>
    <comment ref="AP420" authorId="4" shapeId="0" xr:uid="{6038D69F-F4F7-4E81-A60F-B113F393E87A}">
      <text>
        <r>
          <rPr>
            <b/>
            <sz val="9"/>
            <color indexed="81"/>
            <rFont val="Tahoma"/>
            <family val="2"/>
          </rPr>
          <t>Sharon Bosley:</t>
        </r>
        <r>
          <rPr>
            <sz val="9"/>
            <color indexed="81"/>
            <rFont val="Tahoma"/>
            <family val="2"/>
          </rPr>
          <t xml:space="preserve">
no mathcing measure</t>
        </r>
      </text>
    </comment>
    <comment ref="AV420" authorId="4" shapeId="0" xr:uid="{8AB0F762-56E6-4228-A6A5-5935341E0245}">
      <text>
        <r>
          <rPr>
            <b/>
            <sz val="9"/>
            <color indexed="81"/>
            <rFont val="Tahoma"/>
            <family val="2"/>
          </rPr>
          <t>Sharon Bosley:</t>
        </r>
        <r>
          <rPr>
            <sz val="9"/>
            <color indexed="81"/>
            <rFont val="Tahoma"/>
            <family val="2"/>
          </rPr>
          <t xml:space="preserve">
no mathcing measure</t>
        </r>
      </text>
    </comment>
    <comment ref="BB420" authorId="4" shapeId="0" xr:uid="{27F4875D-93ED-4D87-82B7-5544ED154929}">
      <text>
        <r>
          <rPr>
            <b/>
            <sz val="9"/>
            <color indexed="81"/>
            <rFont val="Tahoma"/>
            <family val="2"/>
          </rPr>
          <t>Sharon Bosley:</t>
        </r>
        <r>
          <rPr>
            <sz val="9"/>
            <color indexed="81"/>
            <rFont val="Tahoma"/>
            <family val="2"/>
          </rPr>
          <t xml:space="preserve">
no mathcing measure</t>
        </r>
      </text>
    </comment>
    <comment ref="BH420" authorId="4" shapeId="0" xr:uid="{31DB9914-C187-45C5-AE68-AB30D8871F0F}">
      <text>
        <r>
          <rPr>
            <b/>
            <sz val="9"/>
            <color indexed="81"/>
            <rFont val="Tahoma"/>
            <family val="2"/>
          </rPr>
          <t>Sharon Bosley:</t>
        </r>
        <r>
          <rPr>
            <sz val="9"/>
            <color indexed="81"/>
            <rFont val="Tahoma"/>
            <family val="2"/>
          </rPr>
          <t xml:space="preserve">
no mathcing measure</t>
        </r>
      </text>
    </comment>
    <comment ref="AP421" authorId="4" shapeId="0" xr:uid="{BBD303E2-6453-4B9C-9713-EC8BD966A60A}">
      <text>
        <r>
          <rPr>
            <b/>
            <sz val="9"/>
            <color indexed="81"/>
            <rFont val="Tahoma"/>
            <family val="2"/>
          </rPr>
          <t>Sharon Bosley:</t>
        </r>
        <r>
          <rPr>
            <sz val="9"/>
            <color indexed="81"/>
            <rFont val="Tahoma"/>
            <family val="2"/>
          </rPr>
          <t xml:space="preserve">
no mathcing measure</t>
        </r>
      </text>
    </comment>
    <comment ref="AV421" authorId="4" shapeId="0" xr:uid="{A4C3680E-2973-462A-BB92-2F982DB152A2}">
      <text>
        <r>
          <rPr>
            <b/>
            <sz val="9"/>
            <color indexed="81"/>
            <rFont val="Tahoma"/>
            <family val="2"/>
          </rPr>
          <t>Sharon Bosley:</t>
        </r>
        <r>
          <rPr>
            <sz val="9"/>
            <color indexed="81"/>
            <rFont val="Tahoma"/>
            <family val="2"/>
          </rPr>
          <t xml:space="preserve">
no mathcing measure</t>
        </r>
      </text>
    </comment>
    <comment ref="BB421" authorId="4" shapeId="0" xr:uid="{CF2E66A2-FE36-4F87-A1B7-FA3CC314B42D}">
      <text>
        <r>
          <rPr>
            <b/>
            <sz val="9"/>
            <color indexed="81"/>
            <rFont val="Tahoma"/>
            <family val="2"/>
          </rPr>
          <t>Sharon Bosley:</t>
        </r>
        <r>
          <rPr>
            <sz val="9"/>
            <color indexed="81"/>
            <rFont val="Tahoma"/>
            <family val="2"/>
          </rPr>
          <t xml:space="preserve">
no mathcing measure</t>
        </r>
      </text>
    </comment>
    <comment ref="BH421" authorId="4" shapeId="0" xr:uid="{4AE43D7C-765C-4EF0-8D7A-81565DB7FDF8}">
      <text>
        <r>
          <rPr>
            <b/>
            <sz val="9"/>
            <color indexed="81"/>
            <rFont val="Tahoma"/>
            <family val="2"/>
          </rPr>
          <t>Sharon Bosley:</t>
        </r>
        <r>
          <rPr>
            <sz val="9"/>
            <color indexed="81"/>
            <rFont val="Tahoma"/>
            <family val="2"/>
          </rPr>
          <t xml:space="preserve">
no mathcing measure</t>
        </r>
      </text>
    </comment>
    <comment ref="AP427" authorId="4" shapeId="0" xr:uid="{A62BA194-BE76-4B20-A49A-A1505E73B573}">
      <text>
        <r>
          <rPr>
            <b/>
            <sz val="9"/>
            <color indexed="81"/>
            <rFont val="Tahoma"/>
            <family val="2"/>
          </rPr>
          <t>Sharon Bosley:</t>
        </r>
        <r>
          <rPr>
            <sz val="9"/>
            <color indexed="81"/>
            <rFont val="Tahoma"/>
            <family val="2"/>
          </rPr>
          <t xml:space="preserve">
no tab</t>
        </r>
      </text>
    </comment>
    <comment ref="AV427" authorId="4" shapeId="0" xr:uid="{4112ABCA-28FF-4B2B-AB99-9222D8B7244A}">
      <text>
        <r>
          <rPr>
            <b/>
            <sz val="9"/>
            <color indexed="81"/>
            <rFont val="Tahoma"/>
            <family val="2"/>
          </rPr>
          <t>Sharon Bosley:</t>
        </r>
        <r>
          <rPr>
            <sz val="9"/>
            <color indexed="81"/>
            <rFont val="Tahoma"/>
            <family val="2"/>
          </rPr>
          <t xml:space="preserve">
no tab</t>
        </r>
      </text>
    </comment>
    <comment ref="BB427" authorId="4" shapeId="0" xr:uid="{773D1FA1-13EE-466F-9D2A-62B31DF0F725}">
      <text>
        <r>
          <rPr>
            <b/>
            <sz val="9"/>
            <color indexed="81"/>
            <rFont val="Tahoma"/>
            <family val="2"/>
          </rPr>
          <t>Sharon Bosley:</t>
        </r>
        <r>
          <rPr>
            <sz val="9"/>
            <color indexed="81"/>
            <rFont val="Tahoma"/>
            <family val="2"/>
          </rPr>
          <t xml:space="preserve">
no tab</t>
        </r>
      </text>
    </comment>
    <comment ref="BH427" authorId="4" shapeId="0" xr:uid="{A453DA0D-7EE9-4BC6-A783-D06E9DB1674A}">
      <text>
        <r>
          <rPr>
            <b/>
            <sz val="9"/>
            <color indexed="81"/>
            <rFont val="Tahoma"/>
            <family val="2"/>
          </rPr>
          <t>Sharon Bosley:</t>
        </r>
        <r>
          <rPr>
            <sz val="9"/>
            <color indexed="81"/>
            <rFont val="Tahoma"/>
            <family val="2"/>
          </rPr>
          <t xml:space="preserve">
no tab</t>
        </r>
      </text>
    </comment>
    <comment ref="AP437" authorId="4" shapeId="0" xr:uid="{EFA7819D-2CBD-46BC-9715-0C905FE9D211}">
      <text>
        <r>
          <rPr>
            <b/>
            <sz val="9"/>
            <color indexed="81"/>
            <rFont val="Tahoma"/>
            <family val="2"/>
          </rPr>
          <t>Sharon Bosley:</t>
        </r>
        <r>
          <rPr>
            <sz val="9"/>
            <color indexed="81"/>
            <rFont val="Tahoma"/>
            <family val="2"/>
          </rPr>
          <t xml:space="preserve">
no mathcing measure</t>
        </r>
      </text>
    </comment>
    <comment ref="AV437" authorId="4" shapeId="0" xr:uid="{73859A33-3010-4D90-86E5-9AD09223DCB2}">
      <text>
        <r>
          <rPr>
            <b/>
            <sz val="9"/>
            <color indexed="81"/>
            <rFont val="Tahoma"/>
            <family val="2"/>
          </rPr>
          <t>Sharon Bosley:</t>
        </r>
        <r>
          <rPr>
            <sz val="9"/>
            <color indexed="81"/>
            <rFont val="Tahoma"/>
            <family val="2"/>
          </rPr>
          <t xml:space="preserve">
no mathcing measure</t>
        </r>
      </text>
    </comment>
    <comment ref="BB437" authorId="4" shapeId="0" xr:uid="{42295F7D-8B64-451E-BF35-6B2584324244}">
      <text>
        <r>
          <rPr>
            <b/>
            <sz val="9"/>
            <color indexed="81"/>
            <rFont val="Tahoma"/>
            <family val="2"/>
          </rPr>
          <t>Sharon Bosley:</t>
        </r>
        <r>
          <rPr>
            <sz val="9"/>
            <color indexed="81"/>
            <rFont val="Tahoma"/>
            <family val="2"/>
          </rPr>
          <t xml:space="preserve">
no mathcing measure</t>
        </r>
      </text>
    </comment>
    <comment ref="BH437" authorId="4" shapeId="0" xr:uid="{ED9B208B-959F-4C3B-A82F-980C6EEAE710}">
      <text>
        <r>
          <rPr>
            <b/>
            <sz val="9"/>
            <color indexed="81"/>
            <rFont val="Tahoma"/>
            <family val="2"/>
          </rPr>
          <t>Sharon Bosley:</t>
        </r>
        <r>
          <rPr>
            <sz val="9"/>
            <color indexed="81"/>
            <rFont val="Tahoma"/>
            <family val="2"/>
          </rPr>
          <t xml:space="preserve">
no mathcing measure</t>
        </r>
      </text>
    </comment>
    <comment ref="AP438" authorId="4" shapeId="0" xr:uid="{721C4A3D-691B-4B41-97C3-856478549CA3}">
      <text>
        <r>
          <rPr>
            <b/>
            <sz val="9"/>
            <color indexed="81"/>
            <rFont val="Tahoma"/>
            <family val="2"/>
          </rPr>
          <t>Sharon Bosley:</t>
        </r>
        <r>
          <rPr>
            <sz val="9"/>
            <color indexed="81"/>
            <rFont val="Tahoma"/>
            <family val="2"/>
          </rPr>
          <t xml:space="preserve">
no mathcing measure</t>
        </r>
      </text>
    </comment>
    <comment ref="AV438" authorId="4" shapeId="0" xr:uid="{35BF7F60-5DD0-483C-BFE8-758571DA0D8E}">
      <text>
        <r>
          <rPr>
            <b/>
            <sz val="9"/>
            <color indexed="81"/>
            <rFont val="Tahoma"/>
            <family val="2"/>
          </rPr>
          <t>Sharon Bosley:</t>
        </r>
        <r>
          <rPr>
            <sz val="9"/>
            <color indexed="81"/>
            <rFont val="Tahoma"/>
            <family val="2"/>
          </rPr>
          <t xml:space="preserve">
no mathcing measure</t>
        </r>
      </text>
    </comment>
    <comment ref="BB438" authorId="4" shapeId="0" xr:uid="{242AEAF9-341E-4208-BE34-33030D33BF47}">
      <text>
        <r>
          <rPr>
            <b/>
            <sz val="9"/>
            <color indexed="81"/>
            <rFont val="Tahoma"/>
            <family val="2"/>
          </rPr>
          <t>Sharon Bosley:</t>
        </r>
        <r>
          <rPr>
            <sz val="9"/>
            <color indexed="81"/>
            <rFont val="Tahoma"/>
            <family val="2"/>
          </rPr>
          <t xml:space="preserve">
no mathcing measure</t>
        </r>
      </text>
    </comment>
    <comment ref="BH438" authorId="4" shapeId="0" xr:uid="{8CDACCE7-5D08-4E9E-B952-E2DC1E31710D}">
      <text>
        <r>
          <rPr>
            <b/>
            <sz val="9"/>
            <color indexed="81"/>
            <rFont val="Tahoma"/>
            <family val="2"/>
          </rPr>
          <t>Sharon Bosley:</t>
        </r>
        <r>
          <rPr>
            <sz val="9"/>
            <color indexed="81"/>
            <rFont val="Tahoma"/>
            <family val="2"/>
          </rPr>
          <t xml:space="preserve">
no mathcing measure</t>
        </r>
      </text>
    </comment>
    <comment ref="AP439" authorId="4" shapeId="0" xr:uid="{4529BE7E-D208-4504-A752-AAA8269631C8}">
      <text>
        <r>
          <rPr>
            <b/>
            <sz val="9"/>
            <color indexed="81"/>
            <rFont val="Tahoma"/>
            <family val="2"/>
          </rPr>
          <t>Sharon Bosley:</t>
        </r>
        <r>
          <rPr>
            <sz val="9"/>
            <color indexed="81"/>
            <rFont val="Tahoma"/>
            <family val="2"/>
          </rPr>
          <t xml:space="preserve">
no mathcing measure</t>
        </r>
      </text>
    </comment>
    <comment ref="AV439" authorId="4" shapeId="0" xr:uid="{FAA2256F-59F2-4429-806D-C3A6BC27EE70}">
      <text>
        <r>
          <rPr>
            <b/>
            <sz val="9"/>
            <color indexed="81"/>
            <rFont val="Tahoma"/>
            <family val="2"/>
          </rPr>
          <t>Sharon Bosley:</t>
        </r>
        <r>
          <rPr>
            <sz val="9"/>
            <color indexed="81"/>
            <rFont val="Tahoma"/>
            <family val="2"/>
          </rPr>
          <t xml:space="preserve">
no mathcing measure</t>
        </r>
      </text>
    </comment>
    <comment ref="BB439" authorId="4" shapeId="0" xr:uid="{90A6C63E-8961-4A0A-B44F-3EACCB6AFEFA}">
      <text>
        <r>
          <rPr>
            <b/>
            <sz val="9"/>
            <color indexed="81"/>
            <rFont val="Tahoma"/>
            <family val="2"/>
          </rPr>
          <t>Sharon Bosley:</t>
        </r>
        <r>
          <rPr>
            <sz val="9"/>
            <color indexed="81"/>
            <rFont val="Tahoma"/>
            <family val="2"/>
          </rPr>
          <t xml:space="preserve">
no mathcing measure</t>
        </r>
      </text>
    </comment>
    <comment ref="BH439" authorId="4" shapeId="0" xr:uid="{B3F3011F-CEE8-4C4A-8583-A7A67903395C}">
      <text>
        <r>
          <rPr>
            <b/>
            <sz val="9"/>
            <color indexed="81"/>
            <rFont val="Tahoma"/>
            <family val="2"/>
          </rPr>
          <t>Sharon Bosley:</t>
        </r>
        <r>
          <rPr>
            <sz val="9"/>
            <color indexed="81"/>
            <rFont val="Tahoma"/>
            <family val="2"/>
          </rPr>
          <t xml:space="preserve">
no mathcing measure</t>
        </r>
      </text>
    </comment>
    <comment ref="AP440" authorId="4" shapeId="0" xr:uid="{FF4FD405-0FEF-4AF7-A63E-A7278D1A611F}">
      <text>
        <r>
          <rPr>
            <b/>
            <sz val="9"/>
            <color indexed="81"/>
            <rFont val="Tahoma"/>
            <family val="2"/>
          </rPr>
          <t>Sharon Bosley:</t>
        </r>
        <r>
          <rPr>
            <sz val="9"/>
            <color indexed="81"/>
            <rFont val="Tahoma"/>
            <family val="2"/>
          </rPr>
          <t xml:space="preserve">
no mathcing measure</t>
        </r>
      </text>
    </comment>
    <comment ref="AV440" authorId="4" shapeId="0" xr:uid="{127792EE-63DA-48CB-8E09-4FDB1E4618C1}">
      <text>
        <r>
          <rPr>
            <b/>
            <sz val="9"/>
            <color indexed="81"/>
            <rFont val="Tahoma"/>
            <family val="2"/>
          </rPr>
          <t>Sharon Bosley:</t>
        </r>
        <r>
          <rPr>
            <sz val="9"/>
            <color indexed="81"/>
            <rFont val="Tahoma"/>
            <family val="2"/>
          </rPr>
          <t xml:space="preserve">
no mathcing measure</t>
        </r>
      </text>
    </comment>
    <comment ref="BB440" authorId="4" shapeId="0" xr:uid="{780431C4-A0BD-41F6-81D1-E08658346437}">
      <text>
        <r>
          <rPr>
            <b/>
            <sz val="9"/>
            <color indexed="81"/>
            <rFont val="Tahoma"/>
            <family val="2"/>
          </rPr>
          <t>Sharon Bosley:</t>
        </r>
        <r>
          <rPr>
            <sz val="9"/>
            <color indexed="81"/>
            <rFont val="Tahoma"/>
            <family val="2"/>
          </rPr>
          <t xml:space="preserve">
no mathcing measure</t>
        </r>
      </text>
    </comment>
    <comment ref="BH440" authorId="4" shapeId="0" xr:uid="{3DBC22E2-5D10-458E-8DD8-CEDAC097F41F}">
      <text>
        <r>
          <rPr>
            <b/>
            <sz val="9"/>
            <color indexed="81"/>
            <rFont val="Tahoma"/>
            <family val="2"/>
          </rPr>
          <t>Sharon Bosley:</t>
        </r>
        <r>
          <rPr>
            <sz val="9"/>
            <color indexed="81"/>
            <rFont val="Tahoma"/>
            <family val="2"/>
          </rPr>
          <t xml:space="preserve">
no mathcing measure</t>
        </r>
      </text>
    </comment>
    <comment ref="AP441" authorId="4" shapeId="0" xr:uid="{80FA4A18-C8FE-4F52-99A3-AB9088248FC5}">
      <text>
        <r>
          <rPr>
            <b/>
            <sz val="9"/>
            <color indexed="81"/>
            <rFont val="Tahoma"/>
            <family val="2"/>
          </rPr>
          <t>Sharon Bosley:</t>
        </r>
        <r>
          <rPr>
            <sz val="9"/>
            <color indexed="81"/>
            <rFont val="Tahoma"/>
            <family val="2"/>
          </rPr>
          <t xml:space="preserve">
no mathcing measure</t>
        </r>
      </text>
    </comment>
    <comment ref="AV441" authorId="4" shapeId="0" xr:uid="{C939EC41-C7FA-40C1-80B7-27ECB14BD586}">
      <text>
        <r>
          <rPr>
            <b/>
            <sz val="9"/>
            <color indexed="81"/>
            <rFont val="Tahoma"/>
            <family val="2"/>
          </rPr>
          <t>Sharon Bosley:</t>
        </r>
        <r>
          <rPr>
            <sz val="9"/>
            <color indexed="81"/>
            <rFont val="Tahoma"/>
            <family val="2"/>
          </rPr>
          <t xml:space="preserve">
no mathcing measure</t>
        </r>
      </text>
    </comment>
    <comment ref="BB441" authorId="4" shapeId="0" xr:uid="{1F1486C1-FEE4-479C-A95C-51728DDEE7F6}">
      <text>
        <r>
          <rPr>
            <b/>
            <sz val="9"/>
            <color indexed="81"/>
            <rFont val="Tahoma"/>
            <family val="2"/>
          </rPr>
          <t>Sharon Bosley:</t>
        </r>
        <r>
          <rPr>
            <sz val="9"/>
            <color indexed="81"/>
            <rFont val="Tahoma"/>
            <family val="2"/>
          </rPr>
          <t xml:space="preserve">
no mathcing measure</t>
        </r>
      </text>
    </comment>
    <comment ref="BH441" authorId="4" shapeId="0" xr:uid="{3A5E5EE2-D40C-4172-AE30-83AB032156DF}">
      <text>
        <r>
          <rPr>
            <b/>
            <sz val="9"/>
            <color indexed="81"/>
            <rFont val="Tahoma"/>
            <family val="2"/>
          </rPr>
          <t>Sharon Bosley:</t>
        </r>
        <r>
          <rPr>
            <sz val="9"/>
            <color indexed="81"/>
            <rFont val="Tahoma"/>
            <family val="2"/>
          </rPr>
          <t xml:space="preserve">
no mathcing measure</t>
        </r>
      </text>
    </comment>
    <comment ref="AP442" authorId="4" shapeId="0" xr:uid="{EEB2BB8D-153B-48DE-8B8E-12B9AB89A311}">
      <text>
        <r>
          <rPr>
            <b/>
            <sz val="9"/>
            <color indexed="81"/>
            <rFont val="Tahoma"/>
            <family val="2"/>
          </rPr>
          <t>Sharon Bosley:</t>
        </r>
        <r>
          <rPr>
            <sz val="9"/>
            <color indexed="81"/>
            <rFont val="Tahoma"/>
            <family val="2"/>
          </rPr>
          <t xml:space="preserve">
no mathcing measure</t>
        </r>
      </text>
    </comment>
    <comment ref="AV442" authorId="4" shapeId="0" xr:uid="{10DE0525-1452-4B21-8631-86BAF67C0149}">
      <text>
        <r>
          <rPr>
            <b/>
            <sz val="9"/>
            <color indexed="81"/>
            <rFont val="Tahoma"/>
            <family val="2"/>
          </rPr>
          <t>Sharon Bosley:</t>
        </r>
        <r>
          <rPr>
            <sz val="9"/>
            <color indexed="81"/>
            <rFont val="Tahoma"/>
            <family val="2"/>
          </rPr>
          <t xml:space="preserve">
no mathcing measure</t>
        </r>
      </text>
    </comment>
    <comment ref="BB442" authorId="4" shapeId="0" xr:uid="{D1F20D42-008A-4F35-87FA-5DEFD2692FAE}">
      <text>
        <r>
          <rPr>
            <b/>
            <sz val="9"/>
            <color indexed="81"/>
            <rFont val="Tahoma"/>
            <family val="2"/>
          </rPr>
          <t>Sharon Bosley:</t>
        </r>
        <r>
          <rPr>
            <sz val="9"/>
            <color indexed="81"/>
            <rFont val="Tahoma"/>
            <family val="2"/>
          </rPr>
          <t xml:space="preserve">
no mathcing measure</t>
        </r>
      </text>
    </comment>
    <comment ref="BH442" authorId="4" shapeId="0" xr:uid="{3AE0D288-FD8E-4C66-A087-3F8DCEA0B2BC}">
      <text>
        <r>
          <rPr>
            <b/>
            <sz val="9"/>
            <color indexed="81"/>
            <rFont val="Tahoma"/>
            <family val="2"/>
          </rPr>
          <t>Sharon Bosley:</t>
        </r>
        <r>
          <rPr>
            <sz val="9"/>
            <color indexed="81"/>
            <rFont val="Tahoma"/>
            <family val="2"/>
          </rPr>
          <t xml:space="preserve">
no mathcing measure</t>
        </r>
      </text>
    </comment>
    <comment ref="AP444" authorId="4" shapeId="0" xr:uid="{032410CF-0EDB-4539-BD16-7D18A861C5AF}">
      <text>
        <r>
          <rPr>
            <b/>
            <sz val="9"/>
            <color indexed="81"/>
            <rFont val="Tahoma"/>
            <family val="2"/>
          </rPr>
          <t>Sharon Bosley:</t>
        </r>
        <r>
          <rPr>
            <sz val="9"/>
            <color indexed="81"/>
            <rFont val="Tahoma"/>
            <family val="2"/>
          </rPr>
          <t xml:space="preserve">
no mathcing measure</t>
        </r>
      </text>
    </comment>
    <comment ref="AV444" authorId="4" shapeId="0" xr:uid="{F8346164-E9CB-4900-A002-A6C627420F7C}">
      <text>
        <r>
          <rPr>
            <b/>
            <sz val="9"/>
            <color indexed="81"/>
            <rFont val="Tahoma"/>
            <family val="2"/>
          </rPr>
          <t>Sharon Bosley:</t>
        </r>
        <r>
          <rPr>
            <sz val="9"/>
            <color indexed="81"/>
            <rFont val="Tahoma"/>
            <family val="2"/>
          </rPr>
          <t xml:space="preserve">
no mathcing measure</t>
        </r>
      </text>
    </comment>
    <comment ref="BB444" authorId="4" shapeId="0" xr:uid="{242A5E2B-1738-4B1F-978D-D8B27F3D7449}">
      <text>
        <r>
          <rPr>
            <b/>
            <sz val="9"/>
            <color indexed="81"/>
            <rFont val="Tahoma"/>
            <family val="2"/>
          </rPr>
          <t>Sharon Bosley:</t>
        </r>
        <r>
          <rPr>
            <sz val="9"/>
            <color indexed="81"/>
            <rFont val="Tahoma"/>
            <family val="2"/>
          </rPr>
          <t xml:space="preserve">
no mathcing measure</t>
        </r>
      </text>
    </comment>
    <comment ref="BH444" authorId="4" shapeId="0" xr:uid="{72D011B7-691B-4835-8ED7-1FD67A995DEB}">
      <text>
        <r>
          <rPr>
            <b/>
            <sz val="9"/>
            <color indexed="81"/>
            <rFont val="Tahoma"/>
            <family val="2"/>
          </rPr>
          <t>Sharon Bosley:</t>
        </r>
        <r>
          <rPr>
            <sz val="9"/>
            <color indexed="81"/>
            <rFont val="Tahoma"/>
            <family val="2"/>
          </rPr>
          <t xml:space="preserve">
no mathcing measure</t>
        </r>
      </text>
    </comment>
    <comment ref="AP446" authorId="4" shapeId="0" xr:uid="{2020366F-18F0-445C-81BB-F01A660E42A1}">
      <text>
        <r>
          <rPr>
            <b/>
            <sz val="9"/>
            <color indexed="81"/>
            <rFont val="Tahoma"/>
            <family val="2"/>
          </rPr>
          <t>Sharon Bosley:</t>
        </r>
        <r>
          <rPr>
            <sz val="9"/>
            <color indexed="81"/>
            <rFont val="Tahoma"/>
            <family val="2"/>
          </rPr>
          <t xml:space="preserve">
no mathcing measure</t>
        </r>
      </text>
    </comment>
    <comment ref="AV446" authorId="4" shapeId="0" xr:uid="{74104229-E8A3-4572-AEAF-7531AC886ED8}">
      <text>
        <r>
          <rPr>
            <b/>
            <sz val="9"/>
            <color indexed="81"/>
            <rFont val="Tahoma"/>
            <family val="2"/>
          </rPr>
          <t>Sharon Bosley:</t>
        </r>
        <r>
          <rPr>
            <sz val="9"/>
            <color indexed="81"/>
            <rFont val="Tahoma"/>
            <family val="2"/>
          </rPr>
          <t xml:space="preserve">
no mathcing measure</t>
        </r>
      </text>
    </comment>
    <comment ref="BB446" authorId="4" shapeId="0" xr:uid="{8ADC5483-7932-4FD6-AE54-FCC8A5AD0499}">
      <text>
        <r>
          <rPr>
            <b/>
            <sz val="9"/>
            <color indexed="81"/>
            <rFont val="Tahoma"/>
            <family val="2"/>
          </rPr>
          <t>Sharon Bosley:</t>
        </r>
        <r>
          <rPr>
            <sz val="9"/>
            <color indexed="81"/>
            <rFont val="Tahoma"/>
            <family val="2"/>
          </rPr>
          <t xml:space="preserve">
no mathcing measure</t>
        </r>
      </text>
    </comment>
    <comment ref="BH446" authorId="4" shapeId="0" xr:uid="{8CC9C3E1-3539-4250-9294-8C7C3042AE7D}">
      <text>
        <r>
          <rPr>
            <b/>
            <sz val="9"/>
            <color indexed="81"/>
            <rFont val="Tahoma"/>
            <family val="2"/>
          </rPr>
          <t>Sharon Bosley:</t>
        </r>
        <r>
          <rPr>
            <sz val="9"/>
            <color indexed="81"/>
            <rFont val="Tahoma"/>
            <family val="2"/>
          </rPr>
          <t xml:space="preserve">
no mathcing measure</t>
        </r>
      </text>
    </comment>
    <comment ref="AP448" authorId="4" shapeId="0" xr:uid="{AE3C4FFD-5AB3-4274-9C5A-003EB17D41F5}">
      <text>
        <r>
          <rPr>
            <b/>
            <sz val="9"/>
            <color indexed="81"/>
            <rFont val="Tahoma"/>
            <family val="2"/>
          </rPr>
          <t>Sharon Bosley:</t>
        </r>
        <r>
          <rPr>
            <sz val="9"/>
            <color indexed="81"/>
            <rFont val="Tahoma"/>
            <family val="2"/>
          </rPr>
          <t xml:space="preserve">
no mathcing measure</t>
        </r>
      </text>
    </comment>
    <comment ref="AV448" authorId="4" shapeId="0" xr:uid="{A7352BF7-F585-4805-AC32-6A0C00D9BA06}">
      <text>
        <r>
          <rPr>
            <b/>
            <sz val="9"/>
            <color indexed="81"/>
            <rFont val="Tahoma"/>
            <family val="2"/>
          </rPr>
          <t>Sharon Bosley:</t>
        </r>
        <r>
          <rPr>
            <sz val="9"/>
            <color indexed="81"/>
            <rFont val="Tahoma"/>
            <family val="2"/>
          </rPr>
          <t xml:space="preserve">
no mathcing measure</t>
        </r>
      </text>
    </comment>
    <comment ref="BB448" authorId="4" shapeId="0" xr:uid="{21AD7D20-A0D7-4E42-96DC-958C863D3BE9}">
      <text>
        <r>
          <rPr>
            <b/>
            <sz val="9"/>
            <color indexed="81"/>
            <rFont val="Tahoma"/>
            <family val="2"/>
          </rPr>
          <t>Sharon Bosley:</t>
        </r>
        <r>
          <rPr>
            <sz val="9"/>
            <color indexed="81"/>
            <rFont val="Tahoma"/>
            <family val="2"/>
          </rPr>
          <t xml:space="preserve">
no mathcing measure</t>
        </r>
      </text>
    </comment>
    <comment ref="BH448" authorId="4" shapeId="0" xr:uid="{CFCE16DD-274C-4087-9A91-9CBE31522D5F}">
      <text>
        <r>
          <rPr>
            <b/>
            <sz val="9"/>
            <color indexed="81"/>
            <rFont val="Tahoma"/>
            <family val="2"/>
          </rPr>
          <t>Sharon Bosley:</t>
        </r>
        <r>
          <rPr>
            <sz val="9"/>
            <color indexed="81"/>
            <rFont val="Tahoma"/>
            <family val="2"/>
          </rPr>
          <t xml:space="preserve">
no mathcing measure</t>
        </r>
      </text>
    </comment>
    <comment ref="AP449" authorId="4" shapeId="0" xr:uid="{71581E32-08B5-4A81-827C-5E45ACF83FBA}">
      <text>
        <r>
          <rPr>
            <b/>
            <sz val="9"/>
            <color indexed="81"/>
            <rFont val="Tahoma"/>
            <family val="2"/>
          </rPr>
          <t>Sharon Bosley:</t>
        </r>
        <r>
          <rPr>
            <sz val="9"/>
            <color indexed="81"/>
            <rFont val="Tahoma"/>
            <family val="2"/>
          </rPr>
          <t xml:space="preserve">
no mathcing measure</t>
        </r>
      </text>
    </comment>
    <comment ref="AV449" authorId="4" shapeId="0" xr:uid="{682D1CB1-F2F5-4E5B-969F-299DF6F0889A}">
      <text>
        <r>
          <rPr>
            <b/>
            <sz val="9"/>
            <color indexed="81"/>
            <rFont val="Tahoma"/>
            <family val="2"/>
          </rPr>
          <t>Sharon Bosley:</t>
        </r>
        <r>
          <rPr>
            <sz val="9"/>
            <color indexed="81"/>
            <rFont val="Tahoma"/>
            <family val="2"/>
          </rPr>
          <t xml:space="preserve">
no mathcing measure</t>
        </r>
      </text>
    </comment>
    <comment ref="BB449" authorId="4" shapeId="0" xr:uid="{E3860DC8-FA85-40B7-83E3-CB7FEAEEAC2D}">
      <text>
        <r>
          <rPr>
            <b/>
            <sz val="9"/>
            <color indexed="81"/>
            <rFont val="Tahoma"/>
            <family val="2"/>
          </rPr>
          <t>Sharon Bosley:</t>
        </r>
        <r>
          <rPr>
            <sz val="9"/>
            <color indexed="81"/>
            <rFont val="Tahoma"/>
            <family val="2"/>
          </rPr>
          <t xml:space="preserve">
no mathcing measure</t>
        </r>
      </text>
    </comment>
    <comment ref="BH449" authorId="4" shapeId="0" xr:uid="{88DFE1EB-376A-4DE6-B84E-2B17ADC39070}">
      <text>
        <r>
          <rPr>
            <b/>
            <sz val="9"/>
            <color indexed="81"/>
            <rFont val="Tahoma"/>
            <family val="2"/>
          </rPr>
          <t>Sharon Bosley:</t>
        </r>
        <r>
          <rPr>
            <sz val="9"/>
            <color indexed="81"/>
            <rFont val="Tahoma"/>
            <family val="2"/>
          </rPr>
          <t xml:space="preserve">
no mathcing measure</t>
        </r>
      </text>
    </comment>
    <comment ref="AP453" authorId="4" shapeId="0" xr:uid="{27E76E7D-E350-4865-A662-0D1C5A30B591}">
      <text>
        <r>
          <rPr>
            <b/>
            <sz val="9"/>
            <color indexed="81"/>
            <rFont val="Tahoma"/>
            <family val="2"/>
          </rPr>
          <t>Sharon Bosley:</t>
        </r>
        <r>
          <rPr>
            <sz val="9"/>
            <color indexed="81"/>
            <rFont val="Tahoma"/>
            <family val="2"/>
          </rPr>
          <t xml:space="preserve">
no mathcing measure</t>
        </r>
      </text>
    </comment>
    <comment ref="AV453" authorId="4" shapeId="0" xr:uid="{4E9AF3CC-5505-4CED-AD60-900646C67795}">
      <text>
        <r>
          <rPr>
            <b/>
            <sz val="9"/>
            <color indexed="81"/>
            <rFont val="Tahoma"/>
            <family val="2"/>
          </rPr>
          <t>Sharon Bosley:</t>
        </r>
        <r>
          <rPr>
            <sz val="9"/>
            <color indexed="81"/>
            <rFont val="Tahoma"/>
            <family val="2"/>
          </rPr>
          <t xml:space="preserve">
no mathcing measure</t>
        </r>
      </text>
    </comment>
    <comment ref="BB453" authorId="4" shapeId="0" xr:uid="{17D7BC80-B3D8-47E6-9903-49B5DC6B7350}">
      <text>
        <r>
          <rPr>
            <b/>
            <sz val="9"/>
            <color indexed="81"/>
            <rFont val="Tahoma"/>
            <family val="2"/>
          </rPr>
          <t>Sharon Bosley:</t>
        </r>
        <r>
          <rPr>
            <sz val="9"/>
            <color indexed="81"/>
            <rFont val="Tahoma"/>
            <family val="2"/>
          </rPr>
          <t xml:space="preserve">
no mathcing measure</t>
        </r>
      </text>
    </comment>
    <comment ref="BH453" authorId="4" shapeId="0" xr:uid="{4CB258AD-E2BD-4123-A884-F91E7F8955B5}">
      <text>
        <r>
          <rPr>
            <b/>
            <sz val="9"/>
            <color indexed="81"/>
            <rFont val="Tahoma"/>
            <family val="2"/>
          </rPr>
          <t>Sharon Bosley:</t>
        </r>
        <r>
          <rPr>
            <sz val="9"/>
            <color indexed="81"/>
            <rFont val="Tahoma"/>
            <family val="2"/>
          </rPr>
          <t xml:space="preserve">
no mathcing measure</t>
        </r>
      </text>
    </comment>
    <comment ref="AP454" authorId="4" shapeId="0" xr:uid="{99D6571E-7E9F-46AD-9FFF-CD721981CAA6}">
      <text>
        <r>
          <rPr>
            <b/>
            <sz val="9"/>
            <color indexed="81"/>
            <rFont val="Tahoma"/>
            <family val="2"/>
          </rPr>
          <t>Sharon Bosley:</t>
        </r>
        <r>
          <rPr>
            <sz val="9"/>
            <color indexed="81"/>
            <rFont val="Tahoma"/>
            <family val="2"/>
          </rPr>
          <t xml:space="preserve">
no mathcing measure</t>
        </r>
      </text>
    </comment>
    <comment ref="AV454" authorId="4" shapeId="0" xr:uid="{0F036975-70FB-4541-9181-CC6932C9F8A4}">
      <text>
        <r>
          <rPr>
            <b/>
            <sz val="9"/>
            <color indexed="81"/>
            <rFont val="Tahoma"/>
            <family val="2"/>
          </rPr>
          <t>Sharon Bosley:</t>
        </r>
        <r>
          <rPr>
            <sz val="9"/>
            <color indexed="81"/>
            <rFont val="Tahoma"/>
            <family val="2"/>
          </rPr>
          <t xml:space="preserve">
no mathcing measure</t>
        </r>
      </text>
    </comment>
    <comment ref="BB454" authorId="4" shapeId="0" xr:uid="{9FAD3E82-E2D1-4935-AE7A-1A6CCA30A091}">
      <text>
        <r>
          <rPr>
            <b/>
            <sz val="9"/>
            <color indexed="81"/>
            <rFont val="Tahoma"/>
            <family val="2"/>
          </rPr>
          <t>Sharon Bosley:</t>
        </r>
        <r>
          <rPr>
            <sz val="9"/>
            <color indexed="81"/>
            <rFont val="Tahoma"/>
            <family val="2"/>
          </rPr>
          <t xml:space="preserve">
no mathcing measure</t>
        </r>
      </text>
    </comment>
    <comment ref="BH454" authorId="4" shapeId="0" xr:uid="{184596AA-0552-4102-A43A-8540E93BF7C2}">
      <text>
        <r>
          <rPr>
            <b/>
            <sz val="9"/>
            <color indexed="81"/>
            <rFont val="Tahoma"/>
            <family val="2"/>
          </rPr>
          <t>Sharon Bosley:</t>
        </r>
        <r>
          <rPr>
            <sz val="9"/>
            <color indexed="81"/>
            <rFont val="Tahoma"/>
            <family val="2"/>
          </rPr>
          <t xml:space="preserve">
no mathcing measure</t>
        </r>
      </text>
    </comment>
    <comment ref="AP458" authorId="4" shapeId="0" xr:uid="{84F74473-A152-429D-861B-EFC822C2212A}">
      <text>
        <r>
          <rPr>
            <b/>
            <sz val="9"/>
            <color indexed="81"/>
            <rFont val="Tahoma"/>
            <family val="2"/>
          </rPr>
          <t>Sharon Bosley:</t>
        </r>
        <r>
          <rPr>
            <sz val="9"/>
            <color indexed="81"/>
            <rFont val="Tahoma"/>
            <family val="2"/>
          </rPr>
          <t xml:space="preserve">
no tab
</t>
        </r>
      </text>
    </comment>
    <comment ref="AV458" authorId="4" shapeId="0" xr:uid="{69CD0429-10A6-4803-811A-B6AB1E1B69F5}">
      <text>
        <r>
          <rPr>
            <b/>
            <sz val="9"/>
            <color indexed="81"/>
            <rFont val="Tahoma"/>
            <family val="2"/>
          </rPr>
          <t>Sharon Bosley:</t>
        </r>
        <r>
          <rPr>
            <sz val="9"/>
            <color indexed="81"/>
            <rFont val="Tahoma"/>
            <family val="2"/>
          </rPr>
          <t xml:space="preserve">
no tab
</t>
        </r>
      </text>
    </comment>
    <comment ref="BB458" authorId="4" shapeId="0" xr:uid="{EBBD5825-0292-4FF4-A40E-4BDA872C0234}">
      <text>
        <r>
          <rPr>
            <b/>
            <sz val="9"/>
            <color indexed="81"/>
            <rFont val="Tahoma"/>
            <family val="2"/>
          </rPr>
          <t>Sharon Bosley:</t>
        </r>
        <r>
          <rPr>
            <sz val="9"/>
            <color indexed="81"/>
            <rFont val="Tahoma"/>
            <family val="2"/>
          </rPr>
          <t xml:space="preserve">
no tab
</t>
        </r>
      </text>
    </comment>
    <comment ref="BH458" authorId="4" shapeId="0" xr:uid="{0CADFE17-6DAF-4E69-9355-F9B633B92B81}">
      <text>
        <r>
          <rPr>
            <b/>
            <sz val="9"/>
            <color indexed="81"/>
            <rFont val="Tahoma"/>
            <family val="2"/>
          </rPr>
          <t>Sharon Bosley:</t>
        </r>
        <r>
          <rPr>
            <sz val="9"/>
            <color indexed="81"/>
            <rFont val="Tahoma"/>
            <family val="2"/>
          </rPr>
          <t xml:space="preserve">
no tab
</t>
        </r>
      </text>
    </comment>
    <comment ref="AP471" authorId="4" shapeId="0" xr:uid="{28E001D0-09E2-4D56-AE15-DA5A5DCF59DE}">
      <text>
        <r>
          <rPr>
            <b/>
            <sz val="9"/>
            <color indexed="81"/>
            <rFont val="Tahoma"/>
            <family val="2"/>
          </rPr>
          <t>Sharon Bosley:</t>
        </r>
        <r>
          <rPr>
            <sz val="9"/>
            <color indexed="81"/>
            <rFont val="Tahoma"/>
            <family val="2"/>
          </rPr>
          <t xml:space="preserve">
No tab</t>
        </r>
      </text>
    </comment>
    <comment ref="AV471" authorId="4" shapeId="0" xr:uid="{C4B1E1AB-7454-416E-B5E3-58EDED26CCA6}">
      <text>
        <r>
          <rPr>
            <b/>
            <sz val="9"/>
            <color indexed="81"/>
            <rFont val="Tahoma"/>
            <family val="2"/>
          </rPr>
          <t>Sharon Bosley:</t>
        </r>
        <r>
          <rPr>
            <sz val="9"/>
            <color indexed="81"/>
            <rFont val="Tahoma"/>
            <family val="2"/>
          </rPr>
          <t xml:space="preserve">
No tab</t>
        </r>
      </text>
    </comment>
    <comment ref="BB471" authorId="4" shapeId="0" xr:uid="{7560C101-63E5-4030-9C94-7762F9B751F2}">
      <text>
        <r>
          <rPr>
            <b/>
            <sz val="9"/>
            <color indexed="81"/>
            <rFont val="Tahoma"/>
            <family val="2"/>
          </rPr>
          <t>Sharon Bosley:</t>
        </r>
        <r>
          <rPr>
            <sz val="9"/>
            <color indexed="81"/>
            <rFont val="Tahoma"/>
            <family val="2"/>
          </rPr>
          <t xml:space="preserve">
No tab</t>
        </r>
      </text>
    </comment>
    <comment ref="BH471" authorId="4" shapeId="0" xr:uid="{675F0B5D-8B5D-4BB2-B64B-F31FC69B7C19}">
      <text>
        <r>
          <rPr>
            <b/>
            <sz val="9"/>
            <color indexed="81"/>
            <rFont val="Tahoma"/>
            <family val="2"/>
          </rPr>
          <t>Sharon Bosley:</t>
        </r>
        <r>
          <rPr>
            <sz val="9"/>
            <color indexed="81"/>
            <rFont val="Tahoma"/>
            <family val="2"/>
          </rPr>
          <t xml:space="preserve">
No tab</t>
        </r>
      </text>
    </comment>
    <comment ref="AP472" authorId="4" shapeId="0" xr:uid="{FFF47B0D-5E23-4F5D-9C1F-781455736247}">
      <text>
        <r>
          <rPr>
            <b/>
            <sz val="9"/>
            <color indexed="81"/>
            <rFont val="Tahoma"/>
            <family val="2"/>
          </rPr>
          <t>Sharon Bosley:</t>
        </r>
        <r>
          <rPr>
            <sz val="9"/>
            <color indexed="81"/>
            <rFont val="Tahoma"/>
            <family val="2"/>
          </rPr>
          <t xml:space="preserve">
No tab</t>
        </r>
      </text>
    </comment>
    <comment ref="AV472" authorId="4" shapeId="0" xr:uid="{A9D1E10C-2E9B-4468-A4C2-53F777DAEE9B}">
      <text>
        <r>
          <rPr>
            <b/>
            <sz val="9"/>
            <color indexed="81"/>
            <rFont val="Tahoma"/>
            <family val="2"/>
          </rPr>
          <t>Sharon Bosley:</t>
        </r>
        <r>
          <rPr>
            <sz val="9"/>
            <color indexed="81"/>
            <rFont val="Tahoma"/>
            <family val="2"/>
          </rPr>
          <t xml:space="preserve">
No tab</t>
        </r>
      </text>
    </comment>
    <comment ref="BB472" authorId="4" shapeId="0" xr:uid="{68922236-C3E8-4C27-8C41-16B2EAE892D7}">
      <text>
        <r>
          <rPr>
            <b/>
            <sz val="9"/>
            <color indexed="81"/>
            <rFont val="Tahoma"/>
            <family val="2"/>
          </rPr>
          <t>Sharon Bosley:</t>
        </r>
        <r>
          <rPr>
            <sz val="9"/>
            <color indexed="81"/>
            <rFont val="Tahoma"/>
            <family val="2"/>
          </rPr>
          <t xml:space="preserve">
No tab</t>
        </r>
      </text>
    </comment>
    <comment ref="BH472" authorId="4" shapeId="0" xr:uid="{AFD61702-3F60-4172-8A57-4706EE8BC4F2}">
      <text>
        <r>
          <rPr>
            <b/>
            <sz val="9"/>
            <color indexed="81"/>
            <rFont val="Tahoma"/>
            <family val="2"/>
          </rPr>
          <t>Sharon Bosley:</t>
        </r>
        <r>
          <rPr>
            <sz val="9"/>
            <color indexed="81"/>
            <rFont val="Tahoma"/>
            <family val="2"/>
          </rPr>
          <t xml:space="preserve">
No tab</t>
        </r>
      </text>
    </comment>
    <comment ref="AP473" authorId="4" shapeId="0" xr:uid="{56012EA0-057F-4875-A0A5-84CB952142CD}">
      <text>
        <r>
          <rPr>
            <b/>
            <sz val="9"/>
            <color indexed="81"/>
            <rFont val="Tahoma"/>
            <family val="2"/>
          </rPr>
          <t>Sharon Bosley:</t>
        </r>
        <r>
          <rPr>
            <sz val="9"/>
            <color indexed="81"/>
            <rFont val="Tahoma"/>
            <family val="2"/>
          </rPr>
          <t xml:space="preserve">
No tab</t>
        </r>
      </text>
    </comment>
    <comment ref="AV473" authorId="4" shapeId="0" xr:uid="{9BD3B83B-B0BA-43A9-98CD-4A9918C97197}">
      <text>
        <r>
          <rPr>
            <b/>
            <sz val="9"/>
            <color indexed="81"/>
            <rFont val="Tahoma"/>
            <family val="2"/>
          </rPr>
          <t>Sharon Bosley:</t>
        </r>
        <r>
          <rPr>
            <sz val="9"/>
            <color indexed="81"/>
            <rFont val="Tahoma"/>
            <family val="2"/>
          </rPr>
          <t xml:space="preserve">
No tab</t>
        </r>
      </text>
    </comment>
    <comment ref="BB473" authorId="4" shapeId="0" xr:uid="{A7BBD363-FB90-416C-89C0-006911BF0D52}">
      <text>
        <r>
          <rPr>
            <b/>
            <sz val="9"/>
            <color indexed="81"/>
            <rFont val="Tahoma"/>
            <family val="2"/>
          </rPr>
          <t>Sharon Bosley:</t>
        </r>
        <r>
          <rPr>
            <sz val="9"/>
            <color indexed="81"/>
            <rFont val="Tahoma"/>
            <family val="2"/>
          </rPr>
          <t xml:space="preserve">
No tab</t>
        </r>
      </text>
    </comment>
    <comment ref="BH473" authorId="4" shapeId="0" xr:uid="{CDBEF84E-6198-4215-8E1B-5E08E4EC460F}">
      <text>
        <r>
          <rPr>
            <b/>
            <sz val="9"/>
            <color indexed="81"/>
            <rFont val="Tahoma"/>
            <family val="2"/>
          </rPr>
          <t>Sharon Bosley:</t>
        </r>
        <r>
          <rPr>
            <sz val="9"/>
            <color indexed="81"/>
            <rFont val="Tahoma"/>
            <family val="2"/>
          </rPr>
          <t xml:space="preserve">
No tab</t>
        </r>
      </text>
    </comment>
    <comment ref="AP476" authorId="4" shapeId="0" xr:uid="{F6008354-94CF-402C-82A2-4BE87DA56849}">
      <text>
        <r>
          <rPr>
            <b/>
            <sz val="9"/>
            <color indexed="81"/>
            <rFont val="Tahoma"/>
            <family val="2"/>
          </rPr>
          <t>Sharon Bosley:</t>
        </r>
        <r>
          <rPr>
            <sz val="9"/>
            <color indexed="81"/>
            <rFont val="Tahoma"/>
            <family val="2"/>
          </rPr>
          <t xml:space="preserve">
No tab</t>
        </r>
      </text>
    </comment>
    <comment ref="AV476" authorId="4" shapeId="0" xr:uid="{B21DD94A-4EF5-49C0-80CA-22F5FD4859FF}">
      <text>
        <r>
          <rPr>
            <b/>
            <sz val="9"/>
            <color indexed="81"/>
            <rFont val="Tahoma"/>
            <family val="2"/>
          </rPr>
          <t>Sharon Bosley:</t>
        </r>
        <r>
          <rPr>
            <sz val="9"/>
            <color indexed="81"/>
            <rFont val="Tahoma"/>
            <family val="2"/>
          </rPr>
          <t xml:space="preserve">
No tab</t>
        </r>
      </text>
    </comment>
    <comment ref="BB476" authorId="4" shapeId="0" xr:uid="{BAE0B28B-481F-4E3D-9BD4-5774AA091797}">
      <text>
        <r>
          <rPr>
            <b/>
            <sz val="9"/>
            <color indexed="81"/>
            <rFont val="Tahoma"/>
            <family val="2"/>
          </rPr>
          <t>Sharon Bosley:</t>
        </r>
        <r>
          <rPr>
            <sz val="9"/>
            <color indexed="81"/>
            <rFont val="Tahoma"/>
            <family val="2"/>
          </rPr>
          <t xml:space="preserve">
No tab</t>
        </r>
      </text>
    </comment>
    <comment ref="BH476" authorId="4" shapeId="0" xr:uid="{64A9224A-2BF7-4970-B384-475563BC7D1C}">
      <text>
        <r>
          <rPr>
            <b/>
            <sz val="9"/>
            <color indexed="81"/>
            <rFont val="Tahoma"/>
            <family val="2"/>
          </rPr>
          <t>Sharon Bosley:</t>
        </r>
        <r>
          <rPr>
            <sz val="9"/>
            <color indexed="81"/>
            <rFont val="Tahoma"/>
            <family val="2"/>
          </rPr>
          <t xml:space="preserve">
No tab</t>
        </r>
      </text>
    </comment>
    <comment ref="AP486" authorId="4" shapeId="0" xr:uid="{234E6517-59D9-4965-BA6B-17CA97C1DE3B}">
      <text>
        <r>
          <rPr>
            <b/>
            <sz val="9"/>
            <color indexed="81"/>
            <rFont val="Tahoma"/>
            <family val="2"/>
          </rPr>
          <t>Sharon Bosley:</t>
        </r>
        <r>
          <rPr>
            <sz val="9"/>
            <color indexed="81"/>
            <rFont val="Tahoma"/>
            <family val="2"/>
          </rPr>
          <t xml:space="preserve">
No Tab</t>
        </r>
      </text>
    </comment>
    <comment ref="AV486" authorId="4" shapeId="0" xr:uid="{6BB1DCD4-245D-417A-8392-3E348AC2BC92}">
      <text>
        <r>
          <rPr>
            <b/>
            <sz val="9"/>
            <color indexed="81"/>
            <rFont val="Tahoma"/>
            <family val="2"/>
          </rPr>
          <t>Sharon Bosley:</t>
        </r>
        <r>
          <rPr>
            <sz val="9"/>
            <color indexed="81"/>
            <rFont val="Tahoma"/>
            <family val="2"/>
          </rPr>
          <t xml:space="preserve">
No Tab</t>
        </r>
      </text>
    </comment>
    <comment ref="BB486" authorId="4" shapeId="0" xr:uid="{E85E9708-DB13-4BF5-893C-C0ED1877DC32}">
      <text>
        <r>
          <rPr>
            <b/>
            <sz val="9"/>
            <color indexed="81"/>
            <rFont val="Tahoma"/>
            <family val="2"/>
          </rPr>
          <t>Sharon Bosley:</t>
        </r>
        <r>
          <rPr>
            <sz val="9"/>
            <color indexed="81"/>
            <rFont val="Tahoma"/>
            <family val="2"/>
          </rPr>
          <t xml:space="preserve">
No Tab</t>
        </r>
      </text>
    </comment>
    <comment ref="BH486" authorId="4" shapeId="0" xr:uid="{C9A1259F-9AD1-488A-BE31-C3EB817BFAF5}">
      <text>
        <r>
          <rPr>
            <b/>
            <sz val="9"/>
            <color indexed="81"/>
            <rFont val="Tahoma"/>
            <family val="2"/>
          </rPr>
          <t>Sharon Bosley:</t>
        </r>
        <r>
          <rPr>
            <sz val="9"/>
            <color indexed="81"/>
            <rFont val="Tahoma"/>
            <family val="2"/>
          </rPr>
          <t xml:space="preserve">
No Tab</t>
        </r>
      </text>
    </comment>
    <comment ref="AP494" authorId="4" shapeId="0" xr:uid="{914A8425-769A-4E9C-AF0D-3B5C22D3E25E}">
      <text>
        <r>
          <rPr>
            <b/>
            <sz val="9"/>
            <color indexed="81"/>
            <rFont val="Tahoma"/>
            <family val="2"/>
          </rPr>
          <t>Sharon Bosley:</t>
        </r>
        <r>
          <rPr>
            <sz val="9"/>
            <color indexed="81"/>
            <rFont val="Tahoma"/>
            <family val="2"/>
          </rPr>
          <t xml:space="preserve">
No mathcing measure</t>
        </r>
      </text>
    </comment>
    <comment ref="AV494" authorId="4" shapeId="0" xr:uid="{48B31029-ADBA-4FC2-88DF-B015A50AEDB8}">
      <text>
        <r>
          <rPr>
            <b/>
            <sz val="9"/>
            <color indexed="81"/>
            <rFont val="Tahoma"/>
            <family val="2"/>
          </rPr>
          <t>Sharon Bosley:</t>
        </r>
        <r>
          <rPr>
            <sz val="9"/>
            <color indexed="81"/>
            <rFont val="Tahoma"/>
            <family val="2"/>
          </rPr>
          <t xml:space="preserve">
No mathcing measure</t>
        </r>
      </text>
    </comment>
    <comment ref="BB494" authorId="4" shapeId="0" xr:uid="{CDF9347B-8D1D-42F7-8F3A-4DF869FEC2C3}">
      <text>
        <r>
          <rPr>
            <b/>
            <sz val="9"/>
            <color indexed="81"/>
            <rFont val="Tahoma"/>
            <family val="2"/>
          </rPr>
          <t>Sharon Bosley:</t>
        </r>
        <r>
          <rPr>
            <sz val="9"/>
            <color indexed="81"/>
            <rFont val="Tahoma"/>
            <family val="2"/>
          </rPr>
          <t xml:space="preserve">
No mathcing measure</t>
        </r>
      </text>
    </comment>
    <comment ref="BH494" authorId="4" shapeId="0" xr:uid="{CCD06116-001C-48E9-97CA-18BC8E1A2EC2}">
      <text>
        <r>
          <rPr>
            <b/>
            <sz val="9"/>
            <color indexed="81"/>
            <rFont val="Tahoma"/>
            <family val="2"/>
          </rPr>
          <t>Sharon Bosley:</t>
        </r>
        <r>
          <rPr>
            <sz val="9"/>
            <color indexed="81"/>
            <rFont val="Tahoma"/>
            <family val="2"/>
          </rPr>
          <t xml:space="preserve">
No mathcing measure</t>
        </r>
      </text>
    </comment>
    <comment ref="AP495" authorId="4" shapeId="0" xr:uid="{718F697C-5ECF-4114-9F2F-CD281881C583}">
      <text>
        <r>
          <rPr>
            <b/>
            <sz val="9"/>
            <color indexed="81"/>
            <rFont val="Tahoma"/>
            <family val="2"/>
          </rPr>
          <t>Sharon Bosley:</t>
        </r>
        <r>
          <rPr>
            <sz val="9"/>
            <color indexed="81"/>
            <rFont val="Tahoma"/>
            <family val="2"/>
          </rPr>
          <t xml:space="preserve">
No mathcing measure</t>
        </r>
      </text>
    </comment>
    <comment ref="AV495" authorId="4" shapeId="0" xr:uid="{D5609349-655D-4814-B40E-2D883779DFB2}">
      <text>
        <r>
          <rPr>
            <b/>
            <sz val="9"/>
            <color indexed="81"/>
            <rFont val="Tahoma"/>
            <family val="2"/>
          </rPr>
          <t>Sharon Bosley:</t>
        </r>
        <r>
          <rPr>
            <sz val="9"/>
            <color indexed="81"/>
            <rFont val="Tahoma"/>
            <family val="2"/>
          </rPr>
          <t xml:space="preserve">
No mathcing measure</t>
        </r>
      </text>
    </comment>
    <comment ref="BB495" authorId="4" shapeId="0" xr:uid="{97517FC9-4491-45E3-97B4-E4E5B11771B9}">
      <text>
        <r>
          <rPr>
            <b/>
            <sz val="9"/>
            <color indexed="81"/>
            <rFont val="Tahoma"/>
            <family val="2"/>
          </rPr>
          <t>Sharon Bosley:</t>
        </r>
        <r>
          <rPr>
            <sz val="9"/>
            <color indexed="81"/>
            <rFont val="Tahoma"/>
            <family val="2"/>
          </rPr>
          <t xml:space="preserve">
No mathcing measure</t>
        </r>
      </text>
    </comment>
    <comment ref="BH495" authorId="4" shapeId="0" xr:uid="{9373018E-8F14-4F3B-974A-B92578E308EB}">
      <text>
        <r>
          <rPr>
            <b/>
            <sz val="9"/>
            <color indexed="81"/>
            <rFont val="Tahoma"/>
            <family val="2"/>
          </rPr>
          <t>Sharon Bosley:</t>
        </r>
        <r>
          <rPr>
            <sz val="9"/>
            <color indexed="81"/>
            <rFont val="Tahoma"/>
            <family val="2"/>
          </rPr>
          <t xml:space="preserve">
No mathcing measure</t>
        </r>
      </text>
    </comment>
    <comment ref="AP496" authorId="4" shapeId="0" xr:uid="{B1BBF0B4-3B42-4DCF-8755-03CAFA46BA94}">
      <text>
        <r>
          <rPr>
            <b/>
            <sz val="9"/>
            <color indexed="81"/>
            <rFont val="Tahoma"/>
            <family val="2"/>
          </rPr>
          <t>Sharon Bosley:</t>
        </r>
        <r>
          <rPr>
            <sz val="9"/>
            <color indexed="81"/>
            <rFont val="Tahoma"/>
            <family val="2"/>
          </rPr>
          <t xml:space="preserve">
No mathcing measure</t>
        </r>
      </text>
    </comment>
    <comment ref="AV496" authorId="4" shapeId="0" xr:uid="{8FB72B2E-6FF8-4A96-A759-E2E192325097}">
      <text>
        <r>
          <rPr>
            <b/>
            <sz val="9"/>
            <color indexed="81"/>
            <rFont val="Tahoma"/>
            <family val="2"/>
          </rPr>
          <t>Sharon Bosley:</t>
        </r>
        <r>
          <rPr>
            <sz val="9"/>
            <color indexed="81"/>
            <rFont val="Tahoma"/>
            <family val="2"/>
          </rPr>
          <t xml:space="preserve">
No mathcing measure</t>
        </r>
      </text>
    </comment>
    <comment ref="BB496" authorId="4" shapeId="0" xr:uid="{62119EFC-3A61-4C54-A574-2A78D19F7792}">
      <text>
        <r>
          <rPr>
            <b/>
            <sz val="9"/>
            <color indexed="81"/>
            <rFont val="Tahoma"/>
            <family val="2"/>
          </rPr>
          <t>Sharon Bosley:</t>
        </r>
        <r>
          <rPr>
            <sz val="9"/>
            <color indexed="81"/>
            <rFont val="Tahoma"/>
            <family val="2"/>
          </rPr>
          <t xml:space="preserve">
No mathcing measure</t>
        </r>
      </text>
    </comment>
    <comment ref="BH496" authorId="4" shapeId="0" xr:uid="{888F2CE1-A819-4A13-9211-DD790E7AD036}">
      <text>
        <r>
          <rPr>
            <b/>
            <sz val="9"/>
            <color indexed="81"/>
            <rFont val="Tahoma"/>
            <family val="2"/>
          </rPr>
          <t>Sharon Bosley:</t>
        </r>
        <r>
          <rPr>
            <sz val="9"/>
            <color indexed="81"/>
            <rFont val="Tahoma"/>
            <family val="2"/>
          </rPr>
          <t xml:space="preserve">
No mathcing measure</t>
        </r>
      </text>
    </comment>
    <comment ref="AP497" authorId="4" shapeId="0" xr:uid="{B5286975-4AE4-4FAE-9D5F-8358BED55BA4}">
      <text>
        <r>
          <rPr>
            <b/>
            <sz val="9"/>
            <color indexed="81"/>
            <rFont val="Tahoma"/>
            <family val="2"/>
          </rPr>
          <t>Sharon Bosley:</t>
        </r>
        <r>
          <rPr>
            <sz val="9"/>
            <color indexed="81"/>
            <rFont val="Tahoma"/>
            <family val="2"/>
          </rPr>
          <t xml:space="preserve">
No mathcing measure</t>
        </r>
      </text>
    </comment>
    <comment ref="AV497" authorId="4" shapeId="0" xr:uid="{AEF2FC44-5509-4B78-86EF-5CD69A8BC3F5}">
      <text>
        <r>
          <rPr>
            <b/>
            <sz val="9"/>
            <color indexed="81"/>
            <rFont val="Tahoma"/>
            <family val="2"/>
          </rPr>
          <t>Sharon Bosley:</t>
        </r>
        <r>
          <rPr>
            <sz val="9"/>
            <color indexed="81"/>
            <rFont val="Tahoma"/>
            <family val="2"/>
          </rPr>
          <t xml:space="preserve">
No mathcing measure</t>
        </r>
      </text>
    </comment>
    <comment ref="BB497" authorId="4" shapeId="0" xr:uid="{127581A0-3496-40D7-A181-80315FA9148E}">
      <text>
        <r>
          <rPr>
            <b/>
            <sz val="9"/>
            <color indexed="81"/>
            <rFont val="Tahoma"/>
            <family val="2"/>
          </rPr>
          <t>Sharon Bosley:</t>
        </r>
        <r>
          <rPr>
            <sz val="9"/>
            <color indexed="81"/>
            <rFont val="Tahoma"/>
            <family val="2"/>
          </rPr>
          <t xml:space="preserve">
No mathcing measure</t>
        </r>
      </text>
    </comment>
    <comment ref="BH497" authorId="4" shapeId="0" xr:uid="{BA9C8E2E-87F4-4F70-9333-53FF77A9CD44}">
      <text>
        <r>
          <rPr>
            <b/>
            <sz val="9"/>
            <color indexed="81"/>
            <rFont val="Tahoma"/>
            <family val="2"/>
          </rPr>
          <t>Sharon Bosley:</t>
        </r>
        <r>
          <rPr>
            <sz val="9"/>
            <color indexed="81"/>
            <rFont val="Tahoma"/>
            <family val="2"/>
          </rPr>
          <t xml:space="preserve">
No mathcing measure</t>
        </r>
      </text>
    </comment>
    <comment ref="AP499" authorId="4" shapeId="0" xr:uid="{09559B8B-079A-43D9-80A8-1330E2547DFF}">
      <text>
        <r>
          <rPr>
            <b/>
            <sz val="9"/>
            <color indexed="81"/>
            <rFont val="Tahoma"/>
            <family val="2"/>
          </rPr>
          <t>Sharon Bosley:</t>
        </r>
        <r>
          <rPr>
            <sz val="9"/>
            <color indexed="81"/>
            <rFont val="Tahoma"/>
            <family val="2"/>
          </rPr>
          <t xml:space="preserve">
No mathcing measure</t>
        </r>
      </text>
    </comment>
    <comment ref="AV499" authorId="4" shapeId="0" xr:uid="{78BB9D64-7C4F-48F0-92ED-33C26F254F63}">
      <text>
        <r>
          <rPr>
            <b/>
            <sz val="9"/>
            <color indexed="81"/>
            <rFont val="Tahoma"/>
            <family val="2"/>
          </rPr>
          <t>Sharon Bosley:</t>
        </r>
        <r>
          <rPr>
            <sz val="9"/>
            <color indexed="81"/>
            <rFont val="Tahoma"/>
            <family val="2"/>
          </rPr>
          <t xml:space="preserve">
No mathcing measure</t>
        </r>
      </text>
    </comment>
    <comment ref="BB499" authorId="4" shapeId="0" xr:uid="{01351685-9E72-4D92-A4F4-9D92855A2965}">
      <text>
        <r>
          <rPr>
            <b/>
            <sz val="9"/>
            <color indexed="81"/>
            <rFont val="Tahoma"/>
            <family val="2"/>
          </rPr>
          <t>Sharon Bosley:</t>
        </r>
        <r>
          <rPr>
            <sz val="9"/>
            <color indexed="81"/>
            <rFont val="Tahoma"/>
            <family val="2"/>
          </rPr>
          <t xml:space="preserve">
No mathcing measure</t>
        </r>
      </text>
    </comment>
    <comment ref="BH499" authorId="4" shapeId="0" xr:uid="{C3DA7DBF-5049-4A08-8ED6-5AED3944F555}">
      <text>
        <r>
          <rPr>
            <b/>
            <sz val="9"/>
            <color indexed="81"/>
            <rFont val="Tahoma"/>
            <family val="2"/>
          </rPr>
          <t>Sharon Bosley:</t>
        </r>
        <r>
          <rPr>
            <sz val="9"/>
            <color indexed="81"/>
            <rFont val="Tahoma"/>
            <family val="2"/>
          </rPr>
          <t xml:space="preserve">
No mathcing measure</t>
        </r>
      </text>
    </comment>
    <comment ref="AP500" authorId="4" shapeId="0" xr:uid="{170E502E-33F4-42BA-8157-4300E845DC02}">
      <text>
        <r>
          <rPr>
            <b/>
            <sz val="9"/>
            <color indexed="81"/>
            <rFont val="Tahoma"/>
            <family val="2"/>
          </rPr>
          <t>Sharon Bosley:</t>
        </r>
        <r>
          <rPr>
            <sz val="9"/>
            <color indexed="81"/>
            <rFont val="Tahoma"/>
            <family val="2"/>
          </rPr>
          <t xml:space="preserve">
No mathcing measure</t>
        </r>
      </text>
    </comment>
    <comment ref="AV500" authorId="4" shapeId="0" xr:uid="{91FF891C-6435-4D56-BAE6-6C2E1DE7365E}">
      <text>
        <r>
          <rPr>
            <b/>
            <sz val="9"/>
            <color indexed="81"/>
            <rFont val="Tahoma"/>
            <family val="2"/>
          </rPr>
          <t>Sharon Bosley:</t>
        </r>
        <r>
          <rPr>
            <sz val="9"/>
            <color indexed="81"/>
            <rFont val="Tahoma"/>
            <family val="2"/>
          </rPr>
          <t xml:space="preserve">
No mathcing measure</t>
        </r>
      </text>
    </comment>
    <comment ref="BB500" authorId="4" shapeId="0" xr:uid="{A3F2AB6B-4B68-4D33-8192-0754F3D325FE}">
      <text>
        <r>
          <rPr>
            <b/>
            <sz val="9"/>
            <color indexed="81"/>
            <rFont val="Tahoma"/>
            <family val="2"/>
          </rPr>
          <t>Sharon Bosley:</t>
        </r>
        <r>
          <rPr>
            <sz val="9"/>
            <color indexed="81"/>
            <rFont val="Tahoma"/>
            <family val="2"/>
          </rPr>
          <t xml:space="preserve">
No mathcing measure</t>
        </r>
      </text>
    </comment>
    <comment ref="BH500" authorId="4" shapeId="0" xr:uid="{CCD83B9F-D077-4162-8DFE-61B454F47873}">
      <text>
        <r>
          <rPr>
            <b/>
            <sz val="9"/>
            <color indexed="81"/>
            <rFont val="Tahoma"/>
            <family val="2"/>
          </rPr>
          <t>Sharon Bosley:</t>
        </r>
        <r>
          <rPr>
            <sz val="9"/>
            <color indexed="81"/>
            <rFont val="Tahoma"/>
            <family val="2"/>
          </rPr>
          <t xml:space="preserve">
No mathcing measure</t>
        </r>
      </text>
    </comment>
    <comment ref="AP501" authorId="4" shapeId="0" xr:uid="{E4E34264-8D20-48CF-847A-543B335750D0}">
      <text>
        <r>
          <rPr>
            <b/>
            <sz val="9"/>
            <color indexed="81"/>
            <rFont val="Tahoma"/>
            <family val="2"/>
          </rPr>
          <t>Sharon Bosley:</t>
        </r>
        <r>
          <rPr>
            <sz val="9"/>
            <color indexed="81"/>
            <rFont val="Tahoma"/>
            <family val="2"/>
          </rPr>
          <t xml:space="preserve">
No mathcing measure</t>
        </r>
      </text>
    </comment>
    <comment ref="AV501" authorId="4" shapeId="0" xr:uid="{BF2FBBD1-49F1-45B6-A82C-6BDD64459BC2}">
      <text>
        <r>
          <rPr>
            <b/>
            <sz val="9"/>
            <color indexed="81"/>
            <rFont val="Tahoma"/>
            <family val="2"/>
          </rPr>
          <t>Sharon Bosley:</t>
        </r>
        <r>
          <rPr>
            <sz val="9"/>
            <color indexed="81"/>
            <rFont val="Tahoma"/>
            <family val="2"/>
          </rPr>
          <t xml:space="preserve">
No mathcing measure</t>
        </r>
      </text>
    </comment>
    <comment ref="BB501" authorId="4" shapeId="0" xr:uid="{7B3EAA3F-D986-42E8-B866-2859D50E8128}">
      <text>
        <r>
          <rPr>
            <b/>
            <sz val="9"/>
            <color indexed="81"/>
            <rFont val="Tahoma"/>
            <family val="2"/>
          </rPr>
          <t>Sharon Bosley:</t>
        </r>
        <r>
          <rPr>
            <sz val="9"/>
            <color indexed="81"/>
            <rFont val="Tahoma"/>
            <family val="2"/>
          </rPr>
          <t xml:space="preserve">
No mathcing measure</t>
        </r>
      </text>
    </comment>
    <comment ref="BH501" authorId="4" shapeId="0" xr:uid="{3F4C33EE-ABB4-4328-B6A1-B1FB583706DD}">
      <text>
        <r>
          <rPr>
            <b/>
            <sz val="9"/>
            <color indexed="81"/>
            <rFont val="Tahoma"/>
            <family val="2"/>
          </rPr>
          <t>Sharon Bosley:</t>
        </r>
        <r>
          <rPr>
            <sz val="9"/>
            <color indexed="81"/>
            <rFont val="Tahoma"/>
            <family val="2"/>
          </rPr>
          <t xml:space="preserve">
No mathcing measure</t>
        </r>
      </text>
    </comment>
    <comment ref="AP502" authorId="4" shapeId="0" xr:uid="{8E44E6E9-4743-4E9D-9D14-7BBC604025F1}">
      <text>
        <r>
          <rPr>
            <b/>
            <sz val="9"/>
            <color indexed="81"/>
            <rFont val="Tahoma"/>
            <family val="2"/>
          </rPr>
          <t>Sharon Bosley:</t>
        </r>
        <r>
          <rPr>
            <sz val="9"/>
            <color indexed="81"/>
            <rFont val="Tahoma"/>
            <family val="2"/>
          </rPr>
          <t xml:space="preserve">
No mathcing measure</t>
        </r>
      </text>
    </comment>
    <comment ref="AV502" authorId="4" shapeId="0" xr:uid="{AB80B665-0C71-46F7-8F58-DBCF694B2EC0}">
      <text>
        <r>
          <rPr>
            <b/>
            <sz val="9"/>
            <color indexed="81"/>
            <rFont val="Tahoma"/>
            <family val="2"/>
          </rPr>
          <t>Sharon Bosley:</t>
        </r>
        <r>
          <rPr>
            <sz val="9"/>
            <color indexed="81"/>
            <rFont val="Tahoma"/>
            <family val="2"/>
          </rPr>
          <t xml:space="preserve">
No mathcing measure</t>
        </r>
      </text>
    </comment>
    <comment ref="BB502" authorId="4" shapeId="0" xr:uid="{DA9CAF2F-34F9-4C74-9F02-D2EFB19CD7B8}">
      <text>
        <r>
          <rPr>
            <b/>
            <sz val="9"/>
            <color indexed="81"/>
            <rFont val="Tahoma"/>
            <family val="2"/>
          </rPr>
          <t>Sharon Bosley:</t>
        </r>
        <r>
          <rPr>
            <sz val="9"/>
            <color indexed="81"/>
            <rFont val="Tahoma"/>
            <family val="2"/>
          </rPr>
          <t xml:space="preserve">
No mathcing measure</t>
        </r>
      </text>
    </comment>
    <comment ref="BH502" authorId="4" shapeId="0" xr:uid="{247077C7-0B08-4972-9C1D-AF5143D78194}">
      <text>
        <r>
          <rPr>
            <b/>
            <sz val="9"/>
            <color indexed="81"/>
            <rFont val="Tahoma"/>
            <family val="2"/>
          </rPr>
          <t>Sharon Bosley:</t>
        </r>
        <r>
          <rPr>
            <sz val="9"/>
            <color indexed="81"/>
            <rFont val="Tahoma"/>
            <family val="2"/>
          </rPr>
          <t xml:space="preserve">
No mathcing measure</t>
        </r>
      </text>
    </comment>
    <comment ref="AP503" authorId="4" shapeId="0" xr:uid="{6EE8F784-0BF4-4815-AD21-C00BD215D965}">
      <text>
        <r>
          <rPr>
            <b/>
            <sz val="9"/>
            <color indexed="81"/>
            <rFont val="Tahoma"/>
            <family val="2"/>
          </rPr>
          <t>Sharon Bosley:</t>
        </r>
        <r>
          <rPr>
            <sz val="9"/>
            <color indexed="81"/>
            <rFont val="Tahoma"/>
            <family val="2"/>
          </rPr>
          <t xml:space="preserve">
No mathcing  tab</t>
        </r>
      </text>
    </comment>
    <comment ref="AV503" authorId="4" shapeId="0" xr:uid="{10268CE3-5B35-4147-81B5-D129D436955A}">
      <text>
        <r>
          <rPr>
            <b/>
            <sz val="9"/>
            <color indexed="81"/>
            <rFont val="Tahoma"/>
            <family val="2"/>
          </rPr>
          <t>Sharon Bosley:</t>
        </r>
        <r>
          <rPr>
            <sz val="9"/>
            <color indexed="81"/>
            <rFont val="Tahoma"/>
            <family val="2"/>
          </rPr>
          <t xml:space="preserve">
No mathcing  tab</t>
        </r>
      </text>
    </comment>
    <comment ref="BB503" authorId="4" shapeId="0" xr:uid="{3CD4DE65-1F8A-49A5-A271-3C9A7E3C8358}">
      <text>
        <r>
          <rPr>
            <b/>
            <sz val="9"/>
            <color indexed="81"/>
            <rFont val="Tahoma"/>
            <family val="2"/>
          </rPr>
          <t>Sharon Bosley:</t>
        </r>
        <r>
          <rPr>
            <sz val="9"/>
            <color indexed="81"/>
            <rFont val="Tahoma"/>
            <family val="2"/>
          </rPr>
          <t xml:space="preserve">
No mathcing  tab</t>
        </r>
      </text>
    </comment>
    <comment ref="BH503" authorId="4" shapeId="0" xr:uid="{FBDF8EAF-BD44-45B9-A542-CF8C0377A8EA}">
      <text>
        <r>
          <rPr>
            <b/>
            <sz val="9"/>
            <color indexed="81"/>
            <rFont val="Tahoma"/>
            <family val="2"/>
          </rPr>
          <t>Sharon Bosley:</t>
        </r>
        <r>
          <rPr>
            <sz val="9"/>
            <color indexed="81"/>
            <rFont val="Tahoma"/>
            <family val="2"/>
          </rPr>
          <t xml:space="preserve">
No mathcing  tab</t>
        </r>
      </text>
    </comment>
    <comment ref="AP504" authorId="4" shapeId="0" xr:uid="{10A6E20B-69BE-4F2D-BB10-79D9724DC302}">
      <text>
        <r>
          <rPr>
            <b/>
            <sz val="9"/>
            <color indexed="81"/>
            <rFont val="Tahoma"/>
            <family val="2"/>
          </rPr>
          <t>Sharon Bosley:</t>
        </r>
        <r>
          <rPr>
            <sz val="9"/>
            <color indexed="81"/>
            <rFont val="Tahoma"/>
            <family val="2"/>
          </rPr>
          <t xml:space="preserve">
No mathcing  tab</t>
        </r>
      </text>
    </comment>
    <comment ref="AV504" authorId="4" shapeId="0" xr:uid="{37C2049A-AD4B-4C7C-9355-4DD2070E50F2}">
      <text>
        <r>
          <rPr>
            <b/>
            <sz val="9"/>
            <color indexed="81"/>
            <rFont val="Tahoma"/>
            <family val="2"/>
          </rPr>
          <t>Sharon Bosley:</t>
        </r>
        <r>
          <rPr>
            <sz val="9"/>
            <color indexed="81"/>
            <rFont val="Tahoma"/>
            <family val="2"/>
          </rPr>
          <t xml:space="preserve">
No mathcing  tab</t>
        </r>
      </text>
    </comment>
    <comment ref="BB504" authorId="4" shapeId="0" xr:uid="{C375B4EF-7EB0-4C6E-B449-FE4D58DBE850}">
      <text>
        <r>
          <rPr>
            <b/>
            <sz val="9"/>
            <color indexed="81"/>
            <rFont val="Tahoma"/>
            <family val="2"/>
          </rPr>
          <t>Sharon Bosley:</t>
        </r>
        <r>
          <rPr>
            <sz val="9"/>
            <color indexed="81"/>
            <rFont val="Tahoma"/>
            <family val="2"/>
          </rPr>
          <t xml:space="preserve">
No mathcing  tab</t>
        </r>
      </text>
    </comment>
    <comment ref="BH504" authorId="4" shapeId="0" xr:uid="{128A1C92-5B17-4CCD-99A8-EB469BCBFEBA}">
      <text>
        <r>
          <rPr>
            <b/>
            <sz val="9"/>
            <color indexed="81"/>
            <rFont val="Tahoma"/>
            <family val="2"/>
          </rPr>
          <t>Sharon Bosley:</t>
        </r>
        <r>
          <rPr>
            <sz val="9"/>
            <color indexed="81"/>
            <rFont val="Tahoma"/>
            <family val="2"/>
          </rPr>
          <t xml:space="preserve">
No mathcing  tab</t>
        </r>
      </text>
    </comment>
    <comment ref="AP518" authorId="4" shapeId="0" xr:uid="{77306E78-7BD0-4E7D-A18E-959A81F90BF1}">
      <text>
        <r>
          <rPr>
            <b/>
            <sz val="9"/>
            <color indexed="81"/>
            <rFont val="Tahoma"/>
            <family val="2"/>
          </rPr>
          <t>Sharon Bosley:</t>
        </r>
        <r>
          <rPr>
            <sz val="9"/>
            <color indexed="81"/>
            <rFont val="Tahoma"/>
            <family val="2"/>
          </rPr>
          <t xml:space="preserve">
No mathcing measure</t>
        </r>
      </text>
    </comment>
    <comment ref="AV518" authorId="4" shapeId="0" xr:uid="{12999A28-246E-462F-82AD-1BF604F99F41}">
      <text>
        <r>
          <rPr>
            <b/>
            <sz val="9"/>
            <color indexed="81"/>
            <rFont val="Tahoma"/>
            <family val="2"/>
          </rPr>
          <t>Sharon Bosley:</t>
        </r>
        <r>
          <rPr>
            <sz val="9"/>
            <color indexed="81"/>
            <rFont val="Tahoma"/>
            <family val="2"/>
          </rPr>
          <t xml:space="preserve">
No mathcing measure</t>
        </r>
      </text>
    </comment>
    <comment ref="BB518" authorId="4" shapeId="0" xr:uid="{3045DCD3-E25D-48CA-99E6-54BD89577115}">
      <text>
        <r>
          <rPr>
            <b/>
            <sz val="9"/>
            <color indexed="81"/>
            <rFont val="Tahoma"/>
            <family val="2"/>
          </rPr>
          <t>Sharon Bosley:</t>
        </r>
        <r>
          <rPr>
            <sz val="9"/>
            <color indexed="81"/>
            <rFont val="Tahoma"/>
            <family val="2"/>
          </rPr>
          <t xml:space="preserve">
No mathcing measure</t>
        </r>
      </text>
    </comment>
    <comment ref="BH518" authorId="4" shapeId="0" xr:uid="{43753588-8AE5-40B5-8E34-AEFBB9975DE4}">
      <text>
        <r>
          <rPr>
            <b/>
            <sz val="9"/>
            <color indexed="81"/>
            <rFont val="Tahoma"/>
            <family val="2"/>
          </rPr>
          <t>Sharon Bosley:</t>
        </r>
        <r>
          <rPr>
            <sz val="9"/>
            <color indexed="81"/>
            <rFont val="Tahoma"/>
            <family val="2"/>
          </rPr>
          <t xml:space="preserve">
No mathcing measure</t>
        </r>
      </text>
    </comment>
    <comment ref="AP519" authorId="4" shapeId="0" xr:uid="{AAFD260E-1F10-407C-AC2D-6BF50506F41D}">
      <text>
        <r>
          <rPr>
            <b/>
            <sz val="9"/>
            <color indexed="81"/>
            <rFont val="Tahoma"/>
            <family val="2"/>
          </rPr>
          <t>Sharon Bosley:</t>
        </r>
        <r>
          <rPr>
            <sz val="9"/>
            <color indexed="81"/>
            <rFont val="Tahoma"/>
            <family val="2"/>
          </rPr>
          <t xml:space="preserve">
No mathcing measure</t>
        </r>
      </text>
    </comment>
    <comment ref="AV519" authorId="4" shapeId="0" xr:uid="{FBF96405-02A4-42B3-B320-17D21044150D}">
      <text>
        <r>
          <rPr>
            <b/>
            <sz val="9"/>
            <color indexed="81"/>
            <rFont val="Tahoma"/>
            <family val="2"/>
          </rPr>
          <t>Sharon Bosley:</t>
        </r>
        <r>
          <rPr>
            <sz val="9"/>
            <color indexed="81"/>
            <rFont val="Tahoma"/>
            <family val="2"/>
          </rPr>
          <t xml:space="preserve">
No mathcing measure</t>
        </r>
      </text>
    </comment>
    <comment ref="BB519" authorId="4" shapeId="0" xr:uid="{9115AA75-39B1-44F9-A301-08994B7174EB}">
      <text>
        <r>
          <rPr>
            <b/>
            <sz val="9"/>
            <color indexed="81"/>
            <rFont val="Tahoma"/>
            <family val="2"/>
          </rPr>
          <t>Sharon Bosley:</t>
        </r>
        <r>
          <rPr>
            <sz val="9"/>
            <color indexed="81"/>
            <rFont val="Tahoma"/>
            <family val="2"/>
          </rPr>
          <t xml:space="preserve">
No mathcing measure</t>
        </r>
      </text>
    </comment>
    <comment ref="BH519" authorId="4" shapeId="0" xr:uid="{143E7B3C-7420-4289-8E7B-53BF8F33A75B}">
      <text>
        <r>
          <rPr>
            <b/>
            <sz val="9"/>
            <color indexed="81"/>
            <rFont val="Tahoma"/>
            <family val="2"/>
          </rPr>
          <t>Sharon Bosley:</t>
        </r>
        <r>
          <rPr>
            <sz val="9"/>
            <color indexed="81"/>
            <rFont val="Tahoma"/>
            <family val="2"/>
          </rPr>
          <t xml:space="preserve">
No mathcing measure</t>
        </r>
      </text>
    </comment>
    <comment ref="AP533" authorId="4" shapeId="0" xr:uid="{D7837657-9F7D-41A1-AA18-16409FEB1A73}">
      <text>
        <r>
          <rPr>
            <b/>
            <sz val="9"/>
            <color indexed="81"/>
            <rFont val="Tahoma"/>
            <family val="2"/>
          </rPr>
          <t>Sharon Bosley:</t>
        </r>
        <r>
          <rPr>
            <sz val="9"/>
            <color indexed="81"/>
            <rFont val="Tahoma"/>
            <family val="2"/>
          </rPr>
          <t xml:space="preserve">
No mathcing measure</t>
        </r>
      </text>
    </comment>
    <comment ref="AV533" authorId="4" shapeId="0" xr:uid="{9A0F52AB-2B40-4CEA-B2B2-355730252200}">
      <text>
        <r>
          <rPr>
            <b/>
            <sz val="9"/>
            <color indexed="81"/>
            <rFont val="Tahoma"/>
            <family val="2"/>
          </rPr>
          <t>Sharon Bosley:</t>
        </r>
        <r>
          <rPr>
            <sz val="9"/>
            <color indexed="81"/>
            <rFont val="Tahoma"/>
            <family val="2"/>
          </rPr>
          <t xml:space="preserve">
No mathcing measure</t>
        </r>
      </text>
    </comment>
    <comment ref="BB533" authorId="4" shapeId="0" xr:uid="{92FB3CDB-4A5E-4013-A59E-E1129430231E}">
      <text>
        <r>
          <rPr>
            <b/>
            <sz val="9"/>
            <color indexed="81"/>
            <rFont val="Tahoma"/>
            <family val="2"/>
          </rPr>
          <t>Sharon Bosley:</t>
        </r>
        <r>
          <rPr>
            <sz val="9"/>
            <color indexed="81"/>
            <rFont val="Tahoma"/>
            <family val="2"/>
          </rPr>
          <t xml:space="preserve">
No mathcing measure</t>
        </r>
      </text>
    </comment>
    <comment ref="BH533" authorId="4" shapeId="0" xr:uid="{AE880733-21B3-4D68-AFC5-39666C90135B}">
      <text>
        <r>
          <rPr>
            <b/>
            <sz val="9"/>
            <color indexed="81"/>
            <rFont val="Tahoma"/>
            <family val="2"/>
          </rPr>
          <t>Sharon Bosley:</t>
        </r>
        <r>
          <rPr>
            <sz val="9"/>
            <color indexed="81"/>
            <rFont val="Tahoma"/>
            <family val="2"/>
          </rPr>
          <t xml:space="preserve">
No mathcing measure</t>
        </r>
      </text>
    </comment>
    <comment ref="AP565" authorId="4" shapeId="0" xr:uid="{5C6FCC95-A19D-4BE8-BF2E-119AF50515BF}">
      <text>
        <r>
          <rPr>
            <b/>
            <sz val="9"/>
            <color indexed="81"/>
            <rFont val="Tahoma"/>
            <family val="2"/>
          </rPr>
          <t>Sharon Bosley:</t>
        </r>
        <r>
          <rPr>
            <sz val="9"/>
            <color indexed="81"/>
            <rFont val="Tahoma"/>
            <family val="2"/>
          </rPr>
          <t xml:space="preserve">
No Annual Therm Savings</t>
        </r>
      </text>
    </comment>
    <comment ref="AV565" authorId="4" shapeId="0" xr:uid="{AC4096FC-6E9A-46AE-9D6A-F2676F58BC6A}">
      <text>
        <r>
          <rPr>
            <b/>
            <sz val="9"/>
            <color indexed="81"/>
            <rFont val="Tahoma"/>
            <family val="2"/>
          </rPr>
          <t>Sharon Bosley:</t>
        </r>
        <r>
          <rPr>
            <sz val="9"/>
            <color indexed="81"/>
            <rFont val="Tahoma"/>
            <family val="2"/>
          </rPr>
          <t xml:space="preserve">
No Annual Therm Savings</t>
        </r>
      </text>
    </comment>
    <comment ref="BB565" authorId="4" shapeId="0" xr:uid="{4810607A-11DF-46A3-937F-5A36FD8F462E}">
      <text>
        <r>
          <rPr>
            <b/>
            <sz val="9"/>
            <color indexed="81"/>
            <rFont val="Tahoma"/>
            <family val="2"/>
          </rPr>
          <t>Sharon Bosley:</t>
        </r>
        <r>
          <rPr>
            <sz val="9"/>
            <color indexed="81"/>
            <rFont val="Tahoma"/>
            <family val="2"/>
          </rPr>
          <t xml:space="preserve">
No Annual Therm Savings</t>
        </r>
      </text>
    </comment>
    <comment ref="BH565" authorId="4" shapeId="0" xr:uid="{2CF79791-CD27-4912-9590-82A649AE16A4}">
      <text>
        <r>
          <rPr>
            <b/>
            <sz val="9"/>
            <color indexed="81"/>
            <rFont val="Tahoma"/>
            <family val="2"/>
          </rPr>
          <t>Sharon Bosley:</t>
        </r>
        <r>
          <rPr>
            <sz val="9"/>
            <color indexed="81"/>
            <rFont val="Tahoma"/>
            <family val="2"/>
          </rPr>
          <t xml:space="preserve">
No Annual Therm Savings</t>
        </r>
      </text>
    </comment>
    <comment ref="AP569" authorId="4" shapeId="0" xr:uid="{B8679A10-37EF-4191-A27B-76A6B0C5A5B0}">
      <text>
        <r>
          <rPr>
            <b/>
            <sz val="9"/>
            <color indexed="81"/>
            <rFont val="Tahoma"/>
            <family val="2"/>
          </rPr>
          <t>Sharon Bosley:</t>
        </r>
        <r>
          <rPr>
            <sz val="9"/>
            <color indexed="81"/>
            <rFont val="Tahoma"/>
            <family val="2"/>
          </rPr>
          <t xml:space="preserve">
No tab 4.4.52</t>
        </r>
      </text>
    </comment>
    <comment ref="AV569" authorId="4" shapeId="0" xr:uid="{2396479B-8017-4F2A-8A46-9DE208CAB247}">
      <text>
        <r>
          <rPr>
            <b/>
            <sz val="9"/>
            <color indexed="81"/>
            <rFont val="Tahoma"/>
            <family val="2"/>
          </rPr>
          <t>Sharon Bosley:</t>
        </r>
        <r>
          <rPr>
            <sz val="9"/>
            <color indexed="81"/>
            <rFont val="Tahoma"/>
            <family val="2"/>
          </rPr>
          <t xml:space="preserve">
No tab 4.4.52</t>
        </r>
      </text>
    </comment>
    <comment ref="BB569" authorId="4" shapeId="0" xr:uid="{DC489164-F05D-4999-A060-F3B1D6213C1E}">
      <text>
        <r>
          <rPr>
            <b/>
            <sz val="9"/>
            <color indexed="81"/>
            <rFont val="Tahoma"/>
            <family val="2"/>
          </rPr>
          <t>Sharon Bosley:</t>
        </r>
        <r>
          <rPr>
            <sz val="9"/>
            <color indexed="81"/>
            <rFont val="Tahoma"/>
            <family val="2"/>
          </rPr>
          <t xml:space="preserve">
No tab 4.4.52</t>
        </r>
      </text>
    </comment>
    <comment ref="BH569" authorId="4" shapeId="0" xr:uid="{A62735B6-769B-4575-8142-42022280A79C}">
      <text>
        <r>
          <rPr>
            <b/>
            <sz val="9"/>
            <color indexed="81"/>
            <rFont val="Tahoma"/>
            <family val="2"/>
          </rPr>
          <t>Sharon Bosley:</t>
        </r>
        <r>
          <rPr>
            <sz val="9"/>
            <color indexed="81"/>
            <rFont val="Tahoma"/>
            <family val="2"/>
          </rPr>
          <t xml:space="preserve">
No tab 4.4.52</t>
        </r>
      </text>
    </comment>
    <comment ref="AP570" authorId="4" shapeId="0" xr:uid="{56B9B4F7-0582-4A45-8886-C8C0F53451C0}">
      <text>
        <r>
          <rPr>
            <b/>
            <sz val="9"/>
            <color indexed="81"/>
            <rFont val="Tahoma"/>
            <family val="2"/>
          </rPr>
          <t>Sharon Bosley:</t>
        </r>
        <r>
          <rPr>
            <sz val="9"/>
            <color indexed="81"/>
            <rFont val="Tahoma"/>
            <family val="2"/>
          </rPr>
          <t xml:space="preserve">
No tab 4.4.49</t>
        </r>
      </text>
    </comment>
    <comment ref="AV570" authorId="4" shapeId="0" xr:uid="{D9DF767F-244C-4953-A77E-172042F296D0}">
      <text>
        <r>
          <rPr>
            <b/>
            <sz val="9"/>
            <color indexed="81"/>
            <rFont val="Tahoma"/>
            <family val="2"/>
          </rPr>
          <t>Sharon Bosley:</t>
        </r>
        <r>
          <rPr>
            <sz val="9"/>
            <color indexed="81"/>
            <rFont val="Tahoma"/>
            <family val="2"/>
          </rPr>
          <t xml:space="preserve">
No tab 4.4.49</t>
        </r>
      </text>
    </comment>
    <comment ref="BB570" authorId="4" shapeId="0" xr:uid="{B4BBCA46-AA11-4054-B59A-9D1D6483F7EA}">
      <text>
        <r>
          <rPr>
            <b/>
            <sz val="9"/>
            <color indexed="81"/>
            <rFont val="Tahoma"/>
            <family val="2"/>
          </rPr>
          <t>Sharon Bosley:</t>
        </r>
        <r>
          <rPr>
            <sz val="9"/>
            <color indexed="81"/>
            <rFont val="Tahoma"/>
            <family val="2"/>
          </rPr>
          <t xml:space="preserve">
No tab 4.4.49</t>
        </r>
      </text>
    </comment>
    <comment ref="BH570" authorId="4" shapeId="0" xr:uid="{658D3C84-40C7-455B-A7D9-8E7F06659F28}">
      <text>
        <r>
          <rPr>
            <b/>
            <sz val="9"/>
            <color indexed="81"/>
            <rFont val="Tahoma"/>
            <family val="2"/>
          </rPr>
          <t>Sharon Bosley:</t>
        </r>
        <r>
          <rPr>
            <sz val="9"/>
            <color indexed="81"/>
            <rFont val="Tahoma"/>
            <family val="2"/>
          </rPr>
          <t xml:space="preserve">
No tab 4.4.49</t>
        </r>
      </text>
    </comment>
    <comment ref="AP571" authorId="4" shapeId="0" xr:uid="{747048C3-2890-4BDD-A8CF-3F6CD8FA5ED0}">
      <text>
        <r>
          <rPr>
            <b/>
            <sz val="9"/>
            <color indexed="81"/>
            <rFont val="Tahoma"/>
            <family val="2"/>
          </rPr>
          <t>Sharon Bosley:</t>
        </r>
        <r>
          <rPr>
            <sz val="9"/>
            <color indexed="81"/>
            <rFont val="Tahoma"/>
            <family val="2"/>
          </rPr>
          <t xml:space="preserve">
no measure 4.4.16.21</t>
        </r>
      </text>
    </comment>
    <comment ref="AV571" authorId="4" shapeId="0" xr:uid="{A71E108D-AE83-46DD-A71F-7A52802C95D6}">
      <text>
        <r>
          <rPr>
            <b/>
            <sz val="9"/>
            <color indexed="81"/>
            <rFont val="Tahoma"/>
            <family val="2"/>
          </rPr>
          <t>Sharon Bosley:</t>
        </r>
        <r>
          <rPr>
            <sz val="9"/>
            <color indexed="81"/>
            <rFont val="Tahoma"/>
            <family val="2"/>
          </rPr>
          <t xml:space="preserve">
no measure 4.4.16.21</t>
        </r>
      </text>
    </comment>
    <comment ref="BB571" authorId="4" shapeId="0" xr:uid="{2AA55B02-92A0-4498-9E63-3A53DC5F68F2}">
      <text>
        <r>
          <rPr>
            <b/>
            <sz val="9"/>
            <color indexed="81"/>
            <rFont val="Tahoma"/>
            <family val="2"/>
          </rPr>
          <t>Sharon Bosley:</t>
        </r>
        <r>
          <rPr>
            <sz val="9"/>
            <color indexed="81"/>
            <rFont val="Tahoma"/>
            <family val="2"/>
          </rPr>
          <t xml:space="preserve">
no measure 4.4.16.21</t>
        </r>
      </text>
    </comment>
    <comment ref="BH571" authorId="4" shapeId="0" xr:uid="{D332DC76-D910-4398-8D04-78138075423D}">
      <text>
        <r>
          <rPr>
            <b/>
            <sz val="9"/>
            <color indexed="81"/>
            <rFont val="Tahoma"/>
            <family val="2"/>
          </rPr>
          <t>Sharon Bosley:</t>
        </r>
        <r>
          <rPr>
            <sz val="9"/>
            <color indexed="81"/>
            <rFont val="Tahoma"/>
            <family val="2"/>
          </rPr>
          <t xml:space="preserve">
no measure 4.4.16.21</t>
        </r>
      </text>
    </comment>
    <comment ref="AP600" authorId="4" shapeId="0" xr:uid="{1A55FD73-29EA-4830-AC17-708B94F1F30F}">
      <text>
        <r>
          <rPr>
            <b/>
            <sz val="9"/>
            <color indexed="81"/>
            <rFont val="Tahoma"/>
            <family val="2"/>
          </rPr>
          <t>Sharon Bosley:</t>
        </r>
        <r>
          <rPr>
            <sz val="9"/>
            <color indexed="81"/>
            <rFont val="Tahoma"/>
            <family val="2"/>
          </rPr>
          <t xml:space="preserve">
No Annual Therm Savings</t>
        </r>
      </text>
    </comment>
    <comment ref="AV600" authorId="4" shapeId="0" xr:uid="{86AF0C0C-D745-4107-8544-C9F610534792}">
      <text>
        <r>
          <rPr>
            <b/>
            <sz val="9"/>
            <color indexed="81"/>
            <rFont val="Tahoma"/>
            <family val="2"/>
          </rPr>
          <t>Sharon Bosley:</t>
        </r>
        <r>
          <rPr>
            <sz val="9"/>
            <color indexed="81"/>
            <rFont val="Tahoma"/>
            <family val="2"/>
          </rPr>
          <t xml:space="preserve">
No Annual Therm Savings</t>
        </r>
      </text>
    </comment>
    <comment ref="BB600" authorId="4" shapeId="0" xr:uid="{EC35BF54-4FEE-42CB-BC6E-DC346ADBCF70}">
      <text>
        <r>
          <rPr>
            <b/>
            <sz val="9"/>
            <color indexed="81"/>
            <rFont val="Tahoma"/>
            <family val="2"/>
          </rPr>
          <t>Sharon Bosley:</t>
        </r>
        <r>
          <rPr>
            <sz val="9"/>
            <color indexed="81"/>
            <rFont val="Tahoma"/>
            <family val="2"/>
          </rPr>
          <t xml:space="preserve">
No Annual Therm Savings</t>
        </r>
      </text>
    </comment>
    <comment ref="BH600" authorId="4" shapeId="0" xr:uid="{B20A935D-78FC-4C45-BB00-92F1A2B090B1}">
      <text>
        <r>
          <rPr>
            <b/>
            <sz val="9"/>
            <color indexed="81"/>
            <rFont val="Tahoma"/>
            <family val="2"/>
          </rPr>
          <t>Sharon Bosley:</t>
        </r>
        <r>
          <rPr>
            <sz val="9"/>
            <color indexed="81"/>
            <rFont val="Tahoma"/>
            <family val="2"/>
          </rPr>
          <t xml:space="preserve">
No Annual Therm Savings</t>
        </r>
      </text>
    </comment>
    <comment ref="B620" authorId="0" shapeId="0" xr:uid="{DE8878A2-75BF-4ACD-BF8C-E8BFF4A3762D}">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(r) – (u), (z), (aa) – (ad), (aj), (ap), (av) – (az).
Note: The values contained in the row, Portfolio Total (Therms), of the Measure-Level Adjustments Tab for columns (r), (s), (t), and (u) – Plan Energy Savings Goals, and columns (aw), (ax), (ay), and (az) – Final Adjusted Net Energy Savings Goals, should be equal to the values contained in the row, Portfolio Total (Therms), in the Program-Level Adjustments Tab for columns (b), (f), (j), and (n) – Plan Energy Savings Goal, and columns (c), (g), (k), and (o) – Adjusted Energy Savings Goal, respectively. </t>
        </r>
      </text>
    </comment>
    <comment ref="AI620" authorId="0" shapeId="0" xr:uid="{234CCE85-6E46-403F-8A05-42BFAC575C45}">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AJ620" authorId="0" shapeId="0" xr:uid="{9FDE7C83-B20E-43B4-95B3-F71DB01C89DB}">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AK620" authorId="0" shapeId="0" xr:uid="{1629323B-8444-4D0E-9C0E-36BA48D10B91}">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AL620" authorId="0" shapeId="0" xr:uid="{A9C24655-8B87-4B83-9352-25D548728921}">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AM620" authorId="0" shapeId="0" xr:uid="{33C01C67-47F5-462B-9499-B6074C25150F}">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Randy Opdyke</author>
  </authors>
  <commentList>
    <comment ref="W4" authorId="0" shapeId="0" xr:uid="{C92A619B-65DA-4BBE-BE58-658B5975DB88}">
      <text>
        <r>
          <rPr>
            <b/>
            <sz val="9"/>
            <color indexed="81"/>
            <rFont val="Tahoma"/>
            <family val="2"/>
          </rPr>
          <t>Randy Opdyke:</t>
        </r>
        <r>
          <rPr>
            <sz val="9"/>
            <color indexed="81"/>
            <rFont val="Tahoma"/>
            <family val="2"/>
          </rPr>
          <t xml:space="preserve">
custom based DI</t>
        </r>
      </text>
    </comment>
    <comment ref="W5" authorId="0" shapeId="0" xr:uid="{26A0CF34-F363-4A96-AB7A-FAA5EDA04B1C}">
      <text>
        <r>
          <rPr>
            <b/>
            <sz val="9"/>
            <color indexed="81"/>
            <rFont val="Tahoma"/>
            <family val="2"/>
          </rPr>
          <t>Randy Opdyke:</t>
        </r>
        <r>
          <rPr>
            <sz val="9"/>
            <color indexed="81"/>
            <rFont val="Tahoma"/>
            <family val="2"/>
          </rPr>
          <t xml:space="preserve">
custom based DI</t>
        </r>
      </text>
    </comment>
    <comment ref="W21" authorId="0" shapeId="0" xr:uid="{38BD5DBA-CC1E-4AD1-9C7C-B5BCA4BBD99D}">
      <text>
        <r>
          <rPr>
            <b/>
            <sz val="9"/>
            <color indexed="81"/>
            <rFont val="Tahoma"/>
            <family val="2"/>
          </rPr>
          <t>Randy Opdyke:</t>
        </r>
        <r>
          <rPr>
            <sz val="9"/>
            <color indexed="81"/>
            <rFont val="Tahoma"/>
            <family val="2"/>
          </rPr>
          <t xml:space="preserve">
custom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Bridgid Lutz</author>
  </authors>
  <commentList>
    <comment ref="S4" authorId="0" shapeId="0" xr:uid="{00000000-0006-0000-2A00-000001000000}">
      <text>
        <r>
          <rPr>
            <sz val="9"/>
            <color indexed="81"/>
            <rFont val="Tahoma"/>
            <family val="2"/>
          </rPr>
          <t xml:space="preserve">
May be a custom input</t>
        </r>
      </text>
    </comment>
    <comment ref="T4" authorId="0" shapeId="0" xr:uid="{00000000-0006-0000-2A00-000002000000}">
      <text>
        <r>
          <rPr>
            <sz val="9"/>
            <color indexed="81"/>
            <rFont val="Tahoma"/>
            <family val="2"/>
          </rPr>
          <t xml:space="preserve">
May be a custom input
</t>
        </r>
      </text>
    </comment>
    <comment ref="S5" authorId="0" shapeId="0" xr:uid="{00000000-0006-0000-2A00-000003000000}">
      <text>
        <r>
          <rPr>
            <sz val="9"/>
            <color indexed="81"/>
            <rFont val="Tahoma"/>
            <family val="2"/>
          </rPr>
          <t xml:space="preserve">
May be a custom input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M4" authorId="0" shapeId="0" xr:uid="{1FC8845B-8AD4-48A9-9312-48A60BC472E5}">
      <text>
        <r>
          <rPr>
            <b/>
            <sz val="9"/>
            <color indexed="81"/>
            <rFont val="Tahoma"/>
            <family val="2"/>
          </rPr>
          <t>SMR:</t>
        </r>
        <r>
          <rPr>
            <sz val="9"/>
            <color indexed="81"/>
            <rFont val="Tahoma"/>
            <family val="2"/>
          </rPr>
          <t xml:space="preserve">
If custom, input values for "household" &amp; "SPH"  in table on 5.4.5 tab</t>
        </r>
      </text>
    </comment>
    <comment ref="M5" authorId="0" shapeId="0" xr:uid="{4EEF10F8-2B5D-4C1B-B69B-E161504FB9FE}">
      <text>
        <r>
          <rPr>
            <b/>
            <sz val="9"/>
            <color indexed="81"/>
            <rFont val="Tahoma"/>
            <family val="2"/>
          </rPr>
          <t>SMR:</t>
        </r>
        <r>
          <rPr>
            <sz val="9"/>
            <color indexed="81"/>
            <rFont val="Tahoma"/>
            <family val="2"/>
          </rPr>
          <t xml:space="preserve">
If custom, input values for "household" &amp; "SPH"  in table on 5.4.5 tab</t>
        </r>
      </text>
    </comment>
    <comment ref="C90" authorId="0" shapeId="0" xr:uid="{FD62B13E-EA3F-44DA-B24C-17EBFD07FB39}">
      <text>
        <r>
          <rPr>
            <sz val="9"/>
            <color indexed="81"/>
            <rFont val="Tahoma"/>
            <family val="2"/>
          </rPr>
          <t>http://www1.eere.energy.gov/femp/program/waterefficiency_bmp7.html</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F4" authorId="0" shapeId="0" xr:uid="{00000000-0006-0000-2D00-000001000000}">
      <text>
        <r>
          <rPr>
            <sz val="9"/>
            <color indexed="81"/>
            <rFont val="Tahoma"/>
            <family val="2"/>
          </rPr>
          <t>Custom input</t>
        </r>
      </text>
    </comment>
    <comment ref="G4" authorId="0" shapeId="0" xr:uid="{00000000-0006-0000-2D00-000002000000}">
      <text>
        <r>
          <rPr>
            <sz val="9"/>
            <color indexed="81"/>
            <rFont val="Tahoma"/>
            <family val="2"/>
          </rPr>
          <t>Custom input</t>
        </r>
      </text>
    </comment>
    <comment ref="J4" authorId="0" shapeId="0" xr:uid="{00000000-0006-0000-2D00-000003000000}">
      <text>
        <r>
          <rPr>
            <b/>
            <sz val="9"/>
            <color indexed="81"/>
            <rFont val="Tahoma"/>
            <family val="2"/>
          </rPr>
          <t>SMR:</t>
        </r>
        <r>
          <rPr>
            <sz val="9"/>
            <color indexed="81"/>
            <rFont val="Tahoma"/>
            <family val="2"/>
          </rPr>
          <t xml:space="preserve">
electric cooling savings apply to Central cooling only</t>
        </r>
      </text>
    </comment>
    <comment ref="F5" authorId="0" shapeId="0" xr:uid="{00000000-0006-0000-2D00-000004000000}">
      <text>
        <r>
          <rPr>
            <sz val="9"/>
            <color indexed="81"/>
            <rFont val="Tahoma"/>
            <family val="2"/>
          </rPr>
          <t>Custom input</t>
        </r>
      </text>
    </comment>
    <comment ref="G5" authorId="0" shapeId="0" xr:uid="{00000000-0006-0000-2D00-000005000000}">
      <text>
        <r>
          <rPr>
            <sz val="9"/>
            <color indexed="81"/>
            <rFont val="Tahoma"/>
            <family val="2"/>
          </rPr>
          <t>Custom input</t>
        </r>
      </text>
    </comment>
    <comment ref="J5" authorId="0" shapeId="0" xr:uid="{00000000-0006-0000-2D00-000006000000}">
      <text>
        <r>
          <rPr>
            <b/>
            <sz val="9"/>
            <color indexed="81"/>
            <rFont val="Tahoma"/>
            <family val="2"/>
          </rPr>
          <t>SMR:</t>
        </r>
        <r>
          <rPr>
            <sz val="9"/>
            <color indexed="81"/>
            <rFont val="Tahoma"/>
            <family val="2"/>
          </rPr>
          <t xml:space="preserve">
electric cooling savings apply to Central cooling only</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H4" authorId="0" shapeId="0" xr:uid="{00000000-0006-0000-2E00-000001000000}">
      <text>
        <r>
          <rPr>
            <sz val="9"/>
            <color indexed="81"/>
            <rFont val="Tahoma"/>
            <family val="2"/>
          </rPr>
          <t>Custom input</t>
        </r>
      </text>
    </comment>
    <comment ref="I4" authorId="0" shapeId="0" xr:uid="{00000000-0006-0000-2E00-000002000000}">
      <text>
        <r>
          <rPr>
            <sz val="9"/>
            <color indexed="81"/>
            <rFont val="Tahoma"/>
            <family val="2"/>
          </rPr>
          <t>Custom input</t>
        </r>
      </text>
    </comment>
    <comment ref="J4" authorId="0" shapeId="0" xr:uid="{00000000-0006-0000-2E00-000003000000}">
      <text>
        <r>
          <rPr>
            <sz val="9"/>
            <color indexed="81"/>
            <rFont val="Tahoma"/>
            <family val="2"/>
          </rPr>
          <t>Custom input</t>
        </r>
      </text>
    </comment>
    <comment ref="K4" authorId="0" shapeId="0" xr:uid="{00000000-0006-0000-2E00-000004000000}">
      <text>
        <r>
          <rPr>
            <sz val="9"/>
            <color indexed="81"/>
            <rFont val="Tahoma"/>
            <family val="2"/>
          </rPr>
          <t>Custom input</t>
        </r>
      </text>
    </comment>
    <comment ref="O4" authorId="0" shapeId="0" xr:uid="{00000000-0006-0000-2E00-000005000000}">
      <text>
        <r>
          <rPr>
            <b/>
            <sz val="9"/>
            <color indexed="81"/>
            <rFont val="Tahoma"/>
            <family val="2"/>
          </rPr>
          <t>SMR:</t>
        </r>
        <r>
          <rPr>
            <sz val="9"/>
            <color indexed="81"/>
            <rFont val="Tahoma"/>
            <family val="2"/>
          </rPr>
          <t xml:space="preserve">
electric cooling savings apply to Central cooling only</t>
        </r>
      </text>
    </comment>
    <comment ref="H5" authorId="0" shapeId="0" xr:uid="{2CF2D57E-DFEF-4DC0-B2D4-1B18DD3BA5C9}">
      <text>
        <r>
          <rPr>
            <sz val="9"/>
            <color indexed="81"/>
            <rFont val="Tahoma"/>
            <family val="2"/>
          </rPr>
          <t>Custom input</t>
        </r>
      </text>
    </comment>
    <comment ref="I5" authorId="0" shapeId="0" xr:uid="{3DFB8772-70AE-4F62-96C8-B7F418B9F9B4}">
      <text>
        <r>
          <rPr>
            <sz val="9"/>
            <color indexed="81"/>
            <rFont val="Tahoma"/>
            <family val="2"/>
          </rPr>
          <t>Custom input</t>
        </r>
      </text>
    </comment>
    <comment ref="J5" authorId="0" shapeId="0" xr:uid="{5022803F-5B59-40DF-81DD-C862A406F3FC}">
      <text>
        <r>
          <rPr>
            <sz val="9"/>
            <color indexed="81"/>
            <rFont val="Tahoma"/>
            <family val="2"/>
          </rPr>
          <t>Custom input</t>
        </r>
      </text>
    </comment>
    <comment ref="K5" authorId="0" shapeId="0" xr:uid="{263308F7-FA6B-4F7E-9766-731E3084ECEA}">
      <text>
        <r>
          <rPr>
            <sz val="9"/>
            <color indexed="81"/>
            <rFont val="Tahoma"/>
            <family val="2"/>
          </rPr>
          <t>Custom input</t>
        </r>
      </text>
    </comment>
    <comment ref="O5" authorId="0" shapeId="0" xr:uid="{78D89E98-90AE-48AC-9FF4-153345B8B39C}">
      <text>
        <r>
          <rPr>
            <b/>
            <sz val="9"/>
            <color indexed="81"/>
            <rFont val="Tahoma"/>
            <family val="2"/>
          </rPr>
          <t>SMR:</t>
        </r>
        <r>
          <rPr>
            <sz val="9"/>
            <color indexed="81"/>
            <rFont val="Tahoma"/>
            <family val="2"/>
          </rPr>
          <t xml:space="preserve">
electric cooling savings apply to Central cooling only</t>
        </r>
      </text>
    </comment>
    <comment ref="H6" authorId="0" shapeId="0" xr:uid="{B154EAB0-31F5-472F-B163-79D1993C4FE7}">
      <text>
        <r>
          <rPr>
            <sz val="9"/>
            <color indexed="81"/>
            <rFont val="Tahoma"/>
            <family val="2"/>
          </rPr>
          <t>Custom input</t>
        </r>
      </text>
    </comment>
    <comment ref="I6" authorId="0" shapeId="0" xr:uid="{0775F649-556C-4939-8F0E-CF1FB0337DA5}">
      <text>
        <r>
          <rPr>
            <sz val="9"/>
            <color indexed="81"/>
            <rFont val="Tahoma"/>
            <family val="2"/>
          </rPr>
          <t>Custom input</t>
        </r>
      </text>
    </comment>
    <comment ref="J6" authorId="0" shapeId="0" xr:uid="{D9AAD1A7-2840-480B-AF2E-BC833B9BB77E}">
      <text>
        <r>
          <rPr>
            <sz val="9"/>
            <color indexed="81"/>
            <rFont val="Tahoma"/>
            <family val="2"/>
          </rPr>
          <t>Custom input</t>
        </r>
      </text>
    </comment>
    <comment ref="K6" authorId="0" shapeId="0" xr:uid="{DE2817AE-6178-40EB-83E7-A5D51E8F6209}">
      <text>
        <r>
          <rPr>
            <sz val="9"/>
            <color indexed="81"/>
            <rFont val="Tahoma"/>
            <family val="2"/>
          </rPr>
          <t>Custom input</t>
        </r>
      </text>
    </comment>
    <comment ref="O6" authorId="0" shapeId="0" xr:uid="{27293D5F-392A-4DF0-BA65-497138E0CB41}">
      <text>
        <r>
          <rPr>
            <b/>
            <sz val="9"/>
            <color indexed="81"/>
            <rFont val="Tahoma"/>
            <family val="2"/>
          </rPr>
          <t>SMR:</t>
        </r>
        <r>
          <rPr>
            <sz val="9"/>
            <color indexed="81"/>
            <rFont val="Tahoma"/>
            <family val="2"/>
          </rPr>
          <t xml:space="preserve">
electric cooling savings apply to Central cooling only</t>
        </r>
      </text>
    </comment>
    <comment ref="H7" authorId="0" shapeId="0" xr:uid="{5EF0B525-174B-4F15-A36D-D013BCDEBF5C}">
      <text>
        <r>
          <rPr>
            <sz val="9"/>
            <color indexed="81"/>
            <rFont val="Tahoma"/>
            <family val="2"/>
          </rPr>
          <t>Custom input</t>
        </r>
      </text>
    </comment>
    <comment ref="I7" authorId="0" shapeId="0" xr:uid="{9F83C5BB-B466-4165-B40E-16547ADD0A56}">
      <text>
        <r>
          <rPr>
            <sz val="9"/>
            <color indexed="81"/>
            <rFont val="Tahoma"/>
            <family val="2"/>
          </rPr>
          <t>Custom input</t>
        </r>
      </text>
    </comment>
    <comment ref="J7" authorId="0" shapeId="0" xr:uid="{FB221DD9-02EE-4897-95DF-FFD7689AEA07}">
      <text>
        <r>
          <rPr>
            <sz val="9"/>
            <color indexed="81"/>
            <rFont val="Tahoma"/>
            <family val="2"/>
          </rPr>
          <t>Custom input</t>
        </r>
      </text>
    </comment>
    <comment ref="K7" authorId="0" shapeId="0" xr:uid="{37D50F0B-94FA-4C7B-8916-DF02CBF45B24}">
      <text>
        <r>
          <rPr>
            <sz val="9"/>
            <color indexed="81"/>
            <rFont val="Tahoma"/>
            <family val="2"/>
          </rPr>
          <t>Custom input</t>
        </r>
      </text>
    </comment>
    <comment ref="O7" authorId="0" shapeId="0" xr:uid="{5CFF6611-074F-4FF9-A2F0-A92DCAA8F3B7}">
      <text>
        <r>
          <rPr>
            <b/>
            <sz val="9"/>
            <color indexed="81"/>
            <rFont val="Tahoma"/>
            <family val="2"/>
          </rPr>
          <t>SMR:</t>
        </r>
        <r>
          <rPr>
            <sz val="9"/>
            <color indexed="81"/>
            <rFont val="Tahoma"/>
            <family val="2"/>
          </rPr>
          <t xml:space="preserve">
electric cooling savings apply to Central cooling only</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J5" authorId="0" shapeId="0" xr:uid="{00000000-0006-0000-2F00-000001000000}">
      <text>
        <r>
          <rPr>
            <sz val="9"/>
            <color indexed="81"/>
            <rFont val="Tahoma"/>
            <family val="2"/>
          </rPr>
          <t>Custom input</t>
        </r>
      </text>
    </comment>
    <comment ref="K5" authorId="0" shapeId="0" xr:uid="{00000000-0006-0000-2F00-000002000000}">
      <text>
        <r>
          <rPr>
            <sz val="9"/>
            <color indexed="81"/>
            <rFont val="Tahoma"/>
            <family val="2"/>
          </rPr>
          <t>Custom input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SMR</author>
    <author>Liu, Bruce</author>
    <author>Randy Opdyke</author>
  </authors>
  <commentList>
    <comment ref="H3" authorId="0" shapeId="0" xr:uid="{DDE5D65B-54DD-4B55-A20F-8DC727FBB725}">
      <text>
        <r>
          <rPr>
            <b/>
            <sz val="9"/>
            <color indexed="81"/>
            <rFont val="Tahoma"/>
            <family val="2"/>
          </rPr>
          <t>SMR:</t>
        </r>
        <r>
          <rPr>
            <sz val="9"/>
            <color indexed="81"/>
            <rFont val="Tahoma"/>
            <family val="2"/>
          </rPr>
          <t xml:space="preserve">
Min R-5 for uninsulated assemblies</t>
        </r>
      </text>
    </comment>
    <comment ref="AG3" authorId="1" shapeId="0" xr:uid="{44E101E8-AAB8-4B82-8C56-C9AB94702F25}">
      <text>
        <r>
          <rPr>
            <b/>
            <sz val="9"/>
            <color indexed="81"/>
            <rFont val="Tahoma"/>
            <family val="2"/>
          </rPr>
          <t>Liu, Bruce:</t>
        </r>
        <r>
          <rPr>
            <sz val="9"/>
            <color indexed="81"/>
            <rFont val="Tahoma"/>
            <family val="2"/>
          </rPr>
          <t xml:space="preserve">
Added one factor into algorithm</t>
        </r>
      </text>
    </comment>
    <comment ref="F4" authorId="0" shapeId="0" xr:uid="{4D2D3E02-D9DE-44ED-B463-A75EFE84B81D}">
      <text>
        <r>
          <rPr>
            <sz val="9"/>
            <color indexed="81"/>
            <rFont val="Tahoma"/>
            <family val="2"/>
          </rPr>
          <t>Custom input</t>
        </r>
      </text>
    </comment>
    <comment ref="G4" authorId="0" shapeId="0" xr:uid="{A9FE8819-8DFC-465D-A977-58038B4EC066}">
      <text>
        <r>
          <rPr>
            <sz val="9"/>
            <color indexed="81"/>
            <rFont val="Tahoma"/>
            <family val="2"/>
          </rPr>
          <t>Custom input</t>
        </r>
      </text>
    </comment>
    <comment ref="H4" authorId="0" shapeId="0" xr:uid="{62B13144-FCCC-4EC6-A89A-74BE0A6CB709}">
      <text>
        <r>
          <rPr>
            <sz val="9"/>
            <color indexed="81"/>
            <rFont val="Tahoma"/>
            <family val="2"/>
          </rPr>
          <t>Custom input</t>
        </r>
      </text>
    </comment>
    <comment ref="I4" authorId="0" shapeId="0" xr:uid="{430A877A-CF0E-4C13-8D2E-092FC0E91E27}">
      <text>
        <r>
          <rPr>
            <sz val="9"/>
            <color indexed="81"/>
            <rFont val="Tahoma"/>
            <family val="2"/>
          </rPr>
          <t>Custom input</t>
        </r>
      </text>
    </comment>
    <comment ref="J4" authorId="0" shapeId="0" xr:uid="{7F459074-7C20-4770-90B1-5B412226EEE5}">
      <text>
        <r>
          <rPr>
            <sz val="9"/>
            <color indexed="81"/>
            <rFont val="Tahoma"/>
            <family val="2"/>
          </rPr>
          <t>Custom input</t>
        </r>
      </text>
    </comment>
    <comment ref="Q4" authorId="0" shapeId="0" xr:uid="{0E7D2DD2-0C49-4B1F-A161-BAAE774B7074}">
      <text>
        <r>
          <rPr>
            <b/>
            <sz val="9"/>
            <color indexed="81"/>
            <rFont val="Tahoma"/>
            <family val="2"/>
          </rPr>
          <t>SMR:</t>
        </r>
        <r>
          <rPr>
            <sz val="9"/>
            <color indexed="81"/>
            <rFont val="Tahoma"/>
            <family val="2"/>
          </rPr>
          <t xml:space="preserve">
Custom input</t>
        </r>
      </text>
    </comment>
    <comment ref="F5" authorId="0" shapeId="0" xr:uid="{5630ED0F-CAAD-4B08-9ADF-384EC73E577C}">
      <text>
        <r>
          <rPr>
            <sz val="9"/>
            <color indexed="81"/>
            <rFont val="Tahoma"/>
            <family val="2"/>
          </rPr>
          <t>Custom input</t>
        </r>
      </text>
    </comment>
    <comment ref="G5" authorId="0" shapeId="0" xr:uid="{A18082E4-8CAF-45C2-BF61-19AC1CA46F97}">
      <text>
        <r>
          <rPr>
            <sz val="9"/>
            <color indexed="81"/>
            <rFont val="Tahoma"/>
            <family val="2"/>
          </rPr>
          <t>Custom input</t>
        </r>
      </text>
    </comment>
    <comment ref="H5" authorId="0" shapeId="0" xr:uid="{4C7C515B-49F9-46F8-8DE6-B54D27FFA437}">
      <text>
        <r>
          <rPr>
            <sz val="9"/>
            <color indexed="81"/>
            <rFont val="Tahoma"/>
            <family val="2"/>
          </rPr>
          <t>Custom input</t>
        </r>
      </text>
    </comment>
    <comment ref="I5" authorId="0" shapeId="0" xr:uid="{19CBF90C-A3F1-41E4-97A8-03822751D678}">
      <text>
        <r>
          <rPr>
            <sz val="9"/>
            <color indexed="81"/>
            <rFont val="Tahoma"/>
            <family val="2"/>
          </rPr>
          <t>Custom input</t>
        </r>
      </text>
    </comment>
    <comment ref="J5" authorId="0" shapeId="0" xr:uid="{D8BB2935-EF01-4112-9332-BCAF033C7431}">
      <text>
        <r>
          <rPr>
            <sz val="9"/>
            <color indexed="81"/>
            <rFont val="Tahoma"/>
            <family val="2"/>
          </rPr>
          <t>Custom input</t>
        </r>
      </text>
    </comment>
    <comment ref="Q5" authorId="0" shapeId="0" xr:uid="{702BA8F7-F589-4262-8FE0-6B7AF893D47F}">
      <text>
        <r>
          <rPr>
            <b/>
            <sz val="9"/>
            <color indexed="81"/>
            <rFont val="Tahoma"/>
            <family val="2"/>
          </rPr>
          <t>SMR:</t>
        </r>
        <r>
          <rPr>
            <sz val="9"/>
            <color indexed="81"/>
            <rFont val="Tahoma"/>
            <family val="2"/>
          </rPr>
          <t xml:space="preserve">
Custom input</t>
        </r>
      </text>
    </comment>
    <comment ref="F6" authorId="0" shapeId="0" xr:uid="{B4EF47E9-751A-43CD-9077-F4DD1C8A3F01}">
      <text>
        <r>
          <rPr>
            <sz val="9"/>
            <color indexed="81"/>
            <rFont val="Tahoma"/>
            <family val="2"/>
          </rPr>
          <t>Custom input</t>
        </r>
      </text>
    </comment>
    <comment ref="G6" authorId="0" shapeId="0" xr:uid="{BDA7C9BB-168C-4642-A729-F287CE69C9CB}">
      <text>
        <r>
          <rPr>
            <sz val="9"/>
            <color indexed="81"/>
            <rFont val="Tahoma"/>
            <family val="2"/>
          </rPr>
          <t>Custom input</t>
        </r>
      </text>
    </comment>
    <comment ref="H6" authorId="0" shapeId="0" xr:uid="{CC7C0967-B4BE-4DB1-BDDF-FAADCF34CEBD}">
      <text>
        <r>
          <rPr>
            <sz val="9"/>
            <color indexed="81"/>
            <rFont val="Tahoma"/>
            <family val="2"/>
          </rPr>
          <t>Custom input</t>
        </r>
      </text>
    </comment>
    <comment ref="J6" authorId="2" shapeId="0" xr:uid="{98A7F8AB-6569-4F44-88BB-3E5076EB0B63}">
      <text>
        <r>
          <rPr>
            <sz val="9"/>
            <color indexed="81"/>
            <rFont val="Tahoma"/>
            <family val="2"/>
          </rPr>
          <t>Custom Input</t>
        </r>
      </text>
    </comment>
    <comment ref="F7" authorId="0" shapeId="0" xr:uid="{902FAFA6-0072-44A3-858C-DBEA4F5337EE}">
      <text>
        <r>
          <rPr>
            <sz val="9"/>
            <color indexed="81"/>
            <rFont val="Tahoma"/>
            <family val="2"/>
          </rPr>
          <t>Custom input</t>
        </r>
      </text>
    </comment>
    <comment ref="G7" authorId="0" shapeId="0" xr:uid="{11FCB1AF-4E8E-46A8-9F52-09302751AA45}">
      <text>
        <r>
          <rPr>
            <sz val="9"/>
            <color indexed="81"/>
            <rFont val="Tahoma"/>
            <family val="2"/>
          </rPr>
          <t>Custom input</t>
        </r>
      </text>
    </comment>
    <comment ref="H7" authorId="0" shapeId="0" xr:uid="{325D1A2A-51E7-436B-A489-D7AEB922D404}">
      <text>
        <r>
          <rPr>
            <sz val="9"/>
            <color indexed="81"/>
            <rFont val="Tahoma"/>
            <family val="2"/>
          </rPr>
          <t>Custom input</t>
        </r>
      </text>
    </comment>
    <comment ref="J7" authorId="0" shapeId="0" xr:uid="{985C7AA8-847D-4842-99A7-57F5D4B25765}">
      <text>
        <r>
          <rPr>
            <sz val="9"/>
            <color indexed="81"/>
            <rFont val="Tahoma"/>
            <family val="2"/>
          </rPr>
          <t>Custom input</t>
        </r>
      </text>
    </comment>
    <comment ref="B41" authorId="1" shapeId="0" xr:uid="{98946C9D-DB99-41DE-8AD3-E0A7A6BE7833}">
      <text>
        <r>
          <rPr>
            <b/>
            <sz val="9"/>
            <color indexed="81"/>
            <rFont val="Tahoma"/>
            <family val="2"/>
          </rPr>
          <t>Liu, Bruce:</t>
        </r>
        <r>
          <rPr>
            <sz val="9"/>
            <color indexed="81"/>
            <rFont val="Tahoma"/>
            <family val="2"/>
          </rPr>
          <t xml:space="preserve">
Deemed value</t>
        </r>
      </text>
    </comment>
    <comment ref="B54" authorId="1" shapeId="0" xr:uid="{AB892BF9-D7D9-4CAD-B3B5-A8C12A6CB25F}">
      <text>
        <r>
          <rPr>
            <b/>
            <sz val="9"/>
            <color indexed="81"/>
            <rFont val="Tahoma"/>
            <family val="2"/>
          </rPr>
          <t>Liu, Bruce:</t>
        </r>
        <r>
          <rPr>
            <sz val="9"/>
            <color indexed="81"/>
            <rFont val="Tahoma"/>
            <family val="2"/>
          </rPr>
          <t xml:space="preserve">
Use actual value, doubel check participation data</t>
        </r>
      </text>
    </comment>
    <comment ref="A66" authorId="1" shapeId="0" xr:uid="{C07C3CBD-E3BD-41DD-B047-9DC40532366E}">
      <text>
        <r>
          <rPr>
            <b/>
            <sz val="9"/>
            <color indexed="81"/>
            <rFont val="Tahoma"/>
            <family val="2"/>
          </rPr>
          <t>Liu, Bruce:</t>
        </r>
        <r>
          <rPr>
            <sz val="9"/>
            <color indexed="81"/>
            <rFont val="Tahoma"/>
            <family val="2"/>
          </rPr>
          <t xml:space="preserve">
Additional factor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Randy Opdyke</author>
    <author>tc={E81B678D-301B-4C1F-ACD8-FD71FFE9EC91}</author>
  </authors>
  <commentList>
    <comment ref="C52" authorId="0" shapeId="0" xr:uid="{FC4B4C22-A40B-4872-8AD8-2D83D83D23FC}">
      <text>
        <r>
          <rPr>
            <sz val="9"/>
            <color indexed="81"/>
            <rFont val="Tahoma"/>
            <family val="2"/>
          </rPr>
          <t xml:space="preserve">Custom Input 
2019 ComEd Evaluaiton
</t>
        </r>
      </text>
    </comment>
    <comment ref="C53" authorId="0" shapeId="0" xr:uid="{A2F81076-302E-4E0F-8EF6-BFAE1C195579}">
      <text>
        <r>
          <rPr>
            <sz val="9"/>
            <color indexed="81"/>
            <rFont val="Tahoma"/>
            <family val="2"/>
          </rPr>
          <t>Custom Input 
ComEd 2019 Evaluation</t>
        </r>
      </text>
    </comment>
    <comment ref="C54" authorId="0" shapeId="0" xr:uid="{E151A82B-408D-4B22-A6E7-F07BC7A2808C}">
      <text>
        <r>
          <rPr>
            <sz val="9"/>
            <color indexed="81"/>
            <rFont val="Tahoma"/>
            <family val="2"/>
          </rPr>
          <t>Custom Input ComEd 2019 Evaluation</t>
        </r>
      </text>
    </comment>
    <comment ref="R278" authorId="1" shapeId="0" xr:uid="{E81B678D-301B-4C1F-ACD8-FD71FFE9EC9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SF: 6.44 ; MF: 4.65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tc={55E351B0-87D6-4D7E-AB08-AB5F065F6C14}</author>
  </authors>
  <commentList>
    <comment ref="B18" authorId="0" shapeId="0" xr:uid="{55E351B0-87D6-4D7E-AB08-AB5F065F6C1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Using Standard inputs for planning model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tc={D4423C7B-ADD3-4BF1-9979-89ECD7B4A028}</author>
    <author>tc={82C08AB2-DAA1-4A59-9505-B62CAFBC75DE}</author>
    <author>tc={F6F8174E-F7BA-4AD9-9916-AFCDC851A4EF}</author>
    <author>tc={22B2F07A-E228-4B53-A808-FA45E229035D}</author>
    <author>tc={5D006E7E-E016-4184-91CE-F0B60E2867E1}</author>
    <author>Randy Opdyke</author>
  </authors>
  <commentList>
    <comment ref="G4" authorId="0" shapeId="0" xr:uid="{D4423C7B-ADD3-4BF1-9979-89ECD7B4A02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Custom Input</t>
        </r>
      </text>
    </comment>
    <comment ref="G5" authorId="1" shapeId="0" xr:uid="{82C08AB2-DAA1-4A59-9505-B62CAFBC75D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Custom Input</t>
        </r>
      </text>
    </comment>
    <comment ref="G6" authorId="2" shapeId="0" xr:uid="{F6F8174E-F7BA-4AD9-9916-AFCDC851A4E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Custom Input</t>
        </r>
      </text>
    </comment>
    <comment ref="G7" authorId="3" shapeId="0" xr:uid="{22B2F07A-E228-4B53-A808-FA45E229035D}">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Custom Input</t>
        </r>
      </text>
    </comment>
    <comment ref="G8" authorId="4" shapeId="0" xr:uid="{5D006E7E-E016-4184-91CE-F0B60E2867E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Custom Input</t>
        </r>
      </text>
    </comment>
    <comment ref="G9" authorId="5" shapeId="0" xr:uid="{C6D7E9C5-850B-4C13-833A-77927BF36A3A}">
      <text>
        <r>
          <rPr>
            <sz val="9"/>
            <color indexed="81"/>
            <rFont val="Tahoma"/>
            <family val="2"/>
          </rPr>
          <t xml:space="preserve">Custom Input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Bridgid Lutz</author>
    <author>Mallika Jayaraman</author>
  </authors>
  <commentList>
    <comment ref="F4" authorId="0" shapeId="0" xr:uid="{00000000-0006-0000-1600-000001000000}">
      <text>
        <r>
          <rPr>
            <sz val="9"/>
            <color indexed="81"/>
            <rFont val="Tahoma"/>
            <family val="2"/>
          </rPr>
          <t xml:space="preserve">
Custom value
</t>
        </r>
      </text>
    </comment>
    <comment ref="G4" authorId="0" shapeId="0" xr:uid="{00000000-0006-0000-1600-000002000000}">
      <text>
        <r>
          <rPr>
            <sz val="9"/>
            <color indexed="81"/>
            <rFont val="Tahoma"/>
            <family val="2"/>
          </rPr>
          <t xml:space="preserve">
Custom Input</t>
        </r>
      </text>
    </comment>
    <comment ref="H4" authorId="1" shapeId="0" xr:uid="{00000000-0006-0000-1600-000003000000}">
      <text>
        <r>
          <rPr>
            <sz val="9"/>
            <color indexed="81"/>
            <rFont val="Tahoma"/>
            <family val="2"/>
          </rPr>
          <t xml:space="preserve">
Custom input</t>
        </r>
      </text>
    </comment>
    <comment ref="F5" authorId="0" shapeId="0" xr:uid="{00000000-0006-0000-1600-000004000000}">
      <text>
        <r>
          <rPr>
            <sz val="9"/>
            <color indexed="81"/>
            <rFont val="Tahoma"/>
            <family val="2"/>
          </rPr>
          <t xml:space="preserve">
Custom value
</t>
        </r>
      </text>
    </comment>
    <comment ref="G5" authorId="0" shapeId="0" xr:uid="{00000000-0006-0000-1600-000005000000}">
      <text>
        <r>
          <rPr>
            <sz val="9"/>
            <color indexed="81"/>
            <rFont val="Tahoma"/>
            <family val="2"/>
          </rPr>
          <t xml:space="preserve">
Custom Input</t>
        </r>
      </text>
    </comment>
    <comment ref="H5" authorId="1" shapeId="0" xr:uid="{00000000-0006-0000-1600-000006000000}">
      <text>
        <r>
          <rPr>
            <sz val="9"/>
            <color indexed="81"/>
            <rFont val="Tahoma"/>
            <family val="2"/>
          </rPr>
          <t xml:space="preserve">
Custom input</t>
        </r>
      </text>
    </comment>
    <comment ref="F6" authorId="0" shapeId="0" xr:uid="{18FBD458-3306-4376-B6D9-643E6F719A74}">
      <text>
        <r>
          <rPr>
            <sz val="9"/>
            <color indexed="81"/>
            <rFont val="Tahoma"/>
            <family val="2"/>
          </rPr>
          <t xml:space="preserve">
Custom value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Shraddha</author>
  </authors>
  <commentList>
    <comment ref="G4" authorId="0" shapeId="0" xr:uid="{00000000-0006-0000-1700-000001000000}">
      <text>
        <r>
          <rPr>
            <sz val="9"/>
            <color indexed="81"/>
            <rFont val="Tahoma"/>
            <family val="2"/>
          </rPr>
          <t>Boiler kBtu/h. Custom Input</t>
        </r>
      </text>
    </comment>
    <comment ref="G5" authorId="0" shapeId="0" xr:uid="{00000000-0006-0000-1700-000002000000}">
      <text>
        <r>
          <rPr>
            <sz val="9"/>
            <color indexed="81"/>
            <rFont val="Tahoma"/>
            <family val="2"/>
          </rPr>
          <t>Boiler kBtu/h. Custom Input</t>
        </r>
      </text>
    </comment>
    <comment ref="G6" authorId="0" shapeId="0" xr:uid="{00000000-0006-0000-1700-000003000000}">
      <text>
        <r>
          <rPr>
            <sz val="9"/>
            <color indexed="81"/>
            <rFont val="Tahoma"/>
            <family val="2"/>
          </rPr>
          <t>Boiler kBtu/h. Custom Input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tc={23BB5B6F-23F0-4B75-A5BF-324148B59ADC}</author>
    <author>tc={4CBEF855-DFB1-419D-8391-F6637986CE0B}</author>
    <author>tc={5EAC8583-225D-4947-8C29-54F79C4E0A20}</author>
  </authors>
  <commentList>
    <comment ref="H3" authorId="0" shapeId="0" xr:uid="{23BB5B6F-23F0-4B75-A5BF-324148B59ADC}">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It should be custom input. Double check participation data.
Reply:
    Refer to "C&amp;I Furnace and Boiler Btuh Research_BL" file under "Custom TRM v.9" folder</t>
        </r>
      </text>
    </comment>
    <comment ref="F49" authorId="1" shapeId="0" xr:uid="{4CBEF855-DFB1-419D-8391-F6637986CE0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Deleted default values from TRM, actual value must be used in algorithm. Double check participation data to see if it requires already, otherwise those values are required by IC.</t>
        </r>
      </text>
    </comment>
    <comment ref="B88" authorId="2" shapeId="0" xr:uid="{5EAC8583-225D-4947-8C29-54F79C4E0A2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VEIC will check these numbers again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tc={E0B60812-F56D-4004-A730-653A0682D23B}</author>
  </authors>
  <commentList>
    <comment ref="B10" authorId="0" shapeId="0" xr:uid="{E0B60812-F56D-4004-A730-653A0682D23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Guidehouse updated this value from 12 to 15 per IL TRM v9.0.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Randy Opdyke</author>
  </authors>
  <commentList>
    <comment ref="X22" authorId="0" shapeId="0" xr:uid="{5009AE4B-431A-4580-B6DA-98EAE772EA60}">
      <text>
        <r>
          <rPr>
            <sz val="9"/>
            <color indexed="81"/>
            <rFont val="Tahoma"/>
            <family val="2"/>
          </rPr>
          <t>custom input</t>
        </r>
      </text>
    </comment>
    <comment ref="Y22" authorId="0" shapeId="0" xr:uid="{1205BAFF-B92B-4054-96B2-0BAB9CB920F9}">
      <text>
        <r>
          <rPr>
            <sz val="9"/>
            <color indexed="81"/>
            <rFont val="Tahoma"/>
            <family val="2"/>
          </rPr>
          <t>custom input</t>
        </r>
      </text>
    </comment>
    <comment ref="X23" authorId="0" shapeId="0" xr:uid="{AF0AFD6B-D461-4E04-A275-FA1FCF4E01BA}">
      <text>
        <r>
          <rPr>
            <sz val="9"/>
            <color indexed="81"/>
            <rFont val="Tahoma"/>
            <family val="2"/>
          </rPr>
          <t>custom input</t>
        </r>
      </text>
    </comment>
    <comment ref="Y23" authorId="0" shapeId="0" xr:uid="{006F5151-1040-42A3-AD03-D606B5D07226}">
      <text>
        <r>
          <rPr>
            <sz val="9"/>
            <color indexed="81"/>
            <rFont val="Tahoma"/>
            <family val="2"/>
          </rPr>
          <t>custom input</t>
        </r>
      </text>
    </comment>
    <comment ref="X24" authorId="0" shapeId="0" xr:uid="{20D6E1C3-88B6-423F-8FA0-CF10AFD9C510}">
      <text>
        <r>
          <rPr>
            <sz val="9"/>
            <color indexed="81"/>
            <rFont val="Tahoma"/>
            <family val="2"/>
          </rPr>
          <t>Custom input</t>
        </r>
      </text>
    </comment>
    <comment ref="Y24" authorId="0" shapeId="0" xr:uid="{8B000B1F-6E73-48DC-AA96-54D61BC6248E}">
      <text>
        <r>
          <rPr>
            <sz val="9"/>
            <color indexed="81"/>
            <rFont val="Tahoma"/>
            <family val="2"/>
          </rPr>
          <t>Custom input</t>
        </r>
      </text>
    </comment>
    <comment ref="O25" authorId="0" shapeId="0" xr:uid="{598F1129-1A1C-4A8C-8DF3-CDC65B607ACA}">
      <text>
        <r>
          <rPr>
            <b/>
            <sz val="9"/>
            <color indexed="81"/>
            <rFont val="Tahoma"/>
            <family val="2"/>
          </rPr>
          <t xml:space="preserve">Custom- </t>
        </r>
        <r>
          <rPr>
            <sz val="9"/>
            <color indexed="81"/>
            <rFont val="Tahoma"/>
            <family val="2"/>
          </rPr>
          <t xml:space="preserve">
</t>
        </r>
      </text>
    </comment>
    <comment ref="P25" authorId="0" shapeId="0" xr:uid="{EECB666B-3DF7-45CD-A8B0-A8AC4C0F398A}">
      <text>
        <r>
          <rPr>
            <sz val="9"/>
            <color indexed="81"/>
            <rFont val="Tahoma"/>
            <family val="2"/>
          </rPr>
          <t>Custom Input- Project History -to account for end portions of tank not able to be insulated.</t>
        </r>
      </text>
    </comment>
    <comment ref="X25" authorId="0" shapeId="0" xr:uid="{99ED109C-904D-47E3-8C61-89955D54E266}">
      <text>
        <r>
          <rPr>
            <sz val="9"/>
            <color indexed="81"/>
            <rFont val="Tahoma"/>
            <family val="2"/>
          </rPr>
          <t>Custom input</t>
        </r>
      </text>
    </comment>
    <comment ref="Y25" authorId="0" shapeId="0" xr:uid="{FCFD7AC2-365C-4D6B-93DA-6CECEE589066}">
      <text>
        <r>
          <rPr>
            <sz val="9"/>
            <color indexed="81"/>
            <rFont val="Tahoma"/>
            <family val="2"/>
          </rPr>
          <t>Custom input</t>
        </r>
      </text>
    </comment>
    <comment ref="O26" authorId="0" shapeId="0" xr:uid="{5E521F28-BB57-4B37-938F-F034338A5DDB}">
      <text>
        <r>
          <rPr>
            <b/>
            <sz val="9"/>
            <color indexed="81"/>
            <rFont val="Tahoma"/>
            <family val="2"/>
          </rPr>
          <t xml:space="preserve">Custom- </t>
        </r>
        <r>
          <rPr>
            <sz val="9"/>
            <color indexed="81"/>
            <rFont val="Tahoma"/>
            <family val="2"/>
          </rPr>
          <t xml:space="preserve">
</t>
        </r>
      </text>
    </comment>
    <comment ref="P26" authorId="0" shapeId="0" xr:uid="{14616363-0201-464D-9A4C-C271A71E4C5D}">
      <text>
        <r>
          <rPr>
            <sz val="9"/>
            <color indexed="81"/>
            <rFont val="Tahoma"/>
            <family val="2"/>
          </rPr>
          <t>Custom Input- Project History -to account for end portions of tank not able to be insulated.</t>
        </r>
      </text>
    </comment>
    <comment ref="X26" authorId="0" shapeId="0" xr:uid="{576233DE-ACEA-40BE-8CE3-02834A4A9B1F}">
      <text>
        <r>
          <rPr>
            <sz val="9"/>
            <color indexed="81"/>
            <rFont val="Tahoma"/>
            <family val="2"/>
          </rPr>
          <t>Custom input</t>
        </r>
      </text>
    </comment>
    <comment ref="Y26" authorId="0" shapeId="0" xr:uid="{D67D69A5-1900-4FAD-B640-6CA43723442A}">
      <text>
        <r>
          <rPr>
            <sz val="9"/>
            <color indexed="81"/>
            <rFont val="Tahoma"/>
            <family val="2"/>
          </rPr>
          <t>Custom input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ED6EE1C-DE11-438C-97EA-05E25D5BDF4F}" odcFile="\\GAXGPFS01\RWOPDYKE$\My Data Sources\asazure___aspaaseastus2.asazure.windows.net_nicorazas energyENGINE Model Model.odc" keepAlive="1" name="asazure___aspaaseastus2.asazure.windows.net_nicorazas energyENGINE Model Model" type="5" refreshedVersion="6" background="1">
    <dbPr connection="Provider=MSOLAP.8;Persist Security Info=True;User ID=rwopdyke@southernco.com;Initial Catalog=energyENGINE Model;Data Source=asazure://aspaaseastus2.asazure.windows.net/nicorazas;MDX Compatibility=1;Safety Options=2;MDX Missing Member Mode=Error;Update Isolation Level=2" command="Model" commandType="1"/>
    <olapPr sendLocale="1" rowDrillCount="1000"/>
  </connection>
  <connection id="2"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1000000}" name="WorksheetConnection_Boiler Input Capacity All Programs PY5-7.xlsx!Table1_2" type="102" refreshedVersion="6" minRefreshableVersion="5">
    <extLst>
      <ext xmlns:x15="http://schemas.microsoft.com/office/spreadsheetml/2010/11/main" uri="{DE250136-89BD-433C-8126-D09CA5730AF9}">
        <x15:connection id="Table1_2-9f7c3c2e-83c6-4322-b466-f93255f1e9aa">
          <x15:rangePr sourceName="_xlcn.WorksheetConnection_BoilerInputCapacityAllProgramsPY57.xlsxTable1_2"/>
        </x15:connection>
      </ext>
    </extLst>
  </connection>
  <connection id="4" xr16:uid="{00000000-0015-0000-FFFF-FFFF01000000}" name="WorksheetConnection_Boiler Input Capacity All Programs PY5-7.xlsx!Table1_21" type="102" refreshedVersion="6" minRefreshableVersion="5">
    <extLst>
      <ext xmlns:x15="http://schemas.microsoft.com/office/spreadsheetml/2010/11/main" uri="{DE250136-89BD-433C-8126-D09CA5730AF9}">
        <x15:connection id="Table1_2-c2c532ef-5425-4183-aad6-2e514279ee8d">
          <x15:rangePr sourceName="_xlcn.WorksheetConnection_BoilerInputCapacityAllProgramsPY57.xlsxTable1_211"/>
        </x15:connection>
      </ext>
    </extLst>
  </connection>
  <connection id="5" xr16:uid="{4E0F8EFE-EC4C-4DD5-A5E1-FD005DA083E6}" name="WorksheetConnection_HEER Adv Thermostat Data!$A:$I1" type="102" refreshedVersion="6" minRefreshableVersion="5">
    <extLst>
      <ext xmlns:x15="http://schemas.microsoft.com/office/spreadsheetml/2010/11/main" uri="{DE250136-89BD-433C-8126-D09CA5730AF9}">
        <x15:connection id="Range 2-c930575b-d68c-4451-9c5c-01b36d6c9777" autoDelete="1">
          <x15:rangePr sourceName="_xlcn.WorksheetConnection_HEERAdvThermostatDataAI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1">
    <s v="ThisWorkbookDataModel"/>
    <s v="{[Range 2 1].[ProgramName].&amp;[HEER Program]}"/>
    <s v="{[Range 2 1].[Program Year].&amp;[PY2018],[Range 2 1].[Program Year].&amp;[PY2019],[Range 2 1].[Program Year].&amp;[PY2020]}"/>
    <s v="asazure___aspaaseastus2.asazure.windows.net_nicorazas energyENGINE Model Model"/>
    <s v="{[DimScenario].[Scenario Name].&amp;[Actual]}"/>
    <s v="{[FactEEPData].[VariableCostIdentifier].&amp;[No]}"/>
    <s v="{[DimPMTProject].[Program Year].&amp;[PY2018],[DimPMTProject].[Program Year].&amp;[PY2019],[DimPMTProject].[Program Year].&amp;[PY2020]}"/>
    <s v="{[DimPMTProgram].[Program Acronym].&amp;[IQ]}"/>
    <s v="{[DimPMTProject].[PropertySector].[All]}"/>
    <s v="{[DimPMTProject].[Project Type].&amp;[Weatherization - SF],[DimPMTProject].[Project Type].&amp;[SF],[DimPMTProject].[Project Type].&amp;[Contractor Channel SF],[DimPMTProject].[Project Type].&amp;[Market Transformation],[DimPMTProject].[Project Type].&amp;[Market Transformation Initiatives]}"/>
    <s v="{[DimPMTProject].[JointProject].&amp;,[DimPMTProject].[JointProject].&amp;[Gas only]}"/>
  </metadataStrings>
  <mdxMetadata count="9">
    <mdx n="0" f="s">
      <ms ns="1" c="0"/>
    </mdx>
    <mdx n="0" f="s">
      <ms ns="2" c="0"/>
    </mdx>
    <mdx n="3" f="s">
      <ms ns="4" c="0"/>
    </mdx>
    <mdx n="3" f="s">
      <ms ns="5" c="0"/>
    </mdx>
    <mdx n="3" f="s">
      <ms ns="6" c="0"/>
    </mdx>
    <mdx n="3" f="s">
      <ms ns="7" c="0"/>
    </mdx>
    <mdx n="3" f="s">
      <ms ns="8" c="0"/>
    </mdx>
    <mdx n="3" f="s">
      <ms ns="9" c="0"/>
    </mdx>
    <mdx n="3" f="s">
      <ms ns="10" c="0"/>
    </mdx>
  </mdxMetadata>
  <valueMetadata count="9">
    <bk>
      <rc t="1" v="0"/>
    </bk>
    <bk>
      <rc t="1" v="1"/>
    </bk>
    <bk>
      <rc t="1" v="2"/>
    </bk>
    <bk>
      <rc t="1" v="3"/>
    </bk>
    <bk>
      <rc t="1" v="4"/>
    </bk>
    <bk>
      <rc t="1" v="5"/>
    </bk>
    <bk>
      <rc t="1" v="6"/>
    </bk>
    <bk>
      <rc t="1" v="7"/>
    </bk>
    <bk>
      <rc t="1" v="8"/>
    </bk>
  </valueMetadata>
</metadata>
</file>

<file path=xl/sharedStrings.xml><?xml version="1.0" encoding="utf-8"?>
<sst xmlns="http://schemas.openxmlformats.org/spreadsheetml/2006/main" count="19683" uniqueCount="5149">
  <si>
    <t>Adjustable Savings Goals Policy Guidelines</t>
  </si>
  <si>
    <t>Updated 04/15/2021</t>
  </si>
  <si>
    <t>Background:</t>
  </si>
  <si>
    <t>The Commission’s December 16, 2015 Final Order in ICC Docket No. 15-0487 approved and adopted the Illinois Energy Efficiency Policy Manual Version 1.0 (“Policy Manual”), which includes an Adjustable Savings Goals policy set forth in Subsection 6.2. During initial Policy Manual Subcommittee Version 2.0 discussions in early 2016, several parties proposed updates to this policy. However, Policy Manual Version 2.0 discussions were put on hold in spring 2016 to complete the Portfolio Planning Process. Illinois Energy Efficiency Policy Manual Version 2.0 Final Version update completed: September 19, 2019
Effective Date: January 1, 2022</t>
  </si>
  <si>
    <t xml:space="preserve">Prior to the Energy Efficiency Plan (“Plan”) filings required by Sections 8-103 and 8-104 of the Illinois Public Utilities Act in fall 2016, Policy Manual Subcommittee participants agreed to draft guideline language to interpret the approved Version 2.0 Adjustable Savings Goal policy, including a template on how to calculate adjustable savings goals. </t>
  </si>
  <si>
    <t>Note: Capitalized terms are defined in Policy Manual Section 1: Glossary.</t>
  </si>
  <si>
    <t>Adjustable Savings Goals Policy:</t>
  </si>
  <si>
    <t>See Illinois Energy Efficiency Policy Manual Version 2.0, Section 6, Program Administration and Reporting, Subsection 6.2 &amp; 6.3: Adjustable Savings Goals.</t>
  </si>
  <si>
    <t xml:space="preserve">Program Administrator and/or IPA annual energy savings goals will be adjusted to align them with changes to IL-TRM values. </t>
  </si>
  <si>
    <t xml:space="preserve">In addition, Program Administrator and/or IPA annual energy savings goals will be adjusted to align them with the Evaluator’s recommended Net-to-Gross values for the entire Plan period prior to the start of the first Plan Year of an approved Plan or Section 16-111.5B Program. </t>
  </si>
  <si>
    <t>Within sixty (90) days after Commission approval of the annual IL-TRM values, each Program Administrator will file adjusted energy savings goals reflecting updated IL-TRM values applicable to the Program Year.</t>
  </si>
  <si>
    <t>Policy Guidelines – Adjustable Savings Goals for Section 16-111.5B Programs:</t>
  </si>
  <si>
    <r>
      <t xml:space="preserve">·         Once a Section 16-111.5B Program is approved by the Commission, the vendor has the opportunity to negotiate different participation rates and/or Measure levels. Once the contract is signed, those Measures / participation rates will be fixed for the life of the contract for the purpose of </t>
    </r>
    <r>
      <rPr>
        <u/>
        <sz val="11"/>
        <color theme="1"/>
        <rFont val="Arial"/>
        <family val="2"/>
      </rPr>
      <t>setting</t>
    </r>
    <r>
      <rPr>
        <sz val="11"/>
        <color theme="1"/>
        <rFont val="Arial"/>
        <family val="2"/>
      </rPr>
      <t xml:space="preserve"> annual savings goals. However, the vendor and the utility may negotiate a change in the Measure mix, for Program implementation and goal </t>
    </r>
    <r>
      <rPr>
        <u/>
        <sz val="11"/>
        <color theme="1"/>
        <rFont val="Arial"/>
        <family val="2"/>
      </rPr>
      <t>attainment</t>
    </r>
    <r>
      <rPr>
        <sz val="11"/>
        <color theme="1"/>
        <rFont val="Arial"/>
        <family val="2"/>
      </rPr>
      <t xml:space="preserve"> purposes.</t>
    </r>
  </si>
  <si>
    <t>·         Changes to the Illinois Statewide Technical Reference Manual for Energy Efficiency (“IL-TRM”) will be applied on an annual basis to the gross unit savings values for the applicable Program Year. This will set the energy savings goal for the applicable Program Year.</t>
  </si>
  <si>
    <t xml:space="preserve">·         If the independent Evaluator recommends an updated Net-to-Gross (“NTG”) value for a Section 16-111.5B Program, the energy savings goal can be adjusted during the contract negotiation process, prior to the first Program Year of the contract. After contract execution of the approved Program, the energy savings goal will not be adjusted due to NTG changes in later Program Years. </t>
  </si>
  <si>
    <t>Policy Guidelines – Adjustable Savings Goals for Section 8-103 and 8-104 Programs:</t>
  </si>
  <si>
    <t>·         After Commission approval of a Section 8-103 and/or 8-104 Plan the Measure participation levels identified in the approved Plan to derive the energy savings goals will be fixed for the entirety of the Plan for the purpose of calculating the adjusted energy savings goals.[1]</t>
  </si>
  <si>
    <t>·         Prior to the start of the first Program Year of an approved Plan, the Program Administrator’s energy savings goal will be adjusted for respective Program Years over the entire Plan period in cases where the Evaluator’s final recommended Net-to-Gross (“NTG”) value for a Program, Sub-Program, or Measure differs from the NTG value used to calculate energy savings goals in the Program Administrator’s approved Plan. The Program Administrator’s energy savings goals will not be adjusted due to a change in the NTG value during the second and third Program Years of an approved Plan.[2]</t>
  </si>
  <si>
    <t>·         Changes to the Illinois Statewide Technical Reference Manual for Energy Efficiency (“IL-TRM”) will be applied on an annual basis to the gross unit savings values for the applicable Program Year, consistent with the EEPS Adjustable Savings Goal Template and guidelines. This will produce the adjusted energy savings goals amd adjusted weighted average measure life.</t>
  </si>
  <si>
    <t>EEPS Adjustable Savings Goal Template</t>
  </si>
  <si>
    <t>Illinois Program Administrators will file the completed EEPS Adjustable Savings Goal Template for Section 8-103/8-104 Programs and Measures in the Electric Plan 5 (covering Electric Program Years 14-16) and Gas Plan 4 (covering Gas Program Years 11-14) dockets. The Excel version of the completed EEPS Adjustable Savings Goal Template will also be posted on the Illinois Energy Efficiency Stakeholder Advisory Group (“SAG”) website.</t>
  </si>
  <si>
    <t>Following Commission approval of the Plan, the completed EEPS Adjustable Savings Goal Template will be used for the remainder of the approved Plan, with annual updates. As specified in Subsection 6.2 &amp; 6.3 of the Policy Manual, Adjustable Savings Goals, Program Administrators will file adjusted energy savings goals reflecting updated IL-TRM values applicable to the Program Year commencing January 1, within sixty (90) days after Commission approval of the annual IL-TRM update. The updated EEPS Adjustable Savings Goal Template will be filed with the Commission to show the adjusted energy savings goals. The Excel versions of the completed and updated EEPS Adjustable Savings Goal Templates will also be posted on the SAG website.</t>
  </si>
  <si>
    <t>[1] In general, Program Administrators are not expected to meet the individual Measure goals or participation levels specified in the EEPS Adjustable Savings Goal Template.</t>
  </si>
  <si>
    <t>[2] See Policy Manual Version 2.0, Subsection 7.2, Net-to-Gross Policy.</t>
  </si>
  <si>
    <r>
      <t xml:space="preserve">EEPS Adjustable Savings Goal Template - </t>
    </r>
    <r>
      <rPr>
        <i/>
        <sz val="14"/>
        <color theme="1"/>
        <rFont val="Arial"/>
        <family val="2"/>
      </rPr>
      <t>Program-Level Adjustments Tab</t>
    </r>
  </si>
  <si>
    <t>Program Administrator: Nicor Gas</t>
  </si>
  <si>
    <t>January 1, 2022 - December 31, 2022, Plan Year 2022</t>
  </si>
  <si>
    <t>January 1, 2023 - December 31, 2023, Plan Year 2023</t>
  </si>
  <si>
    <t>January 1, 2024 - December 31, 2024, Plan Year 2024</t>
  </si>
  <si>
    <t>January 1, 2025 - December 31, 2025, Plan Year 2025</t>
  </si>
  <si>
    <t>January 1, 2022 - December 31, 2025 Plan Period</t>
  </si>
  <si>
    <t>Plan Life Cycle Savings</t>
  </si>
  <si>
    <t>Adjusted Life Cycle Savings</t>
  </si>
  <si>
    <t>Plan Energy Savings Goal (Therms)</t>
  </si>
  <si>
    <t>Adjusted Energy Savings Goal (Therms)</t>
  </si>
  <si>
    <t>Energy Savings Adjustment to Plan Goal (Therms)</t>
  </si>
  <si>
    <t>Brief Explanation of 
Significant Adjustments</t>
  </si>
  <si>
    <t>Brief Explanation of Significant Adjustments</t>
  </si>
  <si>
    <t xml:space="preserve">Plan Life Cycle Savings (Therms) </t>
  </si>
  <si>
    <t>Total Plan Life Cycle Savings (Therms)</t>
  </si>
  <si>
    <t>Adjusted Life Cycle Savings (Therms)</t>
  </si>
  <si>
    <t xml:space="preserve"> Total Adjusted Life Cycle Savings (Therms)</t>
  </si>
  <si>
    <t>IL TRM v9</t>
  </si>
  <si>
    <t>IL TRM v10</t>
  </si>
  <si>
    <t>Plan Goal to IL TRM v10</t>
  </si>
  <si>
    <t>IL TRM v11</t>
  </si>
  <si>
    <t>IL TRM v9 to v10</t>
  </si>
  <si>
    <t>IL TRM v10 to v11</t>
  </si>
  <si>
    <t>Plan Goal to IL TRM v11</t>
  </si>
  <si>
    <t>IL TRM v12</t>
  </si>
  <si>
    <t>IL TRM v11 to v12</t>
  </si>
  <si>
    <t>Plan Goal to IL TRM v12</t>
  </si>
  <si>
    <t>IL TRM v13</t>
  </si>
  <si>
    <t>IL TRM v12 to 13</t>
  </si>
  <si>
    <t>Plan Goal to IL TRM v13</t>
  </si>
  <si>
    <t>Program</t>
  </si>
  <si>
    <t>Plan Period</t>
  </si>
  <si>
    <t>(a)</t>
  </si>
  <si>
    <t>(b)</t>
  </si>
  <si>
    <t>(c)</t>
  </si>
  <si>
    <t>(d)=(c-b)</t>
  </si>
  <si>
    <t>(e)</t>
  </si>
  <si>
    <t>(f)</t>
  </si>
  <si>
    <t>(g)</t>
  </si>
  <si>
    <t>(h)</t>
  </si>
  <si>
    <t>(i)=(g-f)</t>
  </si>
  <si>
    <t>(j)=(h-g)</t>
  </si>
  <si>
    <t>(k)=(h-f)</t>
  </si>
  <si>
    <t>(i)</t>
  </si>
  <si>
    <t>(m)</t>
  </si>
  <si>
    <t>(n)</t>
  </si>
  <si>
    <t>(o)</t>
  </si>
  <si>
    <t>(p)</t>
  </si>
  <si>
    <t>(q)=(n-m)</t>
  </si>
  <si>
    <t>(r)=(o-n)</t>
  </si>
  <si>
    <t>(s)=(p-o)</t>
  </si>
  <si>
    <t>(t)=(p-m)</t>
  </si>
  <si>
    <t>(v)</t>
  </si>
  <si>
    <t>(w)</t>
  </si>
  <si>
    <t>(x)</t>
  </si>
  <si>
    <t>(y)</t>
  </si>
  <si>
    <t>(z)</t>
  </si>
  <si>
    <t>(aa)=(w-v)</t>
  </si>
  <si>
    <t>(ab)=(x-w)</t>
  </si>
  <si>
    <t>(ac)=(y-x)</t>
  </si>
  <si>
    <t>(ad)=(z-y)</t>
  </si>
  <si>
    <t>(ae)=(z-v)</t>
  </si>
  <si>
    <t>(af)</t>
  </si>
  <si>
    <t>(ag)=(b+f+m+v)</t>
  </si>
  <si>
    <t>(ah)=(c+h+p+z)</t>
  </si>
  <si>
    <t>(ai)=(ah-ag)</t>
  </si>
  <si>
    <t>(aj)</t>
  </si>
  <si>
    <t>(ak)</t>
  </si>
  <si>
    <t>(al)</t>
  </si>
  <si>
    <t>(am)</t>
  </si>
  <si>
    <t>(an)</t>
  </si>
  <si>
    <t>(ao)</t>
  </si>
  <si>
    <t>(ap)</t>
  </si>
  <si>
    <t>(aq)</t>
  </si>
  <si>
    <t>(ar)</t>
  </si>
  <si>
    <t>(as)</t>
  </si>
  <si>
    <t>BEER</t>
  </si>
  <si>
    <t>TRMv10 Update</t>
  </si>
  <si>
    <t>BNC</t>
  </si>
  <si>
    <t xml:space="preserve">2022 NTG Update </t>
  </si>
  <si>
    <t>Custom</t>
  </si>
  <si>
    <t>Outreach</t>
  </si>
  <si>
    <t>2022 NTG and TRM v10 Updates</t>
  </si>
  <si>
    <t>HEER</t>
  </si>
  <si>
    <t>HES</t>
  </si>
  <si>
    <t>IQ Wx</t>
  </si>
  <si>
    <t>IQ PHA</t>
  </si>
  <si>
    <t>IQ AHNC</t>
  </si>
  <si>
    <t>IQ ESK</t>
  </si>
  <si>
    <t>MF</t>
  </si>
  <si>
    <t>RNC</t>
  </si>
  <si>
    <t>SB</t>
  </si>
  <si>
    <t>SEM</t>
  </si>
  <si>
    <t>Portfolio Total (Therms)</t>
  </si>
  <si>
    <t>Plan WAML</t>
  </si>
  <si>
    <t>Adjusted WAML</t>
  </si>
  <si>
    <r>
      <t xml:space="preserve">EEPS Adjustable Savings Goal Template - </t>
    </r>
    <r>
      <rPr>
        <i/>
        <sz val="14"/>
        <color theme="1"/>
        <rFont val="Arial"/>
        <family val="2"/>
      </rPr>
      <t>Measure-Level Adjustments Tab</t>
    </r>
  </si>
  <si>
    <t>Nicor Gas PY11-PY14 Adjustable Goals Template_2025-03-01</t>
  </si>
  <si>
    <t>Tab</t>
  </si>
  <si>
    <t>2022 - Updates</t>
  </si>
  <si>
    <t>Approved Energy Efficiency Plan Key Assumptions - Plan Participation</t>
  </si>
  <si>
    <t>Approved Energy Efficiency Plan Key Assumptions</t>
  </si>
  <si>
    <t>Plan Year 2022 Savings Goal Adjustment</t>
  </si>
  <si>
    <t>Plan Year 2023 Savings Goal Adjustment</t>
  </si>
  <si>
    <t>Plan Year 2024 Savings Goal Adjustment</t>
  </si>
  <si>
    <t>Plan Year 2025 Savings Goal Adjustment</t>
  </si>
  <si>
    <t>Final Adjusted Net Energy Savings Goals</t>
  </si>
  <si>
    <t>Approved Energy Efficiency Plan Key Assumptions - Measure-Level Algorithm Inputs</t>
  </si>
  <si>
    <t>Adjusted Measure Life</t>
  </si>
  <si>
    <t>Plan Measure Life</t>
  </si>
  <si>
    <t>Plan Life Cycle Therms</t>
  </si>
  <si>
    <t>Adjusted Life Cycle Therms</t>
  </si>
  <si>
    <t xml:space="preserve">Energy Efficiency Plan (Joint/Coordinate Utility Programs) Key Assumptions - Gas Only Plan Participation </t>
  </si>
  <si>
    <t>Plan Number of Units (Fixed Parameters for Calculating Adjustable Savings Goals)</t>
  </si>
  <si>
    <t>Plan Gross Unit Savings (Therms)</t>
  </si>
  <si>
    <t>Approved Plan Net-to-Gross Values (Fixed Parameters for Used in Approved Plan)</t>
  </si>
  <si>
    <t>Plan Adjusted Net-to-Gross Values (Fixed Parameters for Calculating Adjustable Savings Goals)</t>
  </si>
  <si>
    <t>Net-to-Gross Collar</t>
  </si>
  <si>
    <t xml:space="preserve">2022-2025 Deemed Net-to-Gross Values </t>
  </si>
  <si>
    <t>2022-2025 Adjusted Net-to-Gross Collar Values (Only for qualifying Net to Gross Collar Measures for Calculating Adjustable Savings Goals If +/- NTG of 10% the NTG Collar will be applied)</t>
  </si>
  <si>
    <t>Plan Energy Savings Goals (Therms)</t>
  </si>
  <si>
    <t>2022 Gross Unit Savings, Effective January 1, 2022 - December 31, 2022</t>
  </si>
  <si>
    <t>2023 Gross Unit Savings, Effective January 1, 2023 - December 31, 2023</t>
  </si>
  <si>
    <t>2024 Gross Unit Savings, Effective January 1, 2024 - December 31, 2024</t>
  </si>
  <si>
    <t>2025 Gross Unit Savings, Effective January 1, 2025 - December 31, 2025</t>
  </si>
  <si>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</si>
  <si>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Derived from the IL-TRM that, if changed in the IL-TRM in the future, would therefore necessitate a savings goal adjustment, unless consensus is reached at SAG that the extenuating circumstance warrants no adjustment.</t>
  </si>
  <si>
    <t>Plan Number of Units (Fixed Parameters for Calculating Adjustable Savings Goals if ComEd no longer funds joint or coordinated programs)</t>
  </si>
  <si>
    <t>Plan Energy Savings Goals Adjusted without ComEd Participation (Therms)</t>
  </si>
  <si>
    <t>Program Component</t>
  </si>
  <si>
    <t>Measure</t>
  </si>
  <si>
    <t>Nicor Gas Measure TRM Number</t>
  </si>
  <si>
    <t xml:space="preserve">IL-TRM Adjustable?
(1 if yes; 0 if no) </t>
  </si>
  <si>
    <t>IL-TRM Section / Custom</t>
  </si>
  <si>
    <t>Unit of Participation</t>
  </si>
  <si>
    <t>2022 Plan Number of Units (Fixed)</t>
  </si>
  <si>
    <t>2023 Plan Number of Units (Fixed)</t>
  </si>
  <si>
    <t>2024 Plan Number of Units (Fixed)</t>
  </si>
  <si>
    <t>2025 Plan Number of Units (Fixed)</t>
  </si>
  <si>
    <t>IL-TRM Measure Code from IL-TRMv9.0</t>
  </si>
  <si>
    <t>Reference Document Explaining Gross Unit Savings Calculation Details</t>
  </si>
  <si>
    <t>2022 Plan Gross Unit Savings</t>
  </si>
  <si>
    <t>2023 Plan Gross Unit Savings</t>
  </si>
  <si>
    <t>2024 Plan Gross Unit Savings</t>
  </si>
  <si>
    <t>2025 Plan Gross Unit Savings</t>
  </si>
  <si>
    <t>2022 Approved Plan NTG (Fixed)</t>
  </si>
  <si>
    <t>2023 Approved Plan NTG (Fixed)</t>
  </si>
  <si>
    <t>2024 Approved Plan NTG (Fixed)</t>
  </si>
  <si>
    <t>2025 Approved Plan NTG (Fixed)</t>
  </si>
  <si>
    <t>2022 Plan Adjusted NTG (Fixed)</t>
  </si>
  <si>
    <t>2023 Plan Adjusted NTG (Fixed)</t>
  </si>
  <si>
    <t>2024 Plan Adjusted NTG (Fixed)</t>
  </si>
  <si>
    <t>2025 Plan Adjusted NTG (Fixed)</t>
  </si>
  <si>
    <t xml:space="preserve">Net-to-Gross Adjustable?
(0 if no; 1 if yes; 2 if collar active [if w,x,y,or z +/-5% of r,s,t or u]) </t>
  </si>
  <si>
    <t>2022 Plan NTG (Deemed NTG)</t>
  </si>
  <si>
    <t>2023 Plan NTG (Deemed NTG)</t>
  </si>
  <si>
    <t>2024 Plan NTG (Deemed NTG)</t>
  </si>
  <si>
    <t>2025 Plan NTG (Deemed NTG)</t>
  </si>
  <si>
    <t>2022 Plan NTG (Adjusted Collar +/- 5% minimum)</t>
  </si>
  <si>
    <t>2023 Plan NTG (Adjusted Collar +/- 5% minimum)</t>
  </si>
  <si>
    <t>2024 Plan NTG (Adjusted Collar +/- 5% minimum)</t>
  </si>
  <si>
    <t>2025 Plan NTG (Adjusted Collar +/- 5% minimum)</t>
  </si>
  <si>
    <t>2022 Plan Goal</t>
  </si>
  <si>
    <t>2023 Plan Goal</t>
  </si>
  <si>
    <t>2024 Plan Goal</t>
  </si>
  <si>
    <t>2025 Plan Goal</t>
  </si>
  <si>
    <t>Total Plan Period Goal</t>
  </si>
  <si>
    <t>IL-TRM Measure Code from IL-TRMv9.0 or errata applicable to 2022</t>
  </si>
  <si>
    <t>2022 Gross Unit Savings (Therms)</t>
  </si>
  <si>
    <t>Gross Unit Savings Adjustment Explanation</t>
  </si>
  <si>
    <t>2022 Adjusted Goal</t>
  </si>
  <si>
    <t>2022 IL-TRM Adjustment</t>
  </si>
  <si>
    <t>IL-TRM Measure Code from the 2023 IL-TRM or errata applicable to 2023</t>
  </si>
  <si>
    <t>2023 Gross Unit Savings (Therms)</t>
  </si>
  <si>
    <t>2023 Adjusted Goal</t>
  </si>
  <si>
    <t>2023 IL-TRM Adjustment</t>
  </si>
  <si>
    <t>IL-TRM Measure Code from the 2024 IL-TRM or errata applicable to 2024</t>
  </si>
  <si>
    <t>2024 Gross Unit Savings (Therms)</t>
  </si>
  <si>
    <t>2024 Adjusted Goal</t>
  </si>
  <si>
    <t>2024 IL-TRM Adjustment</t>
  </si>
  <si>
    <t>IL-TRM Measure Code from the 2025 IL-TRM or errata applicable to 2025</t>
  </si>
  <si>
    <t>2025 Gross Unit Savings (Therms)</t>
  </si>
  <si>
    <t>2025 Adjusted Goal</t>
  </si>
  <si>
    <t>2025 IL-TRM Adjustment</t>
  </si>
  <si>
    <t>2022 Final Savings Goal (Therms)</t>
  </si>
  <si>
    <t>2023 Final Savings Goal (Therms)</t>
  </si>
  <si>
    <t>2024 Final Savings Goal (Therms)</t>
  </si>
  <si>
    <t>2025 Final Savings Goal (Therms)</t>
  </si>
  <si>
    <t>Plan Period Final Savings Goal (Therms)</t>
  </si>
  <si>
    <t>Key Custom Input Assumptions (if none, specify NA)</t>
  </si>
  <si>
    <t>Key IL-TRM Input Assumptions</t>
  </si>
  <si>
    <t xml:space="preserve">Measure Life Adjustment
(1 if yes; 0 if no) </t>
  </si>
  <si>
    <t>2022 Plan Measure Life</t>
  </si>
  <si>
    <t>2023 Plan Measure Life</t>
  </si>
  <si>
    <t>2024 Plan Measure Life</t>
  </si>
  <si>
    <t>2025 Plan Measure Life</t>
  </si>
  <si>
    <t xml:space="preserve"> 2022 Plan Life Cycle Therms</t>
  </si>
  <si>
    <t xml:space="preserve"> 2023 Plan Life Cycle Therms</t>
  </si>
  <si>
    <t xml:space="preserve"> 2024 Plan Life Cycle Therms</t>
  </si>
  <si>
    <t xml:space="preserve"> 2025 Plan Life Cycle Therms</t>
  </si>
  <si>
    <t>Total Plan Life Cycle Therms 2022-2025</t>
  </si>
  <si>
    <t>2022 Measure Life</t>
  </si>
  <si>
    <t>2023 Measure Life</t>
  </si>
  <si>
    <t>2024 Measure Life</t>
  </si>
  <si>
    <t>2025 Measure Life</t>
  </si>
  <si>
    <t>2022 Life Cycle Therms</t>
  </si>
  <si>
    <t>2023 Life Cycle Therms</t>
  </si>
  <si>
    <t>2024 Life Cycle Therms</t>
  </si>
  <si>
    <t>2025 Life Cycle Therms</t>
  </si>
  <si>
    <t>Total Adjusted Life Cycle Therms 2022-2025</t>
  </si>
  <si>
    <t>Filed Plan Measure Number</t>
  </si>
  <si>
    <t>Joint/Coordinated  Program Assumptions
(1 if yes; 0 if no)</t>
  </si>
  <si>
    <t>2022 Plan Number of Units (Fixed Gas Only Assumption)</t>
  </si>
  <si>
    <t>2023 Plan Number of Units (Fixed Gas Only Assumption)</t>
  </si>
  <si>
    <t>2024 Plan Number of Units (Fixed Gas Only Assumption)</t>
  </si>
  <si>
    <t>2025 Plan Number of Units (Fixed Gas Only Assumption)</t>
  </si>
  <si>
    <t>2022 Plan Goal Gas Only</t>
  </si>
  <si>
    <t>2023 Plan Goal Gas Only</t>
  </si>
  <si>
    <t>2024 Plan Goal Gas Only</t>
  </si>
  <si>
    <t>2025 Plan Goal Gas Only</t>
  </si>
  <si>
    <t>(d)</t>
  </si>
  <si>
    <t>(j)</t>
  </si>
  <si>
    <t>(k)</t>
  </si>
  <si>
    <t>(l)</t>
  </si>
  <si>
    <t>(q)</t>
  </si>
  <si>
    <t>(r)</t>
  </si>
  <si>
    <t>(s)</t>
  </si>
  <si>
    <t>(t)</t>
  </si>
  <si>
    <t>(u)</t>
  </si>
  <si>
    <t>(aa)</t>
  </si>
  <si>
    <t>(ab)</t>
  </si>
  <si>
    <t>(ac)</t>
  </si>
  <si>
    <t>(ad)</t>
  </si>
  <si>
    <t xml:space="preserve">(ae) = (r) </t>
  </si>
  <si>
    <t>(af)=(w) [if (z)=0 or 1]; 
(af) = +or- 5% (w) [if (z)=2]</t>
  </si>
  <si>
    <t>(ag)=(x) [if (z)=0 or 1]; 
(ag) = +or- 5% [if (z)=2]</t>
  </si>
  <si>
    <t>(ah)=(y) [if (z)=0 or 1]; 
(ah) = +or- 5% [if (z)=2]</t>
  </si>
  <si>
    <t>(ai)=(h) x (n) x (r)</t>
  </si>
  <si>
    <t>(aj)=(i) x (o) x (s)</t>
  </si>
  <si>
    <t>(ak)=(j) x (p) x (t)</t>
  </si>
  <si>
    <t>(al)=(k) x (q) x (u)</t>
  </si>
  <si>
    <t>(am) = (ai) + (aj) + (ak) + (al)</t>
  </si>
  <si>
    <t>(ar)= (h x ap x v)</t>
  </si>
  <si>
    <t>(as)= (ar - ai)</t>
  </si>
  <si>
    <t>(at)</t>
  </si>
  <si>
    <t>(au)</t>
  </si>
  <si>
    <t>(av)</t>
  </si>
  <si>
    <t>(aw)= (av - ap)</t>
  </si>
  <si>
    <t>(ax)= (i x av x w)</t>
  </si>
  <si>
    <t>(ay)= (ax - aj)</t>
  </si>
  <si>
    <t>(az)</t>
  </si>
  <si>
    <t>(ba)</t>
  </si>
  <si>
    <t>(bb)</t>
  </si>
  <si>
    <t>(bc)</t>
  </si>
  <si>
    <t>(bd)= (j x bb x x)</t>
  </si>
  <si>
    <t>(be)= (bd - ak)</t>
  </si>
  <si>
    <t>(bf)</t>
  </si>
  <si>
    <t>(bg)</t>
  </si>
  <si>
    <t>(bh)</t>
  </si>
  <si>
    <t>(bi)</t>
  </si>
  <si>
    <t>(bj)= (k x bh x y)</t>
  </si>
  <si>
    <t>(bk)= (bj - al)</t>
  </si>
  <si>
    <t>(bl)=(ar) [if (e)=1]; (bl)=(ai) [if (e)=0]</t>
  </si>
  <si>
    <t>(bm)=(ax) [if (e)=1]; (bm)=(aj) [if (e)=0]</t>
  </si>
  <si>
    <t>(bn)=(bd) [if (e)=1]; (bn)=(ak) [if (e)=0]</t>
  </si>
  <si>
    <t>(bo)=(bj) [if (e)=1]; (bo)=(al) [if (e)=0]</t>
  </si>
  <si>
    <t>(bp)=(bl+bm+bn+bo)</t>
  </si>
  <si>
    <t>(bq)</t>
  </si>
  <si>
    <t>(br)</t>
  </si>
  <si>
    <t>(bs)</t>
  </si>
  <si>
    <t>(bt)</t>
  </si>
  <si>
    <t>(bu)</t>
  </si>
  <si>
    <t>(bv)</t>
  </si>
  <si>
    <t>(bw)</t>
  </si>
  <si>
    <t>(bx)= (h x n x r x bt)</t>
  </si>
  <si>
    <t>(by)= (i x o x s x bu)</t>
  </si>
  <si>
    <t>(bz)= (j x p x t x bv)</t>
  </si>
  <si>
    <t>(ca)= (k x q x u x bw)</t>
  </si>
  <si>
    <t>(cb)= (bx + by + bz + ca)</t>
  </si>
  <si>
    <t>(cc)</t>
  </si>
  <si>
    <t>(cd)</t>
  </si>
  <si>
    <t>(ce)</t>
  </si>
  <si>
    <t>(cf)</t>
  </si>
  <si>
    <t>(cg)= (h x v x ap x cc)</t>
  </si>
  <si>
    <t>(ch)= (i x w x av x cd)</t>
  </si>
  <si>
    <t>(ci)= (j x x x bb x ce)</t>
  </si>
  <si>
    <t>(cj)= (k x y x bh x cf)</t>
  </si>
  <si>
    <t>(ck)= (cg + ch + ci + cj)</t>
  </si>
  <si>
    <t>(cl)</t>
  </si>
  <si>
    <t>(cm)</t>
  </si>
  <si>
    <t>(cn)</t>
  </si>
  <si>
    <t>(co)</t>
  </si>
  <si>
    <t>(cp)</t>
  </si>
  <si>
    <t>(cq)</t>
  </si>
  <si>
    <t>(cr)</t>
  </si>
  <si>
    <t>(cs)= (co x n x ae)</t>
  </si>
  <si>
    <t>(ct)= (cp x o x af)</t>
  </si>
  <si>
    <t>(cu)= (cq x p x ag)</t>
  </si>
  <si>
    <t>(cv)= (cr x q x ah)</t>
  </si>
  <si>
    <t>(cw)= (cs + ct + cu + cv)</t>
  </si>
  <si>
    <t>BEER BOP</t>
  </si>
  <si>
    <t>Boiler Tune Up, Process</t>
  </si>
  <si>
    <t>4.4.3</t>
  </si>
  <si>
    <t>Project</t>
  </si>
  <si>
    <t>CI-HVC-PBTU-V05-160601</t>
  </si>
  <si>
    <t>Boiler Tune Up, 1800 MBH BOP</t>
  </si>
  <si>
    <t>4.4.2.11</t>
  </si>
  <si>
    <t>4.4.2</t>
  </si>
  <si>
    <t>CI-HVC-BLRT-V06-160601</t>
  </si>
  <si>
    <t>Pipe Insulation, Indoor HW Space Heat</t>
  </si>
  <si>
    <t>4.4.14.7</t>
  </si>
  <si>
    <t>4.4.14</t>
  </si>
  <si>
    <t>LN FT</t>
  </si>
  <si>
    <t>CI-HVC-PINS-V05-190101</t>
  </si>
  <si>
    <t>Pipe Insulation, Indoor LPS Space Heat</t>
  </si>
  <si>
    <t>4.4.14.4</t>
  </si>
  <si>
    <t>Pipe Insulation, Indoor MPS Space Heat</t>
  </si>
  <si>
    <t>4.4.14.9</t>
  </si>
  <si>
    <t>Pipe Insulation, Indoor HPS Space Heat</t>
  </si>
  <si>
    <t>4.4.14.3</t>
  </si>
  <si>
    <t>Pipe Insulation, Indoor DHW</t>
  </si>
  <si>
    <t>4.4.14.6</t>
  </si>
  <si>
    <t>Pipe Insulation, Indoor LPS Process Heat</t>
  </si>
  <si>
    <t>4.4.14.15</t>
  </si>
  <si>
    <t>Pipe Insulation, Indoor MPS Process Heat</t>
  </si>
  <si>
    <t>4.4.14.14</t>
  </si>
  <si>
    <t>Pipe Insulation, Indoor HPS Process Heat</t>
  </si>
  <si>
    <t>4.4.14.13</t>
  </si>
  <si>
    <t>Steam Trap, Commercial</t>
  </si>
  <si>
    <t>4.4.16.7</t>
  </si>
  <si>
    <t>4.4.16</t>
  </si>
  <si>
    <t>Unit</t>
  </si>
  <si>
    <t>CI-HVC-STRE-V05-180101</t>
  </si>
  <si>
    <t>Steam Trap, Indust MP 15-30 psig</t>
  </si>
  <si>
    <t>4.4.16.1</t>
  </si>
  <si>
    <t>Steam Trap, Indust MP 30-75 psig</t>
  </si>
  <si>
    <t>4.4.16.2</t>
  </si>
  <si>
    <t>Steam Trap, Indust HP 75-125 psig</t>
  </si>
  <si>
    <t>4.4.16.3</t>
  </si>
  <si>
    <t>Steam Trap, Indust HP 125-175 psig</t>
  </si>
  <si>
    <t>4.4.16.4</t>
  </si>
  <si>
    <t>Steam Trap, Indust HP 175-250 psig</t>
  </si>
  <si>
    <t>4.4.16.5</t>
  </si>
  <si>
    <t>Steam Trap, Indust HP 250 psig</t>
  </si>
  <si>
    <t>4.4.16.6</t>
  </si>
  <si>
    <t>Steam Traps - Test/Audit - CPOP</t>
  </si>
  <si>
    <t>BEER CFS</t>
  </si>
  <si>
    <t>Commercial Steamer, E ≥38%</t>
  </si>
  <si>
    <t>4.2.3.1</t>
  </si>
  <si>
    <t>4.2.3</t>
  </si>
  <si>
    <t>CI-FSE-STMC-V05-190101</t>
  </si>
  <si>
    <t>2022 NTG Update 0.86 to 0.80</t>
  </si>
  <si>
    <t>Convection Oven, E &gt;46%</t>
  </si>
  <si>
    <t>4.2.5</t>
  </si>
  <si>
    <t>CI-FSE-ESCV-V02-180101</t>
  </si>
  <si>
    <t>Combination Oven  (16 pans)</t>
  </si>
  <si>
    <t>4.2.1.2</t>
  </si>
  <si>
    <t>4.2.1</t>
  </si>
  <si>
    <t>CI-FSE-CBOV-V02-160601</t>
  </si>
  <si>
    <t>Large Conveyor Oven, &gt;=25 in</t>
  </si>
  <si>
    <t>4.2.4</t>
  </si>
  <si>
    <t>CI-FSE-CVOV-V02-180101</t>
  </si>
  <si>
    <t>Large Conveyor Oven, &lt;25 in</t>
  </si>
  <si>
    <t>Rack Oven - Single</t>
  </si>
  <si>
    <t>4.2.18.1</t>
  </si>
  <si>
    <t>4.2.18</t>
  </si>
  <si>
    <t>C143</t>
  </si>
  <si>
    <t>Rack Oven - Double</t>
  </si>
  <si>
    <t>CI-FSE-RKOV-VO2-180101</t>
  </si>
  <si>
    <t>Fryer - E &gt;50%</t>
  </si>
  <si>
    <t>4.2.7</t>
  </si>
  <si>
    <t>CI-FSE-ESFR-V02-190101</t>
  </si>
  <si>
    <t>2022 NTG Update 0.86 to 0.80
TRM v10 Update: ΔDailyPreheatEnergy updated values</t>
  </si>
  <si>
    <t>Fryer - Large Vat</t>
  </si>
  <si>
    <t>Griddle</t>
  </si>
  <si>
    <t>4.2.8</t>
  </si>
  <si>
    <t>CI-FSE-ESGR-V03-190101</t>
  </si>
  <si>
    <t>Pasta Cooker</t>
  </si>
  <si>
    <t>4.2.17</t>
  </si>
  <si>
    <t>CI-FSE-PCOK-V02-180101</t>
  </si>
  <si>
    <t>Infrared Rotisserie Oven</t>
  </si>
  <si>
    <t>4.2.13</t>
  </si>
  <si>
    <t>CI-FSE-IROV-V02-180101</t>
  </si>
  <si>
    <t>Infrared Charbroiler</t>
  </si>
  <si>
    <t>4.2.12</t>
  </si>
  <si>
    <t>CI-FSE-IRCB-V02-180101</t>
  </si>
  <si>
    <t>Infrared Upright Broiler</t>
  </si>
  <si>
    <t>4.2.15</t>
  </si>
  <si>
    <t>CI-FSE-IRUB-V02-180101</t>
  </si>
  <si>
    <t>Infrared Salamander Broiler</t>
  </si>
  <si>
    <t>4.2.14</t>
  </si>
  <si>
    <t>CI-FSE-IRBL-V02-180101</t>
  </si>
  <si>
    <t>Conveyor Broilers</t>
  </si>
  <si>
    <t>Kitchen Demand Ventilation Controls</t>
  </si>
  <si>
    <t>4.2.16</t>
  </si>
  <si>
    <t>CI-FSE-VENT-V04-210101</t>
  </si>
  <si>
    <t>Dishwasher</t>
  </si>
  <si>
    <t>4.2.6</t>
  </si>
  <si>
    <t>CI-FSE-ESDW-V04-190101</t>
  </si>
  <si>
    <t>BEER Private</t>
  </si>
  <si>
    <t>Bonus Incentives - BEER</t>
  </si>
  <si>
    <t>Boiler Reset Controls, 300 MBH</t>
  </si>
  <si>
    <t>4.4.4.1</t>
  </si>
  <si>
    <t>4.4.4</t>
  </si>
  <si>
    <t>CI-HVC-BLRC-V03-150601</t>
  </si>
  <si>
    <t>Boiler Tune Up, 400 MBH</t>
  </si>
  <si>
    <t>4.4.2.1</t>
  </si>
  <si>
    <t>Errata, Heating EFLH Buidling Type table update</t>
  </si>
  <si>
    <t>Condensing Boilers, ≥90%, &lt;300 MBH</t>
  </si>
  <si>
    <t>4.4.10.1</t>
  </si>
  <si>
    <t>4.4.10</t>
  </si>
  <si>
    <t>CI-HVC-BOIL-V06-190101</t>
  </si>
  <si>
    <t>Condensing Boilers, ≥90% 300-499 MBH</t>
  </si>
  <si>
    <t>4.4.10.2</t>
  </si>
  <si>
    <t>Condensing Boilers, ≥90% 500-999 MBH</t>
  </si>
  <si>
    <t>4.4.10.3</t>
  </si>
  <si>
    <t>Condensing Boilers, ≥90% 1000-1700 MBH</t>
  </si>
  <si>
    <t>4.4.10.4</t>
  </si>
  <si>
    <t>Condensing Boilers, ≥90% 1701-2500 MBH</t>
  </si>
  <si>
    <t>4.4.10.5</t>
  </si>
  <si>
    <t>Hydronic Boilers, ≥85% &lt;300 MBH</t>
  </si>
  <si>
    <t>4.4.10.6</t>
  </si>
  <si>
    <t>Hydronic Boilers, ≥85% 300-499 MBH</t>
  </si>
  <si>
    <t>4.4.10.7</t>
  </si>
  <si>
    <t>Hydronic Boilers, ≥85% 500-999 MBH</t>
  </si>
  <si>
    <t>4.4.10.8</t>
  </si>
  <si>
    <t>Hydronic Boilers, ≥85% 1000-1700 MBH</t>
  </si>
  <si>
    <t>4.4.10.9</t>
  </si>
  <si>
    <t>Hydronic Boilers, ≥85% 1701-2500 MBH</t>
  </si>
  <si>
    <t>4.4.10.10</t>
  </si>
  <si>
    <t>Furnace, &gt;92% AFUE</t>
  </si>
  <si>
    <t>4.4.11.1</t>
  </si>
  <si>
    <t>4.4.11</t>
  </si>
  <si>
    <t>CI-HVC-FRNC-V08-190101</t>
  </si>
  <si>
    <t xml:space="preserve">Furnace, &gt;95% AFUE </t>
  </si>
  <si>
    <t>4.4.11.2</t>
  </si>
  <si>
    <t>Furnace, &gt;92% AFUE - CA</t>
  </si>
  <si>
    <t>4.4.11.3</t>
  </si>
  <si>
    <t>Furnace, &gt;95% AFUE  - CA</t>
  </si>
  <si>
    <t>4.4.11.4</t>
  </si>
  <si>
    <t>Condensing Unit Heaters, &gt;90% &lt;300 MBH</t>
  </si>
  <si>
    <t>4.4.5</t>
  </si>
  <si>
    <t>CI-HVC-CUHT-V01-190101</t>
  </si>
  <si>
    <t>Infrared Heaters</t>
  </si>
  <si>
    <t>4.4.12</t>
  </si>
  <si>
    <t>CI-HVC-IRHT-V01-190101</t>
  </si>
  <si>
    <t>Direct Fired Space Heater &lt; 800 MBH</t>
  </si>
  <si>
    <t>C165</t>
  </si>
  <si>
    <t>Direct Fired Space Heater 800-1600 MBH</t>
  </si>
  <si>
    <t>C166</t>
  </si>
  <si>
    <t>Direct Fired Space Heater &gt; 1600 MBH</t>
  </si>
  <si>
    <t>C167</t>
  </si>
  <si>
    <t>Storage Water Heater, &gt;0.67 EF</t>
  </si>
  <si>
    <t>4.3.1.1</t>
  </si>
  <si>
    <t>4.3.1</t>
  </si>
  <si>
    <t>CI-HW_-HWE-V03-190101</t>
  </si>
  <si>
    <t>TRM v10 Update:
Update in Tin temperature</t>
  </si>
  <si>
    <t>Storage Water Heater, &gt;88% TE</t>
  </si>
  <si>
    <t>4.3.1.3</t>
  </si>
  <si>
    <t xml:space="preserve">Programmable Thermostat - Commercial </t>
  </si>
  <si>
    <t>Customized TRM 4.4.48</t>
  </si>
  <si>
    <t>C149</t>
  </si>
  <si>
    <t>TRM v10 Update:
Update in algorithm to include unknown baseline adjustment factor</t>
  </si>
  <si>
    <t>CDHW Controls - MF Buildings</t>
  </si>
  <si>
    <t>4.3.8</t>
  </si>
  <si>
    <t>CI-HW_-HWE-CDHW-V02-180101</t>
  </si>
  <si>
    <t>CDHW Controls - Dormitories</t>
  </si>
  <si>
    <t>4.3.8.3</t>
  </si>
  <si>
    <t>Indoor Pool Covers</t>
  </si>
  <si>
    <t>4.3.4.1</t>
  </si>
  <si>
    <t>4.3.4</t>
  </si>
  <si>
    <t>CI-HW_-HWE-PLCV-V02-190101</t>
  </si>
  <si>
    <t>Outdoor Pool Covers</t>
  </si>
  <si>
    <t>4.3.4.2</t>
  </si>
  <si>
    <t>Ozone Laundry</t>
  </si>
  <si>
    <t>4.3.6</t>
  </si>
  <si>
    <t>CI-HW-HWE-OZLD-V02-190101</t>
  </si>
  <si>
    <t>Modulating Commercial Gas Clothes Dryer - Coin Operated Laundromat</t>
  </si>
  <si>
    <t>4.8.4.1</t>
  </si>
  <si>
    <t>4.8.4</t>
  </si>
  <si>
    <t>CI-MSC-MODD-V01-160601</t>
  </si>
  <si>
    <t>Modulating Commercial Gas Clothes Dryer - Multi-family Dryers</t>
  </si>
  <si>
    <t>4.8.4.2</t>
  </si>
  <si>
    <t>Modulating Commercial Gas Clothes Dryer - On Premise Laundromat</t>
  </si>
  <si>
    <t>4.8.4.3</t>
  </si>
  <si>
    <t>DCV - Default</t>
  </si>
  <si>
    <t>4.4.19.3</t>
  </si>
  <si>
    <t>4.4.19</t>
  </si>
  <si>
    <t>CI-HVC-DCV-V05-190101</t>
  </si>
  <si>
    <t>Pipe Insulation - Dry Cleaner</t>
  </si>
  <si>
    <t>Customized TRM 4.4.14</t>
  </si>
  <si>
    <t>C144</t>
  </si>
  <si>
    <t>Small Pipe Insulation, 1/2", Indoor Space Heat</t>
  </si>
  <si>
    <t>4.4.24.1</t>
  </si>
  <si>
    <t>4.4.24</t>
  </si>
  <si>
    <t>CI-HVC-SPIN-V02-160601</t>
  </si>
  <si>
    <t>Small Pipe Insulation, 3/4", Indoor Space Heat</t>
  </si>
  <si>
    <t>4.4.24.2</t>
  </si>
  <si>
    <t>Small Pipe Insulation, 1/2", Indoor DHW</t>
  </si>
  <si>
    <t>4.4.24.3</t>
  </si>
  <si>
    <t>Small Pipe Insulation, 3/4", Indoor DHW</t>
  </si>
  <si>
    <t>4.4.24.4</t>
  </si>
  <si>
    <t>Pipe Insulation, Outdoor HW Space Heat</t>
  </si>
  <si>
    <t>4.4.14.5</t>
  </si>
  <si>
    <t>Pipe Insulation, Outdoor LPS Space Heat</t>
  </si>
  <si>
    <t>4.4.14.2</t>
  </si>
  <si>
    <t>Pipe Insulation, Outdoor MPS Space Heat</t>
  </si>
  <si>
    <t>4.4.14.8</t>
  </si>
  <si>
    <t>Pipe Insulation, Outdoor HPS Space Heat</t>
  </si>
  <si>
    <t>4.4.14.1</t>
  </si>
  <si>
    <t>Pipe Insulation, Outdoor LPS Process Heat</t>
  </si>
  <si>
    <t>4.4.14.12</t>
  </si>
  <si>
    <t>Pipe Insulation, Outdoor MPS Process Heat</t>
  </si>
  <si>
    <t>4.4.14.11</t>
  </si>
  <si>
    <t>Pipe Insulation, Outdoor HPS Process Heat</t>
  </si>
  <si>
    <t>4.4.14.10</t>
  </si>
  <si>
    <t>Steam Trap, Dry Cleaner</t>
  </si>
  <si>
    <t>4.4.16.9</t>
  </si>
  <si>
    <t>Pre-Rinse Spray Valves</t>
  </si>
  <si>
    <t>4.2.11.5</t>
  </si>
  <si>
    <t>4.2.11</t>
  </si>
  <si>
    <t>CI-FSE-SPRY-V05-190101</t>
  </si>
  <si>
    <t>Mid Business  - Drop In</t>
  </si>
  <si>
    <t>Mid Business Assessment</t>
  </si>
  <si>
    <t>Spray Valve (Small Restaurants)-DI</t>
  </si>
  <si>
    <t>4.2.11.2</t>
  </si>
  <si>
    <t>Spray Valve (Med Sized Restaurants)-DI</t>
  </si>
  <si>
    <t>4.2.11.1</t>
  </si>
  <si>
    <t>Faucet Aerators - Kitchen  - DI</t>
  </si>
  <si>
    <t>4.3.2.2</t>
  </si>
  <si>
    <t>4.3.2</t>
  </si>
  <si>
    <t>CI-HW_-LFFA-V08-190101</t>
  </si>
  <si>
    <t>TRM v10 Update:
Update to EPG_gas</t>
  </si>
  <si>
    <t>Faucet Aerators - Bath - DI</t>
  </si>
  <si>
    <t>4.3.2.1</t>
  </si>
  <si>
    <t>Laminar Flow</t>
  </si>
  <si>
    <t>4.3.2.3</t>
  </si>
  <si>
    <t>Low Flow Shower Heads - DI</t>
  </si>
  <si>
    <t>4.3.3</t>
  </si>
  <si>
    <t>CI-HW_-HWE-LFSH-V05-190101</t>
  </si>
  <si>
    <t>Commercial Weather Stripping 3ft DI</t>
  </si>
  <si>
    <t>4.8.16.2</t>
  </si>
  <si>
    <t>4.8.16</t>
  </si>
  <si>
    <t>CI-MSC-WTST-V01-200101</t>
  </si>
  <si>
    <t>Air Deflectors</t>
  </si>
  <si>
    <t>4.4.47.1</t>
  </si>
  <si>
    <t>4.4.47</t>
  </si>
  <si>
    <t>CI-HVC-ADUV-V01-200101</t>
  </si>
  <si>
    <t>Garage Door Hinge</t>
  </si>
  <si>
    <t>4.8.12.1</t>
  </si>
  <si>
    <t>4.8.12</t>
  </si>
  <si>
    <t>CI-MSC-SLDH-V01-200101</t>
  </si>
  <si>
    <t>Hydronic Heating Radiator Replacement</t>
  </si>
  <si>
    <t>4.4.52.1</t>
  </si>
  <si>
    <t>4.4.52</t>
  </si>
  <si>
    <t>CI-HVC-HHRR-V01-210101</t>
  </si>
  <si>
    <t>Boiler Chemical Descaling</t>
  </si>
  <si>
    <t>4.4.49.1</t>
  </si>
  <si>
    <t>4.4.49</t>
  </si>
  <si>
    <t>CI-HVC-BCHD-V01-210101</t>
  </si>
  <si>
    <t>Venturi Steam Trap, Commercial</t>
  </si>
  <si>
    <t>4.4.16.21</t>
  </si>
  <si>
    <t>Venturi Steam Trap, Indust MP 15-30 psig</t>
  </si>
  <si>
    <t>4.4.16.15</t>
  </si>
  <si>
    <t>Venturi Steam Trap, Indust MP 30-75 psig</t>
  </si>
  <si>
    <t>4.4.16.16</t>
  </si>
  <si>
    <t>Venturi Steam Trap, Indust HP 75-125 psig</t>
  </si>
  <si>
    <t>4.4.16.17</t>
  </si>
  <si>
    <t>Venturi Steam Trap, Indust HP 125-175 psig</t>
  </si>
  <si>
    <t>4.4.16.18</t>
  </si>
  <si>
    <t>Venturi Steam Trap, Indust HP 175-250 psig</t>
  </si>
  <si>
    <t>4.4.16.19</t>
  </si>
  <si>
    <t>Venturi Steam Trap, Indust HP 250 psig</t>
  </si>
  <si>
    <t>4.4.16.20</t>
  </si>
  <si>
    <t>Venturi Steam Trap, Dry Cleaner</t>
  </si>
  <si>
    <t>4.4.16.23</t>
  </si>
  <si>
    <t>BEER Public</t>
  </si>
  <si>
    <t>BNC Private</t>
  </si>
  <si>
    <t>Bonus Incentives - BNC</t>
  </si>
  <si>
    <t>2022 NTG Update 0.54 to 0.43</t>
  </si>
  <si>
    <t>Large Commercial New Construction</t>
  </si>
  <si>
    <t>SQ FT</t>
  </si>
  <si>
    <t>BNC Public</t>
  </si>
  <si>
    <t>Custom Private</t>
  </si>
  <si>
    <t>Custom &gt;15,000 therms</t>
  </si>
  <si>
    <t>2022 NTG Update 0.79 to 0.84</t>
  </si>
  <si>
    <t>Opportunity Assessments-Custom</t>
  </si>
  <si>
    <t>Facility Assessments-Custom</t>
  </si>
  <si>
    <t>Custom Bonus Incentives</t>
  </si>
  <si>
    <t>RCx Project - Therm buy</t>
  </si>
  <si>
    <t>2022 NTG Update 0.94 to 0.98</t>
  </si>
  <si>
    <t>RCx Project</t>
  </si>
  <si>
    <t>RCx Study - Concurrent</t>
  </si>
  <si>
    <t>RCx Study - Stand Alone</t>
  </si>
  <si>
    <t>CHP Incentive FS</t>
  </si>
  <si>
    <t>CHP Project</t>
  </si>
  <si>
    <t>Custom Project - GHP</t>
  </si>
  <si>
    <t>Custom Public</t>
  </si>
  <si>
    <t>Public Sector Custom &gt; 15,000 Therm Savings</t>
  </si>
  <si>
    <t>Public Sector Custom &lt; 15,000 Therm Savings</t>
  </si>
  <si>
    <t>Opportunity Assessments-Custom Public</t>
  </si>
  <si>
    <t>Public Sector Assessment</t>
  </si>
  <si>
    <t>Public Sector CHP Project</t>
  </si>
  <si>
    <t xml:space="preserve">HEER </t>
  </si>
  <si>
    <t>Furnace, &gt;95% AFUE</t>
  </si>
  <si>
    <t>5.3.7.1</t>
  </si>
  <si>
    <t>5.3.7</t>
  </si>
  <si>
    <t>RS-HVC-GHEF-V08-190101</t>
  </si>
  <si>
    <t>Furnace, &gt;97% AFUE</t>
  </si>
  <si>
    <t>5.3.7.3</t>
  </si>
  <si>
    <t>Boilers, &gt;95% AFUE &lt;300 MBH - SF</t>
  </si>
  <si>
    <t>5.3.6.2</t>
  </si>
  <si>
    <t>5.3.6</t>
  </si>
  <si>
    <t>RS-HVC-GHEB-V07-190101</t>
  </si>
  <si>
    <t>Bonus Incentives - HEER</t>
  </si>
  <si>
    <t>WH - SF Tankless 40 gal</t>
  </si>
  <si>
    <t>5.4.2.3</t>
  </si>
  <si>
    <t>5.4.2</t>
  </si>
  <si>
    <t>RS-HWE-GWHT-V08-190101</t>
  </si>
  <si>
    <t>GHPWH ≥120% UEF MT</t>
  </si>
  <si>
    <t>GHP Combi &gt;130% AFUE MT</t>
  </si>
  <si>
    <t>HEER Tstats</t>
  </si>
  <si>
    <t>Advanced Thermostat (TOS) - Blended Nicor</t>
  </si>
  <si>
    <t>5.3.16.10</t>
  </si>
  <si>
    <t>5.3.16</t>
  </si>
  <si>
    <t>RS-HVC-ADTH-V03-190101</t>
  </si>
  <si>
    <t>HES ASI</t>
  </si>
  <si>
    <t>Number of Homes</t>
  </si>
  <si>
    <t>Air Sealing</t>
  </si>
  <si>
    <t>5.6.1.2</t>
  </si>
  <si>
    <t>5.6.1</t>
  </si>
  <si>
    <t>RS-SHL-AIRS-V07-190101</t>
  </si>
  <si>
    <t>Attic Insulation (R5 to R49) SF</t>
  </si>
  <si>
    <t>5.6.5.4</t>
  </si>
  <si>
    <t>5.6.5</t>
  </si>
  <si>
    <t>RS-SHL-AINS-V07-180101</t>
  </si>
  <si>
    <t>Attic Insulation (R14 to R49) SF</t>
  </si>
  <si>
    <t>5.6.5.5</t>
  </si>
  <si>
    <t>Attic Insulation (R19 to R49) SF</t>
  </si>
  <si>
    <t>5.6.5.1</t>
  </si>
  <si>
    <t>Attic Insulation (&gt;R19 to R49) SF</t>
  </si>
  <si>
    <t>5.6.5.3</t>
  </si>
  <si>
    <t>Air Sealing Without Insulation</t>
  </si>
  <si>
    <t>5.6.1.4</t>
  </si>
  <si>
    <t>Duct Sealing</t>
  </si>
  <si>
    <t>5.3.4.3</t>
  </si>
  <si>
    <t>5.3.4</t>
  </si>
  <si>
    <t>RS-HVC-DINS-V07-190101</t>
  </si>
  <si>
    <t>Basement/Sidewall Insulation SF</t>
  </si>
  <si>
    <t>5.6.2.2</t>
  </si>
  <si>
    <t>5.6.2</t>
  </si>
  <si>
    <t>RS-SHL-BINS-V09-190101</t>
  </si>
  <si>
    <t>Wall Insulation SF</t>
  </si>
  <si>
    <t>5.6.4.1</t>
  </si>
  <si>
    <t>5.6.4</t>
  </si>
  <si>
    <t>Residential Deep Assessment</t>
  </si>
  <si>
    <t>Low-E Storm Window - SF</t>
  </si>
  <si>
    <t>5.6.7.1</t>
  </si>
  <si>
    <t>5.6.7</t>
  </si>
  <si>
    <t>RS-SHL-LESW-V01-210101</t>
  </si>
  <si>
    <t>Thin Triple Window</t>
  </si>
  <si>
    <t>HES HEA</t>
  </si>
  <si>
    <t>Assessment (HES) - joint</t>
  </si>
  <si>
    <t>Assessment (HES)</t>
  </si>
  <si>
    <t>Showerhead (DI) SF Joint</t>
  </si>
  <si>
    <t>5.4.5.9</t>
  </si>
  <si>
    <t>5.4.5</t>
  </si>
  <si>
    <t>RS-HWE-LFSH-V06-190101</t>
  </si>
  <si>
    <t>Handheld Showerhead (DI) SF Joint</t>
  </si>
  <si>
    <t>5.4.5.10</t>
  </si>
  <si>
    <t>Bathroom Aerator SF (DI) Joint</t>
  </si>
  <si>
    <t>5.4.4.8</t>
  </si>
  <si>
    <t>5.4.4</t>
  </si>
  <si>
    <t>RS-HWE-LFFA-V07-190101</t>
  </si>
  <si>
    <t>Kitchen Aerator SF (DI) Joint</t>
  </si>
  <si>
    <t>5.4.4.9</t>
  </si>
  <si>
    <t>HW Pipe Insulation (1 ft.) (DI)</t>
  </si>
  <si>
    <t>5.4.1.4</t>
  </si>
  <si>
    <t>5.4.1</t>
  </si>
  <si>
    <t>RS-HWE-PINS-V02-150601</t>
  </si>
  <si>
    <t>TRM v10 Update:
Update in algorithm and new Cinside and Rexist values</t>
  </si>
  <si>
    <t>Programmable Thermostat (DI) Joint</t>
  </si>
  <si>
    <t>5.3.11.7</t>
  </si>
  <si>
    <t>5.3.11</t>
  </si>
  <si>
    <t>RS-HVC-PROG-V05-190101</t>
  </si>
  <si>
    <t>Thermostat Education (DI) Joint</t>
  </si>
  <si>
    <t>5.3.11.8</t>
  </si>
  <si>
    <t>Advanced Thermostat (DI) - Blended SF Joint</t>
  </si>
  <si>
    <t>5.3.16.11</t>
  </si>
  <si>
    <t>HEA Kit - Joint</t>
  </si>
  <si>
    <t>5.6.1,5.4.9</t>
  </si>
  <si>
    <t>C239</t>
  </si>
  <si>
    <t>2022 NTG Update 0.87 to 0.99
TRM v10 update: Update in ISR values and EPG_gas</t>
  </si>
  <si>
    <t>Virtual Audit Fee - Joint</t>
  </si>
  <si>
    <t>Product Fulfillment Fee - Joint</t>
  </si>
  <si>
    <t>Post Audit Support Fee - Joint</t>
  </si>
  <si>
    <t>Affordable Housing New Construction</t>
  </si>
  <si>
    <t>IQ CC MF</t>
  </si>
  <si>
    <t>Unit Assessment MF</t>
  </si>
  <si>
    <t>Showerhead (DI) MF-IU Joint</t>
  </si>
  <si>
    <t>5.4.5.12</t>
  </si>
  <si>
    <t>Low Flow Aerator - Bath (DI) MF-IU Joint</t>
  </si>
  <si>
    <t>5.4.4.11</t>
  </si>
  <si>
    <t>Low Flow Aerator - Kitchen (DI) MF-IU Joint</t>
  </si>
  <si>
    <t>5.4.4.12</t>
  </si>
  <si>
    <t>Air Sealing - Sealing Tape - DI</t>
  </si>
  <si>
    <t>5.6.11</t>
  </si>
  <si>
    <t>C254</t>
  </si>
  <si>
    <t>Air Sealing MF</t>
  </si>
  <si>
    <t>5.6.1.9</t>
  </si>
  <si>
    <t>Attic Insulation IQ MF CC</t>
  </si>
  <si>
    <t>5.6.5.10</t>
  </si>
  <si>
    <t>Furnace Tune Up</t>
  </si>
  <si>
    <t>5.3.13.1</t>
  </si>
  <si>
    <t>5.3.13</t>
  </si>
  <si>
    <t>RS-HVC-FTUN-V03-180101</t>
  </si>
  <si>
    <t>Health &amp; Safety Services</t>
  </si>
  <si>
    <t>Programmable Thermostat (DI) MF-IU Joint</t>
  </si>
  <si>
    <t>5.3.11.9</t>
  </si>
  <si>
    <t>Advanced Thermostat (DI) - Blended MF Joint</t>
  </si>
  <si>
    <t>5.3.16.12</t>
  </si>
  <si>
    <t>Project Management Fee - CPOP</t>
  </si>
  <si>
    <t>Steam Trap, MF CPOP</t>
  </si>
  <si>
    <t>4.4.16.14</t>
  </si>
  <si>
    <t>Boiler Tune Up, 800 MBH</t>
  </si>
  <si>
    <t>4.4.2.6</t>
  </si>
  <si>
    <t>Pipe Insulation, Steam Small 1" to 2" - CPOP</t>
  </si>
  <si>
    <t>4.4.14.19</t>
  </si>
  <si>
    <t>Pipe Insulation, HW Small - CPOP</t>
  </si>
  <si>
    <t>4.4.14.29</t>
  </si>
  <si>
    <t>Pipe Insulation, DHW Medium 1.26-2" - CPOP</t>
  </si>
  <si>
    <t>4.4.14.33</t>
  </si>
  <si>
    <t>DHW Storage Tank Insulation - CPOP</t>
  </si>
  <si>
    <t>4.4.14.35</t>
  </si>
  <si>
    <t>C246</t>
  </si>
  <si>
    <t>Condensate Tank Insulation - CPOP</t>
  </si>
  <si>
    <t>4.4.14.36</t>
  </si>
  <si>
    <t>C247</t>
  </si>
  <si>
    <t>On-Demand DHW Controller - CPOP</t>
  </si>
  <si>
    <t>4.3.8.4</t>
  </si>
  <si>
    <t>C248</t>
  </si>
  <si>
    <t>Steam Boiler Averaging Controls - CPOP</t>
  </si>
  <si>
    <t>4.4.36.11</t>
  </si>
  <si>
    <t>4.4.36</t>
  </si>
  <si>
    <t>C249</t>
  </si>
  <si>
    <t>Drain Water Heat Recovery - MF</t>
  </si>
  <si>
    <t>5.4.11.2</t>
  </si>
  <si>
    <t>5.4.11</t>
  </si>
  <si>
    <t>RS-DHW-DWHR-V01-210101</t>
  </si>
  <si>
    <t>Thermostatic Radiator Valves</t>
  </si>
  <si>
    <t>5.3.19.1</t>
  </si>
  <si>
    <t>5.3.19</t>
  </si>
  <si>
    <t>RS-HVC-TRVS-V01-210101</t>
  </si>
  <si>
    <t>Low-E Storm Window - MF Joint</t>
  </si>
  <si>
    <t>5.6.7.4</t>
  </si>
  <si>
    <t>RS-SHL-LESW-V01-210103</t>
  </si>
  <si>
    <t>IQ CC SF</t>
  </si>
  <si>
    <t>Advanced Thermostat (DI) - Manual SF Joint</t>
  </si>
  <si>
    <t>5.3.16.18</t>
  </si>
  <si>
    <t>RS-HVC-ADTH-V03-190102</t>
  </si>
  <si>
    <t>Advanced Thermostat (DI) - Programmable SF Joint</t>
  </si>
  <si>
    <t>5.3.16.19</t>
  </si>
  <si>
    <t>RS-HVC-ADTH-V03-190103</t>
  </si>
  <si>
    <t>Air Sealing IQ CC SF</t>
  </si>
  <si>
    <t>5.6.1.7</t>
  </si>
  <si>
    <t>Attic Insulation IQ SF CC</t>
  </si>
  <si>
    <t>5.6.5.7</t>
  </si>
  <si>
    <t>Rim/Band Joist Insulation (R5 to R19) IQ SF CC</t>
  </si>
  <si>
    <t>5.6.6.11</t>
  </si>
  <si>
    <t>5.6.6</t>
  </si>
  <si>
    <t>RS-SHL-RINS-V01-190101</t>
  </si>
  <si>
    <t>Showerhead (DI) SF - IQ Joint</t>
  </si>
  <si>
    <t>5.4.5.15</t>
  </si>
  <si>
    <t>Wall Insulation SF CC</t>
  </si>
  <si>
    <t>5.6.4.4</t>
  </si>
  <si>
    <t>Low-E Storm Window - SF Joint</t>
  </si>
  <si>
    <t>5.6.7.3</t>
  </si>
  <si>
    <t>RS-SHL-LESW-V01-210102</t>
  </si>
  <si>
    <t>GHPWH ≥120% UEF IQ MT</t>
  </si>
  <si>
    <t>Kit 2</t>
  </si>
  <si>
    <t>5.4.4, 5.4.5,  5.4.9</t>
  </si>
  <si>
    <t>C5</t>
  </si>
  <si>
    <t>Kit 2 MF</t>
  </si>
  <si>
    <t>C175</t>
  </si>
  <si>
    <t>Kit 4</t>
  </si>
  <si>
    <t>C232</t>
  </si>
  <si>
    <t>TRM v10 Update:
Update in Tin temperature and ISR values</t>
  </si>
  <si>
    <t>Kit 5</t>
  </si>
  <si>
    <t>C233</t>
  </si>
  <si>
    <t>IQ HH MF</t>
  </si>
  <si>
    <t>Combination Boilers, &gt;95% AFUE &lt;300 MBH - SF</t>
  </si>
  <si>
    <t>5.3.17.1</t>
  </si>
  <si>
    <t>5.3.17</t>
  </si>
  <si>
    <t>RS-HVC-COMB-V01-190101</t>
  </si>
  <si>
    <t>TRM v10 Update:
Update in Tin temperature for heaters</t>
  </si>
  <si>
    <t>Handheld Showerhead (DI) MF Joint</t>
  </si>
  <si>
    <t>5.4.5.13</t>
  </si>
  <si>
    <t>WH - MF Storage 40 gal</t>
  </si>
  <si>
    <t>5.4.2.5</t>
  </si>
  <si>
    <t>Attic Insulation IQ MF Gas Only</t>
  </si>
  <si>
    <t>5.6.5.15</t>
  </si>
  <si>
    <t>Floor Insulation Above Crawlspace</t>
  </si>
  <si>
    <t>5.6.3.2</t>
  </si>
  <si>
    <t>5.6.3</t>
  </si>
  <si>
    <t>RS-SHL-FINS-V09-190101</t>
  </si>
  <si>
    <t>IQ HH SF</t>
  </si>
  <si>
    <t>TRM v10 Update:
Update in Tin temperature for water heating</t>
  </si>
  <si>
    <t>WH - SF Condensing 40 gal</t>
  </si>
  <si>
    <t>5.4.2.2</t>
  </si>
  <si>
    <t>Attic Insulation (R16 to R49) SF HH</t>
  </si>
  <si>
    <t>5.6.5.6</t>
  </si>
  <si>
    <t>Rim/Band Joist Insulation (R5 to R19) IQ SF HH</t>
  </si>
  <si>
    <t>5.6.6.12</t>
  </si>
  <si>
    <t>Wall Insulation SF Healthly Homes</t>
  </si>
  <si>
    <t>5.6.4.2</t>
  </si>
  <si>
    <t>IQ IHWAP MF</t>
  </si>
  <si>
    <t>Units Served</t>
  </si>
  <si>
    <t>Advanced Thermostat (DI) - Blended MF All Joint</t>
  </si>
  <si>
    <t>5.3.16.17</t>
  </si>
  <si>
    <t>Air Sealing IQ MF</t>
  </si>
  <si>
    <t>5.6.1.6</t>
  </si>
  <si>
    <t>Attic Insulation IQ MF CAA</t>
  </si>
  <si>
    <t>5.6.5.9</t>
  </si>
  <si>
    <t>Basement/Sidewall Insulation SF CAA</t>
  </si>
  <si>
    <t>5.6.2.3</t>
  </si>
  <si>
    <t>Low Flow Aerator - Bath (DI) MF-IU All Joint</t>
  </si>
  <si>
    <t>5.4.4.17</t>
  </si>
  <si>
    <t>Boilers, &gt;95% AFUE &lt;300 MBH - MF</t>
  </si>
  <si>
    <t>5.3.6.4</t>
  </si>
  <si>
    <t>Air Sealing - Sealing Tape - DI Joint</t>
  </si>
  <si>
    <t>5.6.1.11</t>
  </si>
  <si>
    <t>Furnace, &gt;95% AFUE - MF IU</t>
  </si>
  <si>
    <t>5.3.7.6</t>
  </si>
  <si>
    <t>Handheld Showerhead (DI) MF All Joint</t>
  </si>
  <si>
    <t>5.4.5.20</t>
  </si>
  <si>
    <t>HW Pipe Insulation (1 ft.) DI IU MF</t>
  </si>
  <si>
    <t>5.4.1.2</t>
  </si>
  <si>
    <t>Low Flow Aerator - Kitchen (DI) MF-IU All Joint</t>
  </si>
  <si>
    <t>5.4.4.18</t>
  </si>
  <si>
    <t>Programmable Thermostat (DI) MF-IU All Joint</t>
  </si>
  <si>
    <t>5.3.11.13</t>
  </si>
  <si>
    <t>Handheld Showerhead (DI) SF - IQ All Joint</t>
  </si>
  <si>
    <t>5.4.5.18</t>
  </si>
  <si>
    <t>MF Custom 2,500-7,500 therms</t>
  </si>
  <si>
    <t>Advanced Thermostat (DI) - Blended - MF</t>
  </si>
  <si>
    <t>5.3.16.9</t>
  </si>
  <si>
    <t>Basement/Sidewall Insulation SF CC</t>
  </si>
  <si>
    <t>5.6.2.4</t>
  </si>
  <si>
    <t>Low Flow Aerator - Bath (DI) MF-IU</t>
  </si>
  <si>
    <t>5.4.4.4</t>
  </si>
  <si>
    <t>5.6.1.10</t>
  </si>
  <si>
    <t>Handheld Showerhead (DI) MF</t>
  </si>
  <si>
    <t>5.4.5.5</t>
  </si>
  <si>
    <t>Low Flow Aerator - Kitchen (DI) MF-IU</t>
  </si>
  <si>
    <t>5.4.4.5</t>
  </si>
  <si>
    <t>Programmable Thermostat (DI) MF-IU</t>
  </si>
  <si>
    <t>5.3.11.4</t>
  </si>
  <si>
    <t>Showerhead (DI) MF-IU</t>
  </si>
  <si>
    <t>5.4.5.4</t>
  </si>
  <si>
    <t>IQ IHWAP SF</t>
  </si>
  <si>
    <t>Advanced Thermostat (DI) - Blended SF All Joint</t>
  </si>
  <si>
    <t>5.3.16.16</t>
  </si>
  <si>
    <t>Air Sealing IQ SF Blended</t>
  </si>
  <si>
    <t>5.6.1.5</t>
  </si>
  <si>
    <t>Attic Insulation IQ SF CAA</t>
  </si>
  <si>
    <t>5.6.5.8</t>
  </si>
  <si>
    <t>Bathroom Aerator SF (DI) All Joint</t>
  </si>
  <si>
    <t>5.4.4.15</t>
  </si>
  <si>
    <t>Duct Sealing SF Unconditioned Joint</t>
  </si>
  <si>
    <t>5.3.4.4</t>
  </si>
  <si>
    <t>5.6.3.1</t>
  </si>
  <si>
    <t>Kitchen Aerator SF (DI) All Joint</t>
  </si>
  <si>
    <t>5.4.4.16</t>
  </si>
  <si>
    <t>Programmable Thermostat (DI) All Joint</t>
  </si>
  <si>
    <t>5.3.11.12</t>
  </si>
  <si>
    <t>Rim/Band Joist Insulation (R5 to R13) SF</t>
  </si>
  <si>
    <t>5.6.6.1</t>
  </si>
  <si>
    <t>Showerhead (DI) SF - IQ All Joint</t>
  </si>
  <si>
    <t>5.4.5.17</t>
  </si>
  <si>
    <t>Wall Insulation SF CAA</t>
  </si>
  <si>
    <t>5.6.4.5</t>
  </si>
  <si>
    <t>Advanced Thermostat (DI) - Manual SF</t>
  </si>
  <si>
    <t>5.3.16.4</t>
  </si>
  <si>
    <t>Advanced Thermostat (DI) - Programmable SF</t>
  </si>
  <si>
    <t>5.3.16.5</t>
  </si>
  <si>
    <t>Bathroom Aerator SF (DI)</t>
  </si>
  <si>
    <t>5.4.4.1</t>
  </si>
  <si>
    <t>Handheld Showerhead (DI) SF</t>
  </si>
  <si>
    <t>5.4.5.2</t>
  </si>
  <si>
    <t>Kitchen Aerator SF (DI)</t>
  </si>
  <si>
    <t>5.4.4.2</t>
  </si>
  <si>
    <t>Programmable Thermostat (DI)</t>
  </si>
  <si>
    <t>5.3.11.1</t>
  </si>
  <si>
    <t>Rim/Band Joist Insulation (R5 to R19) SF</t>
  </si>
  <si>
    <t>5.6.6.6</t>
  </si>
  <si>
    <t>Showerhead (DI) SF</t>
  </si>
  <si>
    <t>5.4.5.1</t>
  </si>
  <si>
    <t>Inspections (Nicor+ComEd)</t>
  </si>
  <si>
    <t>Inspections (Nicor only)</t>
  </si>
  <si>
    <t>Assessments (IQ) - Joint</t>
  </si>
  <si>
    <t>Assessments (IQ)</t>
  </si>
  <si>
    <t>Building site visit (DI) (Nicor+ComEd)_Elevate</t>
  </si>
  <si>
    <t>Building site visit (DI) Nicor only_Elevate</t>
  </si>
  <si>
    <t>Unit site visit (DI) (Nicor+ComEd)_Elevate</t>
  </si>
  <si>
    <t>Unit site visit (DI) Nicor only_Elevate</t>
  </si>
  <si>
    <t>Re-Program Thermostat (DI) MF-IU Joint</t>
  </si>
  <si>
    <t>5.3.11.10</t>
  </si>
  <si>
    <t>Covers and Gap Sealers for Room Air Conditioners Joint, MF - Mid Rise, 5 Stories Joint</t>
  </si>
  <si>
    <t>4.4.38.2</t>
  </si>
  <si>
    <t>4.4.38</t>
  </si>
  <si>
    <t>CI-HVC-CRAC-V01-180102</t>
  </si>
  <si>
    <t>Basement/Sidewall Insulation SF Joint</t>
  </si>
  <si>
    <t>5.6.2.1</t>
  </si>
  <si>
    <t>Attic Insulation IQ MF PHA</t>
  </si>
  <si>
    <t>5.6.5.11</t>
  </si>
  <si>
    <t>Commericial Weather Stripping DI</t>
  </si>
  <si>
    <t xml:space="preserve"> 4.8.16.2</t>
  </si>
  <si>
    <t>C202</t>
  </si>
  <si>
    <t>Low-E Storm Window - MF</t>
  </si>
  <si>
    <t>5.6.7.2</t>
  </si>
  <si>
    <t>MF Comp</t>
  </si>
  <si>
    <t>MF Custom &gt;7500 therms</t>
  </si>
  <si>
    <t xml:space="preserve">Attic Insulation MF </t>
  </si>
  <si>
    <t>5.6.5.17</t>
  </si>
  <si>
    <t>MF CPOP</t>
  </si>
  <si>
    <t>MF DI</t>
  </si>
  <si>
    <t>Building Assessment MF</t>
  </si>
  <si>
    <t>Building Assessment MF - joint</t>
  </si>
  <si>
    <t>Unit Assessment MF - Joint</t>
  </si>
  <si>
    <t>Common Area Visit Fee MF</t>
  </si>
  <si>
    <t>Showerhead (DI) MF-CA Joint</t>
  </si>
  <si>
    <t>5.4.5.11</t>
  </si>
  <si>
    <t>Shower Timer, MF</t>
  </si>
  <si>
    <t>5.4.9.2</t>
  </si>
  <si>
    <t>5.4.9</t>
  </si>
  <si>
    <t>RS-DHW-SHTM-V02-190101</t>
  </si>
  <si>
    <t>MF EQP</t>
  </si>
  <si>
    <t>Small Commercial Thermostats</t>
  </si>
  <si>
    <t>4.4.48.1</t>
  </si>
  <si>
    <t>4.4.48</t>
  </si>
  <si>
    <t>CI-HVC-THST-V01-200101</t>
  </si>
  <si>
    <t>Errata, Heating EFLH Buidling Type table update
TRM v10 Update: Update in algorithm to include unkown BAF</t>
  </si>
  <si>
    <t>Modulating Commercial Gas Clothes Dryer - Coin Operaed Laundromat</t>
  </si>
  <si>
    <t>Outreach EEE</t>
  </si>
  <si>
    <t>EEE Kit</t>
  </si>
  <si>
    <t>5.4.4, 5.4.5, 5.4.6, 5.4.9</t>
  </si>
  <si>
    <t>C27</t>
  </si>
  <si>
    <t>EEE Kit - Gas Only</t>
  </si>
  <si>
    <t>C152</t>
  </si>
  <si>
    <t>Outreach ESK</t>
  </si>
  <si>
    <t>Kit 1</t>
  </si>
  <si>
    <t>C4</t>
  </si>
  <si>
    <t>2022 NTG Update 1.00 to 1.10
TRM v10 update: Update to EPG_gas</t>
  </si>
  <si>
    <t>Kit 1 MF</t>
  </si>
  <si>
    <t>C174</t>
  </si>
  <si>
    <t>Kit 3</t>
  </si>
  <si>
    <t>C6</t>
  </si>
  <si>
    <t>Kit 3 MF</t>
  </si>
  <si>
    <t>C188</t>
  </si>
  <si>
    <t xml:space="preserve">2022 NTG Update 0.84 to 0.91
Update in Tin temperature and ISR values
</t>
  </si>
  <si>
    <t>Outreach HER</t>
  </si>
  <si>
    <t>Home Reports</t>
  </si>
  <si>
    <t>RNC - Base Measure Package</t>
  </si>
  <si>
    <t>5.3.4, 5.6.1, 5.4.2</t>
  </si>
  <si>
    <t>Bundle</t>
  </si>
  <si>
    <t>C256</t>
  </si>
  <si>
    <t>RNC - HE Measure Package</t>
  </si>
  <si>
    <t>5.3.4, 5.6.1, 5.4.2,5.3.7</t>
  </si>
  <si>
    <t>C257</t>
  </si>
  <si>
    <t>RNC - Prescriptive Measure Package</t>
  </si>
  <si>
    <t>5.3.16, 5.4.2,5.3.7</t>
  </si>
  <si>
    <t>C258</t>
  </si>
  <si>
    <t>Advanced Thermostat (TOS) - Programmable SF</t>
  </si>
  <si>
    <t>5.3.16.2</t>
  </si>
  <si>
    <t>RNC Verifier Fee</t>
  </si>
  <si>
    <t>SB Private</t>
  </si>
  <si>
    <t>Bonus Incentives - SB</t>
  </si>
  <si>
    <t>2022 NTG Update 0.83 to 0.96</t>
  </si>
  <si>
    <t>2022 NTG Update 0.83 to 0.96
Errata, Heating EFLH Buidling Type table update</t>
  </si>
  <si>
    <t>2022 NTG Update 0.83 to 0.96
TRM v10 Update:
Update in Tin temperature</t>
  </si>
  <si>
    <t>2022 NTG Update 0.91 to 0.98</t>
  </si>
  <si>
    <t>SB Assessment</t>
  </si>
  <si>
    <t>2022 NTG Update 0.92 to 0.96</t>
  </si>
  <si>
    <t>2022 NTG Update 0.83 to 0.96
TRM v10 Update:
Update to EPG_gas</t>
  </si>
  <si>
    <t>DHW WH Pipe Wrap - 6' - DI</t>
  </si>
  <si>
    <t>or</t>
  </si>
  <si>
    <t>C99</t>
  </si>
  <si>
    <t>Custom 2,500-7,500 therms</t>
  </si>
  <si>
    <t>2022 NTG Update 0.93 to 0.96</t>
  </si>
  <si>
    <t>SB Public</t>
  </si>
  <si>
    <t>Salon Sprayer</t>
  </si>
  <si>
    <t>Customized TRM 4.2.11</t>
  </si>
  <si>
    <t>C151</t>
  </si>
  <si>
    <t>2022 NTG Update 0.92 to 0.96
TRM v10 Update:
Update to EPG_gas</t>
  </si>
  <si>
    <t>SEM Private</t>
  </si>
  <si>
    <t>SEM Alumni</t>
  </si>
  <si>
    <t>Participant</t>
  </si>
  <si>
    <t>2022 NTG Update 1.0 to 0.97</t>
  </si>
  <si>
    <t>SEM Industrial/Mfg</t>
  </si>
  <si>
    <t xml:space="preserve">SEM Commercial </t>
  </si>
  <si>
    <t>SEM Vertical Supply Chain</t>
  </si>
  <si>
    <t>SEM Public</t>
  </si>
  <si>
    <t>SEM K-12</t>
  </si>
  <si>
    <t>SEM Public Organizations</t>
  </si>
  <si>
    <t>WAML (Plan) ==&gt;</t>
  </si>
  <si>
    <t>WAML (Adjusted) ==&gt;</t>
  </si>
  <si>
    <t>Measure Level Adjustment Tab</t>
  </si>
  <si>
    <t>Annual Savings</t>
  </si>
  <si>
    <t>Lifetime Savings</t>
  </si>
  <si>
    <t>Savings Algorithm Inputs - Proposed TRM V5</t>
  </si>
  <si>
    <t>#</t>
  </si>
  <si>
    <t>Short Measure Name</t>
  </si>
  <si>
    <t>Measure Component</t>
  </si>
  <si>
    <t>Program Type</t>
  </si>
  <si>
    <t>Measure Life (Yrs)</t>
  </si>
  <si>
    <t>Incremental Cost</t>
  </si>
  <si>
    <t>Loadshape</t>
  </si>
  <si>
    <t>Pan Size</t>
  </si>
  <si>
    <t>Rebate Type</t>
  </si>
  <si>
    <t>ΔkWh</t>
  </si>
  <si>
    <t xml:space="preserve">ΔkW </t>
  </si>
  <si>
    <t>ΔTherms</t>
  </si>
  <si>
    <r>
      <t>∆</t>
    </r>
    <r>
      <rPr>
        <sz val="11"/>
        <rFont val="Calibri"/>
        <family val="2"/>
        <scheme val="minor"/>
      </rPr>
      <t>CookingEnergy</t>
    </r>
    <r>
      <rPr>
        <vertAlign val="subscript"/>
        <sz val="11"/>
        <rFont val="Calibri"/>
        <family val="2"/>
        <scheme val="minor"/>
      </rPr>
      <t>ConvGas</t>
    </r>
  </si>
  <si>
    <r>
      <rPr>
        <sz val="11"/>
        <rFont val="Symbol"/>
        <family val="1"/>
        <charset val="2"/>
      </rPr>
      <t>D</t>
    </r>
    <r>
      <rPr>
        <sz val="11"/>
        <rFont val="Calibri"/>
        <family val="2"/>
        <scheme val="minor"/>
      </rPr>
      <t>CookingEnergy</t>
    </r>
    <r>
      <rPr>
        <vertAlign val="subscript"/>
        <sz val="11"/>
        <rFont val="Calibri"/>
        <family val="2"/>
        <scheme val="minor"/>
      </rPr>
      <t>SteamGas</t>
    </r>
  </si>
  <si>
    <r>
      <rPr>
        <sz val="11"/>
        <rFont val="Symbol"/>
        <family val="1"/>
        <charset val="2"/>
      </rPr>
      <t>D</t>
    </r>
    <r>
      <rPr>
        <sz val="11"/>
        <rFont val="Calibri"/>
        <family val="2"/>
        <scheme val="minor"/>
      </rPr>
      <t>IdleEnergy</t>
    </r>
    <r>
      <rPr>
        <vertAlign val="subscript"/>
        <sz val="11"/>
        <rFont val="Calibri"/>
        <family val="2"/>
        <scheme val="minor"/>
      </rPr>
      <t>ConvGas</t>
    </r>
  </si>
  <si>
    <r>
      <rPr>
        <sz val="11"/>
        <rFont val="Symbol"/>
        <family val="1"/>
        <charset val="2"/>
      </rPr>
      <t>D</t>
    </r>
    <r>
      <rPr>
        <sz val="11"/>
        <rFont val="Calibri"/>
        <family val="2"/>
        <scheme val="minor"/>
      </rPr>
      <t>IdleEnergy</t>
    </r>
    <r>
      <rPr>
        <vertAlign val="subscript"/>
        <sz val="11"/>
        <rFont val="Calibri"/>
        <family val="2"/>
        <scheme val="minor"/>
      </rPr>
      <t>SteamGas</t>
    </r>
  </si>
  <si>
    <r>
      <t>LB</t>
    </r>
    <r>
      <rPr>
        <vertAlign val="subscript"/>
        <sz val="11"/>
        <rFont val="Calibri"/>
        <family val="2"/>
        <scheme val="minor"/>
      </rPr>
      <t>Gas</t>
    </r>
  </si>
  <si>
    <r>
      <rPr>
        <u/>
        <sz val="11"/>
        <rFont val="Calibri"/>
        <family val="2"/>
        <scheme val="minor"/>
      </rPr>
      <t>EFOOD</t>
    </r>
    <r>
      <rPr>
        <u/>
        <vertAlign val="subscript"/>
        <sz val="11"/>
        <rFont val="Calibri"/>
        <family val="2"/>
        <scheme val="minor"/>
      </rPr>
      <t>ConvGas</t>
    </r>
    <r>
      <rPr>
        <strike/>
        <u/>
        <sz val="10"/>
        <color rgb="FFFF0000"/>
        <rFont val="Calibri"/>
        <family val="2"/>
        <scheme val="minor"/>
      </rPr>
      <t/>
    </r>
  </si>
  <si>
    <t>GasEFFconvbase</t>
  </si>
  <si>
    <t>GasEFFconvEE</t>
  </si>
  <si>
    <t>GasEFFsteambase</t>
  </si>
  <si>
    <t>GasEFFsteamEE</t>
  </si>
  <si>
    <r>
      <t>EFOOD</t>
    </r>
    <r>
      <rPr>
        <vertAlign val="subscript"/>
        <sz val="11"/>
        <rFont val="Calibri"/>
        <family val="2"/>
        <scheme val="minor"/>
      </rPr>
      <t>SteamGas</t>
    </r>
    <r>
      <rPr>
        <sz val="11"/>
        <rFont val="Calibri"/>
        <family val="2"/>
        <scheme val="minor"/>
      </rPr>
      <t xml:space="preserve"> </t>
    </r>
  </si>
  <si>
    <r>
      <t>GasIDLE</t>
    </r>
    <r>
      <rPr>
        <vertAlign val="subscript"/>
        <sz val="12"/>
        <rFont val="Calibri"/>
        <family val="2"/>
        <scheme val="minor"/>
      </rPr>
      <t>ConvEE</t>
    </r>
  </si>
  <si>
    <t xml:space="preserve">100,000 </t>
  </si>
  <si>
    <r>
      <t>%</t>
    </r>
    <r>
      <rPr>
        <vertAlign val="subscript"/>
        <sz val="11"/>
        <rFont val="Calibri"/>
        <family val="2"/>
        <scheme val="minor"/>
      </rPr>
      <t>Conv</t>
    </r>
    <r>
      <rPr>
        <sz val="11"/>
        <rFont val="Calibri"/>
        <family val="2"/>
        <scheme val="minor"/>
      </rPr>
      <t xml:space="preserve"> </t>
    </r>
  </si>
  <si>
    <r>
      <t>%</t>
    </r>
    <r>
      <rPr>
        <vertAlign val="subscript"/>
        <sz val="11"/>
        <rFont val="Calibri"/>
        <family val="2"/>
        <scheme val="minor"/>
      </rPr>
      <t>steam</t>
    </r>
    <r>
      <rPr>
        <sz val="11"/>
        <rFont val="Calibri"/>
        <family val="2"/>
        <scheme val="minor"/>
      </rPr>
      <t xml:space="preserve"> </t>
    </r>
  </si>
  <si>
    <t>HOURS</t>
  </si>
  <si>
    <t>Days</t>
  </si>
  <si>
    <r>
      <t>GasPCconv</t>
    </r>
    <r>
      <rPr>
        <vertAlign val="subscript"/>
        <sz val="11"/>
        <rFont val="Calibri"/>
        <family val="2"/>
        <scheme val="minor"/>
      </rPr>
      <t>Base</t>
    </r>
    <r>
      <rPr>
        <sz val="11"/>
        <rFont val="Calibri"/>
        <family val="2"/>
        <scheme val="minor"/>
      </rPr>
      <t xml:space="preserve"> </t>
    </r>
  </si>
  <si>
    <r>
      <t>GasPCsteam</t>
    </r>
    <r>
      <rPr>
        <vertAlign val="subscript"/>
        <sz val="11"/>
        <rFont val="Calibri"/>
        <family val="2"/>
        <scheme val="minor"/>
      </rPr>
      <t>Base</t>
    </r>
    <r>
      <rPr>
        <sz val="11"/>
        <rFont val="Calibri"/>
        <family val="2"/>
        <scheme val="minor"/>
      </rPr>
      <t xml:space="preserve"> </t>
    </r>
  </si>
  <si>
    <r>
      <t>GasIDLEconv</t>
    </r>
    <r>
      <rPr>
        <vertAlign val="subscript"/>
        <sz val="11"/>
        <rFont val="Calibri"/>
        <family val="2"/>
        <scheme val="minor"/>
      </rPr>
      <t>Base</t>
    </r>
    <r>
      <rPr>
        <sz val="11"/>
        <rFont val="Calibri"/>
        <family val="2"/>
        <scheme val="minor"/>
      </rPr>
      <t xml:space="preserve"> </t>
    </r>
  </si>
  <si>
    <r>
      <t>GasIDLEsteam</t>
    </r>
    <r>
      <rPr>
        <vertAlign val="subscript"/>
        <sz val="11"/>
        <rFont val="Calibri"/>
        <family val="2"/>
        <scheme val="minor"/>
      </rPr>
      <t>Base</t>
    </r>
    <r>
      <rPr>
        <sz val="11"/>
        <rFont val="Calibri"/>
        <family val="2"/>
        <scheme val="minor"/>
      </rPr>
      <t xml:space="preserve"> </t>
    </r>
  </si>
  <si>
    <r>
      <t>GasPCconv</t>
    </r>
    <r>
      <rPr>
        <vertAlign val="subscript"/>
        <sz val="11"/>
        <rFont val="Calibri"/>
        <family val="2"/>
        <scheme val="minor"/>
      </rPr>
      <t>EE</t>
    </r>
    <r>
      <rPr>
        <sz val="11"/>
        <rFont val="Calibri"/>
        <family val="2"/>
        <scheme val="minor"/>
      </rPr>
      <t xml:space="preserve"> </t>
    </r>
  </si>
  <si>
    <r>
      <t>GasPCsteam</t>
    </r>
    <r>
      <rPr>
        <vertAlign val="subscript"/>
        <sz val="11"/>
        <rFont val="Calibri"/>
        <family val="2"/>
        <scheme val="minor"/>
      </rPr>
      <t>EE</t>
    </r>
    <r>
      <rPr>
        <sz val="11"/>
        <rFont val="Calibri"/>
        <family val="2"/>
        <scheme val="minor"/>
      </rPr>
      <t xml:space="preserve"> </t>
    </r>
  </si>
  <si>
    <t>Combination Oven</t>
  </si>
  <si>
    <t>Food service</t>
  </si>
  <si>
    <t>TOS</t>
  </si>
  <si>
    <t>4.2.1.11</t>
  </si>
  <si>
    <t>Combination Oven  (16 pans) Upstream</t>
  </si>
  <si>
    <t>Upstream</t>
  </si>
  <si>
    <t>Proposed TRM Algorithm for TRM V5</t>
  </si>
  <si>
    <r>
      <t xml:space="preserve">∆Therms  = (∆CookingEnergyConvGas + ∆CookingEnergySteamGas + </t>
    </r>
    <r>
      <rPr>
        <b/>
        <sz val="11"/>
        <color theme="1"/>
        <rFont val="Calibri"/>
        <family val="2"/>
        <scheme val="minor"/>
      </rPr>
      <t>∆</t>
    </r>
    <r>
      <rPr>
        <sz val="11"/>
        <color theme="1"/>
        <rFont val="Calibri"/>
        <family val="2"/>
        <scheme val="minor"/>
      </rPr>
      <t>IdleEnergyConvGas + ∆IdleEnergySteamGas) * Days / 100,000</t>
    </r>
  </si>
  <si>
    <t>Date</t>
  </si>
  <si>
    <t>Measure Code</t>
  </si>
  <si>
    <t>TRM Algorithm Inputs</t>
  </si>
  <si>
    <t>Input Value</t>
  </si>
  <si>
    <t>Notes</t>
  </si>
  <si>
    <t>Measure Life</t>
  </si>
  <si>
    <t>Deemed TRM Value</t>
  </si>
  <si>
    <t>Calculated Algorithm from TRM</t>
  </si>
  <si>
    <t>Change in total daily cooking energy consumed by gas oven in convection mode</t>
  </si>
  <si>
    <t>Formula: LBGas * (EFOODConvGas / GasEFFConvBase - EFOODConvGas / GasEFFConvEE) * %Conv</t>
  </si>
  <si>
    <t>Change in total daily cooking energy consumed by gas oven in steam mode</t>
  </si>
  <si>
    <t>Formula: LBGas * (EFOODSteamGas / GasEFFSteamBase – EFOODSteamGas / GasEFFSteamEE) * %steam</t>
  </si>
  <si>
    <t>Change in total daily idle energy consumed by gas oven in convection mode</t>
  </si>
  <si>
    <t>Formula: [(GasIDLEConvBase * ((HOURS – LBGas/GasPCConvBase) * %Conv)) - (GasIDLEConvEE * ((HOURS - LBGas/GasPCConvEE) * %Conv))]</t>
  </si>
  <si>
    <t>Formula: [(GasIDLESteamBase * ((HOURS – LBGas/GasPCSteamBase) * %Steam)) - (GasIDLESteamEE * ((HOURS - LBGas/GasPCSteamEE) * %Steam))]</t>
  </si>
  <si>
    <t>Table of lookup values from TRM based on pan size</t>
  </si>
  <si>
    <t>Estimated mass of food cooked per day for gas oven (lbs/day)</t>
  </si>
  <si>
    <t>Custom, or if unknown, use 200 lbs (If P &lt;15), 250 lbs (If 15 &lt;= P 30), or 400 lbs (If P = &gt;30)</t>
  </si>
  <si>
    <r>
      <rPr>
        <sz val="11"/>
        <rFont val="Calibri"/>
        <family val="2"/>
        <scheme val="minor"/>
      </rPr>
      <t>EFOOD</t>
    </r>
    <r>
      <rPr>
        <vertAlign val="subscript"/>
        <sz val="11"/>
        <rFont val="Calibri"/>
        <family val="2"/>
        <scheme val="minor"/>
      </rPr>
      <t>ConvGas</t>
    </r>
    <r>
      <rPr>
        <strike/>
        <u/>
        <sz val="10"/>
        <color rgb="FFFF0000"/>
        <rFont val="Calibri"/>
        <family val="2"/>
        <scheme val="minor"/>
      </rPr>
      <t/>
    </r>
  </si>
  <si>
    <t>energy absorbed by food product for Natural gas Oven in : cooking by convection mode</t>
  </si>
  <si>
    <t>Custom, or if unknown, use =  250 Btu/lb8</t>
  </si>
  <si>
    <t>GasEFF</t>
  </si>
  <si>
    <t>Table of lookup values from TRM</t>
  </si>
  <si>
    <t>cooking energy efficiency of gas oven</t>
  </si>
  <si>
    <t>Custom or if unknown, use values from table below</t>
  </si>
  <si>
    <t>energy absorbed by food product for gas oven in steam mode</t>
  </si>
  <si>
    <t>Custom or if unknown, use 105 Btu/lb</t>
  </si>
  <si>
    <r>
      <t>GasIDLE</t>
    </r>
    <r>
      <rPr>
        <vertAlign val="subscript"/>
        <sz val="11"/>
        <rFont val="Calibri"/>
        <family val="2"/>
        <scheme val="minor"/>
      </rPr>
      <t>Base</t>
    </r>
    <r>
      <rPr>
        <sz val="11"/>
        <rFont val="Calibri"/>
        <family val="2"/>
        <scheme val="minor"/>
      </rPr>
      <t xml:space="preserve"> </t>
    </r>
  </si>
  <si>
    <t xml:space="preserve">Idle energy rate (Btu/hr) of baseline gas oven </t>
  </si>
  <si>
    <t>Custom or if unknown, use values from table belowEIdleBaseNG = idle energy rate of natural gas baseline unit</t>
  </si>
  <si>
    <t>idle energy rate of energy STAR gas oven in convection mode</t>
  </si>
  <si>
    <t>Formula '= 150*P + 5,425</t>
  </si>
  <si>
    <r>
      <t>GasPC</t>
    </r>
    <r>
      <rPr>
        <vertAlign val="subscript"/>
        <sz val="12"/>
        <rFont val="Calibri"/>
        <family val="2"/>
        <scheme val="minor"/>
      </rPr>
      <t>EE</t>
    </r>
  </si>
  <si>
    <t xml:space="preserve">Production capacity (lbs/hr) of ENERGY STAR gas oven </t>
  </si>
  <si>
    <t xml:space="preserve"> Custom of if unknown, use values from table below; which is a table from TRM V5</t>
  </si>
  <si>
    <r>
      <t>GasPC</t>
    </r>
    <r>
      <rPr>
        <vertAlign val="subscript"/>
        <sz val="12"/>
        <rFont val="Calibri"/>
        <family val="2"/>
        <scheme val="minor"/>
      </rPr>
      <t>Base</t>
    </r>
  </si>
  <si>
    <t xml:space="preserve">Production capacity (lbs/hr) of baseline gas oven </t>
  </si>
  <si>
    <t>Custom of if unknown, use values from table below</t>
  </si>
  <si>
    <r>
      <t>GasIDLE</t>
    </r>
    <r>
      <rPr>
        <vertAlign val="subscript"/>
        <sz val="11"/>
        <rFont val="Calibri"/>
        <family val="2"/>
        <scheme val="minor"/>
      </rPr>
      <t>SteamEE</t>
    </r>
  </si>
  <si>
    <t>idle energy rate of energy STAR gas oven in steam modeEIdleSteamEENG = idle energy rate of natural gas efficient unit in steam mode</t>
  </si>
  <si>
    <t>Formula: = 200* P +6511</t>
  </si>
  <si>
    <t>Conversion factor from Btu to therms</t>
  </si>
  <si>
    <t>Percentage of time in convection mode</t>
  </si>
  <si>
    <t>Custom , or if unknown, use  = 50%; 50% is a value from TRM V5</t>
  </si>
  <si>
    <t>TRM Algorithm = 1-%conv</t>
  </si>
  <si>
    <t>Percentage of time in steam mode</t>
  </si>
  <si>
    <t>Formula from TRM V5: = 1 - %conv</t>
  </si>
  <si>
    <t>Average daily hours of operation</t>
  </si>
  <si>
    <t>Custom , or if unknown, use  = 12 hours</t>
  </si>
  <si>
    <t>Days of operation per year</t>
  </si>
  <si>
    <t>Custom, or if unknown, use 365 days per year as defined in TRM V5</t>
  </si>
  <si>
    <t>Tables for Algorithm Inputs</t>
  </si>
  <si>
    <t>Table for Variable GasEFF</t>
  </si>
  <si>
    <t>Number of Pans for Permutation</t>
  </si>
  <si>
    <t>GasIDLESteamEE</t>
  </si>
  <si>
    <t>Result for Algorithm</t>
  </si>
  <si>
    <r>
      <t>Table for Variable GasPC</t>
    </r>
    <r>
      <rPr>
        <vertAlign val="subscript"/>
        <sz val="12"/>
        <color theme="0"/>
        <rFont val="Calibri"/>
        <family val="2"/>
        <scheme val="minor"/>
      </rPr>
      <t>Base</t>
    </r>
  </si>
  <si>
    <t>Base</t>
  </si>
  <si>
    <t>EE</t>
  </si>
  <si>
    <t>=200*P+6511</t>
  </si>
  <si>
    <t>Pan Capacity</t>
  </si>
  <si>
    <r>
      <t>Convection Mode (GasPC</t>
    </r>
    <r>
      <rPr>
        <b/>
        <vertAlign val="subscript"/>
        <sz val="10"/>
        <color theme="0"/>
        <rFont val="Calibri"/>
        <family val="2"/>
      </rPr>
      <t>ConvBase</t>
    </r>
    <r>
      <rPr>
        <b/>
        <sz val="10"/>
        <color theme="0"/>
        <rFont val="Calibri"/>
        <family val="2"/>
      </rPr>
      <t>)</t>
    </r>
  </si>
  <si>
    <r>
      <t>Steam M</t>
    </r>
    <r>
      <rPr>
        <b/>
        <strike/>
        <sz val="10"/>
        <color theme="0"/>
        <rFont val="Calibri"/>
        <family val="2"/>
      </rPr>
      <t>o</t>
    </r>
    <r>
      <rPr>
        <b/>
        <sz val="10"/>
        <color theme="0"/>
        <rFont val="Calibri"/>
        <family val="2"/>
      </rPr>
      <t>de (GasPC</t>
    </r>
    <r>
      <rPr>
        <b/>
        <vertAlign val="subscript"/>
        <sz val="10"/>
        <color theme="0"/>
        <rFont val="Calibri"/>
        <family val="2"/>
      </rPr>
      <t>SteamBase</t>
    </r>
    <r>
      <rPr>
        <b/>
        <strike/>
        <sz val="10"/>
        <color theme="0"/>
        <rFont val="Calibri"/>
        <family val="2"/>
      </rPr>
      <t>)</t>
    </r>
  </si>
  <si>
    <r>
      <t>GasEFF</t>
    </r>
    <r>
      <rPr>
        <vertAlign val="subscript"/>
        <sz val="10"/>
        <rFont val="Calibri"/>
        <family val="2"/>
      </rPr>
      <t>Conv</t>
    </r>
    <r>
      <rPr>
        <strike/>
        <u/>
        <sz val="10"/>
        <color rgb="FFFF0000"/>
        <rFont val="Calibri"/>
        <family val="2"/>
      </rPr>
      <t/>
    </r>
  </si>
  <si>
    <t>&lt; 15</t>
  </si>
  <si>
    <r>
      <t>GasEFF</t>
    </r>
    <r>
      <rPr>
        <vertAlign val="subscript"/>
        <sz val="10"/>
        <rFont val="Calibri"/>
        <family val="2"/>
      </rPr>
      <t>Steam</t>
    </r>
    <r>
      <rPr>
        <strike/>
        <u/>
        <sz val="10"/>
        <color rgb="FFFF0000"/>
        <rFont val="Calibri"/>
        <family val="2"/>
      </rPr>
      <t/>
    </r>
  </si>
  <si>
    <t>15-30</t>
  </si>
  <si>
    <t>&gt;30</t>
  </si>
  <si>
    <t>Table for Variable Lbs</t>
  </si>
  <si>
    <t>GasIDLEConvEE</t>
  </si>
  <si>
    <t>&lt;15</t>
  </si>
  <si>
    <t>=150*P+5425</t>
  </si>
  <si>
    <r>
      <t>Table for Variable GasIDLE</t>
    </r>
    <r>
      <rPr>
        <vertAlign val="subscript"/>
        <sz val="12"/>
        <color theme="0"/>
        <rFont val="Calibri"/>
        <family val="2"/>
        <scheme val="minor"/>
      </rPr>
      <t>Base</t>
    </r>
  </si>
  <si>
    <r>
      <t>Convection Mode (</t>
    </r>
    <r>
      <rPr>
        <b/>
        <sz val="10"/>
        <color theme="0"/>
        <rFont val="Times New Roman"/>
        <family val="1"/>
      </rPr>
      <t>Gas</t>
    </r>
    <r>
      <rPr>
        <b/>
        <sz val="10"/>
        <color theme="0"/>
        <rFont val="Calibri"/>
        <family val="2"/>
      </rPr>
      <t>IDLE</t>
    </r>
    <r>
      <rPr>
        <b/>
        <vertAlign val="subscript"/>
        <sz val="10"/>
        <color theme="0"/>
        <rFont val="Calibri"/>
        <family val="2"/>
      </rPr>
      <t>ConvBase</t>
    </r>
    <r>
      <rPr>
        <b/>
        <strike/>
        <sz val="10"/>
        <color theme="0"/>
        <rFont val="Calibri"/>
        <family val="2"/>
      </rPr>
      <t>)</t>
    </r>
  </si>
  <si>
    <r>
      <t>Steam Mode (GasIDLE</t>
    </r>
    <r>
      <rPr>
        <b/>
        <vertAlign val="subscript"/>
        <sz val="10"/>
        <color theme="0"/>
        <rFont val="Calibri"/>
        <family val="2"/>
      </rPr>
      <t>SteamBase</t>
    </r>
    <r>
      <rPr>
        <b/>
        <strike/>
        <sz val="10"/>
        <color theme="0"/>
        <rFont val="Calibri"/>
        <family val="2"/>
      </rPr>
      <t>)</t>
    </r>
  </si>
  <si>
    <t>&gt; 30</t>
  </si>
  <si>
    <r>
      <t>Table for Variable GasPC</t>
    </r>
    <r>
      <rPr>
        <vertAlign val="subscript"/>
        <sz val="11"/>
        <color theme="0"/>
        <rFont val="Calibri"/>
        <family val="2"/>
        <scheme val="minor"/>
      </rPr>
      <t>EE</t>
    </r>
  </si>
  <si>
    <r>
      <t>Convection Mode (GasPC</t>
    </r>
    <r>
      <rPr>
        <b/>
        <vertAlign val="subscript"/>
        <sz val="10"/>
        <color theme="0"/>
        <rFont val="Calibri"/>
        <family val="2"/>
      </rPr>
      <t>ConvEE</t>
    </r>
    <r>
      <rPr>
        <b/>
        <strike/>
        <sz val="10"/>
        <color theme="0"/>
        <rFont val="Times New Roman"/>
        <family val="1"/>
      </rPr>
      <t>)</t>
    </r>
  </si>
  <si>
    <r>
      <t>Steam Mode (GasPC</t>
    </r>
    <r>
      <rPr>
        <b/>
        <vertAlign val="subscript"/>
        <sz val="10"/>
        <color theme="0"/>
        <rFont val="Calibri"/>
        <family val="2"/>
      </rPr>
      <t>SteamEE</t>
    </r>
    <r>
      <rPr>
        <b/>
        <strike/>
        <sz val="10"/>
        <color theme="0"/>
        <rFont val="Times New Roman"/>
        <family val="1"/>
      </rPr>
      <t>)</t>
    </r>
  </si>
  <si>
    <t>Commercial Steam Cooker</t>
  </si>
  <si>
    <t>Algorithm Inputs</t>
  </si>
  <si>
    <t>EE Measure Description</t>
  </si>
  <si>
    <t>No. of Pans</t>
  </si>
  <si>
    <t>Type of Food Service</t>
  </si>
  <si>
    <t>CEE Tier</t>
  </si>
  <si>
    <t>Rebate type</t>
  </si>
  <si>
    <t>Δwater (gals)</t>
  </si>
  <si>
    <r>
      <t>CSM</t>
    </r>
    <r>
      <rPr>
        <b/>
        <vertAlign val="subscript"/>
        <sz val="10"/>
        <color theme="1"/>
        <rFont val="Calibri"/>
        <family val="2"/>
        <scheme val="minor"/>
      </rPr>
      <t xml:space="preserve">%Baseline </t>
    </r>
  </si>
  <si>
    <r>
      <t>IDLE</t>
    </r>
    <r>
      <rPr>
        <b/>
        <vertAlign val="subscript"/>
        <sz val="10"/>
        <color theme="1"/>
        <rFont val="Calibri"/>
        <family val="2"/>
        <scheme val="minor"/>
      </rPr>
      <t>Base</t>
    </r>
    <r>
      <rPr>
        <b/>
        <sz val="10"/>
        <color theme="1"/>
        <rFont val="Calibri"/>
        <family val="2"/>
        <scheme val="minor"/>
      </rPr>
      <t xml:space="preserve"> </t>
    </r>
  </si>
  <si>
    <r>
      <t>PC</t>
    </r>
    <r>
      <rPr>
        <b/>
        <vertAlign val="subscript"/>
        <sz val="10"/>
        <color theme="1"/>
        <rFont val="Calibri"/>
        <family val="2"/>
        <scheme val="minor"/>
      </rPr>
      <t>Base</t>
    </r>
  </si>
  <si>
    <r>
      <t>E</t>
    </r>
    <r>
      <rPr>
        <b/>
        <vertAlign val="subscript"/>
        <sz val="10"/>
        <color theme="1"/>
        <rFont val="Calibri"/>
        <family val="2"/>
        <scheme val="minor"/>
      </rPr>
      <t>FOOD</t>
    </r>
  </si>
  <si>
    <r>
      <t>EFF</t>
    </r>
    <r>
      <rPr>
        <b/>
        <vertAlign val="subscript"/>
        <sz val="10"/>
        <color theme="1"/>
        <rFont val="Calibri"/>
        <family val="2"/>
        <scheme val="minor"/>
      </rPr>
      <t>BASE</t>
    </r>
  </si>
  <si>
    <r>
      <t>HOURS</t>
    </r>
    <r>
      <rPr>
        <b/>
        <vertAlign val="subscript"/>
        <sz val="10"/>
        <color theme="1"/>
        <rFont val="Calibri"/>
        <family val="2"/>
        <scheme val="minor"/>
      </rPr>
      <t xml:space="preserve">day </t>
    </r>
  </si>
  <si>
    <t>F</t>
  </si>
  <si>
    <r>
      <t>CSM</t>
    </r>
    <r>
      <rPr>
        <b/>
        <vertAlign val="subscript"/>
        <sz val="10"/>
        <color theme="1"/>
        <rFont val="Calibri"/>
        <family val="2"/>
        <scheme val="minor"/>
      </rPr>
      <t>%ENERGYSTAR</t>
    </r>
  </si>
  <si>
    <r>
      <t>IDLE</t>
    </r>
    <r>
      <rPr>
        <b/>
        <vertAlign val="subscript"/>
        <sz val="10"/>
        <color theme="1"/>
        <rFont val="Calibri"/>
        <family val="2"/>
        <scheme val="minor"/>
      </rPr>
      <t>ENERGYSTAR</t>
    </r>
  </si>
  <si>
    <r>
      <t>PC</t>
    </r>
    <r>
      <rPr>
        <b/>
        <vertAlign val="subscript"/>
        <sz val="10"/>
        <color theme="1"/>
        <rFont val="Calibri"/>
        <family val="2"/>
        <scheme val="minor"/>
      </rPr>
      <t>ENERGY</t>
    </r>
  </si>
  <si>
    <r>
      <t>EFF</t>
    </r>
    <r>
      <rPr>
        <b/>
        <vertAlign val="subscript"/>
        <sz val="10"/>
        <color theme="1"/>
        <rFont val="Calibri"/>
        <family val="2"/>
        <scheme val="minor"/>
      </rPr>
      <t>ENERGYSTAR</t>
    </r>
  </si>
  <si>
    <r>
      <t>PRE</t>
    </r>
    <r>
      <rPr>
        <b/>
        <vertAlign val="subscript"/>
        <sz val="10"/>
        <color theme="1"/>
        <rFont val="Calibri"/>
        <family val="2"/>
        <scheme val="minor"/>
      </rPr>
      <t>number</t>
    </r>
  </si>
  <si>
    <r>
      <t>Δ Pre</t>
    </r>
    <r>
      <rPr>
        <b/>
        <vertAlign val="subscript"/>
        <sz val="10"/>
        <color theme="1"/>
        <rFont val="Calibri"/>
        <family val="2"/>
        <scheme val="minor"/>
      </rPr>
      <t>heat</t>
    </r>
  </si>
  <si>
    <t>Z</t>
  </si>
  <si>
    <t>CF</t>
  </si>
  <si>
    <r>
      <t>W</t>
    </r>
    <r>
      <rPr>
        <b/>
        <vertAlign val="subscript"/>
        <sz val="10"/>
        <color theme="1"/>
        <rFont val="Calibri"/>
        <family val="2"/>
        <scheme val="minor"/>
      </rPr>
      <t>BASE</t>
    </r>
  </si>
  <si>
    <r>
      <t>W</t>
    </r>
    <r>
      <rPr>
        <b/>
        <vertAlign val="subscript"/>
        <sz val="10"/>
        <color theme="1"/>
        <rFont val="Calibri"/>
        <family val="2"/>
        <scheme val="minor"/>
      </rPr>
      <t>ENERGYSTAR</t>
    </r>
  </si>
  <si>
    <r>
      <t>Days</t>
    </r>
    <r>
      <rPr>
        <b/>
        <vertAlign val="subscript"/>
        <sz val="10"/>
        <color theme="1"/>
        <rFont val="Calibri"/>
        <family val="2"/>
        <scheme val="minor"/>
      </rPr>
      <t>Year</t>
    </r>
  </si>
  <si>
    <t>ΔSavings</t>
  </si>
  <si>
    <t>Natural Gas Steam Cooker</t>
  </si>
  <si>
    <t>Unknown</t>
  </si>
  <si>
    <t>Avg Efficient</t>
  </si>
  <si>
    <t>C01 - Commercial Electric Cooking</t>
  </si>
  <si>
    <t>TRM Algorithm</t>
  </si>
  <si>
    <t>ΔSavings  = (ΔIdle Energy + ΔPreheat Energy + ΔCooking Energy)  * Z</t>
  </si>
  <si>
    <r>
      <rPr>
        <b/>
        <sz val="10"/>
        <color theme="1"/>
        <rFont val="Calibri"/>
        <family val="2"/>
        <scheme val="minor"/>
      </rPr>
      <t>For a gas cooker:</t>
    </r>
    <r>
      <rPr>
        <sz val="10"/>
        <color theme="1"/>
        <rFont val="Calibri"/>
        <family val="2"/>
        <scheme val="minor"/>
      </rPr>
      <t xml:space="preserve">   ΔSavings  = ΔBtu * 1/100,000  *Z</t>
    </r>
  </si>
  <si>
    <r>
      <rPr>
        <b/>
        <sz val="10"/>
        <color theme="1"/>
        <rFont val="Calibri"/>
        <family val="2"/>
        <scheme val="minor"/>
      </rPr>
      <t xml:space="preserve">For an electric steam cooker: </t>
    </r>
    <r>
      <rPr>
        <sz val="10"/>
        <color theme="1"/>
        <rFont val="Calibri"/>
        <family val="2"/>
        <scheme val="minor"/>
      </rPr>
      <t xml:space="preserve"> ΔSavings  = ΔkWh *Z</t>
    </r>
  </si>
  <si>
    <r>
      <t>ΔIdle Energy = ((((1- CSM</t>
    </r>
    <r>
      <rPr>
        <vertAlign val="subscript"/>
        <sz val="10"/>
        <color theme="1"/>
        <rFont val="Calibri"/>
        <family val="2"/>
        <scheme val="minor"/>
      </rPr>
      <t>%Baseline</t>
    </r>
    <r>
      <rPr>
        <sz val="10"/>
        <color theme="1"/>
        <rFont val="Calibri"/>
        <family val="2"/>
        <scheme val="minor"/>
      </rPr>
      <t>)* IDLE</t>
    </r>
    <r>
      <rPr>
        <vertAlign val="subscript"/>
        <sz val="10"/>
        <color theme="1"/>
        <rFont val="Calibri"/>
        <family val="2"/>
        <scheme val="minor"/>
      </rPr>
      <t>BASE</t>
    </r>
    <r>
      <rPr>
        <sz val="10"/>
        <color theme="1"/>
        <rFont val="Calibri"/>
        <family val="2"/>
        <scheme val="minor"/>
      </rPr>
      <t xml:space="preserve">  + CSM</t>
    </r>
    <r>
      <rPr>
        <vertAlign val="subscript"/>
        <sz val="10"/>
        <color theme="1"/>
        <rFont val="Calibri"/>
        <family val="2"/>
        <scheme val="minor"/>
      </rPr>
      <t xml:space="preserve">%Baseline </t>
    </r>
    <r>
      <rPr>
        <sz val="10"/>
        <color theme="1"/>
        <rFont val="Calibri"/>
        <family val="2"/>
        <scheme val="minor"/>
      </rPr>
      <t>* PC</t>
    </r>
    <r>
      <rPr>
        <vertAlign val="subscript"/>
        <sz val="10"/>
        <color theme="1"/>
        <rFont val="Calibri"/>
        <family val="2"/>
        <scheme val="minor"/>
      </rPr>
      <t>BASE</t>
    </r>
    <r>
      <rPr>
        <sz val="10"/>
        <color theme="1"/>
        <rFont val="Calibri"/>
        <family val="2"/>
        <scheme val="minor"/>
      </rPr>
      <t xml:space="preserve"> *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BASE</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 (F / PC</t>
    </r>
    <r>
      <rPr>
        <vertAlign val="subscript"/>
        <sz val="10"/>
        <color theme="1"/>
        <rFont val="Calibri"/>
        <family val="2"/>
        <scheme val="minor"/>
      </rPr>
      <t>Base</t>
    </r>
    <r>
      <rPr>
        <sz val="10"/>
        <color theme="1"/>
        <rFont val="Calibri"/>
        <family val="2"/>
        <scheme val="minor"/>
      </rPr>
      <t>) - ( PRE</t>
    </r>
    <r>
      <rPr>
        <vertAlign val="subscript"/>
        <sz val="10"/>
        <color theme="1"/>
        <rFont val="Calibri"/>
        <family val="2"/>
        <scheme val="minor"/>
      </rPr>
      <t>number</t>
    </r>
    <r>
      <rPr>
        <sz val="10"/>
        <color theme="1"/>
        <rFont val="Calibri"/>
        <family val="2"/>
        <scheme val="minor"/>
      </rPr>
      <t xml:space="preserve"> *0.25))) - (((1- CSM</t>
    </r>
    <r>
      <rPr>
        <vertAlign val="subscript"/>
        <sz val="10"/>
        <color theme="1"/>
        <rFont val="Calibri"/>
        <family val="2"/>
        <scheme val="minor"/>
      </rPr>
      <t>%ENERGYSTAR</t>
    </r>
    <r>
      <rPr>
        <sz val="10"/>
        <color theme="1"/>
        <rFont val="Calibri"/>
        <family val="2"/>
        <scheme val="minor"/>
      </rPr>
      <t>) * IDLE</t>
    </r>
    <r>
      <rPr>
        <vertAlign val="subscript"/>
        <sz val="10"/>
        <color theme="1"/>
        <rFont val="Calibri"/>
        <family val="2"/>
        <scheme val="minor"/>
      </rPr>
      <t>ENERGYSTAR</t>
    </r>
    <r>
      <rPr>
        <sz val="10"/>
        <color theme="1"/>
        <rFont val="Calibri"/>
        <family val="2"/>
        <scheme val="minor"/>
      </rPr>
      <t xml:space="preserve">  + CSM</t>
    </r>
    <r>
      <rPr>
        <vertAlign val="subscript"/>
        <sz val="10"/>
        <color theme="1"/>
        <rFont val="Calibri"/>
        <family val="2"/>
        <scheme val="minor"/>
      </rPr>
      <t>%ENERGYSTAR</t>
    </r>
    <r>
      <rPr>
        <sz val="10"/>
        <color theme="1"/>
        <rFont val="Calibri"/>
        <family val="2"/>
        <scheme val="minor"/>
      </rPr>
      <t xml:space="preserve">  * PC</t>
    </r>
    <r>
      <rPr>
        <vertAlign val="subscript"/>
        <sz val="10"/>
        <color theme="1"/>
        <rFont val="Calibri"/>
        <family val="2"/>
        <scheme val="minor"/>
      </rPr>
      <t xml:space="preserve">ENERGY </t>
    </r>
    <r>
      <rPr>
        <sz val="10"/>
        <color theme="1"/>
        <rFont val="Calibri"/>
        <family val="2"/>
        <scheme val="minor"/>
      </rPr>
      <t>*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ENERGYSTAR</t>
    </r>
    <r>
      <rPr>
        <sz val="10"/>
        <color theme="1"/>
        <rFont val="Calibri"/>
        <family val="2"/>
        <scheme val="minor"/>
      </rPr>
      <t>) * (HOURS</t>
    </r>
    <r>
      <rPr>
        <vertAlign val="subscript"/>
        <sz val="10"/>
        <color theme="1"/>
        <rFont val="Calibri"/>
        <family val="2"/>
        <scheme val="minor"/>
      </rPr>
      <t>Day</t>
    </r>
    <r>
      <rPr>
        <sz val="10"/>
        <color theme="1"/>
        <rFont val="Calibri"/>
        <family val="2"/>
        <scheme val="minor"/>
      </rPr>
      <t xml:space="preserve"> - (F l/ PC</t>
    </r>
    <r>
      <rPr>
        <vertAlign val="subscript"/>
        <sz val="10"/>
        <color theme="1"/>
        <rFont val="Calibri"/>
        <family val="2"/>
        <scheme val="minor"/>
      </rPr>
      <t>ENERGY</t>
    </r>
    <r>
      <rPr>
        <sz val="10"/>
        <color theme="1"/>
        <rFont val="Calibri"/>
        <family val="2"/>
        <scheme val="minor"/>
      </rPr>
      <t xml:space="preserve"> ) - (PRE</t>
    </r>
    <r>
      <rPr>
        <vertAlign val="subscript"/>
        <sz val="10"/>
        <color theme="1"/>
        <rFont val="Calibri"/>
        <family val="2"/>
        <scheme val="minor"/>
      </rPr>
      <t>number</t>
    </r>
    <r>
      <rPr>
        <sz val="10"/>
        <color theme="1"/>
        <rFont val="Calibri"/>
        <family val="2"/>
        <scheme val="minor"/>
      </rPr>
      <t xml:space="preserve"> * 0.25 ))))</t>
    </r>
  </si>
  <si>
    <r>
      <t>ΔPreheat Energy = ( PRE</t>
    </r>
    <r>
      <rPr>
        <vertAlign val="subscript"/>
        <sz val="10"/>
        <color theme="1"/>
        <rFont val="Calibri"/>
        <family val="2"/>
        <scheme val="minor"/>
      </rPr>
      <t>number</t>
    </r>
    <r>
      <rPr>
        <sz val="10"/>
        <color theme="1"/>
        <rFont val="Calibri"/>
        <family val="2"/>
        <scheme val="minor"/>
      </rPr>
      <t xml:space="preserve">  * Δ Pre</t>
    </r>
    <r>
      <rPr>
        <vertAlign val="subscript"/>
        <sz val="10"/>
        <color theme="1"/>
        <rFont val="Calibri"/>
        <family val="2"/>
        <scheme val="minor"/>
      </rPr>
      <t>heat</t>
    </r>
    <r>
      <rPr>
        <sz val="10"/>
        <color theme="1"/>
        <rFont val="Calibri"/>
        <family val="2"/>
        <scheme val="minor"/>
      </rPr>
      <t>)</t>
    </r>
  </si>
  <si>
    <r>
      <t>ΔCooking Energy = ((1/ EFFBASE) - (1/ EFFENERGY STAR®)) * F * E</t>
    </r>
    <r>
      <rPr>
        <vertAlign val="subscript"/>
        <sz val="10"/>
        <color theme="1"/>
        <rFont val="Calibri"/>
        <family val="2"/>
        <scheme val="minor"/>
      </rPr>
      <t>FOOD</t>
    </r>
  </si>
  <si>
    <t>ΔkW = (ΔkWh/(HOURSDay *DaysYear))  *  CF</t>
  </si>
  <si>
    <r>
      <t>ΔWater = [(W</t>
    </r>
    <r>
      <rPr>
        <vertAlign val="subscript"/>
        <sz val="10"/>
        <color theme="1"/>
        <rFont val="Calibri"/>
        <family val="2"/>
        <scheme val="minor"/>
      </rPr>
      <t>BASE</t>
    </r>
    <r>
      <rPr>
        <sz val="10"/>
        <color theme="1"/>
        <rFont val="Calibri"/>
        <family val="2"/>
        <scheme val="minor"/>
      </rPr>
      <t xml:space="preserve"> -W</t>
    </r>
    <r>
      <rPr>
        <vertAlign val="subscript"/>
        <sz val="10"/>
        <color theme="1"/>
        <rFont val="Calibri"/>
        <family val="2"/>
        <scheme val="minor"/>
      </rPr>
      <t>ENERGYSTAR®)*</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*Days</t>
    </r>
    <r>
      <rPr>
        <vertAlign val="subscript"/>
        <sz val="10"/>
        <color theme="1"/>
        <rFont val="Calibri"/>
        <family val="2"/>
        <scheme val="minor"/>
      </rPr>
      <t>Year</t>
    </r>
  </si>
  <si>
    <t>CI-FSE-STMC-V04-160601</t>
  </si>
  <si>
    <t>Algorithm Component</t>
  </si>
  <si>
    <t>Input Values</t>
  </si>
  <si>
    <r>
      <t>CSM</t>
    </r>
    <r>
      <rPr>
        <b/>
        <vertAlign val="subscript"/>
        <sz val="9"/>
        <color theme="1"/>
        <rFont val="Calibri"/>
        <family val="2"/>
        <scheme val="minor"/>
      </rPr>
      <t xml:space="preserve">%Baseline </t>
    </r>
  </si>
  <si>
    <t>Baseline Steamer Time in Manual Steam Mode (% of time)</t>
  </si>
  <si>
    <t>Deemed TRM Value at 90%</t>
  </si>
  <si>
    <r>
      <t>IDLE</t>
    </r>
    <r>
      <rPr>
        <b/>
        <vertAlign val="subscript"/>
        <sz val="9"/>
        <color theme="1"/>
        <rFont val="Calibri"/>
        <family val="2"/>
        <scheme val="minor"/>
      </rPr>
      <t>Base</t>
    </r>
    <r>
      <rPr>
        <b/>
        <sz val="9"/>
        <color theme="1"/>
        <rFont val="Calibri"/>
        <family val="2"/>
        <scheme val="minor"/>
      </rPr>
      <t xml:space="preserve"> </t>
    </r>
  </si>
  <si>
    <t>Based on Table of Lookup Values</t>
  </si>
  <si>
    <t>Idle Energy Rate of Base Steamer</t>
  </si>
  <si>
    <t>Deemed Table of Values from the TRM based on the Number of Pans</t>
  </si>
  <si>
    <r>
      <t>PC</t>
    </r>
    <r>
      <rPr>
        <b/>
        <vertAlign val="subscript"/>
        <sz val="9"/>
        <color theme="1"/>
        <rFont val="Calibri"/>
        <family val="2"/>
        <scheme val="minor"/>
      </rPr>
      <t>Base</t>
    </r>
  </si>
  <si>
    <t>Production Capacity of Base Steamer</t>
  </si>
  <si>
    <r>
      <t>E</t>
    </r>
    <r>
      <rPr>
        <b/>
        <vertAlign val="subscript"/>
        <sz val="9"/>
        <color theme="1"/>
        <rFont val="Calibri"/>
        <family val="2"/>
        <scheme val="minor"/>
      </rPr>
      <t>FOOD</t>
    </r>
  </si>
  <si>
    <t>Amount of Energy Absorbed by the food during cooking known as ASTM Energy to Food (Btu/lb or kW/lb)</t>
  </si>
  <si>
    <t>Deemed TRM Value based on whether it is a gas or electric steamer</t>
  </si>
  <si>
    <t>105 Btu/lb (gas steamers) or 0.03088 (electric steamers)</t>
  </si>
  <si>
    <r>
      <t>EFF</t>
    </r>
    <r>
      <rPr>
        <b/>
        <vertAlign val="subscript"/>
        <sz val="9"/>
        <color theme="1"/>
        <rFont val="Calibri"/>
        <family val="2"/>
        <scheme val="minor"/>
      </rPr>
      <t>BASE</t>
    </r>
  </si>
  <si>
    <t>Heavy Load Cooking Efficiency for Base Steamer</t>
  </si>
  <si>
    <t>15% (gas steamers) or 26% (electric steamers)</t>
  </si>
  <si>
    <r>
      <t>HOURS</t>
    </r>
    <r>
      <rPr>
        <b/>
        <vertAlign val="subscript"/>
        <sz val="9"/>
        <color theme="1"/>
        <rFont val="Calibri"/>
        <family val="2"/>
        <scheme val="minor"/>
      </rPr>
      <t xml:space="preserve">day </t>
    </r>
  </si>
  <si>
    <t>Average Daily Operation (hours)</t>
  </si>
  <si>
    <t>Deemed Table of Values from the TRM based on the Type of Food Service Industry</t>
  </si>
  <si>
    <t>Food cooked per day (lbs/day)</t>
  </si>
  <si>
    <t>Deemed Value from TRM if Custom. If unknown, use 100 lbs/Day</t>
  </si>
  <si>
    <r>
      <t>CSM</t>
    </r>
    <r>
      <rPr>
        <b/>
        <vertAlign val="subscript"/>
        <sz val="9"/>
        <color theme="1"/>
        <rFont val="Calibri"/>
        <family val="2"/>
        <scheme val="minor"/>
      </rPr>
      <t>%ENERGYSTAR</t>
    </r>
  </si>
  <si>
    <t>ENERGY STAR Steamer's Time in Manual Steam Mode (% of time)</t>
  </si>
  <si>
    <t>Deemed Value from the TRM at 0%</t>
  </si>
  <si>
    <r>
      <t>IDLE</t>
    </r>
    <r>
      <rPr>
        <b/>
        <vertAlign val="subscript"/>
        <sz val="9"/>
        <color theme="1"/>
        <rFont val="Calibri"/>
        <family val="2"/>
        <scheme val="minor"/>
      </rPr>
      <t>ENERGYSTAR</t>
    </r>
  </si>
  <si>
    <t>Idle Energy Rate of ENERGY STAR</t>
  </si>
  <si>
    <t>Deemed Table of Values from the TRM based on the number of pans</t>
  </si>
  <si>
    <r>
      <t>PC</t>
    </r>
    <r>
      <rPr>
        <b/>
        <vertAlign val="subscript"/>
        <sz val="9"/>
        <color theme="1"/>
        <rFont val="Calibri"/>
        <family val="2"/>
        <scheme val="minor"/>
      </rPr>
      <t>ENERGY</t>
    </r>
  </si>
  <si>
    <t>Production Capacity of ENERGY STAR® Steamer</t>
  </si>
  <si>
    <r>
      <t>EFF</t>
    </r>
    <r>
      <rPr>
        <b/>
        <vertAlign val="subscript"/>
        <sz val="9"/>
        <color theme="1"/>
        <rFont val="Calibri"/>
        <family val="2"/>
        <scheme val="minor"/>
      </rPr>
      <t>ENERGYSTAR</t>
    </r>
  </si>
  <si>
    <t>Heavy Load Cooking Efficiency for ENERGY STAR® Steamer(%)</t>
  </si>
  <si>
    <t>38% (gas steamer) or 50% (electric steamer)</t>
  </si>
  <si>
    <r>
      <t>PRE</t>
    </r>
    <r>
      <rPr>
        <b/>
        <vertAlign val="subscript"/>
        <sz val="9"/>
        <color theme="1"/>
        <rFont val="Calibri"/>
        <family val="2"/>
        <scheme val="minor"/>
      </rPr>
      <t>number</t>
    </r>
  </si>
  <si>
    <t>Number of preheats per day</t>
  </si>
  <si>
    <t>Deemed Value from TRM equal to 1 and if unknown, use 1</t>
  </si>
  <si>
    <r>
      <t>Δ Pre</t>
    </r>
    <r>
      <rPr>
        <b/>
        <vertAlign val="subscript"/>
        <sz val="9"/>
        <color theme="1"/>
        <rFont val="Calibri"/>
        <family val="2"/>
        <scheme val="minor"/>
      </rPr>
      <t>heat</t>
    </r>
  </si>
  <si>
    <t>Number of Preheats per Day * Preheat energy savings per preheat</t>
  </si>
  <si>
    <t>11,000 Btu/preheat (gas steamer) or 0.5 kWh/preheat (electric steamer)</t>
  </si>
  <si>
    <t>days/yr steamer operating (use 365.25 days/yr if heavy use restaurant and exact number unknown)</t>
  </si>
  <si>
    <t>Summer Peak Coincidence Factor for measure is provided below for different locations</t>
  </si>
  <si>
    <t>Deemed TRM Values based on location</t>
  </si>
  <si>
    <t>Value is deemed for Summer coincident peak demand savings</t>
  </si>
  <si>
    <t>Does not have a Natural Gas implication</t>
  </si>
  <si>
    <r>
      <t>W</t>
    </r>
    <r>
      <rPr>
        <b/>
        <vertAlign val="subscript"/>
        <sz val="9"/>
        <color theme="1"/>
        <rFont val="Calibri"/>
        <family val="2"/>
        <scheme val="minor"/>
      </rPr>
      <t>BASE</t>
    </r>
  </si>
  <si>
    <t>Water Consumption Rate of Base Steamer (gal/hr)</t>
  </si>
  <si>
    <t>Deemed TRM value of 40</t>
  </si>
  <si>
    <r>
      <t>W</t>
    </r>
    <r>
      <rPr>
        <b/>
        <vertAlign val="subscript"/>
        <sz val="9"/>
        <color theme="1"/>
        <rFont val="Calibri"/>
        <family val="2"/>
        <scheme val="minor"/>
      </rPr>
      <t>ENERGYSTAR</t>
    </r>
  </si>
  <si>
    <t>Water Consumption Rate of ENERGY STAR® Steamer look up</t>
  </si>
  <si>
    <t>Deemed Table of Values in the TRM based on CEE Tier</t>
  </si>
  <si>
    <r>
      <t>Days</t>
    </r>
    <r>
      <rPr>
        <b/>
        <vertAlign val="subscript"/>
        <sz val="9"/>
        <color theme="1"/>
        <rFont val="Calibri"/>
        <family val="2"/>
        <scheme val="minor"/>
      </rPr>
      <t>Year</t>
    </r>
  </si>
  <si>
    <t>Deemed TRM value of 365.25 or custom value if known</t>
  </si>
  <si>
    <t>The expected measure life is assumed to be 12 years</t>
  </si>
  <si>
    <t>This is a deemed TRM value.</t>
  </si>
  <si>
    <t>Baseline Definition</t>
  </si>
  <si>
    <t>The baseline condition is assumed to be a non-ENERGY STAR® commercial steamer at end of life. It is assumed that the efficient equipment and baseline equipment have the same number of pans.</t>
  </si>
  <si>
    <t>Efficient Definition</t>
  </si>
  <si>
    <t>Gas: ENERGY STAR® qualified with 38% minimum cooking energy efficiency at heavy load (potato) cooking capacity for gas steam cookers.</t>
  </si>
  <si>
    <t>Table for Algorithm Inputs</t>
  </si>
  <si>
    <r>
      <t>E</t>
    </r>
    <r>
      <rPr>
        <vertAlign val="subscript"/>
        <sz val="10"/>
        <color theme="0"/>
        <rFont val="Calibri"/>
        <family val="2"/>
        <scheme val="minor"/>
      </rPr>
      <t>FOOD</t>
    </r>
  </si>
  <si>
    <r>
      <t>EFF</t>
    </r>
    <r>
      <rPr>
        <vertAlign val="subscript"/>
        <sz val="10"/>
        <color theme="0"/>
        <rFont val="Calibri"/>
        <family val="2"/>
        <scheme val="minor"/>
      </rPr>
      <t>BASE</t>
    </r>
  </si>
  <si>
    <r>
      <t>EFF</t>
    </r>
    <r>
      <rPr>
        <vertAlign val="subscript"/>
        <sz val="10"/>
        <color theme="0"/>
        <rFont val="Calibri"/>
        <family val="2"/>
        <scheme val="minor"/>
      </rPr>
      <t>ENERGYSTAR</t>
    </r>
  </si>
  <si>
    <r>
      <t>Δ Pre</t>
    </r>
    <r>
      <rPr>
        <vertAlign val="subscript"/>
        <sz val="10"/>
        <color theme="0"/>
        <rFont val="Calibri"/>
        <family val="2"/>
        <scheme val="minor"/>
      </rPr>
      <t>heat</t>
    </r>
  </si>
  <si>
    <t>Electric Steam Cooker</t>
  </si>
  <si>
    <t>Number of Pans</t>
  </si>
  <si>
    <r>
      <t>IDLE</t>
    </r>
    <r>
      <rPr>
        <b/>
        <vertAlign val="subscript"/>
        <sz val="10"/>
        <color rgb="FFFFFFFF"/>
        <rFont val="Calibri"/>
        <family val="2"/>
        <scheme val="minor"/>
      </rPr>
      <t>BASE</t>
    </r>
    <r>
      <rPr>
        <b/>
        <sz val="10"/>
        <color rgb="FFFFFFFF"/>
        <rFont val="Calibri"/>
        <family val="2"/>
        <scheme val="minor"/>
      </rPr>
      <t xml:space="preserve"> - Gas, Btu/hr</t>
    </r>
  </si>
  <si>
    <r>
      <t>IDLE</t>
    </r>
    <r>
      <rPr>
        <b/>
        <vertAlign val="subscript"/>
        <sz val="10"/>
        <color rgb="FFFFFFFF"/>
        <rFont val="Calibri"/>
        <family val="2"/>
        <scheme val="minor"/>
      </rPr>
      <t>BASE</t>
    </r>
    <r>
      <rPr>
        <b/>
        <sz val="10"/>
        <color rgb="FFFFFFFF"/>
        <rFont val="Calibri"/>
        <family val="2"/>
        <scheme val="minor"/>
      </rPr>
      <t xml:space="preserve"> - Electric, kw</t>
    </r>
  </si>
  <si>
    <r>
      <t>PC</t>
    </r>
    <r>
      <rPr>
        <b/>
        <vertAlign val="subscript"/>
        <sz val="10"/>
        <color rgb="FFFFFFFF"/>
        <rFont val="Calibri"/>
        <family val="2"/>
        <scheme val="minor"/>
      </rPr>
      <t>BASE</t>
    </r>
    <r>
      <rPr>
        <b/>
        <sz val="10"/>
        <color rgb="FFFFFFFF"/>
        <rFont val="Calibri"/>
        <family val="2"/>
        <scheme val="minor"/>
      </rPr>
      <t>, gas (lbs/hr)</t>
    </r>
  </si>
  <si>
    <r>
      <t>PC</t>
    </r>
    <r>
      <rPr>
        <b/>
        <vertAlign val="subscript"/>
        <sz val="10"/>
        <color rgb="FFFFFFFF"/>
        <rFont val="Calibri"/>
        <family val="2"/>
        <scheme val="minor"/>
      </rPr>
      <t>BASE</t>
    </r>
    <r>
      <rPr>
        <b/>
        <sz val="10"/>
        <color rgb="FFFFFFFF"/>
        <rFont val="Calibri"/>
        <family val="2"/>
        <scheme val="minor"/>
      </rPr>
      <t>, electric (lbs/hr)</t>
    </r>
  </si>
  <si>
    <r>
      <t>IDLE</t>
    </r>
    <r>
      <rPr>
        <b/>
        <vertAlign val="subscript"/>
        <sz val="10"/>
        <color rgb="FFFFFFFF"/>
        <rFont val="Calibri"/>
        <family val="2"/>
        <scheme val="minor"/>
      </rPr>
      <t xml:space="preserve">ENERGY STAR </t>
    </r>
    <r>
      <rPr>
        <b/>
        <sz val="10"/>
        <color rgb="FFFFFFFF"/>
        <rFont val="Calibri"/>
        <family val="2"/>
        <scheme val="minor"/>
      </rPr>
      <t>– gas, (Btu/hr)</t>
    </r>
  </si>
  <si>
    <r>
      <t>IDLE</t>
    </r>
    <r>
      <rPr>
        <b/>
        <vertAlign val="subscript"/>
        <sz val="10"/>
        <color rgb="FFFFFFFF"/>
        <rFont val="Calibri"/>
        <family val="2"/>
        <scheme val="minor"/>
      </rPr>
      <t xml:space="preserve">ENERGY STAR </t>
    </r>
    <r>
      <rPr>
        <b/>
        <sz val="10"/>
        <color rgb="FFFFFFFF"/>
        <rFont val="Calibri"/>
        <family val="2"/>
        <scheme val="minor"/>
      </rPr>
      <t xml:space="preserve">– </t>
    </r>
    <r>
      <rPr>
        <b/>
        <sz val="9"/>
        <color rgb="FFFFFFFF"/>
        <rFont val="Calibri"/>
        <family val="2"/>
        <scheme val="minor"/>
      </rPr>
      <t>electric</t>
    </r>
    <r>
      <rPr>
        <b/>
        <sz val="10"/>
        <color rgb="FFFFFFFF"/>
        <rFont val="Calibri"/>
        <family val="2"/>
        <scheme val="minor"/>
      </rPr>
      <t xml:space="preserve">, </t>
    </r>
    <r>
      <rPr>
        <b/>
        <sz val="9"/>
        <color rgb="FFFFFFFF"/>
        <rFont val="Calibri"/>
        <family val="2"/>
        <scheme val="minor"/>
      </rPr>
      <t>(kW)</t>
    </r>
  </si>
  <si>
    <r>
      <t>PC</t>
    </r>
    <r>
      <rPr>
        <b/>
        <vertAlign val="subscript"/>
        <sz val="10"/>
        <color rgb="FFFFFFFF"/>
        <rFont val="Calibri"/>
        <family val="2"/>
        <scheme val="minor"/>
      </rPr>
      <t>ENERGY</t>
    </r>
    <r>
      <rPr>
        <b/>
        <sz val="10"/>
        <color rgb="FFFFFFFF"/>
        <rFont val="Calibri"/>
        <family val="2"/>
        <scheme val="minor"/>
      </rPr>
      <t xml:space="preserve"> - gas(lbs/hr)</t>
    </r>
  </si>
  <si>
    <r>
      <t>PC</t>
    </r>
    <r>
      <rPr>
        <b/>
        <vertAlign val="subscript"/>
        <sz val="10"/>
        <color rgb="FFFFFFFF"/>
        <rFont val="Calibri"/>
        <family val="2"/>
        <scheme val="minor"/>
      </rPr>
      <t>ENERGY</t>
    </r>
    <r>
      <rPr>
        <b/>
        <sz val="10"/>
        <color rgb="FFFFFFFF"/>
        <rFont val="Calibri"/>
        <family val="2"/>
        <scheme val="minor"/>
      </rPr>
      <t xml:space="preserve"> – electric (lbs/hr)</t>
    </r>
  </si>
  <si>
    <t>Hours/day</t>
  </si>
  <si>
    <t>gal/hr</t>
  </si>
  <si>
    <t>Fast Food, limited menu</t>
  </si>
  <si>
    <t>Tier 1A</t>
  </si>
  <si>
    <t>Fast Food, expanded menu</t>
  </si>
  <si>
    <t>Tier 1B</t>
  </si>
  <si>
    <t>Pizza</t>
  </si>
  <si>
    <t>Full Service, limited menu</t>
  </si>
  <si>
    <t>Avg Most Efficient</t>
  </si>
  <si>
    <t>Full Service, expanded menu</t>
  </si>
  <si>
    <t>Cafeteria</t>
  </si>
  <si>
    <t>Conveyor Oven</t>
  </si>
  <si>
    <t>N/A</t>
  </si>
  <si>
    <t>TRM Assumptions</t>
  </si>
  <si>
    <t>Savings</t>
  </si>
  <si>
    <t>This is a deemed TRM Value</t>
  </si>
  <si>
    <t>The baseline equipment is an existing pizza deck oven at end of life.</t>
  </si>
  <si>
    <t>To qualify for this measure the installed equipment must be a natural gas conveyor oven with a tested baking energy efficiency &gt; 42% and an idle energy consumption rate &lt; 57,000 Btu/hr utilizing ASTM standard F1817.</t>
  </si>
  <si>
    <t>Cost source</t>
  </si>
  <si>
    <t>ENERGY STAR Convection Oven</t>
  </si>
  <si>
    <t>ΔTherms = (ΔDailyIdle Energy + ΔDailyPreheat Energy + ΔDailyCooking Energy) * Days /100000</t>
  </si>
  <si>
    <t>ΔDailyIdleEnergy = (IdleBase* IdleBaseTime)- (IdleENERGYSTAR *  IdleENERGYSTARTime)</t>
  </si>
  <si>
    <t>ΔDailyPreheatEnergy = (PreHeatNumberBase * PreheatTimeBase / 60 * PreheatRateBase) – (PreheatNumberENERGYSTAR* PreheatTimeENERGYSTAR/60 * PreheatRateENERGYSTAR)</t>
  </si>
  <si>
    <t>ΔDailyCookingEnergy = (LB * EFOOD/ EffBase) - (LB * EFOOD/ EffENERGYSTAR)</t>
  </si>
  <si>
    <t>Additional TRM Algorithm</t>
  </si>
  <si>
    <t>ΔDailyIdleEnergy</t>
  </si>
  <si>
    <t>ΔDailyPreheatEnergy</t>
  </si>
  <si>
    <t>ΔDailyCookingEnergy</t>
  </si>
  <si>
    <t>HOURSday</t>
  </si>
  <si>
    <t>Average Daily Operation (Hrs)</t>
  </si>
  <si>
    <t>custom or if unknown, use TRM Value of 12 hours</t>
  </si>
  <si>
    <t xml:space="preserve">Annual days of operation </t>
  </si>
  <si>
    <t>custom or if unknown, use TRM Value of 365.25 days a year</t>
  </si>
  <si>
    <t>LB</t>
  </si>
  <si>
    <t xml:space="preserve">Food cooked per day </t>
  </si>
  <si>
    <t>custom or if unknown, use TRM Value of 100 pounds</t>
  </si>
  <si>
    <t>EffENERGYSTAR</t>
  </si>
  <si>
    <t>Cooking Efficiency ENERGY STAR</t>
  </si>
  <si>
    <t>custom or if unknown, use TRM Value of 44%</t>
  </si>
  <si>
    <t>EffBase</t>
  </si>
  <si>
    <t xml:space="preserve">Cooking Efficiency Baseline </t>
  </si>
  <si>
    <t>custom or if unknown, use TRM Value of 30%</t>
  </si>
  <si>
    <t>PCENERGYSTAR</t>
  </si>
  <si>
    <t>Production Capacity ENERGY STAR (lbs/hr)</t>
  </si>
  <si>
    <t>custom or if unknown, use TRM Value of 80 pounds/hr</t>
  </si>
  <si>
    <t>PCBase</t>
  </si>
  <si>
    <t xml:space="preserve">Production Capacity base </t>
  </si>
  <si>
    <t>custom or if unknown, use TRM Value of 70 pounds/hr</t>
  </si>
  <si>
    <t>PreheatNumberENERGYSTAR</t>
  </si>
  <si>
    <t xml:space="preserve">Number of preheats per day </t>
  </si>
  <si>
    <t>custom or if unknown, use TRM Value of 1</t>
  </si>
  <si>
    <t>PreheatNumberBase</t>
  </si>
  <si>
    <t>PreheatTimeENERGYSTAR</t>
  </si>
  <si>
    <t>preheat length (mins)</t>
  </si>
  <si>
    <t>custom or if unknown, use TRM Value of 15 minutes</t>
  </si>
  <si>
    <t>PreheatTimeBase</t>
  </si>
  <si>
    <t>PreheatRateENERGYSTAR</t>
  </si>
  <si>
    <t>preheat energy rate high efficiency (btu/h)</t>
  </si>
  <si>
    <t>custom or if unknown, use TRM Value of 44000 btu/h</t>
  </si>
  <si>
    <t>PreheatRateBase</t>
  </si>
  <si>
    <t>preheat energy rate baseline</t>
  </si>
  <si>
    <t>custom or if unknown, use TRM Value of 76000 btu/h</t>
  </si>
  <si>
    <t xml:space="preserve">IdleENERGYSTAR </t>
  </si>
  <si>
    <t>Idle energy rate (btu/h)</t>
  </si>
  <si>
    <t>custom or if unknown, use TRM Value 13000 btu/h</t>
  </si>
  <si>
    <t>IdleBase</t>
  </si>
  <si>
    <t>custom or if unknown, use TRM Value 18000 btu/h</t>
  </si>
  <si>
    <t>IdleENERGYSTARTime</t>
  </si>
  <si>
    <t>ENERGY STAR Idle Time (Hrs)</t>
  </si>
  <si>
    <t>HOURsday-LB/PCENERGYSTAR –PreHeatTimeENERGYSTAR/60</t>
  </si>
  <si>
    <t>Using the TRM Inputs it would be, the equation would equal this</t>
  </si>
  <si>
    <t>IdleBaseTime</t>
  </si>
  <si>
    <t xml:space="preserve">BASE Idle Time </t>
  </si>
  <si>
    <t>HOURsday-LB/PCbase –PreHeatTimeBase/60</t>
  </si>
  <si>
    <t>EFOOD</t>
  </si>
  <si>
    <t>ASTM energy to food (btu/lb)</t>
  </si>
  <si>
    <t>The baseline equipment is a natural gas convection oven that is not ENERGY STAR certified and is at end of life.</t>
  </si>
  <si>
    <t>To qualify for this measure the installed equipment must be a natural gas convection oven with a cooking efficiency ≥ 44% utilizing ASTM standard 1496 and an idle energy consumption rate &lt; 13,000 Btu/hr</t>
  </si>
  <si>
    <t>TEAPot</t>
  </si>
  <si>
    <t>Dishwasher Type</t>
  </si>
  <si>
    <t>Building water heating fuel</t>
  </si>
  <si>
    <t>Booster water heating fuel</t>
  </si>
  <si>
    <t>ΔGallons</t>
  </si>
  <si>
    <t>Total Therms</t>
  </si>
  <si>
    <t>Total Gallons</t>
  </si>
  <si>
    <t>Total Cost</t>
  </si>
  <si>
    <t>Column lookup for therms</t>
  </si>
  <si>
    <t>Column lookup for KwH</t>
  </si>
  <si>
    <t>Building Type</t>
  </si>
  <si>
    <t>Nicor Gas Territory</t>
  </si>
  <si>
    <t>ENERGY STAR Dishwasher</t>
  </si>
  <si>
    <t>Average</t>
  </si>
  <si>
    <t>Natural Gas Building</t>
  </si>
  <si>
    <t>natural gas booster water heating</t>
  </si>
  <si>
    <t>C01-Commercial Electric Cooking</t>
  </si>
  <si>
    <t>4.2.6.2</t>
  </si>
  <si>
    <t>ENERGY STAR Dishwasher - Low Temp - Public Sector</t>
  </si>
  <si>
    <t>Dishwasher - Low Temp - Public Sector</t>
  </si>
  <si>
    <t>Average Low Temp</t>
  </si>
  <si>
    <t>4.2.6.3</t>
  </si>
  <si>
    <t>ENERGY STAR Dishwasher - High Temp - Public Sector</t>
  </si>
  <si>
    <t>Dishwasher - High Temp - Public Sector</t>
  </si>
  <si>
    <t>Average High Temp</t>
  </si>
  <si>
    <t>TRM V5 Notes</t>
  </si>
  <si>
    <t>Booster water heater energy only applies to high-temperature dishwashers. - per TRM V5 footnote</t>
  </si>
  <si>
    <t>Note that the average building type is a Custom Measure calculation taking the average of all dishwasher types and measures vary by the building type.</t>
  </si>
  <si>
    <t>The TRM V5 table provides bothe the deemed values needed to calculate the svaings and the pre calculated savings based on all diswhasher combination types.</t>
  </si>
  <si>
    <t>ΔkW= ΔkWh/ AnnualHours *CF</t>
  </si>
  <si>
    <t>Using a lookup value to pull the deemed and already calculated values for therms, kW, kWh, and gallons.</t>
  </si>
  <si>
    <t>Proposed TRM V5 Algorithm</t>
  </si>
  <si>
    <t>Note that there is a significant change in the gallons…</t>
  </si>
  <si>
    <r>
      <t xml:space="preserve">∆kWh =∆BuildingEnergy+ ∆BoosterEnergy + </t>
    </r>
    <r>
      <rPr>
        <sz val="10"/>
        <color theme="1"/>
        <rFont val="Calibri"/>
        <family val="2"/>
      </rPr>
      <t>∆</t>
    </r>
    <r>
      <rPr>
        <sz val="10"/>
        <color theme="1"/>
        <rFont val="Calibri"/>
        <family val="2"/>
        <scheme val="minor"/>
      </rPr>
      <t>IdleEnergy</t>
    </r>
  </si>
  <si>
    <r>
      <rPr>
        <sz val="11"/>
        <color theme="1"/>
        <rFont val="Calibri"/>
        <family val="2"/>
      </rPr>
      <t>∆</t>
    </r>
    <r>
      <rPr>
        <sz val="11"/>
        <color theme="1"/>
        <rFont val="Calibri"/>
        <family val="2"/>
        <scheme val="minor"/>
      </rPr>
      <t>Therms = ∆BuildingEnergy+ ∆BoosterEnergy</t>
    </r>
  </si>
  <si>
    <t>∆BuildingEnergy: [(WaterUseBase * RacksWashed * Days)*(∆Tin * 1.0 * 8.2 ÷ EffHeater  ÷ 100,000)] - [(WaterUseESTAR* RacksWashed * Days)*(∆Tin * 1.0*8.2 ÷ EffHeater  ÷ 100,000)]</t>
  </si>
  <si>
    <t>∆BoosterEnergy: [(WaterUseBase * RacksWashed * Days)*(∆Tin * 1.0 * 8.2 ÷ EffHeater  ÷ 100,000)] - [(WaterUseESTAR* RacksWashed * Days)*(∆Tin * 1.0*8.2 ÷ EffHeater  ÷ 100,000)]</t>
  </si>
  <si>
    <t>TRM V6</t>
  </si>
  <si>
    <t>updated to include a CF in the kW calculation</t>
  </si>
  <si>
    <t>Origin</t>
  </si>
  <si>
    <t>Application Field</t>
  </si>
  <si>
    <t>∆BuildingEnergy</t>
  </si>
  <si>
    <t>Calculated per TRM Formula</t>
  </si>
  <si>
    <t xml:space="preserve">Change in annual natural gas consumption of building water heater </t>
  </si>
  <si>
    <t>Calculated TRM Formula - can also use deemed Therm value</t>
  </si>
  <si>
    <t>∆BoosterEnergy</t>
  </si>
  <si>
    <t xml:space="preserve">Change in annual natural gas consumption of booster water heater  </t>
  </si>
  <si>
    <t>EEP 3,1</t>
  </si>
  <si>
    <t>WaterUseBase</t>
  </si>
  <si>
    <t>Based on Table of Values from TRM: Based on Machine Type and Sanitation Method</t>
  </si>
  <si>
    <t>Water use per rack (gal) of baseline dishwasher</t>
  </si>
  <si>
    <t>TRM provides table of values based on dishwasher type - can also use deemed therm value from TRM based on Dishwasher type and building heating and booster heating.</t>
  </si>
  <si>
    <t>added 2 permutations for commercial dishwasher based on high and low temperature - used averages across the different permuations</t>
  </si>
  <si>
    <t>Custom or if unknown, use value from table within the electric energy savings characterization as determined by machine type and sanitation method</t>
  </si>
  <si>
    <t>WaterUseESTAR</t>
  </si>
  <si>
    <t>Water use per rack (gal) of ENERGY STAR dishwasher</t>
  </si>
  <si>
    <t>RacksWashed</t>
  </si>
  <si>
    <t>Number of racks washed per day</t>
  </si>
  <si>
    <t>Annual days of dishwasher operation</t>
  </si>
  <si>
    <t>TRM Deemed Value</t>
  </si>
  <si>
    <t>Custom or if unknown, use 365 days per year</t>
  </si>
  <si>
    <r>
      <rPr>
        <sz val="11"/>
        <color theme="1"/>
        <rFont val="Calibri"/>
        <family val="2"/>
      </rPr>
      <t>∆</t>
    </r>
    <r>
      <rPr>
        <sz val="11"/>
        <color theme="1"/>
        <rFont val="Calibri"/>
        <family val="2"/>
        <scheme val="minor"/>
      </rPr>
      <t>Tin</t>
    </r>
  </si>
  <si>
    <t>Table of Values from TRM V5 based on either building or booster water heaters</t>
  </si>
  <si>
    <t>Inlet water temperature increase (°F)</t>
  </si>
  <si>
    <t>TRM deems value based on building water heater and booster water ehater</t>
  </si>
  <si>
    <t>Custom or if unknown, use 70 °F for building water heaters and 40 °F for booster water heaters</t>
  </si>
  <si>
    <t>Conversion Factors</t>
  </si>
  <si>
    <t>Specific heat of water (Btu/lb/°F)</t>
  </si>
  <si>
    <t>TRM deemed values</t>
  </si>
  <si>
    <t>Density of water (lb/gal)</t>
  </si>
  <si>
    <t>Therms to Btu conversion factor</t>
  </si>
  <si>
    <t>Effheater</t>
  </si>
  <si>
    <t>Efficiency of water heater</t>
  </si>
  <si>
    <t>TRM deemed values - or can use custom value</t>
  </si>
  <si>
    <t>Custom or 80% for gas building and booster water heaters</t>
  </si>
  <si>
    <t>Table of lookup values</t>
  </si>
  <si>
    <t>Summer Peak Coincidence Factor</t>
  </si>
  <si>
    <t>Dependent on restaurant type</t>
  </si>
  <si>
    <t>AnnualHours</t>
  </si>
  <si>
    <t>Hours * Days</t>
  </si>
  <si>
    <t>Custom or if unknown assume(=18*365.25)</t>
  </si>
  <si>
    <t>Measure life</t>
  </si>
  <si>
    <t>The expected measure life is assumed to vary based on the dishwasher type</t>
  </si>
  <si>
    <t>TRM deemed values based on dishwasher type- or can use custom value</t>
  </si>
  <si>
    <t>TRM has table of values depicted below</t>
  </si>
  <si>
    <t>The incremental capital cost for this measures is assumed to vary based on the dishwasher type</t>
  </si>
  <si>
    <t>Electric building and electric booster water heating</t>
  </si>
  <si>
    <t>Electric building and natural gas booster water heating</t>
  </si>
  <si>
    <t>Natural gas building and electric booster water heating</t>
  </si>
  <si>
    <t>Natural gas building and natural gas booster water heating</t>
  </si>
  <si>
    <t>WashTime</t>
  </si>
  <si>
    <t>WaterUse</t>
  </si>
  <si>
    <t xml:space="preserve">IdleDraw </t>
  </si>
  <si>
    <t>Dishwasher type</t>
  </si>
  <si>
    <t>kWhBase</t>
  </si>
  <si>
    <t>kWhESTAR</t>
  </si>
  <si>
    <t>All Dishwashers</t>
  </si>
  <si>
    <t>Conventional</t>
  </si>
  <si>
    <t>ENERGY STAR</t>
  </si>
  <si>
    <t>Low Temp</t>
  </si>
  <si>
    <t>Under Counter</t>
  </si>
  <si>
    <t xml:space="preserve">Stationary Single Tank Door </t>
  </si>
  <si>
    <t>Single Tank Conveyor</t>
  </si>
  <si>
    <t>Multi Tank Conveyor</t>
  </si>
  <si>
    <t>High Temp</t>
  </si>
  <si>
    <t>Pot, Pan, and Utensil</t>
  </si>
  <si>
    <r>
      <rPr>
        <sz val="11"/>
        <color theme="1"/>
        <rFont val="Calibri"/>
        <family val="2"/>
      </rPr>
      <t>∆</t>
    </r>
    <r>
      <rPr>
        <sz val="11"/>
        <color theme="1"/>
        <rFont val="Calibri"/>
        <family val="2"/>
        <scheme val="minor"/>
      </rPr>
      <t>Therms</t>
    </r>
  </si>
  <si>
    <t>ThermsBase</t>
  </si>
  <si>
    <t>ThermsESTAR</t>
  </si>
  <si>
    <r>
      <rPr>
        <sz val="11"/>
        <color theme="0"/>
        <rFont val="Calibri"/>
        <family val="2"/>
      </rPr>
      <t>∆</t>
    </r>
    <r>
      <rPr>
        <sz val="11"/>
        <color theme="0"/>
        <rFont val="Calibri"/>
        <family val="2"/>
        <scheme val="minor"/>
      </rPr>
      <t>Therms</t>
    </r>
  </si>
  <si>
    <t>NA</t>
  </si>
  <si>
    <t>Lookup table for therms, kWh, and gallons savings - same information as table above, just condensed.</t>
  </si>
  <si>
    <t>Equipment Life</t>
  </si>
  <si>
    <t>kWh</t>
  </si>
  <si>
    <t>Therms</t>
  </si>
  <si>
    <t>Savings (gallons)</t>
  </si>
  <si>
    <t>Low Temp Under Counter</t>
  </si>
  <si>
    <t>Low Temp Door Type</t>
  </si>
  <si>
    <t>Low Temp Single Tank Conveyor</t>
  </si>
  <si>
    <t>Low Temp Multi Tank Conveyor</t>
  </si>
  <si>
    <t>High Temp Under Counter</t>
  </si>
  <si>
    <t>High Temp Door Type</t>
  </si>
  <si>
    <t>High Temp Single Tank Conveyor</t>
  </si>
  <si>
    <t>High Temp Multi Tank Conveyor</t>
  </si>
  <si>
    <t>High Temp Pot, Pan, and Utensil</t>
  </si>
  <si>
    <t>Column lookup table for table above</t>
  </si>
  <si>
    <t>Electric building and Electric booster water heating</t>
  </si>
  <si>
    <t>Electric Building</t>
  </si>
  <si>
    <t>Natural Gas building and electric booster water heating</t>
  </si>
  <si>
    <t>Natural Gas building and natural gas booster water heating</t>
  </si>
  <si>
    <t>Location</t>
  </si>
  <si>
    <t>Fast Food Limited Menu</t>
  </si>
  <si>
    <t>Fast Food Expanded Menu</t>
  </si>
  <si>
    <t>Full Service Limited Menu</t>
  </si>
  <si>
    <t>Full Service Expanded Menu</t>
  </si>
  <si>
    <t>**Note, Average is a straight calculated average</t>
  </si>
  <si>
    <t>ENERGY STAR Fryer</t>
  </si>
  <si>
    <t>ΔTherms = (ΔDailyIdle Energy + ΔDailyPreheatEnergy +ΔDailyCooking Energy) * Days /100,000</t>
  </si>
  <si>
    <t>ΔDailyIdleEnergy =(GasIdleBase* ((HOURS – (PreheatTime/60)) – LB/GasPCBase)) – (GasIdleESTAR *((HOURS – (PreheatTime/60)) – LB/GasPCESTAR))_x000D_</t>
  </si>
  <si>
    <t>ΔDailyPreheatEnergy = GasPreheatBase – GasPreheatESTAR</t>
  </si>
  <si>
    <t>ΔDailyCookingEnergy = (LB * EFOODGas/ GasEffBase) – (LB * EFOODGas/GasEffESTAR)</t>
  </si>
  <si>
    <t>CI-FSE-ESFR-V03-220101</t>
  </si>
  <si>
    <t>Standard Fryer</t>
  </si>
  <si>
    <t>Baseline Therms</t>
  </si>
  <si>
    <t>Efficient Therms</t>
  </si>
  <si>
    <t xml:space="preserve">Average Daily Operation </t>
  </si>
  <si>
    <t>TRM Deemed - value directly from TRM</t>
  </si>
  <si>
    <t>custom or if unknown, use TRM Value of 16 hours</t>
  </si>
  <si>
    <t xml:space="preserve">LB </t>
  </si>
  <si>
    <t>custom or if unknown, use TRM Value of 150 pounds</t>
  </si>
  <si>
    <t>GasIdleBase (Btu/hr)</t>
  </si>
  <si>
    <t>Standard</t>
  </si>
  <si>
    <t>Idle energy rate of baseline gas fryer</t>
  </si>
  <si>
    <t>Large Vat</t>
  </si>
  <si>
    <t>GasIdleESTAR (Btu/hr)</t>
  </si>
  <si>
    <t>Idle energy rate of ENERGY STAR gas fryer</t>
  </si>
  <si>
    <t>GasPCBase (lb/yr)</t>
  </si>
  <si>
    <t>Production capacity of baseline gas fryer</t>
  </si>
  <si>
    <t>GasPCESTAR (lb/yr)</t>
  </si>
  <si>
    <t>Production capacity of ENERGY STAR gas fryer</t>
  </si>
  <si>
    <t>GasPreheatBase (Btu)</t>
  </si>
  <si>
    <t>Preheat energy rate of baseline gas fryer</t>
  </si>
  <si>
    <t>GasPreheatESTAR (Btu)</t>
  </si>
  <si>
    <t>Preheat energy rate of ENERGY STAR gas fryer</t>
  </si>
  <si>
    <t xml:space="preserve"> </t>
  </si>
  <si>
    <t>PreheatTime</t>
  </si>
  <si>
    <t>preheat length Baseline and ESTAR (mins)</t>
  </si>
  <si>
    <t>GasEffBase</t>
  </si>
  <si>
    <t>Cooking efficiency of baseline gas fryer</t>
  </si>
  <si>
    <t>Same for standard &amp; Large Vat fryers</t>
  </si>
  <si>
    <t>GasEffESTAR</t>
  </si>
  <si>
    <t>Cooking efficiency of ENERGY STAR gas fryer</t>
  </si>
  <si>
    <t xml:space="preserve">EFOOD </t>
  </si>
  <si>
    <t>Deemed TRM Value of 570 btu/pound</t>
  </si>
  <si>
    <t>TRM Deemed</t>
  </si>
  <si>
    <t>The baseline equipment is a natural gas fryer that is not ENERGY STAR certified at end of life.</t>
  </si>
  <si>
    <t>To qualify for this measure the installed equipment must be a natural gas fryer with a heavy load cooking efficiency ≥ 50% utilizing ASTM standard F1361 or F2144.</t>
  </si>
  <si>
    <t>Griddle Fuel Type</t>
  </si>
  <si>
    <t>ENERGY STAR Griddle</t>
  </si>
  <si>
    <t>Natural Gas</t>
  </si>
  <si>
    <t>ΔkWh = (ΔIdle Energy + ΔPreheat Energy + ΔCooking Energy) * Days /1000</t>
  </si>
  <si>
    <t>ΔDailyIdleEnergy =[ IdleBase * Width * Depth* (HOURSday-LB/ (PCBase*Width*Depth))) – (PreheatNumberBase* PreheatTimeBase/60)]- ((IdleENERGYSTAR * Width * Depth* (HOURSday-(LB/ PCENERGYSTAR*Width*Depth)) – (PreheatNumberENERGYSTAR* PreheatTimeENERGYSTAR/60]</t>
  </si>
  <si>
    <t>ΔDailyPreheatEnergy = (PreHeatNumberBase * PreheatTimeBase / 60 * PreheatRateBase * Width * Depth) – (PreheatNumberENERGYSTAR* PreheatTimeENERGYSTAR/60 * PreheatRateENERGYSTAR * Width * Depth)</t>
  </si>
  <si>
    <t>kW = ΔkWh/Hours * CF</t>
  </si>
  <si>
    <t>ΔTherms = (ΔIdle Energy + ΔPreheat Energy + ΔCooking Energy) * Days /100000</t>
  </si>
  <si>
    <t>CI-FSE-ESGR-V02-160601</t>
  </si>
  <si>
    <t xml:space="preserve">Days </t>
  </si>
  <si>
    <t>Food cooked per day (lb)</t>
  </si>
  <si>
    <t>Width</t>
  </si>
  <si>
    <t>Griddle Width (ft)</t>
  </si>
  <si>
    <t>custom or if unknown, use TRM Value of 3 feet</t>
  </si>
  <si>
    <t>Depth</t>
  </si>
  <si>
    <t>Griddle Depth (ft)</t>
  </si>
  <si>
    <t>custom or if unknown, use TRM Value of  2 feet</t>
  </si>
  <si>
    <t xml:space="preserve">EffENERGYSTAR </t>
  </si>
  <si>
    <t xml:space="preserve">Cooking Efficiency ENERGY STAR </t>
  </si>
  <si>
    <t>custom or if unknown, use TRM Value for gas of 38%</t>
  </si>
  <si>
    <t>custom or if unknown, use TRM Value for gas of 32%</t>
  </si>
  <si>
    <t>custom or if unknown, use TRM Value of 7.5 pounds/hr/sq ft</t>
  </si>
  <si>
    <t>Production Capacity Base (lbs/h)</t>
  </si>
  <si>
    <t>custom or if unknown, use TRM Value of 4.17 pounds/hr/sq ft</t>
  </si>
  <si>
    <t>preheat energy rate high efficiency (Electric = W/sq ft)
(Gas= btu/h/sf)</t>
  </si>
  <si>
    <t>custom or if unknown, use TRM Value of 10000 btu/h/sq ft</t>
  </si>
  <si>
    <t>preheat energy rate baseline (Electric= W/sq ft)
(Gas= btu/h/sf)</t>
  </si>
  <si>
    <t>custom or if unknown, use TRM Value of 14000 btu/h/sq ft</t>
  </si>
  <si>
    <t>IdleENERGYSTAR</t>
  </si>
  <si>
    <t>Idle energy rate (Electric= W/sq ft)
(Gas= btu/h/sf)</t>
  </si>
  <si>
    <t>custom or if unknown, use TRM Value of 2650 btu/h/sq ft</t>
  </si>
  <si>
    <t>Idle energy rate (Electric= W/sq ft), (Gas= btu/h/sf)</t>
  </si>
  <si>
    <t>custom or if unknown, use TRM Value of 3500 btu/h/sq ft</t>
  </si>
  <si>
    <t>ASTM energy to food (Electric= w/lb), (Gas= btu/lb)</t>
  </si>
  <si>
    <t>Deemed TRM Value if 475 for gas and 139 for electric</t>
  </si>
  <si>
    <t xml:space="preserve">Baseline Definition </t>
  </si>
  <si>
    <t>The baseline equipment is an existing natural gas or electric griddle that’s not ENERGY STAR certified and is at end of use.</t>
  </si>
  <si>
    <t>To qualify for this measure the installed equipment must be an ENERGY STAR natural gas or electric griddle with a tested heavy load cooking energy efficiency of 70 percent (electric) 38 percent (gas) or greater and an idle energy rate of 2,650 Btu/hr per square foot of cooking surface or less, utilizing ASTM F1275. The griddle must have an Idle Energy Consumption Rate &lt; 2,600 Btu/hr per square foot of cooking surface.</t>
  </si>
  <si>
    <t>Lookup Table</t>
  </si>
  <si>
    <t>Electric</t>
  </si>
  <si>
    <t>High Efficiency Pre-Rinse Spray Valve</t>
  </si>
  <si>
    <t>Heating fuel</t>
  </si>
  <si>
    <t>Application</t>
  </si>
  <si>
    <t>Measure Cost</t>
  </si>
  <si>
    <t>Tout</t>
  </si>
  <si>
    <t>Tin</t>
  </si>
  <si>
    <r>
      <t>EFF</t>
    </r>
    <r>
      <rPr>
        <vertAlign val="subscript"/>
        <sz val="10"/>
        <color theme="1"/>
        <rFont val="Calibri"/>
        <family val="2"/>
        <scheme val="minor"/>
      </rPr>
      <t>elec</t>
    </r>
  </si>
  <si>
    <t>Flag</t>
  </si>
  <si>
    <r>
      <t>EFF</t>
    </r>
    <r>
      <rPr>
        <vertAlign val="subscript"/>
        <sz val="10"/>
        <color theme="1"/>
        <rFont val="Calibri"/>
        <family val="2"/>
        <scheme val="minor"/>
      </rPr>
      <t>gas</t>
    </r>
  </si>
  <si>
    <t>FLObase</t>
  </si>
  <si>
    <t xml:space="preserve">FLOeff </t>
  </si>
  <si>
    <t>DAYSyear</t>
  </si>
  <si>
    <t>FLAG</t>
  </si>
  <si>
    <t>ISR</t>
  </si>
  <si>
    <t>Spray Valve (Med Sized Restuarants)-DI</t>
  </si>
  <si>
    <t>Low-flow fixtures</t>
  </si>
  <si>
    <t>DI</t>
  </si>
  <si>
    <t>Gas</t>
  </si>
  <si>
    <t>Medium-sized casual dining restaurants</t>
  </si>
  <si>
    <t>Small, quick- service restaurants</t>
  </si>
  <si>
    <t>4.2.11.3</t>
  </si>
  <si>
    <t>Spray Valve (Large Restaurants)-DI</t>
  </si>
  <si>
    <t>Large institutional establishments with cafeteria</t>
  </si>
  <si>
    <t>4.2.11.4</t>
  </si>
  <si>
    <t>Pre-Rinse Spray Valves DI CA</t>
  </si>
  <si>
    <t>Special measures</t>
  </si>
  <si>
    <t>Average of all buildings</t>
  </si>
  <si>
    <t xml:space="preserve">This mreasure is an average of 4.2.11a-4.2.11c. Insert new measures above the thick black line to maintain workbook functionality </t>
  </si>
  <si>
    <t>4.2.11.6</t>
  </si>
  <si>
    <t>High Efficiency Pre-Rinse Spray Valve- Average of all buildings - Public Sector</t>
  </si>
  <si>
    <t>Pre-Rinse Spray Valves - Public Sector</t>
  </si>
  <si>
    <t>Public Sector</t>
  </si>
  <si>
    <t>ΔkWH = ΔGallons x 8.33 x 1 x (Tout - Tin) x (1/EFF electric) /3,413 x FLAG</t>
  </si>
  <si>
    <t>ΔTherms = ΔWater (gallons) * 8.33 * 1 * (Tout - Tin) * (1/EFF_Gas) /100,000 * (1 – FLAG)</t>
  </si>
  <si>
    <t>ΔGallons = (FLObase - FLOeff)gal/min x 60 min/hr x HOURSday x DAYSyear</t>
  </si>
  <si>
    <t>CI-FSE-SPRY-V08-220101</t>
  </si>
  <si>
    <t>Formula</t>
  </si>
  <si>
    <t xml:space="preserve">amount of water saved </t>
  </si>
  <si>
    <t>(FLObase - FLOeff)gal/min x 60 min/hr x HOURSday x DAYSyear</t>
  </si>
  <si>
    <t xml:space="preserve">Water Heater Outlet Water Temperature </t>
  </si>
  <si>
    <t>custom, otherwise assume Tin + 70°F temperature rise from Tin</t>
  </si>
  <si>
    <t>Formula where adding 70°F is a deemed value from the TRM</t>
  </si>
  <si>
    <t>Inlet Water Temperature</t>
  </si>
  <si>
    <t>custom, otherwise assume 54.1 °F which is a deemed value in the TRM</t>
  </si>
  <si>
    <t>Efficiency of electric water heater supplying hot water to pre-rinse spray valve</t>
  </si>
  <si>
    <t>custom, otherwise assume 97% which is a deemed value in the TRM</t>
  </si>
  <si>
    <t>Dependent on whether gas or electric</t>
  </si>
  <si>
    <t>1 if electric or 0 if gas</t>
  </si>
  <si>
    <t>Efficiency of gas water heater supplying hot water to pre-rinse spray valve</t>
  </si>
  <si>
    <t>custom, otherwise assume 80% which is a deemed value in the TRM</t>
  </si>
  <si>
    <t>Lookup Value from TRM</t>
  </si>
  <si>
    <t>Base case flow in gallons per minute</t>
  </si>
  <si>
    <t>Deemed Values based on Tablein TRM</t>
  </si>
  <si>
    <t>Efficient case flow in gallons per minute</t>
  </si>
  <si>
    <t>Hours per day that the pre-rinse spray valve is used at the site, custom, otherwise</t>
  </si>
  <si>
    <t>Days per year pre-rinse spray valve is used at the site, custom, otherwise 312 days/yr based on assumed 6 days/wk x 52 wk/yr = 312 day/yr.</t>
  </si>
  <si>
    <t>TRM Deemed values</t>
  </si>
  <si>
    <t>where =1 1if electric or 0 if gas</t>
  </si>
  <si>
    <t>The expected measure life is assumed to be 5 years1</t>
  </si>
  <si>
    <t>Deemed Value from the TRM</t>
  </si>
  <si>
    <t>Baseline definition</t>
  </si>
  <si>
    <t xml:space="preserve">The baseline equipment flow rate depends on program type. For TOS, the baseline equipment is a new pre-rinse spray valve with a maximum flow rate of 1.23 gpm or less. For EREP and DI, the baseline equipment is an existing pre-rinse spray valve with an assumed flow rate of 2.14 gpm or less. </t>
  </si>
  <si>
    <t>To qualify for this measure, the new or replacement pre-rinse spray nozzle must have a maximum flow rate that meets program requirements.</t>
  </si>
  <si>
    <t xml:space="preserve">Incremental Cost </t>
  </si>
  <si>
    <t xml:space="preserve">TRM </t>
  </si>
  <si>
    <t>RF</t>
  </si>
  <si>
    <t>∆PreheatEnergy</t>
  </si>
  <si>
    <t>∆CookingEnergy</t>
  </si>
  <si>
    <t>PreheatRatebase</t>
  </si>
  <si>
    <t>PreheatRateee</t>
  </si>
  <si>
    <t>Preheats</t>
  </si>
  <si>
    <t>InputRatebase</t>
  </si>
  <si>
    <t>InputRateee</t>
  </si>
  <si>
    <t>Duty</t>
  </si>
  <si>
    <t>Hours</t>
  </si>
  <si>
    <t>Conversion Factor: Btu to therm</t>
  </si>
  <si>
    <t>Conversion Factor: Minutes to hours</t>
  </si>
  <si>
    <t>4.2.12.3</t>
  </si>
  <si>
    <t>Infrared Charbroiler Upstream</t>
  </si>
  <si>
    <t>TRM Description Notes</t>
  </si>
  <si>
    <t xml:space="preserve"> = (PreheatRaebase - PreheatRateee) * Preheats* PreheatTime/60</t>
  </si>
  <si>
    <t>Part of TRM Algorithm</t>
  </si>
  <si>
    <t xml:space="preserve"> = (InputRatebase - InputRateee) * (Duty*Hours)</t>
  </si>
  <si>
    <t>Annual days of operation</t>
  </si>
  <si>
    <t>Per TRM: custom or if unknown, use 312 days per year</t>
  </si>
  <si>
    <t>Preheat energy rate of baesline charbroiler</t>
  </si>
  <si>
    <t>Value per TRM: 64,000 Btu/hr</t>
  </si>
  <si>
    <t>Preheat energy rate of infrared charbroiler</t>
  </si>
  <si>
    <t>Per TRM:custom or if unknown, use 54,000 Btu/hr</t>
  </si>
  <si>
    <t>number of preheats per day</t>
  </si>
  <si>
    <t>Per TRM: custom or if unknown, use 1 preheat per day</t>
  </si>
  <si>
    <t>length of one preheat</t>
  </si>
  <si>
    <t>Per TRM: Custom or if unknown, use 15 minutes per preheat</t>
  </si>
  <si>
    <t>Input energy rate of baseline charbroiler</t>
  </si>
  <si>
    <t>Value per TRM: 140,000 Btu/hr</t>
  </si>
  <si>
    <t>Input energy rate of infrared charbroiler</t>
  </si>
  <si>
    <t>Per TRM: Custom or if unknown, use 105,000 Btu/hr</t>
  </si>
  <si>
    <t>Duty cycle of charbroiler (%)</t>
  </si>
  <si>
    <t>Per TRM: Custom or if unknown, use 80%</t>
  </si>
  <si>
    <t>Per TRM: custom or if unknown, use 8 hours per day</t>
  </si>
  <si>
    <t>conversion factors</t>
  </si>
  <si>
    <t>Btu to therms conversion factor</t>
  </si>
  <si>
    <t>minutes to hours conversion factor</t>
  </si>
  <si>
    <t>The expected measure life is assumed to be 12 Years</t>
  </si>
  <si>
    <t>This is per the TRM</t>
  </si>
  <si>
    <t>Rotisserie Oven</t>
  </si>
  <si>
    <t>4.2.13.3</t>
  </si>
  <si>
    <t>Rotisserie Oven Upstream</t>
  </si>
  <si>
    <t>Energy input rate of baseline rotisserie oven (Btu/hr)</t>
  </si>
  <si>
    <t>Value per TRM: Custom or if unknown, use 90,000 Btu/hr</t>
  </si>
  <si>
    <t>energy input rate of efficient rotisserie oven (Btu/hr)</t>
  </si>
  <si>
    <t>Per TRM: Custom or if unknown, use 50,000 Btu/hr</t>
  </si>
  <si>
    <t>Duty cycle of rotisserie oven (%)</t>
  </si>
  <si>
    <t>Per TRM: Custom or if unknown, use 60%</t>
  </si>
  <si>
    <t>Typical operating hours of rotisserie oven</t>
  </si>
  <si>
    <t xml:space="preserve">Per TRM: custom or if unknown, use 2,496 hours </t>
  </si>
  <si>
    <t>Measure Category</t>
  </si>
  <si>
    <t>Climate Zone</t>
  </si>
  <si>
    <t>CFM</t>
  </si>
  <si>
    <t>HP</t>
  </si>
  <si>
    <t>Annual Heating Load</t>
  </si>
  <si>
    <t>Eff(heat)</t>
  </si>
  <si>
    <t>Controls</t>
  </si>
  <si>
    <t>DVC Control Retrofit</t>
  </si>
  <si>
    <t>2 (Chicago)</t>
  </si>
  <si>
    <t>C23- Commercial Ventilation</t>
  </si>
  <si>
    <t>4.2.16.2</t>
  </si>
  <si>
    <t>Kitchen Demand Ventilation Controls - Public Sector</t>
  </si>
  <si>
    <t>DVC Control New</t>
  </si>
  <si>
    <t>6 (Nicor Custom)</t>
  </si>
  <si>
    <t>ΔTherms = CFM * HP * Annual Heating Load / (Eff(heat) * 100,000</t>
  </si>
  <si>
    <t>ΔkWh = 4,966 * HP</t>
  </si>
  <si>
    <t>ΔkW = 0.68 * HP</t>
  </si>
  <si>
    <t>Incremental Cost , $/HP of fan</t>
  </si>
  <si>
    <t>Annual Energy Savings/ Unit (kWh/fan)</t>
  </si>
  <si>
    <t>Coincident Peak Demand Reduction (kW)</t>
  </si>
  <si>
    <t>Zone</t>
  </si>
  <si>
    <t>Annual Heating Load, Btu/cfm</t>
  </si>
  <si>
    <t>1 (Rockford)</t>
  </si>
  <si>
    <t>3 (Springfield)</t>
  </si>
  <si>
    <t>4 (Belleville)</t>
  </si>
  <si>
    <t>5 (Marion)</t>
  </si>
  <si>
    <t>4.2.14.3</t>
  </si>
  <si>
    <t>Infrared Salamander Broiler Upstream</t>
  </si>
  <si>
    <t>Rate energy input rate of baseline salamander broiler (Btu/hr)</t>
  </si>
  <si>
    <t>Value per TRM: 38,500 Btu/hr</t>
  </si>
  <si>
    <t>Rated energy input rate of infrared salamander broiler (Btu/hr)</t>
  </si>
  <si>
    <t>Per TRM: Custom or if unknown, use 24,750 Btu/hr</t>
  </si>
  <si>
    <t>Duty cycle of salamander broiler (%)</t>
  </si>
  <si>
    <t>Per TRM: Custom or if unknown, use 70%</t>
  </si>
  <si>
    <t>Typical operating hours of salamander broiler</t>
  </si>
  <si>
    <t>coversion factors</t>
  </si>
  <si>
    <t>4.2.15.3</t>
  </si>
  <si>
    <t>Infrared Upright Broiler Upstream</t>
  </si>
  <si>
    <t>Rate energy input rate of baseline upright broiler (Btu/hr)</t>
  </si>
  <si>
    <t>Value per TRM: 144,000 Btu/hr</t>
  </si>
  <si>
    <t>Rated energy input rate of infrared upright broiler (Btu/hr)</t>
  </si>
  <si>
    <t>Per TRM: Custom or if unknown, use 90,000 Btu/hr</t>
  </si>
  <si>
    <t>Duty cycle of upright broiler (%)</t>
  </si>
  <si>
    <t>Typical operating hours of upright broiler</t>
  </si>
  <si>
    <t>conversion factor</t>
  </si>
  <si>
    <t>4.2.17.3</t>
  </si>
  <si>
    <t>Pasta Cooker Upstream</t>
  </si>
  <si>
    <t>Therm Savings</t>
  </si>
  <si>
    <t>This is a deemed TRM value equaling 1089 Therms</t>
  </si>
  <si>
    <t>Rack Oven - Double Oven</t>
  </si>
  <si>
    <t>InputRate</t>
  </si>
  <si>
    <t>BakingEfficiencybase</t>
  </si>
  <si>
    <t>BakingEfficiencyee</t>
  </si>
  <si>
    <t>Input energy rate of rack oven - double oven</t>
  </si>
  <si>
    <t>Per TRM: Custom or if  unknown, 275,000 Btu/hr</t>
  </si>
  <si>
    <t>Custom InputRate</t>
  </si>
  <si>
    <t>Custom Value for Single Rack Ovens</t>
  </si>
  <si>
    <t>Baking efficiency of baseline rack oven-double oven</t>
  </si>
  <si>
    <t>Per TRM: Custom or if unknown 30%</t>
  </si>
  <si>
    <t>Baking efficiency of energy efficiency rack oven-double oven</t>
  </si>
  <si>
    <t xml:space="preserve">Per TRM: Custom or if unknown 55%
</t>
  </si>
  <si>
    <t>Custom Value : Single Rack Oven Energy Star is 5% less Efficiency</t>
  </si>
  <si>
    <t>https://www.energystar.gov/sites/default/files/Commercial%20Ovens%20Final%20Version%202.2%20Specification.pdf</t>
  </si>
  <si>
    <t>Duty cycle of double rack oven (%)</t>
  </si>
  <si>
    <t>Per TRM: Custom or if unknown, use 75%</t>
  </si>
  <si>
    <t>Per TRM: Custom or if unknown, use 3,744 hours</t>
  </si>
  <si>
    <t>Storage Water Heater</t>
  </si>
  <si>
    <t>Algorithm inputs</t>
  </si>
  <si>
    <t>Standby loss calculation</t>
  </si>
  <si>
    <t>Measure Type</t>
  </si>
  <si>
    <t>Efficiency</t>
  </si>
  <si>
    <t>Tank Size</t>
  </si>
  <si>
    <t>Btu/h Size</t>
  </si>
  <si>
    <t>HotWaterUse</t>
  </si>
  <si>
    <r>
      <rPr>
        <b/>
        <sz val="9"/>
        <color theme="1"/>
        <rFont val="Calibri"/>
        <family val="2"/>
      </rPr>
      <t>ϒ</t>
    </r>
    <r>
      <rPr>
        <b/>
        <sz val="11"/>
        <color theme="1"/>
        <rFont val="Calibri"/>
        <family val="2"/>
      </rPr>
      <t>Water</t>
    </r>
  </si>
  <si>
    <t>Efbase</t>
  </si>
  <si>
    <t>Efeff</t>
  </si>
  <si>
    <t>Gallons</t>
  </si>
  <si>
    <t>BTU/therm</t>
  </si>
  <si>
    <r>
      <t>∆Therms</t>
    </r>
    <r>
      <rPr>
        <vertAlign val="subscript"/>
        <sz val="11"/>
        <color theme="1"/>
        <rFont val="Calibri"/>
        <family val="2"/>
      </rPr>
      <t>standby</t>
    </r>
  </si>
  <si>
    <t>Q</t>
  </si>
  <si>
    <t>V</t>
  </si>
  <si>
    <t>Sleff</t>
  </si>
  <si>
    <t>Slgasbase</t>
  </si>
  <si>
    <t>Input: 800</t>
  </si>
  <si>
    <t>Input: 110</t>
  </si>
  <si>
    <t>converts to btu/h</t>
  </si>
  <si>
    <t>Hours per Year</t>
  </si>
  <si>
    <t>Water heater</t>
  </si>
  <si>
    <t>Gas, Standard, ≥0.67 EF</t>
  </si>
  <si>
    <t>50 gallons</t>
  </si>
  <si>
    <t>&lt;75,000</t>
  </si>
  <si>
    <t>Gas,High Efficiency, ≥88% TE</t>
  </si>
  <si>
    <t>100 gallons</t>
  </si>
  <si>
    <t>&gt;75,000</t>
  </si>
  <si>
    <t>Storage Water Heater - Gas,High Efficiency, ≥90% TE, Bld Type = Average - Public Sector</t>
  </si>
  <si>
    <t>Storage Water Heater, &gt;90% TE - Public Sector</t>
  </si>
  <si>
    <t>Gas,High Efficiency, ≥90% TE</t>
  </si>
  <si>
    <t>TRM V6 Algorithm</t>
  </si>
  <si>
    <t>∆Therms</t>
  </si>
  <si>
    <t>For Gas Storage Water Heaters &gt; 75,000 Btu/h can claim additional savings due to lower standby losses</t>
  </si>
  <si>
    <t>CI-HWE-STWH-V08-220101</t>
  </si>
  <si>
    <t>Algorithm Input</t>
  </si>
  <si>
    <t>TRM Value</t>
  </si>
  <si>
    <t>The expected measure life is assumed to be 15 years</t>
  </si>
  <si>
    <t>Updated Savings based on TRM V5 Algorithm Change</t>
  </si>
  <si>
    <t>Algorithm Inputs below</t>
  </si>
  <si>
    <t>Tank temperature</t>
  </si>
  <si>
    <t>Incoming water temperature from well or municipal system</t>
  </si>
  <si>
    <t>TRM Table of values</t>
  </si>
  <si>
    <t>Estimated annual hot water consumption (gallons) ; Actual if possible to provide reasonable custom estimate. If not, two methodologies are provided to develop an estimate:</t>
  </si>
  <si>
    <t>Table of TRM inputs below</t>
  </si>
  <si>
    <t>Specific weight capacity of water (lb/gal)</t>
  </si>
  <si>
    <t>Deemed TRM Value based on lbs/gallon</t>
  </si>
  <si>
    <r>
      <t>Rated efficiency of baseline water heater expressed as Energy Factor (EF) or Thermal Efficiency (E</t>
    </r>
    <r>
      <rPr>
        <vertAlign val="subscript"/>
        <sz val="10"/>
        <color theme="1"/>
        <rFont val="Calibri"/>
        <family val="2"/>
        <scheme val="minor"/>
      </rPr>
      <t>t</t>
    </r>
    <r>
      <rPr>
        <sz val="10"/>
        <color theme="1"/>
        <rFont val="Calibri"/>
        <family val="2"/>
        <scheme val="minor"/>
      </rPr>
      <t xml:space="preserve">);  </t>
    </r>
  </si>
  <si>
    <t>Based on Table of TRM inputs below</t>
  </si>
  <si>
    <r>
      <t>Rated efficiency of efficient water heater expressed as Energy Factor (EF) or Thermal Efficiency (E</t>
    </r>
    <r>
      <rPr>
        <vertAlign val="subscript"/>
        <sz val="10"/>
        <color theme="1"/>
        <rFont val="Calibri"/>
        <family val="2"/>
        <scheme val="minor"/>
      </rPr>
      <t>t</t>
    </r>
    <r>
      <rPr>
        <sz val="10"/>
        <color theme="1"/>
        <rFont val="Calibri"/>
        <family val="2"/>
        <scheme val="minor"/>
      </rPr>
      <t>) TRM algorithm to determine the rate efficiency</t>
    </r>
  </si>
  <si>
    <t>TRM algorithm to determine efficiency</t>
  </si>
  <si>
    <t>Standby Loss Savings Calculation</t>
  </si>
  <si>
    <t>This is a calculation based on nameplate input rating, rated volume in gallons</t>
  </si>
  <si>
    <t>Gas Storage Water Heaters &gt;75,000 Btu/h can claim additional savings due to lower standby losses.</t>
  </si>
  <si>
    <t>Based on Algorithm from TRM</t>
  </si>
  <si>
    <r>
      <t xml:space="preserve">This is added to the </t>
    </r>
    <r>
      <rPr>
        <sz val="11"/>
        <color theme="1"/>
        <rFont val="Calibri"/>
        <family val="2"/>
      </rPr>
      <t>∆</t>
    </r>
    <r>
      <rPr>
        <sz val="11"/>
        <color theme="1"/>
        <rFont val="Calibri"/>
        <family val="2"/>
        <scheme val="minor"/>
      </rPr>
      <t>Therm Algorithm for this larger units &gt;75,000 Btu/h</t>
    </r>
  </si>
  <si>
    <t>Nameplate input rating</t>
  </si>
  <si>
    <t>custom or actual based on the nameplate input rating in Btu/h</t>
  </si>
  <si>
    <t>Rate Volume in Gallons</t>
  </si>
  <si>
    <t>Custom or actual based on the rate volume of the tank</t>
  </si>
  <si>
    <t xml:space="preserve">Nameplate standby loss of new water heater, in BTU/h </t>
  </si>
  <si>
    <t>Conversion Inputs</t>
  </si>
  <si>
    <t>Hours per year - per TRM</t>
  </si>
  <si>
    <t>conversion factor per TRM</t>
  </si>
  <si>
    <t>Standby loss of gas baseline unit (Btu/h)</t>
  </si>
  <si>
    <r>
      <t>= Q/800 + 110</t>
    </r>
    <r>
      <rPr>
        <sz val="11"/>
        <color theme="1"/>
        <rFont val="Calibri"/>
        <family val="2"/>
      </rPr>
      <t>√</t>
    </r>
    <r>
      <rPr>
        <sz val="11"/>
        <color theme="1"/>
        <rFont val="Calibri"/>
        <family val="2"/>
        <scheme val="minor"/>
      </rPr>
      <t>V</t>
    </r>
  </si>
  <si>
    <t>Input from calculation above - from the TRM</t>
  </si>
  <si>
    <t>HPWHwasteheat(gasheat)</t>
  </si>
  <si>
    <t>Heat Pump Water Heater Only - Heating cost from conversion of heat in building to water heat (dependent on heating fuel)</t>
  </si>
  <si>
    <t>Program Type Lookup Table</t>
  </si>
  <si>
    <t xml:space="preserve">Effbase </t>
  </si>
  <si>
    <t>Equipment Type</t>
  </si>
  <si>
    <t>Sub Category</t>
  </si>
  <si>
    <t>Federal Standard Minimum Efficiency[1]</t>
  </si>
  <si>
    <t>Calculated values for Table</t>
  </si>
  <si>
    <t>EREP</t>
  </si>
  <si>
    <t>Gas Storage Water Heaters</t>
  </si>
  <si>
    <t>≤55 gallon tanks</t>
  </si>
  <si>
    <t>0.6483 – (0.0017 * Rated Storage Volume in Gallons) EF</t>
  </si>
  <si>
    <t>≤ 75,000 Btu/h</t>
  </si>
  <si>
    <t xml:space="preserve">&gt;55 gallon tanks </t>
  </si>
  <si>
    <t>0.789 – (0.0004 * Rated Storage Volume in Gallons) EF</t>
  </si>
  <si>
    <t>Tank Size for Electric Incremental Cost</t>
  </si>
  <si>
    <t>Savings (kWh)</t>
  </si>
  <si>
    <t>Savings (kW)</t>
  </si>
  <si>
    <t>&lt; 4000 Btu/h/gal</t>
  </si>
  <si>
    <t>0.6002 – (0.0011 * Rated Storage Volume in Gallons) EF</t>
  </si>
  <si>
    <t>&gt; 75,000 Btu/h</t>
  </si>
  <si>
    <t>80 gallons</t>
  </si>
  <si>
    <t>HotWater Use:</t>
  </si>
  <si>
    <t xml:space="preserve">Method 2. Consumption by Facility Size </t>
  </si>
  <si>
    <t>Category (Efficiency in Et)</t>
  </si>
  <si>
    <t>Install Cost</t>
  </si>
  <si>
    <t xml:space="preserve"> Method 1 - Consumption per water heater capacity '= Consumption/cap * Capacity</t>
  </si>
  <si>
    <t>HotWaterUse - Method 2</t>
  </si>
  <si>
    <t>Gas Storage Water Heaters ≤ 75,000 Btu/h, ≤55 Gallons</t>
  </si>
  <si>
    <t>Baseline</t>
  </si>
  <si>
    <t>Consumption/cap</t>
  </si>
  <si>
    <t>Gallons hot water per unit per day</t>
  </si>
  <si>
    <t>Efficient</t>
  </si>
  <si>
    <t>Convenience</t>
  </si>
  <si>
    <t>Gas Storage Water Heaters &gt; 75,000 Btu/h</t>
  </si>
  <si>
    <t>Education</t>
  </si>
  <si>
    <t>Grocery</t>
  </si>
  <si>
    <t>Health</t>
  </si>
  <si>
    <t>Large Office</t>
  </si>
  <si>
    <t>Large Retail</t>
  </si>
  <si>
    <t>Lodging</t>
  </si>
  <si>
    <t>Other Commercial</t>
  </si>
  <si>
    <t>Restaurant</t>
  </si>
  <si>
    <t>Small Office</t>
  </si>
  <si>
    <t>Small Retail</t>
  </si>
  <si>
    <t>Warehouse</t>
  </si>
  <si>
    <t>Nursing</t>
  </si>
  <si>
    <t>Multi-Family</t>
  </si>
  <si>
    <t xml:space="preserve">Average </t>
  </si>
  <si>
    <t>Low Flow Faucet Aerators</t>
  </si>
  <si>
    <t>DHW Fuel</t>
  </si>
  <si>
    <t>Cost Source</t>
  </si>
  <si>
    <t>Δgallons</t>
  </si>
  <si>
    <t>EPG_gas selector for Room Type</t>
  </si>
  <si>
    <t>%ElectricDHW</t>
  </si>
  <si>
    <t>GPM_base</t>
  </si>
  <si>
    <t>GPM_low</t>
  </si>
  <si>
    <t>EPG_electric</t>
  </si>
  <si>
    <t xml:space="preserve">%FossilDHW </t>
  </si>
  <si>
    <t>EPG_gas</t>
  </si>
  <si>
    <t>Usage</t>
  </si>
  <si>
    <t>Throttling Factor Base</t>
  </si>
  <si>
    <t>Throttling Factor Efficient</t>
  </si>
  <si>
    <t>Fossil Fuel</t>
  </si>
  <si>
    <t>C02- Commercial Electric DHW</t>
  </si>
  <si>
    <t>Bath</t>
  </si>
  <si>
    <t>Kitchen</t>
  </si>
  <si>
    <t>Laminar</t>
  </si>
  <si>
    <t>4.3.2.4</t>
  </si>
  <si>
    <t>Low Flow Faucet Aerators, Custom, DI Faucet Aerators - Bath - DI - Public Sector</t>
  </si>
  <si>
    <t>Faucet Aerators - Bath - DI - Public Sector</t>
  </si>
  <si>
    <t>4.3.2.6</t>
  </si>
  <si>
    <t>Low Flow Faucet Aerators, Health, DI Laminar Flow - Public Sector</t>
  </si>
  <si>
    <t>Laminar Flow - Public Sector</t>
  </si>
  <si>
    <r>
      <t>ΔkWh = %ElectricDHW</t>
    </r>
    <r>
      <rPr>
        <strike/>
        <sz val="10"/>
        <rFont val="Calibri"/>
        <family val="2"/>
        <scheme val="minor"/>
      </rPr>
      <t xml:space="preserve"> </t>
    </r>
    <r>
      <rPr>
        <sz val="10"/>
        <rFont val="Calibri"/>
        <family val="2"/>
        <scheme val="minor"/>
      </rPr>
      <t xml:space="preserve">  * ((GPM_base </t>
    </r>
    <r>
      <rPr>
        <sz val="10"/>
        <rFont val="Calibri"/>
        <family val="2"/>
        <scheme val="minor"/>
      </rPr>
      <t>- GPM_low)/GPM_base) * Usage *  EPG_electric * ISR</t>
    </r>
  </si>
  <si>
    <t>ΔkW  = (ΔkWh / Hours )* CF</t>
  </si>
  <si>
    <t>ΔTherms = %FossilDHW * ((GPM_base - GPM_low)/ GPM_base) * Usage * EPG_gas * ISR</t>
  </si>
  <si>
    <t>Δgallons = ((GPM_base - GPM_low) / GPM_base) *Usage * ISR</t>
  </si>
  <si>
    <t>CI-HWE-LFFA-V10-220101</t>
  </si>
  <si>
    <t>proportion of water heating supplied by electric resistance heating</t>
  </si>
  <si>
    <t>Deemed TRM value. If Electric, 100%, if Fossil Fuel, 0%,if  Unkown, 16%</t>
  </si>
  <si>
    <t>Average flow rate, in gallons per minute, of the baseline faucet “as-used”</t>
  </si>
  <si>
    <t>Deemed TRM Value of 1.39 or custom based on metering studies or if measured during DI, Laminar Flow = 3.10</t>
  </si>
  <si>
    <t>Measured full throttle flow * 0.83 throttling factor</t>
  </si>
  <si>
    <t>Average flow rate, in gallons per minute, of the low-flow faucet aerator “as-used”</t>
  </si>
  <si>
    <t>Deemed TRM Value of 0.94 or custom based on metering studies or if measured during DI, Laminar Flow = 2.09</t>
  </si>
  <si>
    <t>Rated full throttle flow * 0.95 throttling factor</t>
  </si>
  <si>
    <t>Lookup table based on whether Kitchen or Bath</t>
  </si>
  <si>
    <t>Energy per gallon of mixed water used by faucet (electric water heater)</t>
  </si>
  <si>
    <t>Where the TRM Calculation is: (8.33 * 1.0 * (WaterTemp - SupplyTemp)) / (RE_electric * 3412)</t>
  </si>
  <si>
    <t>Where the TRM Calculation is: (8.33 * 1.0 * (90 – 54.1)) / (0.98 * 3412)</t>
  </si>
  <si>
    <t>Where the TRM Calculation is: 0.0894 kWh/gal</t>
  </si>
  <si>
    <t>Where 8.33 is a value from the TRM: Specific weight of water (lbs/gallon)</t>
  </si>
  <si>
    <t>Where 1.0 is a value from the TRM: Heat Capacity of water (btu/lb-°F)</t>
  </si>
  <si>
    <t>TRM Value for WaterTemp = Assumed temperature of mixed water = 86F for Bath, 93F for Kitchen 91F for Unknown</t>
  </si>
  <si>
    <t>TRM Value for SupplyTemp = Assumed temperature of water entering building = 50.7°F</t>
  </si>
  <si>
    <t>TRM Value for RE_electric = Recovery efficiency of electric water heater
= 98%</t>
  </si>
  <si>
    <t>3412 = Converts Btu to kWh (Btu/kWh)</t>
  </si>
  <si>
    <t>In service rate of faucet aerators</t>
  </si>
  <si>
    <t>This is a deemed value from the TRM (DI - 95%, EE Kits - 50%, Leave-Behind Kit -91%)</t>
  </si>
  <si>
    <t>Used for kW calculation only</t>
  </si>
  <si>
    <t>Annual electric DHW recovery hours for faucet use</t>
  </si>
  <si>
    <t>(Usage * 0.545)/GPH</t>
  </si>
  <si>
    <t>Calculate if usage is custom, if using default usage use the tables from the TRM</t>
  </si>
  <si>
    <t>Gallons per hour recovery of electric water heater calculated for 85.9F temp rise (140-54.1), 98% recovery efficiency, and typical 12kW electric resistance storage tank.</t>
  </si>
  <si>
    <t>Deemed table of TRM Values.  TRM also states that this is based on the building type. Or deem the value at 56</t>
  </si>
  <si>
    <t>Coincidence Factor for electric load reduction</t>
  </si>
  <si>
    <t>Dependent on building type, which is a deemed table of values from the TRM</t>
  </si>
  <si>
    <t>proportion of water heating supplied by fossil fuel heating</t>
  </si>
  <si>
    <t>Deemed Table of Values from the TRM where if Electric, 0% and if Fossil Fuel, 100%, if unkown, 86%</t>
  </si>
  <si>
    <t>Energy per gallon of Hot water supplied by gas</t>
  </si>
  <si>
    <t>Using the same deemed TRM Values as described above =  (8.33 * 1.0 * (WaterTemp - SupplyTemp)) / (RE_gas * 100,000)</t>
  </si>
  <si>
    <t>Deemed TRM Value for RE_gas = Recovery efficiency of gas water heater = 67%</t>
  </si>
  <si>
    <t>Deemed TRM Value - 100,000 = Converts Btus to Therms (Btu/Therm)</t>
  </si>
  <si>
    <t>Results in deemed TRM value of 0.00446</t>
  </si>
  <si>
    <t>Will now be based on a lookup table for bath, kitchen or unknown</t>
  </si>
  <si>
    <t>TRM Value based on building type - for planning purposes , using a mix of building types</t>
  </si>
  <si>
    <t>Estimated usage of mixed water (mixture of hot water from water heater line and cold water line) per faucet (gallons per year)</t>
  </si>
  <si>
    <t>This is a deemed value from the TRM</t>
  </si>
  <si>
    <t>The actual full install cost (including labor) for this measure should be used. If unknown assume is $8 for faucet aerators and $14.27 for LFR devices.</t>
  </si>
  <si>
    <t>DHW fuel</t>
  </si>
  <si>
    <t>%Electric_DHW</t>
  </si>
  <si>
    <t>TRM</t>
  </si>
  <si>
    <t>Actual</t>
  </si>
  <si>
    <t>Actual Laminar</t>
  </si>
  <si>
    <t>Gallons hot water per unit per day[1]</t>
  </si>
  <si>
    <t>Estimated % hot water from Faucets [2]</t>
  </si>
  <si>
    <t>Multiplier [3]</t>
  </si>
  <si>
    <t>Days per year</t>
  </si>
  <si>
    <t>Annual gallons mixed water per faucet</t>
  </si>
  <si>
    <t>Annual Recovery Hours</t>
  </si>
  <si>
    <t>Coincidence Factor</t>
  </si>
  <si>
    <t>(A)</t>
  </si>
  <si>
    <t>(B)</t>
  </si>
  <si>
    <t>(C)</t>
  </si>
  <si>
    <t>(D)</t>
  </si>
  <si>
    <t>(A*B*C*D)</t>
  </si>
  <si>
    <t xml:space="preserve">person </t>
  </si>
  <si>
    <t xml:space="preserve">employees per faucet </t>
  </si>
  <si>
    <t>Fast Food Rest</t>
  </si>
  <si>
    <t>meal/day</t>
  </si>
  <si>
    <t>meals per faucet</t>
  </si>
  <si>
    <t>Sit-Down Rest</t>
  </si>
  <si>
    <t xml:space="preserve">meal/day </t>
  </si>
  <si>
    <t>Retail</t>
  </si>
  <si>
    <t xml:space="preserve">employee </t>
  </si>
  <si>
    <t>employees per faucet</t>
  </si>
  <si>
    <t>Elementary School</t>
  </si>
  <si>
    <t xml:space="preserve">students per faucet </t>
  </si>
  <si>
    <t>Jr High/High School</t>
  </si>
  <si>
    <t>students per faucet</t>
  </si>
  <si>
    <t xml:space="preserve">patient </t>
  </si>
  <si>
    <t xml:space="preserve">Patients per faucet </t>
  </si>
  <si>
    <t>Motel</t>
  </si>
  <si>
    <t>room</t>
  </si>
  <si>
    <t xml:space="preserve">faucet per room </t>
  </si>
  <si>
    <t>Hotel</t>
  </si>
  <si>
    <t xml:space="preserve">room </t>
  </si>
  <si>
    <t>faucet per room</t>
  </si>
  <si>
    <t>Other</t>
  </si>
  <si>
    <t>Low Flow Showerheads</t>
  </si>
  <si>
    <t>Est. number of showers taken per day per showerhead</t>
  </si>
  <si>
    <t>Rated Flow (GPM)</t>
  </si>
  <si>
    <t xml:space="preserve">%ElectricDHW </t>
  </si>
  <si>
    <t>L_base</t>
  </si>
  <si>
    <t>L_low</t>
  </si>
  <si>
    <t>NSPD</t>
  </si>
  <si>
    <t>4.3.3.2</t>
  </si>
  <si>
    <t>Low Flow Showerheads 1.5 GPM - DI - Public Sector</t>
  </si>
  <si>
    <t>Low Flow Shower Heads - DI - Public Sector</t>
  </si>
  <si>
    <t>ΔkWh = %ElectricDHW  * ((GPM_base * L_base - GPM_low * L_low) * NSPD * 365.25) * EPG_electric * ISR</t>
  </si>
  <si>
    <t>ΔkW  = ΔkWh/Hours * CF</t>
  </si>
  <si>
    <t>ΔTherms = %FossilDHW * ((GPM_base * L_base - GPM_low * L_low) * NSPD* 365.25) * EPG_gas * ISR</t>
  </si>
  <si>
    <t>Δgallons = ((GPM_base * L_base - GPM_low * L_low) * NSPD * 365.25  * ISR</t>
  </si>
  <si>
    <t>CI-HWE-LFSH-V08-220101</t>
  </si>
  <si>
    <t>This is a deemed statement of values from the TRM where - 1 if electric DHW, 0 if fuel DHW, if unknown assume 16%</t>
  </si>
  <si>
    <t>Flow rate of the baseline showerhead</t>
  </si>
  <si>
    <t>Table of TRM Values below</t>
  </si>
  <si>
    <t>As-used flow rate of the low-flow showerhead</t>
  </si>
  <si>
    <t>TRM gives 3 options for permutation values, 1.5, 1.75, 2. Table of these values are in the TRM.  Table of values for calculation is below</t>
  </si>
  <si>
    <t>Shower length in minutes with baseline showerhead</t>
  </si>
  <si>
    <t>Estimated number of showers taken per day for one showerhead</t>
  </si>
  <si>
    <t>Note, this is an assumption. The value of 1 is not given by the TRM</t>
  </si>
  <si>
    <t>Calculation of Energy per gallon of hot water supplied by electric</t>
  </si>
  <si>
    <t>Where the TRM Calculation is: (8.33 * 1.0 * (ShowerTemp - SupplyTemp)) / (RE_electric * 3412)</t>
  </si>
  <si>
    <t>Where the TRM Calculation is: (8.33 * 1.0 * (101 – 50.7)) / (0.98 * 3412)</t>
  </si>
  <si>
    <t>Calculation value from the TRM: 0.127kWh/gal</t>
  </si>
  <si>
    <t>Deemed TRM Value for ShowerTemp = Assumed temperature of water = 101</t>
  </si>
  <si>
    <t>Deemed TRM Value for SupplyTemp = Assumed temperature of water entering house = 54.1°F</t>
  </si>
  <si>
    <t>Deemed TRM Value for RE_electric = Recovery efficiency of electric water heater
= 98%</t>
  </si>
  <si>
    <t>In service rate of showerhead</t>
  </si>
  <si>
    <t>Dependent on program delivery method as listed in table below: (Direct Install - 98%, Leave behind kit - 94%)</t>
  </si>
  <si>
    <t>Annual electric DHW recovery hours for showerhead use</t>
  </si>
  <si>
    <t>Calculation example from the TRM: ((GPM_base * L_base) *NSPD * 365.25 ) * 0.608 / GPH</t>
  </si>
  <si>
    <t>Where the TRM Deems Gallons per hour recovery of electric water heater calculated for 65.9F temp rise (120-54.1), 98% recovery efficiency, and typical 4.5kW electric resistance storage tank. 
= 27.51</t>
  </si>
  <si>
    <t>Where 0.773 is 77.3% is the proportion of hot 120F water mixed with 50.7°F supply water to give 105°F shower water.  This is a deemed TRM Value</t>
  </si>
  <si>
    <t>This is a deemed statement of values from the TRM where - 0 if electric DHW, 1 if fuel DHW, if unknown assume 84%</t>
  </si>
  <si>
    <t>Where the TRM calculations is (8.33 * 1.0 * (ShowerTemp - SupplyTemp)) / (RE_gas * 100,000)</t>
  </si>
  <si>
    <t>Where the TRM Deems the RE_gas = Recovery efficiency of gas water heater = 67%</t>
  </si>
  <si>
    <t>100,000 = Converts Btus to Therms (btu/Therm - from the TRM</t>
  </si>
  <si>
    <t>Custom or Actual</t>
  </si>
  <si>
    <t>DHW</t>
  </si>
  <si>
    <t>%Fossil_DHW</t>
  </si>
  <si>
    <t>Commercial Pool Covers</t>
  </si>
  <si>
    <t>Incremental Cost Source</t>
  </si>
  <si>
    <t>Ave. Pool Size</t>
  </si>
  <si>
    <t>Savings Factor</t>
  </si>
  <si>
    <t>Water Savings Factor</t>
  </si>
  <si>
    <t>Indoor</t>
  </si>
  <si>
    <t>Outdoor</t>
  </si>
  <si>
    <t>ΔTherms = SavingFactor x Size of Pool</t>
  </si>
  <si>
    <t>Δgallons = WaterSavingFactor x Size of Pool</t>
  </si>
  <si>
    <t>CI-HWE-PLCV-V01-130601</t>
  </si>
  <si>
    <t>dependent on pool location and is part of table of deemed TRM values based on location</t>
  </si>
  <si>
    <t>Size of pool</t>
  </si>
  <si>
    <t>Custom input; for planning values assuming a value of 1,000 sqft</t>
  </si>
  <si>
    <t>WaterSavingFactor</t>
  </si>
  <si>
    <t>Table of Values from the TRM listed below</t>
  </si>
  <si>
    <t>Water savings for this measure dependent on pool location and is part of table of deemed TRM values based on location</t>
  </si>
  <si>
    <t>Deemed TRM Value: The useful life of this measure is assumed to be 6 years</t>
  </si>
  <si>
    <t>For indoor pools, the base case is an uncovered indoor pool that operates all year.</t>
  </si>
  <si>
    <t>For outdoor pools, the base case is an outdoor pool that is uncovered and is open through the summer season.</t>
  </si>
  <si>
    <t>For indoor pools, the efficient case is the installation of an indoor pool cover with a 5 year warranty on an indoor pool that operates all year.</t>
  </si>
  <si>
    <t>For outdoor pools, the efficient case is the installation of an outdoor pool cover with a 5 year warranty on an outdoor pool that is open through the summer season.</t>
  </si>
  <si>
    <t>Incremental Cost Table</t>
  </si>
  <si>
    <t>Cover Size (sq. ft.) greater than</t>
  </si>
  <si>
    <t>Edge Style</t>
  </si>
  <si>
    <t>Hemmed</t>
  </si>
  <si>
    <t>Weighted</t>
  </si>
  <si>
    <t>Lookup Table for Incremental Cost</t>
  </si>
  <si>
    <t>Savings factor = dependent on pool location and listed in table below</t>
  </si>
  <si>
    <t>Location (Chicago)</t>
  </si>
  <si>
    <t>Therm / sq-ft</t>
  </si>
  <si>
    <t>WaterSavingFactor = Water savings for this measure dependent on pool location and listed in table below.</t>
  </si>
  <si>
    <t>Annual Savings Gal / sq-ft</t>
  </si>
  <si>
    <t>Lbs</t>
  </si>
  <si>
    <t>Hpconversion</t>
  </si>
  <si>
    <t>%water_savings</t>
  </si>
  <si>
    <t>Lbs-capacity</t>
  </si>
  <si>
    <t>Thermbaseline</t>
  </si>
  <si>
    <t>WHE</t>
  </si>
  <si>
    <t>Wutiliz</t>
  </si>
  <si>
    <t>Wusage_hot</t>
  </si>
  <si>
    <t>%hot_water_savings</t>
  </si>
  <si>
    <t>Wusage</t>
  </si>
  <si>
    <t>Clothes washers</t>
  </si>
  <si>
    <t>C53-Flat</t>
  </si>
  <si>
    <t>4.3.6.2</t>
  </si>
  <si>
    <t>Ozone Laundry - 150 lbs capacity - Public Sector</t>
  </si>
  <si>
    <t>Ozone Laundry - Public Sector</t>
  </si>
  <si>
    <t>ΔkWhpump = HP * Hpconversion * Hours * %water_savings</t>
  </si>
  <si>
    <t>ΔTherms = Thermbaseline * %hot_water_savings</t>
  </si>
  <si>
    <t>Δgallons = Wusage * Wutiliz * %water_savings</t>
  </si>
  <si>
    <t>CI-HWE-OZLD-VO1-140601</t>
  </si>
  <si>
    <t>Brake horsepower of boiler feed water pump</t>
  </si>
  <si>
    <t>Actual or use deemed TRM Value of 5 HP if unknown</t>
  </si>
  <si>
    <t>HPCONVERSION</t>
  </si>
  <si>
    <t>Conversion from Horsepower to Kilowatt  - deemed TRM value of 0.746</t>
  </si>
  <si>
    <t>Actual associated boiler feed water pump hours or use deemed TRM value of 800 hours if unknown</t>
  </si>
  <si>
    <t>= water reduction factor: how much more efficient an ozone injection washing machine is compared to a typical conventional washing machine as a rate of hot and cold water reduction. Deemed TRM Value at = 25%</t>
  </si>
  <si>
    <t>Laundromat = 10%</t>
  </si>
  <si>
    <t>Lbs-Capacity</t>
  </si>
  <si>
    <t>Average Capacity in lbs of washer</t>
  </si>
  <si>
    <t>ThermBaseline</t>
  </si>
  <si>
    <t>Annual Baseline Gas Consumption</t>
  </si>
  <si>
    <t>WHE * WUtiliz * WUsage_hot</t>
  </si>
  <si>
    <t>Where WHE is a deemed TRM Value = water heating energy: energy required to heat the hot water used = 0.00885 therm/gallon</t>
  </si>
  <si>
    <t>Where Wutiliz is a deemed TRM Value = washer utilization factor: the annual pounds of clothes washed per year  = actual, if unknown use 916,150 lbs laundry237, approximately equivalent to 13 cycles/day</t>
  </si>
  <si>
    <t>Where WUsage_hot is a deemed TRM Value = hot water usage factor: how much hot water a typical conventional washing machine utilizes, normalized per pounds of clothes washed = 1.19 gallons/lbs laundry</t>
  </si>
  <si>
    <t>Where %hot_water is a Deemed TRM Value = hot water reduction factor: how much more efficient an ozone injection washing machine is, compared to a typical conventional washing machine, as a rate of hot water reduction = 81%</t>
  </si>
  <si>
    <t>Laundromat = 100%</t>
  </si>
  <si>
    <t>Default per lb capacity</t>
  </si>
  <si>
    <t>Where ΔTherm = ThermBaseline * %hot_water_savings</t>
  </si>
  <si>
    <t>= 9648 * 0.81 which is equal to 7815</t>
  </si>
  <si>
    <t>ΔTherm / lb-capacity = 7815 / 254.38</t>
  </si>
  <si>
    <t>For LAUNDROMAT APPLICATION</t>
  </si>
  <si>
    <t>Round value calculation from Deemed TRM values as described above</t>
  </si>
  <si>
    <t>The measure equipment effective useful life (EUL) is estimated at 10 years based on typical lifetime of the ozone generator’s corona discharge unit.</t>
  </si>
  <si>
    <t>See deemed values table below</t>
  </si>
  <si>
    <t>Deemed Measure Cost</t>
  </si>
  <si>
    <t>Laundromat</t>
  </si>
  <si>
    <t>$25.53/ lbs capacity</t>
  </si>
  <si>
    <t>Hotel/Motel</t>
  </si>
  <si>
    <t>$79.84/ lbs capacity</t>
  </si>
  <si>
    <t>Fitness and Recreation</t>
  </si>
  <si>
    <t>Healthcare</t>
  </si>
  <si>
    <t>Assisted Living</t>
  </si>
  <si>
    <t>Demand Controls for Central Domestic Hot Water</t>
  </si>
  <si>
    <t># of Units</t>
  </si>
  <si>
    <t>MF Buildings</t>
  </si>
  <si>
    <t xml:space="preserve">Loadshape C02 - Non-Residential Electric DHW </t>
  </si>
  <si>
    <t>4.3.8.2</t>
  </si>
  <si>
    <t>Dormitories</t>
  </si>
  <si>
    <t>4.3.8.3.T</t>
  </si>
  <si>
    <t>4.3.8.T</t>
  </si>
  <si>
    <t>On-Demand DHW Controller</t>
  </si>
  <si>
    <t>ΔTherms = 55.9 * #Units</t>
  </si>
  <si>
    <t>Savings kWh</t>
  </si>
  <si>
    <t>kWh Savings Deemed at the measure level</t>
  </si>
  <si>
    <t>TRM Deemed Value for kWh</t>
  </si>
  <si>
    <t xml:space="preserve">∆Therms </t>
  </si>
  <si>
    <t>= Boiler Input Capacity * (tnormal occ * Rnormal occ + tlow occ * Rlow occ) / 100,000</t>
  </si>
  <si>
    <t>Information for Applications and PUP</t>
  </si>
  <si>
    <t>Description</t>
  </si>
  <si>
    <t>PUP Requirement</t>
  </si>
  <si>
    <t>Boiler Input Capacity</t>
  </si>
  <si>
    <t>TRM Deemed base on lookup table</t>
  </si>
  <si>
    <t xml:space="preserve">Input capacity of the Domestic Hot Water boiler in BTU/hr. </t>
  </si>
  <si>
    <t>Need to discuss what will be collected for actual</t>
  </si>
  <si>
    <t>Required - Actual?</t>
  </si>
  <si>
    <t>If the facility uses the same boiler for space heat and domestic hot water, estimate the boiler input capacity for only domestic hot water loads. If this cannot be estimated, use 22.75%[1] of total boiler input capacity for Multi-Family Buildings and 16.48%[2] of total boiler input capacity for Dormitories, as domestic hot water load.</t>
  </si>
  <si>
    <t xml:space="preserve">If unknown capcity use 4,938 BTU/hr per room for Dormitories  and 12,493 BTU/hr per apartment for Multi-Family Buildings </t>
  </si>
  <si>
    <t>tnormalocc</t>
  </si>
  <si>
    <t>Total operating hours of domestic hot water burner, when  the facility has normal occupancy.</t>
  </si>
  <si>
    <t>Per TRM: If unknown, assume 1,688 hours for Dormitories and 2,089 hours for Multi-Family buildings</t>
  </si>
  <si>
    <t>tlowocc</t>
  </si>
  <si>
    <t>Total operating hours of domestic hot water burner, when the facility has low occupancy</t>
  </si>
  <si>
    <t>Per TRM: If unknown, assume 520 hours for Dormitories and 0 hours for Multi-Family buildings</t>
  </si>
  <si>
    <t>Rnormalocc</t>
  </si>
  <si>
    <t>Table of lookup values from the TRM based on Building Type</t>
  </si>
  <si>
    <t>Reduction(%) in total operating hours of domestic hot water burner, due to installed central domestic hot water controls, during normal occupancy period.</t>
  </si>
  <si>
    <t>TRM Deemed based on Building Type</t>
  </si>
  <si>
    <t>Rlowocc</t>
  </si>
  <si>
    <t>Reduction(%) in total operating hours of domestic hot water burner, due to installed central domestic hot water controls, during low occupancy period.</t>
  </si>
  <si>
    <t>N/A - TRM Deemed</t>
  </si>
  <si>
    <t>Required - TRM Deemed</t>
  </si>
  <si>
    <t>deemed in the TRM</t>
  </si>
  <si>
    <t>The effective useful life is 15 years</t>
  </si>
  <si>
    <t>TRM Table Lookup</t>
  </si>
  <si>
    <t>RnormalOCC</t>
  </si>
  <si>
    <t>To Calculate per Unit Default</t>
  </si>
  <si>
    <t>Per Unit Default Savings</t>
  </si>
  <si>
    <t>Space Heating Boiler Tune-up</t>
  </si>
  <si>
    <t>Boiler MBh</t>
  </si>
  <si>
    <t>Pre-Tune Up Boiler Efficiency</t>
  </si>
  <si>
    <t>Efficiency Improvement</t>
  </si>
  <si>
    <t>Climate Zone Lookup</t>
  </si>
  <si>
    <t xml:space="preserve">Capacity (Btu/hr) </t>
  </si>
  <si>
    <t>EFLH</t>
  </si>
  <si>
    <t>Effbefore</t>
  </si>
  <si>
    <t>Ei</t>
  </si>
  <si>
    <t>Boilers</t>
  </si>
  <si>
    <t>4.4.2.2</t>
  </si>
  <si>
    <t>Boiler Tune Up, 300 MBH</t>
  </si>
  <si>
    <t>4.4.2.3</t>
  </si>
  <si>
    <t>Space Heating Boiler Tune-up - 75</t>
  </si>
  <si>
    <t>Boiler Tune Up, 75 MBH</t>
  </si>
  <si>
    <t>4.4.2.4</t>
  </si>
  <si>
    <t>Space Heating Boiler Tune-up - 650</t>
  </si>
  <si>
    <t>Boiler Tune Up, 650 MBH</t>
  </si>
  <si>
    <t>4.4.2.5</t>
  </si>
  <si>
    <t>Space Heating Boiler Tune-up - 482</t>
  </si>
  <si>
    <t>Boiler Tune Up, 482 MBH</t>
  </si>
  <si>
    <t>Space Heating Boiler Tune-up - 800</t>
  </si>
  <si>
    <t>4.4.2.7</t>
  </si>
  <si>
    <t>Space Heating Boiler Tune-up - 1000</t>
  </si>
  <si>
    <t>Boiler Tune Up, 1000 MBH</t>
  </si>
  <si>
    <t>4.4.2.8</t>
  </si>
  <si>
    <t>Space Heating Boiler Tune-up - 3500</t>
  </si>
  <si>
    <t>Boiler Tune Up, &gt; 1000 MBH</t>
  </si>
  <si>
    <t>4.4.2.9</t>
  </si>
  <si>
    <t>Space Heating Boiler Tune-up - Public Sector</t>
  </si>
  <si>
    <t>Boiler Tune Up, Public Sector</t>
  </si>
  <si>
    <t>This measure is an average of varying MBHs</t>
  </si>
  <si>
    <t>4.4.2.10</t>
  </si>
  <si>
    <t>Space Heating Boiler Tune-up - CPOP</t>
  </si>
  <si>
    <t>Boiler Tune Up, CPOP</t>
  </si>
  <si>
    <t>Space Heating Boiler Tune-up - 1800</t>
  </si>
  <si>
    <t>4.4.2.12</t>
  </si>
  <si>
    <t>Space Heating Boiler Tune-up - 2800</t>
  </si>
  <si>
    <t>Boiler Tune Up, 2800 MBH BOP</t>
  </si>
  <si>
    <t>Δtherms= (Capacity * EFLH) * (Effbefore + Ei) / Effbefore) - 1)) / 100000</t>
  </si>
  <si>
    <t>used as a lookup for EFLH table</t>
  </si>
  <si>
    <t>Capacity</t>
  </si>
  <si>
    <t>Boiler gas input size (Btu/hr)</t>
  </si>
  <si>
    <t xml:space="preserve">custom - Table of inputs </t>
  </si>
  <si>
    <r>
      <t>Table of lookup Values  on the tab labeled:</t>
    </r>
    <r>
      <rPr>
        <i/>
        <sz val="11"/>
        <color theme="1"/>
        <rFont val="Calibri"/>
        <family val="2"/>
        <scheme val="minor"/>
      </rPr>
      <t>List</t>
    </r>
  </si>
  <si>
    <t>Equivalent Full Load Hours for heating are provided in section 4.4 HVAC End Use</t>
  </si>
  <si>
    <t>EFLHs by building type and climate zone provided in Section 4.4</t>
  </si>
  <si>
    <t>Table of Lookup values from TRM</t>
  </si>
  <si>
    <t>Efficiency of the boiler before the tune-up</t>
  </si>
  <si>
    <t>Actual. Default value is 81.5%</t>
  </si>
  <si>
    <t>Efficiency Improvement of the boiler tune-up measure</t>
  </si>
  <si>
    <t>Actual. Default value is 2.3%</t>
  </si>
  <si>
    <t>The baseline condition of this measure is a boiler that has not had a tune-up within the past 36 months</t>
  </si>
  <si>
    <t>The efficient condition of this measure is a boiler that gets a tune up</t>
  </si>
  <si>
    <t>Cost/kBtuh</t>
  </si>
  <si>
    <t>Ngi</t>
  </si>
  <si>
    <t>Boiler gas input size (kBTU/hr)</t>
  </si>
  <si>
    <t>SF</t>
  </si>
  <si>
    <t>Savings factor</t>
  </si>
  <si>
    <t>Equivalent Full Load Hours for heating</t>
  </si>
  <si>
    <t>Effpre</t>
  </si>
  <si>
    <t>Boiler Combustion Efficiency Before Tune-Up</t>
  </si>
  <si>
    <t>Conversion from kbtuh (MBH) to Btu/hr</t>
  </si>
  <si>
    <t>Climate Table Lookup</t>
  </si>
  <si>
    <t>Boiler kbtuh (MBh)</t>
  </si>
  <si>
    <t>AVE. Btu/hr</t>
  </si>
  <si>
    <t>SBES</t>
  </si>
  <si>
    <t>BOP</t>
  </si>
  <si>
    <t>General Conversion from kbtuh (MBH) to Btu/hr - multiply MBh by 1000)</t>
  </si>
  <si>
    <t>Process Boiler Tune-up</t>
  </si>
  <si>
    <t>Combustion Efficiency Before Tune Up</t>
  </si>
  <si>
    <t>Combustion Efficiency After Tune Up</t>
  </si>
  <si>
    <t>Boiler kbtuh</t>
  </si>
  <si>
    <t>UF</t>
  </si>
  <si>
    <r>
      <t>Eff</t>
    </r>
    <r>
      <rPr>
        <vertAlign val="subscript"/>
        <sz val="11"/>
        <color theme="1"/>
        <rFont val="Calibri"/>
        <family val="2"/>
        <scheme val="minor"/>
      </rPr>
      <t>pre</t>
    </r>
  </si>
  <si>
    <r>
      <t>Eff</t>
    </r>
    <r>
      <rPr>
        <vertAlign val="subscript"/>
        <sz val="11"/>
        <color theme="1"/>
        <rFont val="Calibri"/>
        <family val="2"/>
        <scheme val="minor"/>
      </rPr>
      <t>measured</t>
    </r>
  </si>
  <si>
    <t>4.4.3.2</t>
  </si>
  <si>
    <t>Process Boiler Tune-up - 800 MBU - Public Sector</t>
  </si>
  <si>
    <t>Boiler Tune Up, Process - Public Sector</t>
  </si>
  <si>
    <t>4.4.3.3</t>
  </si>
  <si>
    <t>Boiler Tune Up, Process BOP</t>
  </si>
  <si>
    <r>
      <t>Δtherms= ((Ngi* 8766 * UF)/100)*(1-(Eff</t>
    </r>
    <r>
      <rPr>
        <vertAlign val="subscript"/>
        <sz val="10"/>
        <rFont val="Calibri"/>
        <family val="2"/>
        <scheme val="minor"/>
      </rPr>
      <t>pre</t>
    </r>
    <r>
      <rPr>
        <sz val="10"/>
        <rFont val="Calibri"/>
        <family val="2"/>
        <scheme val="minor"/>
      </rPr>
      <t>/Eff</t>
    </r>
    <r>
      <rPr>
        <vertAlign val="subscript"/>
        <sz val="10"/>
        <rFont val="Calibri"/>
        <family val="2"/>
        <scheme val="minor"/>
      </rPr>
      <t>measured</t>
    </r>
    <r>
      <rPr>
        <sz val="10"/>
        <rFont val="Calibri"/>
        <family val="2"/>
        <scheme val="minor"/>
      </rPr>
      <t>))</t>
    </r>
  </si>
  <si>
    <t>this is  custom input</t>
  </si>
  <si>
    <t>Utilization Factor</t>
  </si>
  <si>
    <t xml:space="preserve">Deemed TRM Value of 41.9 or custom </t>
  </si>
  <si>
    <t xml:space="preserve">Boiler Combustion Efficiency Before Tune-Up </t>
  </si>
  <si>
    <t>Custom Input</t>
  </si>
  <si>
    <t xml:space="preserve">Boiler Combustion Efficiency After Tune-Up </t>
  </si>
  <si>
    <t>Actual. Default value is 82.6%</t>
  </si>
  <si>
    <t>The life of this measure is 3 years</t>
  </si>
  <si>
    <t>this is a deemed TRM Value</t>
  </si>
  <si>
    <t>A Boiler that has not had a tune up in the last 3 years</t>
  </si>
  <si>
    <t>A boiler that gets the tune up</t>
  </si>
  <si>
    <t>Boiler Lockout/ Reset Controls</t>
  </si>
  <si>
    <t xml:space="preserve">Binput </t>
  </si>
  <si>
    <t>4.4.4.2</t>
  </si>
  <si>
    <t>Boiler Reset Controls, 400 MBH</t>
  </si>
  <si>
    <t>4.4.4.6</t>
  </si>
  <si>
    <t>Boiler Lockout/ Reset Controls - 400 MBH - Public Sector</t>
  </si>
  <si>
    <t>Boiler Reset Controls, 400 MBH - Public Sector</t>
  </si>
  <si>
    <t>Public Sector Average</t>
  </si>
  <si>
    <r>
      <t>Δtherms= B</t>
    </r>
    <r>
      <rPr>
        <vertAlign val="subscript"/>
        <sz val="10"/>
        <rFont val="Calibri"/>
        <family val="2"/>
        <scheme val="minor"/>
      </rPr>
      <t xml:space="preserve">input </t>
    </r>
    <r>
      <rPr>
        <sz val="10"/>
        <rFont val="Calibri"/>
        <family val="2"/>
        <scheme val="minor"/>
      </rPr>
      <t>* SF * EFLH /100</t>
    </r>
  </si>
  <si>
    <t>Boiler Input Capacity (kBTU)</t>
  </si>
  <si>
    <t>this is a custom input</t>
  </si>
  <si>
    <t>Custom or 8%. 8% is a deemed TRM value</t>
  </si>
  <si>
    <t>Conversion</t>
  </si>
  <si>
    <t>100 = conversion from kBtu to therms</t>
  </si>
  <si>
    <t>The life of this measure is 20 years</t>
  </si>
  <si>
    <t>This is a deemed TRM value</t>
  </si>
  <si>
    <t>Existing boiler without boiler reset controls, any size with constant hot water flow.</t>
  </si>
  <si>
    <t xml:space="preserve">adding a boiler reset control where Natural gas customer adding boiler reset controls capable of resetting the boiler supply water temperature in an inverse linear fashion with outdoor air temperature. BoilerNatural gas customer adding boiler reset controls capable of resetting the boiler supply water temperature in an inverse linear fashion with outdoor air temperature. </t>
  </si>
  <si>
    <t>Condensing Unit Heaters</t>
  </si>
  <si>
    <t>Other HVAC</t>
  </si>
  <si>
    <t>4.4.5.2</t>
  </si>
  <si>
    <t>Condensing Unit Heaters - Public Sector</t>
  </si>
  <si>
    <t>Condensing Unit Heaters, &gt;90% &lt;300 MBH - Public Sector</t>
  </si>
  <si>
    <t>Δtherms = ((Capacity * EFLH * UF) / 100) * (1 /Eff_Base – 1 /Eff_EE))</t>
  </si>
  <si>
    <t>CI-HVC-CUHT-V02-220101</t>
  </si>
  <si>
    <t>Nominal rating of the input capacity of the new condensing unit heater in kBtu/hr</t>
  </si>
  <si>
    <t>(Actual - rightsized to match the deemed value per IL TRM v9)</t>
  </si>
  <si>
    <t>Equivalent Full load hours</t>
  </si>
  <si>
    <t>This is a deemed TRM Value (Using Nicor Gas average value)</t>
  </si>
  <si>
    <t>Deemed value</t>
  </si>
  <si>
    <t>Eff_Base</t>
  </si>
  <si>
    <t xml:space="preserve">Combustion Efficiency of the baseline unit heater </t>
  </si>
  <si>
    <t>This is a default TRM Value</t>
  </si>
  <si>
    <t>Eff_EE</t>
  </si>
  <si>
    <t>Capacity * $15.56</t>
  </si>
  <si>
    <t>Program Types</t>
  </si>
  <si>
    <t>Time of Sale</t>
  </si>
  <si>
    <t>NC</t>
  </si>
  <si>
    <t>New Construction</t>
  </si>
  <si>
    <t>High Efficiency Boiler</t>
  </si>
  <si>
    <t>Boiler btuh</t>
  </si>
  <si>
    <t>Boiler btuh Actual</t>
  </si>
  <si>
    <t>Base Boiler type</t>
  </si>
  <si>
    <t>Efficient Measure</t>
  </si>
  <si>
    <t xml:space="preserve">Cost Source </t>
  </si>
  <si>
    <r>
      <t>EffRating</t>
    </r>
    <r>
      <rPr>
        <vertAlign val="subscript"/>
        <sz val="9"/>
        <color theme="1"/>
        <rFont val="Calibri"/>
        <family val="2"/>
        <scheme val="minor"/>
      </rPr>
      <t>base</t>
    </r>
  </si>
  <si>
    <r>
      <t>EffRating</t>
    </r>
    <r>
      <rPr>
        <vertAlign val="subscript"/>
        <sz val="9"/>
        <color theme="1"/>
        <rFont val="Calibri"/>
        <family val="2"/>
        <scheme val="minor"/>
      </rPr>
      <t>actual</t>
    </r>
  </si>
  <si>
    <t>AFUE(existing)</t>
  </si>
  <si>
    <t>Hot Water &lt;300,000 Btu/h  ≥ January 1, 2022</t>
  </si>
  <si>
    <t>AFUE 90%</t>
  </si>
  <si>
    <t xml:space="preserve">Actual </t>
  </si>
  <si>
    <t>ENERGY STAR® Minimum</t>
  </si>
  <si>
    <t>4.4.10.11</t>
  </si>
  <si>
    <t>Hydronic Boilers, ≥85% 500-2500 MBH - Public Sector</t>
  </si>
  <si>
    <t>4.4.10.12</t>
  </si>
  <si>
    <t>Condensing Boilers, ≥90% 500-2000 MBH - Public Sector</t>
  </si>
  <si>
    <t>4.4.10.13</t>
  </si>
  <si>
    <t>Steam Boilers, ≥90% 1701-2500 MBH</t>
  </si>
  <si>
    <t>Steam - all except natural draft ≥300,000 &amp; ≤2,500,000 Btu/h</t>
  </si>
  <si>
    <t>AFUE 90% Steam</t>
  </si>
  <si>
    <t>4.4.10.14</t>
  </si>
  <si>
    <t>4.4.10.15</t>
  </si>
  <si>
    <t>4.4.10.16</t>
  </si>
  <si>
    <t>Δtherms= (EFLH * Capacity * (EffRatingactual - EffRatingbase) / EffRatingbase)) / 100000</t>
  </si>
  <si>
    <t>Meeting with CLEAResult on August 17 and August18, 2015</t>
  </si>
  <si>
    <t>TRM Descriptoin Notes</t>
  </si>
  <si>
    <t>Description - for planning</t>
  </si>
  <si>
    <t>PUP Field Requirement</t>
  </si>
  <si>
    <t>EFLH - will need to look into the ELFH. Do the weighted average of zones 1, 2, and 3 by 30%, 60%, and 10% and will need to look into why Springfield is included when it is not part of the service territory</t>
  </si>
  <si>
    <t>TRM Deemed - based on table of lookup values based on climate zone and building type</t>
  </si>
  <si>
    <t>"Zip code" Which determines Climate zone, and "Building Type" in section 4 of application</t>
  </si>
  <si>
    <t>Required - Actual</t>
  </si>
  <si>
    <t>Note on EFLH - The rounding of EFLH results in a slightly different number (decimals) than CR</t>
  </si>
  <si>
    <t>Permutation Type</t>
  </si>
  <si>
    <t>Nominal Heating Input Capacity Boiler Size (Btu/hr) for efficient unit not existing unit</t>
  </si>
  <si>
    <t>Custom - collected on application; Using Common Assumptions for Planning</t>
  </si>
  <si>
    <t>"Manufacturer and Model Number" - Lookup by BES based on those fields; And Check Box Ranges based on Capacity Size and Boiler Type</t>
  </si>
  <si>
    <t>EFF baseline - from June 2013 from the TRM</t>
  </si>
  <si>
    <t>custom Boiler input capacity in Btu/hr</t>
  </si>
  <si>
    <t>CR to research the incremental cost since the incremental cost being used is not based on the TRM, but actual.</t>
  </si>
  <si>
    <t>Based on Lookup Table</t>
  </si>
  <si>
    <t>Baseline Boiler Efficiency Rating, dependant on year and boiler type. Baseline efficiency values by boiler type and capacity are found in the Definition of Baseline Equipment Section</t>
  </si>
  <si>
    <t>TRM Deemed - based on lookup table based on permutation/capactiy</t>
  </si>
  <si>
    <t>None - this is based on TRM Base (confirm) (using TRM Value)</t>
  </si>
  <si>
    <t>To do - Add steam measures, currently only hot water permutations included.  The same note applies to boilers, which are only steam.  Boilers should include the same type of permutations</t>
  </si>
  <si>
    <t>Deemed Table of Values from TRM</t>
  </si>
  <si>
    <t>Currently, the permutations only include 5 condensing and 5 hydronic for hot water</t>
  </si>
  <si>
    <t>Efficent Boiler Efficiency Rating use actual value</t>
  </si>
  <si>
    <t>TRM Deemed - using efficiency from TRM as planning assumption based on lookup table based on permutation/capactiy</t>
  </si>
  <si>
    <t>"Manufacturer and Model Number" - Lookup by BES based on those fields</t>
  </si>
  <si>
    <t>The EFF rating assumption is from the TRM</t>
  </si>
  <si>
    <t>Have 90% only? Or higher - in PY2 and 3 what is the installed efficiency of boilers on average</t>
  </si>
  <si>
    <t>The expected measure life is assumed to be 25 years</t>
  </si>
  <si>
    <t>None</t>
  </si>
  <si>
    <t>Currently, only have 2 permutations for Small Business.  To do, will need to add more.  Will need to get additional information on this from CR to better understand the actual data</t>
  </si>
  <si>
    <t>Deemed Value from TRM</t>
  </si>
  <si>
    <t>Data Analysis Notes - Data from CLEAResult on 9/4/2015</t>
  </si>
  <si>
    <t xml:space="preserve">The incremental capital cost for this measure depends on efficiency </t>
  </si>
  <si>
    <t>Actual assumptions from CR- does CR collect this information by application?</t>
  </si>
  <si>
    <t>None - Picked up from Invoice, but not currenlty passing actual (confirm)</t>
  </si>
  <si>
    <t>Source File: "Copy of Nicor Commercial Measures - Cost and Savings Data for BEER with KS edits"</t>
  </si>
  <si>
    <t>Deemed Table of Values from TRM, but currenlty are using Actual Incremental Cost values from CLEAResult as displayed in the table below</t>
  </si>
  <si>
    <t>Condensing Boilers</t>
  </si>
  <si>
    <t>Dependent on when the unit is installed and whether the unit is hot water or steam.</t>
  </si>
  <si>
    <t>To qualify for this measure the installed equipment must be a boiler used 80% or more for space heating, not process, and boiler AFUE, TE (thermal efficiency), or Ec (combustion efficiency) rating must be rated greater than or equal to 85% for hot water boilers and 81% for steam boilers.</t>
  </si>
  <si>
    <t>TEAPOt</t>
  </si>
  <si>
    <t>will add 2 permutations for EREP - one for hydronic and one for condensing</t>
  </si>
  <si>
    <t>TRM does not have an EREP option</t>
  </si>
  <si>
    <t>Type</t>
  </si>
  <si>
    <t xml:space="preserve">Therefore assuming AFUE existing at 10% less than the AFUE baseline. </t>
  </si>
  <si>
    <t>Hot Water</t>
  </si>
  <si>
    <t xml:space="preserve">cnfirm this </t>
  </si>
  <si>
    <t>Steam</t>
  </si>
  <si>
    <t>will not add the EREP permutaitons to the summary page, only to TEAPOt</t>
  </si>
  <si>
    <t>TEAPot AFUE existing reduction %</t>
  </si>
  <si>
    <t>Actual AFUE</t>
  </si>
  <si>
    <t>Incr. Cost, per unit (TRM)</t>
  </si>
  <si>
    <t>Hydronic</t>
  </si>
  <si>
    <t>Condensing</t>
  </si>
  <si>
    <t>AFUE 95%</t>
  </si>
  <si>
    <t>AFUE ≥ 96%</t>
  </si>
  <si>
    <t xml:space="preserve"> Boiler Baseline Values from the TRM</t>
  </si>
  <si>
    <t>Year</t>
  </si>
  <si>
    <t>Units</t>
  </si>
  <si>
    <t>Actual Incremental Cost  from CLEAResult</t>
  </si>
  <si>
    <t>EEP 3.1</t>
  </si>
  <si>
    <t>Hot Water &lt;300,000 Btu/h &lt; January 1, 2022</t>
  </si>
  <si>
    <t>AFUE</t>
  </si>
  <si>
    <t>Hot Water &lt;300,000 Btu/h  ≥ June 1, 2013</t>
  </si>
  <si>
    <t>added 3 permutations for Public sector - average 500-2000 Hydronic and Condensing Boilers and a 2000 MBH Steam Boiler</t>
  </si>
  <si>
    <r>
      <t xml:space="preserve">Hot Water &lt;300,000 Btu/h  ≥ </t>
    </r>
    <r>
      <rPr>
        <sz val="10"/>
        <rFont val="Calibri"/>
        <family val="2"/>
        <scheme val="minor"/>
      </rPr>
      <t>January 1, 2022</t>
    </r>
  </si>
  <si>
    <t>Hot Water  ≥300,000 &amp; ≤2,500,000 Btu/h</t>
  </si>
  <si>
    <t xml:space="preserve"> TE</t>
  </si>
  <si>
    <t>Hot Water  &gt;2,500,000 Btu/h</t>
  </si>
  <si>
    <t>Steam &lt;300,000 Btu/h &lt; January 1, 2022</t>
  </si>
  <si>
    <r>
      <t>Steam &lt;300,000 Bt</t>
    </r>
    <r>
      <rPr>
        <sz val="10"/>
        <rFont val="Calibri"/>
        <family val="2"/>
        <scheme val="minor"/>
      </rPr>
      <t>u/h ≥January 1, 2022</t>
    </r>
  </si>
  <si>
    <t>Steam - natural draft ≥300,000 &amp; ≤2,500,000 Btu/h</t>
  </si>
  <si>
    <t>TE</t>
  </si>
  <si>
    <t>Steam - all except natural draft &gt;2,500,000 Btu/h</t>
  </si>
  <si>
    <t>Steam - natural draft &gt;2,500,000 Btu/h</t>
  </si>
  <si>
    <t>Maybe delete table since EFLH is to the List tab</t>
  </si>
  <si>
    <t>6 (Nicor custom)</t>
  </si>
  <si>
    <t>Office - High Rise</t>
  </si>
  <si>
    <t xml:space="preserve">Custom climate zone weights - fromClearResult assumptions </t>
  </si>
  <si>
    <t>Office - Mid Rise</t>
  </si>
  <si>
    <t xml:space="preserve">Rockford </t>
  </si>
  <si>
    <t>Office - Low Rise</t>
  </si>
  <si>
    <t>Chicago</t>
  </si>
  <si>
    <t>Springfield</t>
  </si>
  <si>
    <t>Healthcare Clinic</t>
  </si>
  <si>
    <t>Manufacturing Facility</t>
  </si>
  <si>
    <t>Lodging Hotel/Motel/ Multifamily</t>
  </si>
  <si>
    <t>High School</t>
  </si>
  <si>
    <t>Hospital</t>
  </si>
  <si>
    <t>Elementary</t>
  </si>
  <si>
    <t>Religious Facility</t>
  </si>
  <si>
    <t>Retail - Strip Mall</t>
  </si>
  <si>
    <t>Retail - Department Store</t>
  </si>
  <si>
    <t>College/University</t>
  </si>
  <si>
    <t>High Efficiency Furnace</t>
  </si>
  <si>
    <t>Eff. Measure Installation Yr</t>
  </si>
  <si>
    <t>AC or No AC</t>
  </si>
  <si>
    <t>Furnace Capacity (BTUH)</t>
  </si>
  <si>
    <t>Incremental Cost/unit</t>
  </si>
  <si>
    <t xml:space="preserve">Climate Lookup </t>
  </si>
  <si>
    <t>Heating Savings</t>
  </si>
  <si>
    <t>Cooling Savings</t>
  </si>
  <si>
    <t>Shoulder Season Savings</t>
  </si>
  <si>
    <t>HOURSyear</t>
  </si>
  <si>
    <t>DaysYear</t>
  </si>
  <si>
    <t>AFUEbase</t>
  </si>
  <si>
    <t>AFUEeff</t>
  </si>
  <si>
    <t>Furnaces</t>
  </si>
  <si>
    <t>MF - Mid Rise</t>
  </si>
  <si>
    <t>4.4.11.7</t>
  </si>
  <si>
    <t>High Efficiency Furnace- 92.0%, Install Yr. 2012, Building Type: Public Sector Average</t>
  </si>
  <si>
    <t>Furnace, &gt;92% AFUE - Public Sector</t>
  </si>
  <si>
    <t>4.4.11.8</t>
  </si>
  <si>
    <t>High Efficiency Furnace- 95.0%, Install Yr. 2012, Building Type: Public Sector Average</t>
  </si>
  <si>
    <t>Furnace, &gt;95% AFUE - Public Sector</t>
  </si>
  <si>
    <t>ΔkWh = Heating Savings + Cooling Savings + Shoulder Season Savings</t>
  </si>
  <si>
    <t>ΔkW = (ΔkWh/(HOURSyear *DaysYear))  *  CF</t>
  </si>
  <si>
    <t>ΔTherms= EFLH * Capacity * (AFUE(eff)-AFUE(base) / AFUE(base)) / 100,000 Btu/Therm</t>
  </si>
  <si>
    <t>CI-HVC-FRNC-V07-180101</t>
  </si>
  <si>
    <t>Brushless DC motor or Electronically commutated motor savings during heating season</t>
  </si>
  <si>
    <t>Based on lookup table below</t>
  </si>
  <si>
    <t>Brushless DC motor or electronically commutated motor savings during cooling season</t>
  </si>
  <si>
    <t xml:space="preserve">Table of Deemed TRM values dependent upon if there is air conditioning. </t>
  </si>
  <si>
    <t>Brushless DC motor or electronically commutated motor (ECM) savings during shoulder seasons</t>
  </si>
  <si>
    <t>Actual hours per year if known, otherwise use hours from Table below for building type</t>
  </si>
  <si>
    <t>Deemed table of TRM Values, currently using "Unknown"</t>
  </si>
  <si>
    <t>Summer Peak Coincidence Factor for measure is provided below for different building types</t>
  </si>
  <si>
    <t>Deemed Table of TRM Values</t>
  </si>
  <si>
    <t>ELFH</t>
  </si>
  <si>
    <t>Nominal Heating Input Capacity Furnace Size (Btu/hr) for efficient unit not existing unit</t>
  </si>
  <si>
    <t>This is a custom input: custom Furnace input capacity in Btu/hr</t>
  </si>
  <si>
    <t>Baseline Furnace Annual Fuel Utilization Efficiency Rating, dependent on year</t>
  </si>
  <si>
    <t>Efficient Furnace Annual Fuel Utilization Efficiency Rating.</t>
  </si>
  <si>
    <t>Actual. If Unknown, assume 95%</t>
  </si>
  <si>
    <t>The expected measure life is assumed to be 16.5 years</t>
  </si>
  <si>
    <t>Remaining life of existing equipment is assumed to be 5.5 years</t>
  </si>
  <si>
    <t>These are Deemed TRM Values</t>
  </si>
  <si>
    <t>Definition of Baseline equipment</t>
  </si>
  <si>
    <t>Based on program type - efficiency of standard piece of equipment</t>
  </si>
  <si>
    <t>Definition of Efficient Equipment</t>
  </si>
  <si>
    <t>Requirements must exceed the baseline requirements</t>
  </si>
  <si>
    <t>Climate Zone Lookup Table</t>
  </si>
  <si>
    <t>TRM V10 Values</t>
  </si>
  <si>
    <t>Air Conditioning</t>
  </si>
  <si>
    <t>Installation Cost</t>
  </si>
  <si>
    <t>No Air Conditioning</t>
  </si>
  <si>
    <t>n/a</t>
  </si>
  <si>
    <t>*Note, unknown is a weighted average</t>
  </si>
  <si>
    <t>Time of sale</t>
  </si>
  <si>
    <t>Retrofit</t>
  </si>
  <si>
    <t>AFUEeff Lookup Table</t>
  </si>
  <si>
    <t>Cost Table Updated 04/14/2014 &gt;&gt;&gt;</t>
  </si>
  <si>
    <t>Old Incremental cost Values (TRM Effective 06/2012)</t>
  </si>
  <si>
    <t>Measure Tier</t>
  </si>
  <si>
    <t>Incr. Cost, per unit</t>
  </si>
  <si>
    <t>CEE Tier 2 - 92%</t>
  </si>
  <si>
    <t>CEE Tier 2 - 93%</t>
  </si>
  <si>
    <t>CEE Tier 3 - 94%</t>
  </si>
  <si>
    <t>CEE Tier 3 - 95%</t>
  </si>
  <si>
    <t>SBES MBTUH Range:</t>
  </si>
  <si>
    <t>≥ 96% AFUE</t>
  </si>
  <si>
    <t>Up to 100 MBTUH range:</t>
  </si>
  <si>
    <t>BTUH</t>
  </si>
  <si>
    <t>AFUEbase Lookup Table</t>
  </si>
  <si>
    <t>&gt;100 up to 200 MBTUH range:</t>
  </si>
  <si>
    <t>&gt;200 up to 300 MBTUH range:</t>
  </si>
  <si>
    <t>For all Furnace sizes, Till end of 2022</t>
  </si>
  <si>
    <t>For Furances &gt; 225,000 starting Jan 1st 2023</t>
  </si>
  <si>
    <t xml:space="preserve">Custom climate zone weights </t>
  </si>
  <si>
    <t>Hotel/ Motel</t>
  </si>
  <si>
    <t>Medical</t>
  </si>
  <si>
    <t>College/ University</t>
  </si>
  <si>
    <t>Zone 1 (Rockford)</t>
  </si>
  <si>
    <t>Zone 2 (Chicago)</t>
  </si>
  <si>
    <t>Zone 3 (Springfield)</t>
  </si>
  <si>
    <t>Zone 4 (Belleville)</t>
  </si>
  <si>
    <t>Zone 5 (Marion)</t>
  </si>
  <si>
    <t>Assembly</t>
  </si>
  <si>
    <t>Auto Dealership</t>
  </si>
  <si>
    <t>College</t>
  </si>
  <si>
    <t>Convenience Store</t>
  </si>
  <si>
    <t>Drug Store</t>
  </si>
  <si>
    <t>Garage</t>
  </si>
  <si>
    <t>Hospital - CAV no econ</t>
  </si>
  <si>
    <t>Hospital - CAV econ</t>
  </si>
  <si>
    <t>Hospital - VAV econ</t>
  </si>
  <si>
    <t>Hospital - FCU</t>
  </si>
  <si>
    <t>Hotel/Motel - Common</t>
  </si>
  <si>
    <t>Hotel/Motel - Guest</t>
  </si>
  <si>
    <t>MF - High Rise</t>
  </si>
  <si>
    <t>MF - High Rise - Common</t>
  </si>
  <si>
    <t>MF - High Rise - Residential</t>
  </si>
  <si>
    <t>Movie Theater</t>
  </si>
  <si>
    <t>Office - High Rise - CAV no econ</t>
  </si>
  <si>
    <t>Office - High Rise - CAV econ</t>
  </si>
  <si>
    <t>Office - High Rise - VAV econ</t>
  </si>
  <si>
    <t>Office - High Rise - FCU</t>
  </si>
  <si>
    <t>Religious Building</t>
  </si>
  <si>
    <t>TRM V8 Assumption Tables</t>
  </si>
  <si>
    <t>HOURSyear  (Pumps and fans (h/yr)</t>
  </si>
  <si>
    <t>Office - High Rise - VAVecon</t>
  </si>
  <si>
    <t>Office - High Rise - CAVecon</t>
  </si>
  <si>
    <t>Office - High Rise - CAV noecon</t>
  </si>
  <si>
    <t>Same as unknown</t>
  </si>
  <si>
    <t>RSF</t>
  </si>
  <si>
    <t xml:space="preserve">Infrared Heaters (all sizes), Low Intensity </t>
  </si>
  <si>
    <t>4.4.12.2</t>
  </si>
  <si>
    <t>Infrared Heaters (all sizes), Low Intensity - Public Sector</t>
  </si>
  <si>
    <t>Infrared Heaters - Public Sector</t>
  </si>
  <si>
    <t>per kBtu/hr</t>
  </si>
  <si>
    <t>CI-HVC-IRHT-V01-120601</t>
  </si>
  <si>
    <t>GRC</t>
  </si>
  <si>
    <t>GRC &lt; 0.67</t>
  </si>
  <si>
    <t>0.67 &lt;= GRC</t>
  </si>
  <si>
    <t>Pipe Insulation</t>
  </si>
  <si>
    <t xml:space="preserve">Measure </t>
  </si>
  <si>
    <t>Measure Life (yrs)</t>
  </si>
  <si>
    <t>Insulation Thickness</t>
  </si>
  <si>
    <t>Piping use</t>
  </si>
  <si>
    <t>System Type</t>
  </si>
  <si>
    <t>Outdoor reset?</t>
  </si>
  <si>
    <t>Recirculation?</t>
  </si>
  <si>
    <t xml:space="preserve">Climate Zone </t>
  </si>
  <si>
    <t>Linear feet of insulation</t>
  </si>
  <si>
    <t>Effective Area</t>
  </si>
  <si>
    <t>Qbase</t>
  </si>
  <si>
    <t>Qeff</t>
  </si>
  <si>
    <t>nboiler</t>
  </si>
  <si>
    <t>TRF_eff</t>
  </si>
  <si>
    <t>Pipe insulation</t>
  </si>
  <si>
    <t>Space Heating</t>
  </si>
  <si>
    <t>High pressure steam</t>
  </si>
  <si>
    <t>Recirculation - Heating Season only</t>
  </si>
  <si>
    <t>Low pressure steam</t>
  </si>
  <si>
    <t>Hot water</t>
  </si>
  <si>
    <t>Domestic Hot Water</t>
  </si>
  <si>
    <t>DHW Circulation Loop</t>
  </si>
  <si>
    <t>Medium pressure steam</t>
  </si>
  <si>
    <t>Process Heating</t>
  </si>
  <si>
    <t>Recirculation- year round</t>
  </si>
  <si>
    <t>4.4.14.16</t>
  </si>
  <si>
    <t>Pipe Insulation, Public Sector, Process Heating</t>
  </si>
  <si>
    <t>average of piping use</t>
  </si>
  <si>
    <t>4.4.14.17</t>
  </si>
  <si>
    <t>Pipe Insulation, Public Sector, Space Heating</t>
  </si>
  <si>
    <t>4.4.14.18</t>
  </si>
  <si>
    <t>Pipe Insulation, Public Sector, Domestic Hot Water</t>
  </si>
  <si>
    <t>Indoor, semi- heated</t>
  </si>
  <si>
    <t>multifamily low-pressure steam boilers</t>
  </si>
  <si>
    <t>Multifamily</t>
  </si>
  <si>
    <t>Domestic Hot Water CPOP</t>
  </si>
  <si>
    <t>Δtherms per foot = [((Qbase – Qeff) * EFLH) / (100,000 * ηBoiler)] * TRF</t>
  </si>
  <si>
    <t>Δtherms = (Lsp + Loc,i) * Δtherms per foot</t>
  </si>
  <si>
    <t>CI-HVC-PINS-V04-160601</t>
  </si>
  <si>
    <t>Heat Loss from Bare Pipe (Btu/hr/ft)</t>
  </si>
  <si>
    <t xml:space="preserve">Table of deemed values from the TRM - but can Calculate where possible using 3E Plusv4.0 software. For defaults </t>
  </si>
  <si>
    <t>Heat Loss from Insulated Pipe (Btu/hr/ft)</t>
  </si>
  <si>
    <t>conversion factor (1 therm = 100,000 Btu)</t>
  </si>
  <si>
    <t>Based on lookup table</t>
  </si>
  <si>
    <t>Equivalent Full Load Hours for Heating</t>
  </si>
  <si>
    <t>Actual or defaults by building type provided in Section 4.4, HVAC end use For year round recirculation or domestic hot water: 8766</t>
  </si>
  <si>
    <t>Table of deemed values from the TRM - However, Nicor uses a weighted average based on climate zone</t>
  </si>
  <si>
    <t>Efficiency of the boiler being used to generate the hot water or steam in the pipe</t>
  </si>
  <si>
    <t>81.9% deemed TRM value for water boilers</t>
  </si>
  <si>
    <t>80.7% deemed TRM value for steam boilers, except multifamily low pressure</t>
  </si>
  <si>
    <t>64.8% for multifamily low pressure steam boilers</t>
  </si>
  <si>
    <t>67% for Domestic Hot Water</t>
  </si>
  <si>
    <t>These are deemed values from the TRM and are displayed in a table below. - can use Actual or if unknown use default values given below:</t>
  </si>
  <si>
    <t>Thermal Regain Factor for space type, applied only to space heating energy and is applied to values resulting from Δtherms/ft tables below</t>
  </si>
  <si>
    <t>The TRM has a table of Deemed Values. Currently using a weighted average.</t>
  </si>
  <si>
    <t>This weighted average is: outdoor is assumed to be 1 and indoor is based on the assumption that 60% of the projects are in an indoor heated space, 40% of the projects are in an indoor semi-heated space, and 0% of the projects will be in an outdoor, unheated space. Those weights were applied to get a value of 0.15 at 60% and 0.7 at 40%</t>
  </si>
  <si>
    <t>70% of process projects are indoor, 0% in semi indoor, and 30% in outdoor unheated space</t>
  </si>
  <si>
    <t>This weighted average results in a custom input calculation in the table below</t>
  </si>
  <si>
    <t>The measure life is assumed to be 15 years.</t>
  </si>
  <si>
    <t>Heat Loss from bare pipe (Qbase) - Table of information from the TRM</t>
  </si>
  <si>
    <t>With outdoor reset</t>
  </si>
  <si>
    <t>Average reset</t>
  </si>
  <si>
    <t>Without outdoor reset</t>
  </si>
  <si>
    <t>Non-recirculation</t>
  </si>
  <si>
    <t>Error</t>
  </si>
  <si>
    <t>Heat Loss from insulated pipe (Qeff) - Table of information from the TRM</t>
  </si>
  <si>
    <t>Efficiency of Boiler (ƞboiler) - Deemed Values from the TRM</t>
  </si>
  <si>
    <t>Source</t>
  </si>
  <si>
    <t>TRM V9 Page 247</t>
  </si>
  <si>
    <t>TRM V9 Page 248</t>
  </si>
  <si>
    <t>`</t>
  </si>
  <si>
    <t>TRM V9 Page 250</t>
  </si>
  <si>
    <t>TRF - table of deemed values from the TRM</t>
  </si>
  <si>
    <t>Pipe Location</t>
  </si>
  <si>
    <t>Assumed Regain</t>
  </si>
  <si>
    <t>TRF, Thermal Regain Factor</t>
  </si>
  <si>
    <t>Q Lookup</t>
  </si>
  <si>
    <t xml:space="preserve">Indoor, conditioned space during the heating season, 55°F BPT </t>
  </si>
  <si>
    <t>Indoor, conditioned space, not during the heating season, 55°F BPT</t>
  </si>
  <si>
    <t>Indoor, conditioned, annual use (e.g. hot water or process loads), 55°F BPT</t>
  </si>
  <si>
    <t>Indoor, semi- heatedconditioned, (unconditioned space, with heat transfer to conditioned space. E.g., boiler room, ceiling plenum, basement, crawlspace, wall), during the heating season, 55°F BPT</t>
  </si>
  <si>
    <t>Indoor, semi-conditioned, not during the heating season, 55°F BPT</t>
  </si>
  <si>
    <t>Indoor, semi-conditioned, annual use, 55°F BPT</t>
  </si>
  <si>
    <t>no heat transfer to conditioned space</t>
  </si>
  <si>
    <t>Indoor, unheated unconditioned spaces</t>
  </si>
  <si>
    <t>Location not specified - Commercial</t>
  </si>
  <si>
    <t>Commercial</t>
  </si>
  <si>
    <t>Location not specified - Industrial</t>
  </si>
  <si>
    <t>Industrial</t>
  </si>
  <si>
    <t>TRF_eff - Nicor Weighted Average</t>
  </si>
  <si>
    <t>Assuming: Average Heating Hours for Nicor = 4939, Heating Mode TRF = 0.7, and Cooling Mode TRF = 1.0:</t>
  </si>
  <si>
    <t>Nominal Pipe Diameter</t>
  </si>
  <si>
    <t>Equivalent Length (ft)</t>
  </si>
  <si>
    <t>90 Degree Elbow</t>
  </si>
  <si>
    <t>Straight Tee</t>
  </si>
  <si>
    <t>1/2"</t>
  </si>
  <si>
    <t>3/4"</t>
  </si>
  <si>
    <t>Incremental Cost from the TRM</t>
  </si>
  <si>
    <t>INSULATION THICKNESS</t>
  </si>
  <si>
    <t>1 INCH</t>
  </si>
  <si>
    <t>2 INCHES</t>
  </si>
  <si>
    <t>Zone 6 (Nicor Custom)</t>
  </si>
  <si>
    <t>Program Type - Look up table</t>
  </si>
  <si>
    <t>EFLH Table from the TRM</t>
  </si>
  <si>
    <t>Piping Use</t>
  </si>
  <si>
    <t>Zone 4 (Belleville/</t>
  </si>
  <si>
    <t>Space Heating - Recirculation - Heating Season only</t>
  </si>
  <si>
    <t>Space Heating - Recirculation Year Round</t>
  </si>
  <si>
    <t xml:space="preserve">EFLH Table </t>
  </si>
  <si>
    <t>Weighted average for Nicor Custom - Based on Climate zone</t>
  </si>
  <si>
    <t>Zone 1</t>
  </si>
  <si>
    <t>Zone 2</t>
  </si>
  <si>
    <t>Zone 3</t>
  </si>
  <si>
    <t>Lodging Hotel/ Motel/Multifamily</t>
  </si>
  <si>
    <t>Small Pipe Insulation</t>
  </si>
  <si>
    <t>Pipe Size</t>
  </si>
  <si>
    <t>Recirculation</t>
  </si>
  <si>
    <t>All buildings (Hours below 55°F)</t>
  </si>
  <si>
    <t>Recirculation loop</t>
  </si>
  <si>
    <t>4.4.24.5</t>
  </si>
  <si>
    <t>Small Pipe Insulation, Public Sector</t>
  </si>
  <si>
    <t>Small Pipe Insulation - Public Sector</t>
  </si>
  <si>
    <t>average of all permutatoins</t>
  </si>
  <si>
    <t xml:space="preserve">Δtherms per foot = </t>
  </si>
  <si>
    <t xml:space="preserve"> [((Qbase – Qeff) * EFLH) / (100,000 * ηBoiler)] * TRF</t>
  </si>
  <si>
    <t>Δtherms =</t>
  </si>
  <si>
    <t>(Lsp + Loci) * Δtherms per foot</t>
  </si>
  <si>
    <t>Actual or defaults by building type provided in Section 4.4, HVAC end use</t>
  </si>
  <si>
    <t>For year round recirculation or domestic hot water use deemed TRM Value of 8766</t>
  </si>
  <si>
    <t>For heating season recirculation, hours with the outside air temperature below 55°F: use table of deemed TRM Values</t>
  </si>
  <si>
    <t>Incremental Cot</t>
  </si>
  <si>
    <t>1 INCH (INDOOR)</t>
  </si>
  <si>
    <t>2 INCHES (OUTDOOR)</t>
  </si>
  <si>
    <t>Pipe- RS Means #</t>
  </si>
  <si>
    <t>220719.10.5170</t>
  </si>
  <si>
    <t>220719.10.5530</t>
  </si>
  <si>
    <t xml:space="preserve">Jacket- RS Means # </t>
  </si>
  <si>
    <t>220719.10.0156</t>
  </si>
  <si>
    <t>220719.10.0320</t>
  </si>
  <si>
    <t>Jacket Type</t>
  </si>
  <si>
    <t>PVC</t>
  </si>
  <si>
    <t>Aluminum</t>
  </si>
  <si>
    <t>Insulation Cost per foot</t>
  </si>
  <si>
    <t>Jacket Cost per foot</t>
  </si>
  <si>
    <t>Weighted average for Nicor Custom Climate Zone</t>
  </si>
  <si>
    <t>Total Cost per foot</t>
  </si>
  <si>
    <t>Actual?</t>
  </si>
  <si>
    <t>Multifamily low pressure steam</t>
  </si>
  <si>
    <t>(unconditioned space, with heat transfer to conditioned space. E.g.: boiler room, ceiling plenum, basement, crawlspace, wall)</t>
  </si>
  <si>
    <t>Indoor, semi- heated conditioned during the heating season, 55°F BPT</t>
  </si>
  <si>
    <t>(no heat transfer to conditioned space)</t>
  </si>
  <si>
    <t>1/2" Copper Pipe</t>
  </si>
  <si>
    <t>Annual Therms Saved / Linear Foot</t>
  </si>
  <si>
    <t>All buildings (All hours)</t>
  </si>
  <si>
    <t>Process</t>
  </si>
  <si>
    <t>3/4" Copper Pipe</t>
  </si>
  <si>
    <t>Space Heating Non-recirculating</t>
  </si>
  <si>
    <t>Space Heating - recirculation heating season only</t>
  </si>
  <si>
    <t>Space Heating - recirculation year round</t>
  </si>
  <si>
    <t xml:space="preserve">Steam Trap Replacement or Repair </t>
  </si>
  <si>
    <t>**indicated new per TRM V5</t>
  </si>
  <si>
    <t>Replacement type</t>
  </si>
  <si>
    <t>Steam System</t>
  </si>
  <si>
    <t>Climate lookup</t>
  </si>
  <si>
    <t>Sa**</t>
  </si>
  <si>
    <t>Pia**</t>
  </si>
  <si>
    <t>Pig</t>
  </si>
  <si>
    <t>Patm</t>
  </si>
  <si>
    <t>D**</t>
  </si>
  <si>
    <t>A**</t>
  </si>
  <si>
    <t>FF**</t>
  </si>
  <si>
    <t>Hv</t>
  </si>
  <si>
    <t>Hs</t>
  </si>
  <si>
    <t>T1</t>
  </si>
  <si>
    <t>Tsource</t>
  </si>
  <si>
    <t>B</t>
  </si>
  <si>
    <t>A</t>
  </si>
  <si>
    <t>L</t>
  </si>
  <si>
    <t>L lookup</t>
  </si>
  <si>
    <t xml:space="preserve">Where Sa  = Average actual steam loss per leaking trap
  = 24.24 x Pia x D² x A x FF
</t>
  </si>
  <si>
    <t>Steam traps</t>
  </si>
  <si>
    <t>Custom Survey</t>
  </si>
  <si>
    <t>Industrial Medium Pressure &gt;15 psig &lt; 30 psig</t>
  </si>
  <si>
    <t>'= Sa * (Hv/B) * Hours  * L / 100,000</t>
  </si>
  <si>
    <t>Industrial Medium Pressure ≥30 &lt;75 psig</t>
  </si>
  <si>
    <t>Industrial High Pressure ≥75 &lt;125 psig</t>
  </si>
  <si>
    <t>Industrial High Pressure ≥125 &lt;175 psig</t>
  </si>
  <si>
    <t>Industrial High Pressure ≥175 &lt;250 psig</t>
  </si>
  <si>
    <t>Industrial High Pressure ≥250 psig</t>
  </si>
  <si>
    <t>all replaced</t>
  </si>
  <si>
    <t>Commercial Heating , (including Multifamily) low pressure steam</t>
  </si>
  <si>
    <t>4.4.16.8</t>
  </si>
  <si>
    <t>Steam Trap Replacement or Repair  - Industrial Low Pressure &lt;15 psig , Custom Value</t>
  </si>
  <si>
    <t>Steam Trap, Commercial &lt;15 psig</t>
  </si>
  <si>
    <t>Custom Value</t>
  </si>
  <si>
    <t xml:space="preserve">Industrial Low Pressure &lt;15 psig </t>
  </si>
  <si>
    <t>Commercial Dry Cleaners</t>
  </si>
  <si>
    <t>Steam Trap Replacement or Repair  - MF CPOP, all replaced</t>
  </si>
  <si>
    <t>Venturi Steam Trap Replacement or Repair  - Industrial Medium Pressure &gt;15 psig &lt; 30 psig, Custom Survey</t>
  </si>
  <si>
    <t>Venturi Steam Trap Replacement or Repair  - Industrial Medium Pressure ≥30 &lt;75 psig, Custom Survey</t>
  </si>
  <si>
    <t>Venturi Steam Trap Replacement or Repair  - Industrial High Pressure ≥75 &lt;125 psig, Custom Survey</t>
  </si>
  <si>
    <t>Venturi Steam Trap Replacement or Repair  - Industrial High Pressure ≥125 &lt;175 psig, Custom Survey</t>
  </si>
  <si>
    <t>Venturi Steam Trap Replacement or Repair  - Industrial High Pressure ≥175 &lt;250 psig, Custom Survey</t>
  </si>
  <si>
    <t>Venturi Steam Trap Replacement or Repair  - Industrial High Pressure ≥250 psig, Custom Survey</t>
  </si>
  <si>
    <t>Venturi Steam Trap Replacement or Repair  - Commercial Heating , (including Multifamily) low pressure steam, all replaced</t>
  </si>
  <si>
    <t>4.4.16.22</t>
  </si>
  <si>
    <t>Venturi Steam Trap Replacement or Repair  - Industrial Low Pressure &lt;15 psig , Custom Value</t>
  </si>
  <si>
    <t>Venturi Steam Trap, Commercial &lt;15 psig</t>
  </si>
  <si>
    <t>Venturi Steam Trap Replacement or Repair  - Commercial Dry Cleaners, Custom Survey</t>
  </si>
  <si>
    <t>4.4.16.24</t>
  </si>
  <si>
    <t>Venturi Steam Trap Replacement or Repair  - Commercial Heating , (including Multifamily) low pressure steam, all replaced,- Public Sector</t>
  </si>
  <si>
    <t>Venturi Steam Trap, Commercial - Public Sector</t>
  </si>
  <si>
    <t>Updated TRM Formula PER trm v5</t>
  </si>
  <si>
    <t xml:space="preserve">ΔTherm </t>
  </si>
  <si>
    <t>= Sa * (Hv + Hs * (T1 - Tsource)) * Hours * L / (100,000 * ηB)</t>
  </si>
  <si>
    <t>S</t>
  </si>
  <si>
    <t>Maximum theoretical  steam loss per trap</t>
  </si>
  <si>
    <t xml:space="preserve"> TRM provides a Deemed Table of Values</t>
  </si>
  <si>
    <t>Water Savings</t>
  </si>
  <si>
    <t>Heat of vaporization of steam</t>
  </si>
  <si>
    <t>The annual water savings for a replaced or repaired trap is given by:</t>
  </si>
  <si>
    <t>Deemed Table of Values from the TRM</t>
  </si>
  <si>
    <t>ΔWater 	= GAL * Hours * L</t>
  </si>
  <si>
    <t>Boiler efficiency - custom number</t>
  </si>
  <si>
    <t>custom, if unknown - 80.7% for steam boilers, except multifamily low-pressure</t>
  </si>
  <si>
    <t>custom, if unknown 64.8% for multifamily low-pressure steam boilers</t>
  </si>
  <si>
    <t>Annual operating hours of steam plant</t>
  </si>
  <si>
    <t>Leaking &amp; blow-thru</t>
  </si>
  <si>
    <t>L is 1.0 when applied to the replacement of an individual leaking trap. If a number of steam traps are replaced and the system has not been audited, the leaking and blow-thru is applied to reflect the assumed percentage of steam traps that were actually leaking and need to be replaced. A custom value can be utilized if a supported by an evaluation.</t>
  </si>
  <si>
    <t>Steam System*</t>
  </si>
  <si>
    <t>Average Actual Steam Loss per Leaking Trap (lb/hr/trap)</t>
  </si>
  <si>
    <t>GAL: Average Actual Water Volume Saved per Leaking Trap Atmospheric Venting (gal/hr/trap)</t>
  </si>
  <si>
    <t>Sa</t>
  </si>
  <si>
    <t>The Average actual steam loos per leaking trap</t>
  </si>
  <si>
    <t xml:space="preserve">TRM Value for Sa calculation Calculated based on the items below. </t>
  </si>
  <si>
    <t>Commercial Heating (including Multifamily) LPS</t>
  </si>
  <si>
    <t>Formula for Sa = 24.24 x Pia x D² x A x FF</t>
  </si>
  <si>
    <t>Industrial or Process Low Pressure, &lt;15 psig</t>
  </si>
  <si>
    <t>Pia</t>
  </si>
  <si>
    <t xml:space="preserve">Calculated where = Pig + Patm </t>
  </si>
  <si>
    <t>Average steam trap inlet pressure, absolute, psia</t>
  </si>
  <si>
    <t>Medium Pressure &gt;15 psig &lt; 30 psig</t>
  </si>
  <si>
    <t>Deemed Table of Values via Look up table from TRM based on Pressure of the system</t>
  </si>
  <si>
    <t>Medium Pressure ≥30 &lt;75 psig</t>
  </si>
  <si>
    <t>Table of values from TRM - Lookup table</t>
  </si>
  <si>
    <t>Average steam trap inlet pressure, gauge, psig</t>
  </si>
  <si>
    <t>High Pressure ≥75 &lt;125 psig</t>
  </si>
  <si>
    <t>High Pressure ≥125 &lt;175 psig</t>
  </si>
  <si>
    <t>Atmospheric pressure</t>
  </si>
  <si>
    <t>High Pressure ≥175 &lt;250 psig</t>
  </si>
  <si>
    <t>This value is deemed in the TRM at , 14.7 psia</t>
  </si>
  <si>
    <t>High Pressure ≥250 ≤300 psig</t>
  </si>
  <si>
    <t>D</t>
  </si>
  <si>
    <t>Diameter of Orifice, in.</t>
  </si>
  <si>
    <t>High Pressure &gt; 300 psig</t>
  </si>
  <si>
    <t>Calculated</t>
  </si>
  <si>
    <t>Calculated Steam Loss / 8.33</t>
  </si>
  <si>
    <t>This is a look up table from the TRM based on pressure of the system</t>
  </si>
  <si>
    <t>Adjustment factor</t>
  </si>
  <si>
    <t>50%,[1] all steam systems.  This factor is to account for reducing the maximum theoretical steam flow to the average steam flow (the Enbridge factor).</t>
  </si>
  <si>
    <t>FF</t>
  </si>
  <si>
    <t>Flow Factor.  In addition to the Adjustment factor (A), an additional 50 percent flow factor adjustment is recommended for medium and high pressure steam systems to address industrial float and thermostatic style traps where additional blockage is possible.</t>
  </si>
  <si>
    <t>This value is deemed in the TRM at 50%</t>
  </si>
  <si>
    <t>Constant lb/(hr-psia-in2)</t>
  </si>
  <si>
    <t>Incremental Cost - cost per trap</t>
  </si>
  <si>
    <t>Actual - cost per trap</t>
  </si>
  <si>
    <t>S -  (lb/hr/trap)</t>
  </si>
  <si>
    <t>Heat of Vaporization (HV) -  (Btu/lb)</t>
  </si>
  <si>
    <t>Hours/Yr</t>
  </si>
  <si>
    <t>Industrial High Pressure ≥300psig</t>
  </si>
  <si>
    <t>Steam Trap, Ind Med Pressure ≥30 &lt;75 psig</t>
  </si>
  <si>
    <t>Steam Trap, Ind High Pressure ≥75 &lt;125 psig</t>
  </si>
  <si>
    <t>Steam Trap, Ind High Pressure ≥125 &lt;175 psig</t>
  </si>
  <si>
    <t>Steam Trap, Ind High Pressure ≥175 &lt;250 psig</t>
  </si>
  <si>
    <t>Steam Trap, Ind High Pressure ≥250 psig</t>
  </si>
  <si>
    <t>All replaced</t>
  </si>
  <si>
    <t>Custom value</t>
  </si>
  <si>
    <t>Leaking &amp; blow-thru (L) Lookup Table</t>
  </si>
  <si>
    <t>Average Steam Trap Inlet Pressure</t>
  </si>
  <si>
    <t>Diameter of Orifice in</t>
  </si>
  <si>
    <t>Adjustment Factor</t>
  </si>
  <si>
    <t>Flow Factor</t>
  </si>
  <si>
    <t>Industrial High Pressure ≥300 psig</t>
  </si>
  <si>
    <t>4.4.18</t>
  </si>
  <si>
    <t>Programmable Thermostats</t>
  </si>
  <si>
    <t>Proposed</t>
  </si>
  <si>
    <t>Capital Cost</t>
  </si>
  <si>
    <t>Eff measure Type</t>
  </si>
  <si>
    <t>Heating Fuel</t>
  </si>
  <si>
    <t>Fan Mode while Occupied</t>
  </si>
  <si>
    <t>Fan Mode while Unoccupied</t>
  </si>
  <si>
    <t>Weekly Hours in Occupied Mode</t>
  </si>
  <si>
    <t>Degrees of Setback Existing</t>
  </si>
  <si>
    <t>Degrees of Setback Proposed</t>
  </si>
  <si>
    <t>Heating Output (kBtuh)</t>
  </si>
  <si>
    <t>CZ</t>
  </si>
  <si>
    <t>Thexist</t>
  </si>
  <si>
    <t>Thnew</t>
  </si>
  <si>
    <t>Fu</t>
  </si>
  <si>
    <t>Ws</t>
  </si>
  <si>
    <t>Heating Capacity</t>
  </si>
  <si>
    <t>Baseline Energy Use</t>
  </si>
  <si>
    <t>Proposed Energy Use</t>
  </si>
  <si>
    <t>Continuous</t>
  </si>
  <si>
    <t>Intermittent</t>
  </si>
  <si>
    <t>4.4.18.1</t>
  </si>
  <si>
    <t>Thermostats</t>
  </si>
  <si>
    <t>New Programmable thermostat</t>
  </si>
  <si>
    <t>4.4.18.2</t>
  </si>
  <si>
    <t>4.4.18.3</t>
  </si>
  <si>
    <t>4.4.18.4</t>
  </si>
  <si>
    <t>4.4.18.5</t>
  </si>
  <si>
    <t>Restaurant – Fast Food</t>
  </si>
  <si>
    <t>4.4.18.6</t>
  </si>
  <si>
    <t>Restaurant – Full Service</t>
  </si>
  <si>
    <t>4.4.18.7</t>
  </si>
  <si>
    <t>Retail – Department Store</t>
  </si>
  <si>
    <t>4.4.18.8</t>
  </si>
  <si>
    <t>Retail – Strip Mall</t>
  </si>
  <si>
    <t>4.4.18.9</t>
  </si>
  <si>
    <t>average of building type permutations</t>
  </si>
  <si>
    <t xml:space="preserve">ΔkWh = (∆Therms * Fe * 29.3)  </t>
  </si>
  <si>
    <t>∆Therms  = [Baseline Energy Use (Therms/kBtuh) - Proposed Energy Use (Therms/kBtuh)] * Output Heating Capacity (kBtuh)</t>
  </si>
  <si>
    <t>CI-HVC-PROG-V02-150601</t>
  </si>
  <si>
    <t>For new thermostats the baseline is a non-programmable thermostat requiring manual intervention to change temperature setpoint.</t>
  </si>
  <si>
    <t>Efficient Equipment Definition</t>
  </si>
  <si>
    <t>The criteria for this measure are established by replacement of a manual-only temperature control, with one that has the capability to adjust temperature setpoints according to a schedule without manual intervention.</t>
  </si>
  <si>
    <t>Climate Zone Coefficient</t>
  </si>
  <si>
    <t>Deemed Table of TRM values dependent on Building Type and Fan mode during occupied period</t>
  </si>
  <si>
    <t>Tc</t>
  </si>
  <si>
    <t>Degrees of Cooling Setback °F</t>
  </si>
  <si>
    <t>Must be between 0-15°F</t>
  </si>
  <si>
    <t>This is a custom input</t>
  </si>
  <si>
    <t>Th</t>
  </si>
  <si>
    <t>Degrees of Heating Setback °F</t>
  </si>
  <si>
    <t>=Must be between 0-15°F</t>
  </si>
  <si>
    <t>Fo</t>
  </si>
  <si>
    <t>Fan Mode During Occupied Period (Note: Commercial mechanical code requires continuous fan operation during occupied periods to meet ventilation requirements.)</t>
  </si>
  <si>
    <t>Continuous for occupied fan that runs continuously (e.g. Fan Mode Set to ‘On’)</t>
  </si>
  <si>
    <t>Intermittent for occupied fan that runs intermittently (e.g. Fan Mode Set to ‘Auto’)</t>
  </si>
  <si>
    <t>Fan Mode During Unoccupied Period</t>
  </si>
  <si>
    <t>0 for unoccupied fan that runs continuously (e.g. Fan Mode Set to ‘On’)</t>
  </si>
  <si>
    <t>1 for unoccupied fan that runs intermittently (e.g. Fan Mode Set to ‘Auto’)</t>
  </si>
  <si>
    <t>Weekly Hours thermostat is in Occupied mode</t>
  </si>
  <si>
    <t>Minimum values depends on Building Type (see table below), maximum value of 168 (24/7)</t>
  </si>
  <si>
    <t xml:space="preserve">The expected measure life of a programmable thermostat is assumed to be 8 years based upon equipment life only. </t>
  </si>
  <si>
    <t>For the purposes of claiming savings for a new programmable thermostat, this is reduced by a 50% persistence factor to give a final measure life of 4 years.</t>
  </si>
  <si>
    <t>Natural Gas Energy Use Equations (therms / kbtu output)</t>
  </si>
  <si>
    <r>
      <t>CZ</t>
    </r>
    <r>
      <rPr>
        <sz val="10"/>
        <rFont val="Calibri"/>
        <family val="2"/>
        <scheme val="minor"/>
      </rPr>
      <t>+</t>
    </r>
    <r>
      <rPr>
        <b/>
        <i/>
        <sz val="10"/>
        <rFont val="Calibri"/>
        <family val="2"/>
        <scheme val="minor"/>
      </rPr>
      <t>Fu</t>
    </r>
    <r>
      <rPr>
        <sz val="10"/>
        <rFont val="Calibri"/>
        <family val="2"/>
        <scheme val="minor"/>
      </rPr>
      <t>*(0.232*</t>
    </r>
    <r>
      <rPr>
        <b/>
        <i/>
        <sz val="10"/>
        <rFont val="Calibri"/>
        <family val="2"/>
        <scheme val="minor"/>
      </rPr>
      <t>Th</t>
    </r>
    <r>
      <rPr>
        <sz val="10"/>
        <rFont val="Calibri"/>
        <family val="2"/>
        <scheme val="minor"/>
      </rPr>
      <t>+0.0984*</t>
    </r>
    <r>
      <rPr>
        <b/>
        <i/>
        <sz val="10"/>
        <rFont val="Calibri"/>
        <family val="2"/>
        <scheme val="minor"/>
      </rPr>
      <t>Ws</t>
    </r>
    <r>
      <rPr>
        <sz val="10"/>
        <rFont val="Calibri"/>
        <family val="2"/>
        <scheme val="minor"/>
      </rPr>
      <t>-18.79)+</t>
    </r>
    <r>
      <rPr>
        <b/>
        <i/>
        <sz val="10"/>
        <rFont val="Calibri"/>
        <family val="2"/>
        <scheme val="minor"/>
      </rPr>
      <t>Th</t>
    </r>
    <r>
      <rPr>
        <sz val="10"/>
        <rFont val="Calibri"/>
        <family val="2"/>
        <scheme val="minor"/>
      </rPr>
      <t>*(0.00271*</t>
    </r>
    <r>
      <rPr>
        <b/>
        <i/>
        <sz val="10"/>
        <rFont val="Calibri"/>
        <family val="2"/>
        <scheme val="minor"/>
      </rPr>
      <t>Ws</t>
    </r>
    <r>
      <rPr>
        <sz val="10"/>
        <rFont val="Calibri"/>
        <family val="2"/>
        <scheme val="minor"/>
      </rPr>
      <t>-0.535)+0.0142*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</si>
  <si>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*(0.00405*</t>
    </r>
    <r>
      <rPr>
        <b/>
        <i/>
        <sz val="10"/>
        <rFont val="Calibri"/>
        <family val="2"/>
        <scheme val="minor"/>
      </rPr>
      <t>Th</t>
    </r>
    <r>
      <rPr>
        <sz val="10"/>
        <rFont val="Calibri"/>
        <family val="2"/>
        <scheme val="minor"/>
      </rPr>
      <t>+0.000519*</t>
    </r>
    <r>
      <rPr>
        <b/>
        <i/>
        <sz val="10"/>
        <rFont val="Calibri"/>
        <family val="2"/>
        <scheme val="minor"/>
      </rPr>
      <t>Ws</t>
    </r>
    <r>
      <rPr>
        <sz val="10"/>
        <rFont val="Calibri"/>
        <family val="2"/>
        <scheme val="minor"/>
      </rPr>
      <t>-0.11)+</t>
    </r>
    <r>
      <rPr>
        <b/>
        <i/>
        <sz val="10"/>
        <rFont val="Calibri"/>
        <family val="2"/>
        <scheme val="minor"/>
      </rPr>
      <t>Th</t>
    </r>
    <r>
      <rPr>
        <sz val="10"/>
        <rFont val="Calibri"/>
        <family val="2"/>
        <scheme val="minor"/>
      </rPr>
      <t>*(0.0000689*</t>
    </r>
    <r>
      <rPr>
        <b/>
        <i/>
        <sz val="10"/>
        <rFont val="Calibri"/>
        <family val="2"/>
        <scheme val="minor"/>
      </rPr>
      <t>Ws</t>
    </r>
    <r>
      <rPr>
        <sz val="10"/>
        <rFont val="Calibri"/>
        <family val="2"/>
        <scheme val="minor"/>
      </rPr>
      <t>-0.0118)+0.0022*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</si>
  <si>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*(0.00545*</t>
    </r>
    <r>
      <rPr>
        <b/>
        <i/>
        <sz val="10"/>
        <rFont val="Calibri"/>
        <family val="2"/>
        <scheme val="minor"/>
      </rPr>
      <t>Th</t>
    </r>
    <r>
      <rPr>
        <sz val="10"/>
        <rFont val="Calibri"/>
        <family val="2"/>
        <scheme val="minor"/>
      </rPr>
      <t>-0.00251*</t>
    </r>
    <r>
      <rPr>
        <b/>
        <i/>
        <sz val="10"/>
        <rFont val="Calibri"/>
        <family val="2"/>
        <scheme val="minor"/>
      </rPr>
      <t>Ws</t>
    </r>
    <r>
      <rPr>
        <sz val="10"/>
        <rFont val="Calibri"/>
        <family val="2"/>
        <scheme val="minor"/>
      </rPr>
      <t>+0.416)+</t>
    </r>
    <r>
      <rPr>
        <b/>
        <i/>
        <sz val="10"/>
        <rFont val="Calibri"/>
        <family val="2"/>
        <scheme val="minor"/>
      </rPr>
      <t>Th</t>
    </r>
    <r>
      <rPr>
        <sz val="10"/>
        <rFont val="Calibri"/>
        <family val="2"/>
        <scheme val="minor"/>
      </rPr>
      <t>*(0.000123*</t>
    </r>
    <r>
      <rPr>
        <b/>
        <i/>
        <sz val="10"/>
        <rFont val="Calibri"/>
        <family val="2"/>
        <scheme val="minor"/>
      </rPr>
      <t>Ws</t>
    </r>
    <r>
      <rPr>
        <sz val="10"/>
        <rFont val="Calibri"/>
        <family val="2"/>
        <scheme val="minor"/>
      </rPr>
      <t>-0.0204)+0.00183*</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</si>
  <si>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*(0.00231*</t>
    </r>
    <r>
      <rPr>
        <b/>
        <i/>
        <sz val="10"/>
        <rFont val="Calibri"/>
        <family val="2"/>
        <scheme val="minor"/>
      </rPr>
      <t>Th</t>
    </r>
    <r>
      <rPr>
        <sz val="10"/>
        <rFont val="Calibri"/>
        <family val="2"/>
        <scheme val="minor"/>
      </rPr>
      <t>-0.0349)+</t>
    </r>
    <r>
      <rPr>
        <b/>
        <i/>
        <sz val="10"/>
        <rFont val="Calibri"/>
        <family val="2"/>
        <scheme val="minor"/>
      </rPr>
      <t>Th</t>
    </r>
    <r>
      <rPr>
        <sz val="10"/>
        <rFont val="Calibri"/>
        <family val="2"/>
        <scheme val="minor"/>
      </rPr>
      <t>*(0.000309*</t>
    </r>
    <r>
      <rPr>
        <b/>
        <i/>
        <sz val="10"/>
        <rFont val="Calibri"/>
        <family val="2"/>
        <scheme val="minor"/>
      </rPr>
      <t>Ws</t>
    </r>
    <r>
      <rPr>
        <sz val="10"/>
        <rFont val="Calibri"/>
        <family val="2"/>
        <scheme val="minor"/>
      </rPr>
      <t>-0.0494)+0.00266*</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</si>
  <si>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*(0.0205*</t>
    </r>
    <r>
      <rPr>
        <b/>
        <i/>
        <sz val="10"/>
        <rFont val="Calibri"/>
        <family val="2"/>
        <scheme val="minor"/>
      </rPr>
      <t>Th</t>
    </r>
    <r>
      <rPr>
        <sz val="10"/>
        <rFont val="Calibri"/>
        <family val="2"/>
        <scheme val="minor"/>
      </rPr>
      <t>+0.364)+</t>
    </r>
    <r>
      <rPr>
        <b/>
        <i/>
        <sz val="10"/>
        <rFont val="Calibri"/>
        <family val="2"/>
        <scheme val="minor"/>
      </rPr>
      <t>Th</t>
    </r>
    <r>
      <rPr>
        <sz val="10"/>
        <rFont val="Calibri"/>
        <family val="2"/>
        <scheme val="minor"/>
      </rPr>
      <t>*(0.00046*</t>
    </r>
    <r>
      <rPr>
        <b/>
        <i/>
        <sz val="10"/>
        <rFont val="Calibri"/>
        <family val="2"/>
        <scheme val="minor"/>
      </rPr>
      <t>Ws</t>
    </r>
    <r>
      <rPr>
        <sz val="10"/>
        <rFont val="Calibri"/>
        <family val="2"/>
        <scheme val="minor"/>
      </rPr>
      <t>-0.0554)+0.00169*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</si>
  <si>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*(0.00745*</t>
    </r>
    <r>
      <rPr>
        <b/>
        <i/>
        <sz val="10"/>
        <rFont val="Calibri"/>
        <family val="2"/>
        <scheme val="minor"/>
      </rPr>
      <t>Th</t>
    </r>
    <r>
      <rPr>
        <sz val="10"/>
        <rFont val="Calibri"/>
        <family val="2"/>
        <scheme val="minor"/>
      </rPr>
      <t>-0.142)+</t>
    </r>
    <r>
      <rPr>
        <b/>
        <i/>
        <sz val="10"/>
        <rFont val="Calibri"/>
        <family val="2"/>
        <scheme val="minor"/>
      </rPr>
      <t>Th</t>
    </r>
    <r>
      <rPr>
        <sz val="10"/>
        <rFont val="Calibri"/>
        <family val="2"/>
        <scheme val="minor"/>
      </rPr>
      <t>*(0.00077*</t>
    </r>
    <r>
      <rPr>
        <b/>
        <i/>
        <sz val="10"/>
        <rFont val="Calibri"/>
        <family val="2"/>
        <scheme val="minor"/>
      </rPr>
      <t>Ws</t>
    </r>
    <r>
      <rPr>
        <sz val="10"/>
        <rFont val="Calibri"/>
        <family val="2"/>
        <scheme val="minor"/>
      </rPr>
      <t>-0.111)+0.00199*</t>
    </r>
    <r>
      <rPr>
        <b/>
        <i/>
        <sz val="10"/>
        <rFont val="Calibri"/>
        <family val="2"/>
        <scheme val="minor"/>
      </rPr>
      <t>Ws</t>
    </r>
  </si>
  <si>
    <r>
      <t>CZ</t>
    </r>
    <r>
      <rPr>
        <sz val="10"/>
        <rFont val="Calibri"/>
        <family val="2"/>
        <scheme val="minor"/>
      </rPr>
      <t>+0.00791*</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*(0.00096*</t>
    </r>
    <r>
      <rPr>
        <b/>
        <i/>
        <sz val="10"/>
        <rFont val="Calibri"/>
        <family val="2"/>
        <scheme val="minor"/>
      </rPr>
      <t>Ws</t>
    </r>
    <r>
      <rPr>
        <sz val="10"/>
        <rFont val="Calibri"/>
        <family val="2"/>
        <scheme val="minor"/>
      </rPr>
      <t>-0.167)+0.00184*</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</si>
  <si>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*(0.00143*</t>
    </r>
    <r>
      <rPr>
        <b/>
        <i/>
        <sz val="10"/>
        <rFont val="Calibri"/>
        <family val="2"/>
        <scheme val="minor"/>
      </rPr>
      <t>Th</t>
    </r>
    <r>
      <rPr>
        <sz val="10"/>
        <rFont val="Calibri"/>
        <family val="2"/>
        <scheme val="minor"/>
      </rPr>
      <t>-0.0309)+</t>
    </r>
    <r>
      <rPr>
        <b/>
        <i/>
        <sz val="10"/>
        <rFont val="Calibri"/>
        <family val="2"/>
        <scheme val="minor"/>
      </rPr>
      <t>Th</t>
    </r>
    <r>
      <rPr>
        <sz val="10"/>
        <rFont val="Calibri"/>
        <family val="2"/>
        <scheme val="minor"/>
      </rPr>
      <t>*(0.0008*</t>
    </r>
    <r>
      <rPr>
        <b/>
        <i/>
        <sz val="10"/>
        <rFont val="Calibri"/>
        <family val="2"/>
        <scheme val="minor"/>
      </rPr>
      <t>Ws</t>
    </r>
    <r>
      <rPr>
        <sz val="10"/>
        <rFont val="Calibri"/>
        <family val="2"/>
        <scheme val="minor"/>
      </rPr>
      <t>-0.134)+0.00219*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</si>
  <si>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*(0.0431*</t>
    </r>
    <r>
      <rPr>
        <b/>
        <i/>
        <sz val="10"/>
        <rFont val="Calibri"/>
        <family val="2"/>
        <scheme val="minor"/>
      </rPr>
      <t>Th</t>
    </r>
    <r>
      <rPr>
        <sz val="10"/>
        <rFont val="Calibri"/>
        <family val="2"/>
        <scheme val="minor"/>
      </rPr>
      <t>+0.0424*</t>
    </r>
    <r>
      <rPr>
        <b/>
        <i/>
        <sz val="10"/>
        <rFont val="Calibri"/>
        <family val="2"/>
        <scheme val="minor"/>
      </rPr>
      <t>Ws</t>
    </r>
    <r>
      <rPr>
        <sz val="10"/>
        <rFont val="Calibri"/>
        <family val="2"/>
        <scheme val="minor"/>
      </rPr>
      <t>-7.517)+</t>
    </r>
    <r>
      <rPr>
        <b/>
        <i/>
        <sz val="10"/>
        <rFont val="Calibri"/>
        <family val="2"/>
        <scheme val="minor"/>
      </rPr>
      <t>Th</t>
    </r>
    <r>
      <rPr>
        <sz val="10"/>
        <rFont val="Calibri"/>
        <family val="2"/>
        <scheme val="minor"/>
      </rPr>
      <t>*(0.00113*</t>
    </r>
    <r>
      <rPr>
        <b/>
        <i/>
        <sz val="10"/>
        <rFont val="Calibri"/>
        <family val="2"/>
        <scheme val="minor"/>
      </rPr>
      <t>Ws</t>
    </r>
    <r>
      <rPr>
        <sz val="10"/>
        <rFont val="Calibri"/>
        <family val="2"/>
        <scheme val="minor"/>
      </rPr>
      <t>-0.213)+0.0119*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</si>
  <si>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*(0.0125*</t>
    </r>
    <r>
      <rPr>
        <b/>
        <i/>
        <sz val="10"/>
        <rFont val="Calibri"/>
        <family val="2"/>
        <scheme val="minor"/>
      </rPr>
      <t>Th</t>
    </r>
    <r>
      <rPr>
        <sz val="10"/>
        <rFont val="Calibri"/>
        <family val="2"/>
        <scheme val="minor"/>
      </rPr>
      <t>+0.0036*</t>
    </r>
    <r>
      <rPr>
        <b/>
        <i/>
        <sz val="10"/>
        <rFont val="Calibri"/>
        <family val="2"/>
        <scheme val="minor"/>
      </rPr>
      <t>Ws</t>
    </r>
    <r>
      <rPr>
        <sz val="10"/>
        <rFont val="Calibri"/>
        <family val="2"/>
        <scheme val="minor"/>
      </rPr>
      <t>-0.71)+</t>
    </r>
    <r>
      <rPr>
        <b/>
        <i/>
        <sz val="10"/>
        <rFont val="Calibri"/>
        <family val="2"/>
        <scheme val="minor"/>
      </rPr>
      <t>Th</t>
    </r>
    <r>
      <rPr>
        <sz val="10"/>
        <rFont val="Calibri"/>
        <family val="2"/>
        <scheme val="minor"/>
      </rPr>
      <t>*(0.000329*</t>
    </r>
    <r>
      <rPr>
        <b/>
        <i/>
        <sz val="10"/>
        <rFont val="Calibri"/>
        <family val="2"/>
        <scheme val="minor"/>
      </rPr>
      <t>Ws</t>
    </r>
    <r>
      <rPr>
        <sz val="10"/>
        <rFont val="Calibri"/>
        <family val="2"/>
        <scheme val="minor"/>
      </rPr>
      <t>-0.0615)+0.00738*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</si>
  <si>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*(0.00445*</t>
    </r>
    <r>
      <rPr>
        <b/>
        <i/>
        <sz val="10"/>
        <rFont val="Calibri"/>
        <family val="2"/>
        <scheme val="minor"/>
      </rPr>
      <t>Ws</t>
    </r>
    <r>
      <rPr>
        <sz val="10"/>
        <rFont val="Calibri"/>
        <family val="2"/>
        <scheme val="minor"/>
      </rPr>
      <t>-0.535)+</t>
    </r>
    <r>
      <rPr>
        <b/>
        <i/>
        <sz val="10"/>
        <rFont val="Calibri"/>
        <family val="2"/>
        <scheme val="minor"/>
      </rPr>
      <t>Th</t>
    </r>
    <r>
      <rPr>
        <sz val="10"/>
        <rFont val="Calibri"/>
        <family val="2"/>
        <scheme val="minor"/>
      </rPr>
      <t>*(0.000679*</t>
    </r>
    <r>
      <rPr>
        <b/>
        <i/>
        <sz val="10"/>
        <rFont val="Calibri"/>
        <family val="2"/>
        <scheme val="minor"/>
      </rPr>
      <t>Ws</t>
    </r>
    <r>
      <rPr>
        <sz val="10"/>
        <rFont val="Calibri"/>
        <family val="2"/>
        <scheme val="minor"/>
      </rPr>
      <t>-0.1)+0.00218*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</si>
  <si>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*(0.00144*</t>
    </r>
    <r>
      <rPr>
        <b/>
        <i/>
        <sz val="10"/>
        <rFont val="Calibri"/>
        <family val="2"/>
        <scheme val="minor"/>
      </rPr>
      <t>Th</t>
    </r>
    <r>
      <rPr>
        <sz val="10"/>
        <rFont val="Calibri"/>
        <family val="2"/>
        <scheme val="minor"/>
      </rPr>
      <t>+0.000262*</t>
    </r>
    <r>
      <rPr>
        <b/>
        <i/>
        <sz val="10"/>
        <rFont val="Calibri"/>
        <family val="2"/>
        <scheme val="minor"/>
      </rPr>
      <t>Ws</t>
    </r>
    <r>
      <rPr>
        <sz val="10"/>
        <rFont val="Calibri"/>
        <family val="2"/>
        <scheme val="minor"/>
      </rPr>
      <t>-0.0553)+</t>
    </r>
    <r>
      <rPr>
        <b/>
        <i/>
        <sz val="10"/>
        <rFont val="Calibri"/>
        <family val="2"/>
        <scheme val="minor"/>
      </rPr>
      <t>Th</t>
    </r>
    <r>
      <rPr>
        <sz val="10"/>
        <rFont val="Calibri"/>
        <family val="2"/>
        <scheme val="minor"/>
      </rPr>
      <t>*(0.00018*</t>
    </r>
    <r>
      <rPr>
        <b/>
        <i/>
        <sz val="10"/>
        <rFont val="Calibri"/>
        <family val="2"/>
        <scheme val="minor"/>
      </rPr>
      <t>Ws</t>
    </r>
    <r>
      <rPr>
        <sz val="10"/>
        <rFont val="Calibri"/>
        <family val="2"/>
        <scheme val="minor"/>
      </rPr>
      <t>-0.0299)+0.00166*</t>
    </r>
    <r>
      <rPr>
        <b/>
        <i/>
        <sz val="10"/>
        <rFont val="Calibri"/>
        <family val="2"/>
        <scheme val="minor"/>
      </rPr>
      <t>Ws</t>
    </r>
  </si>
  <si>
    <r>
      <t>CZ</t>
    </r>
    <r>
      <rPr>
        <sz val="10"/>
        <rFont val="Calibri"/>
        <family val="2"/>
        <scheme val="minor"/>
      </rPr>
      <t>+0.00203*</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*(0.000591*</t>
    </r>
    <r>
      <rPr>
        <b/>
        <i/>
        <sz val="10"/>
        <rFont val="Calibri"/>
        <family val="2"/>
        <scheme val="minor"/>
      </rPr>
      <t>Ws</t>
    </r>
    <r>
      <rPr>
        <sz val="10"/>
        <rFont val="Calibri"/>
        <family val="2"/>
        <scheme val="minor"/>
      </rPr>
      <t>-0.0812)+0.00194*</t>
    </r>
    <r>
      <rPr>
        <b/>
        <i/>
        <sz val="10"/>
        <rFont val="Calibri"/>
        <family val="2"/>
        <scheme val="minor"/>
      </rPr>
      <t>Ws</t>
    </r>
  </si>
  <si>
    <r>
      <t>CZ</t>
    </r>
    <r>
      <rPr>
        <sz val="10"/>
        <rFont val="Calibri"/>
        <family val="2"/>
        <scheme val="minor"/>
      </rPr>
      <t>+</t>
    </r>
    <r>
      <rPr>
        <b/>
        <i/>
        <sz val="10"/>
        <rFont val="Calibri"/>
        <family val="2"/>
        <scheme val="minor"/>
      </rPr>
      <t>Th</t>
    </r>
    <r>
      <rPr>
        <sz val="10"/>
        <rFont val="Calibri"/>
        <family val="2"/>
        <scheme val="minor"/>
      </rPr>
      <t>*(0.000406*</t>
    </r>
    <r>
      <rPr>
        <b/>
        <i/>
        <sz val="10"/>
        <rFont val="Calibri"/>
        <family val="2"/>
        <scheme val="minor"/>
      </rPr>
      <t>Ws</t>
    </r>
    <r>
      <rPr>
        <sz val="10"/>
        <rFont val="Calibri"/>
        <family val="2"/>
        <scheme val="minor"/>
      </rPr>
      <t>-0.0611)+0.00228*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</si>
  <si>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*(0.00998*</t>
    </r>
    <r>
      <rPr>
        <b/>
        <i/>
        <sz val="10"/>
        <rFont val="Calibri"/>
        <family val="2"/>
        <scheme val="minor"/>
      </rPr>
      <t>Th</t>
    </r>
    <r>
      <rPr>
        <sz val="10"/>
        <rFont val="Calibri"/>
        <family val="2"/>
        <scheme val="minor"/>
      </rPr>
      <t>+0.00207*</t>
    </r>
    <r>
      <rPr>
        <b/>
        <i/>
        <sz val="10"/>
        <rFont val="Calibri"/>
        <family val="2"/>
        <scheme val="minor"/>
      </rPr>
      <t>Ws</t>
    </r>
    <r>
      <rPr>
        <sz val="10"/>
        <rFont val="Calibri"/>
        <family val="2"/>
        <scheme val="minor"/>
      </rPr>
      <t>-0.206)+</t>
    </r>
    <r>
      <rPr>
        <b/>
        <i/>
        <sz val="10"/>
        <rFont val="Calibri"/>
        <family val="2"/>
        <scheme val="minor"/>
      </rPr>
      <t>Th</t>
    </r>
    <r>
      <rPr>
        <sz val="10"/>
        <rFont val="Calibri"/>
        <family val="2"/>
        <scheme val="minor"/>
      </rPr>
      <t>*(0.000665*</t>
    </r>
    <r>
      <rPr>
        <b/>
        <i/>
        <sz val="10"/>
        <rFont val="Calibri"/>
        <family val="2"/>
        <scheme val="minor"/>
      </rPr>
      <t>Ws</t>
    </r>
    <r>
      <rPr>
        <sz val="10"/>
        <rFont val="Calibri"/>
        <family val="2"/>
        <scheme val="minor"/>
      </rPr>
      <t>-0.101)+0.00292*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</si>
  <si>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*(0.00383*</t>
    </r>
    <r>
      <rPr>
        <b/>
        <i/>
        <sz val="10"/>
        <rFont val="Calibri"/>
        <family val="2"/>
        <scheme val="minor"/>
      </rPr>
      <t>Th</t>
    </r>
    <r>
      <rPr>
        <sz val="10"/>
        <rFont val="Calibri"/>
        <family val="2"/>
        <scheme val="minor"/>
      </rPr>
      <t>-0.0656)+</t>
    </r>
    <r>
      <rPr>
        <b/>
        <i/>
        <sz val="10"/>
        <rFont val="Calibri"/>
        <family val="2"/>
        <scheme val="minor"/>
      </rPr>
      <t>Th</t>
    </r>
    <r>
      <rPr>
        <sz val="10"/>
        <rFont val="Calibri"/>
        <family val="2"/>
        <scheme val="minor"/>
      </rPr>
      <t>*(0.000575*</t>
    </r>
    <r>
      <rPr>
        <b/>
        <i/>
        <sz val="10"/>
        <rFont val="Calibri"/>
        <family val="2"/>
        <scheme val="minor"/>
      </rPr>
      <t>Ws</t>
    </r>
    <r>
      <rPr>
        <sz val="10"/>
        <rFont val="Calibri"/>
        <family val="2"/>
        <scheme val="minor"/>
      </rPr>
      <t>-0.0912)+0.00249*</t>
    </r>
    <r>
      <rPr>
        <b/>
        <i/>
        <sz val="10"/>
        <rFont val="Calibri"/>
        <family val="2"/>
        <scheme val="minor"/>
      </rPr>
      <t>Ws</t>
    </r>
  </si>
  <si>
    <r>
      <t>Climate Zone Coefficient (</t>
    </r>
    <r>
      <rPr>
        <b/>
        <i/>
        <sz val="9"/>
        <color rgb="FFFFFFFF"/>
        <rFont val="Calibri"/>
        <family val="2"/>
        <scheme val="minor"/>
      </rPr>
      <t>CZ</t>
    </r>
    <r>
      <rPr>
        <b/>
        <sz val="9"/>
        <color rgb="FFFFFFFF"/>
        <rFont val="Calibri"/>
        <family val="2"/>
        <scheme val="minor"/>
      </rPr>
      <t>) Continuous Operation</t>
    </r>
  </si>
  <si>
    <r>
      <t xml:space="preserve">Minimum </t>
    </r>
    <r>
      <rPr>
        <b/>
        <i/>
        <sz val="9"/>
        <color rgb="FFFFFFFF"/>
        <rFont val="Calibri"/>
        <family val="2"/>
        <scheme val="minor"/>
      </rPr>
      <t>Ws</t>
    </r>
  </si>
  <si>
    <t>Nicor Climate Zone split</t>
  </si>
  <si>
    <r>
      <t>Climate Zone Coefficient (</t>
    </r>
    <r>
      <rPr>
        <b/>
        <i/>
        <sz val="9"/>
        <color rgb="FFFFFFFF"/>
        <rFont val="Calibri"/>
        <family val="2"/>
        <scheme val="minor"/>
      </rPr>
      <t>CZ</t>
    </r>
    <r>
      <rPr>
        <b/>
        <sz val="9"/>
        <color rgb="FFFFFFFF"/>
        <rFont val="Calibri"/>
        <family val="2"/>
        <scheme val="minor"/>
      </rPr>
      <t>) Intermittent Operation</t>
    </r>
  </si>
  <si>
    <t>Thermostat Type</t>
  </si>
  <si>
    <t>Reprogramming existing thermostat</t>
  </si>
  <si>
    <t>Fu Variable lookup table</t>
  </si>
  <si>
    <t xml:space="preserve">Fan Mode </t>
  </si>
  <si>
    <t>Demand Controlled Ventilation</t>
  </si>
  <si>
    <t>Condition Space</t>
  </si>
  <si>
    <t>Number of Sensors</t>
  </si>
  <si>
    <t>Elec Savings_Factor</t>
  </si>
  <si>
    <t>Therm_Savings_Factor</t>
  </si>
  <si>
    <t>Squarefoot of Building</t>
  </si>
  <si>
    <t>Condition space</t>
  </si>
  <si>
    <t>Conversion Factor</t>
  </si>
  <si>
    <t>Therms/Sensor</t>
  </si>
  <si>
    <t>Commercial ventilation C23</t>
  </si>
  <si>
    <t>De-fault</t>
  </si>
  <si>
    <t>ΔkWh = Condition Space / 1000 * Savings_Factor</t>
  </si>
  <si>
    <t>Δtherms = Condition Space / 1000 * Therm_Savings_Factor</t>
  </si>
  <si>
    <t>Conditioned Space</t>
  </si>
  <si>
    <t>Actual square footage of conditioned space controlled by sensor</t>
  </si>
  <si>
    <t>factor to divide by</t>
  </si>
  <si>
    <t>Lookup Table below</t>
  </si>
  <si>
    <t>Table of values from the TRM based on building type and climate zone</t>
  </si>
  <si>
    <t xml:space="preserve"> = Condition Space / 1000 * Therm_Savings_Factor</t>
  </si>
  <si>
    <t>calculation to get number of therms per sensor</t>
  </si>
  <si>
    <t>based on IC workpaper</t>
  </si>
  <si>
    <t>assumes 5000 sqft per sensor, using the climate zone and building type lookup table to get the therm savings factor</t>
  </si>
  <si>
    <t>assuming 1 sensor per 5,000 squarefeet</t>
  </si>
  <si>
    <t>per IC workpaper</t>
  </si>
  <si>
    <t xml:space="preserve">The deemed measure life is 10 years and based on CO2 sensor estimated life. </t>
  </si>
  <si>
    <t>TRM Deemed - no proposed changes in TRM V5</t>
  </si>
  <si>
    <t>Elect_Savings Factor (kWh/1000 sq ft)</t>
  </si>
  <si>
    <t xml:space="preserve">Zone 2 (Chicago) </t>
  </si>
  <si>
    <t xml:space="preserve">Zone 3 (Springfield) </t>
  </si>
  <si>
    <t>Office - Low-rise</t>
  </si>
  <si>
    <t>Office - Mid-rise</t>
  </si>
  <si>
    <t>Office - High-rise</t>
  </si>
  <si>
    <t xml:space="preserve">College/University </t>
  </si>
  <si>
    <t>lodging</t>
  </si>
  <si>
    <t>Manufacturing</t>
  </si>
  <si>
    <t>Special Assembly Auditorium</t>
  </si>
  <si>
    <t>Office Building</t>
  </si>
  <si>
    <t>Elementary and High School</t>
  </si>
  <si>
    <t>Small Building (custom)</t>
  </si>
  <si>
    <t>Small College (custom)</t>
  </si>
  <si>
    <t>Small Elementary and High School (custom)</t>
  </si>
  <si>
    <t>Therm_Savings Factor (Therm/1000 sq ft)</t>
  </si>
  <si>
    <t>IC workpaper DCV</t>
  </si>
  <si>
    <t>SQFT/Sensor</t>
  </si>
  <si>
    <t>Assumption</t>
  </si>
  <si>
    <t>Square Footage</t>
  </si>
  <si>
    <t xml:space="preserve">Number of Sensors Per Building </t>
  </si>
  <si>
    <t>&lt;10K Sqft</t>
  </si>
  <si>
    <t>average of office buildings</t>
  </si>
  <si>
    <t>average of retail buildings</t>
  </si>
  <si>
    <t>average of elementary and high school buildings</t>
  </si>
  <si>
    <t>less than 10K sqft</t>
  </si>
  <si>
    <t>Multi-Family Space Heating Steam Boiler Averaging Controls</t>
  </si>
  <si>
    <t>Boiler Gas Input Capacity (Btu/hr)</t>
  </si>
  <si>
    <t>Btu to Therm Conversion</t>
  </si>
  <si>
    <r>
      <rPr>
        <sz val="10"/>
        <rFont val="Calibri"/>
        <family val="2"/>
      </rPr>
      <t>∆</t>
    </r>
    <r>
      <rPr>
        <sz val="10"/>
        <rFont val="Calibri"/>
        <family val="2"/>
        <scheme val="minor"/>
      </rPr>
      <t>Therms =  Capacity x EFLH x SF / 100,000</t>
    </r>
  </si>
  <si>
    <t xml:space="preserve">Capacity </t>
  </si>
  <si>
    <t>Boiler gas input size (Btu/h)</t>
  </si>
  <si>
    <t>Custom?</t>
  </si>
  <si>
    <t>TRM recommends to use actual</t>
  </si>
  <si>
    <t>Effective Full Load Hours for heating are provided in section 4.4. HVAC End Use</t>
  </si>
  <si>
    <t>TRM Deemed Values</t>
  </si>
  <si>
    <t>Table of TRM Values from sectoin 4.4 HVAC end Use</t>
  </si>
  <si>
    <t xml:space="preserve">Savings Factor </t>
  </si>
  <si>
    <t>10.2%  or custom if savings can be substantiated</t>
  </si>
  <si>
    <t xml:space="preserve"> Custom - not doing steam balancing with the install. Source provided by the TRM, the 10.2% value is a combination of 5.2% savings</t>
  </si>
  <si>
    <t>Converts Btu to therms</t>
  </si>
  <si>
    <t>The measure life for the domestic hot water boilers is 20 years.</t>
  </si>
  <si>
    <t>This is Deemed by the TRM (new measure for TRM V5)</t>
  </si>
  <si>
    <t>As a retrofit measure, the actual installed cost should be used for screening purposes.</t>
  </si>
  <si>
    <t>EFLH MF average from List Table on Tab Lists</t>
  </si>
  <si>
    <t>Average MF</t>
  </si>
  <si>
    <t>Covers and Gap Sealers for Room Air Conditioners</t>
  </si>
  <si>
    <t>Number of Units by floor</t>
  </si>
  <si>
    <t>Therm Savings by floor</t>
  </si>
  <si>
    <t>kWh Savings by floor</t>
  </si>
  <si>
    <t>Number of Stories</t>
  </si>
  <si>
    <t>Number of Units</t>
  </si>
  <si>
    <t>Shielding Type</t>
  </si>
  <si>
    <t>Terrain Type</t>
  </si>
  <si>
    <t>Climtae Zone Key</t>
  </si>
  <si>
    <t>4.4.38.1</t>
  </si>
  <si>
    <t>Nicor Custom</t>
  </si>
  <si>
    <t>Moderate</t>
  </si>
  <si>
    <t>ΔTherms = (Qinfiltration * 1.08 Btu/hr.CFM.°F * (Tsa – Toa)  * EFLHheat) / (100,000 Btu/therm * η)</t>
  </si>
  <si>
    <t>Floors</t>
  </si>
  <si>
    <t>utilizing the deemed table of values for MF buildings</t>
  </si>
  <si>
    <t>Planning assumption to use deemed table of values</t>
  </si>
  <si>
    <t>Plan to collect on Application</t>
  </si>
  <si>
    <t>To make prescriptive and capture this value per CR</t>
  </si>
  <si>
    <t>Weather Zone</t>
  </si>
  <si>
    <t>will be collecting climate zone on application</t>
  </si>
  <si>
    <t>η</t>
  </si>
  <si>
    <t>Efficiency of heating equipment</t>
  </si>
  <si>
    <t>Yes- Required</t>
  </si>
  <si>
    <t>Per TRM: collected on site. If unknown, assume 80%</t>
  </si>
  <si>
    <t>Qinfiltration</t>
  </si>
  <si>
    <t>Calculation per TRM</t>
  </si>
  <si>
    <t>Air infiltration (CFM) due to poor installation of window or through-the-wall AC</t>
  </si>
  <si>
    <t>Yes - Required</t>
  </si>
  <si>
    <t xml:space="preserve">Where: ELA * 0.000645* (fs2 * (Tsa – Toa) + fw2 * U2)1/2 *2118.88 </t>
  </si>
  <si>
    <t>ELA</t>
  </si>
  <si>
    <t>Effective Leakage Area (sq. in.)</t>
  </si>
  <si>
    <t>N/A - using prescriptive table</t>
  </si>
  <si>
    <t>Can be collected on site; if unknown, assume 6 sq. in. **Note per Unit</t>
  </si>
  <si>
    <t>fs</t>
  </si>
  <si>
    <t>stack coefficient</t>
  </si>
  <si>
    <t>=1/3*(9.81*Height*Toa)</t>
  </si>
  <si>
    <t>fw</t>
  </si>
  <si>
    <t>Wind Coefficient</t>
  </si>
  <si>
    <t>A * B * (Height * 0.3048 / 10)C</t>
  </si>
  <si>
    <t>Height</t>
  </si>
  <si>
    <t>height of the location of the leakage area in feet</t>
  </si>
  <si>
    <t>Per TRM assume 8 ft per floor</t>
  </si>
  <si>
    <t>Toa</t>
  </si>
  <si>
    <t>TRM Table of Lookup values based on Climate Zone</t>
  </si>
  <si>
    <t>Average Outside Air Temperature in °F during heating period</t>
  </si>
  <si>
    <t>Per TRM use values of Tables from the TRM based on location (climate zone)</t>
  </si>
  <si>
    <t xml:space="preserve">A, B and  C </t>
  </si>
  <si>
    <t>Lookup based on Shielding and Terrain parameters</t>
  </si>
  <si>
    <t xml:space="preserve">Constants based on the facility site’s shielding and terrain parameters. </t>
  </si>
  <si>
    <t>Per TRM: Use values from the tables below</t>
  </si>
  <si>
    <t>Tsa</t>
  </si>
  <si>
    <t>Average Indoor Air Temperature during heating period. This figure will need to be in Kelvin to calculate infiltration (Qinfiltration) and Fahrenheit to calculate energy savings (ΔkWh, ΔTherms)</t>
  </si>
  <si>
    <t>Collected on site. If unknown, assume 72°F (295 K). If known, convert °F to K by using the following equation: K = (°F + 459.67) * (5/9)</t>
  </si>
  <si>
    <t>U</t>
  </si>
  <si>
    <t xml:space="preserve">Average Wind Velocity (m/s) during heating period.  </t>
  </si>
  <si>
    <t>Per TRM: Use table below, based on facility location (Climate Zone)</t>
  </si>
  <si>
    <t>EFLHheat</t>
  </si>
  <si>
    <t>TRM Table of Lookup values based on Climate Zone and Building Type</t>
  </si>
  <si>
    <t>Equivalent full load hours for heating from section 4.4 HVAC end use</t>
  </si>
  <si>
    <t>Plan to collect Weather Zone on application</t>
  </si>
  <si>
    <t>Based on Building type and climate zone (confirm)</t>
  </si>
  <si>
    <t>Converts square inches to square meters</t>
  </si>
  <si>
    <t>acceleration due to gravity (m/s2)</t>
  </si>
  <si>
    <t>converts feet to meters</t>
  </si>
  <si>
    <t>Converts m3/s to CFM</t>
  </si>
  <si>
    <t>Sensible heat transfer constant (Btu/hr.CFM.°F)</t>
  </si>
  <si>
    <t>Converts Btus to therms</t>
  </si>
  <si>
    <t>The estimated useful life of AC covers is 5 years</t>
  </si>
  <si>
    <t>This is a deemed value per the TRM</t>
  </si>
  <si>
    <t>Shielding Class</t>
  </si>
  <si>
    <t>Shielding Description</t>
  </si>
  <si>
    <t>No obstructions or local shielding whatsoever (i.e. isolated building)</t>
  </si>
  <si>
    <t>Light</t>
  </si>
  <si>
    <t>Light local shielding with few obstructions (eg. A few trees or a shed in the vicinity)</t>
  </si>
  <si>
    <t>Moderate local shielding; some obstructions within two house heights (eg. Thick hedge fence on fence and nearby building)</t>
  </si>
  <si>
    <t>Nicor Average</t>
  </si>
  <si>
    <t>Heavy</t>
  </si>
  <si>
    <t>Heavy shielding; obstructions around most of perimeter buildings or trees within five building heights in most directions (eg. Well developed/dense tract house)</t>
  </si>
  <si>
    <t>Very Heavy</t>
  </si>
  <si>
    <t>Very heavy shielding, large obstruction surrounding perimeter within two house heights (eg. Typical downtown area)</t>
  </si>
  <si>
    <t>Terrain Class</t>
  </si>
  <si>
    <t>Terrain Description</t>
  </si>
  <si>
    <t>C</t>
  </si>
  <si>
    <t>Ocean or other body of eater with at least 5 km of unrestricted space</t>
  </si>
  <si>
    <t>Flat terrain with some isolated obstacles (eg. Buildings or trees well seperated from each other)</t>
  </si>
  <si>
    <t>Rural areas with low buildings, trees etc.</t>
  </si>
  <si>
    <t>Urban, industrial or forest areas</t>
  </si>
  <si>
    <t>Center of large city (eg. Manhattan)</t>
  </si>
  <si>
    <t>U (m/s)</t>
  </si>
  <si>
    <t>TOA (°F)</t>
  </si>
  <si>
    <t>TOA (K)</t>
  </si>
  <si>
    <t>IMC Assumptions</t>
  </si>
  <si>
    <t>Number of units</t>
  </si>
  <si>
    <t>assumption</t>
  </si>
  <si>
    <t>Cost of Cover</t>
  </si>
  <si>
    <t>assumed half the cost of the upper bound of TRM (50%)</t>
  </si>
  <si>
    <t>Labor per unit</t>
  </si>
  <si>
    <t>amount is 20/hour per unit and install time is 15 to 30 minutes; assumed 10 since 30 minute install</t>
  </si>
  <si>
    <t>Total Cost of Cover</t>
  </si>
  <si>
    <t>Total Labor Cost</t>
  </si>
  <si>
    <t>Multi-Family - Electric Savings per Unit (kWh/unit)</t>
  </si>
  <si>
    <t>Floor</t>
  </si>
  <si>
    <t>Rockford</t>
  </si>
  <si>
    <t>Belleville</t>
  </si>
  <si>
    <t>Marion</t>
  </si>
  <si>
    <t>Multi-Family - Gas Savings per Unit (Therms/Unit)</t>
  </si>
  <si>
    <t>Climate Zone Column Key</t>
  </si>
  <si>
    <t>Incremental Measure Cost</t>
  </si>
  <si>
    <t>Air Deflectors for Unit Ventilators</t>
  </si>
  <si>
    <t>Natural Gas Savings (therms/yr)</t>
  </si>
  <si>
    <t>DEFINITION OF EFFICIENT EQUIPMENT</t>
  </si>
  <si>
    <t>The efficient equipment consists of UVs on North, East or West facing walls with supply air deflectors mounted over existing unit ventilators utilizing an angled grille to direct airflow from the unit ventilator into the center of a room.</t>
  </si>
  <si>
    <t>DEFINITION OF BASELINE EQUIPMENT</t>
  </si>
  <si>
    <t>The baseline equipment is a UV located adjacent to exterior north, east, and west-facing perimeter windows with no existing technology to address air stratification installed. UVs located adjacent to south-facing perimeter windows are not eligible for this measure.</t>
  </si>
  <si>
    <t>DEEMED LIFETIME OF EFFICIENT EQUIPMENT</t>
  </si>
  <si>
    <t>The expected measure life is estimated at 20 years.</t>
  </si>
  <si>
    <t xml:space="preserve">DEEMED MEASURE COST </t>
  </si>
  <si>
    <t>%ElecHeat</t>
  </si>
  <si>
    <t>Heating_Reduction</t>
  </si>
  <si>
    <t>BAF</t>
  </si>
  <si>
    <t>NATURAL GAS SAVINGS</t>
  </si>
  <si>
    <t>∆Therms  = ((1 - %ElectricHeat) * EFLHheat * Capacity * 1/AFUE * Heating_Reduction * BAF)/ 100,000Btu/Therm</t>
  </si>
  <si>
    <t>Where;</t>
  </si>
  <si>
    <t>%ElecHeat =  % Heating savings assumed to be elec</t>
  </si>
  <si>
    <t>Elec Heat</t>
  </si>
  <si>
    <t>Gas Heat</t>
  </si>
  <si>
    <t xml:space="preserve">EFLHheat = Heating mode equivalent full load hours </t>
  </si>
  <si>
    <t>Capacity = Nominal Heating Input Capacity (Btu/hr)</t>
  </si>
  <si>
    <t xml:space="preserve">AFUE = Annual Fuel Utilization Efficiency Rating </t>
  </si>
  <si>
    <t>TRM Deemed value</t>
  </si>
  <si>
    <t>Unknown - Code Baseline</t>
  </si>
  <si>
    <t>Heating_Reduction = assumed % heating reduction due to Tstat</t>
  </si>
  <si>
    <t>BAF = Baseline adjustment factor</t>
  </si>
  <si>
    <t>Baseline - Manual Tstat</t>
  </si>
  <si>
    <t>Baseline - Programmable Tstat</t>
  </si>
  <si>
    <t>Baseline - Unknown</t>
  </si>
  <si>
    <t>The criteria for this measure are established by replacement of a manual-only thermostat, with one that has the capability to establish a schedule of time and/or temperature setpoints, or replacement of a programmable thermostat with an Advanced Thermostat.
The thermostat must be installed to control a single-zone HVAC system. This measure is limited to packaged HVAC units 10 tons or less. This measure should not be used when HVAC systems are being replaced, in new construction and whenever code compliance is required.</t>
  </si>
  <si>
    <t>The baseline is assumed to be a manual or programmable thermostat.</t>
  </si>
  <si>
    <t>The expected measure life is assumed to be 11 years</t>
  </si>
  <si>
    <t>For DI and other programs for which installation services are provided, the actual material, labor, and other costs should be used. If unknown then the average incremental cost for the new installation measure is assumed to be $175.</t>
  </si>
  <si>
    <t>Scale Thickness (inches)</t>
  </si>
  <si>
    <t>Pressure</t>
  </si>
  <si>
    <t>%Ei</t>
  </si>
  <si>
    <t>Normal (≥1/32 &amp; ≤ 3/64)</t>
  </si>
  <si>
    <t>Low Pressure (15psig and below) Applications</t>
  </si>
  <si>
    <t>∆Therms = (Capacity * EFLH * %Ei) / 100,000</t>
  </si>
  <si>
    <t>The baseline condition is a boiler system that is compromised by scale build up.</t>
  </si>
  <si>
    <t>COINCIDENCE FACTOR</t>
  </si>
  <si>
    <t>Measure Life of De-scaling</t>
  </si>
  <si>
    <t>Nominal Heating Input Capacity Boiler Size (Btu/hr) for boiler unit</t>
  </si>
  <si>
    <t>Equivalent Full Load Hours for heating in Existing Buildings are provided in section 4.4 HVAC End Use. For process loads, use custom hours.</t>
  </si>
  <si>
    <t>Percent efficiency improvement from chemical descaling</t>
  </si>
  <si>
    <t>Efficiency Improvement (%Ei)</t>
  </si>
  <si>
    <t>High Pressure (above 15psig) Applications</t>
  </si>
  <si>
    <t>Low (≤1/64 )</t>
  </si>
  <si>
    <t>High (≥1/16)</t>
  </si>
  <si>
    <t>HVAC System Type</t>
  </si>
  <si>
    <t>HS_cz</t>
  </si>
  <si>
    <t>Area_radiator</t>
  </si>
  <si>
    <t>6 - Nicor Custom</t>
  </si>
  <si>
    <t>Hot Water Radiator Heavy Scaling</t>
  </si>
  <si>
    <t>∆Therms= HS_cz * Area_radiator</t>
  </si>
  <si>
    <t xml:space="preserve">The baseline condition is the hydronic radiator being replaced, which has shown decreased performance due to a high degree of mineral deposit scaling and sludge buildup. </t>
  </si>
  <si>
    <t>1 - Rockford</t>
  </si>
  <si>
    <t>2 - Chicago</t>
  </si>
  <si>
    <t>3 - Springfield</t>
  </si>
  <si>
    <t>4 - Belleville</t>
  </si>
  <si>
    <t>5 - Marion</t>
  </si>
  <si>
    <t>Hot Water Radiator Standard Scaling</t>
  </si>
  <si>
    <t>Steam Radiator Standard Scaling</t>
  </si>
  <si>
    <t>Steam Radiator Heavy Scaling</t>
  </si>
  <si>
    <t>Modulating Commercial Gas Clothes Dryer</t>
  </si>
  <si>
    <t>Application Type</t>
  </si>
  <si>
    <t>Ncycles</t>
  </si>
  <si>
    <t xml:space="preserve">Coin- Operated Laundromats </t>
  </si>
  <si>
    <t xml:space="preserve">Multi-family Dryers </t>
  </si>
  <si>
    <t xml:space="preserve">On-Premise Laundromats  </t>
  </si>
  <si>
    <t>4.8.4.4</t>
  </si>
  <si>
    <t>Modulating Commercial Gas Clothes Dryer - On-Premise Laundromats   - Public Sector</t>
  </si>
  <si>
    <t>Modulating Commercial Gas Clothes Dryer On Premise Laundromat - Public Sector</t>
  </si>
  <si>
    <t>∆Therms = NCycles * SF</t>
  </si>
  <si>
    <t>Number of dryer cycles per year. Refer to the table below if this value is not directly available</t>
  </si>
  <si>
    <t>Dependent upon Application; based on Dryer location, MF, laundromat, or on-premise laundry</t>
  </si>
  <si>
    <t>TRM Deems this value at 0.18 therms/cycle</t>
  </si>
  <si>
    <t>This is deemed in TRM V5</t>
  </si>
  <si>
    <t>Cycles per Year</t>
  </si>
  <si>
    <t>Spring-Loaded Garage Door Hinge</t>
  </si>
  <si>
    <t>Annual Therm Savings Existing Buildings</t>
  </si>
  <si>
    <t>Annual Therm Savings New Construction</t>
  </si>
  <si>
    <t>The baseline equipment is a garage door with a 1/8-inch gap between the door and the weather-stripping around the perimeter of the door. The bottom of the door is assumed sealed.</t>
  </si>
  <si>
    <t>The expected measure life is assumed to be 20 years</t>
  </si>
  <si>
    <t>4.8.16.1</t>
  </si>
  <si>
    <t>Commercial Weather Stripping per Linear Ft</t>
  </si>
  <si>
    <t>Commercial Weather Stripping 1ft</t>
  </si>
  <si>
    <t xml:space="preserve">Commercial Weather Stripping per Door (3 Linear Ft) </t>
  </si>
  <si>
    <t>4.8.16.3</t>
  </si>
  <si>
    <t>Commercial Weather Stripping per Door (3 Linear Ft) Joint</t>
  </si>
  <si>
    <t>Commercial Weather Stripping 3ft DI Joint</t>
  </si>
  <si>
    <t>This measure shall apply to the exterior doors on commercial buildings that are not sealed from the outside environment (i.e., interior vestibule doors would be ineligible) with visible gaps of at least 1/8 inches and up to 3/4 inches along any outside edge of the door. The space on the interior of the door must be conditioned and/or heated, and the calculation methodology will use standard efficiencies of 1.0 kW/ton for cooling and 80% for heating. Electric resistance heating and electric heat pump systems will use coefficients of performance (COPs) of 1.0 and 3.3, respectively.</t>
  </si>
  <si>
    <t>The estimated useful life (EUL) is 10 years</t>
  </si>
  <si>
    <t xml:space="preserve">CALCULATION OF ENERGY SAVINGS </t>
  </si>
  <si>
    <t>ΔkWh = ΔkWhweatherstrip  * Length</t>
  </si>
  <si>
    <t xml:space="preserve">ΔTherms = ΔThermsweatherstrip * Length </t>
  </si>
  <si>
    <t>Length = 1 ft</t>
  </si>
  <si>
    <r>
      <t>ΔkWh</t>
    </r>
    <r>
      <rPr>
        <b/>
        <vertAlign val="subscript"/>
        <sz val="10"/>
        <color rgb="FFFFFFFF"/>
        <rFont val="Calibri"/>
        <family val="2"/>
      </rPr>
      <t xml:space="preserve">weatherstrip </t>
    </r>
    <r>
      <rPr>
        <b/>
        <sz val="10"/>
        <color rgb="FFFFFFFF"/>
        <rFont val="Calibri"/>
        <family val="2"/>
      </rPr>
      <t>per linear ft</t>
    </r>
  </si>
  <si>
    <r>
      <t>ΔTherms</t>
    </r>
    <r>
      <rPr>
        <b/>
        <vertAlign val="subscript"/>
        <sz val="10"/>
        <color rgb="FFFFFFFF"/>
        <rFont val="Calibri"/>
        <family val="2"/>
        <scheme val="minor"/>
      </rPr>
      <t xml:space="preserve">weatherstrip </t>
    </r>
    <r>
      <rPr>
        <b/>
        <sz val="10"/>
        <color rgb="FFFFFFFF"/>
        <rFont val="Calibri"/>
        <family val="2"/>
        <scheme val="minor"/>
      </rPr>
      <t>per linear ft</t>
    </r>
  </si>
  <si>
    <t>(City based upon)</t>
  </si>
  <si>
    <t>Electric Resistance</t>
  </si>
  <si>
    <t>Heat Pump</t>
  </si>
  <si>
    <t>Duct Insulation and Sealing</t>
  </si>
  <si>
    <t>Methodology</t>
  </si>
  <si>
    <t>Unit type</t>
  </si>
  <si>
    <t>Age of Equipment</t>
  </si>
  <si>
    <t>Electric heating?</t>
  </si>
  <si>
    <t>Capacity of Air Cooling system (Btu/H)</t>
  </si>
  <si>
    <t>Capacity of heating system</t>
  </si>
  <si>
    <t>Type of Conditioned Space</t>
  </si>
  <si>
    <t>Δtherms in second 10 years</t>
  </si>
  <si>
    <r>
      <t>Pre-∆CFM50</t>
    </r>
    <r>
      <rPr>
        <vertAlign val="subscript"/>
        <sz val="10"/>
        <color theme="1"/>
        <rFont val="Calibri"/>
        <family val="2"/>
        <scheme val="minor"/>
      </rPr>
      <t>DL</t>
    </r>
  </si>
  <si>
    <r>
      <t>Post-∆CFM50</t>
    </r>
    <r>
      <rPr>
        <vertAlign val="subscript"/>
        <sz val="10"/>
        <color theme="1"/>
        <rFont val="Calibri"/>
        <family val="2"/>
        <scheme val="minor"/>
      </rPr>
      <t>DL</t>
    </r>
  </si>
  <si>
    <r>
      <t>∆CFM25</t>
    </r>
    <r>
      <rPr>
        <vertAlign val="subscript"/>
        <sz val="10"/>
        <color theme="1"/>
        <rFont val="Calibri"/>
        <family val="2"/>
        <scheme val="minor"/>
      </rPr>
      <t>DL</t>
    </r>
  </si>
  <si>
    <r>
      <t>Pre-CFM50</t>
    </r>
    <r>
      <rPr>
        <vertAlign val="subscript"/>
        <sz val="10"/>
        <color theme="1"/>
        <rFont val="Calibri"/>
        <family val="2"/>
        <scheme val="minor"/>
      </rPr>
      <t>Whole House</t>
    </r>
  </si>
  <si>
    <r>
      <t>Post-CFM50</t>
    </r>
    <r>
      <rPr>
        <vertAlign val="subscript"/>
        <sz val="10"/>
        <color theme="1"/>
        <rFont val="Calibri"/>
        <family val="2"/>
        <scheme val="minor"/>
      </rPr>
      <t>Whole House</t>
    </r>
  </si>
  <si>
    <r>
      <t>Pre-CFM50</t>
    </r>
    <r>
      <rPr>
        <vertAlign val="subscript"/>
        <sz val="10"/>
        <color theme="1"/>
        <rFont val="Calibri"/>
        <family val="2"/>
        <scheme val="minor"/>
      </rPr>
      <t>Envelope Only</t>
    </r>
  </si>
  <si>
    <r>
      <t>Post-CFM50</t>
    </r>
    <r>
      <rPr>
        <vertAlign val="subscript"/>
        <sz val="10"/>
        <color theme="1"/>
        <rFont val="Calibri"/>
        <family val="2"/>
        <scheme val="minor"/>
      </rPr>
      <t>Envelope Only</t>
    </r>
  </si>
  <si>
    <t>Pre-SCF</t>
  </si>
  <si>
    <t>Post-SCF</t>
  </si>
  <si>
    <r>
      <t>DE</t>
    </r>
    <r>
      <rPr>
        <vertAlign val="subscript"/>
        <sz val="10"/>
        <color theme="1"/>
        <rFont val="Calibri"/>
        <family val="2"/>
        <scheme val="minor"/>
      </rPr>
      <t>before</t>
    </r>
  </si>
  <si>
    <r>
      <t>DE</t>
    </r>
    <r>
      <rPr>
        <vertAlign val="subscript"/>
        <sz val="10"/>
        <color theme="1"/>
        <rFont val="Calibri"/>
        <family val="2"/>
        <scheme val="minor"/>
      </rPr>
      <t>after</t>
    </r>
  </si>
  <si>
    <t>SLF</t>
  </si>
  <si>
    <t>RLF</t>
  </si>
  <si>
    <t>Cooling Capacity</t>
  </si>
  <si>
    <t xml:space="preserve">Heating Capacity </t>
  </si>
  <si>
    <t xml:space="preserve">FLHcool </t>
  </si>
  <si>
    <t>ηCool</t>
  </si>
  <si>
    <t>FLHheat</t>
  </si>
  <si>
    <t>%GasHeat</t>
  </si>
  <si>
    <t xml:space="preserve">ηHeat </t>
  </si>
  <si>
    <r>
      <t xml:space="preserve">Methodology1, </t>
    </r>
    <r>
      <rPr>
        <sz val="10"/>
        <color theme="1"/>
        <rFont val="Calibri"/>
        <family val="2"/>
      </rPr>
      <t>Δ</t>
    </r>
    <r>
      <rPr>
        <sz val="10"/>
        <color theme="1"/>
        <rFont val="Calibri"/>
        <family val="2"/>
        <scheme val="minor"/>
      </rPr>
      <t>kWh</t>
    </r>
  </si>
  <si>
    <r>
      <t xml:space="preserve">Methodology2, </t>
    </r>
    <r>
      <rPr>
        <sz val="10"/>
        <color theme="1"/>
        <rFont val="Calibri"/>
        <family val="2"/>
      </rPr>
      <t>Δ</t>
    </r>
    <r>
      <rPr>
        <sz val="10"/>
        <color theme="1"/>
        <rFont val="Calibri"/>
        <family val="2"/>
        <scheme val="minor"/>
      </rPr>
      <t>kWh</t>
    </r>
  </si>
  <si>
    <r>
      <t xml:space="preserve">Methodology1, </t>
    </r>
    <r>
      <rPr>
        <sz val="10"/>
        <color theme="1"/>
        <rFont val="Calibri"/>
        <family val="2"/>
      </rPr>
      <t>Δ</t>
    </r>
    <r>
      <rPr>
        <sz val="10"/>
        <color theme="1"/>
        <rFont val="Calibri"/>
        <family val="2"/>
        <scheme val="minor"/>
      </rPr>
      <t>therms</t>
    </r>
  </si>
  <si>
    <r>
      <t xml:space="preserve">Methodology2, </t>
    </r>
    <r>
      <rPr>
        <sz val="10"/>
        <color theme="1"/>
        <rFont val="Calibri"/>
        <family val="2"/>
      </rPr>
      <t>Δ</t>
    </r>
    <r>
      <rPr>
        <sz val="10"/>
        <color theme="1"/>
        <rFont val="Calibri"/>
        <family val="2"/>
        <scheme val="minor"/>
      </rPr>
      <t>therms</t>
    </r>
  </si>
  <si>
    <t>ηEquipment</t>
  </si>
  <si>
    <t>ηSystem</t>
  </si>
  <si>
    <t>Fe</t>
  </si>
  <si>
    <t>TRFheat</t>
  </si>
  <si>
    <t>TRFcool</t>
  </si>
  <si>
    <t>Converts CFM50 to CFM 25</t>
  </si>
  <si>
    <t>Conversion of Capacity to CFM (0.0123CFM / Btu/hr)</t>
  </si>
  <si>
    <t>Btu/H capacity to Tons</t>
  </si>
  <si>
    <t>Converts Capacity to in tons to CFM CFM (400CFM/ton)</t>
  </si>
  <si>
    <t>Converts Btu to kBtu</t>
  </si>
  <si>
    <t>Converts Btu to KkWh</t>
  </si>
  <si>
    <t>5.3.4.1</t>
  </si>
  <si>
    <t>Duct Sealing SF Unconditioned</t>
  </si>
  <si>
    <t>Duct sealing</t>
  </si>
  <si>
    <t>R08 - Residential Cooling</t>
  </si>
  <si>
    <t>Evaluation of Distribution Efficiency</t>
  </si>
  <si>
    <t>Single family</t>
  </si>
  <si>
    <t>Unconditioned</t>
  </si>
  <si>
    <t>5.3.4.2</t>
  </si>
  <si>
    <t>Duct Sealing SF Semi Conditioned Joint</t>
  </si>
  <si>
    <t>Semi-Conditioned</t>
  </si>
  <si>
    <t>Average - Nicor</t>
  </si>
  <si>
    <t>ηEquipmentNew</t>
  </si>
  <si>
    <t xml:space="preserve">Methodology 1: Modified Blower Door Subtraction </t>
  </si>
  <si>
    <r>
      <t>a)</t>
    </r>
    <r>
      <rPr>
        <sz val="7"/>
        <color theme="1"/>
        <rFont val="Times New Roman"/>
        <family val="1"/>
      </rPr>
      <t xml:space="preserve">       </t>
    </r>
    <r>
      <rPr>
        <sz val="10"/>
        <color theme="1"/>
        <rFont val="Calibri"/>
        <family val="2"/>
        <scheme val="minor"/>
      </rPr>
      <t>Determine Duct Leakage rate before and after performing duct sealing:</t>
    </r>
  </si>
  <si>
    <r>
      <t>Duct Leakage (CFM50</t>
    </r>
    <r>
      <rPr>
        <vertAlign val="subscript"/>
        <sz val="10"/>
        <color theme="1"/>
        <rFont val="Calibri"/>
        <family val="2"/>
        <scheme val="minor"/>
      </rPr>
      <t>DL</t>
    </r>
    <r>
      <rPr>
        <sz val="10"/>
        <color theme="1"/>
        <rFont val="Calibri"/>
        <family val="2"/>
        <scheme val="minor"/>
      </rPr>
      <t>) = (CFM50Whole House – CFM50Envelope Only) * SCF</t>
    </r>
  </si>
  <si>
    <r>
      <t>b)</t>
    </r>
    <r>
      <rPr>
        <sz val="7"/>
        <color theme="1"/>
        <rFont val="Times New Roman"/>
        <family val="1"/>
      </rPr>
      <t xml:space="preserve">       </t>
    </r>
    <r>
      <rPr>
        <sz val="10"/>
        <color theme="1"/>
        <rFont val="Calibri"/>
        <family val="2"/>
        <scheme val="minor"/>
      </rPr>
      <t>Calculate duct leakage reduction, convert to CFM25</t>
    </r>
    <r>
      <rPr>
        <vertAlign val="subscript"/>
        <sz val="10"/>
        <color theme="1"/>
        <rFont val="Calibri"/>
        <family val="2"/>
        <scheme val="minor"/>
      </rPr>
      <t xml:space="preserve">DL </t>
    </r>
    <r>
      <rPr>
        <sz val="10"/>
        <color theme="1"/>
        <rFont val="Calibri"/>
        <family val="2"/>
        <scheme val="minor"/>
      </rPr>
      <t>and factor in Supply and Return Loss Factors</t>
    </r>
  </si>
  <si>
    <r>
      <t>Duct Leakage Reduction (∆CFM25</t>
    </r>
    <r>
      <rPr>
        <vertAlign val="subscript"/>
        <sz val="10"/>
        <color theme="1"/>
        <rFont val="Calibri"/>
        <family val="2"/>
        <scheme val="minor"/>
      </rPr>
      <t>DL</t>
    </r>
    <r>
      <rPr>
        <sz val="10"/>
        <color theme="1"/>
        <rFont val="Calibri"/>
        <family val="2"/>
        <scheme val="minor"/>
      </rPr>
      <t>) = (Pre CFM50DL – Post CFM50DL) * 0.64 * (SLF + RLF)</t>
    </r>
  </si>
  <si>
    <t>c) Calculate Energy Savings:</t>
  </si>
  <si>
    <r>
      <t>ΔkWh</t>
    </r>
    <r>
      <rPr>
        <vertAlign val="subscript"/>
        <sz val="10"/>
        <color theme="1"/>
        <rFont val="Calibri"/>
        <family val="2"/>
        <scheme val="minor"/>
      </rPr>
      <t>cooling</t>
    </r>
    <r>
      <rPr>
        <sz val="10"/>
        <color theme="1"/>
        <rFont val="Calibri"/>
        <family val="2"/>
        <scheme val="minor"/>
      </rPr>
      <t xml:space="preserve"> = ((∆CFM25DL)/ ((Capacity/12,000) * 400)) * FLHcool * Capacity) / 1000 / ηCool</t>
    </r>
  </si>
  <si>
    <t>Heating savings for homes with electric heat (Heat Pump)</t>
  </si>
  <si>
    <r>
      <t>ΔkWh</t>
    </r>
    <r>
      <rPr>
        <vertAlign val="subscript"/>
        <sz val="10"/>
        <color theme="1"/>
        <rFont val="Calibri"/>
        <family val="2"/>
        <scheme val="minor"/>
      </rPr>
      <t>heating</t>
    </r>
    <r>
      <rPr>
        <sz val="10"/>
        <color theme="1"/>
        <rFont val="Calibri"/>
        <family val="2"/>
        <scheme val="minor"/>
      </rPr>
      <t xml:space="preserve"> = (((∆CFM25DL /((Capacity/12,000) * 400)) * FLHheat * Capacity) / ηHeat / 3412</t>
    </r>
  </si>
  <si>
    <t>Methodology 2: Evaluation of Distribution Efficiency</t>
  </si>
  <si>
    <r>
      <t>ΔkWh</t>
    </r>
    <r>
      <rPr>
        <vertAlign val="subscript"/>
        <sz val="10"/>
        <color theme="1"/>
        <rFont val="Calibri"/>
        <family val="2"/>
        <scheme val="minor"/>
      </rPr>
      <t xml:space="preserve"> cooling</t>
    </r>
    <r>
      <rPr>
        <sz val="10"/>
        <color theme="1"/>
        <rFont val="Calibri"/>
        <family val="2"/>
        <scheme val="minor"/>
      </rPr>
      <t xml:space="preserve"> = ((DEafter – DEbefore)/ DEafter)) * FLHcool * Capacity)/1000 / ηCool</t>
    </r>
  </si>
  <si>
    <t>Heating savings for homes with electric heat (Heat Pump or resistance):</t>
  </si>
  <si>
    <r>
      <t>ΔkWh</t>
    </r>
    <r>
      <rPr>
        <vertAlign val="subscript"/>
        <sz val="10"/>
        <color theme="1"/>
        <rFont val="Calibri"/>
        <family val="2"/>
        <scheme val="minor"/>
      </rPr>
      <t xml:space="preserve">heating </t>
    </r>
    <r>
      <rPr>
        <sz val="10"/>
        <color theme="1"/>
        <rFont val="Calibri"/>
        <family val="2"/>
        <scheme val="minor"/>
      </rPr>
      <t>= ((DEafter – DEbefore)/ DEafter)) * FLHheat * Capacity ) / ηHeat / 3412</t>
    </r>
  </si>
  <si>
    <t>ΔkW= ΔkWhcooling/ FLHcool * CF</t>
  </si>
  <si>
    <t>For homes with Natural Gas Heating:</t>
  </si>
  <si>
    <r>
      <rPr>
        <sz val="11"/>
        <color theme="1"/>
        <rFont val="Calibri"/>
        <family val="2"/>
      </rPr>
      <t>∆</t>
    </r>
    <r>
      <rPr>
        <sz val="11"/>
        <color theme="1"/>
        <rFont val="Calibri"/>
        <family val="2"/>
        <scheme val="minor"/>
      </rPr>
      <t xml:space="preserve">Therm = (((∆CFM25DL / (InputCapacityHeat * 0.0123)) * FLHheat * InputCapacityHeat * TRFheat * %Gasheat* (ηEquipment / ηSystem)) / 100,000 </t>
    </r>
  </si>
  <si>
    <t xml:space="preserve">= (((∆CFM25DL / (InputCapacityHeat * 0.0123)) * FLHheat * InputCapacityHeat * TRFheat (ηEquipment / ηSystem)) / 100,000 </t>
  </si>
  <si>
    <t xml:space="preserve">ΔTherm = ((DEafter – DEbefore)/ DEafter)) * FLHheat * InputCapacityHeat * TRFheat * %Gasheat* (ηEquipment / ηSystem)) / 100,000 </t>
  </si>
  <si>
    <t>S-HVC-DINS-V06-160601</t>
  </si>
  <si>
    <t>Pre-CFM50Whole House</t>
  </si>
  <si>
    <t>Standard Blower Door test result finding Cubic Feet per Minute at 50 Pascal pressure differential</t>
  </si>
  <si>
    <t>Post-CFM50Whole House</t>
  </si>
  <si>
    <t>Pre-CFM50Envelope Only</t>
  </si>
  <si>
    <t>Blower Door test result finding Cubic Feet per Minute at 50 Pascal pressure differential with all supply and return registers sealed.</t>
  </si>
  <si>
    <t>Post-CFM50Envelope Only</t>
  </si>
  <si>
    <t>Subtraction Correction Factor to account for underestimation of duct leakage due to connections between the duct system and the home. Determined by measuring pressure in duct system with registers sealed and using look up table provided by Energy Conservatory.</t>
  </si>
  <si>
    <t>Seems to be the same value used in the TRM Calculation</t>
  </si>
  <si>
    <t>DEbefore</t>
  </si>
  <si>
    <t>Distribution Efficiency before duct sealing</t>
  </si>
  <si>
    <t>DEafter</t>
  </si>
  <si>
    <t>Distribution Efficiency after duct sealing</t>
  </si>
  <si>
    <t>Supply Loss Factor</t>
  </si>
  <si>
    <t>% leaks sealed located in Supply ducts * 1</t>
  </si>
  <si>
    <t>TRM deemed value of 0.5</t>
  </si>
  <si>
    <t>Return Loss Factor</t>
  </si>
  <si>
    <t>% leaks sealed located in Return ducts * 0.5</t>
  </si>
  <si>
    <t>TRM deemed value of 0.25</t>
  </si>
  <si>
    <t>Capacity of Air Cooling system (Btu/hr)</t>
  </si>
  <si>
    <t>Capacity of Air Heating system (Btu/hr)</t>
  </si>
  <si>
    <t>Full load cooling hours:</t>
  </si>
  <si>
    <t xml:space="preserve">Deemed Table of TRM Values dependent on location </t>
  </si>
  <si>
    <t>Efficiency (SEER) of Air Conditioning equipment (kBtu/kWh)</t>
  </si>
  <si>
    <t>Actual. If not available refer to the Table of deemed values from the TRM which is based on the age of the equipment</t>
  </si>
  <si>
    <t>Full load heating hours</t>
  </si>
  <si>
    <t>%Gasheat</t>
  </si>
  <si>
    <t>Percent of homes that have gas space heating</t>
  </si>
  <si>
    <t>Deemed value ( 100 % for Natural Gas heating)</t>
  </si>
  <si>
    <t>Is this actual?</t>
  </si>
  <si>
    <t>Efficiency in COP of Heating equipment</t>
  </si>
  <si>
    <t>Summer system peak coincidence factor</t>
  </si>
  <si>
    <t>Heating Equipment Efficiency</t>
  </si>
  <si>
    <t>Actual. If not available use the deemed TRM value of 83%</t>
  </si>
  <si>
    <t>Pre duct sealing Heating System Efficiency (Equipment Efficiency * Pre Distribution Efficiency)</t>
  </si>
  <si>
    <t>Actual. If not available use the deemed TRM value of 70%</t>
  </si>
  <si>
    <t>TRM lookup table based on semi or unconditioned space</t>
  </si>
  <si>
    <t xml:space="preserve">Thermal Regain Factor for heating by space type </t>
  </si>
  <si>
    <t>TRM Deemed value based on semi-conditioned spaces or unconditioned spaces; lookup table below</t>
  </si>
  <si>
    <t xml:space="preserve">Thermal Regain Factor for cooling by space type </t>
  </si>
  <si>
    <t>Furnace Fan energy consumption as a percentage of annual fuel consumption</t>
  </si>
  <si>
    <t>Converts Btu/h capacity to tons (per the TRM)</t>
  </si>
  <si>
    <t>Converts capacity in tons to CFM (400CFM /ton) (per the TRM)</t>
  </si>
  <si>
    <t>Converts Btu to kWh</t>
  </si>
  <si>
    <t>kWh per therm</t>
  </si>
  <si>
    <t>The assumed lifetime of this measure is 20 years</t>
  </si>
  <si>
    <t>SEER Estimate</t>
  </si>
  <si>
    <t>HSPF Estimate</t>
  </si>
  <si>
    <t>COP Estimate</t>
  </si>
  <si>
    <t>Before 2006</t>
  </si>
  <si>
    <t>After 2006</t>
  </si>
  <si>
    <t>2015 on</t>
  </si>
  <si>
    <t>Resistance</t>
  </si>
  <si>
    <t>Custom Inputs</t>
  </si>
  <si>
    <t>CFM50 Whole House</t>
  </si>
  <si>
    <t>CFM50 Envelope Only</t>
  </si>
  <si>
    <t>Subtraction correction factor</t>
  </si>
  <si>
    <t>Distribution Efficiency</t>
  </si>
  <si>
    <t>Before performing duct sealing</t>
  </si>
  <si>
    <t>After performing duct sealing</t>
  </si>
  <si>
    <t>ΔkWh of Therm Savings Lookup</t>
  </si>
  <si>
    <t>Modified Blower Door Subtraction</t>
  </si>
  <si>
    <t>From CR Input</t>
  </si>
  <si>
    <t>=Debefore*ηEquipment</t>
  </si>
  <si>
    <t>Multi Family</t>
  </si>
  <si>
    <t>Loadshape Table</t>
  </si>
  <si>
    <t>R09 - Residential Electric Space Heat</t>
  </si>
  <si>
    <t>R10 - Residential Electric Heating and Cooling (Shell Measures)</t>
  </si>
  <si>
    <t>FLHcool</t>
  </si>
  <si>
    <t>Single Family</t>
  </si>
  <si>
    <t>FLH_heat</t>
  </si>
  <si>
    <t>Climate Lookup Table - to create Nicor Custom</t>
  </si>
  <si>
    <t>Gas High Efficiency Boiler</t>
  </si>
  <si>
    <t>EFF Measure Type</t>
  </si>
  <si>
    <t>Program Year</t>
  </si>
  <si>
    <t>Household Type</t>
  </si>
  <si>
    <t>AFUE(base)</t>
  </si>
  <si>
    <t>AFUE(eff)</t>
  </si>
  <si>
    <t>CAPInput</t>
  </si>
  <si>
    <t>Early Replacement %</t>
  </si>
  <si>
    <t>2022 onwards</t>
  </si>
  <si>
    <t>Single-Family</t>
  </si>
  <si>
    <t>Gas High Efficiency Boiler Multi-Family AFUE 95% - implemented in 2022 and beyond</t>
  </si>
  <si>
    <t>implemented in 2022 and beyond</t>
  </si>
  <si>
    <t>5.3.6.11.1</t>
  </si>
  <si>
    <t>Gas High Efficiency Boiler Single-Family AFUE 95% implemented in 2022 and beyond - EREP</t>
  </si>
  <si>
    <t>Boilers, &gt;95% AFUE &lt;300 MBH - SF Early Retire</t>
  </si>
  <si>
    <t>5.3.6.12.1</t>
  </si>
  <si>
    <t>Gas High Efficiency Boiler Multi-Family AFUE 95% implemented in 2022 and beyond - EREP</t>
  </si>
  <si>
    <t>Boilers, &gt;95% AFUE &lt;300 MBH - MF Early Retire</t>
  </si>
  <si>
    <t>ΔTherms = EFLH * CAPInput * (AFUE(eff) /AFUE(base) - 1)/ 100000</t>
  </si>
  <si>
    <t xml:space="preserve">Baseline Boiler Annual Fuel Utilization Efficiency Rating </t>
  </si>
  <si>
    <t xml:space="preserve">Note: New federal appliance standards, raising the minimum AFUE from 82% to 84%, go into effect for boilers manufactured on or after January 15, 2021, but this baseline efficiency standards won’t be adopted until 2022. </t>
  </si>
  <si>
    <t>Efficient Boiler Annual Fuel Utilization Efficiency Rating</t>
  </si>
  <si>
    <t>Actual. If unknown, use defaults dependent on tier as listed in Table of Deemed TRM Values</t>
  </si>
  <si>
    <t>AFUE(exist)</t>
  </si>
  <si>
    <t>Baseline Boiler Annual Fuel Utilization Efficiency Rating  for Early Replacemnt</t>
  </si>
  <si>
    <t>If unknown, assume TRM Value of 61.6 AFUE%</t>
  </si>
  <si>
    <t>Early replacement: Remaining life of existing equipment is assumed to be 8 years</t>
  </si>
  <si>
    <t>Deemed values from the TRM</t>
  </si>
  <si>
    <t>Incr. Install Cost</t>
  </si>
  <si>
    <t>Incremental Install Cost</t>
  </si>
  <si>
    <t>AFUE 825</t>
  </si>
  <si>
    <t>AFUE 85% (Energy Star)</t>
  </si>
  <si>
    <t>AFUE (base)</t>
  </si>
  <si>
    <t>implemented prior to 2022</t>
  </si>
  <si>
    <t>Per TRM V5: Early Replacement: The full installation cost is provided in the table above. The assumed deferred cost (after 8 years) of replacing existing equipment with a new baseline unit is assumed to be $4,045 . This cost should be discounted to present value using the utilities' discount rate.</t>
  </si>
  <si>
    <t>Gas High Efficiency Furnace</t>
  </si>
  <si>
    <t>Eff AFUE</t>
  </si>
  <si>
    <t xml:space="preserve">Gas_Furnace_Heating _Load </t>
  </si>
  <si>
    <t>CAPInput (Btuh_actual)</t>
  </si>
  <si>
    <t>Deratingbase</t>
  </si>
  <si>
    <t>Deratingeff</t>
  </si>
  <si>
    <t>June 2012 – May 2013</t>
  </si>
  <si>
    <t>AFUE 97%</t>
  </si>
  <si>
    <t>AFUE (baseline 2)</t>
  </si>
  <si>
    <t>Inflation</t>
  </si>
  <si>
    <t>kW</t>
  </si>
  <si>
    <t>Full Lifetime</t>
  </si>
  <si>
    <t>5.3.7.11</t>
  </si>
  <si>
    <t>Furnace, &gt;95% AFUE - Early Retire</t>
  </si>
  <si>
    <t>5.3.7.12</t>
  </si>
  <si>
    <t>Furnace, &gt;97% AFUE - Early Retire</t>
  </si>
  <si>
    <t>5.3.7.11.1</t>
  </si>
  <si>
    <t>5.3.7.12.1</t>
  </si>
  <si>
    <t>5.3.7.16</t>
  </si>
  <si>
    <t>Gas High Efficiency Furnace AFUE ≥95% - TOS - Single-Family - Quality Install (HVAC Save)</t>
  </si>
  <si>
    <t>Furnace, &gt;95% AFUE HVAC Save</t>
  </si>
  <si>
    <t>5.3.7.17</t>
  </si>
  <si>
    <t>Gas High Efficiency Furnace AFUE ≥97% - TOS - Single-Family - Quality Install (HVAC Save)</t>
  </si>
  <si>
    <t>Furnace, &gt;97% AFUE HVAC Save</t>
  </si>
  <si>
    <t>2019 TRMv7 updates</t>
  </si>
  <si>
    <t>ΔTherms = (((EFLH * CAPinput)/(1-Derating(eff)) * (((AFUE(eff)*(1-Derating(eff))/(AFUE(base)*(1-Derating(base))) – 1))/100000</t>
  </si>
  <si>
    <t>2019 TRMv7 factors removed</t>
  </si>
  <si>
    <t xml:space="preserve">Dual baseline inflation assumption of </t>
  </si>
  <si>
    <t>AFUE Baseline 2 assumption</t>
  </si>
  <si>
    <t xml:space="preserve"> Existing Furnace Annual Fuel Utilization Efficiency Rating = Use actual AFUE rating where it is possible to measure or reasonably estimate.</t>
  </si>
  <si>
    <t>If unknown, assume TRM Value of 64.4 AFUE%</t>
  </si>
  <si>
    <t>Average CAPInput (Btuh)</t>
  </si>
  <si>
    <t>Nicor Gas 2019 Value</t>
  </si>
  <si>
    <t>TRM V.9 Deemed Value</t>
  </si>
  <si>
    <t>Baseline Furnace Annual Fuel Utilization Efficiency Rating</t>
  </si>
  <si>
    <t>95% SF</t>
  </si>
  <si>
    <t>Dependent on program type as listed in Table of Values deemed by the TRM</t>
  </si>
  <si>
    <t>97% SF</t>
  </si>
  <si>
    <t>Efficient Furnace Annual Fuel Utilization Efficiency Rating</t>
  </si>
  <si>
    <t>SF Blended</t>
  </si>
  <si>
    <t>Actual. If unknown, assume TRM Value of 95%</t>
  </si>
  <si>
    <t>MF Blended</t>
  </si>
  <si>
    <t>baseline furnace AFUE derating</t>
  </si>
  <si>
    <t>TRM deems this value at 6.4%</t>
  </si>
  <si>
    <t>Efficient furnace AFUE derating</t>
  </si>
  <si>
    <t>Per TRM, 0% if verified quality installation is performed; 6.4% if verified quality installation is not performed</t>
  </si>
  <si>
    <t>For early replacement: Remaining life of existing equipment is assumed to be 6 years</t>
  </si>
  <si>
    <t>Gas Furnace input capacity (Btuh)</t>
  </si>
  <si>
    <t>=Actual</t>
  </si>
  <si>
    <t>=Equivalent Full Load Hours for gas heating</t>
  </si>
  <si>
    <t>Incremental Cost Lookup Table</t>
  </si>
  <si>
    <t>IC</t>
  </si>
  <si>
    <t>VQI</t>
  </si>
  <si>
    <t>Early Replacement</t>
  </si>
  <si>
    <t>Labor</t>
  </si>
  <si>
    <t>Total</t>
  </si>
  <si>
    <t>June 2013 onward</t>
  </si>
  <si>
    <t>Household Factor</t>
  </si>
  <si>
    <t>AFUE 91%</t>
  </si>
  <si>
    <t>AFUE 92%</t>
  </si>
  <si>
    <t>AFUE 93%</t>
  </si>
  <si>
    <t>AFUE 94%</t>
  </si>
  <si>
    <t>AFUE 96%</t>
  </si>
  <si>
    <t xml:space="preserve">Measure name table </t>
  </si>
  <si>
    <t>Measure name</t>
  </si>
  <si>
    <t>HF</t>
  </si>
  <si>
    <t>AFUE ≥90%</t>
  </si>
  <si>
    <t>AFUE ≥92%</t>
  </si>
  <si>
    <t>AFUE ≥95%</t>
  </si>
  <si>
    <t>AFUE ≥97%</t>
  </si>
  <si>
    <t>Updated from TRM</t>
  </si>
  <si>
    <t>Installed Cost</t>
  </si>
  <si>
    <t>TRM Incremental Installed Cost ECM Weighted</t>
  </si>
  <si>
    <t>IC Incremental Installed Cost</t>
  </si>
  <si>
    <t>(Retire) EEP2.0 Incremental Installed Cost</t>
  </si>
  <si>
    <t>Furnace Models</t>
  </si>
  <si>
    <t>Number with Efficient Motor</t>
  </si>
  <si>
    <t>% with Efficient Motor</t>
  </si>
  <si>
    <t>All Models</t>
  </si>
  <si>
    <t>92-94</t>
  </si>
  <si>
    <t>Source: AHRI directory. Active, non-weatherized, natural gas furnaces. Searched: www.ahridirectory.org on 2/11/2013.</t>
  </si>
  <si>
    <t>Replacement Scenario for the Furnace</t>
  </si>
  <si>
    <t>Deemed Early Replacement Rate</t>
  </si>
  <si>
    <t>Early Replacement Rate for Furnace-only participants</t>
  </si>
  <si>
    <t>Early Replacement Rate for a furnace when the furnace is the Primary unit in a Combined System Replacement (CSR) project</t>
  </si>
  <si>
    <t>Early Replacement Rate for a furnace when the furnace is the Secondary unit in a CSR project</t>
  </si>
  <si>
    <t>Early Replacement Furnace Calculations</t>
  </si>
  <si>
    <t>Heating Season Avoided Costs - $/Therm</t>
  </si>
  <si>
    <t>PY7-9 proposed cost above. Need to update back to PY4-7 for PY5 look back</t>
  </si>
  <si>
    <t>AFUE = 95%</t>
  </si>
  <si>
    <t>RUL - Existing Unit</t>
  </si>
  <si>
    <t>Remaining Measure Life</t>
  </si>
  <si>
    <t>AFUE Base</t>
  </si>
  <si>
    <t>AFUE Eff</t>
  </si>
  <si>
    <t>Gas Furnace Heating Load</t>
  </si>
  <si>
    <t>Gross Therm Savings</t>
  </si>
  <si>
    <t>Incremental Cost ECM (TRM)</t>
  </si>
  <si>
    <t>Gross kWh Savings (ECM)</t>
  </si>
  <si>
    <t>Value of ECM Benefits</t>
  </si>
  <si>
    <t>Incremental Cost - Furnace no ECM</t>
  </si>
  <si>
    <t>Net Incremental Cost - Furnace no ECM</t>
  </si>
  <si>
    <t>Net Incremental Cost - Furnace w/ECM</t>
  </si>
  <si>
    <t>Therm savings benefit</t>
  </si>
  <si>
    <t>Heating System</t>
  </si>
  <si>
    <t>%Electric Heat</t>
  </si>
  <si>
    <t>Elec_Heating_Consumption</t>
  </si>
  <si>
    <t>Heating_ Reduction</t>
  </si>
  <si>
    <t>Eff_ISR</t>
  </si>
  <si>
    <t>%Fossil Heat</t>
  </si>
  <si>
    <t>Gas_Heating_Consumption</t>
  </si>
  <si>
    <t>Programmable Thermostats - (DI - New Programmable thermostat - Single Family)</t>
  </si>
  <si>
    <t>Actual - SF</t>
  </si>
  <si>
    <t>R09- Residential Electric Space Heat</t>
  </si>
  <si>
    <t>5.3.11.2</t>
  </si>
  <si>
    <t>Programmable Thermostats - (TOS - New Programmable thermostat - Single Family)</t>
  </si>
  <si>
    <t xml:space="preserve">Programmable Tstats -Point of Sale </t>
  </si>
  <si>
    <t>5.3.11.3</t>
  </si>
  <si>
    <t>Thermostat Education (DI)</t>
  </si>
  <si>
    <t>5.3.11.5</t>
  </si>
  <si>
    <t>Re-Program Thermostat (DI) MF-IU</t>
  </si>
  <si>
    <t>5.3.11.6</t>
  </si>
  <si>
    <t>Programmable Thermostats - (DI - Reprogramming existing thermostat - Multifamily)</t>
  </si>
  <si>
    <t>Re-Program Thermostat (DI) MF-CA</t>
  </si>
  <si>
    <t>Programmable Thermostats - (DI - New Programmable thermostat - Single Family) Joint</t>
  </si>
  <si>
    <t>Programmable Thermostats - (DI - Reprogramming existing thermostat - Single Family) Joint</t>
  </si>
  <si>
    <t>Programmable Thermostats - (DI - New Programmable thermostat - Multifamily) Joint</t>
  </si>
  <si>
    <t>Programmable Thermostats - (DI - Reprogramming existing thermostat - Multifamily) Joint</t>
  </si>
  <si>
    <t>5.3.11.11</t>
  </si>
  <si>
    <t>Programmable Thermostats - (DI - Reprogramming existing thermostat - Multifamily) CA Joint</t>
  </si>
  <si>
    <t>Re-Program Thermostat (DI) MF-CA Joint</t>
  </si>
  <si>
    <t>Programmable Thermostats - (DI - New Programmable thermostat - Single Family) All Joint</t>
  </si>
  <si>
    <t>Programmable Thermostats - (DI - New Programmable thermostat - Multifamily) All Joint</t>
  </si>
  <si>
    <t xml:space="preserve">ΔkWh = %ElectricHeat * Elec_Heating_Consumption * Heating_Reduction * HF * Eff_ISR + (∆Therms * Fe * 29.3)  </t>
  </si>
  <si>
    <t>∆Therms  = %FossilHeat * Gas_Heating_Consumption * Heating_Reduction * HF * Eff_ISR</t>
  </si>
  <si>
    <t>RS-HVC-PROG-V04-180101</t>
  </si>
  <si>
    <t>Percentage of heating savings assumed to be electric</t>
  </si>
  <si>
    <t>Deemed table of values from the TRM</t>
  </si>
  <si>
    <t>Estimate of annual household heating consumption for electrically heated single-family homes (kWh)</t>
  </si>
  <si>
    <t>If location and heating type is unknown, assume TRM Value of 15,678 kWh</t>
  </si>
  <si>
    <t>Assumed percentage reduction in heating energy consumption due to programmable thermostat</t>
  </si>
  <si>
    <t>This is a Deemed TRM Value</t>
  </si>
  <si>
    <t>Household factor, to adjust heating consumption for non-single-family households.</t>
  </si>
  <si>
    <t>Deemed table of values from the TRM; or custom if actual is known</t>
  </si>
  <si>
    <t>Effective In-Service Rate, the percentage of thermostats installed and programmed effectively</t>
  </si>
  <si>
    <t>Deemed table of TRM Values if direct install, 100% otherwise if other or unknown, 56%</t>
  </si>
  <si>
    <t>Percentage of heating savings assumed to be Natural Gas</t>
  </si>
  <si>
    <t>Deemed table of TRM Values if Electric, 0%, if natural gas, 100%, if unknown, 87%</t>
  </si>
  <si>
    <t>Estimate of annual household heating consumption for gas heated single-family homes</t>
  </si>
  <si>
    <t>The expected measure life of a programmable thermostat is assumed to be 10 years based upon equipment life only. For the purposes of claiming savings for a new programmable thermostat, this is reduced by a 50% persistence factor to give final measures life of 5 years. For reprogramming, this is reduced further to give a measure life of 2 years.</t>
  </si>
  <si>
    <t>Deemed Values from the TRM</t>
  </si>
  <si>
    <t>%Electric Heat </t>
  </si>
  <si>
    <t>%Fossil Heat </t>
  </si>
  <si>
    <t>Elec_Heating_ Consumption (kWh)</t>
  </si>
  <si>
    <t>Gas_Heating_ Consumption (therms)</t>
  </si>
  <si>
    <t>Mobile Home</t>
  </si>
  <si>
    <t>Electric Heat Pump</t>
  </si>
  <si>
    <t>Furnace Efficiency Before Tune Up</t>
  </si>
  <si>
    <t>Improvement of Furnace Efficiency</t>
  </si>
  <si>
    <t>Capacity of Equipment (Tons)</t>
  </si>
  <si>
    <t>EI</t>
  </si>
  <si>
    <t>Convert kWh to therms</t>
  </si>
  <si>
    <t>Deratingpost</t>
  </si>
  <si>
    <t>Climate zone</t>
  </si>
  <si>
    <t>CAPInput_pre</t>
  </si>
  <si>
    <t xml:space="preserve">Residential Electric Space Heat </t>
  </si>
  <si>
    <r>
      <t>ΔkWh</t>
    </r>
    <r>
      <rPr>
        <vertAlign val="subscript"/>
        <sz val="10"/>
        <color theme="1"/>
        <rFont val="Calibri"/>
        <family val="2"/>
        <scheme val="minor"/>
      </rPr>
      <t xml:space="preserve"> </t>
    </r>
    <r>
      <rPr>
        <sz val="10"/>
        <color theme="1"/>
        <rFont val="Calibri"/>
        <family val="2"/>
        <scheme val="minor"/>
      </rPr>
      <t>= ΔTherms * Fe * 29.3</t>
    </r>
  </si>
  <si>
    <t>Other Tune Up Programs</t>
  </si>
  <si>
    <t>∆Therms = (CAPInput * EFLH * (1/Effbefore - 1/(Effbefore + Ei)))/100,000</t>
  </si>
  <si>
    <t>Verified Quality Maintenance</t>
  </si>
  <si>
    <t>Δtherms =( CAPInput * EFLH * (1 /(AFUE * (1 - Deratingpre)) –  1/(AFUE * (1 – Deratingpost) )/100,000</t>
  </si>
  <si>
    <t>Gas_Furnace_Heating_Load</t>
  </si>
  <si>
    <t>TRM table of lookup values based on climate zone below</t>
  </si>
  <si>
    <t>Estimate of annual household heating load  for gas furnace heated single-family homes. If location is unknown, assume the average below</t>
  </si>
  <si>
    <t>TRM recommends actual if informed by site-specific load calculations, ACCA Manual J or equivalent</t>
  </si>
  <si>
    <t>TRM also has a table of values based on climate zone.</t>
  </si>
  <si>
    <t>Household factor, to adjust heating consumption for non-single-family households</t>
  </si>
  <si>
    <t>TRM table of values based on household type</t>
  </si>
  <si>
    <t>EFFbefore</t>
  </si>
  <si>
    <t xml:space="preserve">Efficiency of the furnace before the tune-up </t>
  </si>
  <si>
    <t>TRM recommends to use actual information</t>
  </si>
  <si>
    <t>TRM clarifies language on when to measure the efficiency.</t>
  </si>
  <si>
    <t>Note: Contractors should select a mid-level firing rate that appropriately represents the average building operating condition over the course of the heating season and take readings at a consistent firing rate for pre and post tune-up.</t>
  </si>
  <si>
    <t>Efficiency Improvement of the furnace tune-up measure</t>
  </si>
  <si>
    <t>Furnace Annual Fuel Utilization Efficiency Rating</t>
  </si>
  <si>
    <t>Per TRM - use Actual</t>
  </si>
  <si>
    <t>Per discussion with MEEA, CFU (Cedar Falls Utilities) tracks AFUE at around 85%; but Illinois has less condensing furnaces per D&amp;R data; using 80%</t>
  </si>
  <si>
    <t>Furnace AFUE Derating before HVAC SAVE tune-up</t>
  </si>
  <si>
    <t>The TRM deems this value at 6.4%</t>
  </si>
  <si>
    <t>Furnace AFUE Derating after HVAC SAVE tune-up</t>
  </si>
  <si>
    <t>The TRM deems this value at 0%</t>
  </si>
  <si>
    <t>TRM deems this value at 3.14%</t>
  </si>
  <si>
    <t>converts kWh per therm</t>
  </si>
  <si>
    <t>Measure Life - Other Tune Ups</t>
  </si>
  <si>
    <t>The measure life for the tune up is 2 years. This is the measure life for the tune up measure</t>
  </si>
  <si>
    <t>The TRM deems this value</t>
  </si>
  <si>
    <t>Measure Life - Verified Quality Maintenance</t>
  </si>
  <si>
    <t>An HVAC SAVE tune-up lasts the remaining life of the equipment because they come from adjustments to fans and ducts that remain effective through normal operation of the equipment. Assume 10 years.</t>
  </si>
  <si>
    <t>Measure cost</t>
  </si>
  <si>
    <t>Gas_Furnace_Heating_Load (therms)</t>
  </si>
  <si>
    <t xml:space="preserve">Household Type </t>
  </si>
  <si>
    <t>Household Type  Lookup</t>
  </si>
  <si>
    <t>Multi family</t>
  </si>
  <si>
    <t>Notes on AFUE</t>
  </si>
  <si>
    <t>CFU tracks the AFUE information and they are finding an average of around 85 AFUE. D+R International presented an argument on the TRM TAC this summer that Illinois has less condensing furnaces than Iowa so it may be more appropriate to use 80 AFUE in Illinois</t>
  </si>
  <si>
    <t>Advanced Thermostat</t>
  </si>
  <si>
    <t>Existing Thermostat Type</t>
  </si>
  <si>
    <t>Thermostat Control of AC</t>
  </si>
  <si>
    <t>Total kWh</t>
  </si>
  <si>
    <t>%AC</t>
  </si>
  <si>
    <t>FLH</t>
  </si>
  <si>
    <t>Btu/hr</t>
  </si>
  <si>
    <t>SEER</t>
  </si>
  <si>
    <t>Cooling_Reduction</t>
  </si>
  <si>
    <t xml:space="preserve">ΔkWhheating </t>
  </si>
  <si>
    <t>ΔkWhcooling</t>
  </si>
  <si>
    <t xml:space="preserve">kBtu per Btu </t>
  </si>
  <si>
    <t>Nicor Gas Population Allocation</t>
  </si>
  <si>
    <t>5.3.16.1</t>
  </si>
  <si>
    <t>Advanced Thermostat (TOS) - Manual SF</t>
  </si>
  <si>
    <t>Adv Thermostats</t>
  </si>
  <si>
    <t>TOS Joint</t>
  </si>
  <si>
    <t>Manual</t>
  </si>
  <si>
    <t>Unknown (AC-targeted program)</t>
  </si>
  <si>
    <t>Programmable</t>
  </si>
  <si>
    <t>5.3.16.3</t>
  </si>
  <si>
    <t>Advanced Thermostat (TOS) - Blended SF</t>
  </si>
  <si>
    <t>Blended</t>
  </si>
  <si>
    <t>Unknown (Blended)</t>
  </si>
  <si>
    <t>5.3.16.6</t>
  </si>
  <si>
    <t>Advanced Thermostat (DI) - Blended - SF</t>
  </si>
  <si>
    <t>5.3.16.7</t>
  </si>
  <si>
    <t>Advanced Thermostat (DI) - Manual MF</t>
  </si>
  <si>
    <t>5.3.16.8</t>
  </si>
  <si>
    <t>Advanced Thermostat (DI) - Programmable MF</t>
  </si>
  <si>
    <t>DI Joint</t>
  </si>
  <si>
    <t>5.3.16.13</t>
  </si>
  <si>
    <t>Advanced Thermostat (TOS) - Manual MF</t>
  </si>
  <si>
    <t>5.3.16.14</t>
  </si>
  <si>
    <t>Advanced Thermostat (TOS) - Programmable MF</t>
  </si>
  <si>
    <t>5.3.16.15</t>
  </si>
  <si>
    <t>Advanced Thermostat (TOS) - Blended MF</t>
  </si>
  <si>
    <t>ΔkWh  = ΔkWhheating + ΔkWhcooling</t>
  </si>
  <si>
    <t xml:space="preserve">ΔkWhheating = %ElectricHeat * Elec_Heating_Consumption * Heating_Reduction * HF * Eff_ISR_Heat + (∆Therms * Fe * 29.3)  </t>
  </si>
  <si>
    <t>ΔkWhcool = %AC * ((FLH * Btu/hr * 1/SEER)/1000) * Cooling_Reduction * Eff_ISR_Cool</t>
  </si>
  <si>
    <t>∆Therms  = %FossilHeat * Gas_Heating_Consumption * Heating_Reduction * HF * Eff_ISR_heat</t>
  </si>
  <si>
    <t>see below</t>
  </si>
  <si>
    <t>Proposed TRM V5 is to be a table of lookup values from the TRM based o nexisting thermostat type</t>
  </si>
  <si>
    <t>Eff_ISR_Cool</t>
  </si>
  <si>
    <t>Eff_ISR_heat</t>
  </si>
  <si>
    <t>Deemed table of TRM Values if direct install, 100% otherwise if other or unknow, 56%</t>
  </si>
  <si>
    <t>Fraction of customers with thermostat-controlled air-conditioning</t>
  </si>
  <si>
    <t>based on deemed TRM lookup value table for thermostat control of air conditioning: yes/no question</t>
  </si>
  <si>
    <t>Estimate of annual household full load cooling hours for air conditioning equipment based on location and home type. If location and cooling type are unknown, assume the weighted average.</t>
  </si>
  <si>
    <t>DEEMed table of TRM values based on household type and climate zone</t>
  </si>
  <si>
    <t>Size of AC unit . (Note: One refrigeration ton is equal to 12,000 Btu/hr.)</t>
  </si>
  <si>
    <t>either custom or there is a deemed TRM value for an unknown value</t>
  </si>
  <si>
    <t xml:space="preserve">the cooling equipment's Seasonal Energy Efficiency Ratio rating (kBtu/kWh) </t>
  </si>
  <si>
    <t>Use actual SEER rating where it is possible to measure or reasonably estimate.</t>
  </si>
  <si>
    <t>Assumed percentage reduction in total household cooling energy consumption due to installation of advanced thermostat</t>
  </si>
  <si>
    <t>TRM Deemed at 6.3% for all except Ameren</t>
  </si>
  <si>
    <t>Conversion factors</t>
  </si>
  <si>
    <t>kWh per therm; TRM Deemed value for conversion</t>
  </si>
  <si>
    <t>The expected measure life for advanced thermostats is assumed to be 11 years.</t>
  </si>
  <si>
    <t>Replacement Item</t>
  </si>
  <si>
    <t>Custom Climate Zone</t>
  </si>
  <si>
    <t>Actual - MF</t>
  </si>
  <si>
    <r>
      <t>Heating_Reduction</t>
    </r>
    <r>
      <rPr>
        <u/>
        <sz val="8"/>
        <color rgb="FF008080"/>
        <rFont val="Calibri"/>
        <family val="2"/>
      </rPr>
      <t> </t>
    </r>
    <r>
      <rPr>
        <b/>
        <u/>
        <vertAlign val="superscript"/>
        <sz val="10"/>
        <color rgb="FFFFFFFF"/>
        <rFont val="Arial"/>
        <family val="2"/>
      </rPr>
      <t>[1]</t>
    </r>
  </si>
  <si>
    <t>Thermostat control of air conditioning?</t>
  </si>
  <si>
    <t>Yes</t>
  </si>
  <si>
    <t>No</t>
  </si>
  <si>
    <t>Unknown (general program)</t>
  </si>
  <si>
    <t>2018 to June 2020 Advance Thermostate Participation</t>
  </si>
  <si>
    <t xml:space="preserve">FLH </t>
  </si>
  <si>
    <t>FLH_cooling  (weatherized multi family) [3]</t>
  </si>
  <si>
    <t>ProgramName</t>
  </si>
  <si>
    <t>HEER Program</t>
  </si>
  <si>
    <t>Energy Engin Data as of 6/25/2020</t>
  </si>
  <si>
    <t xml:space="preserve"> (city based upon)</t>
  </si>
  <si>
    <t>(single family) [1]</t>
  </si>
  <si>
    <t>(general multifamily) [2]</t>
  </si>
  <si>
    <t>(Multiple Items)</t>
  </si>
  <si>
    <t>Nicor Blended % Split</t>
  </si>
  <si>
    <t>Measure Name</t>
  </si>
  <si>
    <t>HouseholdFactor</t>
  </si>
  <si>
    <t>Count of Project</t>
  </si>
  <si>
    <t>Quantity</t>
  </si>
  <si>
    <t>Sum of Sum of Quantity2</t>
  </si>
  <si>
    <t>TRM Unit Therm Saving</t>
  </si>
  <si>
    <t>Total ΔkWh</t>
  </si>
  <si>
    <t>Advanced Thermostat - Manual Baseline</t>
  </si>
  <si>
    <t>0.65</t>
  </si>
  <si>
    <t>1</t>
  </si>
  <si>
    <t>Advanced Thermostat - Programmable Baseline</t>
  </si>
  <si>
    <t>Weighted average[4]</t>
  </si>
  <si>
    <t>Advanced Thermostat - Unknown Baseline</t>
  </si>
  <si>
    <t>Weighed Average Δtherms</t>
  </si>
  <si>
    <t>Capacity: size of AC unit</t>
  </si>
  <si>
    <t>Grand Total</t>
  </si>
  <si>
    <t>Program Delivery</t>
  </si>
  <si>
    <t>Eff_ISR_Heat</t>
  </si>
  <si>
    <t>Single Family Homes</t>
  </si>
  <si>
    <t>Multi-family Homes</t>
  </si>
  <si>
    <t>Mobile Homes</t>
  </si>
  <si>
    <t>SEER- the cooling equipments Seasonal Energy Efficiency Ratio Rating</t>
  </si>
  <si>
    <t>Cooling System</t>
  </si>
  <si>
    <t>SEER[1]</t>
  </si>
  <si>
    <t>Air Source Heat Pump</t>
  </si>
  <si>
    <t>Central AC</t>
  </si>
  <si>
    <t>Electric Benefits Calculation</t>
  </si>
  <si>
    <t>NPV $ Benefits</t>
  </si>
  <si>
    <t>Year 1</t>
  </si>
  <si>
    <t>Year 2</t>
  </si>
  <si>
    <t>Year 3</t>
  </si>
  <si>
    <t>Year 4</t>
  </si>
  <si>
    <t>Year 5</t>
  </si>
  <si>
    <t>Year 6</t>
  </si>
  <si>
    <t>Year 7</t>
  </si>
  <si>
    <t>Year 8</t>
  </si>
  <si>
    <t>Year 9</t>
  </si>
  <si>
    <t>Year 10</t>
  </si>
  <si>
    <t>Volumetric Retail Rate /kWh</t>
  </si>
  <si>
    <t>ML</t>
  </si>
  <si>
    <t>Rate Escalation Rate</t>
  </si>
  <si>
    <t>Nicor Gas Discount Rate</t>
  </si>
  <si>
    <t>Gas High Efficiency Combination Boiler</t>
  </si>
  <si>
    <t>Gas High Efficiency Combination Boiler Single-Family AFUE 95%</t>
  </si>
  <si>
    <t>5.3.17.2</t>
  </si>
  <si>
    <t>Gas High Efficiency Combination Boiler Multi-Family AFUE 95%</t>
  </si>
  <si>
    <t>Combination Boilers, &gt;95% AFUE &lt;300 MBH - MF</t>
  </si>
  <si>
    <t>ΔTherms = ΔThermBoiler + ΔThermWH</t>
  </si>
  <si>
    <t>See 5.3.6</t>
  </si>
  <si>
    <t>ΔThermsWH = (1/UEFBase - 1/UEFEff) * (GPD * Household * 365.25 * γWater * (TOUT – TIN) * 1.0 )/100,000</t>
  </si>
  <si>
    <t>See 5.4.2</t>
  </si>
  <si>
    <t>Weighted Average</t>
  </si>
  <si>
    <r>
      <t xml:space="preserve">On January 15, 2021, the federal minimum residential boiler efficiency is scheduled to increase to 84% AFUE. However, these new appliance standards will not be adopted by this measure characterization until </t>
    </r>
    <r>
      <rPr>
        <b/>
        <sz val="10"/>
        <color theme="1"/>
        <rFont val="Calibri"/>
        <family val="2"/>
        <scheme val="minor"/>
      </rPr>
      <t>January 1, 2022.</t>
    </r>
  </si>
  <si>
    <t>Efficent Boiler Annual Fuel Utilization Efficiency Rating</t>
  </si>
  <si>
    <r>
      <t xml:space="preserve">Actual. If unknown, use defaults dependent on tier: 92.5% for AFUE </t>
    </r>
    <r>
      <rPr>
        <sz val="10"/>
        <color theme="1"/>
        <rFont val="Calibri"/>
        <family val="2"/>
      </rPr>
      <t>≥ 90%, 95% for AFUE ≥ 95%</t>
    </r>
  </si>
  <si>
    <t>The expected measure life is assumed to be 21.5 years</t>
  </si>
  <si>
    <t>Gas Heating Load</t>
  </si>
  <si>
    <t xml:space="preserve">µBoiler </t>
  </si>
  <si>
    <t>#Radiators</t>
  </si>
  <si>
    <t>%TRVSavings</t>
  </si>
  <si>
    <t>ΔTherms = Gas_Heating_Load/(µBoiler * #Radiators) * %TRVSavings</t>
  </si>
  <si>
    <t>The baseline is an existing hydronic or steam heated radiator without a TRV installed.</t>
  </si>
  <si>
    <t>Gas_Heating_ Load per Multi family unit</t>
  </si>
  <si>
    <t>(therms)</t>
  </si>
  <si>
    <t>Actual. If unknown estimated as five.</t>
  </si>
  <si>
    <t>Estimate of heating consumption savings from installing a TRV</t>
  </si>
  <si>
    <t>15% when part of a system balancing project to address overheated spaces</t>
  </si>
  <si>
    <t>5% if installed without system balancing</t>
  </si>
  <si>
    <t>Domestic Hot Water Pipe insulation</t>
  </si>
  <si>
    <t>Total length of insulation (linear ft)</t>
  </si>
  <si>
    <t>R-value of insulation</t>
  </si>
  <si>
    <t>Insulated pipe diameter (inch)</t>
  </si>
  <si>
    <r>
      <t>R</t>
    </r>
    <r>
      <rPr>
        <vertAlign val="subscript"/>
        <sz val="10"/>
        <color theme="1"/>
        <rFont val="Calibri"/>
        <family val="2"/>
        <scheme val="minor"/>
      </rPr>
      <t>exist</t>
    </r>
  </si>
  <si>
    <r>
      <t>R</t>
    </r>
    <r>
      <rPr>
        <vertAlign val="subscript"/>
        <sz val="10"/>
        <color theme="1"/>
        <rFont val="Calibri"/>
        <family val="2"/>
        <scheme val="minor"/>
      </rPr>
      <t>new</t>
    </r>
  </si>
  <si>
    <t>Leffective</t>
  </si>
  <si>
    <t>Cinside</t>
  </si>
  <si>
    <t xml:space="preserve">ΔT </t>
  </si>
  <si>
    <t>ηDHW (Electric)</t>
  </si>
  <si>
    <t>ηDHW (Gas)</t>
  </si>
  <si>
    <t>Lhorizontal Ft</t>
  </si>
  <si>
    <t>Lvertical ft</t>
  </si>
  <si>
    <t>5.4.1.1</t>
  </si>
  <si>
    <t>HW Pipe Insulation (3 ft.) (DI)</t>
  </si>
  <si>
    <t>C-53 Flat</t>
  </si>
  <si>
    <t xml:space="preserve">Domestic Hot Water Pipe insulation/ 1 ft./ 3 R-value/ 0.75 in. dia. - DI, </t>
  </si>
  <si>
    <t>5.4.1.3</t>
  </si>
  <si>
    <t xml:space="preserve">Domestic Hot Water Pipe insulation/ 6 ft./ 4 R-value/ 0.75 in. dia. - DI, </t>
  </si>
  <si>
    <t>HW Pipe Insulation (6 ft.) (DI)</t>
  </si>
  <si>
    <t>Domestic Hot Water Pipe insulation/ 1 ft./ 4 R-value/ 0.75 in. dia. - DI, SF</t>
  </si>
  <si>
    <t>For electric DHW systems:</t>
  </si>
  <si>
    <t xml:space="preserve">ΔkWh 	= ((1 / Rexist –  1 / Rnew) * Cinside * Leffective  * ΔT * 8,766 * ISR)/ ηDHW / 3412 </t>
  </si>
  <si>
    <t>∆kW= ∆kWh / 8766</t>
  </si>
  <si>
    <t>For Natural Gas DHW systems:</t>
  </si>
  <si>
    <t>ΔTherm	 	= (((1 / Rexist –  1 / Rnew) * Cinside * Leffective  * ΔT * 8,766 * ISR) / ηDHW) /100,000</t>
  </si>
  <si>
    <t xml:space="preserve">Pipe heat loss coefficient of uninsulated pipe (existing) [(hr-°F-ft)/Btu] </t>
  </si>
  <si>
    <t>This is a deemed TRM Value (see table below)</t>
  </si>
  <si>
    <t>Pipe heat loss coefficient of insulated pipe (new) [(hr-°F-ft)/Btu]</t>
  </si>
  <si>
    <t>Actual with TRM Calculation of (Rexist + R value of insulation)</t>
  </si>
  <si>
    <t>Inside circumference of the pipe [ft]</t>
  </si>
  <si>
    <t xml:space="preserve">Leffective </t>
  </si>
  <si>
    <t>Effective Llength of pipe from water heating source covered by pipe wrap insulation (ft); LHorizontal + αLVertical</t>
  </si>
  <si>
    <t>Actual - use custom input</t>
  </si>
  <si>
    <t>Average temperature difference between supplied water and outside Air temperature (°F)</t>
  </si>
  <si>
    <t>ηDHW  (electric)</t>
  </si>
  <si>
    <t>Recovery Efficiency of electric hot water heater</t>
  </si>
  <si>
    <t>ηDHW (gas)</t>
  </si>
  <si>
    <t>Recovery Efficiency of gas hot water heater</t>
  </si>
  <si>
    <t>The measure life is assumed to be 15 years</t>
  </si>
  <si>
    <t>Inservice Rate</t>
  </si>
  <si>
    <t>In service rate</t>
  </si>
  <si>
    <t>This is a deemed TRM value (see table below)</t>
  </si>
  <si>
    <t>$3/linear ft</t>
  </si>
  <si>
    <t>Circumference of Pipe look up table - equation</t>
  </si>
  <si>
    <t>Existing heat loss coefficient look up table</t>
  </si>
  <si>
    <t>Equation</t>
  </si>
  <si>
    <t>Cinside = (I.D.*π/12) (ft)</t>
  </si>
  <si>
    <t>Rexist</t>
  </si>
  <si>
    <t xml:space="preserve">        </t>
  </si>
  <si>
    <t>½” Copper Pipe</t>
  </si>
  <si>
    <t>3/4" Average Cinside</t>
  </si>
  <si>
    <t>3/4" Average Rexist</t>
  </si>
  <si>
    <t>¾” Copper Pipe</t>
  </si>
  <si>
    <t>½” PEX</t>
  </si>
  <si>
    <t>¾” PEX</t>
  </si>
  <si>
    <t xml:space="preserve">Horizontal to vertical adjustment factor </t>
  </si>
  <si>
    <t>Kit Distribution</t>
  </si>
  <si>
    <t>α</t>
  </si>
  <si>
    <t>All other</t>
  </si>
  <si>
    <t>3/4" Average α</t>
  </si>
  <si>
    <t>Virtual assessment</t>
  </si>
  <si>
    <t>Gas Water heater</t>
  </si>
  <si>
    <t>Household Unit Type</t>
  </si>
  <si>
    <t>Water heater type</t>
  </si>
  <si>
    <t>Tank Size (gals)</t>
  </si>
  <si>
    <t>EFbase</t>
  </si>
  <si>
    <t>EFeff</t>
  </si>
  <si>
    <t>Efexisting</t>
  </si>
  <si>
    <t>GPD</t>
  </si>
  <si>
    <t xml:space="preserve"> γWater</t>
  </si>
  <si>
    <t>Household</t>
  </si>
  <si>
    <t>Gas Water heater-  Single-Family - Condensing gas storage - 40 gals</t>
  </si>
  <si>
    <t>Condensing gas storage</t>
  </si>
  <si>
    <t>Tankless whole-house unit</t>
  </si>
  <si>
    <t>Gas Water heater-  Multi-Family - Gas Storage (≤55 gallons) - 40 gals</t>
  </si>
  <si>
    <t>Gas Storage (≤55 gallons)</t>
  </si>
  <si>
    <t>TOS or NC:</t>
  </si>
  <si>
    <r>
      <t>ΔTherms = (1/ EF</t>
    </r>
    <r>
      <rPr>
        <vertAlign val="subscript"/>
        <sz val="10"/>
        <color theme="1"/>
        <rFont val="Calibri"/>
        <family val="2"/>
        <scheme val="minor"/>
      </rPr>
      <t>base</t>
    </r>
    <r>
      <rPr>
        <sz val="10"/>
        <color theme="1"/>
        <rFont val="Calibri"/>
        <family val="2"/>
        <scheme val="minor"/>
      </rPr>
      <t xml:space="preserve"> - 1/EF</t>
    </r>
    <r>
      <rPr>
        <vertAlign val="subscript"/>
        <sz val="10"/>
        <color theme="1"/>
        <rFont val="Calibri"/>
        <family val="2"/>
        <scheme val="minor"/>
      </rPr>
      <t>efficient</t>
    </r>
    <r>
      <rPr>
        <sz val="10"/>
        <color theme="1"/>
        <rFont val="Calibri"/>
        <family val="2"/>
        <scheme val="minor"/>
      </rPr>
      <t>) * (GPD * Household * 365.25 * γWater * (T</t>
    </r>
    <r>
      <rPr>
        <vertAlign val="subscript"/>
        <sz val="10"/>
        <color theme="1"/>
        <rFont val="Calibri"/>
        <family val="2"/>
        <scheme val="minor"/>
      </rPr>
      <t>OUT</t>
    </r>
    <r>
      <rPr>
        <sz val="10"/>
        <color theme="1"/>
        <rFont val="Calibri"/>
        <family val="2"/>
        <scheme val="minor"/>
      </rPr>
      <t xml:space="preserve"> – T</t>
    </r>
    <r>
      <rPr>
        <vertAlign val="subscript"/>
        <sz val="10"/>
        <color theme="1"/>
        <rFont val="Calibri"/>
        <family val="2"/>
        <scheme val="minor"/>
      </rPr>
      <t>in</t>
    </r>
    <r>
      <rPr>
        <sz val="10"/>
        <color theme="1"/>
        <rFont val="Calibri"/>
        <family val="2"/>
        <scheme val="minor"/>
      </rPr>
      <t>) * 1.0 )/100,000</t>
    </r>
  </si>
  <si>
    <t>EREP:</t>
  </si>
  <si>
    <t>ΔTherms for remaining life of existing unit (1st 4 years):</t>
  </si>
  <si>
    <t>(1/EFexisting - 1/EFefficient) * (GPD * Household * 365.25 *  γWater * (Tout - Tin) * 1.0) / 100,000</t>
  </si>
  <si>
    <t>ΔTherms for remaining measure life (next 9 years):</t>
  </si>
  <si>
    <t>(1/ EFbase - 1/EFefficient) * (GPD * Household * 365.25 * γWater * (TOUT – Tin) * 1.0 )/100,000</t>
  </si>
  <si>
    <t>RS-HWE-GWHT-V07-180101</t>
  </si>
  <si>
    <t>Energy Factor rating for baseline equipment</t>
  </si>
  <si>
    <t>For &lt;=55 gallons: 0.6483 – (0.0017 * tank_size)</t>
  </si>
  <si>
    <t>For &gt; 55 gallons: 0.7897 – (0.0004 * tank size)</t>
  </si>
  <si>
    <t>If tank size unknown assume 40 gallons and EF_Baseline of 0.58</t>
  </si>
  <si>
    <t>Table of lookup values deemed by the TRM</t>
  </si>
  <si>
    <t>Energy Factor Rating for efficient equipment</t>
  </si>
  <si>
    <t>Actual. If Tankless whole-house multiply rated efficiency by 0.91. If unknown assume values in look up in table below</t>
  </si>
  <si>
    <t>Gallons Per Day of hot water use per household</t>
  </si>
  <si>
    <t>45.5 gallons hot water per day per household/2.59 people per household</t>
  </si>
  <si>
    <t>This is a value deemed by the TRM</t>
  </si>
  <si>
    <t>Average Number of people per household</t>
  </si>
  <si>
    <t>Table of lookup values deemed by the TRM - based on Household unit type</t>
  </si>
  <si>
    <t>Specific Weight of water</t>
  </si>
  <si>
    <t>Days per Year</t>
  </si>
  <si>
    <t>Days per year, on Average</t>
  </si>
  <si>
    <t>Heat capacity of water</t>
  </si>
  <si>
    <t>Heat Capacity of water (1 Btu/lb*°F)</t>
  </si>
  <si>
    <t>The expected measure life is assumed to be 13 years.</t>
  </si>
  <si>
    <t>For early replacement: Remaining life of existing equipment is assumed to be 4 years</t>
  </si>
  <si>
    <t>These is a deemed value per the TRM</t>
  </si>
  <si>
    <t>Water heater Type</t>
  </si>
  <si>
    <t>Full Install Cost</t>
  </si>
  <si>
    <r>
      <t>Gas Storage (</t>
    </r>
    <r>
      <rPr>
        <sz val="10"/>
        <color theme="1"/>
        <rFont val="Calibri"/>
        <family val="2"/>
      </rPr>
      <t>≤55 gallons)</t>
    </r>
  </si>
  <si>
    <r>
      <t>Gas Storage (</t>
    </r>
    <r>
      <rPr>
        <sz val="10"/>
        <color theme="1"/>
        <rFont val="Calibri"/>
        <family val="2"/>
      </rPr>
      <t>&gt;</t>
    </r>
    <r>
      <rPr>
        <sz val="10"/>
        <color theme="1"/>
        <rFont val="Calibri"/>
        <family val="2"/>
        <scheme val="minor"/>
      </rPr>
      <t>55 gallons)</t>
    </r>
  </si>
  <si>
    <t>Actual Occupancy or Number of Bedrooms</t>
  </si>
  <si>
    <t>TOS or NC</t>
  </si>
  <si>
    <t>20-55</t>
  </si>
  <si>
    <t>0.675-(0.0015*storage size)</t>
  </si>
  <si>
    <t>55-100</t>
  </si>
  <si>
    <t>0.8012 - (0.00078 * storage size)</t>
  </si>
  <si>
    <t>Remaining Useful Life (4 Years)</t>
  </si>
  <si>
    <t>Efficiency of existing equipment</t>
  </si>
  <si>
    <t>Remaining Life</t>
  </si>
  <si>
    <t>Baseline for TOS or NC</t>
  </si>
  <si>
    <t>Faucet Type</t>
  </si>
  <si>
    <t>DF</t>
  </si>
  <si>
    <t>FPH</t>
  </si>
  <si>
    <t>%FossilDHW</t>
  </si>
  <si>
    <t>Key</t>
  </si>
  <si>
    <t>R03 - Residential Electric DHW</t>
  </si>
  <si>
    <t>5.4.4.3</t>
  </si>
  <si>
    <t>Low Flow Aerator - Bath (DI) MF-CA</t>
  </si>
  <si>
    <t>5.4.4.6</t>
  </si>
  <si>
    <t>Low Flow Aerator - Kitchen (DI) MF-CA</t>
  </si>
  <si>
    <t>5.4.4.7</t>
  </si>
  <si>
    <t>Low Flow Faucet Aerators- DI, Single Family, Kitchen - IQ</t>
  </si>
  <si>
    <t>Kitchen Aerator SF (DI) - IQ</t>
  </si>
  <si>
    <t>Low Flow Faucet Aerators- DI, Single Family, Bath SF Joint</t>
  </si>
  <si>
    <t>Low Flow Faucet Aerators- DI, Single Family, Kitchen SF Joint</t>
  </si>
  <si>
    <t>5.4.4.10</t>
  </si>
  <si>
    <t>Low Flow Faucet Aerators- DI, Multifamily, Bath CA Joint</t>
  </si>
  <si>
    <t>Low Flow Aerator - Bath (DI) MF-CA Joint</t>
  </si>
  <si>
    <t>Low Flow Faucet Aerators- DI, Multifamily, Bath IU Joint</t>
  </si>
  <si>
    <t>Low Flow Faucet Aerators- DI, Multifamily, Kitchen IU Joint</t>
  </si>
  <si>
    <t>5.4.4.13</t>
  </si>
  <si>
    <t>Low Flow Faucet Aerators- DI, Multifamily, Kitchen CA Joint</t>
  </si>
  <si>
    <t>Low Flow Aerator - Kitchen (DI) MF-CA Joint</t>
  </si>
  <si>
    <t>5.4.4.14</t>
  </si>
  <si>
    <t>Low Flow Faucet Aerators- DI, Single Family, Kitchen IQ Joint</t>
  </si>
  <si>
    <t>Kitchen Aerator SF (DI) - IQ Joint</t>
  </si>
  <si>
    <t>Low Flow Faucet Aerators- DI, Single Family, Bath SF All Joint</t>
  </si>
  <si>
    <t>Low Flow Faucet Aerators- DI, Single Family, Kitchen SF All Joint</t>
  </si>
  <si>
    <t>Low Flow Faucet Aerators- DI, Multifamily, Bath All Joint</t>
  </si>
  <si>
    <t>Low Flow Faucet Aerators- DI, Multifamily, Kitchen All Joint</t>
  </si>
  <si>
    <t>ΔkWh= %ElectricDHW  * ((GPM_base * L_base - GPM_low * L_low) * Household * 365.25 *DF / FPH) * EPG_electric * ISR</t>
  </si>
  <si>
    <t>ΔkW  = ΔkWh / Hours * CF</t>
  </si>
  <si>
    <t>ΔTherms = %FossilDHW * ((GPM_base * L_base - GPM_low * L_low) * Household * 365.25 *DF / FPH) * EPG_gas * ISR</t>
  </si>
  <si>
    <t>Δgallons = ((GPM_base * L_base - GPM_low * L_low) * Household * 365.25 *DF / FPH) * ISR</t>
  </si>
  <si>
    <t xml:space="preserve">Average flow rate, in gallons per minute, of the baseline faucet “as-used.” </t>
  </si>
  <si>
    <t>Deemed TRM Value  or custom based on metering studies or if measured during DI = measured full throttle flow*0.83 throttling factor</t>
  </si>
  <si>
    <t>Deemed TRM Value of 0.94 or custom based on metering studies or if measured during DI = rated full throttle flow *0.95 throttling factor</t>
  </si>
  <si>
    <t>Average baseline length faucet use per capita for all faucets min/person/day</t>
  </si>
  <si>
    <t>if available custom based on metering studies, if not use table of Deemed TRM values</t>
  </si>
  <si>
    <t>Average retrofit length faucet use per capita for all faucets</t>
  </si>
  <si>
    <t>Average  number of people per household</t>
  </si>
  <si>
    <t>Deemed Table of Values from the TRM based on Single Family, Multifamily or custom</t>
  </si>
  <si>
    <t>Days in a year</t>
  </si>
  <si>
    <t>Days in a year, on average.</t>
  </si>
  <si>
    <t>Drain Factor</t>
  </si>
  <si>
    <t>Deemed Table of TRM values based on kitchen, bath, or unknown</t>
  </si>
  <si>
    <t>Faucets Per Household</t>
  </si>
  <si>
    <t xml:space="preserve">Deemed Table of TRM values </t>
  </si>
  <si>
    <t>Energy per gallon of water used by faucet supplied by electric water heater</t>
  </si>
  <si>
    <t>Where the TRM calculation is: (8.33 * 1.0 * (WaterTemp - SupplyTemp)) / (RE_electric * 3412)</t>
  </si>
  <si>
    <t>Calculation continue - (8.33 * 1.0 * (86 – 50.7)) / (0.98 * 3412)</t>
  </si>
  <si>
    <t>Values from the TRM based on the inputs described: 0.0795 kWh/gal (Bath), 0.0969 kWh/gal (Kitchen), 0.0919 kWh/gal (Unknown)</t>
  </si>
  <si>
    <t>Where the TRM deems 8.33 = Specific weight of water (lbs/gallon)</t>
  </si>
  <si>
    <t>Where the TRM deems 1.0 = Heat Capacity of water (btu/lb-°F)</t>
  </si>
  <si>
    <t>Where the TRM deems WaterTemp = Assumed temperature of mixed water 86F for Bath, 93F for Kitchen 91F for Unknown</t>
  </si>
  <si>
    <t>Where the TRM deems SupplyTemp = Assumed temperature of water entering house = 50.7F</t>
  </si>
  <si>
    <t>Where the TRM Deems RE_electric = Recovery efficiency of electric water heater = 98%</t>
  </si>
  <si>
    <t>Where the TRM deems 3412 to convert Btu to kWh (btu/kWh)</t>
  </si>
  <si>
    <t xml:space="preserve">In service rate of faucet aerators dependent on install method </t>
  </si>
  <si>
    <t>In service rate of faucet aerators dependent on install method as listed and deemed in the TRM (SF - 0.95, MF Bathrooom - .95, MF Kitchen - 0.91)</t>
  </si>
  <si>
    <t>Annual electric DHW recovery hours for faucet use per faucet</t>
  </si>
  <si>
    <t>Deemed table of values from the TRM based on a calculation of the following equation:  ((GPM_base * L_base) * Household/FPH * 365.25 * DF ) * 0.567/ GPH</t>
  </si>
  <si>
    <t>deemed value from the TRM</t>
  </si>
  <si>
    <t>proportion of water heating supplied by Natural Gas heating</t>
  </si>
  <si>
    <t>deemed table of values from the TRM depending on if Electric, natural gas, or unknown</t>
  </si>
  <si>
    <t>Energy per gallon of Hot water supplied by gas (Therms/gal)</t>
  </si>
  <si>
    <t>Where the TRM calculation is - (8.33 * 1.0 * (WaterTemp - SupplyTemp)) / (RE_gas * 100,000)</t>
  </si>
  <si>
    <t>RE_gas = Recovery efficiency of gas water heater</t>
  </si>
  <si>
    <t>Deemed Values for Single Family and Multifamily homes from the TRM</t>
  </si>
  <si>
    <t>100,000 = Converts Btus to Therms (btu/Therm)</t>
  </si>
  <si>
    <t>Other variables as defined above.</t>
  </si>
  <si>
    <t>The expected measure life is assumed to be 9 years</t>
  </si>
  <si>
    <t>FPH (Single Family)</t>
  </si>
  <si>
    <t>FPH (Multi Family)</t>
  </si>
  <si>
    <t>%Electric DHW</t>
  </si>
  <si>
    <t>%Fossil DHW</t>
  </si>
  <si>
    <t>Avg # of people</t>
  </si>
  <si>
    <t>MultiFamily</t>
  </si>
  <si>
    <t>Household Type Unknown</t>
  </si>
  <si>
    <t>Actual Occ. or  No of Bdrms</t>
  </si>
  <si>
    <t>Faucet location</t>
  </si>
  <si>
    <t>Hours per faucet</t>
  </si>
  <si>
    <t>EPG Gas</t>
  </si>
  <si>
    <t>L_Base and L_Low</t>
  </si>
  <si>
    <t>GPM_Base</t>
  </si>
  <si>
    <t>KITS</t>
  </si>
  <si>
    <t>Table from TRM for ISR</t>
  </si>
  <si>
    <t>Selection</t>
  </si>
  <si>
    <t>DISingle FamilyBath</t>
  </si>
  <si>
    <t>Direct Install - Single Family</t>
  </si>
  <si>
    <t>DISingle FamilyKitchen</t>
  </si>
  <si>
    <t>DIMultifamilyKitchen</t>
  </si>
  <si>
    <t>Direct Install – Multi Family Kitchen</t>
  </si>
  <si>
    <t>DIMultifamilyBath</t>
  </si>
  <si>
    <t>Direct Install – Multi Family Bathroom</t>
  </si>
  <si>
    <t>DISingle FamilyUnknown</t>
  </si>
  <si>
    <t>Direct Install - Single Family Unknown</t>
  </si>
  <si>
    <t>DIMultifamilyUnknown</t>
  </si>
  <si>
    <t>Direct Install – Multi Family Unknown</t>
  </si>
  <si>
    <t>Efficiency Kit Bathroom Aerator</t>
  </si>
  <si>
    <t>Efficiency Kit Kitchen Aerator</t>
  </si>
  <si>
    <t>Distributed School Efficiency Kit Aerator</t>
  </si>
  <si>
    <t>SF Virtual Assessment followed by Unverified Self-Install Bathroom Aerator</t>
  </si>
  <si>
    <t>SF Virtual Assessment followed by Unverified Self-Install Kitchen Aerator</t>
  </si>
  <si>
    <t>MF Virtual Assessment followed by Unverified Self-Install Bathroom Aerator</t>
  </si>
  <si>
    <t>Virtual Assessment followed by Unverified Self-Install Kitchen Aerator</t>
  </si>
  <si>
    <t>Distributed Efficiency Kit Bathroom Aerator (Income Eligible)</t>
  </si>
  <si>
    <t>Distributed Efficiency Kit Kitchen Aerator (Income Eligible)</t>
  </si>
  <si>
    <t>Community Distributed Kit Aerators</t>
  </si>
  <si>
    <t>Common Area or In Unit</t>
  </si>
  <si>
    <t xml:space="preserve">Eff Rated flow </t>
  </si>
  <si>
    <t>SPCD</t>
  </si>
  <si>
    <t>SPH</t>
  </si>
  <si>
    <t>IU</t>
  </si>
  <si>
    <t>5.4.5.3</t>
  </si>
  <si>
    <t>Showerhead (DI) MF-CA</t>
  </si>
  <si>
    <t>CA</t>
  </si>
  <si>
    <t>DI Custom</t>
  </si>
  <si>
    <t>5.4.5.6</t>
  </si>
  <si>
    <t>Handheld Showerhead (DI) MF-CA</t>
  </si>
  <si>
    <t>5.4.5.7</t>
  </si>
  <si>
    <t>Low Flow Showerheads - DI, Natural Gas, Flow = 2, IU, Single-Family - IQ</t>
  </si>
  <si>
    <t>Showerhead (DI) SF - IQ</t>
  </si>
  <si>
    <t>5.4.5.8</t>
  </si>
  <si>
    <t>Low Flow Showerheads handheld- DI, Natural Gas, Flow = 2, IU, Single-Family - IQ</t>
  </si>
  <si>
    <t>Handheld Showerhead (DI) SF - IQ</t>
  </si>
  <si>
    <t>5.4.5.14</t>
  </si>
  <si>
    <t>Handheld Showerhead (DI) MF-CA Joint</t>
  </si>
  <si>
    <t>5.4.5.16</t>
  </si>
  <si>
    <t>Handheld Showerhead (DI) SF - IQ Joint</t>
  </si>
  <si>
    <t>Low Flow Showerheads handheld- DI, Natural Gas, Flow = 1.5, IU, Multi-Family All Joint</t>
  </si>
  <si>
    <t>Actual- handheld showerhead</t>
  </si>
  <si>
    <t>ΔkWh  = %ElectricDHW  * ((GPM_base * L_base - GPM_low * L_low) * Household * SPCD * 365.25 / SPH) * EPG_electric * ISR</t>
  </si>
  <si>
    <t>ΔTherms = %FossilDHW * ((GPM_base * L_base - GPM_low * L_low) * Household * SPCD * 365.25 / SPH) * EPG_gas * ISR</t>
  </si>
  <si>
    <t>Δgallons= ((GPM_base * L_base - GPM_low * L_low) * Household * SPCD * 365.25 / SPH) * ISR</t>
  </si>
  <si>
    <t>Deemed Table of Values from the TRM based on fuel type: either electric, Natural gas, or unknown</t>
  </si>
  <si>
    <t>Deemed values from the TRM based on Program Type</t>
  </si>
  <si>
    <t>TRM has 3 permutation values available in a Table based on Rated Flow</t>
  </si>
  <si>
    <t>Shower length in minutes with low-flow showerhead</t>
  </si>
  <si>
    <t>Showers per Capita per Day</t>
  </si>
  <si>
    <t xml:space="preserve">Showerheads Per Household </t>
  </si>
  <si>
    <t>Energy per gallon of hot water supplied by electric</t>
  </si>
  <si>
    <t>Where the TRM provides the calculation: (8.33 * 1.0 * (ShowerTemp - SupplyTemp)) / (RE_electric * 3412)</t>
  </si>
  <si>
    <t>TRM Calculation continued (8.33 * 1.0 * (101 – 50.7)) / (0.98 * 3412)</t>
  </si>
  <si>
    <t>0.117 kWh/gal is the value from the TRM</t>
  </si>
  <si>
    <t>Where the TRM deems ShowerTemp = Assumed temperature of water = 101F</t>
  </si>
  <si>
    <t>Where the TRM deems RE_electric = Recovery efficiency of electric water heater = 98%</t>
  </si>
  <si>
    <t>ISR is dependent on program delivery method as listed in the TRM table</t>
  </si>
  <si>
    <t>Deemed table of values from the TRM based on a calculation of the following equation: ((GPM_base * L_base) * Household * SPCD * 365.25 ) * 0.726 / GPH</t>
  </si>
  <si>
    <t>Deemed TRM value = 255 for SF Direct Install; 208 for MF Direct Install</t>
  </si>
  <si>
    <t>Deemed TRM Value of 267 for SF Retrofit, Efficiency Kits, NC and TOS; 219 for MF Retrofit, Efficiency Kits, NC and TOS</t>
  </si>
  <si>
    <t>this is a deemed TRM value</t>
  </si>
  <si>
    <t>Where the TRM calculation is - (8.33 * 1.0 * (ShowerTemp - SupplyTemp)) / (RE_gas * 100,000)</t>
  </si>
  <si>
    <t>RE_gas = Recovery efficiency of gas water heater where 78% for SF homes and 67% for MF homes</t>
  </si>
  <si>
    <t>Deemed value from the TRM - 0.0054 Therm/gal for SF homes</t>
  </si>
  <si>
    <t>Deemed value from the TRM - 0.0063 Therm/gal for MF homes</t>
  </si>
  <si>
    <t>The expected measure life is assumed to be 10 years.</t>
  </si>
  <si>
    <t>GPM_Low Table</t>
  </si>
  <si>
    <t>Actual Occupy or No of Bdrms</t>
  </si>
  <si>
    <r>
      <t>Efficiency K</t>
    </r>
    <r>
      <rPr>
        <sz val="10"/>
        <rFont val="Calibri"/>
        <family val="2"/>
        <scheme val="minor"/>
      </rPr>
      <t>its--One showerhead kit</t>
    </r>
  </si>
  <si>
    <t>Efficiency Kits—Two showerhead kit</t>
  </si>
  <si>
    <t>Distributed School Efficiency Kit showerhead</t>
  </si>
  <si>
    <t xml:space="preserve">SF Virtual Assessment followed by Unverified Self-Install One Showerhead </t>
  </si>
  <si>
    <t>SF Virtual Assessment followed by Unverified Self-Install Two Showerheads</t>
  </si>
  <si>
    <t>MF Virtual Assessment followed by Unverified Self-Install One Showerhead</t>
  </si>
  <si>
    <t>MF Virtual Assessment followed by Unverified Self-Install Two Showerheads</t>
  </si>
  <si>
    <t>Distributed Efficiency Kits--One showerhead kit (Income Eligible)</t>
  </si>
  <si>
    <t>Incremental Cost table</t>
  </si>
  <si>
    <t>Hours per Faucet</t>
  </si>
  <si>
    <t>Custom Direct Install input created to account for custom ISR = 0.93, based on HES calculations</t>
  </si>
  <si>
    <t>5.4.6</t>
  </si>
  <si>
    <t>Water Heater Temperature Setback</t>
  </si>
  <si>
    <t>Unit Type</t>
  </si>
  <si>
    <t>Tank Capacity</t>
  </si>
  <si>
    <t>Tpre</t>
  </si>
  <si>
    <t>Tpost</t>
  </si>
  <si>
    <t>RE gas</t>
  </si>
  <si>
    <t>5.4.6.1</t>
  </si>
  <si>
    <t>WH Set Back - SF</t>
  </si>
  <si>
    <t>R03- Residential Electric DHW</t>
  </si>
  <si>
    <t>5.4.6.2</t>
  </si>
  <si>
    <t>WH Set Back - MF</t>
  </si>
  <si>
    <t>ΔkWh = 86.4 * (Tpre - Tpost) / 15</t>
  </si>
  <si>
    <t>∆kW= ∆kWh / Hours * CF</t>
  </si>
  <si>
    <t>ΔTherm= (UA * (Tpre - Tpost) * (Hours) / (100,000 * RE_gas)</t>
  </si>
  <si>
    <t>RS-HWE-TMPS-V06-190101</t>
  </si>
  <si>
    <t>Actual hot water setpoint prior to adjustment</t>
  </si>
  <si>
    <t>Can use the deemed TRM value at 135 or custom input</t>
  </si>
  <si>
    <t>Actual new hot water setpoint, which may not be lower than 120 degrees</t>
  </si>
  <si>
    <t>Can use the deemed TRM value at 120 or custom input</t>
  </si>
  <si>
    <t>Number of hours in a year (since savings are assumed to be constant over year).</t>
  </si>
  <si>
    <t>Recovery efficiency of gas water heater</t>
  </si>
  <si>
    <t>Deemed values from the TRM where use 78% for Single Family homes and 67% for Multifamily Homes</t>
  </si>
  <si>
    <t>Overall heat transfer coefficient of tank (Btu/Hr-°F-ft2).</t>
  </si>
  <si>
    <t>Actual if known. If unknown assume deemed TRM value of R-12, U = 0.083</t>
  </si>
  <si>
    <t>Surface area of storage tank (square feet)</t>
  </si>
  <si>
    <t>Actual if known. If unknown use the deemed table values defined in the TRM based on capacity of tank. If capacity unknown assume 50 gal tank; A = 24.99ft</t>
  </si>
  <si>
    <t>Summer Peak Coincidence Factor for measure</t>
  </si>
  <si>
    <t>The assumed lifetime of the measure is 2 years.</t>
  </si>
  <si>
    <t>Deemed Values from the TRM for Tpre and Tpost</t>
  </si>
  <si>
    <t>Delivery method</t>
  </si>
  <si>
    <t>Instructions provided in a Kit</t>
  </si>
  <si>
    <t>To be determined through evaluation</t>
  </si>
  <si>
    <t>Distributed School Efficient Kit Instructions</t>
  </si>
  <si>
    <t>RE gas lookup table (deemed TRM Values)</t>
  </si>
  <si>
    <t>A (Deemed TRM Values)</t>
  </si>
  <si>
    <t>Capacity (gal)</t>
  </si>
  <si>
    <t>A (ft2)</t>
  </si>
  <si>
    <t>Direct Install</t>
  </si>
  <si>
    <t>Shower Timer</t>
  </si>
  <si>
    <t>GPM</t>
  </si>
  <si>
    <t>L_Timer</t>
  </si>
  <si>
    <t>Days/yr</t>
  </si>
  <si>
    <t>UsageFactor</t>
  </si>
  <si>
    <t>5.4.9.1</t>
  </si>
  <si>
    <t>Shower Timer, SF</t>
  </si>
  <si>
    <t>5.4.9.3</t>
  </si>
  <si>
    <t>Shower Timer HEA Kit</t>
  </si>
  <si>
    <t>Kit</t>
  </si>
  <si>
    <t xml:space="preserve">∆kWh = %Electric DHW * GPM * (L_base – L_timer) * Household * Days/yr * SPCD * UsageFactor * EPG_Electric </t>
  </si>
  <si>
    <t>= %FossilDHW * GPM * (L_base – L_timer) * Household * Days/yr * SPCD * UsageFactor * EPG_Gas</t>
  </si>
  <si>
    <t xml:space="preserve">ΔGallons </t>
  </si>
  <si>
    <t>= GPM * (L_base – L_timer) * Household * UsageFactor * 365.25</t>
  </si>
  <si>
    <t>Description - for Planning</t>
  </si>
  <si>
    <t>TRM Deemed - Deemed table of values</t>
  </si>
  <si>
    <t>N/A - Not prescriptive Rebate</t>
  </si>
  <si>
    <t>N/A - for kWh</t>
  </si>
  <si>
    <t>Deemed Table of Values from the TRM based on fuel type: either elctric, Natural gas, or unknown</t>
  </si>
  <si>
    <t>Flow rate of showerhead as used</t>
  </si>
  <si>
    <t>Number of minutes in shower without a shower timer</t>
  </si>
  <si>
    <t>Required- TRM Deemed?</t>
  </si>
  <si>
    <t>L_timer</t>
  </si>
  <si>
    <t>Number of minutes in shower after shower timer</t>
  </si>
  <si>
    <t>Table of lookup values based on Household type</t>
  </si>
  <si>
    <t>TRM Deemed - Deemed table of values - depending on household type</t>
  </si>
  <si>
    <t>Required- Actual?</t>
  </si>
  <si>
    <t>Required- TRM Deemed</t>
  </si>
  <si>
    <t>Deemed at 365.25 by the TRM</t>
  </si>
  <si>
    <t>Calulcation - based on Deemed TRM Values</t>
  </si>
  <si>
    <t>0.125 kWh/gal is the value from the TRM</t>
  </si>
  <si>
    <t>Where the TRM deems SupplyTemp = Assumed temperature of water entering house = 54.1F</t>
  </si>
  <si>
    <t>How Often each partiicpant is using the shower timer</t>
  </si>
  <si>
    <t>N/A - for kW</t>
  </si>
  <si>
    <t xml:space="preserve">Deemed equation by the TRM where = ((GPM_base * L_base) * Household Users * SPCD * 365.25 ) * 0.726 / GPH </t>
  </si>
  <si>
    <t>GPH =  Gallons per hour recovery of electric water heater calculated for 65.9F temp rise (120-50.7), 98% recovery efficiency, and typical 4.5kW electric resistance storage tank</t>
  </si>
  <si>
    <t>Deemed TRM Value of 26.1</t>
  </si>
  <si>
    <t xml:space="preserve">Proportion of water heating supplied by electric resistance heating </t>
  </si>
  <si>
    <t>Calulcation - based on Deemed TRM Values?</t>
  </si>
  <si>
    <t>Deemed value from the TRM - 0.00537 Therm/gal for SF homes</t>
  </si>
  <si>
    <t>Deemed value from the TRM - 0.00625 Therm/gal for MF homes</t>
  </si>
  <si>
    <t>The expected measure life is assumed to be 2 years.</t>
  </si>
  <si>
    <t>Actual Occup or No of Bdrms</t>
  </si>
  <si>
    <t>Efficiency Kits--One showerhead kit</t>
  </si>
  <si>
    <t>to be determined through evaluation</t>
  </si>
  <si>
    <t xml:space="preserve">Actual- showerhead </t>
  </si>
  <si>
    <t>SF DI</t>
  </si>
  <si>
    <t>Kits</t>
  </si>
  <si>
    <t>Npersons</t>
  </si>
  <si>
    <t>Nunits</t>
  </si>
  <si>
    <t>RE</t>
  </si>
  <si>
    <t>5.4.11.1</t>
  </si>
  <si>
    <t>Drain Water Heat Recovery - SF</t>
  </si>
  <si>
    <t>Drain Water Heat Recovery - MF Central Water System 5 Plus Units</t>
  </si>
  <si>
    <t>The baseline condition is a storage type water heater without DWHR devices in a residential application.</t>
  </si>
  <si>
    <t>The incremental cost for this measure is $742 per unit</t>
  </si>
  <si>
    <t>ShowerTemp</t>
  </si>
  <si>
    <t>assumed water temperature during shower</t>
  </si>
  <si>
    <t>°F</t>
  </si>
  <si>
    <t>SupplyTemp</t>
  </si>
  <si>
    <t>assumed temperature of cold water entering house</t>
  </si>
  <si>
    <t>Energy required (BTU) to heat one gallon of water by one degree Fahrenheit</t>
  </si>
  <si>
    <t>gallon per minute, flow rate of showerhead</t>
  </si>
  <si>
    <t>Gallon/minute for direct installed showerheads</t>
  </si>
  <si>
    <t>Gallon/minute for retrofit, efficiency kits, NC or TOS</t>
  </si>
  <si>
    <t xml:space="preserve">Tshower-length                      </t>
  </si>
  <si>
    <t>shower length in minutes</t>
  </si>
  <si>
    <t>minute</t>
  </si>
  <si>
    <t>average number of people per household</t>
  </si>
  <si>
    <t>Household type unknown</t>
  </si>
  <si>
    <t>Number of units in a multifamily building with drains connected to the DWHR unit</t>
  </si>
  <si>
    <r>
      <t>N</t>
    </r>
    <r>
      <rPr>
        <b/>
        <vertAlign val="subscript"/>
        <sz val="11"/>
        <color rgb="FFFFFFFF"/>
        <rFont val="Calibri"/>
        <family val="2"/>
      </rPr>
      <t>units</t>
    </r>
  </si>
  <si>
    <t>or Actual</t>
  </si>
  <si>
    <t>Planning Assumption 5 units - Nicor Gas - Central Water System in MF Building - 5 or more units</t>
  </si>
  <si>
    <t xml:space="preserve">Showers Per Capita Per Day </t>
  </si>
  <si>
    <t>Days per year, on average</t>
  </si>
  <si>
    <t xml:space="preserve">Water heating energy savings factor </t>
  </si>
  <si>
    <t>Conversion factor, 1 therm equals 100,000 BTU</t>
  </si>
  <si>
    <t>efficiency of gas water heater</t>
  </si>
  <si>
    <t>Algorithm Inputs - Methodology 1</t>
  </si>
  <si>
    <t>Methology 2</t>
  </si>
  <si>
    <t>CFM50_ existing</t>
  </si>
  <si>
    <t>CFM50_ new</t>
  </si>
  <si>
    <t>Cooling System Type</t>
  </si>
  <si>
    <t>Age of Cooling Equipment</t>
  </si>
  <si>
    <t>Age of Heating Equipment</t>
  </si>
  <si>
    <t>Heating System Type</t>
  </si>
  <si>
    <t># of stories</t>
  </si>
  <si>
    <t>Air Sealing with or Without Insulaion</t>
  </si>
  <si>
    <t>Δtherms with midlife adjustment</t>
  </si>
  <si>
    <t>ΔkWh_cooling</t>
  </si>
  <si>
    <t>ΔkWh_heating</t>
  </si>
  <si>
    <t>CFM50_existing</t>
  </si>
  <si>
    <t>CFM50_new</t>
  </si>
  <si>
    <t>N_cool</t>
  </si>
  <si>
    <t>CDD</t>
  </si>
  <si>
    <t>DUA</t>
  </si>
  <si>
    <t>LM</t>
  </si>
  <si>
    <t>N_heat</t>
  </si>
  <si>
    <t>HDD</t>
  </si>
  <si>
    <t>ηHeat</t>
  </si>
  <si>
    <t>FLH_cooling</t>
  </si>
  <si>
    <t>ADJAirSealingGasHeat</t>
  </si>
  <si>
    <t>ADJRxAirsealing</t>
  </si>
  <si>
    <t>Δthermssweep</t>
  </si>
  <si>
    <t>ΔthermsWX</t>
  </si>
  <si>
    <t>5.6.1.1</t>
  </si>
  <si>
    <t>Air Sealing Joint</t>
  </si>
  <si>
    <t>Shell</t>
  </si>
  <si>
    <t xml:space="preserve">R10 - Residential Electric Heating and Cooling </t>
  </si>
  <si>
    <t>With Insulation</t>
  </si>
  <si>
    <t>Central Cooling</t>
  </si>
  <si>
    <t>5.6.1.3</t>
  </si>
  <si>
    <t>Air Sealing Without Insulation Joint</t>
  </si>
  <si>
    <t>Without Insulation</t>
  </si>
  <si>
    <t>5.6.1.8</t>
  </si>
  <si>
    <t>Air Sealing IQ CC PHA MF</t>
  </si>
  <si>
    <t>Air Sealing - Sealing Tape 1 foot- DI Per Foot</t>
  </si>
  <si>
    <t>Air Sealing - Sealing Tape per 1 foot - DI Joint</t>
  </si>
  <si>
    <t>5.6.1.20</t>
  </si>
  <si>
    <t>Air Sealing Door Sweep HEA Kit</t>
  </si>
  <si>
    <t>Door Sweap HEA kit</t>
  </si>
  <si>
    <t>5.6.1.21</t>
  </si>
  <si>
    <t>Air Sealing Weatherstripping HEA Kit</t>
  </si>
  <si>
    <t>Stripping HEA kit</t>
  </si>
  <si>
    <t>for midlife adjustment</t>
  </si>
  <si>
    <t>ΔkWh= ΔkWh_cooling + ΔkWh_heating</t>
  </si>
  <si>
    <t>ΔkWh_cooling = [(((CFM50_existing - CFM50_new)/N_cool) * 60 * 24 * CDD * DUA * 0.018) / (1000 *  ηCool)] * LM</t>
  </si>
  <si>
    <t>If gas furnace heat, saving for reduction in fan run time</t>
  </si>
  <si>
    <t>ΔkWh_heating= ΔTherms * Fe * 29.3</t>
  </si>
  <si>
    <t>Methodology 2: Prescriptive Infiltration Reduction Measures</t>
  </si>
  <si>
    <r>
      <rPr>
        <sz val="10"/>
        <color theme="1"/>
        <rFont val="Calibri"/>
        <family val="2"/>
      </rPr>
      <t>∆</t>
    </r>
    <r>
      <rPr>
        <sz val="10"/>
        <color theme="1"/>
        <rFont val="Calibri"/>
        <family val="2"/>
        <scheme val="minor"/>
      </rPr>
      <t>kWh_heating = (∆kWhgasket * ngasket + ∆kWhsweep * nsweep + ∆kWhsealing * lfsealing + ∆kWhWX * lfWX) * ADJRxAirsealing</t>
    </r>
  </si>
  <si>
    <t>If electric heat:</t>
  </si>
  <si>
    <t>ΔkWh_heating = (((CFM50_existing - CFM50_new)/N_heat) * 60 * 24 * HDD * 0.018) / (ηHeat * 3,412)</t>
  </si>
  <si>
    <t>ΔkW = (ΔkWh_cooling / FLH_cooling) * CF</t>
  </si>
  <si>
    <t>If Natural Gas Heating:</t>
  </si>
  <si>
    <t>Methodology 1: preferred methodology unless blower door testing is not possible</t>
  </si>
  <si>
    <t>ΔTherms = (((CFM50_existing - CFM50_new)/N_heat) * 60 * 24 * HDD * 0.018) / (ηHeat * 100,000) * ADJAirSealingGasHeat*IEnetcorrection*%Gasheat</t>
  </si>
  <si>
    <t>Methodology 2: Prescriptive infiltration Reduction Measures: Savings shall only be calculated via Methodology 2 if a blower door test is not feasible</t>
  </si>
  <si>
    <r>
      <rPr>
        <sz val="10"/>
        <color theme="1"/>
        <rFont val="Calibri"/>
        <family val="2"/>
      </rPr>
      <t>∆</t>
    </r>
    <r>
      <rPr>
        <sz val="10"/>
        <color theme="1"/>
        <rFont val="Calibri"/>
        <family val="2"/>
        <scheme val="minor"/>
      </rPr>
      <t>therms= (∆thermsgasket * ngasket + ∆thermssweep * nsweep + ∆thermssealing * lfsealing + ∆thermsWX * lfWX) * ADJRxAirsealing</t>
    </r>
  </si>
  <si>
    <t>RS-SHL-AIRS-V06-180101</t>
  </si>
  <si>
    <t>If central cooling, reduction In annual cooling requirement due to air sealing</t>
  </si>
  <si>
    <t>TRM provides an equation as follows: ΔkWh_cooling = [(((CFM50_existing - CFM50_new)/N_cool) * 60 * 24 * CDD * DUA * 0.018) / (1000 *  ηCool)] * LM</t>
  </si>
  <si>
    <t>If electric heat (resistance or heat pump), reduction In annual electric heating due to air sealing</t>
  </si>
  <si>
    <t>TRM provides an equation as follows: ΔkWh_heating= ΔTherms * Fe * 29.3</t>
  </si>
  <si>
    <t>Infiltration at 50 Pascals as measured by blower door before air sealing</t>
  </si>
  <si>
    <t>This is an actual value</t>
  </si>
  <si>
    <t>Infiltration at 50 Pascals as measured by blower door after air sealing</t>
  </si>
  <si>
    <t>Table of TRM Values below based on location and Number of Stories</t>
  </si>
  <si>
    <t>Conversion factor from leakage at 50 Pascal to leakage at natural conditions</t>
  </si>
  <si>
    <t>This is dependent on location and number of stories, the TRM provides a table of values</t>
  </si>
  <si>
    <t>Updated from TRM V4 to 5 from exposure to number of stories</t>
  </si>
  <si>
    <t>TRM Table of values based on location</t>
  </si>
  <si>
    <t>Cooling Degree Days</t>
  </si>
  <si>
    <t>This is dependent on location. The TRM provides a table of values</t>
  </si>
  <si>
    <t>Discretionary Use Adjustment  (reflects the fact that people do not always operate their AC when conditions may call for it).</t>
  </si>
  <si>
    <t>Actual or Table of Values from TRM based on age</t>
  </si>
  <si>
    <t xml:space="preserve"> Efficiency (SEER) of Air Conditioning equipment (kBtu/kWh)</t>
  </si>
  <si>
    <t>Actual (where it is possible to measure or reasonably estimate). If unknown refer to deemed TRM table below</t>
  </si>
  <si>
    <t>Table of TRM values based on climate zone</t>
  </si>
  <si>
    <t>Latent multiplier to account for latent cooling demand</t>
  </si>
  <si>
    <t>Table of TRM Values below based on climate zone and building height</t>
  </si>
  <si>
    <t>The TRM provides a table of values. This is based on climate zone, building height and exposure level</t>
  </si>
  <si>
    <t>Heating degree days</t>
  </si>
  <si>
    <t>ηHeat(electricheating)</t>
  </si>
  <si>
    <t>Table of TRM Values based on system type** note this is the version for kWh calc</t>
  </si>
  <si>
    <t>Efficiency of heating system</t>
  </si>
  <si>
    <t>Actual. If not available refer to the Table of deemed values from the TRM which is based on system type</t>
  </si>
  <si>
    <t>Full load hours of air conditioning</t>
  </si>
  <si>
    <t>% Efficiency of heating system = Equipment efficiency * distribution efficiency</t>
  </si>
  <si>
    <t>Use actual, if not use the deemed TRM value of 72%</t>
  </si>
  <si>
    <t>The expected measure life is assumed to be 20 years.</t>
  </si>
  <si>
    <r>
      <rPr>
        <sz val="11"/>
        <color theme="1"/>
        <rFont val="Calibri"/>
        <family val="2"/>
      </rPr>
      <t>∆</t>
    </r>
    <r>
      <rPr>
        <sz val="11"/>
        <color theme="1"/>
        <rFont val="Calibri"/>
        <family val="2"/>
        <scheme val="minor"/>
      </rPr>
      <t>kWhgasket</t>
    </r>
  </si>
  <si>
    <t>Table of TRM Values based on Climate zone and heating type</t>
  </si>
  <si>
    <t>annual kWh savings from installation of air sealing gasket on an electric outlet</t>
  </si>
  <si>
    <t>dependent on TRM table of values based on climate zone - values for electric resistance and heat pump</t>
  </si>
  <si>
    <t>part of the methodology 2 calculation</t>
  </si>
  <si>
    <t>ngasket</t>
  </si>
  <si>
    <t>number of gaskets installed</t>
  </si>
  <si>
    <r>
      <rPr>
        <sz val="11"/>
        <color theme="1"/>
        <rFont val="Calibri"/>
        <family val="2"/>
      </rPr>
      <t>∆</t>
    </r>
    <r>
      <rPr>
        <sz val="11"/>
        <color theme="1"/>
        <rFont val="Calibri"/>
        <family val="2"/>
        <scheme val="minor"/>
      </rPr>
      <t>kWhsweep</t>
    </r>
  </si>
  <si>
    <t>Annual kWh savings from installation of door sweep</t>
  </si>
  <si>
    <t>nsweep</t>
  </si>
  <si>
    <t>number of sweeps installed</t>
  </si>
  <si>
    <r>
      <rPr>
        <sz val="11"/>
        <color theme="1"/>
        <rFont val="Calibri"/>
        <family val="2"/>
      </rPr>
      <t>∆</t>
    </r>
    <r>
      <rPr>
        <sz val="11"/>
        <color theme="1"/>
        <rFont val="Calibri"/>
        <family val="2"/>
        <scheme val="minor"/>
      </rPr>
      <t>kWhsealing</t>
    </r>
  </si>
  <si>
    <t>Annual kWh savings from foot of caulking, sealing, or polyethlylene tape</t>
  </si>
  <si>
    <t>lfsealing</t>
  </si>
  <si>
    <t>linear feet of caulking, sealing, or polyethylene tape</t>
  </si>
  <si>
    <t>ΔkWhWX</t>
  </si>
  <si>
    <t>Annual kWh savings from window weatherstripping or door weatherstripping</t>
  </si>
  <si>
    <t>lfWX</t>
  </si>
  <si>
    <t>linear feet of window weatherstripping or door weatherstripping</t>
  </si>
  <si>
    <t>Adjustment for air sealing savings to account for prescriptive estimates overclaiming savings</t>
  </si>
  <si>
    <t>TRM deems this value at 80%</t>
  </si>
  <si>
    <t>Δthermsgasket</t>
  </si>
  <si>
    <t>Annual therm savings from installation of air sealing gasket on an electric outlet</t>
  </si>
  <si>
    <t>dependent on TRM table of values based on climate zone - values for gas heat</t>
  </si>
  <si>
    <t>Annual therm savings from installation of door sweep</t>
  </si>
  <si>
    <t>Δthermssealing</t>
  </si>
  <si>
    <t>Annual therm savings from foot of caulking, sealing, or polyethlylene tape</t>
  </si>
  <si>
    <t>Annual therm savings from window weatherstripping or door weatherstripping</t>
  </si>
  <si>
    <t>Adjustment for gas heating savings to account for inaccuracies in engineering algorithms</t>
  </si>
  <si>
    <t>Air sealing and attic insulation = 72%</t>
  </si>
  <si>
    <t>Air sealing without attic insulation = 100%</t>
  </si>
  <si>
    <t>part of the methodology 1 calculation</t>
  </si>
  <si>
    <t>CDD 65</t>
  </si>
  <si>
    <t>HDD 60</t>
  </si>
  <si>
    <t>ηHeat (Effective COP Estimate)= (HSPF/3.413)*0.85</t>
  </si>
  <si>
    <t>2006 - 2014</t>
  </si>
  <si>
    <t>4 (St Louis, MO)</t>
  </si>
  <si>
    <t>5 (Paducah, KY)</t>
  </si>
  <si>
    <t>Unknown (for eval purposes)</t>
  </si>
  <si>
    <t>ΔkWh and Savings Lookup Table</t>
  </si>
  <si>
    <t>Climate Zone (City based upon)</t>
  </si>
  <si>
    <t>N_cool(by # of stories)</t>
  </si>
  <si>
    <t>Air sealing and attic insulation</t>
  </si>
  <si>
    <t>Air sealing without attic insulation</t>
  </si>
  <si>
    <t>N_heat(by # of stories)</t>
  </si>
  <si>
    <r>
      <rPr>
        <b/>
        <sz val="10"/>
        <color rgb="FFFFFFFF"/>
        <rFont val="Calibri"/>
        <family val="2"/>
      </rPr>
      <t>ηCool (</t>
    </r>
    <r>
      <rPr>
        <b/>
        <sz val="10"/>
        <color rgb="FFFFFFFF"/>
        <rFont val="Calibri"/>
        <family val="2"/>
        <scheme val="minor"/>
      </rPr>
      <t>SEER Estimate)</t>
    </r>
  </si>
  <si>
    <t>After 1/1/2015</t>
  </si>
  <si>
    <t>Methodology 2 Tables from TRM V5 Proposal</t>
  </si>
  <si>
    <t>Climate Zone        (City based upon)</t>
  </si>
  <si>
    <r>
      <t>ΔkWh</t>
    </r>
    <r>
      <rPr>
        <b/>
        <vertAlign val="subscript"/>
        <sz val="10"/>
        <color rgb="FFFFFFFF"/>
        <rFont val="Calibri"/>
        <family val="2"/>
      </rPr>
      <t xml:space="preserve">gasket </t>
    </r>
    <r>
      <rPr>
        <b/>
        <sz val="10"/>
        <color rgb="FFFFFFFF"/>
        <rFont val="Calibri"/>
        <family val="2"/>
      </rPr>
      <t>/ gasket</t>
    </r>
  </si>
  <si>
    <r>
      <t>ΔkWh</t>
    </r>
    <r>
      <rPr>
        <b/>
        <vertAlign val="subscript"/>
        <sz val="10"/>
        <color rgb="FFFFFFFF"/>
        <rFont val="Calibri"/>
        <family val="2"/>
      </rPr>
      <t xml:space="preserve">sweep </t>
    </r>
    <r>
      <rPr>
        <b/>
        <sz val="10"/>
        <color rgb="FFFFFFFF"/>
        <rFont val="Calibri"/>
        <family val="2"/>
      </rPr>
      <t>/ sweep</t>
    </r>
  </si>
  <si>
    <r>
      <t>ΔkWh</t>
    </r>
    <r>
      <rPr>
        <b/>
        <vertAlign val="subscript"/>
        <sz val="10"/>
        <color rgb="FFFFFFFF"/>
        <rFont val="Calibri"/>
        <family val="2"/>
      </rPr>
      <t xml:space="preserve">sealing </t>
    </r>
    <r>
      <rPr>
        <b/>
        <sz val="10"/>
        <color rgb="FFFFFFFF"/>
        <rFont val="Calibri"/>
        <family val="2"/>
      </rPr>
      <t>/ ft</t>
    </r>
  </si>
  <si>
    <r>
      <t>ΔkWh</t>
    </r>
    <r>
      <rPr>
        <b/>
        <vertAlign val="subscript"/>
        <sz val="10"/>
        <color rgb="FFFFFFFF"/>
        <rFont val="Calibri"/>
        <family val="2"/>
      </rPr>
      <t xml:space="preserve">WX </t>
    </r>
    <r>
      <rPr>
        <b/>
        <sz val="10"/>
        <color rgb="FFFFFFFF"/>
        <rFont val="Times New Roman"/>
        <family val="1"/>
      </rPr>
      <t>/ ft</t>
    </r>
  </si>
  <si>
    <r>
      <t>Δtherms</t>
    </r>
    <r>
      <rPr>
        <b/>
        <vertAlign val="subscript"/>
        <sz val="10"/>
        <color rgb="FFFFFFFF"/>
        <rFont val="Times New Roman"/>
        <family val="1"/>
      </rPr>
      <t>gasket</t>
    </r>
    <r>
      <rPr>
        <b/>
        <vertAlign val="subscript"/>
        <sz val="10"/>
        <color rgb="FFFFFFFF"/>
        <rFont val="Calibri"/>
        <family val="2"/>
      </rPr>
      <t xml:space="preserve"> </t>
    </r>
    <r>
      <rPr>
        <b/>
        <sz val="10"/>
        <color rgb="FFFFFFFF"/>
        <rFont val="Calibri"/>
        <family val="2"/>
      </rPr>
      <t>/ gasket</t>
    </r>
  </si>
  <si>
    <r>
      <t>Δtherms</t>
    </r>
    <r>
      <rPr>
        <b/>
        <vertAlign val="subscript"/>
        <sz val="10"/>
        <color rgb="FFFFFFFF"/>
        <rFont val="Calibri"/>
        <family val="2"/>
      </rPr>
      <t xml:space="preserve">sweep </t>
    </r>
    <r>
      <rPr>
        <b/>
        <sz val="10"/>
        <color rgb="FFFFFFFF"/>
        <rFont val="Calibri"/>
        <family val="2"/>
      </rPr>
      <t>/ sweep</t>
    </r>
  </si>
  <si>
    <r>
      <t>Δtherms</t>
    </r>
    <r>
      <rPr>
        <b/>
        <vertAlign val="subscript"/>
        <sz val="10"/>
        <color rgb="FFFFFFFF"/>
        <rFont val="Calibri"/>
        <family val="2"/>
      </rPr>
      <t xml:space="preserve">sealing </t>
    </r>
    <r>
      <rPr>
        <b/>
        <sz val="10"/>
        <color rgb="FFFFFFFF"/>
        <rFont val="Calibri"/>
        <family val="2"/>
      </rPr>
      <t>/ ft</t>
    </r>
  </si>
  <si>
    <r>
      <t>Δtherms</t>
    </r>
    <r>
      <rPr>
        <b/>
        <vertAlign val="subscript"/>
        <sz val="10"/>
        <color rgb="FFFFFFFF"/>
        <rFont val="Calibri"/>
        <family val="2"/>
      </rPr>
      <t xml:space="preserve">sx </t>
    </r>
    <r>
      <rPr>
        <b/>
        <sz val="10"/>
        <color rgb="FFFFFFFF"/>
        <rFont val="Calibri"/>
        <family val="2"/>
      </rPr>
      <t>/ ft</t>
    </r>
  </si>
  <si>
    <t>Nicor Gas - Residential Kit</t>
  </si>
  <si>
    <t>Measure Assumptions Weatherization Kit</t>
  </si>
  <si>
    <t>TRM 5.6.1</t>
  </si>
  <si>
    <t>EEE Kits (Joint)</t>
  </si>
  <si>
    <t>Measure Assumptions</t>
  </si>
  <si>
    <t xml:space="preserve">Gross Therm Savings </t>
  </si>
  <si>
    <t>Measure Life (PY2018 - 2021)</t>
  </si>
  <si>
    <t>Price</t>
  </si>
  <si>
    <t>$/therm</t>
  </si>
  <si>
    <r>
      <t xml:space="preserve">Gross kWh Savings </t>
    </r>
    <r>
      <rPr>
        <b/>
        <sz val="11"/>
        <color theme="1"/>
        <rFont val="Calibri"/>
        <family val="2"/>
        <scheme val="minor"/>
      </rPr>
      <t>Electric Resistance</t>
    </r>
  </si>
  <si>
    <r>
      <t xml:space="preserve">Gross kWh Savings </t>
    </r>
    <r>
      <rPr>
        <b/>
        <sz val="11"/>
        <color theme="1"/>
        <rFont val="Calibri"/>
        <family val="2"/>
        <scheme val="minor"/>
      </rPr>
      <t>Heat Pump</t>
    </r>
  </si>
  <si>
    <t xml:space="preserve">12-Pack of (8) Outlet and (4) Switch Foam Gasket Draft Sealers </t>
  </si>
  <si>
    <t>6 (Average)</t>
  </si>
  <si>
    <t xml:space="preserve">Closed Cell Foam Tape Weatherstrip, 17' Roll </t>
  </si>
  <si>
    <t xml:space="preserve">V-Seal type Weatherstrip, 17' Roll </t>
  </si>
  <si>
    <t xml:space="preserve">Self-Adhesive Door Sweep </t>
  </si>
  <si>
    <t xml:space="preserve">30' Roll of Rope Caulk </t>
  </si>
  <si>
    <t>Kit WX</t>
  </si>
  <si>
    <t>Space Heating System</t>
  </si>
  <si>
    <t>%Heat</t>
  </si>
  <si>
    <t>(1) TRM 5.6.1 states that if unknown heating fuel, then 87% natural gas, 13% electric resistance or heat pump.
(2) Calculation assumes 35% Heat Pump and 65% Resistance, which is based upon data from Energy Information Administration, 2009 Residential Energy Consumption Survey, see “HC6.9 Space Heating in Midwest Region.xls”, using average for East North Central Region. Refer to TRM Page.90 Footnotes</t>
  </si>
  <si>
    <t>Δtherms = (Δthermsgasket * ngasket + Δthermswindows * sfwindows  + Δthermssweep * nsweep + Δthermssealing * lfsealing + ΔthermsWX * lfWX) * ADJRxAirsealing * ISR</t>
  </si>
  <si>
    <t>Δthermsgasket = Annual therm savings from installation of air sealing gasket on an electric outlet</t>
  </si>
  <si>
    <t>ngasket = Number of gaskets installed</t>
  </si>
  <si>
    <t>Δthermswindows = Annual therm savings from installation of Shrink-Fit Window Kit</t>
  </si>
  <si>
    <t>sfwindows = square footage of shrink-fit window film</t>
  </si>
  <si>
    <t>Δthermssweep = Annual therm savings from installation of door sweep</t>
  </si>
  <si>
    <t>nsweep = Number of sweeps installed</t>
  </si>
  <si>
    <t>Δthermssealing = Annual therm savings from foot of caulking, sealing, or polyethlylene tape</t>
  </si>
  <si>
    <t>lfsealing = linear feet of caulking, sealing, or polyethylene tape</t>
  </si>
  <si>
    <t>ΔthermsWX = Annual therm savings from window weatherstripping or door weatherstripping</t>
  </si>
  <si>
    <t>lfWX = Linear feet of window weatherstripping or door weatherstripping</t>
  </si>
  <si>
    <t>ADJRxAirsealing = Adjustment for air sealing savings to account for prescriptive estimates overclaiming savings = 80%</t>
  </si>
  <si>
    <t>ISR = In service rate of weatherization kits dependent on install method</t>
  </si>
  <si>
    <t>Average Assumption is 30% Rockford, 60% Chicago, 10% Springfield</t>
  </si>
  <si>
    <t>TRM 5.6.1 Page.290 -- Methodology 2: Prescriptive Infiltration Reduction Measures</t>
  </si>
  <si>
    <r>
      <t>Δtherms</t>
    </r>
    <r>
      <rPr>
        <b/>
        <vertAlign val="subscript"/>
        <sz val="10"/>
        <color rgb="FFFFFFFF"/>
        <rFont val="Times New Roman"/>
        <family val="1"/>
      </rPr>
      <t>windows</t>
    </r>
    <r>
      <rPr>
        <b/>
        <vertAlign val="subscript"/>
        <sz val="10"/>
        <color rgb="FFFFFFFF"/>
        <rFont val="Calibri"/>
        <family val="2"/>
      </rPr>
      <t xml:space="preserve"> </t>
    </r>
    <r>
      <rPr>
        <b/>
        <sz val="10"/>
        <color rgb="FFFFFFFF"/>
        <rFont val="Calibri"/>
        <family val="2"/>
      </rPr>
      <t>/ sf</t>
    </r>
  </si>
  <si>
    <r>
      <t>ΔkWh</t>
    </r>
    <r>
      <rPr>
        <b/>
        <vertAlign val="subscript"/>
        <sz val="10"/>
        <color rgb="FFFFFFFF"/>
        <rFont val="Times New Roman"/>
        <family val="1"/>
      </rPr>
      <t>gasket</t>
    </r>
    <r>
      <rPr>
        <b/>
        <vertAlign val="subscript"/>
        <sz val="10"/>
        <color rgb="FFFFFFFF"/>
        <rFont val="Calibri"/>
        <family val="2"/>
      </rPr>
      <t xml:space="preserve"> </t>
    </r>
    <r>
      <rPr>
        <b/>
        <sz val="10"/>
        <color rgb="FFFFFFFF"/>
        <rFont val="Calibri"/>
        <family val="2"/>
      </rPr>
      <t>/ gasket</t>
    </r>
  </si>
  <si>
    <r>
      <t>ΔkWh</t>
    </r>
    <r>
      <rPr>
        <b/>
        <vertAlign val="subscript"/>
        <sz val="10"/>
        <color rgb="FFFFFFFF"/>
        <rFont val="Times New Roman"/>
        <family val="1"/>
      </rPr>
      <t>windows</t>
    </r>
    <r>
      <rPr>
        <b/>
        <vertAlign val="subscript"/>
        <sz val="10"/>
        <color rgb="FFFFFFFF"/>
        <rFont val="Calibri"/>
        <family val="2"/>
      </rPr>
      <t xml:space="preserve"> </t>
    </r>
    <r>
      <rPr>
        <b/>
        <sz val="10"/>
        <color rgb="FFFFFFFF"/>
        <rFont val="Calibri"/>
        <family val="2"/>
      </rPr>
      <t>/ sf</t>
    </r>
  </si>
  <si>
    <r>
      <t>ΔkWh</t>
    </r>
    <r>
      <rPr>
        <b/>
        <vertAlign val="subscript"/>
        <sz val="10"/>
        <color rgb="FFFFFFFF"/>
        <rFont val="Calibri"/>
        <family val="2"/>
      </rPr>
      <t xml:space="preserve">sx </t>
    </r>
    <r>
      <rPr>
        <b/>
        <sz val="10"/>
        <color rgb="FFFFFFFF"/>
        <rFont val="Calibri"/>
        <family val="2"/>
      </rPr>
      <t>/ ft</t>
    </r>
  </si>
  <si>
    <t>Distributed School Weatherization Kits</t>
  </si>
  <si>
    <t>Direct Install, Retail</t>
  </si>
  <si>
    <t>Basement Sidewall Insulation</t>
  </si>
  <si>
    <t>Total Sq Ft of Insulation</t>
  </si>
  <si>
    <t>Insulation Type</t>
  </si>
  <si>
    <t>R-value of Additional insulation</t>
  </si>
  <si>
    <t>Length of basemt wall around entire insulated perimeter (ft)</t>
  </si>
  <si>
    <t>Ht of insulated basemt wall above grade (ft)</t>
  </si>
  <si>
    <t>Height of insulated basement wall Below grade (ft)</t>
  </si>
  <si>
    <t>Is the Basement Conditioned?</t>
  </si>
  <si>
    <t>Low Income</t>
  </si>
  <si>
    <t>kW savings type</t>
  </si>
  <si>
    <t xml:space="preserve">ΔkWh_cooling </t>
  </si>
  <si>
    <t xml:space="preserve">ΔkWh_heating </t>
  </si>
  <si>
    <r>
      <t>ADJ</t>
    </r>
    <r>
      <rPr>
        <sz val="8"/>
        <color theme="1"/>
        <rFont val="Calibri"/>
        <family val="2"/>
        <scheme val="minor"/>
      </rPr>
      <t>Basementheat</t>
    </r>
  </si>
  <si>
    <t>ADJbasementcool</t>
  </si>
  <si>
    <t>R_added</t>
  </si>
  <si>
    <t>R_old_AG</t>
  </si>
  <si>
    <t xml:space="preserve">L_basement_wall_total </t>
  </si>
  <si>
    <t xml:space="preserve">H_basement_wall_AG </t>
  </si>
  <si>
    <t>Framing_factor</t>
  </si>
  <si>
    <t>R_old_BG</t>
  </si>
  <si>
    <t xml:space="preserve">H_basement_wall_total </t>
  </si>
  <si>
    <t xml:space="preserve">ηHeat (kwh algorithm) </t>
  </si>
  <si>
    <t>ηHeat (Therm algorithm)</t>
  </si>
  <si>
    <t>%gas heat</t>
  </si>
  <si>
    <t>Studs</t>
  </si>
  <si>
    <t>Non-Low Income</t>
  </si>
  <si>
    <t>Utility</t>
  </si>
  <si>
    <t>ΔkWh= (ΔkWh_cooling + ΔkWh_heating)</t>
  </si>
  <si>
    <t>ΔkWh_cooling = (((1/R_old_AG  - 1/(R_added+R_old_AG)) * L_basement_wall_total * H_basement_wall_AG * (1-Framing_factor)) * 24 * CDD * DUA) / (1000 * ηCool))*ADJbasementcool</t>
  </si>
  <si>
    <t>ΔkWh_heating = [((1/R_old_AG - 1/(R_added+R_old_AG)) * L_basement_wall_total * H_basement_wall_AG * (1-Framing_factor)) + ((1/(R_old_BG - 1/(R_added+R_old_BG)) * L_basement_wall_total * (H_basement_wall_total - H_basement_wall_AG) * (1-Framing_factor))] * 24 * HDD) / (3,412 * ηHeat))*ADJbaseentheat*%electricheat</t>
  </si>
  <si>
    <t>ΔTherms = (((1/R_old_AG - 1/(R_added+R_old_AG)) * L_basement_wall_total * H_basement_wall_AG * (1-Framing_factor) + (1/(R_old_BG - 1/(R_added+R_old_BG)) * L_basement_wall_total * (H_basement_wall_total - H_basement_wall_AG) * (1-Framing_factor)] * 24 * HDD) / (ηHeat * 100,067)  ) * ADJBasementHeat*%gasheat</t>
  </si>
  <si>
    <t>RS-SHL-BINS-V08-180101</t>
  </si>
  <si>
    <t>If central cooling, reduction in annual cooling requirement due to insulation</t>
  </si>
  <si>
    <t xml:space="preserve">TRM provides an equation as follows: ΔkWh_cooling =  (((1/R_old_AG  - 1/(R_added+R_old_AG)) * L_basement_wall_total * H_basement_wall_AG * (1-Framing_factor)) * 24 * CDD * DUA) / (1000 * ηCool))   </t>
  </si>
  <si>
    <t>If electric heat (resistance or heat pump), reduction in annual electric heating due to insulation</t>
  </si>
  <si>
    <t xml:space="preserve">TRM provides an equation as follows: [((1/R_old_AG - 1/(R_added+R_old_AG)) * L_basement_wall_total * H_basement_wall_AG * (1-Framing_factor)) + ((1/(R_old_BG - 1/(R_added+R_old_BG)) * L_basement_wall_total * (H_basement_wall_total - H_basement_wall_AG) * (1-Framing_factor))] * 24 * HDD) / (3,412 * ηHeat)) </t>
  </si>
  <si>
    <t>ADJ</t>
  </si>
  <si>
    <t>Adjustment to account for prescriptive engineering algorithms overclaiming savings.</t>
  </si>
  <si>
    <t>TRM Deems a value of 88%</t>
  </si>
  <si>
    <t>Adjustment for cooling savings from basement wall insulation to account for prescriptive engineering algorithms overclaiming savings</t>
  </si>
  <si>
    <t>TRM V5 deems this value at 80%</t>
  </si>
  <si>
    <t>R-value of additional spray foam, rigid foam, or cavity insulation</t>
  </si>
  <si>
    <t>R-value value of foundation wall above grade</t>
  </si>
  <si>
    <t>Use Actual, if unknown assume TRM Value of 1.0</t>
  </si>
  <si>
    <t>TRM provides a table of values</t>
  </si>
  <si>
    <t>Adjustment to account for area of framing when cavity insulation is used</t>
  </si>
  <si>
    <t>TRM proves a list of assumptions as follows: 0% if Spray Foam or External Rigid Foam; 25% if studs and cavity insulation. The table from the TRM is listed below.</t>
  </si>
  <si>
    <t xml:space="preserve">Cooling Degree Days </t>
  </si>
  <si>
    <t>This is dependent on location. The TRM provides a table of values which is listed below</t>
  </si>
  <si>
    <t>Discretionary Use Adjustment</t>
  </si>
  <si>
    <t>Seasonal Energy Efficiency Ratio (SEER) of cooling system (kBtu/kWh)</t>
  </si>
  <si>
    <t>Actual (where it is possible to measure or reasonably estimate). If unknown assume the following table of values from the TRM.  The table from the TRM is listed below</t>
  </si>
  <si>
    <t>R-value value of foundation wall below grade</t>
  </si>
  <si>
    <t>dependent on depth of foundation (H_basement_wall_total – H_basement_wall_AG)</t>
  </si>
  <si>
    <t>Actual R-value of wall plus average earth R-value by depth in table provided by the TRM</t>
  </si>
  <si>
    <t>Total height of basement wall (ft)</t>
  </si>
  <si>
    <t>Heating Degree Days</t>
  </si>
  <si>
    <t>ηHeat (electric heat)</t>
  </si>
  <si>
    <t>Efficiency of heating system (effective COP Estimate)</t>
  </si>
  <si>
    <t>ηHeat (gas heat)</t>
  </si>
  <si>
    <t>ηHeat (midlife adjustment)</t>
  </si>
  <si>
    <t>%gasheat</t>
  </si>
  <si>
    <t>Conditioned CDD 65</t>
  </si>
  <si>
    <t>Conditioned</t>
  </si>
  <si>
    <t>HDD 50</t>
  </si>
  <si>
    <t>Framing Factor (Framing_factor)</t>
  </si>
  <si>
    <t>Spray Foam</t>
  </si>
  <si>
    <t>Housing Type Lookup Table</t>
  </si>
  <si>
    <t>CF Values Lookup Table</t>
  </si>
  <si>
    <t>PJM</t>
  </si>
  <si>
    <t>Is the Basement Conditioned? - True False Lookup Table</t>
  </si>
  <si>
    <t>Below Grade R-value</t>
  </si>
  <si>
    <t>Depth below grade (ft)</t>
  </si>
  <si>
    <r>
      <t>Earth R-value (°F-ft</t>
    </r>
    <r>
      <rPr>
        <vertAlign val="superscript"/>
        <sz val="10"/>
        <color theme="1"/>
        <rFont val="Calibri"/>
        <family val="2"/>
        <scheme val="minor"/>
      </rPr>
      <t>2</t>
    </r>
    <r>
      <rPr>
        <sz val="10"/>
        <color theme="1"/>
        <rFont val="Calibri"/>
        <family val="2"/>
        <scheme val="minor"/>
      </rPr>
      <t>-h/Btu)</t>
    </r>
  </si>
  <si>
    <t>Average Earth R-value (°F-ft2-h/Btu)</t>
  </si>
  <si>
    <t>Total BG R-value (earth + R-2.25 foundation)</t>
  </si>
  <si>
    <t>ηHeat (Effective COP Estimate) (HSPF/3.413)*0.85</t>
  </si>
  <si>
    <t>After 2006 -2014</t>
  </si>
  <si>
    <t>Unknown (for eval purposes only)</t>
  </si>
  <si>
    <t>after 1/1/2015</t>
  </si>
  <si>
    <t>R-value of additional Insulation</t>
  </si>
  <si>
    <t xml:space="preserve"> Total Floor Area to be insulated (SF)</t>
  </si>
  <si>
    <t>Age of Cooling equipment</t>
  </si>
  <si>
    <r>
      <t>ADJ</t>
    </r>
    <r>
      <rPr>
        <sz val="8"/>
        <color theme="1"/>
        <rFont val="Calibri"/>
        <family val="2"/>
        <scheme val="minor"/>
      </rPr>
      <t>Floorcool</t>
    </r>
  </si>
  <si>
    <r>
      <t>ADJ</t>
    </r>
    <r>
      <rPr>
        <sz val="8"/>
        <color theme="1"/>
        <rFont val="Calibri"/>
        <family val="2"/>
        <scheme val="minor"/>
      </rPr>
      <t>Floorheat</t>
    </r>
  </si>
  <si>
    <t>R_old</t>
  </si>
  <si>
    <t>Area</t>
  </si>
  <si>
    <t>Floor Insulation Above Crawlspace - Single family, , R-value = 30, Area = 500 ft Joint</t>
  </si>
  <si>
    <t>PJM Central A/C</t>
  </si>
  <si>
    <t>Natural gas</t>
  </si>
  <si>
    <t>Adjusted ML</t>
  </si>
  <si>
    <t>2022 Lifetime Savings</t>
  </si>
  <si>
    <t xml:space="preserve">ΔkWh_cooling = (((1/R_old - 1/(R_added+R_old)) * Area * (1-Framing_factor)) * 24 * CDD * DUA) / (1000 * ηCool))   </t>
  </si>
  <si>
    <t>2022 Annual savings in first 10 years</t>
  </si>
  <si>
    <t>ΔkWh_heating = ((1/R_old - 1/(R_added + R_old)) * Area * (1-Framing_factor) * 24 * HDD)/ (3,412 * ηHeat))*ADJfloorcool</t>
  </si>
  <si>
    <t>2022 Annual savings in second 10 years</t>
  </si>
  <si>
    <t>If Natural Gas heating:</t>
  </si>
  <si>
    <t>ΔTherms = (((1/R_old - 1/(R_added+R_old)) * Area * (1-Framing_factor) * 24 * HDD) / (100,000 * ηHeat)) * ADJFloorHeat * %GasHeat</t>
  </si>
  <si>
    <t>RS-SHL-FINS-V08-180101</t>
  </si>
  <si>
    <t>Alogirthm per TRM</t>
  </si>
  <si>
    <t>if central cooling, reduction in annual cooling requirement due to insulation</t>
  </si>
  <si>
    <t>if electric heat (resistance or heat pump), reduction in annual electric Heating due to insulation
If gas furnace heat, kWh savings for reduction in fan run time</t>
  </si>
  <si>
    <t>ADJFloorCool</t>
  </si>
  <si>
    <t>Adjustment for cooling savings from floor to account for prescriptive engineering algorithms overclaiming savings.</t>
  </si>
  <si>
    <t>Value deemed per TRM at 80%</t>
  </si>
  <si>
    <t>R-value value of floor before insulation, assuming 3/4” plywood subfloor &amp; carpet with pad</t>
  </si>
  <si>
    <t>Per TRM use actual, if unknown assume 3.53</t>
  </si>
  <si>
    <t>Total Floor area to be insulated</t>
  </si>
  <si>
    <t>Adjustment to account for area of framing</t>
  </si>
  <si>
    <t>12% Value deemed by the TRM</t>
  </si>
  <si>
    <t>Table of Lookup Values</t>
  </si>
  <si>
    <t>Table of values per the TRM based on climate zone</t>
  </si>
  <si>
    <t>0.75 is a value deemed by the TRM</t>
  </si>
  <si>
    <t>SEER of cooling system (kBtu/kWh)</t>
  </si>
  <si>
    <t>Per TRM , use actual(where it is possible to measure or reasonably estimate).  If unknown, use table of values per TRM</t>
  </si>
  <si>
    <t>Efficiency of Heating system (COP)</t>
  </si>
  <si>
    <t>Per TRM, use Actual. If not available, use default table per TRM.</t>
  </si>
  <si>
    <t>Percent of homes that have gas space heating. 100 % for Natural Gas</t>
  </si>
  <si>
    <t>Adjustment for floor insulation to account for prescriptive engineering algorithms overclaiming savings.</t>
  </si>
  <si>
    <t>Per TRM, use 60%</t>
  </si>
  <si>
    <t>Per TRM, use table of lookup values dependent on location</t>
  </si>
  <si>
    <t>Summer Peak Coincidence factor</t>
  </si>
  <si>
    <t>Per TRM, vaires by system; Deemed values per system. CFPJm is 46.6%.</t>
  </si>
  <si>
    <t>Efficiency of heating system (%) equal to Equipment efficiency * distribution efficiency</t>
  </si>
  <si>
    <t>Per TRM, use actual.  If unknown, assume 72%.</t>
  </si>
  <si>
    <t>FLH_Cooling</t>
  </si>
  <si>
    <t>Unconditioned CDD</t>
  </si>
  <si>
    <t>Unconditioned HDD</t>
  </si>
  <si>
    <t>Central A/C</t>
  </si>
  <si>
    <t>Unknown (For eval purposed only)</t>
  </si>
  <si>
    <t>Lookup Keys</t>
  </si>
  <si>
    <t>Multi-family</t>
  </si>
  <si>
    <t>New  total R-value of Wall</t>
  </si>
  <si>
    <t>New R-value of Attic</t>
  </si>
  <si>
    <t>Old R-value of Wall</t>
  </si>
  <si>
    <r>
      <t>Area of Insulated wall (ft</t>
    </r>
    <r>
      <rPr>
        <b/>
        <vertAlign val="superscript"/>
        <sz val="11"/>
        <color theme="1"/>
        <rFont val="Calibri"/>
        <family val="2"/>
        <scheme val="minor"/>
      </rPr>
      <t>2</t>
    </r>
    <r>
      <rPr>
        <b/>
        <sz val="11"/>
        <color theme="1"/>
        <rFont val="Calibri"/>
        <family val="2"/>
        <scheme val="minor"/>
      </rPr>
      <t>)</t>
    </r>
  </si>
  <si>
    <r>
      <t>Area of Insulated Attic (ft</t>
    </r>
    <r>
      <rPr>
        <b/>
        <vertAlign val="superscript"/>
        <sz val="11"/>
        <color theme="1"/>
        <rFont val="Calibri"/>
        <family val="2"/>
        <scheme val="minor"/>
      </rPr>
      <t>2</t>
    </r>
    <r>
      <rPr>
        <b/>
        <sz val="11"/>
        <color theme="1"/>
        <rFont val="Calibri"/>
        <family val="2"/>
        <scheme val="minor"/>
      </rPr>
      <t>)</t>
    </r>
  </si>
  <si>
    <t>kW Savings type</t>
  </si>
  <si>
    <r>
      <rPr>
        <sz val="10"/>
        <color theme="1"/>
        <rFont val="Calibri"/>
        <family val="2"/>
      </rPr>
      <t>Δ</t>
    </r>
    <r>
      <rPr>
        <sz val="10"/>
        <color theme="1"/>
        <rFont val="Calibri"/>
        <family val="2"/>
        <scheme val="minor"/>
      </rPr>
      <t xml:space="preserve">kWh_heating </t>
    </r>
  </si>
  <si>
    <t>R_wall</t>
  </si>
  <si>
    <t>R_attic</t>
  </si>
  <si>
    <t>A_wall</t>
  </si>
  <si>
    <t>A_attic</t>
  </si>
  <si>
    <t>Framing_factor_wall</t>
  </si>
  <si>
    <t>Framing_factor_attic</t>
  </si>
  <si>
    <t>ηHeat (kWh algorithm input)</t>
  </si>
  <si>
    <t>ηHeat (therm algorithm input)</t>
  </si>
  <si>
    <r>
      <t>ADJ</t>
    </r>
    <r>
      <rPr>
        <vertAlign val="subscript"/>
        <sz val="10"/>
        <color theme="1"/>
        <rFont val="Calibri"/>
        <family val="2"/>
        <scheme val="minor"/>
      </rPr>
      <t>Wall/AtticHeat</t>
    </r>
  </si>
  <si>
    <r>
      <t>ADJ</t>
    </r>
    <r>
      <rPr>
        <vertAlign val="subscript"/>
        <sz val="10"/>
        <color theme="1"/>
        <rFont val="Calibri"/>
        <family val="2"/>
        <scheme val="minor"/>
      </rPr>
      <t>WallAtticcool</t>
    </r>
  </si>
  <si>
    <t>5.6.4.3</t>
  </si>
  <si>
    <t>5.6.4.6</t>
  </si>
  <si>
    <t>5.6.4.7</t>
  </si>
  <si>
    <t>5.6.4.8</t>
  </si>
  <si>
    <t>5.6.4.9</t>
  </si>
  <si>
    <t>5.6.4.10</t>
  </si>
  <si>
    <t>5.6.4.11</t>
  </si>
  <si>
    <t>5.6.4.12</t>
  </si>
  <si>
    <t>Attic Insulation IQ Anura</t>
  </si>
  <si>
    <t>5.6.4.13</t>
  </si>
  <si>
    <t>Attic Insulation IQ SF Gas Only Blended</t>
  </si>
  <si>
    <t>5.6.4.14</t>
  </si>
  <si>
    <t>Attic Insulation IQ SF Braided Blended</t>
  </si>
  <si>
    <t>5.6.4.15</t>
  </si>
  <si>
    <t>5.6.4.16</t>
  </si>
  <si>
    <t>Attic Insulation IQ MF Braided Blended</t>
  </si>
  <si>
    <t>5.6.4.17</t>
  </si>
  <si>
    <t>Wall Insulation SF Anura</t>
  </si>
  <si>
    <t>ΔkWh_cooling = (((1/R_old - 1/R_wall) * A_wall * (1-Framing_factor_wall) + (1/R_old - 1/R_attic) * A_attic * (1-Framing_factor_attic)) * 24 * CDD * DUA] / (1000 * ηCool)) *ADJwallatticcool</t>
  </si>
  <si>
    <t>Electric heating:</t>
  </si>
  <si>
    <r>
      <rPr>
        <sz val="10"/>
        <color theme="1"/>
        <rFont val="Calibri"/>
        <family val="2"/>
      </rPr>
      <t>Δ</t>
    </r>
    <r>
      <rPr>
        <sz val="10"/>
        <color theme="1"/>
        <rFont val="Calibri"/>
        <family val="2"/>
        <scheme val="minor"/>
      </rPr>
      <t>kWh_heating = ((1/R_old - 1/R_wall) * A_wall * (1-Framing_factor)  + (1/R_old - 1/R_attic) * A_attic * (1-Framing_factor_attic) * 24 * HDD] / (ηHeat * 3412) )*ADJwallatticheat*%Elecheat</t>
    </r>
  </si>
  <si>
    <t>gas Furnace Heating</t>
  </si>
  <si>
    <t>ΔkWh_heating = Δtherms * Fe * 29.3</t>
  </si>
  <si>
    <t xml:space="preserve">ΔkW = (ΔkWh_cooling / FLH_cooling) * CF </t>
  </si>
  <si>
    <t>Δtherms_Wall = (((1/R_old - 1/R_wall) * A_wall * (1-Framing_factor_wall)) * 24 * HDD) / (ηHeat * 100,000 Btu/therm)*ADJWallHeat*%Gasheat</t>
  </si>
  <si>
    <t>Δtherms_Attic = (((1/R_old - 1/R_attic) * A_attic * (1-Framing_factor_attic)) * 24 * HDD) / (ηHeat * 100,000 Btu/therm)*ADJAtticHeat</t>
  </si>
  <si>
    <t xml:space="preserve">TRM Provides a calculation where: ΔkWh_cooling = [((1/R_old - 1/R_wall) * A_wall * (1-Framing_factor_wall) + (1/R_old - 1/R_attic) * A_attic * (1-Framing_factor_attic)) * 24 * CDD * DUA] / (1000 * ηCool) </t>
  </si>
  <si>
    <t xml:space="preserve">TRM provides a calculation where ΔkWh_heating = [(1/R_old - 1/R_wall) * A_wall * (1-Framing_factor) * ADJwall) + (1/R_old - 1/R_attic) * A_attic * (1-Framing_factor_attic) * ADJattic) * 24 * HDD] / (ηHeat * 3412) </t>
  </si>
  <si>
    <t>R-value of new wall assembly (including all layers between inside air and outside air)</t>
  </si>
  <si>
    <t>R-value of new attic assembly (including all layers between inside air and outside air)</t>
  </si>
  <si>
    <t>R-value value of existing assemble and any existing insulation</t>
  </si>
  <si>
    <t>(Minimum of R-5 for uninsulated assemblies)</t>
  </si>
  <si>
    <r>
      <t>Total area of insulated wall (ft</t>
    </r>
    <r>
      <rPr>
        <vertAlign val="superscript"/>
        <sz val="10"/>
        <color theme="1"/>
        <rFont val="Calibri"/>
        <family val="2"/>
        <scheme val="minor"/>
      </rPr>
      <t>2</t>
    </r>
    <r>
      <rPr>
        <sz val="10"/>
        <color theme="1"/>
        <rFont val="Calibri"/>
        <family val="2"/>
        <scheme val="minor"/>
      </rPr>
      <t>)</t>
    </r>
  </si>
  <si>
    <r>
      <t>Total area of insulated ceiling/attic (ft</t>
    </r>
    <r>
      <rPr>
        <vertAlign val="superscript"/>
        <sz val="10"/>
        <color theme="1"/>
        <rFont val="Calibri"/>
        <family val="2"/>
        <scheme val="minor"/>
      </rPr>
      <t>2</t>
    </r>
    <r>
      <rPr>
        <sz val="10"/>
        <color theme="1"/>
        <rFont val="Calibri"/>
        <family val="2"/>
        <scheme val="minor"/>
      </rPr>
      <t>)</t>
    </r>
  </si>
  <si>
    <t xml:space="preserve">TRM deems value of 25% for wall </t>
  </si>
  <si>
    <t>TRM deems value of and 7% for attic</t>
  </si>
  <si>
    <t>Table of TRM values - part of the kWh algorithm</t>
  </si>
  <si>
    <t>ADJwallatticcool</t>
  </si>
  <si>
    <t>TRM Deems this value at 80% - this is a new factor per TRM V5</t>
  </si>
  <si>
    <r>
      <t>ADJ</t>
    </r>
    <r>
      <rPr>
        <vertAlign val="subscript"/>
        <sz val="10"/>
        <color theme="1"/>
        <rFont val="Calibri"/>
        <family val="2"/>
        <scheme val="minor"/>
      </rPr>
      <t>AtticHeat</t>
    </r>
  </si>
  <si>
    <r>
      <t>ADJ</t>
    </r>
    <r>
      <rPr>
        <vertAlign val="subscript"/>
        <sz val="10"/>
        <color theme="1"/>
        <rFont val="Calibri"/>
        <family val="2"/>
        <scheme val="minor"/>
      </rPr>
      <t>WallHeat</t>
    </r>
  </si>
  <si>
    <t>Single Family FLH</t>
  </si>
  <si>
    <t>Multi Family FLH</t>
  </si>
  <si>
    <t xml:space="preserve">2006 - 2014 </t>
  </si>
  <si>
    <t xml:space="preserve">2015 on </t>
  </si>
  <si>
    <t>For Measure Name:</t>
  </si>
  <si>
    <t>Attic</t>
  </si>
  <si>
    <t>Wall</t>
  </si>
  <si>
    <t>Other Information</t>
  </si>
  <si>
    <t>R19 %</t>
  </si>
  <si>
    <t>R 30%</t>
  </si>
  <si>
    <t>Attic Insulation (Final R19 - Baseline = R5) (Prescriptive)- Nicor Gas</t>
  </si>
  <si>
    <t>Attic Insulation (Final R38 - Baseline &lt; R19) (Prescriptive)- Nicor Gas</t>
  </si>
  <si>
    <t>Attic Insulation (Final R49 - Baseline &lt; R19) (Prescriptive)- Nicor Gas</t>
  </si>
  <si>
    <t>Attic Insulation (Final R49 - Baseline &gt; R19) (Prescriptive)- Nicor Gas</t>
  </si>
  <si>
    <t>Rim/Band Joist Insulation</t>
  </si>
  <si>
    <t>New R-value of Rim/Band Joist</t>
  </si>
  <si>
    <t>Area of Insulated Rim/Band Joist (ft2)</t>
  </si>
  <si>
    <t>R_Rim/Band Joist</t>
  </si>
  <si>
    <t>A_Rim/Band Joist</t>
  </si>
  <si>
    <t>Framing_factor_Rim/Band Joist</t>
  </si>
  <si>
    <t>ηHeat (therm algorith input)</t>
  </si>
  <si>
    <t>ADJRim/Band JoistHeat</t>
  </si>
  <si>
    <t>ADJRim/Band Joistcool</t>
  </si>
  <si>
    <t>Rim/Band Joist Insulation Rim/Band Joist: R5 to R19, Rim/Band Joist area = 100 ft, Single Family</t>
  </si>
  <si>
    <t>Rim/Band Joist Insulation Rim/Band Joist: R5 to R19, Rim/Band Joist area = 19 ft, CC Single Family</t>
  </si>
  <si>
    <t>Rim/Band Joist Insulation Rim/Band Joist: R5 to R19, Rim/Band Joist area = 107 ft, HH Single Family</t>
  </si>
  <si>
    <t>ΔkWh_cooling = (((1/R_old - 1/R_Rim/Band Joist) * A_Rim/Band Joist * (1-Framing_factor_Rim/Band Joist)) * 24 * CDD * DUA] / (1000 * ηCool)) *ADJRim/Band Joistcool</t>
  </si>
  <si>
    <t>ΔkWh_heating = ((1/R_old - 1/R_Rim/Band Joist) * A_Rim/Band Joist * (1-Framing_factor_Rim/Band Joist) * 24 * HDD) / (ηHeat * 3412) )*ADJRim/Band Joistheat*%Elecheat</t>
  </si>
  <si>
    <t>gas Furnance Heating</t>
  </si>
  <si>
    <t>ΔTherms = (((1/R_old - 1/R_Rim/Band Joist) * A_Rim/Band Joist * (1-Framing_factor_Rim/Band Joist)) * 24 * HDD) / (ηHeat * 100,000 Btu/therm)*ADJRim/Band JoistHeat*%Gasheat</t>
  </si>
  <si>
    <t>TRM Calculation</t>
  </si>
  <si>
    <t xml:space="preserve">TRM Provides a claculation where: ΔkWh_cooling = [((1/R_old - 1/R_wall) * A_wall * (1-Framing_factor_wall) + (1/R_old - 1/R_Rim/Band Joist) * A_Rim/Band Joist * (1-Framing_factor_Rim/Band Joist)) * 24 * CDD * DUA] / (1000 * ηCool) </t>
  </si>
  <si>
    <t xml:space="preserve">TRM provides a calculatioin where ΔkWh_heating = [(1/R_old - 1/R_wall) * A_wall * (1-Framing_factor) * ADJwall) + (1/R_old - 1/R_Rim/Band Joist) * A_Rim/Band Joist * (1-Framing_factor_Rim/Band Joist) * ADJRim/Band Joist) * 24 * HDD] / (ηHeat * 3412) </t>
  </si>
  <si>
    <t>N/A - how is this collected</t>
  </si>
  <si>
    <t>Required- Actual</t>
  </si>
  <si>
    <t>R-value of new Rim/Band Joist assembly (including all layers between inside air and outside air)</t>
  </si>
  <si>
    <t>Total area of insulated ceiling/Rim/Band Joist (ft2)</t>
  </si>
  <si>
    <t>Framing_factor_rim</t>
  </si>
  <si>
    <t>N/A - based on wall/Rim/Band Joist</t>
  </si>
  <si>
    <t>TRM Deemed based on look up table for location</t>
  </si>
  <si>
    <t>N/A - based on Zip Code</t>
  </si>
  <si>
    <t>Required Actual</t>
  </si>
  <si>
    <t>Table of lookup values for kWh equation</t>
  </si>
  <si>
    <t>updated the nheat value for system type heat pump 2015 on from 2.4 to 2.04.</t>
  </si>
  <si>
    <t>Per VEIC to account for distribution system efficiency losses. This does not affect therms</t>
  </si>
  <si>
    <t>Use actual</t>
  </si>
  <si>
    <t>ADJBasementCool</t>
  </si>
  <si>
    <t>Adjustment for cooling savings from basement wall and rim/band joist insulation to account for prescriptive engineering algorithms overclaiming savings</t>
  </si>
  <si>
    <t>TRM Deems this value at 80% - this is a new factor per TRM V7</t>
  </si>
  <si>
    <t>ADJBasementElectricHeat</t>
  </si>
  <si>
    <t>Adjustment for basement wall and rim/band joist insulation to account for prescriptive engineering algorithms overclaiming savings.</t>
  </si>
  <si>
    <t>60% as proposed in TRM V7</t>
  </si>
  <si>
    <t>ADJRim/Band JoistHeatFan</t>
  </si>
  <si>
    <t>Adjustment for fan savings to account for inaccuracies in engineering algorithms</t>
  </si>
  <si>
    <t>107% as proposed in TRM V7</t>
  </si>
  <si>
    <t>N/A - is this collected</t>
  </si>
  <si>
    <t>Conditioned HDD 60</t>
  </si>
  <si>
    <t>Unconditioned CDD 75</t>
  </si>
  <si>
    <t>Unconditioned HDD 50</t>
  </si>
  <si>
    <t>Rim/Band Joist</t>
  </si>
  <si>
    <t>Rim/Band Joist Insulation (Final R19 - Baseline = R5) (Prescriptive)- Nicor Gas</t>
  </si>
  <si>
    <t>Rim/Band Joist Insulation (Final R38 - Baseline &lt; R19) (Prescriptive)- Nicor Gas</t>
  </si>
  <si>
    <t>Rim/Band Joist Insulation (Final R49 - Baseline &lt; R19) (Prescriptive)- Nicor Gas</t>
  </si>
  <si>
    <t>Rim/Band Joist Insulation (Final R49 - Baseline &gt; R19) (Prescriptive)- Nicor Gas</t>
  </si>
  <si>
    <t>5.6.6.10</t>
  </si>
  <si>
    <t>Electric savings</t>
  </si>
  <si>
    <t>Energy Engine Historical Data - IQ Single Family (Combined CAA and CC Channels</t>
  </si>
  <si>
    <t>Scenario Name</t>
  </si>
  <si>
    <t>Private Participation</t>
  </si>
  <si>
    <t>VariableCostIdentifier</t>
  </si>
  <si>
    <t>Program Acronym</t>
  </si>
  <si>
    <t>IQ</t>
  </si>
  <si>
    <t>PropertySector</t>
  </si>
  <si>
    <t>All</t>
  </si>
  <si>
    <t>Project Type</t>
  </si>
  <si>
    <t>Values</t>
  </si>
  <si>
    <t>CalendarYear</t>
  </si>
  <si>
    <t>Sum of Quantity</t>
  </si>
  <si>
    <t>Sum of ActualProgramDollarCost</t>
  </si>
  <si>
    <t>Sum of GrossAnnualThermSavings</t>
  </si>
  <si>
    <t>Sum of IncrementalCost</t>
  </si>
  <si>
    <t>Total Count of Project</t>
  </si>
  <si>
    <t>Total Sum of Quantity</t>
  </si>
  <si>
    <t>Total Sum of ActualProgramDollarCost</t>
  </si>
  <si>
    <t>Total Sum of GrossAnnualThermSavings</t>
  </si>
  <si>
    <t>Total Sum of IncrementalCost</t>
  </si>
  <si>
    <t>MeasureGroupName</t>
  </si>
  <si>
    <t>2018</t>
  </si>
  <si>
    <t>2019</t>
  </si>
  <si>
    <t>2020</t>
  </si>
  <si>
    <t>Quantity Per Project</t>
  </si>
  <si>
    <t>UOM</t>
  </si>
  <si>
    <t>Incentive/Quantity</t>
  </si>
  <si>
    <t>Incentive/Project</t>
  </si>
  <si>
    <t>Gross therms/Project</t>
  </si>
  <si>
    <t>Attic Insulation</t>
  </si>
  <si>
    <t>Sq Ft/Project</t>
  </si>
  <si>
    <t>Basement/Sidewall Insulation</t>
  </si>
  <si>
    <t>Energy Engine Historical Data - IQ Single Family (Gas Only CAA SF and CC Channel SF)</t>
  </si>
  <si>
    <t>JointProject</t>
  </si>
  <si>
    <t>Therms/Qty</t>
  </si>
  <si>
    <t>Energy Engine Historical Data - IQ Multi Family</t>
  </si>
  <si>
    <t>Public Housing</t>
  </si>
  <si>
    <t>CFM/Project</t>
  </si>
  <si>
    <t>Contractor Channel MF</t>
  </si>
  <si>
    <t>Base Window</t>
  </si>
  <si>
    <t>Window Area</t>
  </si>
  <si>
    <t>CS_cz</t>
  </si>
  <si>
    <t>CFSSP</t>
  </si>
  <si>
    <t>GHS_cz</t>
  </si>
  <si>
    <t>Single Pane Base Window</t>
  </si>
  <si>
    <t>ELECTRIC ENERGY SAVINGS</t>
  </si>
  <si>
    <t>∆kWh=∆kWh_cooling + ∆kWh_heatingElectric + ∆kWh_heatingGas</t>
  </si>
  <si>
    <t>∆kWh_cooling= CS_cz * Area_window</t>
  </si>
  <si>
    <t>∆kWh_heatingElectric= EHS_cz * Area_window</t>
  </si>
  <si>
    <t>∆kWh_heatingGas= ∆Therms *  F_e * 29.3</t>
  </si>
  <si>
    <t>∆kW=(∆kWh_cooling/FLH_cooling )*CF</t>
  </si>
  <si>
    <t>The baseline condition is an existing single-pane or double-pane window with clear glass and any frame type: metal, vinyl, or wood.</t>
  </si>
  <si>
    <t xml:space="preserve">The incremental cost for this measure is $7.85 per square foot material cost. Applications using professional window installers should include an additional $30 per window installation cost; Each window is 12 square feet </t>
  </si>
  <si>
    <t xml:space="preserve">CFSSP </t>
  </si>
  <si>
    <t xml:space="preserve">Summer System Peak Coincidence Factor for Central A/C (during utility peak hour) </t>
  </si>
  <si>
    <t xml:space="preserve">CFSSP  </t>
  </si>
  <si>
    <t>Summer System Peak Coincidence Factor for Heat Pumps (during System Peak hour)</t>
  </si>
  <si>
    <t>CFPJM  </t>
  </si>
  <si>
    <t>PJM Summer Peak Coincidence Factor for Central A/C (average during PJM peak period)</t>
  </si>
  <si>
    <t>Annual cooling savings per area of window by climate zone, see table below.</t>
  </si>
  <si>
    <t>Double Pane Base Window</t>
  </si>
  <si>
    <r>
      <t>(kWh/ft</t>
    </r>
    <r>
      <rPr>
        <b/>
        <vertAlign val="superscript"/>
        <sz val="10"/>
        <color rgb="FFFFFFFF"/>
        <rFont val="Calibri"/>
        <family val="2"/>
      </rPr>
      <t>2</t>
    </r>
    <r>
      <rPr>
        <b/>
        <sz val="10"/>
        <color rgb="FFFFFFFF"/>
        <rFont val="Calibri"/>
        <family val="2"/>
      </rPr>
      <t>)</t>
    </r>
  </si>
  <si>
    <t>EHS_cz</t>
  </si>
  <si>
    <t>Annual electric heating savings per area of window by climate zone, see table below.</t>
  </si>
  <si>
    <t>Electric Resistance Heat</t>
  </si>
  <si>
    <t>F_e</t>
  </si>
  <si>
    <t>Full load hours of air conditioning based on climate zone.</t>
  </si>
  <si>
    <t>Dependent on location</t>
  </si>
  <si>
    <t>Annual gas heating savings per area of window by climate zone, see table below.</t>
  </si>
  <si>
    <r>
      <t>(therms/ft</t>
    </r>
    <r>
      <rPr>
        <b/>
        <vertAlign val="superscript"/>
        <sz val="10"/>
        <color rgb="FFFFFFFF"/>
        <rFont val="Calibri"/>
        <family val="2"/>
      </rPr>
      <t>2</t>
    </r>
    <r>
      <rPr>
        <b/>
        <sz val="10"/>
        <color rgb="FFFFFFFF"/>
        <rFont val="Calibri"/>
        <family val="2"/>
      </rPr>
      <t>)</t>
    </r>
  </si>
  <si>
    <t xml:space="preserve">Measure Assumptions </t>
  </si>
  <si>
    <t>Water Savings (Gallons / YR)</t>
  </si>
  <si>
    <t>Measure Code: 5.4.4</t>
  </si>
  <si>
    <t>1.5gpm Shower Head</t>
  </si>
  <si>
    <t>Measure Code: 5.4.5</t>
  </si>
  <si>
    <t>1.0gpm Bath Aerator</t>
  </si>
  <si>
    <t>Measure Code: 5.4.6</t>
  </si>
  <si>
    <t>Measure Code: 5.4.9</t>
  </si>
  <si>
    <t>1.5gpm Kitchen Aerator</t>
  </si>
  <si>
    <t>TRM V.9</t>
  </si>
  <si>
    <t>Recommended TRM ISRs for Efficiency Kits</t>
  </si>
  <si>
    <t>Showerheads (Kit 1)</t>
  </si>
  <si>
    <t>Showerheads (Kit 2)</t>
  </si>
  <si>
    <t>Kitchen Aerators (Kits 1&amp;2)</t>
  </si>
  <si>
    <t>Bathroom Aerators (Kits 1 &amp; 2)</t>
  </si>
  <si>
    <t>1.5gpm Bath Aerator</t>
  </si>
  <si>
    <t>Kit 5 Assumptions 2019 ComEd Evaluaiton</t>
  </si>
  <si>
    <t>Kit 5 IQ Joint Bath-Kitchen Aerators Only</t>
  </si>
  <si>
    <t>Kit 5 IQ ComEd</t>
  </si>
  <si>
    <t>HEA Kit for Single Family</t>
  </si>
  <si>
    <t>Gross Therms</t>
  </si>
  <si>
    <t>Lifetime Years</t>
  </si>
  <si>
    <t>Lifecycle Savings</t>
  </si>
  <si>
    <t>Weather Stripping  5.6.1.21 Weather Stripping</t>
  </si>
  <si>
    <t>Feet</t>
  </si>
  <si>
    <t>Door  Sweep  5.6.1.20</t>
  </si>
  <si>
    <t>Door Sweep</t>
  </si>
  <si>
    <t>Shower Timer  5.4.9.3</t>
  </si>
  <si>
    <t>Timer</t>
  </si>
  <si>
    <t>Other Weatherization Kits</t>
  </si>
  <si>
    <t>Postage</t>
  </si>
  <si>
    <t>Incremental cost</t>
  </si>
  <si>
    <t>Net Therm</t>
  </si>
  <si>
    <t>EEE Kit Incremental Cost Assumptions</t>
  </si>
  <si>
    <t>Lowered Water Heater</t>
  </si>
  <si>
    <t>Spend</t>
  </si>
  <si>
    <t>Total kits</t>
  </si>
  <si>
    <t>Inc Cost</t>
  </si>
  <si>
    <t>Month Participation</t>
  </si>
  <si>
    <t>Nicor</t>
  </si>
  <si>
    <t>Nicor/Com Ed</t>
  </si>
  <si>
    <t>EEE</t>
  </si>
  <si>
    <t>EEE Gas only</t>
  </si>
  <si>
    <t>PY5 Plan Participation</t>
  </si>
  <si>
    <t>Elementary Education Kit - Planning Values SF</t>
  </si>
  <si>
    <t>Therm Savings (PY4 - 6)</t>
  </si>
  <si>
    <t>Measure Life (PY4 - 6)</t>
  </si>
  <si>
    <t>Net to Gross Ratio (PY4 - 6)</t>
  </si>
  <si>
    <t>Water Heater Setback</t>
  </si>
  <si>
    <t>PY2 Evaluation Table 7‑2. Additional In Service Rates for Efficiency Kits</t>
  </si>
  <si>
    <t>Requested Kit</t>
  </si>
  <si>
    <t>Not Requested Kit</t>
  </si>
  <si>
    <t>Showerheads</t>
  </si>
  <si>
    <t>Kitchen Aerators</t>
  </si>
  <si>
    <t>Bathroom Aerators</t>
  </si>
  <si>
    <t>Kits Algorithms</t>
  </si>
  <si>
    <t>Showerhead Therm Algorithm</t>
  </si>
  <si>
    <t>Showerhead Water Gallon Algorithm - 1.5 gpm</t>
  </si>
  <si>
    <t>Efficient SF</t>
  </si>
  <si>
    <t>Efficient MF</t>
  </si>
  <si>
    <t>Calculated Therms for Showerhead Kit 1</t>
  </si>
  <si>
    <t>Calculated Therms for Showerhead Kit 2</t>
  </si>
  <si>
    <t>Calculated Gallons for Showerhead Kit 1</t>
  </si>
  <si>
    <t>Calculated Gallons for Showerhead Kit 2</t>
  </si>
  <si>
    <t>Variable</t>
  </si>
  <si>
    <t>Value Used in Calculation</t>
  </si>
  <si>
    <t>Definition and Notes</t>
  </si>
  <si>
    <t>Where:</t>
  </si>
  <si>
    <t xml:space="preserve">%FossilDHW - </t>
  </si>
  <si>
    <t xml:space="preserve">GPM_Base </t>
  </si>
  <si>
    <t>GPM_Low</t>
  </si>
  <si>
    <t>As-used flow rate of the low-flow showerhead, which may, as a result of measurements of program evaluations deviate from rated flows, see table below:</t>
  </si>
  <si>
    <t>L_Low</t>
  </si>
  <si>
    <t>Household SF</t>
  </si>
  <si>
    <t>Average number of people per household SF</t>
  </si>
  <si>
    <t>Household MF</t>
  </si>
  <si>
    <t>Average number of people per household MF</t>
  </si>
  <si>
    <t>Showers Per Capita Per Day - Deemed TRM Value</t>
  </si>
  <si>
    <t>SPH SF</t>
  </si>
  <si>
    <t>Showerheads Per Household so that per-showerhead savings fractions can be determined</t>
  </si>
  <si>
    <t>SPH MF</t>
  </si>
  <si>
    <t>EPG_gas SF</t>
  </si>
  <si>
    <t>Energy per gallon of Hot water supplied by gas SF</t>
  </si>
  <si>
    <t>8.33*1.0*(ShowerTemp-SupplyTemp))/(RE_gas*100000)</t>
  </si>
  <si>
    <t>EPG_gas MF</t>
  </si>
  <si>
    <t>Energy per gallon of Hot water supplied by gas MF</t>
  </si>
  <si>
    <t>RE_gas</t>
  </si>
  <si>
    <t>Bath Aerator Therm Algorithm</t>
  </si>
  <si>
    <t>Bath Aerator Water Gallon Algorithm</t>
  </si>
  <si>
    <t>Calculated Therms for Bath Aerator - 1.0 GPM</t>
  </si>
  <si>
    <t>Calculated Gallons for Bath Aerator - 1.0 GPM</t>
  </si>
  <si>
    <t>Average flow rate, in gallons per minute, of the baseline faucet “as-used.” This includes the effect of existing low flow fixtures and therefore the freerider rate for this measure should be 0.</t>
  </si>
  <si>
    <t>Average baseline daily length faucet use per capita for faucet of interest in minutes, if available custom based on metering studies, if not use table below</t>
  </si>
  <si>
    <t>Average retrofit daily length faucet use per capita for faucet of interest in minutes, if available custom based on metering studies, if not use table below</t>
  </si>
  <si>
    <t>Average number of people per household</t>
  </si>
  <si>
    <t>Drain Factor based on deemed TRM values</t>
  </si>
  <si>
    <t>FPH SF</t>
  </si>
  <si>
    <t>FPH MF</t>
  </si>
  <si>
    <t>8.33*1.0*(WaterTemp-SupplyTemp))/(RE_gas*100000)</t>
  </si>
  <si>
    <t>Kitchen Aerator Therm Algorithm</t>
  </si>
  <si>
    <t>Kitchen Aerator Water Gallon Algorithm</t>
  </si>
  <si>
    <t>Calculated Therms for Kitchen Aerator - 1.5 gpm</t>
  </si>
  <si>
    <t>Calculated Gallons for Kitchen Aerator - 1.5 gpm</t>
  </si>
  <si>
    <t>Shower Timer Algorithm</t>
  </si>
  <si>
    <t>∆Therms = %FossilDHW * GPM * (L_base – L_timer) * Household * Days/yr * SPCD * UsageFactor * EPG_Gas</t>
  </si>
  <si>
    <t xml:space="preserve">∆Gallons = GPM * (L_base – L_timer) * Household * Days/yr * SPCD * UsageFactor </t>
  </si>
  <si>
    <t>Calculated Therms for Shower timer</t>
  </si>
  <si>
    <t>Calculated Gallongs for Shower timer</t>
  </si>
  <si>
    <t>Custom, to be determined through evaluation. If data is not available use 1.93</t>
  </si>
  <si>
    <t>L_Base</t>
  </si>
  <si>
    <t>Number of minutes in shower without a shower timer; TRM Deemed at 7.8 minutes</t>
  </si>
  <si>
    <t>Number of minutes in shower after shower timer; Custom, to be determined through evaluation. If data is not available, use 5.79</t>
  </si>
  <si>
    <t>Number in household using timer; based on household Type; SF, use 2.56, MF,use 2.1, Custom, actual occupancy or number of bedrooms</t>
  </si>
  <si>
    <t>TRM Defined at 365.25</t>
  </si>
  <si>
    <t>Showers per capita per day; TRM Deemed at 0.6</t>
  </si>
  <si>
    <t>how often each participant is using shower timer. Custom, to be determined through evaluation. If data is not available use 0.34</t>
  </si>
  <si>
    <t>EPG_Gas SF</t>
  </si>
  <si>
    <t>Energy per gallon of Hot water supplied by gas; .00537 therm/gal for SF homes and 0.00625 therm/gal for MF homes</t>
  </si>
  <si>
    <t>EPG_Gas MF</t>
  </si>
  <si>
    <t>Deemed Value per the TRM</t>
  </si>
  <si>
    <t>Table 16 Showerhead custom and Deemed Values - PY2019 Draft Evaluation</t>
  </si>
  <si>
    <t>Elementary Ed Kits Algorithms</t>
  </si>
  <si>
    <t>Value,</t>
  </si>
  <si>
    <t xml:space="preserve">Value, </t>
  </si>
  <si>
    <t>Deemed/ Custom</t>
  </si>
  <si>
    <t>Discrepancy?</t>
  </si>
  <si>
    <t>Navigant</t>
  </si>
  <si>
    <t>Nicor Gas</t>
  </si>
  <si>
    <t>Showerhead Therm Algorithm - 1.5 GPM</t>
  </si>
  <si>
    <t xml:space="preserve">Survey - HCU6 </t>
  </si>
  <si>
    <t>IL TRM 5.4.5</t>
  </si>
  <si>
    <t>Deemed</t>
  </si>
  <si>
    <t>-</t>
  </si>
  <si>
    <t>Showerhead Water Gallon Algorithm - 1.5 GPM</t>
  </si>
  <si>
    <t>Specifications</t>
  </si>
  <si>
    <t>Calculated Therms for Showerhead</t>
  </si>
  <si>
    <t>Days/year</t>
  </si>
  <si>
    <t>Calculated Gallons for Showerhead</t>
  </si>
  <si>
    <t>Survey - HCU2</t>
  </si>
  <si>
    <t>SF Value Calculations</t>
  </si>
  <si>
    <t>MF Value Calculations</t>
  </si>
  <si>
    <t>proportion of water heating supplied by Natural Gas heating; using the PY5 draft evaluation Navigant value</t>
  </si>
  <si>
    <t>EPG_Gas_SF</t>
  </si>
  <si>
    <t>EPG_Gas_MF</t>
  </si>
  <si>
    <t>Average number of people per household; note using the number provided for Elem Ed Kits; Using the Value for TRM Custom input provided by PY2020 evaluation Guidehouse Value</t>
  </si>
  <si>
    <t>ISR SF</t>
  </si>
  <si>
    <t>Survey - HA1</t>
  </si>
  <si>
    <t>ISR MF</t>
  </si>
  <si>
    <t>%SF</t>
  </si>
  <si>
    <t xml:space="preserve">Survey - HCU1 </t>
  </si>
  <si>
    <t>Showerheads Per Household so that per-showerhead savings fractions can be determined; Navigant Value for SF and MF</t>
  </si>
  <si>
    <t>%MF</t>
  </si>
  <si>
    <t>Energy per gallon of Hot water supplied by gas; Values differ from SF and MF</t>
  </si>
  <si>
    <t>Table 18 Bathroom Aerators custom and Deemed Values - PY2019 Draft Evaluation</t>
  </si>
  <si>
    <t>ISR from PY2020 Evaluation - Guidehouse Value for SF and MF respectively</t>
  </si>
  <si>
    <t xml:space="preserve">Value, Navigant </t>
  </si>
  <si>
    <t>PY2021</t>
  </si>
  <si>
    <t>IL TRM 5.4.4</t>
  </si>
  <si>
    <t xml:space="preserve">Efficient 1 SF </t>
  </si>
  <si>
    <t>Efficient Both SF</t>
  </si>
  <si>
    <t xml:space="preserve">Efficient 1 MF </t>
  </si>
  <si>
    <t>Efficient Both MF</t>
  </si>
  <si>
    <t>Calculated Therms for Bath Aerator</t>
  </si>
  <si>
    <t>Calculated Gallons for Bath Aerator</t>
  </si>
  <si>
    <t>SF Value Used in Calculation</t>
  </si>
  <si>
    <t>MF Value Used in Calculation</t>
  </si>
  <si>
    <t>BFPH - SF</t>
  </si>
  <si>
    <t>BFPH - MF</t>
  </si>
  <si>
    <t>EPG_gas_SF</t>
  </si>
  <si>
    <t>Average number of people per household; note using the number provided for Elem Ed Kits; Using the Value provided by PY2020 draft evaluation Navigant Value</t>
  </si>
  <si>
    <t>EPG_gas_MF</t>
  </si>
  <si>
    <t>ISR SF, installed one</t>
  </si>
  <si>
    <t>Survey - HA2</t>
  </si>
  <si>
    <t>ISR MF, installed one</t>
  </si>
  <si>
    <t>ISR SF, installed both</t>
  </si>
  <si>
    <t>ISR MF, installed both</t>
  </si>
  <si>
    <t>ISR from PY5 Draft Evaluation - Navigant Value for ISRF SF installed 1</t>
  </si>
  <si>
    <t>ISR from PY5 Draft Evaluation - Navigant Value for ISRF SF installed both</t>
  </si>
  <si>
    <t>Table 17 Kitchen Aerators custom and Deemed Values - PY2019 Draft Evaluation</t>
  </si>
  <si>
    <t>Calculated Therms for Kitchen Aerator</t>
  </si>
  <si>
    <t>Calculated Gallons for Kitchen Aerator</t>
  </si>
  <si>
    <t>proportion of water heating supplied by Natural Gas heating; using the 2019 draft evaluation Navigant value</t>
  </si>
  <si>
    <t>KFPH</t>
  </si>
  <si>
    <t>Average number of people per household; note using the number provided for Elem Ed Kits; Using the Value provided by PY5 draft evaluation Navigant Value</t>
  </si>
  <si>
    <t>Table 19 Hot Water Temperature Setback custom and Deemed Values - PY2019 Draft Evaluation</t>
  </si>
  <si>
    <t>Table 7-4 Shower Timer Inputs and Variables</t>
  </si>
  <si>
    <t>Value, Navigant</t>
  </si>
  <si>
    <t>Notes on values</t>
  </si>
  <si>
    <t xml:space="preserve">ISR from PY2019 Draft Evaluation - Navigant Value </t>
  </si>
  <si>
    <t>%FossilDHW (natural gas)</t>
  </si>
  <si>
    <t>Calculated from reported values on the NTG survey, this factor adjusts for shower timers that were distributed to houses with electric water heaters.</t>
  </si>
  <si>
    <t>IL TRM 5.4.6</t>
  </si>
  <si>
    <t>Water Flow (GPM)</t>
  </si>
  <si>
    <t>Based on findings of Nicor Gas Elementary Education GPY4 Joint Evaluation Report</t>
  </si>
  <si>
    <t>Water heater Setback Algorithm</t>
  </si>
  <si>
    <t>Baseline Shower Time, minutes</t>
  </si>
  <si>
    <t>Assumed value from TRM v4.0</t>
  </si>
  <si>
    <t>(Tpre-Tpost)</t>
  </si>
  <si>
    <t>Survey - HA8/HA9</t>
  </si>
  <si>
    <t xml:space="preserve">EEM Shower Time, minutes </t>
  </si>
  <si>
    <t>Household Users</t>
  </si>
  <si>
    <t>Calculated Therms for WHSetback</t>
  </si>
  <si>
    <t>Btu/therm</t>
  </si>
  <si>
    <t>Overall heat transfer coefficient of tank (Btu/Hr-°F-ft2). Actual if knonw,if unknown assumr R-12, U=0.083</t>
  </si>
  <si>
    <t>RE_gas SF</t>
  </si>
  <si>
    <t>Showers per capita per day. Assumed value from TRM v4.0</t>
  </si>
  <si>
    <t>Surface area of storage tank (square feet); Actual if known. If unknown use table below based on capacity of tank. If capacity unknown assume 50 gal tank; A = 24.99ft2</t>
  </si>
  <si>
    <t>RE_gas MF</t>
  </si>
  <si>
    <t xml:space="preserve">Usage Factor </t>
  </si>
  <si>
    <t xml:space="preserve">From PY2019 Draft Evaluation - Navigant Value </t>
  </si>
  <si>
    <t>EPG_Gas</t>
  </si>
  <si>
    <t>Converts Btus to Therms</t>
  </si>
  <si>
    <t>Recovery efficiency of gas water heater; 78% For SF Homes, 67% for MF Homes</t>
  </si>
  <si>
    <t>Value given by Evaluator from PY5 evaluation draft</t>
  </si>
  <si>
    <t>Table 20 Shower Timer custom and Deemed Values - PY2019 Draft Evaluation</t>
  </si>
  <si>
    <t>Survey - HCU4</t>
  </si>
  <si>
    <t>GPM_SF</t>
  </si>
  <si>
    <t>GPM_MF</t>
  </si>
  <si>
    <t>IL TRM 5.4.9</t>
  </si>
  <si>
    <t xml:space="preserve">Deemed </t>
  </si>
  <si>
    <t>Custom, to be determined through evaluation. If data is not available use 1.93; Current value is based on Navigant PY5 evaluation</t>
  </si>
  <si>
    <t>L_timer_SF</t>
  </si>
  <si>
    <t>Survey - HA9, HA10</t>
  </si>
  <si>
    <t>Tables for Algorithm Inputs - Bath Aerator and Kitchen Aerator</t>
  </si>
  <si>
    <t>Household_SF</t>
  </si>
  <si>
    <t>Survey - HA8</t>
  </si>
  <si>
    <t>Number of minutes in shower after shower timer; Custom, to be determined through evaluation. If data is not available, use 5.79; Value per PY5 Draft evaluation</t>
  </si>
  <si>
    <t>UsageFactor_SF</t>
  </si>
  <si>
    <t>Survey - HA7</t>
  </si>
  <si>
    <t>Number in household using timer; based on household Type; SF, use 2.56, MF,use 2.1, Custom, actual occupancy or number of bedrooms; Value per PY5 Draft evaluation</t>
  </si>
  <si>
    <t>Single-Family - Deemed</t>
  </si>
  <si>
    <t>L_timer_MF</t>
  </si>
  <si>
    <t>Multi-Family - Deemed</t>
  </si>
  <si>
    <t>Household_MF</t>
  </si>
  <si>
    <t>UsageFactor_MF</t>
  </si>
  <si>
    <t>how often each participant is using shower timer. Custom, to be determined through evaluation. If data is not available use 0.34; Value per PY5 Draft evaluation</t>
  </si>
  <si>
    <t>Survey - HCU3</t>
  </si>
  <si>
    <t>Energy per gallon of Hot water supplied by gas; .00501 therm/gal for SF homes and 0.00583 therm/gal for MF homes</t>
  </si>
  <si>
    <t>Deemed TRM</t>
  </si>
  <si>
    <t>Tables for Algorithm Inputs - Shower Head</t>
  </si>
  <si>
    <t>Custom / Measured during DI</t>
  </si>
  <si>
    <t>=Measured full throttle flow *0.83 Throttling Factor</t>
  </si>
  <si>
    <t>=Measured full throttle flow *0.95 Throttling Factor</t>
  </si>
  <si>
    <t>Single Family Bath</t>
  </si>
  <si>
    <t>Single Family Kitchen</t>
  </si>
  <si>
    <t>L_base (min/person/day)</t>
  </si>
  <si>
    <t>Single Family Unknown</t>
  </si>
  <si>
    <t>Multi Family Bath</t>
  </si>
  <si>
    <t>Direct-Install</t>
  </si>
  <si>
    <t>Bathroom</t>
  </si>
  <si>
    <t>Multi Family Kitchen</t>
  </si>
  <si>
    <t>Retrofit or TOS</t>
  </si>
  <si>
    <t>If location unknown (total for household): Single Family</t>
  </si>
  <si>
    <t>Multi Family Unknown</t>
  </si>
  <si>
    <t>If location unknown (total for household): Multi Family</t>
  </si>
  <si>
    <t>Rated Flow</t>
  </si>
  <si>
    <t>L_low (min/person/day)</t>
  </si>
  <si>
    <t>Kitchen Faucets per Home (KFPH)</t>
  </si>
  <si>
    <t>Bathroom Faucets per Home (BFPH) Single Family</t>
  </si>
  <si>
    <t>Bathroom Faucets per Home (BFPH) Multi Family</t>
  </si>
  <si>
    <t>L_Base and L_Low Table</t>
  </si>
  <si>
    <t>L_Base TRM Deemed Value</t>
  </si>
  <si>
    <t>Minutes</t>
  </si>
  <si>
    <t>L_Low TRM Deemed Value</t>
  </si>
  <si>
    <t>PY4 Evaluation Table 4</t>
  </si>
  <si>
    <t>ISR From PY4 Evaluation</t>
  </si>
  <si>
    <t>Kitchen Aerators (Kits 1 &amp; 2)</t>
  </si>
  <si>
    <t>Tables for Algorithm Inputs - Waterheater Setback</t>
  </si>
  <si>
    <t>Input table for A - the surface area of storage tank</t>
  </si>
  <si>
    <r>
      <t>A (ft</t>
    </r>
    <r>
      <rPr>
        <vertAlign val="superscript"/>
        <sz val="11"/>
        <color theme="1"/>
        <rFont val="Calibri"/>
        <family val="2"/>
        <scheme val="minor"/>
      </rPr>
      <t>2</t>
    </r>
    <r>
      <rPr>
        <sz val="11"/>
        <color theme="1"/>
        <rFont val="Calibri"/>
        <family val="2"/>
        <scheme val="minor"/>
      </rPr>
      <t>)</t>
    </r>
  </si>
  <si>
    <t>Residential New Construction Measures</t>
  </si>
  <si>
    <t>kWh Savings</t>
  </si>
  <si>
    <t>Base Measure Package</t>
  </si>
  <si>
    <t>HE Measure Package</t>
  </si>
  <si>
    <t>Prescriptive Measure Package</t>
  </si>
  <si>
    <t>TRM V. 9</t>
  </si>
  <si>
    <t>Baseline Unit</t>
  </si>
  <si>
    <t>Improved Unit</t>
  </si>
  <si>
    <t>TRM Reference</t>
  </si>
  <si>
    <t>Code sealing</t>
  </si>
  <si>
    <t>2CFM/100sf CFA</t>
  </si>
  <si>
    <t>HE Boiler</t>
  </si>
  <si>
    <t>82% AFUE</t>
  </si>
  <si>
    <t>95% AFUE</t>
  </si>
  <si>
    <t>HE Furnace</t>
  </si>
  <si>
    <t>80% AFUE</t>
  </si>
  <si>
    <t>Advanced T-Stat</t>
  </si>
  <si>
    <t>Tier 3</t>
  </si>
  <si>
    <t>Water Heater</t>
  </si>
  <si>
    <t>0.64 UEF</t>
  </si>
  <si>
    <t>0.72 UEF</t>
  </si>
  <si>
    <t>Envelope Sealing</t>
  </si>
  <si>
    <t>2.5 ACH50</t>
  </si>
  <si>
    <t>Duct Sealing:</t>
  </si>
  <si>
    <t xml:space="preserve">DeltaCFM25 = </t>
  </si>
  <si>
    <t>150 CFM25 - 75 CFM25 = 75 CFM25</t>
  </si>
  <si>
    <t xml:space="preserve">InputCapacityHeat = </t>
  </si>
  <si>
    <t>72,000 btu</t>
  </si>
  <si>
    <t xml:space="preserve">FLHheat = </t>
  </si>
  <si>
    <t xml:space="preserve">TRFheat = </t>
  </si>
  <si>
    <t>0.4 (semi-conditioned space)</t>
  </si>
  <si>
    <t xml:space="preserve">% gas heat = </t>
  </si>
  <si>
    <t xml:space="preserve">nEquipment = </t>
  </si>
  <si>
    <t>92% for baseline package, 95% for HE package</t>
  </si>
  <si>
    <t>Assumptions:</t>
  </si>
  <si>
    <t>4CFM25/100sf CFA = Code baseline</t>
  </si>
  <si>
    <t>2CFM25/100sf CFM = Improved sealing</t>
  </si>
  <si>
    <t>3750 sf average home from 2019 RNC program data</t>
  </si>
  <si>
    <t>HE Boiler:</t>
  </si>
  <si>
    <t xml:space="preserve">EFLH = </t>
  </si>
  <si>
    <t>976 (Chicago)</t>
  </si>
  <si>
    <t xml:space="preserve">CAPInput = </t>
  </si>
  <si>
    <t>100,000 btu/h</t>
  </si>
  <si>
    <t>AFUE(base) =</t>
  </si>
  <si>
    <t>0.82 AFUE</t>
  </si>
  <si>
    <t xml:space="preserve">AFUE(eff) = </t>
  </si>
  <si>
    <t>0.95 AFUE</t>
  </si>
  <si>
    <t>HE Furnace:</t>
  </si>
  <si>
    <t>72,000 btu/h</t>
  </si>
  <si>
    <t>0.80 AFUE</t>
  </si>
  <si>
    <t xml:space="preserve">Derating(base) = </t>
  </si>
  <si>
    <t xml:space="preserve">Derating(eff) = </t>
  </si>
  <si>
    <t>Advanced Thermostat:</t>
  </si>
  <si>
    <t xml:space="preserve">%FossilHeat = </t>
  </si>
  <si>
    <t xml:space="preserve">Gas_Heating_Consumption = </t>
  </si>
  <si>
    <t>1005 (Chicago)</t>
  </si>
  <si>
    <t xml:space="preserve">Heating_Reduction = </t>
  </si>
  <si>
    <t xml:space="preserve">HF = </t>
  </si>
  <si>
    <t>100% (single family)</t>
  </si>
  <si>
    <t xml:space="preserve">Eff_ISR = </t>
  </si>
  <si>
    <t>100% (photo documentation)</t>
  </si>
  <si>
    <t>Power Vent Water Heater:</t>
  </si>
  <si>
    <t>UEFbase =</t>
  </si>
  <si>
    <t xml:space="preserve">UEFeff = </t>
  </si>
  <si>
    <t xml:space="preserve">GPD = </t>
  </si>
  <si>
    <t xml:space="preserve">Household = </t>
  </si>
  <si>
    <t>2.56 (single family)</t>
  </si>
  <si>
    <t xml:space="preserve">yWater = </t>
  </si>
  <si>
    <t xml:space="preserve">Tout = </t>
  </si>
  <si>
    <t xml:space="preserve">Tin = </t>
  </si>
  <si>
    <t>Envelope Sealing:</t>
  </si>
  <si>
    <t xml:space="preserve">CFM50_existing = </t>
  </si>
  <si>
    <t>2125 (4 ACH50 for 2019 RNC average home)</t>
  </si>
  <si>
    <t xml:space="preserve">CFM50_new = </t>
  </si>
  <si>
    <t>1328 (2.5 ACH50 for 2019 RNC average home)</t>
  </si>
  <si>
    <t xml:space="preserve">N_Heat = </t>
  </si>
  <si>
    <t>19.4 (Chicago, 2 story)</t>
  </si>
  <si>
    <t xml:space="preserve">HDD = </t>
  </si>
  <si>
    <t>5113 (Chicago)</t>
  </si>
  <si>
    <t xml:space="preserve">nheat = </t>
  </si>
  <si>
    <t xml:space="preserve">ADJairsealinggasheat = </t>
  </si>
  <si>
    <t xml:space="preserve">IEnetcorrection = </t>
  </si>
  <si>
    <t>Evaluation Updates Highlighted in Yellow</t>
  </si>
  <si>
    <t>2022 Plan NTG (Fixed)</t>
  </si>
  <si>
    <t>2023 Plan NTG (Fixed)</t>
  </si>
  <si>
    <t>2024 Plan NTG (Fixed)</t>
  </si>
  <si>
    <t>2025 Plan NTG (Fixed)</t>
  </si>
  <si>
    <t>NTG</t>
  </si>
  <si>
    <t>NTG Source</t>
  </si>
  <si>
    <t>Weather Stripping  5.6.1.21</t>
  </si>
  <si>
    <t>ESK Program</t>
  </si>
  <si>
    <t>Revised Therm Savings</t>
  </si>
  <si>
    <t>Heating EFLH</t>
  </si>
  <si>
    <t>Nicor Custom - Public Sector Buildings</t>
  </si>
  <si>
    <t>Public Sector Buildings</t>
  </si>
  <si>
    <t>Zone 4</t>
  </si>
  <si>
    <t>Zone 5</t>
  </si>
  <si>
    <t>Note: excluded high rise, didn't change the average that much.</t>
  </si>
  <si>
    <t>Nicor Custom EFLH Calculations</t>
  </si>
  <si>
    <t>includes MF High Rise, High Rise Residential, and mid Rise</t>
  </si>
  <si>
    <t>includes all Hospital Specifications and Assisted Living and Healthcare Clinic</t>
  </si>
  <si>
    <t>Office</t>
  </si>
  <si>
    <t>includes all office specifications</t>
  </si>
  <si>
    <t xml:space="preserve">Salon Sprayer </t>
  </si>
  <si>
    <t>IL TRM v8</t>
  </si>
  <si>
    <t>INPUTS</t>
  </si>
  <si>
    <t>Efficient Case</t>
  </si>
  <si>
    <t>Baseline Case</t>
  </si>
  <si>
    <t>FLOeff</t>
  </si>
  <si>
    <t>Daysyear</t>
  </si>
  <si>
    <t>EFF</t>
  </si>
  <si>
    <t>ALGORITHM</t>
  </si>
  <si>
    <t>ΔTherms = ΔGallons x 8.33 x 1 x (Tout - Tin) x (1/EFF) /100,000 Btu</t>
  </si>
  <si>
    <t>Savings Results</t>
  </si>
  <si>
    <t>Small quick service resteraunt</t>
  </si>
  <si>
    <t>therms</t>
  </si>
  <si>
    <t>gallons per year</t>
  </si>
  <si>
    <t>% Saved</t>
  </si>
  <si>
    <t>for TEApot Analysis</t>
  </si>
  <si>
    <t>Gallon/Therm Relationship</t>
  </si>
  <si>
    <t>ASSUMPTIONS</t>
  </si>
  <si>
    <t>Assumed to use PRSV algorithm for savings calculation</t>
  </si>
  <si>
    <t>4.0 GPM base case from average assumed by Water Efficiency Alliance</t>
  </si>
  <si>
    <t>2.5 GPM efficient case from equipment spec sheet for salon sprayer heads used in program</t>
  </si>
  <si>
    <t>Used IL TRM assumptions for other inputs</t>
  </si>
  <si>
    <t>Assuming 5 minutes per customer.</t>
  </si>
  <si>
    <t>Assuming 4 stylists per salon</t>
  </si>
  <si>
    <t>Each stylist is worth 4 customers per day</t>
  </si>
  <si>
    <t>2 sprayers per salon</t>
  </si>
  <si>
    <t>8 customers per sprayer = 8*5/60 = 0.667 hours</t>
  </si>
  <si>
    <t xml:space="preserve">    0.5 hours to be conservative</t>
  </si>
  <si>
    <t>Per email from CLEAResult</t>
  </si>
  <si>
    <t>IMC</t>
  </si>
  <si>
    <t>Date of email: 3/14/2016</t>
  </si>
  <si>
    <t>Link to Email:</t>
  </si>
  <si>
    <t>T:\EEP Planning Models\Planning Tools\Measure_Data\Custom TRM V5\Measure Research</t>
  </si>
  <si>
    <t>Illinois TRM 4.4.14 Customized</t>
  </si>
  <si>
    <t>Business - Pipe Insulation - Dry Cleaners</t>
  </si>
  <si>
    <t>INPUT</t>
  </si>
  <si>
    <t>CALCULATED</t>
  </si>
  <si>
    <t>DEFINED</t>
  </si>
  <si>
    <t>NOT USED</t>
  </si>
  <si>
    <t>Dry Cleaners - High Pressure Steam</t>
  </si>
  <si>
    <r>
      <t>Heat Loss from Bare Pipe  - Q</t>
    </r>
    <r>
      <rPr>
        <vertAlign val="subscript"/>
        <sz val="11"/>
        <color theme="1"/>
        <rFont val="Calibri"/>
        <family val="2"/>
        <scheme val="minor"/>
      </rPr>
      <t>base</t>
    </r>
    <r>
      <rPr>
        <sz val="11"/>
        <color theme="1"/>
        <rFont val="Calibri"/>
        <family val="2"/>
        <scheme val="minor"/>
      </rPr>
      <t xml:space="preserve"> (Btu/hr/ft)</t>
    </r>
  </si>
  <si>
    <t>From IL TRM for Indoor Insulation High Pressure Steam, Assumes 82.8 Average Steam Pressure</t>
  </si>
  <si>
    <r>
      <t>Heat Loss from Insulated Pipe - Q</t>
    </r>
    <r>
      <rPr>
        <vertAlign val="subscript"/>
        <sz val="11"/>
        <color theme="1"/>
        <rFont val="Calibri"/>
        <family val="2"/>
        <scheme val="minor"/>
      </rPr>
      <t>eff</t>
    </r>
    <r>
      <rPr>
        <sz val="11"/>
        <color theme="1"/>
        <rFont val="Calibri"/>
        <family val="2"/>
        <scheme val="minor"/>
      </rPr>
      <t xml:space="preserve"> (Btu/hr/ft)</t>
    </r>
  </si>
  <si>
    <t>Operating Hours from Steam Trap TRM Section</t>
  </si>
  <si>
    <r>
      <t>Efficiency of Boiler (</t>
    </r>
    <r>
      <rPr>
        <sz val="11"/>
        <color theme="1"/>
        <rFont val="Calibri"/>
        <family val="2"/>
      </rPr>
      <t>ƞ</t>
    </r>
    <r>
      <rPr>
        <vertAlign val="subscript"/>
        <sz val="11"/>
        <color theme="1"/>
        <rFont val="Calibri"/>
        <family val="2"/>
      </rPr>
      <t>boiler</t>
    </r>
    <r>
      <rPr>
        <sz val="11"/>
        <color theme="1"/>
        <rFont val="Calibri"/>
        <family val="2"/>
        <scheme val="minor"/>
      </rPr>
      <t>)</t>
    </r>
  </si>
  <si>
    <t>Efficiency assumed for steam boilers</t>
  </si>
  <si>
    <t>TRF</t>
  </si>
  <si>
    <t>Custom calculation based on hours of use during heating season</t>
  </si>
  <si>
    <r>
      <t>Δtherms per foot = (Q</t>
    </r>
    <r>
      <rPr>
        <vertAlign val="subscript"/>
        <sz val="11"/>
        <color theme="1"/>
        <rFont val="Calibri"/>
        <family val="2"/>
      </rPr>
      <t>base</t>
    </r>
    <r>
      <rPr>
        <sz val="11"/>
        <color theme="1"/>
        <rFont val="Calibri"/>
        <family val="2"/>
      </rPr>
      <t xml:space="preserve"> - Q</t>
    </r>
    <r>
      <rPr>
        <vertAlign val="subscript"/>
        <sz val="11"/>
        <color theme="1"/>
        <rFont val="Calibri"/>
        <family val="2"/>
      </rPr>
      <t>eff</t>
    </r>
    <r>
      <rPr>
        <sz val="11"/>
        <color theme="1"/>
        <rFont val="Calibri"/>
        <family val="2"/>
      </rPr>
      <t>) x TRFx HOURS/ (100,000 x ƞ</t>
    </r>
    <r>
      <rPr>
        <vertAlign val="subscript"/>
        <sz val="11"/>
        <color theme="1"/>
        <rFont val="Calibri"/>
        <family val="2"/>
      </rPr>
      <t>boiler</t>
    </r>
    <r>
      <rPr>
        <sz val="11"/>
        <color theme="1"/>
        <rFont val="Calibri"/>
        <family val="2"/>
      </rPr>
      <t xml:space="preserve">) </t>
    </r>
  </si>
  <si>
    <t>SAVINGS RESULT</t>
  </si>
  <si>
    <t>Therm savings per foot</t>
  </si>
  <si>
    <t xml:space="preserve">MEASURE VALUES </t>
  </si>
  <si>
    <t>Thermal Regain Factor Determination</t>
  </si>
  <si>
    <t>Indoor - Space Heating</t>
  </si>
  <si>
    <t xml:space="preserve">Pipe Location </t>
  </si>
  <si>
    <t xml:space="preserve">Assumed Regain </t>
  </si>
  <si>
    <t>Weight Based On Hours of Use During Heating Season</t>
  </si>
  <si>
    <t>Rebate</t>
  </si>
  <si>
    <t>Indoor, conditioned space</t>
  </si>
  <si>
    <t>Indoor, semi-conditioned, (unconditioned space, with heat transfer to conditioned space. E.g.: boiler room, ceiling plenum, basement, crawlspace, wall)</t>
  </si>
  <si>
    <t>Indoor, unconditioned, (no heat transfer to conditioned space)</t>
  </si>
  <si>
    <t>Net to Gross</t>
  </si>
  <si>
    <t>Location not specified</t>
  </si>
  <si>
    <t>Effective Useful Life</t>
  </si>
  <si>
    <t>$ / Therm</t>
  </si>
  <si>
    <t>% IMC</t>
  </si>
  <si>
    <t>Minimum Pipe Diameter is 1"</t>
  </si>
  <si>
    <t>Minimum indoor piping insulation of 1"</t>
  </si>
  <si>
    <t>Programmable Thermostats, new IL TRM v10 methodology</t>
  </si>
  <si>
    <r>
      <rPr>
        <u/>
        <sz val="11"/>
        <color theme="1"/>
        <rFont val="Trebuchet MS"/>
        <family val="2"/>
      </rPr>
      <t xml:space="preserve">Commercial prescriptive and direct install programs </t>
    </r>
    <r>
      <rPr>
        <sz val="11"/>
        <color theme="1"/>
        <rFont val="Calibri"/>
        <family val="2"/>
        <scheme val="minor"/>
      </rPr>
      <t xml:space="preserve">- Assign programmable thermostat savings using one weighted average across all building types. </t>
    </r>
  </si>
  <si>
    <t>Algorithm:∆Therms  = ((1 - %ElectricHeat) * EFLHheat * Capacity * 1/AFUE * Heating_Reduction * BAF)/ 100,000Btu/Therm
Where:
Capacity = Nominal Heating Input Capacity(Btu/hr)</t>
  </si>
  <si>
    <t>Weighted average savings determined by PY5-2019 participation spread across building types for BEER, Small Business, and Multifamily programs:</t>
  </si>
  <si>
    <t>N. Gas Savings (TRM v10)</t>
  </si>
  <si>
    <t>PY5-2019 Participation Spread</t>
  </si>
  <si>
    <t>Weighted Avg Savings</t>
  </si>
  <si>
    <t>% of Total</t>
  </si>
  <si>
    <t>EFLH Zone 2 (Chicago)</t>
  </si>
  <si>
    <t>Programmable Thermostat Commercial - Assembly</t>
  </si>
  <si>
    <t>Programmable Thermostat Commercial - College</t>
  </si>
  <si>
    <t>Programmable Thermostat Commercial - Convenience Store</t>
  </si>
  <si>
    <t>Programmable Thermostat Commercial - Elementary School</t>
  </si>
  <si>
    <t>Programmable Thermostat Commercial - Garage</t>
  </si>
  <si>
    <t>Programmable Thermostat Commercial - Grocery</t>
  </si>
  <si>
    <t>Programmable Thermostat Commercial - Healthcare Clinic</t>
  </si>
  <si>
    <t>Programmable Thermostat Commercial - High School</t>
  </si>
  <si>
    <t>Programmable Thermostat Commercial - Hotel/Motel</t>
  </si>
  <si>
    <t>Programmable Thermostat Commercial - Manufacturing Facility</t>
  </si>
  <si>
    <t>Programmable Thermostat Commercial - Office - Low Rise</t>
  </si>
  <si>
    <t>Programmable Thermostat Commercial - Office - Mid Rise</t>
  </si>
  <si>
    <t>Hospital - CAV no econ[1]</t>
  </si>
  <si>
    <t>Programmable Thermostat Commercial - Religious Building</t>
  </si>
  <si>
    <t>Hospital - CAV econ[2]</t>
  </si>
  <si>
    <t>Programmable Thermostat Commercial - Restaurant</t>
  </si>
  <si>
    <t>Hospital - VAV econ[3]</t>
  </si>
  <si>
    <t>Programmable Thermostat Commercial - Retail - Department Store</t>
  </si>
  <si>
    <t>Programmable Thermostat Commercial - Retail - Strip Mall</t>
  </si>
  <si>
    <t>Programmable Thermostat Commercial - Warehouse</t>
  </si>
  <si>
    <t>Programmable Thermostats - Assembly</t>
  </si>
  <si>
    <t>Programmable Thermostats - Garage</t>
  </si>
  <si>
    <t>Programmable Thermostats - Healthcare Clinic</t>
  </si>
  <si>
    <t>Heavy and Light Industry</t>
  </si>
  <si>
    <t>Programmable Thermostats - Heavy and Light Industry</t>
  </si>
  <si>
    <t>Programmable Thermostats - Hotel/Motel</t>
  </si>
  <si>
    <t>Programmable Thermostats - Manufacturing Facility</t>
  </si>
  <si>
    <t>Programmable Thermostats - Office - Low Rise</t>
  </si>
  <si>
    <t>Programmable Thermostats - Religious Building</t>
  </si>
  <si>
    <t>Programmable Thermostats - Restaurant</t>
  </si>
  <si>
    <t>Programmable Thermostats - Retail - Department Store</t>
  </si>
  <si>
    <t>Programmable Thermostats - Retail - Strip Mall</t>
  </si>
  <si>
    <t>Programmable Thermostats - Warehouse</t>
  </si>
  <si>
    <t>Programmable Thermostats - CA - Assisted Living</t>
  </si>
  <si>
    <t>Programmable Thermostats - CA - MF - High Rise</t>
  </si>
  <si>
    <t>Programmable Thermostats - CA - MF - High Rise - Residential</t>
  </si>
  <si>
    <t>Programmable Thermostats - CA - MF - Mid Rise</t>
  </si>
  <si>
    <t>Measure for PY5</t>
  </si>
  <si>
    <t>N. Gas Savings</t>
  </si>
  <si>
    <t>Incentive</t>
  </si>
  <si>
    <t>Incremental Cost - Prescrivtive</t>
  </si>
  <si>
    <t>DI-Inc Cost</t>
  </si>
  <si>
    <t>a</t>
  </si>
  <si>
    <t>b</t>
  </si>
  <si>
    <t>c</t>
  </si>
  <si>
    <t>d</t>
  </si>
  <si>
    <t>i</t>
  </si>
  <si>
    <t>j</t>
  </si>
  <si>
    <t>k</t>
  </si>
  <si>
    <t>l</t>
  </si>
  <si>
    <t>m</t>
  </si>
  <si>
    <t>n</t>
  </si>
  <si>
    <t>o</t>
  </si>
  <si>
    <t>p</t>
  </si>
  <si>
    <t>q</t>
  </si>
  <si>
    <t>r</t>
  </si>
  <si>
    <t>s</t>
  </si>
  <si>
    <t>t</t>
  </si>
  <si>
    <t>u</t>
  </si>
  <si>
    <t>v</t>
  </si>
  <si>
    <t>w</t>
  </si>
  <si>
    <t>x</t>
  </si>
  <si>
    <t>y</t>
  </si>
  <si>
    <t>z</t>
  </si>
  <si>
    <t>e</t>
  </si>
  <si>
    <t>f</t>
  </si>
  <si>
    <t>g</t>
  </si>
  <si>
    <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</si>
</sst>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
    <numFmt numFmtId="166" formatCode="_(&quot;$&quot;* #,##0_);_(&quot;$&quot;* \(#,##0\);_(&quot;$&quot;* &quot;-&quot;??_);_(@_)"/>
    <numFmt numFmtId="167" formatCode="_(* #,##0.0000_);_(* \(#,##0.0000\);_(* &quot;-&quot;??_);_(@_)"/>
    <numFmt numFmtId="168" formatCode="0.000"/>
    <numFmt numFmtId="169" formatCode="0.0%"/>
    <numFmt numFmtId="170" formatCode="_(* #,##0_);_(* \(#,##0\);_(* &quot;-&quot;??_);_(@_)"/>
    <numFmt numFmtId="171" formatCode="_(* #,##0.0_);_(* \(#,##0.0\);_(* &quot;-&quot;??_);_(@_)"/>
    <numFmt numFmtId="172" formatCode="_(&quot;$&quot;* #,##0.000_);_(&quot;$&quot;* \(#,##0.000\);_(&quot;$&quot;* &quot;-&quot;??_);_(@_)"/>
    <numFmt numFmtId="173" formatCode="&quot;$&quot;#,##0"/>
    <numFmt numFmtId="174" formatCode="0.0000"/>
    <numFmt numFmtId="175" formatCode="_(* #,##0.000_);_(* \(#,##0.000\);_(* &quot;-&quot;??_);_(@_)"/>
    <numFmt numFmtId="176" formatCode="_(* #,##0.00000_);_(* \(#,##0.00000\);_(* &quot;-&quot;??_);_(@_)"/>
    <numFmt numFmtId="177" formatCode="_(* #,##0.00000000_);_(* \(#,##0.00000000\);_(* &quot;-&quot;????????_);_(@_)"/>
    <numFmt numFmtId="178" formatCode="&quot;$&quot;#,##0.00"/>
    <numFmt numFmtId="179" formatCode="_(* #,##0.000000_);_(* \(#,##0.000000\);_(* &quot;-&quot;??_);_(@_)"/>
    <numFmt numFmtId="180" formatCode="_(* #,##0.0000000_);_(* \(#,##0.0000000\);_(* &quot;-&quot;??_);_(@_)"/>
    <numFmt numFmtId="181" formatCode="_(&quot;$&quot;* #,##0.00000_);_(&quot;$&quot;* \(#,##0.00000\);_(&quot;$&quot;* &quot;-&quot;??_);_(@_)"/>
    <numFmt numFmtId="182" formatCode="#,##0.000"/>
    <numFmt numFmtId="183" formatCode="0.00000"/>
    <numFmt numFmtId="184" formatCode="#,##0.0000"/>
    <numFmt numFmtId="185" formatCode="#,##0.000000"/>
    <numFmt numFmtId="186" formatCode="#,##0.0000000"/>
    <numFmt numFmtId="187" formatCode="0.000%"/>
  </numFmts>
  <fonts count="173" x14ac:knownFonts="1">
    <font>
      <sz val="11"/>
      <color theme="1"/>
      <name val="Calibri"/>
      <family val="2"/>
      <scheme val="minor"/>
    </font>
    <font>
      <sz val="12"/>
      <color theme="1"/>
      <name val="Arial"/>
      <family val="2"/>
    </font>
    <font>
      <i/>
      <sz val="12"/>
      <color theme="1"/>
      <name val="Arial"/>
      <family val="2"/>
    </font>
    <font>
      <b/>
      <sz val="18"/>
      <color theme="1"/>
      <name val="Arial"/>
      <family val="2"/>
    </font>
    <font>
      <b/>
      <sz val="12"/>
      <color theme="1"/>
      <name val="Arial"/>
      <family val="2"/>
    </font>
    <font>
      <b/>
      <sz val="14"/>
      <color theme="1"/>
      <name val="Arial"/>
      <family val="2"/>
    </font>
    <font>
      <b/>
      <sz val="16"/>
      <color theme="1"/>
      <name val="Arial"/>
      <family val="2"/>
    </font>
    <font>
      <b/>
      <i/>
      <sz val="12"/>
      <color theme="1"/>
      <name val="Arial"/>
      <family val="2"/>
    </font>
    <font>
      <b/>
      <sz val="11"/>
      <color theme="1"/>
      <name val="Calibri"/>
      <family val="2"/>
      <scheme val="minor"/>
    </font>
    <font>
      <sz val="11"/>
      <color theme="1"/>
      <name val="Arial"/>
      <family val="2"/>
    </font>
    <font>
      <sz val="13"/>
      <color theme="1"/>
      <name val="Arial"/>
      <family val="2"/>
    </font>
    <font>
      <b/>
      <sz val="13"/>
      <color theme="1"/>
      <name val="Arial"/>
      <family val="2"/>
    </font>
    <font>
      <b/>
      <sz val="11"/>
      <color theme="1"/>
      <name val="Arial"/>
      <family val="2"/>
    </font>
    <font>
      <i/>
      <sz val="11"/>
      <color theme="1"/>
      <name val="Arial"/>
      <family val="2"/>
    </font>
    <font>
      <b/>
      <i/>
      <sz val="11"/>
      <color theme="1"/>
      <name val="Arial"/>
      <family val="2"/>
    </font>
    <font>
      <sz val="11"/>
      <color rgb="FF000000"/>
      <name val="Arial"/>
      <family val="2"/>
    </font>
    <font>
      <b/>
      <sz val="9"/>
      <color indexed="81"/>
      <name val="Tahoma"/>
      <family val="2"/>
    </font>
    <font>
      <sz val="9"/>
      <color indexed="81"/>
      <name val="Tahoma"/>
      <family val="2"/>
    </font>
    <font>
      <u/>
      <sz val="9"/>
      <color indexed="81"/>
      <name val="Tahoma"/>
      <family val="2"/>
    </font>
    <font>
      <sz val="8"/>
      <color theme="1"/>
      <name val="Arial"/>
      <family val="2"/>
    </font>
    <font>
      <sz val="8"/>
      <color theme="1"/>
      <name val="Calibri"/>
      <family val="2"/>
      <scheme val="minor"/>
    </font>
    <font>
      <b/>
      <sz val="14"/>
      <color theme="1"/>
      <name val="Calibri"/>
      <family val="2"/>
      <scheme val="minor"/>
    </font>
    <font>
      <sz val="14"/>
      <color theme="1"/>
      <name val="Calibri"/>
      <family val="2"/>
      <scheme val="minor"/>
    </font>
    <font>
      <sz val="14"/>
      <color theme="1"/>
      <name val="Arial"/>
      <family val="2"/>
    </font>
    <font>
      <b/>
      <sz val="20"/>
      <color theme="1"/>
      <name val="Arial"/>
      <family val="2"/>
    </font>
    <font>
      <u/>
      <sz val="11"/>
      <color theme="1"/>
      <name val="Arial"/>
      <family val="2"/>
    </font>
    <font>
      <b/>
      <u/>
      <sz val="9"/>
      <color indexed="81"/>
      <name val="Tahoma"/>
      <family val="2"/>
    </font>
    <font>
      <i/>
      <sz val="14"/>
      <color theme="1"/>
      <name val="Arial"/>
      <family val="2"/>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theme="1"/>
      <name val="Calibri"/>
      <family val="2"/>
      <scheme val="minor"/>
    </font>
    <font>
      <sz val="11"/>
      <name val="Calibri"/>
      <family val="2"/>
      <scheme val="minor"/>
    </font>
    <font>
      <vertAlign val="subscript"/>
      <sz val="10"/>
      <color theme="1"/>
      <name val="Calibri"/>
      <family val="2"/>
      <scheme val="minor"/>
    </font>
    <font>
      <b/>
      <sz val="10"/>
      <color rgb="FFFFFFFF"/>
      <name val="Calibri"/>
      <family val="2"/>
      <scheme val="minor"/>
    </font>
    <font>
      <b/>
      <sz val="10"/>
      <color theme="1"/>
      <name val="Calibri"/>
      <family val="2"/>
      <scheme val="minor"/>
    </font>
    <font>
      <b/>
      <sz val="11"/>
      <name val="Calibri"/>
      <family val="2"/>
      <scheme val="minor"/>
    </font>
    <font>
      <sz val="9"/>
      <color theme="1"/>
      <name val="Calibri"/>
      <family val="2"/>
      <scheme val="minor"/>
    </font>
    <font>
      <b/>
      <sz val="10"/>
      <color theme="0"/>
      <name val="Calibri"/>
      <family val="2"/>
      <scheme val="minor"/>
    </font>
    <font>
      <u/>
      <sz val="11"/>
      <color theme="10"/>
      <name val="Calibri"/>
      <family val="2"/>
    </font>
    <font>
      <u/>
      <sz val="8"/>
      <color rgb="FF008080"/>
      <name val="Calibri"/>
      <family val="2"/>
    </font>
    <font>
      <b/>
      <u/>
      <vertAlign val="superscript"/>
      <sz val="10"/>
      <color rgb="FFFFFFFF"/>
      <name val="Arial"/>
      <family val="2"/>
    </font>
    <font>
      <sz val="8"/>
      <color theme="1"/>
      <name val="Calibri"/>
      <family val="2"/>
    </font>
    <font>
      <sz val="9"/>
      <color theme="0"/>
      <name val="Calibri"/>
      <family val="2"/>
      <scheme val="minor"/>
    </font>
    <font>
      <sz val="11"/>
      <color theme="5"/>
      <name val="Calibri"/>
      <family val="2"/>
      <scheme val="minor"/>
    </font>
    <font>
      <b/>
      <u/>
      <sz val="10"/>
      <color theme="0"/>
      <name val="Calibri"/>
      <family val="2"/>
      <scheme val="minor"/>
    </font>
    <font>
      <u/>
      <sz val="10"/>
      <name val="Calibri"/>
      <family val="2"/>
      <scheme val="minor"/>
    </font>
    <font>
      <u/>
      <sz val="11"/>
      <name val="Calibri"/>
      <family val="2"/>
    </font>
    <font>
      <b/>
      <sz val="12"/>
      <color theme="1"/>
      <name val="Calibri"/>
      <family val="2"/>
      <scheme val="minor"/>
    </font>
    <font>
      <sz val="10"/>
      <name val="Calibri"/>
      <family val="2"/>
      <scheme val="minor"/>
    </font>
    <font>
      <b/>
      <sz val="10"/>
      <name val="Calibri"/>
      <family val="2"/>
      <scheme val="minor"/>
    </font>
    <font>
      <sz val="10"/>
      <color rgb="FF000000"/>
      <name val="Calibri"/>
      <family val="2"/>
      <scheme val="minor"/>
    </font>
    <font>
      <b/>
      <sz val="10"/>
      <color rgb="FF000000"/>
      <name val="Calibri"/>
      <family val="2"/>
      <scheme val="minor"/>
    </font>
    <font>
      <b/>
      <sz val="11"/>
      <color rgb="FFFF0000"/>
      <name val="Calibri"/>
      <family val="2"/>
      <scheme val="minor"/>
    </font>
    <font>
      <b/>
      <sz val="11"/>
      <color rgb="FF000000"/>
      <name val="Calibri"/>
      <family val="2"/>
    </font>
    <font>
      <sz val="11"/>
      <color rgb="FF000000"/>
      <name val="Calibri"/>
      <family val="2"/>
    </font>
    <font>
      <sz val="11"/>
      <name val="Calibri"/>
      <family val="2"/>
    </font>
    <font>
      <u/>
      <sz val="10"/>
      <color rgb="FF008080"/>
      <name val="Calibri"/>
      <family val="2"/>
      <scheme val="minor"/>
    </font>
    <font>
      <sz val="10"/>
      <color theme="1"/>
      <name val="Calibri"/>
      <family val="2"/>
    </font>
    <font>
      <sz val="7"/>
      <color theme="1"/>
      <name val="Times New Roman"/>
      <family val="1"/>
    </font>
    <font>
      <u/>
      <sz val="10"/>
      <color theme="1"/>
      <name val="Calibri"/>
      <family val="2"/>
      <scheme val="minor"/>
    </font>
    <font>
      <sz val="11"/>
      <color theme="1"/>
      <name val="Calibri"/>
      <family val="2"/>
    </font>
    <font>
      <b/>
      <sz val="10"/>
      <color rgb="FFFFFFFF"/>
      <name val="Times New Roman"/>
      <family val="1"/>
    </font>
    <font>
      <sz val="10"/>
      <color theme="1"/>
      <name val="Times New Roman"/>
      <family val="1"/>
    </font>
    <font>
      <b/>
      <sz val="9"/>
      <color theme="0"/>
      <name val="Calibri"/>
      <family val="2"/>
      <scheme val="minor"/>
    </font>
    <font>
      <b/>
      <sz val="10"/>
      <color rgb="FFFFFFFF"/>
      <name val="Calibri"/>
      <family val="2"/>
    </font>
    <font>
      <b/>
      <vertAlign val="subscript"/>
      <sz val="10"/>
      <color rgb="FFFFFFFF"/>
      <name val="Calibri"/>
      <family val="2"/>
    </font>
    <font>
      <b/>
      <vertAlign val="subscript"/>
      <sz val="10"/>
      <color rgb="FFFFFFFF"/>
      <name val="Times New Roman"/>
      <family val="1"/>
    </font>
    <font>
      <sz val="10"/>
      <color rgb="FF000000"/>
      <name val="Calibri"/>
      <family val="2"/>
    </font>
    <font>
      <b/>
      <vertAlign val="superscript"/>
      <sz val="11"/>
      <color theme="1"/>
      <name val="Calibri"/>
      <family val="2"/>
      <scheme val="minor"/>
    </font>
    <font>
      <vertAlign val="superscript"/>
      <sz val="10"/>
      <color theme="1"/>
      <name val="Calibri"/>
      <family val="2"/>
      <scheme val="minor"/>
    </font>
    <font>
      <b/>
      <sz val="9"/>
      <color rgb="FFFFFFFF"/>
      <name val="Calibri"/>
      <family val="2"/>
      <scheme val="minor"/>
    </font>
    <font>
      <sz val="8"/>
      <name val="Arial"/>
      <family val="2"/>
    </font>
    <font>
      <sz val="10"/>
      <color rgb="FFFF0000"/>
      <name val="Calibri"/>
      <family val="2"/>
      <scheme val="minor"/>
    </font>
    <font>
      <u/>
      <sz val="11"/>
      <color theme="0"/>
      <name val="Calibri"/>
      <family val="2"/>
    </font>
    <font>
      <sz val="10"/>
      <color theme="0"/>
      <name val="Calibri"/>
      <family val="2"/>
      <scheme val="minor"/>
    </font>
    <font>
      <b/>
      <i/>
      <sz val="11"/>
      <color theme="1"/>
      <name val="Calibri"/>
      <family val="2"/>
      <scheme val="minor"/>
    </font>
    <font>
      <sz val="11"/>
      <color theme="3" tint="-0.249977111117893"/>
      <name val="Calibri"/>
      <family val="2"/>
      <scheme val="minor"/>
    </font>
    <font>
      <b/>
      <sz val="10"/>
      <color theme="0"/>
      <name val="Palatino Linotype"/>
      <family val="1"/>
    </font>
    <font>
      <sz val="10"/>
      <color theme="0"/>
      <name val="Palatino Linotype"/>
      <family val="1"/>
    </font>
    <font>
      <sz val="10"/>
      <color theme="1"/>
      <name val="Palatino Linotype"/>
      <family val="1"/>
    </font>
    <font>
      <b/>
      <sz val="10"/>
      <color rgb="FF993300"/>
      <name val="Palatino Linotype"/>
      <family val="1"/>
    </font>
    <font>
      <sz val="10"/>
      <color rgb="FFFFFFFF"/>
      <name val="Palatino Linotype"/>
      <family val="1"/>
    </font>
    <font>
      <vertAlign val="superscript"/>
      <sz val="11"/>
      <color theme="1"/>
      <name val="Calibri"/>
      <family val="2"/>
      <scheme val="minor"/>
    </font>
    <font>
      <b/>
      <vertAlign val="subscript"/>
      <sz val="10"/>
      <color theme="1"/>
      <name val="Calibri"/>
      <family val="2"/>
      <scheme val="minor"/>
    </font>
    <font>
      <i/>
      <sz val="11"/>
      <color theme="1"/>
      <name val="Calibri"/>
      <family val="2"/>
      <scheme val="minor"/>
    </font>
    <font>
      <b/>
      <sz val="9"/>
      <color theme="1"/>
      <name val="Calibri"/>
      <family val="2"/>
      <scheme val="minor"/>
    </font>
    <font>
      <b/>
      <vertAlign val="subscript"/>
      <sz val="9"/>
      <color theme="1"/>
      <name val="Calibri"/>
      <family val="2"/>
      <scheme val="minor"/>
    </font>
    <font>
      <vertAlign val="subscript"/>
      <sz val="10"/>
      <color theme="0"/>
      <name val="Calibri"/>
      <family val="2"/>
      <scheme val="minor"/>
    </font>
    <font>
      <b/>
      <vertAlign val="subscript"/>
      <sz val="10"/>
      <color rgb="FFFFFFFF"/>
      <name val="Calibri"/>
      <family val="2"/>
      <scheme val="minor"/>
    </font>
    <font>
      <b/>
      <sz val="11"/>
      <color theme="1"/>
      <name val="Calibri"/>
      <family val="2"/>
    </font>
    <font>
      <vertAlign val="subscript"/>
      <sz val="10"/>
      <name val="Calibri"/>
      <family val="2"/>
      <scheme val="minor"/>
    </font>
    <font>
      <vertAlign val="subscript"/>
      <sz val="9"/>
      <color theme="1"/>
      <name val="Calibri"/>
      <family val="2"/>
      <scheme val="minor"/>
    </font>
    <font>
      <sz val="10"/>
      <color theme="1"/>
      <name val="Gill Sans MT"/>
      <family val="2"/>
    </font>
    <font>
      <sz val="10"/>
      <color rgb="FFFFFFFF"/>
      <name val="Calibri"/>
      <family val="2"/>
      <scheme val="minor"/>
    </font>
    <font>
      <b/>
      <sz val="18"/>
      <color rgb="FFFF0000"/>
      <name val="Calibri"/>
      <family val="2"/>
      <scheme val="minor"/>
    </font>
    <font>
      <b/>
      <u/>
      <sz val="11"/>
      <color rgb="FFFF0000"/>
      <name val="Calibri"/>
      <family val="2"/>
      <scheme val="minor"/>
    </font>
    <font>
      <b/>
      <u/>
      <sz val="11"/>
      <color theme="0"/>
      <name val="Calibri"/>
      <family val="2"/>
      <scheme val="minor"/>
    </font>
    <font>
      <b/>
      <sz val="11"/>
      <color theme="0" tint="-0.499984740745262"/>
      <name val="Calibri"/>
      <family val="2"/>
      <scheme val="minor"/>
    </font>
    <font>
      <sz val="11"/>
      <color rgb="FF000000"/>
      <name val="Calibri"/>
      <family val="2"/>
      <scheme val="minor"/>
    </font>
    <font>
      <vertAlign val="subscript"/>
      <sz val="11"/>
      <name val="Calibri"/>
      <family val="2"/>
      <scheme val="minor"/>
    </font>
    <font>
      <b/>
      <sz val="11"/>
      <name val="Symbol"/>
      <family val="1"/>
      <charset val="2"/>
    </font>
    <font>
      <sz val="11"/>
      <name val="Symbol"/>
      <family val="1"/>
      <charset val="2"/>
    </font>
    <font>
      <b/>
      <u/>
      <sz val="11"/>
      <color rgb="FF008080"/>
      <name val="Calibri"/>
      <family val="2"/>
      <scheme val="minor"/>
    </font>
    <font>
      <u/>
      <sz val="11"/>
      <name val="Calibri"/>
      <family val="2"/>
      <scheme val="minor"/>
    </font>
    <font>
      <u/>
      <vertAlign val="subscript"/>
      <sz val="11"/>
      <name val="Calibri"/>
      <family val="2"/>
      <scheme val="minor"/>
    </font>
    <font>
      <strike/>
      <u/>
      <sz val="10"/>
      <color rgb="FFFF0000"/>
      <name val="Calibri"/>
      <family val="2"/>
      <scheme val="minor"/>
    </font>
    <font>
      <b/>
      <sz val="12"/>
      <name val="Calibri"/>
      <family val="2"/>
      <scheme val="minor"/>
    </font>
    <font>
      <vertAlign val="subscript"/>
      <sz val="12"/>
      <name val="Calibri"/>
      <family val="2"/>
      <scheme val="minor"/>
    </font>
    <font>
      <sz val="11"/>
      <color rgb="FF008080"/>
      <name val="Calibri"/>
      <family val="2"/>
      <scheme val="minor"/>
    </font>
    <font>
      <sz val="12"/>
      <name val="Calibri"/>
      <family val="2"/>
      <scheme val="minor"/>
    </font>
    <font>
      <b/>
      <sz val="10"/>
      <color theme="0"/>
      <name val="Calibri"/>
      <family val="2"/>
    </font>
    <font>
      <vertAlign val="subscript"/>
      <sz val="12"/>
      <color theme="0"/>
      <name val="Calibri"/>
      <family val="2"/>
      <scheme val="minor"/>
    </font>
    <font>
      <b/>
      <vertAlign val="subscript"/>
      <sz val="10"/>
      <color theme="0"/>
      <name val="Calibri"/>
      <family val="2"/>
    </font>
    <font>
      <b/>
      <strike/>
      <sz val="10"/>
      <color theme="0"/>
      <name val="Calibri"/>
      <family val="2"/>
    </font>
    <font>
      <sz val="10"/>
      <name val="Calibri"/>
      <family val="2"/>
    </font>
    <font>
      <vertAlign val="subscript"/>
      <sz val="10"/>
      <name val="Calibri"/>
      <family val="2"/>
    </font>
    <font>
      <strike/>
      <u/>
      <sz val="10"/>
      <color rgb="FFFF0000"/>
      <name val="Calibri"/>
      <family val="2"/>
    </font>
    <font>
      <b/>
      <sz val="10"/>
      <color theme="0"/>
      <name val="Times New Roman"/>
      <family val="1"/>
    </font>
    <font>
      <b/>
      <sz val="10"/>
      <name val="Calibri"/>
      <family val="2"/>
    </font>
    <font>
      <vertAlign val="subscript"/>
      <sz val="11"/>
      <color theme="0"/>
      <name val="Calibri"/>
      <family val="2"/>
      <scheme val="minor"/>
    </font>
    <font>
      <b/>
      <strike/>
      <sz val="10"/>
      <color theme="0"/>
      <name val="Times New Roman"/>
      <family val="1"/>
    </font>
    <font>
      <u/>
      <sz val="10"/>
      <name val="Calibri"/>
      <family val="2"/>
    </font>
    <font>
      <b/>
      <sz val="9"/>
      <color theme="1"/>
      <name val="Calibri"/>
      <family val="2"/>
    </font>
    <font>
      <vertAlign val="subscript"/>
      <sz val="11"/>
      <color theme="1"/>
      <name val="Calibri"/>
      <family val="2"/>
    </font>
    <font>
      <i/>
      <sz val="11"/>
      <color theme="0"/>
      <name val="Calibri"/>
      <family val="2"/>
      <scheme val="minor"/>
    </font>
    <font>
      <strike/>
      <sz val="10"/>
      <name val="Calibri"/>
      <family val="2"/>
      <scheme val="minor"/>
    </font>
    <font>
      <sz val="11"/>
      <color rgb="FF000000"/>
      <name val="Verdana"/>
      <family val="2"/>
    </font>
    <font>
      <u/>
      <sz val="11"/>
      <color theme="10"/>
      <name val="Calibri"/>
      <family val="2"/>
      <scheme val="minor"/>
    </font>
    <font>
      <vertAlign val="subscript"/>
      <sz val="11"/>
      <color theme="1"/>
      <name val="Calibri"/>
      <family val="2"/>
      <scheme val="minor"/>
    </font>
    <font>
      <sz val="10"/>
      <name val="Times New Roman"/>
      <family val="1"/>
    </font>
    <font>
      <sz val="9"/>
      <name val="Calibri"/>
      <family val="2"/>
      <scheme val="minor"/>
    </font>
    <font>
      <b/>
      <sz val="10"/>
      <color rgb="FFFFFFFF"/>
      <name val="Arial Narrow"/>
      <family val="2"/>
    </font>
    <font>
      <sz val="10"/>
      <color theme="1"/>
      <name val="Arial Narrow"/>
      <family val="2"/>
    </font>
    <font>
      <sz val="10"/>
      <color rgb="FF000000"/>
      <name val="Arial Narrow"/>
      <family val="2"/>
    </font>
    <font>
      <i/>
      <sz val="10"/>
      <color rgb="FF000000"/>
      <name val="Arial Narrow"/>
      <family val="2"/>
    </font>
    <font>
      <i/>
      <sz val="10"/>
      <color theme="1"/>
      <name val="Arial Narrow"/>
      <family val="2"/>
    </font>
    <font>
      <b/>
      <sz val="9"/>
      <color rgb="FF333333"/>
      <name val="Calibri"/>
      <family val="2"/>
      <scheme val="minor"/>
    </font>
    <font>
      <b/>
      <i/>
      <sz val="10"/>
      <name val="Calibri"/>
      <family val="2"/>
      <scheme val="minor"/>
    </font>
    <font>
      <b/>
      <i/>
      <sz val="9"/>
      <color rgb="FFFFFFFF"/>
      <name val="Calibri"/>
      <family val="2"/>
      <scheme val="minor"/>
    </font>
    <font>
      <sz val="9"/>
      <color rgb="FF333333"/>
      <name val="Calibri"/>
      <family val="2"/>
      <scheme val="minor"/>
    </font>
    <font>
      <b/>
      <sz val="10"/>
      <name val="Palatino Linotype"/>
      <family val="1"/>
    </font>
    <font>
      <sz val="12"/>
      <color theme="1"/>
      <name val="Calibri"/>
      <family val="2"/>
      <scheme val="minor"/>
    </font>
    <font>
      <b/>
      <sz val="16"/>
      <color theme="1"/>
      <name val="Calibri"/>
      <family val="2"/>
      <scheme val="minor"/>
    </font>
    <font>
      <sz val="11"/>
      <color theme="9" tint="-0.249977111117893"/>
      <name val="Calibri"/>
      <family val="2"/>
      <scheme val="minor"/>
    </font>
    <font>
      <sz val="11"/>
      <color theme="1"/>
      <name val="Trebuchet MS"/>
      <family val="2"/>
    </font>
    <font>
      <b/>
      <sz val="11"/>
      <color theme="1"/>
      <name val="Trebuchet MS"/>
      <family val="2"/>
    </font>
    <font>
      <u/>
      <sz val="11"/>
      <color theme="1"/>
      <name val="Trebuchet MS"/>
      <family val="2"/>
    </font>
    <font>
      <b/>
      <sz val="11"/>
      <color theme="0"/>
      <name val="Trebuchet MS"/>
      <family val="2"/>
    </font>
    <font>
      <sz val="11"/>
      <color rgb="FFFF0000"/>
      <name val="Trebuchet MS"/>
      <family val="2"/>
    </font>
    <font>
      <sz val="8"/>
      <name val="Calibri"/>
      <family val="2"/>
      <scheme val="minor"/>
    </font>
    <font>
      <i/>
      <u/>
      <sz val="11"/>
      <color theme="1"/>
      <name val="Arial"/>
      <family val="2"/>
    </font>
    <font>
      <sz val="11"/>
      <color theme="0"/>
      <name val="Calibri"/>
      <family val="2"/>
    </font>
    <font>
      <sz val="10"/>
      <color theme="0"/>
      <name val="Calibri"/>
      <family val="2"/>
    </font>
    <font>
      <b/>
      <sz val="11"/>
      <color theme="0"/>
      <name val="Calibri"/>
      <family val="2"/>
    </font>
    <font>
      <sz val="10"/>
      <color rgb="FFFFFFFF"/>
      <name val="Calibri"/>
      <family val="2"/>
    </font>
    <font>
      <b/>
      <sz val="10"/>
      <color rgb="FFFFFF00"/>
      <name val="Calibri"/>
      <family val="2"/>
      <scheme val="minor"/>
    </font>
    <font>
      <b/>
      <vertAlign val="superscript"/>
      <sz val="10"/>
      <color rgb="FFFFFFFF"/>
      <name val="Calibri"/>
      <family val="2"/>
    </font>
    <font>
      <b/>
      <sz val="11"/>
      <color rgb="FFFFFFFF"/>
      <name val="Calibri"/>
      <family val="2"/>
    </font>
    <font>
      <b/>
      <vertAlign val="subscript"/>
      <sz val="11"/>
      <color rgb="FFFFFFFF"/>
      <name val="Calibri"/>
      <family val="2"/>
    </font>
    <font>
      <sz val="11"/>
      <color rgb="FF006100"/>
      <name val="Calibri"/>
      <family val="2"/>
      <scheme val="minor"/>
    </font>
    <font>
      <b/>
      <sz val="11"/>
      <color rgb="FFFA7D00"/>
      <name val="Calibri"/>
      <family val="2"/>
      <scheme val="minor"/>
    </font>
    <font>
      <sz val="11"/>
      <color rgb="FFFA7D00"/>
      <name val="Calibri"/>
      <family val="2"/>
      <scheme val="minor"/>
    </font>
    <font>
      <sz val="8"/>
      <color theme="1"/>
      <name val="Trebuchet MS"/>
      <family val="2"/>
    </font>
    <font>
      <b/>
      <sz val="11"/>
      <name val="Trebuchet MS"/>
      <family val="2"/>
    </font>
    <font>
      <sz val="11"/>
      <color theme="1"/>
      <name val="Times New Roman"/>
      <family val="1"/>
    </font>
    <font>
      <b/>
      <sz val="11"/>
      <color theme="1"/>
      <name val="Times New Roman"/>
      <family val="1"/>
    </font>
    <font>
      <b/>
      <sz val="10"/>
      <color theme="1"/>
      <name val="Arial"/>
      <family val="2"/>
    </font>
    <font>
      <b/>
      <sz val="11"/>
      <color rgb="FFFF0000"/>
      <name val="Times New Roman"/>
      <family val="1"/>
    </font>
    <font>
      <sz val="11"/>
      <name val="Times New Roman"/>
      <family val="1"/>
    </font>
    <font>
      <sz val="11"/>
      <color rgb="FF444444"/>
      <name val="Calibri"/>
      <family val="2"/>
      <charset val="1"/>
    </font>
  </fonts>
  <fills count="61">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rgb="FFFFFF00"/>
        <bgColor indexed="64"/>
      </patternFill>
    </fill>
    <fill>
      <patternFill patternType="solid">
        <fgColor them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7F7F7F"/>
        <bgColor indexed="64"/>
      </patternFill>
    </fill>
    <fill>
      <patternFill patternType="solid">
        <fgColor theme="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A6A6A6"/>
        <bgColor indexed="64"/>
      </patternFill>
    </fill>
    <fill>
      <patternFill patternType="solid">
        <fgColor rgb="FF808080"/>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A29784"/>
        <bgColor indexed="64"/>
      </patternFill>
    </fill>
    <fill>
      <patternFill patternType="solid">
        <fgColor theme="0"/>
        <bgColor indexed="64"/>
      </patternFill>
    </fill>
    <fill>
      <patternFill patternType="solid">
        <fgColor rgb="FFFFFFFF"/>
        <bgColor indexed="64"/>
      </patternFill>
    </fill>
    <fill>
      <patternFill patternType="solid">
        <fgColor rgb="FF555759"/>
        <bgColor indexed="64"/>
      </patternFill>
    </fill>
    <fill>
      <patternFill patternType="solid">
        <fgColor theme="8" tint="0.79998168889431442"/>
        <bgColor indexed="64"/>
      </patternFill>
    </fill>
    <fill>
      <patternFill patternType="mediumGray">
        <bgColor theme="0" tint="-0.499984740745262"/>
      </patternFill>
    </fill>
    <fill>
      <patternFill patternType="mediumGray">
        <bgColor rgb="FF7F7F7F"/>
      </patternFill>
    </fill>
    <fill>
      <patternFill patternType="solid">
        <fgColor theme="1" tint="0.34998626667073579"/>
        <bgColor indexed="64"/>
      </patternFill>
    </fill>
    <fill>
      <patternFill patternType="solid">
        <fgColor rgb="FFFF0000"/>
        <bgColor indexed="64"/>
      </patternFill>
    </fill>
    <fill>
      <patternFill patternType="solid">
        <fgColor theme="9"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4" tint="-0.499984740745262"/>
        <bgColor indexed="64"/>
      </patternFill>
    </fill>
    <fill>
      <patternFill patternType="solid">
        <fgColor rgb="FFFFCC99"/>
      </patternFill>
    </fill>
    <fill>
      <patternFill patternType="solid">
        <fgColor theme="6" tint="0.79998168889431442"/>
        <bgColor indexed="64"/>
      </patternFill>
    </fill>
    <fill>
      <patternFill patternType="solid">
        <fgColor theme="8"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3" tint="-0.249977111117893"/>
        <bgColor indexed="64"/>
      </patternFill>
    </fill>
    <fill>
      <patternFill patternType="solid">
        <fgColor theme="7" tint="0.59999389629810485"/>
        <bgColor indexed="64"/>
      </patternFill>
    </fill>
    <fill>
      <patternFill patternType="solid">
        <fgColor rgb="FF2F75B5"/>
        <bgColor indexed="64"/>
      </patternFill>
    </fill>
    <fill>
      <patternFill patternType="solid">
        <fgColor rgb="FFC6EFCE"/>
      </patternFill>
    </fill>
    <fill>
      <patternFill patternType="solid">
        <fgColor rgb="FFF2F2F2"/>
      </patternFill>
    </fill>
    <fill>
      <patternFill patternType="solid">
        <fgColor theme="5" tint="0.59999389629810485"/>
        <bgColor indexed="64"/>
      </patternFill>
    </fill>
    <fill>
      <patternFill patternType="solid">
        <fgColor rgb="FFFFC000"/>
        <bgColor indexed="64"/>
      </patternFill>
    </fill>
    <fill>
      <patternFill patternType="solid">
        <fgColor rgb="FFFFFF99"/>
        <bgColor indexed="64"/>
      </patternFill>
    </fill>
    <fill>
      <patternFill patternType="solid">
        <fgColor rgb="FFFFFF66"/>
        <bgColor indexed="64"/>
      </patternFill>
    </fill>
    <fill>
      <patternFill patternType="solid">
        <fgColor rgb="FF00B050"/>
        <bgColor indexed="64"/>
      </patternFill>
    </fill>
    <fill>
      <patternFill patternType="solid">
        <fgColor rgb="FFF2F2F2"/>
        <bgColor indexed="64"/>
      </patternFill>
    </fill>
    <fill>
      <patternFill patternType="solid">
        <fgColor rgb="FFBFBFBF"/>
        <bgColor indexed="64"/>
      </patternFill>
    </fill>
    <fill>
      <gradientFill degree="90">
        <stop position="0">
          <color theme="0"/>
        </stop>
        <stop position="1">
          <color theme="4"/>
        </stop>
      </gradientFill>
    </fill>
    <fill>
      <gradientFill degree="90">
        <stop position="0">
          <color theme="0"/>
        </stop>
        <stop position="1">
          <color rgb="FF00B050"/>
        </stop>
      </gradientFill>
    </fill>
    <fill>
      <gradientFill degree="90">
        <stop position="0">
          <color theme="0"/>
        </stop>
        <stop position="1">
          <color rgb="FFFFC000"/>
        </stop>
      </gradientFill>
    </fill>
    <fill>
      <patternFill patternType="solid">
        <fgColor rgb="FF70AD47"/>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theme="0"/>
      </left>
      <right style="thin">
        <color theme="0"/>
      </right>
      <top style="thin">
        <color theme="0"/>
      </top>
      <bottom style="medium">
        <color indexed="64"/>
      </bottom>
      <diagonal/>
    </border>
    <border>
      <left style="medium">
        <color indexed="64"/>
      </left>
      <right style="medium">
        <color indexed="64"/>
      </right>
      <top/>
      <bottom style="medium">
        <color indexed="64"/>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diagonal/>
    </border>
    <border>
      <left style="thin">
        <color theme="0"/>
      </left>
      <right style="medium">
        <color indexed="64"/>
      </right>
      <top/>
      <bottom/>
      <diagonal/>
    </border>
    <border>
      <left style="thin">
        <color theme="0"/>
      </left>
      <right/>
      <top style="thin">
        <color theme="0"/>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right>
      <top style="thin">
        <color theme="0"/>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theme="0"/>
      </left>
      <right/>
      <top/>
      <bottom/>
      <diagonal/>
    </border>
    <border>
      <left style="thin">
        <color theme="0"/>
      </left>
      <right style="thin">
        <color theme="0"/>
      </right>
      <top/>
      <bottom style="thin">
        <color theme="0"/>
      </bottom>
      <diagonal/>
    </border>
    <border>
      <left/>
      <right style="thin">
        <color theme="0"/>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rgb="FFFFFFFF"/>
      </right>
      <top style="medium">
        <color indexed="64"/>
      </top>
      <bottom style="medium">
        <color indexed="64"/>
      </bottom>
      <diagonal/>
    </border>
    <border>
      <left style="medium">
        <color rgb="FFFFFFFF"/>
      </left>
      <right/>
      <top style="medium">
        <color indexed="64"/>
      </top>
      <bottom style="medium">
        <color indexed="64"/>
      </bottom>
      <diagonal/>
    </border>
    <border>
      <left style="medium">
        <color indexed="64"/>
      </left>
      <right style="medium">
        <color rgb="FFA29784"/>
      </right>
      <top/>
      <bottom style="medium">
        <color rgb="FFA29784"/>
      </bottom>
      <diagonal/>
    </border>
    <border>
      <left/>
      <right style="medium">
        <color indexed="64"/>
      </right>
      <top/>
      <bottom style="medium">
        <color rgb="FFA29784"/>
      </bottom>
      <diagonal/>
    </border>
    <border>
      <left style="medium">
        <color indexed="64"/>
      </left>
      <right style="medium">
        <color rgb="FFA29784"/>
      </right>
      <top/>
      <bottom style="medium">
        <color indexed="64"/>
      </bottom>
      <diagonal/>
    </border>
    <border>
      <left style="medium">
        <color indexed="64"/>
      </left>
      <right style="medium">
        <color rgb="FFFFFFFF"/>
      </right>
      <top/>
      <bottom style="medium">
        <color indexed="64"/>
      </bottom>
      <diagonal/>
    </border>
    <border>
      <left style="medium">
        <color rgb="FFFFFFFF"/>
      </left>
      <right/>
      <top/>
      <bottom style="medium">
        <color indexed="64"/>
      </bottom>
      <diagonal/>
    </border>
    <border>
      <left/>
      <right style="medium">
        <color rgb="FFA29784"/>
      </right>
      <top/>
      <bottom style="medium">
        <color rgb="FFA29784"/>
      </bottom>
      <diagonal/>
    </border>
    <border>
      <left/>
      <right/>
      <top/>
      <bottom style="medium">
        <color rgb="FFA29784"/>
      </bottom>
      <diagonal/>
    </border>
    <border>
      <left style="medium">
        <color indexed="64"/>
      </left>
      <right style="medium">
        <color rgb="FFFFFFFF"/>
      </right>
      <top/>
      <bottom/>
      <diagonal/>
    </border>
    <border>
      <left style="medium">
        <color rgb="FFFFFFFF"/>
      </left>
      <right/>
      <top/>
      <bottom style="medium">
        <color rgb="FFA29784"/>
      </bottom>
      <diagonal/>
    </border>
    <border>
      <left style="medium">
        <color indexed="64"/>
      </left>
      <right style="medium">
        <color rgb="FFA29784"/>
      </right>
      <top style="medium">
        <color rgb="FFA29784"/>
      </top>
      <bottom style="medium">
        <color rgb="FFA29784"/>
      </bottom>
      <diagonal/>
    </border>
    <border>
      <left/>
      <right style="medium">
        <color rgb="FFA29784"/>
      </right>
      <top style="medium">
        <color rgb="FFA29784"/>
      </top>
      <bottom style="medium">
        <color rgb="FFA29784"/>
      </bottom>
      <diagonal/>
    </border>
    <border>
      <left style="thin">
        <color theme="0"/>
      </left>
      <right/>
      <top/>
      <bottom style="thin">
        <color indexed="64"/>
      </bottom>
      <diagonal/>
    </border>
    <border>
      <left style="thin">
        <color theme="0"/>
      </left>
      <right style="thin">
        <color theme="0"/>
      </right>
      <top style="thick">
        <color auto="1"/>
      </top>
      <bottom style="thin">
        <color theme="0"/>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theme="0"/>
      </top>
      <bottom/>
      <diagonal/>
    </border>
    <border>
      <left/>
      <right/>
      <top/>
      <bottom style="thin">
        <color theme="0" tint="-0.14999847407452621"/>
      </bottom>
      <diagonal/>
    </border>
    <border>
      <left/>
      <right/>
      <top style="thin">
        <color theme="0" tint="-0.14999847407452621"/>
      </top>
      <bottom/>
      <diagonal/>
    </border>
    <border>
      <left style="medium">
        <color indexed="64"/>
      </left>
      <right/>
      <top style="medium">
        <color indexed="64"/>
      </top>
      <bottom style="thin">
        <color theme="0" tint="-0.1499984740745262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ck">
        <color rgb="FF95D600"/>
      </bottom>
      <diagonal/>
    </border>
    <border>
      <left/>
      <right/>
      <top/>
      <bottom style="thick">
        <color rgb="FF95D600"/>
      </bottom>
      <diagonal/>
    </border>
    <border>
      <left/>
      <right style="medium">
        <color indexed="64"/>
      </right>
      <top/>
      <bottom style="thick">
        <color rgb="FF95D600"/>
      </bottom>
      <diagonal/>
    </border>
    <border>
      <left style="medium">
        <color indexed="64"/>
      </left>
      <right/>
      <top/>
      <bottom style="medium">
        <color rgb="FFDCDDDE"/>
      </bottom>
      <diagonal/>
    </border>
    <border>
      <left/>
      <right/>
      <top/>
      <bottom style="medium">
        <color rgb="FFDCDDDE"/>
      </bottom>
      <diagonal/>
    </border>
    <border>
      <left/>
      <right style="medium">
        <color indexed="64"/>
      </right>
      <top/>
      <bottom style="medium">
        <color rgb="FFDCDDDE"/>
      </bottom>
      <diagonal/>
    </border>
    <border>
      <left style="thin">
        <color indexed="64"/>
      </left>
      <right style="thin">
        <color indexed="64"/>
      </right>
      <top style="thin">
        <color theme="0"/>
      </top>
      <bottom style="thin">
        <color indexed="64"/>
      </bottom>
      <diagonal/>
    </border>
    <border>
      <left/>
      <right style="medium">
        <color indexed="64"/>
      </right>
      <top style="thin">
        <color theme="0"/>
      </top>
      <bottom/>
      <diagonal/>
    </border>
    <border>
      <left style="medium">
        <color indexed="64"/>
      </left>
      <right/>
      <top style="thin">
        <color theme="0"/>
      </top>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indexed="64"/>
      </top>
      <bottom/>
      <diagonal/>
    </border>
    <border>
      <left/>
      <right style="thin">
        <color indexed="64"/>
      </right>
      <top style="thin">
        <color theme="0"/>
      </top>
      <bottom style="thin">
        <color theme="0"/>
      </bottom>
      <diagonal/>
    </border>
    <border>
      <left style="thin">
        <color indexed="64"/>
      </left>
      <right/>
      <top/>
      <bottom style="thin">
        <color theme="0"/>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rgb="FF7F7F7F"/>
      </left>
      <right style="thin">
        <color rgb="FF7F7F7F"/>
      </right>
      <top style="thin">
        <color rgb="FF7F7F7F"/>
      </top>
      <bottom style="thin">
        <color rgb="FF7F7F7F"/>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thin">
        <color theme="4" tint="0.39997558519241921"/>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top style="thin">
        <color theme="1"/>
      </top>
      <bottom style="thin">
        <color theme="0"/>
      </bottom>
      <diagonal/>
    </border>
    <border>
      <left/>
      <right/>
      <top style="thin">
        <color theme="1"/>
      </top>
      <bottom style="thin">
        <color theme="0"/>
      </bottom>
      <diagonal/>
    </border>
    <border>
      <left/>
      <right style="thin">
        <color theme="1"/>
      </right>
      <top style="thin">
        <color theme="1"/>
      </top>
      <bottom style="thin">
        <color theme="0"/>
      </bottom>
      <diagonal/>
    </border>
    <border>
      <left style="thin">
        <color theme="1"/>
      </left>
      <right style="thin">
        <color theme="0"/>
      </right>
      <top style="thin">
        <color theme="0"/>
      </top>
      <bottom/>
      <diagonal/>
    </border>
    <border>
      <left style="thin">
        <color theme="0"/>
      </left>
      <right style="thin">
        <color theme="1"/>
      </right>
      <top style="thin">
        <color theme="0"/>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top style="medium">
        <color indexed="64"/>
      </top>
      <bottom/>
      <diagonal/>
    </border>
    <border>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s>
  <cellStyleXfs count="12">
    <xf numFmtId="0" fontId="0" fillId="0" borderId="0"/>
    <xf numFmtId="9"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41" fillId="0" borderId="0" applyNumberFormat="0" applyFill="0" applyBorder="0" applyAlignment="0" applyProtection="0">
      <alignment vertical="top"/>
      <protection locked="0"/>
    </xf>
    <xf numFmtId="165" fontId="74" fillId="0" borderId="0" applyFont="0" applyFill="0" applyBorder="0" applyAlignment="0" applyProtection="0">
      <alignment horizontal="right"/>
    </xf>
    <xf numFmtId="0" fontId="41" fillId="0" borderId="0" applyNumberFormat="0" applyFill="0" applyBorder="0" applyAlignment="0" applyProtection="0">
      <alignment vertical="top"/>
      <protection locked="0"/>
    </xf>
    <xf numFmtId="0" fontId="130" fillId="0" borderId="0" applyNumberFormat="0" applyFill="0" applyBorder="0" applyAlignment="0" applyProtection="0"/>
    <xf numFmtId="0" fontId="29" fillId="40" borderId="128" applyNumberFormat="0" applyAlignment="0" applyProtection="0"/>
    <xf numFmtId="0" fontId="147" fillId="0" borderId="0"/>
    <xf numFmtId="0" fontId="162" fillId="48" borderId="0" applyNumberFormat="0" applyBorder="0" applyAlignment="0" applyProtection="0"/>
    <xf numFmtId="0" fontId="163" fillId="49" borderId="128" applyNumberFormat="0" applyAlignment="0" applyProtection="0"/>
  </cellStyleXfs>
  <cellXfs count="3477">
    <xf numFmtId="0" fontId="0" fillId="0" borderId="0" xfId="0"/>
    <xf numFmtId="0" fontId="0" fillId="0" borderId="1" xfId="0" applyBorder="1"/>
    <xf numFmtId="0" fontId="8" fillId="0" borderId="1" xfId="0" applyFont="1" applyBorder="1"/>
    <xf numFmtId="0" fontId="9" fillId="0" borderId="0" xfId="0" applyFont="1"/>
    <xf numFmtId="0" fontId="7" fillId="0" borderId="3" xfId="0" applyFont="1" applyBorder="1" applyAlignment="1">
      <alignment horizontal="center" vertical="center" wrapText="1"/>
    </xf>
    <xf numFmtId="0" fontId="7" fillId="2" borderId="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0" borderId="7" xfId="0" applyFont="1" applyBorder="1" applyAlignment="1">
      <alignment horizontal="center" vertical="center" wrapText="1"/>
    </xf>
    <xf numFmtId="0" fontId="7"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1" fillId="0" borderId="8" xfId="0" applyFont="1" applyBorder="1" applyAlignment="1">
      <alignment wrapText="1"/>
    </xf>
    <xf numFmtId="0" fontId="13" fillId="0" borderId="0" xfId="0" applyFont="1" applyAlignment="1">
      <alignment vertical="center" wrapText="1"/>
    </xf>
    <xf numFmtId="0" fontId="0" fillId="0" borderId="1" xfId="0" applyBorder="1" applyAlignment="1">
      <alignment horizontal="center"/>
    </xf>
    <xf numFmtId="3" fontId="0" fillId="0" borderId="1" xfId="0" applyNumberFormat="1" applyBorder="1"/>
    <xf numFmtId="3" fontId="0" fillId="0" borderId="1" xfId="0" applyNumberFormat="1" applyBorder="1" applyAlignment="1">
      <alignment horizontal="center"/>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7" fillId="0" borderId="0" xfId="0" applyFont="1" applyAlignment="1">
      <alignment horizontal="center" vertical="center" wrapText="1"/>
    </xf>
    <xf numFmtId="3" fontId="0" fillId="0" borderId="0" xfId="0" applyNumberFormat="1"/>
    <xf numFmtId="0" fontId="12" fillId="0" borderId="0" xfId="0" applyFont="1" applyAlignment="1">
      <alignment horizontal="center" vertical="center" wrapText="1"/>
    </xf>
    <xf numFmtId="0" fontId="14" fillId="0" borderId="0" xfId="0" applyFont="1" applyAlignment="1">
      <alignment horizontal="center" vertical="center" wrapText="1"/>
    </xf>
    <xf numFmtId="0" fontId="9" fillId="0" borderId="0" xfId="0" applyFont="1" applyAlignment="1">
      <alignment vertical="center" wrapText="1"/>
    </xf>
    <xf numFmtId="0" fontId="12" fillId="0" borderId="0" xfId="0" applyFont="1" applyAlignment="1">
      <alignment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9" fillId="0" borderId="0" xfId="0" applyFont="1" applyAlignment="1">
      <alignment horizontal="left" vertical="center" wrapText="1"/>
    </xf>
    <xf numFmtId="0" fontId="6" fillId="3" borderId="1" xfId="0" applyFont="1" applyFill="1" applyBorder="1" applyAlignment="1">
      <alignment horizontal="center" vertical="center" wrapText="1"/>
    </xf>
    <xf numFmtId="0" fontId="9" fillId="0" borderId="0" xfId="0" applyFont="1" applyAlignment="1">
      <alignment wrapText="1"/>
    </xf>
    <xf numFmtId="0" fontId="0" fillId="0" borderId="8" xfId="0" applyBorder="1"/>
    <xf numFmtId="0" fontId="5" fillId="5" borderId="1"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23" fillId="0" borderId="0" xfId="0" applyFont="1"/>
    <xf numFmtId="0" fontId="0" fillId="12" borderId="0" xfId="0" applyFill="1"/>
    <xf numFmtId="0" fontId="8" fillId="14" borderId="17" xfId="0" applyFont="1" applyFill="1" applyBorder="1" applyAlignment="1">
      <alignment horizontal="center"/>
    </xf>
    <xf numFmtId="0" fontId="0" fillId="16" borderId="1" xfId="0" applyFill="1" applyBorder="1"/>
    <xf numFmtId="0" fontId="33" fillId="0" borderId="0" xfId="0" applyFont="1" applyAlignment="1">
      <alignment wrapText="1"/>
    </xf>
    <xf numFmtId="167" fontId="0" fillId="13" borderId="18" xfId="2" applyNumberFormat="1" applyFont="1" applyFill="1" applyBorder="1"/>
    <xf numFmtId="0" fontId="33" fillId="16" borderId="0" xfId="0" applyFont="1" applyFill="1"/>
    <xf numFmtId="165" fontId="31" fillId="0" borderId="0" xfId="0" applyNumberFormat="1" applyFont="1"/>
    <xf numFmtId="0" fontId="31" fillId="0" borderId="0" xfId="0" applyFont="1"/>
    <xf numFmtId="0" fontId="33" fillId="0" borderId="0" xfId="0" applyFont="1"/>
    <xf numFmtId="0" fontId="36" fillId="17" borderId="1" xfId="0" applyFont="1" applyFill="1" applyBorder="1" applyAlignment="1">
      <alignment horizontal="center" vertical="center" wrapText="1"/>
    </xf>
    <xf numFmtId="6" fontId="33" fillId="0" borderId="1" xfId="0" applyNumberFormat="1" applyFont="1" applyBorder="1" applyAlignment="1">
      <alignment horizontal="center" vertical="center" wrapText="1"/>
    </xf>
    <xf numFmtId="6" fontId="0" fillId="0" borderId="0" xfId="0" applyNumberFormat="1"/>
    <xf numFmtId="0" fontId="39" fillId="16" borderId="1" xfId="0" applyFont="1" applyFill="1" applyBorder="1" applyAlignment="1">
      <alignment wrapText="1"/>
    </xf>
    <xf numFmtId="0" fontId="0" fillId="0" borderId="0" xfId="0" applyAlignment="1">
      <alignment wrapText="1"/>
    </xf>
    <xf numFmtId="9" fontId="0" fillId="16" borderId="1" xfId="1" applyFont="1" applyFill="1" applyBorder="1"/>
    <xf numFmtId="0" fontId="32" fillId="18" borderId="24" xfId="0" applyFont="1" applyFill="1" applyBorder="1"/>
    <xf numFmtId="0" fontId="32" fillId="18" borderId="25" xfId="0" applyFont="1" applyFill="1" applyBorder="1"/>
    <xf numFmtId="0" fontId="0" fillId="18" borderId="25" xfId="0" applyFill="1" applyBorder="1"/>
    <xf numFmtId="0" fontId="0" fillId="18" borderId="26" xfId="0" applyFill="1" applyBorder="1"/>
    <xf numFmtId="2" fontId="31" fillId="0" borderId="0" xfId="0" applyNumberFormat="1" applyFont="1"/>
    <xf numFmtId="0" fontId="33" fillId="16" borderId="13" xfId="0" applyFont="1" applyFill="1" applyBorder="1"/>
    <xf numFmtId="0" fontId="33" fillId="16" borderId="0" xfId="0" applyFont="1" applyFill="1" applyAlignment="1">
      <alignment horizontal="justify" vertical="center"/>
    </xf>
    <xf numFmtId="0" fontId="0" fillId="16" borderId="0" xfId="0" applyFill="1"/>
    <xf numFmtId="0" fontId="0" fillId="16" borderId="12" xfId="0" applyFill="1" applyBorder="1"/>
    <xf numFmtId="0" fontId="33" fillId="16" borderId="7" xfId="0" applyFont="1" applyFill="1" applyBorder="1"/>
    <xf numFmtId="0" fontId="0" fillId="16" borderId="6" xfId="0" applyFill="1" applyBorder="1"/>
    <xf numFmtId="0" fontId="0" fillId="16" borderId="15" xfId="0" applyFill="1" applyBorder="1"/>
    <xf numFmtId="0" fontId="40" fillId="18" borderId="24" xfId="0" applyFont="1" applyFill="1" applyBorder="1"/>
    <xf numFmtId="0" fontId="30" fillId="18" borderId="25" xfId="0" applyFont="1" applyFill="1" applyBorder="1" applyAlignment="1">
      <alignment horizontal="center"/>
    </xf>
    <xf numFmtId="0" fontId="30" fillId="18" borderId="25" xfId="0" applyFont="1" applyFill="1" applyBorder="1"/>
    <xf numFmtId="0" fontId="39" fillId="0" borderId="27" xfId="0" applyFont="1" applyBorder="1" applyAlignment="1">
      <alignment wrapText="1"/>
    </xf>
    <xf numFmtId="9" fontId="0" fillId="0" borderId="28" xfId="1" applyFont="1" applyBorder="1"/>
    <xf numFmtId="0" fontId="33" fillId="0" borderId="28" xfId="0" applyFont="1" applyBorder="1"/>
    <xf numFmtId="0" fontId="0" fillId="0" borderId="28" xfId="0" applyBorder="1"/>
    <xf numFmtId="0" fontId="0" fillId="0" borderId="29" xfId="0" applyBorder="1"/>
    <xf numFmtId="0" fontId="39" fillId="0" borderId="30" xfId="0" applyFont="1" applyBorder="1" applyAlignment="1">
      <alignment wrapText="1"/>
    </xf>
    <xf numFmtId="9" fontId="0" fillId="0" borderId="31" xfId="1" applyFont="1" applyBorder="1"/>
    <xf numFmtId="0" fontId="33" fillId="0" borderId="31" xfId="0" applyFont="1" applyBorder="1"/>
    <xf numFmtId="0" fontId="0" fillId="0" borderId="31" xfId="0" applyBorder="1"/>
    <xf numFmtId="0" fontId="0" fillId="0" borderId="32" xfId="0" applyBorder="1"/>
    <xf numFmtId="170" fontId="0" fillId="0" borderId="28" xfId="2" applyNumberFormat="1" applyFont="1" applyBorder="1"/>
    <xf numFmtId="0" fontId="0" fillId="0" borderId="30" xfId="0" applyBorder="1"/>
    <xf numFmtId="10" fontId="0" fillId="0" borderId="28" xfId="1" applyNumberFormat="1" applyFont="1" applyBorder="1"/>
    <xf numFmtId="1" fontId="0" fillId="0" borderId="28" xfId="1" applyNumberFormat="1" applyFont="1" applyBorder="1"/>
    <xf numFmtId="170" fontId="0" fillId="0" borderId="28" xfId="2" applyNumberFormat="1" applyFont="1" applyFill="1" applyBorder="1"/>
    <xf numFmtId="170" fontId="0" fillId="0" borderId="31" xfId="2" applyNumberFormat="1" applyFont="1" applyFill="1" applyBorder="1"/>
    <xf numFmtId="0" fontId="0" fillId="0" borderId="27" xfId="0" applyBorder="1"/>
    <xf numFmtId="0" fontId="0" fillId="0" borderId="24" xfId="0" applyBorder="1"/>
    <xf numFmtId="0" fontId="0" fillId="0" borderId="25" xfId="0" applyBorder="1" applyAlignment="1">
      <alignment wrapText="1"/>
    </xf>
    <xf numFmtId="0" fontId="0" fillId="0" borderId="26" xfId="0" applyBorder="1"/>
    <xf numFmtId="0" fontId="30" fillId="18" borderId="24" xfId="0" applyFont="1" applyFill="1" applyBorder="1" applyAlignment="1">
      <alignment vertical="center"/>
    </xf>
    <xf numFmtId="0" fontId="32" fillId="18" borderId="25" xfId="0" applyFont="1" applyFill="1" applyBorder="1" applyAlignment="1">
      <alignment vertical="center"/>
    </xf>
    <xf numFmtId="0" fontId="0" fillId="16" borderId="33" xfId="0" applyFill="1" applyBorder="1"/>
    <xf numFmtId="0" fontId="0" fillId="16" borderId="34" xfId="0" applyFill="1" applyBorder="1"/>
    <xf numFmtId="0" fontId="33" fillId="16" borderId="1" xfId="0" applyFont="1" applyFill="1" applyBorder="1" applyAlignment="1">
      <alignment horizontal="center" vertical="center" wrapText="1"/>
    </xf>
    <xf numFmtId="9" fontId="33" fillId="16" borderId="1" xfId="0" applyNumberFormat="1" applyFont="1" applyFill="1" applyBorder="1" applyAlignment="1">
      <alignment horizontal="center" vertical="center" wrapText="1"/>
    </xf>
    <xf numFmtId="0" fontId="41" fillId="0" borderId="0" xfId="4" applyAlignment="1" applyProtection="1">
      <alignment vertical="center"/>
    </xf>
    <xf numFmtId="0" fontId="31" fillId="16" borderId="0" xfId="0" applyFont="1" applyFill="1"/>
    <xf numFmtId="0" fontId="41" fillId="16" borderId="34" xfId="4" applyFill="1" applyBorder="1" applyAlignment="1" applyProtection="1">
      <alignment vertical="center"/>
    </xf>
    <xf numFmtId="0" fontId="33" fillId="16" borderId="1" xfId="0" applyFont="1" applyFill="1" applyBorder="1" applyAlignment="1">
      <alignment horizontal="right" vertical="center"/>
    </xf>
    <xf numFmtId="3" fontId="33" fillId="16" borderId="1" xfId="0" applyNumberFormat="1" applyFont="1" applyFill="1" applyBorder="1" applyAlignment="1">
      <alignment horizontal="center" vertical="center"/>
    </xf>
    <xf numFmtId="3" fontId="33" fillId="16" borderId="1" xfId="0" applyNumberFormat="1" applyFont="1" applyFill="1" applyBorder="1" applyAlignment="1">
      <alignment horizontal="center" vertical="center" wrapText="1"/>
    </xf>
    <xf numFmtId="0" fontId="33" fillId="16" borderId="1" xfId="0" applyFont="1" applyFill="1" applyBorder="1" applyAlignment="1">
      <alignment horizontal="center" vertical="center"/>
    </xf>
    <xf numFmtId="0" fontId="31" fillId="16" borderId="34" xfId="0" applyFont="1" applyFill="1" applyBorder="1"/>
    <xf numFmtId="0" fontId="0" fillId="16" borderId="35" xfId="0" applyFill="1" applyBorder="1"/>
    <xf numFmtId="0" fontId="36" fillId="17" borderId="16" xfId="0" applyFont="1" applyFill="1" applyBorder="1" applyAlignment="1">
      <alignment horizontal="center" vertical="center" wrapText="1"/>
    </xf>
    <xf numFmtId="169" fontId="33" fillId="16" borderId="1" xfId="1" applyNumberFormat="1" applyFont="1" applyFill="1" applyBorder="1" applyAlignment="1">
      <alignment horizontal="center" vertical="center" wrapText="1"/>
    </xf>
    <xf numFmtId="0" fontId="41" fillId="0" borderId="0" xfId="4" applyAlignment="1" applyProtection="1">
      <alignment horizontal="justify" vertical="center"/>
    </xf>
    <xf numFmtId="9" fontId="0" fillId="0" borderId="0" xfId="0" applyNumberFormat="1"/>
    <xf numFmtId="44" fontId="0" fillId="16" borderId="1" xfId="3" applyFont="1" applyFill="1" applyBorder="1"/>
    <xf numFmtId="2" fontId="0" fillId="0" borderId="0" xfId="0" applyNumberFormat="1"/>
    <xf numFmtId="10" fontId="0" fillId="0" borderId="0" xfId="0" applyNumberFormat="1"/>
    <xf numFmtId="8" fontId="0" fillId="0" borderId="0" xfId="0" applyNumberFormat="1"/>
    <xf numFmtId="0" fontId="8" fillId="19" borderId="1" xfId="0" applyFont="1" applyFill="1" applyBorder="1" applyAlignment="1">
      <alignment horizontal="center"/>
    </xf>
    <xf numFmtId="0" fontId="8" fillId="19" borderId="1" xfId="0" applyFont="1" applyFill="1" applyBorder="1"/>
    <xf numFmtId="0" fontId="0" fillId="16" borderId="1" xfId="0" applyFill="1" applyBorder="1" applyAlignment="1">
      <alignment horizontal="center"/>
    </xf>
    <xf numFmtId="1" fontId="0" fillId="16" borderId="1" xfId="0" applyNumberFormat="1" applyFill="1" applyBorder="1"/>
    <xf numFmtId="2" fontId="0" fillId="16" borderId="1" xfId="0" applyNumberFormat="1" applyFill="1" applyBorder="1"/>
    <xf numFmtId="168" fontId="0" fillId="16" borderId="1" xfId="0" applyNumberFormat="1" applyFill="1" applyBorder="1"/>
    <xf numFmtId="43" fontId="0" fillId="16" borderId="1" xfId="2" applyFont="1" applyFill="1" applyBorder="1"/>
    <xf numFmtId="0" fontId="0" fillId="0" borderId="31" xfId="0" applyBorder="1" applyAlignment="1">
      <alignment wrapText="1"/>
    </xf>
    <xf numFmtId="167" fontId="0" fillId="13" borderId="36" xfId="2" applyNumberFormat="1" applyFont="1" applyFill="1" applyBorder="1"/>
    <xf numFmtId="0" fontId="8" fillId="14" borderId="37" xfId="0" applyFont="1" applyFill="1" applyBorder="1" applyAlignment="1">
      <alignment horizontal="center" wrapText="1"/>
    </xf>
    <xf numFmtId="0" fontId="8" fillId="14" borderId="38" xfId="0" applyFont="1" applyFill="1" applyBorder="1" applyAlignment="1">
      <alignment horizontal="center" wrapText="1"/>
    </xf>
    <xf numFmtId="0" fontId="8" fillId="14" borderId="39" xfId="0" applyFont="1" applyFill="1" applyBorder="1" applyAlignment="1">
      <alignment horizontal="center" wrapText="1"/>
    </xf>
    <xf numFmtId="0" fontId="8" fillId="14" borderId="40" xfId="0" applyFont="1" applyFill="1" applyBorder="1" applyAlignment="1">
      <alignment horizontal="center" wrapText="1"/>
    </xf>
    <xf numFmtId="43" fontId="34" fillId="13" borderId="41" xfId="2" applyFont="1" applyFill="1" applyBorder="1"/>
    <xf numFmtId="169" fontId="0" fillId="13" borderId="42" xfId="2" applyNumberFormat="1" applyFont="1" applyFill="1" applyBorder="1"/>
    <xf numFmtId="1" fontId="34" fillId="13" borderId="41" xfId="2" applyNumberFormat="1" applyFont="1" applyFill="1" applyBorder="1"/>
    <xf numFmtId="1" fontId="34" fillId="13" borderId="43" xfId="2" applyNumberFormat="1" applyFont="1" applyFill="1" applyBorder="1"/>
    <xf numFmtId="43" fontId="34" fillId="13" borderId="39" xfId="2" applyFont="1" applyFill="1" applyBorder="1"/>
    <xf numFmtId="2" fontId="0" fillId="16" borderId="45" xfId="0" applyNumberFormat="1" applyFill="1" applyBorder="1"/>
    <xf numFmtId="0" fontId="0" fillId="16" borderId="45" xfId="0" applyFill="1" applyBorder="1"/>
    <xf numFmtId="169" fontId="0" fillId="13" borderId="46" xfId="2" applyNumberFormat="1" applyFont="1" applyFill="1" applyBorder="1"/>
    <xf numFmtId="1" fontId="34" fillId="13" borderId="39" xfId="2" applyNumberFormat="1" applyFont="1" applyFill="1" applyBorder="1"/>
    <xf numFmtId="1" fontId="34" fillId="13" borderId="40" xfId="2" applyNumberFormat="1" applyFont="1" applyFill="1" applyBorder="1"/>
    <xf numFmtId="0" fontId="8" fillId="0" borderId="0" xfId="0" applyFont="1" applyAlignment="1">
      <alignment wrapText="1"/>
    </xf>
    <xf numFmtId="1" fontId="0" fillId="0" borderId="0" xfId="0" applyNumberFormat="1" applyAlignment="1">
      <alignment horizontal="center" wrapText="1"/>
    </xf>
    <xf numFmtId="166" fontId="0" fillId="0" borderId="0" xfId="3" applyNumberFormat="1" applyFont="1" applyFill="1" applyBorder="1" applyAlignment="1">
      <alignment wrapText="1"/>
    </xf>
    <xf numFmtId="0" fontId="39" fillId="0" borderId="0" xfId="0" applyFont="1" applyAlignment="1">
      <alignment wrapText="1"/>
    </xf>
    <xf numFmtId="43" fontId="0" fillId="0" borderId="0" xfId="2" applyFont="1" applyFill="1" applyBorder="1"/>
    <xf numFmtId="167" fontId="0" fillId="0" borderId="0" xfId="2" applyNumberFormat="1" applyFont="1" applyFill="1" applyBorder="1"/>
    <xf numFmtId="1" fontId="0" fillId="0" borderId="0" xfId="0" applyNumberFormat="1"/>
    <xf numFmtId="168" fontId="0" fillId="0" borderId="0" xfId="0" applyNumberFormat="1"/>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30" fillId="18" borderId="24" xfId="0" applyFont="1" applyFill="1" applyBorder="1"/>
    <xf numFmtId="0" fontId="0" fillId="0" borderId="30" xfId="0" applyBorder="1" applyAlignment="1">
      <alignment vertical="center"/>
    </xf>
    <xf numFmtId="0" fontId="0" fillId="0" borderId="31" xfId="0" applyBorder="1" applyAlignment="1">
      <alignment vertical="center"/>
    </xf>
    <xf numFmtId="0" fontId="0" fillId="0" borderId="32" xfId="0" applyBorder="1" applyAlignment="1">
      <alignment vertical="center"/>
    </xf>
    <xf numFmtId="14" fontId="0" fillId="16" borderId="33" xfId="0" applyNumberFormat="1" applyFill="1" applyBorder="1"/>
    <xf numFmtId="9" fontId="0" fillId="16" borderId="0" xfId="0" applyNumberFormat="1" applyFill="1"/>
    <xf numFmtId="0" fontId="0" fillId="16" borderId="30" xfId="0" applyFill="1" applyBorder="1" applyAlignment="1">
      <alignment horizontal="left" indent="2"/>
    </xf>
    <xf numFmtId="0" fontId="0" fillId="16" borderId="31" xfId="0" applyFill="1" applyBorder="1"/>
    <xf numFmtId="9" fontId="0" fillId="16" borderId="31" xfId="0" applyNumberFormat="1" applyFill="1" applyBorder="1"/>
    <xf numFmtId="0" fontId="0" fillId="16" borderId="32" xfId="0" applyFill="1" applyBorder="1"/>
    <xf numFmtId="43" fontId="0" fillId="16" borderId="31" xfId="2" applyFont="1" applyFill="1" applyBorder="1"/>
    <xf numFmtId="0" fontId="33" fillId="0" borderId="31" xfId="0" applyFont="1" applyBorder="1" applyAlignment="1">
      <alignment vertical="center"/>
    </xf>
    <xf numFmtId="0" fontId="0" fillId="0" borderId="33" xfId="0" applyBorder="1" applyAlignment="1">
      <alignment vertical="center"/>
    </xf>
    <xf numFmtId="0" fontId="0" fillId="0" borderId="0" xfId="0" applyAlignment="1">
      <alignment vertical="center"/>
    </xf>
    <xf numFmtId="0" fontId="0" fillId="0" borderId="34" xfId="0" applyBorder="1" applyAlignment="1">
      <alignment vertical="center"/>
    </xf>
    <xf numFmtId="0" fontId="45" fillId="20" borderId="1" xfId="0" applyFont="1" applyFill="1" applyBorder="1" applyAlignment="1">
      <alignment wrapText="1"/>
    </xf>
    <xf numFmtId="0" fontId="33" fillId="0" borderId="1" xfId="0" applyFont="1" applyBorder="1" applyAlignment="1">
      <alignment wrapText="1"/>
    </xf>
    <xf numFmtId="9" fontId="33" fillId="0" borderId="1" xfId="1" applyFont="1" applyBorder="1" applyAlignment="1">
      <alignment wrapText="1"/>
    </xf>
    <xf numFmtId="9" fontId="0" fillId="0" borderId="1" xfId="1" applyFont="1" applyBorder="1"/>
    <xf numFmtId="0" fontId="39" fillId="0" borderId="1" xfId="0" applyFont="1" applyBorder="1" applyAlignment="1">
      <alignment wrapText="1"/>
    </xf>
    <xf numFmtId="1" fontId="0" fillId="0" borderId="1" xfId="1" applyNumberFormat="1" applyFont="1" applyBorder="1"/>
    <xf numFmtId="171" fontId="0" fillId="0" borderId="1" xfId="0" applyNumberFormat="1" applyBorder="1"/>
    <xf numFmtId="2" fontId="0" fillId="0" borderId="1" xfId="0" applyNumberFormat="1" applyBorder="1"/>
    <xf numFmtId="1" fontId="0" fillId="0" borderId="1" xfId="0" applyNumberFormat="1" applyBorder="1"/>
    <xf numFmtId="0" fontId="41" fillId="0" borderId="0" xfId="4" applyBorder="1" applyAlignment="1" applyProtection="1">
      <alignment horizontal="justify" vertical="center"/>
    </xf>
    <xf numFmtId="0" fontId="46" fillId="0" borderId="0" xfId="0" applyFont="1"/>
    <xf numFmtId="0" fontId="36" fillId="17" borderId="2" xfId="0" applyFont="1" applyFill="1" applyBorder="1" applyAlignment="1">
      <alignment vertical="center" wrapText="1"/>
    </xf>
    <xf numFmtId="9" fontId="33" fillId="0" borderId="1" xfId="0" applyNumberFormat="1" applyFont="1" applyBorder="1" applyAlignment="1">
      <alignment horizontal="center" vertical="center" wrapText="1"/>
    </xf>
    <xf numFmtId="0" fontId="33" fillId="0" borderId="1" xfId="0" applyFont="1" applyBorder="1" applyAlignment="1">
      <alignment horizontal="center" vertical="center"/>
    </xf>
    <xf numFmtId="9" fontId="0" fillId="0" borderId="51" xfId="0" applyNumberFormat="1" applyBorder="1"/>
    <xf numFmtId="0" fontId="0" fillId="0" borderId="0" xfId="0" applyAlignment="1">
      <alignment horizontal="right"/>
    </xf>
    <xf numFmtId="0" fontId="33" fillId="0" borderId="0" xfId="0" applyFont="1" applyAlignment="1">
      <alignment horizontal="right" vertical="center"/>
    </xf>
    <xf numFmtId="0" fontId="33" fillId="0" borderId="0" xfId="0" applyFont="1" applyAlignment="1">
      <alignment horizontal="center" vertical="center"/>
    </xf>
    <xf numFmtId="0" fontId="41" fillId="0" borderId="0" xfId="4" applyAlignment="1" applyProtection="1">
      <alignment horizontal="left" vertical="center"/>
    </xf>
    <xf numFmtId="0" fontId="33" fillId="0" borderId="0" xfId="0" applyFont="1" applyAlignment="1">
      <alignment horizontal="left" vertical="center"/>
    </xf>
    <xf numFmtId="0" fontId="47" fillId="17" borderId="54" xfId="0" applyFont="1" applyFill="1" applyBorder="1" applyAlignment="1">
      <alignment horizontal="justify" vertical="center" wrapText="1"/>
    </xf>
    <xf numFmtId="0" fontId="47" fillId="17" borderId="26" xfId="0" applyFont="1" applyFill="1" applyBorder="1" applyAlignment="1">
      <alignment horizontal="justify" vertical="center" wrapText="1"/>
    </xf>
    <xf numFmtId="0" fontId="33" fillId="0" borderId="1" xfId="0" applyFont="1" applyBorder="1" applyAlignment="1">
      <alignment horizontal="right" vertical="center"/>
    </xf>
    <xf numFmtId="0" fontId="36" fillId="0" borderId="13" xfId="0" applyFont="1" applyBorder="1" applyAlignment="1">
      <alignment vertical="center" wrapText="1"/>
    </xf>
    <xf numFmtId="0" fontId="48" fillId="0" borderId="37" xfId="0" applyFont="1" applyBorder="1" applyAlignment="1">
      <alignment horizontal="justify" vertical="center" wrapText="1"/>
    </xf>
    <xf numFmtId="9" fontId="48" fillId="0" borderId="32" xfId="0" applyNumberFormat="1" applyFont="1" applyBorder="1" applyAlignment="1">
      <alignment horizontal="justify" vertical="center" wrapText="1"/>
    </xf>
    <xf numFmtId="0" fontId="36" fillId="0" borderId="0" xfId="0" applyFont="1" applyAlignment="1">
      <alignment horizontal="center" vertical="center" wrapText="1"/>
    </xf>
    <xf numFmtId="9" fontId="49" fillId="0" borderId="32" xfId="4" applyNumberFormat="1" applyFont="1" applyBorder="1" applyAlignment="1" applyProtection="1">
      <alignment horizontal="justify" vertical="center" wrapText="1"/>
    </xf>
    <xf numFmtId="6" fontId="33" fillId="0" borderId="0" xfId="0" applyNumberFormat="1" applyFont="1" applyAlignment="1">
      <alignment horizontal="center" vertical="center" wrapText="1"/>
    </xf>
    <xf numFmtId="0" fontId="49" fillId="0" borderId="32" xfId="4" applyFont="1" applyBorder="1" applyAlignment="1" applyProtection="1">
      <alignment horizontal="justify" vertical="center" wrapText="1"/>
    </xf>
    <xf numFmtId="0" fontId="8" fillId="0" borderId="0" xfId="0" applyFont="1"/>
    <xf numFmtId="0" fontId="36" fillId="17" borderId="55" xfId="0" applyFont="1" applyFill="1" applyBorder="1" applyAlignment="1">
      <alignment horizontal="center" vertical="center" wrapText="1"/>
    </xf>
    <xf numFmtId="0" fontId="50" fillId="0" borderId="0" xfId="0" applyFont="1" applyAlignment="1">
      <alignment horizontal="left"/>
    </xf>
    <xf numFmtId="0" fontId="36" fillId="17" borderId="37" xfId="0" applyFont="1" applyFill="1" applyBorder="1" applyAlignment="1">
      <alignment horizontal="center" vertical="center" wrapText="1"/>
    </xf>
    <xf numFmtId="9" fontId="51" fillId="0" borderId="37" xfId="0" applyNumberFormat="1" applyFont="1" applyBorder="1" applyAlignment="1">
      <alignment horizontal="center" vertical="center" wrapText="1"/>
    </xf>
    <xf numFmtId="6" fontId="51" fillId="0" borderId="32" xfId="0" applyNumberFormat="1" applyFont="1" applyBorder="1" applyAlignment="1">
      <alignment horizontal="center" vertical="center" wrapText="1"/>
    </xf>
    <xf numFmtId="0" fontId="51" fillId="0" borderId="32" xfId="0" applyFont="1" applyBorder="1" applyAlignment="1">
      <alignment horizontal="center" vertical="center" wrapText="1"/>
    </xf>
    <xf numFmtId="0" fontId="51" fillId="0" borderId="54" xfId="0" applyFont="1" applyBorder="1" applyAlignment="1">
      <alignment horizontal="center" vertical="center" wrapText="1"/>
    </xf>
    <xf numFmtId="0" fontId="33" fillId="0" borderId="0" xfId="0" applyFont="1" applyAlignment="1">
      <alignment horizontal="left" vertical="center" wrapText="1"/>
    </xf>
    <xf numFmtId="6" fontId="51" fillId="0" borderId="54" xfId="0" applyNumberFormat="1" applyFont="1" applyBorder="1" applyAlignment="1">
      <alignment horizontal="center" vertical="center" wrapText="1"/>
    </xf>
    <xf numFmtId="8" fontId="51" fillId="0" borderId="54" xfId="0" applyNumberFormat="1" applyFont="1" applyBorder="1" applyAlignment="1">
      <alignment horizontal="center" vertical="center" wrapText="1"/>
    </xf>
    <xf numFmtId="169" fontId="52" fillId="0" borderId="54" xfId="0" applyNumberFormat="1" applyFont="1" applyBorder="1" applyAlignment="1">
      <alignment horizontal="center" vertical="center" wrapText="1"/>
    </xf>
    <xf numFmtId="9" fontId="53" fillId="0" borderId="0" xfId="0" applyNumberFormat="1" applyFont="1" applyAlignment="1">
      <alignment horizontal="center" vertical="center" wrapText="1"/>
    </xf>
    <xf numFmtId="6" fontId="53" fillId="0" borderId="0" xfId="0" applyNumberFormat="1" applyFont="1" applyAlignment="1">
      <alignment horizontal="center" vertical="center" wrapText="1"/>
    </xf>
    <xf numFmtId="8" fontId="53" fillId="0" borderId="0" xfId="0" applyNumberFormat="1" applyFont="1" applyAlignment="1">
      <alignment horizontal="center" vertical="center" wrapText="1"/>
    </xf>
    <xf numFmtId="172" fontId="0" fillId="0" borderId="0" xfId="3" applyNumberFormat="1" applyFont="1" applyAlignment="1">
      <alignment horizontal="right"/>
    </xf>
    <xf numFmtId="10" fontId="0" fillId="0" borderId="0" xfId="1" applyNumberFormat="1" applyFont="1" applyAlignment="1">
      <alignment horizontal="right"/>
    </xf>
    <xf numFmtId="1" fontId="8" fillId="0" borderId="0" xfId="1" applyNumberFormat="1" applyFont="1" applyFill="1" applyBorder="1" applyAlignment="1">
      <alignment horizontal="right"/>
    </xf>
    <xf numFmtId="172" fontId="0" fillId="0" borderId="0" xfId="3" applyNumberFormat="1" applyFont="1"/>
    <xf numFmtId="173" fontId="8" fillId="0" borderId="0" xfId="0" applyNumberFormat="1" applyFont="1" applyAlignment="1">
      <alignment horizontal="center"/>
    </xf>
    <xf numFmtId="0" fontId="54" fillId="0" borderId="1" xfId="0" applyFont="1" applyBorder="1" applyAlignment="1">
      <alignment horizontal="center" vertical="center"/>
    </xf>
    <xf numFmtId="173" fontId="0" fillId="0" borderId="0" xfId="0" applyNumberFormat="1"/>
    <xf numFmtId="0" fontId="54" fillId="0" borderId="1"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0" xfId="0" applyFont="1" applyAlignment="1">
      <alignment horizontal="center" vertical="center" wrapText="1"/>
    </xf>
    <xf numFmtId="0" fontId="8" fillId="0" borderId="0" xfId="0" applyFont="1" applyAlignment="1">
      <alignment horizontal="center"/>
    </xf>
    <xf numFmtId="0" fontId="53" fillId="0" borderId="1" xfId="0" applyFont="1" applyBorder="1" applyAlignment="1">
      <alignment horizontal="right" vertical="center"/>
    </xf>
    <xf numFmtId="9" fontId="53" fillId="0" borderId="1" xfId="0" applyNumberFormat="1" applyFont="1" applyBorder="1" applyAlignment="1">
      <alignment horizontal="right" vertical="center"/>
    </xf>
    <xf numFmtId="0" fontId="57" fillId="0" borderId="1" xfId="0" applyFont="1" applyBorder="1" applyAlignment="1">
      <alignment horizontal="right" vertical="center"/>
    </xf>
    <xf numFmtId="0" fontId="57" fillId="0" borderId="0" xfId="0" applyFont="1" applyAlignment="1">
      <alignment horizontal="right" vertical="center"/>
    </xf>
    <xf numFmtId="0" fontId="8" fillId="0" borderId="0" xfId="0" applyFont="1" applyAlignment="1">
      <alignment horizontal="right"/>
    </xf>
    <xf numFmtId="1" fontId="0" fillId="0" borderId="0" xfId="1" applyNumberFormat="1" applyFont="1" applyFill="1" applyBorder="1" applyAlignment="1">
      <alignment horizontal="center"/>
    </xf>
    <xf numFmtId="1" fontId="0" fillId="0" borderId="0" xfId="1" applyNumberFormat="1" applyFont="1" applyFill="1" applyBorder="1" applyAlignment="1">
      <alignment horizontal="right"/>
    </xf>
    <xf numFmtId="0" fontId="8" fillId="0" borderId="1" xfId="0" applyFont="1" applyBorder="1" applyAlignment="1">
      <alignment horizontal="center"/>
    </xf>
    <xf numFmtId="0" fontId="0" fillId="0" borderId="1" xfId="0" applyBorder="1" applyAlignment="1">
      <alignment wrapText="1"/>
    </xf>
    <xf numFmtId="169" fontId="0" fillId="0" borderId="1" xfId="1" applyNumberFormat="1" applyFont="1" applyBorder="1" applyAlignment="1">
      <alignment horizontal="center"/>
    </xf>
    <xf numFmtId="9" fontId="0" fillId="0" borderId="1" xfId="0" applyNumberFormat="1" applyBorder="1"/>
    <xf numFmtId="9" fontId="0" fillId="0" borderId="1" xfId="0" applyNumberFormat="1" applyBorder="1" applyAlignment="1">
      <alignment horizontal="center"/>
    </xf>
    <xf numFmtId="43" fontId="0" fillId="0" borderId="1" xfId="0" applyNumberFormat="1" applyBorder="1"/>
    <xf numFmtId="43" fontId="0" fillId="0" borderId="1" xfId="0" applyNumberFormat="1" applyBorder="1" applyAlignment="1">
      <alignment horizontal="center"/>
    </xf>
    <xf numFmtId="6" fontId="0" fillId="0" borderId="1" xfId="0" applyNumberFormat="1" applyBorder="1"/>
    <xf numFmtId="6" fontId="0" fillId="0" borderId="1" xfId="0" applyNumberFormat="1" applyBorder="1" applyAlignment="1">
      <alignment horizontal="center"/>
    </xf>
    <xf numFmtId="0" fontId="36" fillId="22" borderId="54" xfId="0" applyFont="1" applyFill="1" applyBorder="1" applyAlignment="1">
      <alignment horizontal="center" vertical="center" wrapText="1"/>
    </xf>
    <xf numFmtId="0" fontId="36" fillId="22" borderId="26" xfId="0" applyFont="1" applyFill="1" applyBorder="1" applyAlignment="1">
      <alignment horizontal="center" vertical="center" wrapText="1"/>
    </xf>
    <xf numFmtId="0" fontId="33" fillId="0" borderId="37" xfId="0" applyFont="1" applyBorder="1" applyAlignment="1">
      <alignment horizontal="justify" vertical="center" wrapText="1"/>
    </xf>
    <xf numFmtId="9" fontId="33" fillId="0" borderId="32" xfId="0" applyNumberFormat="1" applyFont="1" applyBorder="1" applyAlignment="1">
      <alignment horizontal="center" vertical="center" wrapText="1"/>
    </xf>
    <xf numFmtId="0" fontId="39" fillId="16" borderId="1" xfId="0" applyFont="1" applyFill="1" applyBorder="1"/>
    <xf numFmtId="0" fontId="39" fillId="0" borderId="0" xfId="0" applyFont="1"/>
    <xf numFmtId="10" fontId="0" fillId="16" borderId="1" xfId="0" applyNumberFormat="1" applyFill="1" applyBorder="1"/>
    <xf numFmtId="165" fontId="58" fillId="0" borderId="0" xfId="0" applyNumberFormat="1" applyFont="1"/>
    <xf numFmtId="0" fontId="33" fillId="16" borderId="6" xfId="0" applyFont="1" applyFill="1" applyBorder="1" applyAlignment="1">
      <alignment horizontal="justify" vertical="center"/>
    </xf>
    <xf numFmtId="0" fontId="39" fillId="0" borderId="27" xfId="0" applyFont="1" applyBorder="1"/>
    <xf numFmtId="0" fontId="39" fillId="0" borderId="30" xfId="0" applyFont="1" applyBorder="1"/>
    <xf numFmtId="0" fontId="39" fillId="0" borderId="33" xfId="0" applyFont="1" applyBorder="1"/>
    <xf numFmtId="0" fontId="0" fillId="0" borderId="34" xfId="0" applyBorder="1"/>
    <xf numFmtId="0" fontId="0" fillId="0" borderId="33" xfId="0" applyBorder="1"/>
    <xf numFmtId="0" fontId="33" fillId="16" borderId="1" xfId="0" applyFont="1" applyFill="1" applyBorder="1" applyAlignment="1">
      <alignment vertical="center" wrapText="1"/>
    </xf>
    <xf numFmtId="0" fontId="41" fillId="16" borderId="0" xfId="4" applyFill="1" applyBorder="1" applyAlignment="1" applyProtection="1">
      <alignment vertical="center"/>
    </xf>
    <xf numFmtId="0" fontId="0" fillId="16" borderId="1" xfId="0" applyFill="1" applyBorder="1" applyAlignment="1">
      <alignment wrapText="1"/>
    </xf>
    <xf numFmtId="0" fontId="55" fillId="16" borderId="0" xfId="0" applyFont="1" applyFill="1"/>
    <xf numFmtId="0" fontId="36" fillId="17" borderId="10" xfId="0" applyFont="1" applyFill="1" applyBorder="1" applyAlignment="1">
      <alignment horizontal="center" vertical="center" wrapText="1"/>
    </xf>
    <xf numFmtId="0" fontId="0" fillId="16" borderId="1" xfId="0" applyFill="1" applyBorder="1" applyAlignment="1">
      <alignment horizontal="right"/>
    </xf>
    <xf numFmtId="0" fontId="0" fillId="16" borderId="30" xfId="0" applyFill="1" applyBorder="1"/>
    <xf numFmtId="10" fontId="0" fillId="16" borderId="1" xfId="1" applyNumberFormat="1" applyFont="1" applyFill="1" applyBorder="1"/>
    <xf numFmtId="169" fontId="0" fillId="16" borderId="1" xfId="1" applyNumberFormat="1" applyFont="1" applyFill="1" applyBorder="1"/>
    <xf numFmtId="169" fontId="0" fillId="0" borderId="0" xfId="1" applyNumberFormat="1" applyFont="1" applyBorder="1"/>
    <xf numFmtId="9" fontId="0" fillId="0" borderId="0" xfId="1" applyFont="1" applyBorder="1"/>
    <xf numFmtId="169" fontId="0" fillId="0" borderId="28" xfId="1" applyNumberFormat="1" applyFont="1" applyBorder="1"/>
    <xf numFmtId="0" fontId="33" fillId="0" borderId="16" xfId="0" applyFont="1" applyBorder="1" applyAlignment="1">
      <alignment wrapText="1"/>
    </xf>
    <xf numFmtId="2" fontId="33" fillId="0" borderId="1" xfId="0" applyNumberFormat="1" applyFont="1" applyBorder="1"/>
    <xf numFmtId="0" fontId="33" fillId="0" borderId="1" xfId="0" applyFont="1" applyBorder="1"/>
    <xf numFmtId="170" fontId="0" fillId="0" borderId="1" xfId="0" applyNumberFormat="1" applyBorder="1"/>
    <xf numFmtId="170" fontId="0" fillId="0" borderId="1" xfId="2" applyNumberFormat="1" applyFont="1" applyBorder="1"/>
    <xf numFmtId="0" fontId="37" fillId="16" borderId="13" xfId="0" applyFont="1" applyFill="1" applyBorder="1"/>
    <xf numFmtId="0" fontId="0" fillId="21" borderId="0" xfId="0" applyFill="1"/>
    <xf numFmtId="0" fontId="33" fillId="0" borderId="0" xfId="0" applyFont="1" applyAlignment="1">
      <alignment horizontal="justify" vertical="center"/>
    </xf>
    <xf numFmtId="9" fontId="0" fillId="0" borderId="28" xfId="0" applyNumberFormat="1" applyBorder="1"/>
    <xf numFmtId="0" fontId="0" fillId="0" borderId="28" xfId="0" applyBorder="1" applyAlignment="1">
      <alignment vertical="center" wrapText="1"/>
    </xf>
    <xf numFmtId="0" fontId="0" fillId="0" borderId="31" xfId="0" applyBorder="1" applyAlignment="1">
      <alignment vertical="center" wrapText="1"/>
    </xf>
    <xf numFmtId="0" fontId="0" fillId="0" borderId="0" xfId="0" applyAlignment="1">
      <alignment vertical="center" wrapText="1"/>
    </xf>
    <xf numFmtId="10" fontId="0" fillId="0" borderId="28" xfId="0" applyNumberFormat="1" applyBorder="1"/>
    <xf numFmtId="0" fontId="64" fillId="17" borderId="50" xfId="0" applyFont="1" applyFill="1" applyBorder="1" applyAlignment="1">
      <alignment horizontal="center" vertical="center" wrapText="1"/>
    </xf>
    <xf numFmtId="0" fontId="64" fillId="17" borderId="5" xfId="0" applyFont="1" applyFill="1" applyBorder="1" applyAlignment="1">
      <alignment horizontal="center" vertical="center" wrapText="1"/>
    </xf>
    <xf numFmtId="0" fontId="64" fillId="17" borderId="3" xfId="0" applyFont="1" applyFill="1" applyBorder="1" applyAlignment="1">
      <alignment horizontal="center" vertical="center" wrapText="1"/>
    </xf>
    <xf numFmtId="0" fontId="64" fillId="17" borderId="1" xfId="0" applyFont="1" applyFill="1" applyBorder="1" applyAlignment="1">
      <alignment horizontal="center" vertical="center" wrapText="1"/>
    </xf>
    <xf numFmtId="0" fontId="65" fillId="16" borderId="1" xfId="0" applyFont="1" applyFill="1" applyBorder="1" applyAlignment="1">
      <alignment horizontal="center" vertical="center" wrapText="1"/>
    </xf>
    <xf numFmtId="0" fontId="40" fillId="17" borderId="1" xfId="0" applyFont="1" applyFill="1" applyBorder="1" applyAlignment="1">
      <alignment wrapText="1"/>
    </xf>
    <xf numFmtId="0" fontId="66" fillId="17" borderId="1" xfId="0" applyFont="1" applyFill="1" applyBorder="1" applyAlignment="1">
      <alignment wrapText="1"/>
    </xf>
    <xf numFmtId="0" fontId="0" fillId="16" borderId="1" xfId="0" applyFill="1" applyBorder="1" applyAlignment="1">
      <alignment horizontal="left" wrapText="1"/>
    </xf>
    <xf numFmtId="0" fontId="33" fillId="16" borderId="50" xfId="0" applyFont="1" applyFill="1" applyBorder="1"/>
    <xf numFmtId="0" fontId="0" fillId="16" borderId="1" xfId="0" quotePrefix="1" applyFill="1" applyBorder="1"/>
    <xf numFmtId="0" fontId="0" fillId="16" borderId="50" xfId="0" applyFill="1" applyBorder="1"/>
    <xf numFmtId="9" fontId="0" fillId="16" borderId="1" xfId="0" applyNumberFormat="1" applyFill="1" applyBorder="1"/>
    <xf numFmtId="0" fontId="36" fillId="17" borderId="50" xfId="0" applyFont="1" applyFill="1" applyBorder="1" applyAlignment="1">
      <alignment horizontal="right" vertical="center" wrapText="1"/>
    </xf>
    <xf numFmtId="0" fontId="36" fillId="17" borderId="1" xfId="0" applyFont="1" applyFill="1" applyBorder="1" applyAlignment="1">
      <alignment horizontal="center" vertical="center"/>
    </xf>
    <xf numFmtId="0" fontId="36" fillId="17" borderId="50" xfId="0" applyFont="1" applyFill="1" applyBorder="1" applyAlignment="1">
      <alignment horizontal="right" vertical="center"/>
    </xf>
    <xf numFmtId="0" fontId="36" fillId="17" borderId="3" xfId="0" applyFont="1" applyFill="1" applyBorder="1" applyAlignment="1">
      <alignment horizontal="center" vertical="center" wrapText="1"/>
    </xf>
    <xf numFmtId="0" fontId="33" fillId="16" borderId="50" xfId="0" applyFont="1" applyFill="1" applyBorder="1" applyAlignment="1">
      <alignment horizontal="right" vertical="center"/>
    </xf>
    <xf numFmtId="0" fontId="33" fillId="16" borderId="3" xfId="0" applyFont="1" applyFill="1" applyBorder="1" applyAlignment="1">
      <alignment horizontal="center" vertical="center" wrapText="1"/>
    </xf>
    <xf numFmtId="43" fontId="0" fillId="0" borderId="0" xfId="0" applyNumberFormat="1"/>
    <xf numFmtId="0" fontId="39" fillId="16" borderId="1" xfId="0" applyFont="1" applyFill="1" applyBorder="1" applyAlignment="1">
      <alignment vertical="center" wrapText="1"/>
    </xf>
    <xf numFmtId="0" fontId="0" fillId="16" borderId="1" xfId="0" applyFill="1" applyBorder="1" applyAlignment="1">
      <alignment vertical="center" wrapText="1"/>
    </xf>
    <xf numFmtId="0" fontId="33" fillId="16" borderId="1" xfId="0" applyFont="1" applyFill="1" applyBorder="1" applyAlignment="1">
      <alignment wrapText="1"/>
    </xf>
    <xf numFmtId="170" fontId="0" fillId="16" borderId="1" xfId="0" applyNumberFormat="1" applyFill="1" applyBorder="1"/>
    <xf numFmtId="169" fontId="0" fillId="16" borderId="1" xfId="0" applyNumberFormat="1" applyFill="1" applyBorder="1"/>
    <xf numFmtId="0" fontId="33" fillId="16" borderId="33" xfId="0" applyFont="1" applyFill="1" applyBorder="1"/>
    <xf numFmtId="0" fontId="37" fillId="16" borderId="33" xfId="0" applyFont="1" applyFill="1" applyBorder="1"/>
    <xf numFmtId="0" fontId="33" fillId="16" borderId="33" xfId="0" applyFont="1" applyFill="1" applyBorder="1" applyAlignment="1">
      <alignment horizontal="left" indent="1"/>
    </xf>
    <xf numFmtId="165" fontId="34" fillId="0" borderId="0" xfId="0" applyNumberFormat="1" applyFont="1"/>
    <xf numFmtId="0" fontId="37" fillId="16" borderId="0" xfId="0" applyFont="1" applyFill="1"/>
    <xf numFmtId="0" fontId="33" fillId="16" borderId="30" xfId="0" applyFont="1" applyFill="1" applyBorder="1"/>
    <xf numFmtId="0" fontId="33" fillId="16" borderId="31" xfId="0" applyFont="1" applyFill="1" applyBorder="1" applyAlignment="1">
      <alignment horizontal="center" vertical="center"/>
    </xf>
    <xf numFmtId="0" fontId="39" fillId="0" borderId="27" xfId="0" applyFont="1" applyBorder="1" applyAlignment="1">
      <alignment vertical="center"/>
    </xf>
    <xf numFmtId="0" fontId="33" fillId="0" borderId="28" xfId="0" applyFont="1" applyBorder="1" applyAlignment="1">
      <alignment vertical="center"/>
    </xf>
    <xf numFmtId="0" fontId="39" fillId="0" borderId="30" xfId="0" applyFont="1" applyBorder="1" applyAlignment="1">
      <alignment vertical="center"/>
    </xf>
    <xf numFmtId="0" fontId="0" fillId="0" borderId="27" xfId="0" applyBorder="1" applyAlignment="1">
      <alignment vertical="center" wrapText="1"/>
    </xf>
    <xf numFmtId="0" fontId="33" fillId="0" borderId="27" xfId="0" applyFont="1" applyBorder="1" applyAlignment="1">
      <alignment vertical="center" wrapText="1"/>
    </xf>
    <xf numFmtId="170" fontId="0" fillId="0" borderId="28" xfId="0" applyNumberFormat="1" applyBorder="1" applyAlignment="1">
      <alignment vertical="center"/>
    </xf>
    <xf numFmtId="0" fontId="39" fillId="0" borderId="33" xfId="0" applyFont="1" applyBorder="1" applyAlignment="1">
      <alignment vertical="center"/>
    </xf>
    <xf numFmtId="0" fontId="33" fillId="0" borderId="0" xfId="0" applyFont="1" applyAlignment="1">
      <alignment vertical="center"/>
    </xf>
    <xf numFmtId="0" fontId="33" fillId="0" borderId="27" xfId="0" applyFont="1" applyBorder="1" applyAlignment="1">
      <alignment vertical="center"/>
    </xf>
    <xf numFmtId="170" fontId="0" fillId="0" borderId="28" xfId="2" applyNumberFormat="1" applyFont="1" applyBorder="1" applyAlignment="1">
      <alignment vertical="center" wrapText="1"/>
    </xf>
    <xf numFmtId="170" fontId="0" fillId="0" borderId="31" xfId="2" applyNumberFormat="1" applyFont="1" applyBorder="1" applyAlignment="1">
      <alignment vertical="center"/>
    </xf>
    <xf numFmtId="169" fontId="0" fillId="0" borderId="28" xfId="1" applyNumberFormat="1" applyFont="1" applyBorder="1" applyAlignment="1">
      <alignment vertical="center"/>
    </xf>
    <xf numFmtId="10" fontId="0" fillId="0" borderId="28" xfId="1" applyNumberFormat="1" applyFont="1" applyBorder="1" applyAlignment="1">
      <alignment vertical="center"/>
    </xf>
    <xf numFmtId="169" fontId="0" fillId="0" borderId="31" xfId="1" applyNumberFormat="1" applyFont="1" applyBorder="1" applyAlignment="1">
      <alignment vertical="center"/>
    </xf>
    <xf numFmtId="169" fontId="0" fillId="0" borderId="28" xfId="1" applyNumberFormat="1" applyFont="1" applyBorder="1" applyAlignment="1">
      <alignment vertical="center" wrapText="1"/>
    </xf>
    <xf numFmtId="169" fontId="0" fillId="0" borderId="0" xfId="1" applyNumberFormat="1" applyFont="1" applyBorder="1" applyAlignment="1">
      <alignment vertical="center"/>
    </xf>
    <xf numFmtId="0" fontId="36" fillId="17" borderId="2" xfId="0" applyFont="1" applyFill="1" applyBorder="1" applyAlignment="1">
      <alignment vertical="center"/>
    </xf>
    <xf numFmtId="0" fontId="36" fillId="17" borderId="3" xfId="0" applyFont="1" applyFill="1" applyBorder="1" applyAlignment="1">
      <alignment horizontal="center" vertical="center"/>
    </xf>
    <xf numFmtId="0" fontId="33" fillId="16" borderId="3" xfId="0" applyFont="1" applyFill="1" applyBorder="1" applyAlignment="1">
      <alignment horizontal="center" vertical="center"/>
    </xf>
    <xf numFmtId="0" fontId="33" fillId="16" borderId="1" xfId="0" applyFont="1" applyFill="1" applyBorder="1" applyAlignment="1">
      <alignment horizontal="justify" vertical="center" wrapText="1"/>
    </xf>
    <xf numFmtId="0" fontId="33" fillId="16" borderId="0" xfId="0" applyFont="1" applyFill="1" applyAlignment="1">
      <alignment horizontal="center" vertical="center" wrapText="1"/>
    </xf>
    <xf numFmtId="0" fontId="36" fillId="17" borderId="50" xfId="0" applyFont="1" applyFill="1" applyBorder="1" applyAlignment="1">
      <alignment horizontal="center" vertical="center"/>
    </xf>
    <xf numFmtId="3" fontId="0" fillId="16" borderId="0" xfId="0" applyNumberFormat="1" applyFill="1"/>
    <xf numFmtId="0" fontId="53" fillId="16" borderId="50" xfId="0" applyFont="1" applyFill="1" applyBorder="1" applyAlignment="1">
      <alignment horizontal="left" vertical="center"/>
    </xf>
    <xf numFmtId="0" fontId="32" fillId="18" borderId="26" xfId="0" applyFont="1" applyFill="1" applyBorder="1"/>
    <xf numFmtId="0" fontId="67" fillId="23" borderId="55" xfId="0" applyFont="1" applyFill="1" applyBorder="1" applyAlignment="1">
      <alignment horizontal="center" vertical="center" wrapText="1"/>
    </xf>
    <xf numFmtId="0" fontId="67" fillId="23" borderId="24" xfId="0" applyFont="1" applyFill="1" applyBorder="1" applyAlignment="1">
      <alignment horizontal="center" vertical="center" wrapText="1"/>
    </xf>
    <xf numFmtId="0" fontId="64" fillId="23" borderId="29" xfId="0" applyFont="1" applyFill="1" applyBorder="1" applyAlignment="1">
      <alignment horizontal="center" vertical="center" wrapText="1"/>
    </xf>
    <xf numFmtId="0" fontId="67" fillId="23" borderId="29" xfId="0" applyFont="1" applyFill="1" applyBorder="1" applyAlignment="1">
      <alignment horizontal="center" vertical="center" wrapText="1"/>
    </xf>
    <xf numFmtId="0" fontId="67" fillId="23" borderId="37" xfId="0" applyFont="1" applyFill="1" applyBorder="1" applyAlignment="1">
      <alignment horizontal="center" vertical="center" wrapText="1"/>
    </xf>
    <xf numFmtId="0" fontId="67" fillId="23" borderId="32" xfId="0" applyFont="1" applyFill="1" applyBorder="1" applyAlignment="1">
      <alignment horizontal="center" vertical="center" wrapText="1"/>
    </xf>
    <xf numFmtId="0" fontId="60" fillId="16" borderId="37" xfId="0" applyFont="1" applyFill="1" applyBorder="1" applyAlignment="1">
      <alignment horizontal="center" vertical="center" wrapText="1"/>
    </xf>
    <xf numFmtId="0" fontId="70" fillId="16" borderId="32" xfId="0" applyFont="1" applyFill="1" applyBorder="1" applyAlignment="1">
      <alignment horizontal="center" vertical="center" wrapText="1"/>
    </xf>
    <xf numFmtId="0" fontId="67" fillId="23" borderId="33" xfId="0" applyFont="1" applyFill="1" applyBorder="1" applyAlignment="1">
      <alignment horizontal="center" vertical="center" wrapText="1"/>
    </xf>
    <xf numFmtId="0" fontId="60" fillId="16" borderId="47" xfId="0" applyFont="1" applyFill="1" applyBorder="1" applyAlignment="1">
      <alignment horizontal="center" vertical="center" wrapText="1"/>
    </xf>
    <xf numFmtId="0" fontId="70" fillId="16" borderId="31" xfId="0" applyFont="1" applyFill="1" applyBorder="1" applyAlignment="1">
      <alignment horizontal="center" vertical="center" wrapText="1"/>
    </xf>
    <xf numFmtId="0" fontId="60" fillId="16" borderId="0" xfId="0" applyFont="1" applyFill="1" applyAlignment="1">
      <alignment horizontal="center" vertical="center" wrapText="1"/>
    </xf>
    <xf numFmtId="0" fontId="70" fillId="16" borderId="0" xfId="0" applyFont="1" applyFill="1" applyAlignment="1">
      <alignment horizontal="center" vertical="center" wrapText="1"/>
    </xf>
    <xf numFmtId="0" fontId="33" fillId="16" borderId="1" xfId="0" applyFont="1" applyFill="1" applyBorder="1"/>
    <xf numFmtId="9" fontId="33" fillId="16" borderId="1" xfId="0" applyNumberFormat="1" applyFont="1" applyFill="1" applyBorder="1"/>
    <xf numFmtId="0" fontId="0" fillId="16" borderId="16" xfId="0" applyFill="1" applyBorder="1"/>
    <xf numFmtId="170" fontId="0" fillId="0" borderId="28" xfId="2" applyNumberFormat="1" applyFont="1" applyBorder="1" applyAlignment="1">
      <alignment wrapText="1"/>
    </xf>
    <xf numFmtId="0" fontId="33" fillId="0" borderId="28" xfId="0" applyFont="1" applyBorder="1" applyAlignment="1">
      <alignment wrapText="1"/>
    </xf>
    <xf numFmtId="0" fontId="0" fillId="0" borderId="28" xfId="0" applyBorder="1" applyAlignment="1">
      <alignment wrapText="1"/>
    </xf>
    <xf numFmtId="170" fontId="0" fillId="0" borderId="0" xfId="0" applyNumberFormat="1"/>
    <xf numFmtId="0" fontId="33" fillId="16" borderId="0" xfId="0" applyFont="1" applyFill="1" applyAlignment="1">
      <alignment horizontal="left" vertical="center" indent="15"/>
    </xf>
    <xf numFmtId="0" fontId="60" fillId="16" borderId="13" xfId="0" applyFont="1" applyFill="1" applyBorder="1"/>
    <xf numFmtId="0" fontId="33" fillId="0" borderId="27" xfId="0" applyFont="1" applyBorder="1"/>
    <xf numFmtId="2" fontId="0" fillId="0" borderId="28" xfId="0" applyNumberFormat="1" applyBorder="1"/>
    <xf numFmtId="0" fontId="33" fillId="0" borderId="30" xfId="0" applyFont="1" applyBorder="1"/>
    <xf numFmtId="2" fontId="0" fillId="0" borderId="31" xfId="0" applyNumberFormat="1" applyBorder="1"/>
    <xf numFmtId="43" fontId="0" fillId="0" borderId="28" xfId="2" applyFont="1" applyBorder="1"/>
    <xf numFmtId="170" fontId="0" fillId="0" borderId="28" xfId="0" applyNumberFormat="1" applyBorder="1"/>
    <xf numFmtId="0" fontId="0" fillId="0" borderId="25" xfId="0" applyBorder="1"/>
    <xf numFmtId="0" fontId="73" fillId="17" borderId="1" xfId="0" applyFont="1" applyFill="1" applyBorder="1" applyAlignment="1">
      <alignment horizontal="right" vertical="center"/>
    </xf>
    <xf numFmtId="0" fontId="36" fillId="17" borderId="8" xfId="0" applyFont="1" applyFill="1" applyBorder="1" applyAlignment="1">
      <alignment vertical="center"/>
    </xf>
    <xf numFmtId="0" fontId="36" fillId="17" borderId="0" xfId="0" applyFont="1" applyFill="1" applyAlignment="1">
      <alignment horizontal="center" vertical="center" wrapText="1"/>
    </xf>
    <xf numFmtId="0" fontId="36" fillId="17" borderId="54" xfId="0" applyFont="1" applyFill="1" applyBorder="1" applyAlignment="1">
      <alignment horizontal="center" vertical="center" wrapText="1"/>
    </xf>
    <xf numFmtId="0" fontId="36" fillId="17" borderId="26" xfId="0" applyFont="1" applyFill="1" applyBorder="1" applyAlignment="1">
      <alignment horizontal="center" vertical="center" wrapText="1"/>
    </xf>
    <xf numFmtId="0" fontId="33" fillId="16" borderId="32" xfId="0" applyFont="1" applyFill="1" applyBorder="1" applyAlignment="1">
      <alignment horizontal="justify" vertical="center" wrapText="1"/>
    </xf>
    <xf numFmtId="0" fontId="33" fillId="16" borderId="32" xfId="0" applyFont="1" applyFill="1" applyBorder="1" applyAlignment="1">
      <alignment horizontal="center" vertical="center" wrapText="1"/>
    </xf>
    <xf numFmtId="3" fontId="33" fillId="16" borderId="3" xfId="0" applyNumberFormat="1" applyFont="1" applyFill="1" applyBorder="1" applyAlignment="1">
      <alignment horizontal="center" vertical="center"/>
    </xf>
    <xf numFmtId="0" fontId="33" fillId="16" borderId="37" xfId="0" applyFont="1" applyFill="1" applyBorder="1" applyAlignment="1">
      <alignment horizontal="justify" vertical="center" wrapText="1"/>
    </xf>
    <xf numFmtId="3" fontId="33" fillId="16" borderId="3" xfId="0" applyNumberFormat="1" applyFont="1" applyFill="1" applyBorder="1" applyAlignment="1">
      <alignment horizontal="center" vertical="center" wrapText="1"/>
    </xf>
    <xf numFmtId="0" fontId="33" fillId="16" borderId="1" xfId="0" applyFont="1" applyFill="1" applyBorder="1" applyAlignment="1">
      <alignment horizontal="right"/>
    </xf>
    <xf numFmtId="43" fontId="0" fillId="16" borderId="1" xfId="0" applyNumberFormat="1" applyFill="1" applyBorder="1"/>
    <xf numFmtId="0" fontId="32" fillId="18" borderId="28" xfId="0" applyFont="1" applyFill="1" applyBorder="1"/>
    <xf numFmtId="0" fontId="32" fillId="18" borderId="29" xfId="0" applyFont="1" applyFill="1" applyBorder="1"/>
    <xf numFmtId="0" fontId="0" fillId="16" borderId="27" xfId="0" applyFill="1" applyBorder="1"/>
    <xf numFmtId="0" fontId="0" fillId="16" borderId="28" xfId="0" applyFill="1" applyBorder="1"/>
    <xf numFmtId="0" fontId="0" fillId="16" borderId="29" xfId="0" applyFill="1" applyBorder="1"/>
    <xf numFmtId="0" fontId="0" fillId="16" borderId="0" xfId="0" quotePrefix="1" applyFill="1"/>
    <xf numFmtId="0" fontId="0" fillId="18" borderId="28" xfId="0" applyFill="1" applyBorder="1"/>
    <xf numFmtId="0" fontId="0" fillId="18" borderId="29" xfId="0" applyFill="1" applyBorder="1"/>
    <xf numFmtId="0" fontId="33" fillId="0" borderId="28" xfId="0" applyFont="1" applyBorder="1" applyAlignment="1">
      <alignment vertical="center" wrapText="1"/>
    </xf>
    <xf numFmtId="0" fontId="0" fillId="0" borderId="28" xfId="0" applyBorder="1" applyAlignment="1">
      <alignment horizontal="center"/>
    </xf>
    <xf numFmtId="0" fontId="33" fillId="0" borderId="33" xfId="0" applyFont="1" applyBorder="1"/>
    <xf numFmtId="0" fontId="33" fillId="0" borderId="31" xfId="0" applyFont="1" applyBorder="1" applyAlignment="1">
      <alignment vertical="top" wrapText="1"/>
    </xf>
    <xf numFmtId="0" fontId="33" fillId="0" borderId="32" xfId="0" applyFont="1" applyBorder="1" applyAlignment="1">
      <alignment vertical="top" wrapText="1"/>
    </xf>
    <xf numFmtId="0" fontId="8" fillId="0" borderId="27" xfId="0" applyFont="1" applyBorder="1"/>
    <xf numFmtId="0" fontId="37" fillId="0" borderId="27" xfId="0" applyFont="1" applyBorder="1"/>
    <xf numFmtId="43" fontId="0" fillId="0" borderId="28" xfId="2" applyFont="1" applyFill="1" applyBorder="1"/>
    <xf numFmtId="0" fontId="33" fillId="0" borderId="28" xfId="0" applyFont="1" applyBorder="1" applyAlignment="1">
      <alignment horizontal="left" vertical="top" wrapText="1"/>
    </xf>
    <xf numFmtId="0" fontId="33" fillId="0" borderId="29" xfId="0" applyFont="1" applyBorder="1" applyAlignment="1">
      <alignment horizontal="left" vertical="top" wrapText="1"/>
    </xf>
    <xf numFmtId="0" fontId="8" fillId="0" borderId="30" xfId="0" applyFont="1" applyBorder="1"/>
    <xf numFmtId="0" fontId="33" fillId="0" borderId="31" xfId="0" applyFont="1" applyBorder="1" applyAlignment="1">
      <alignment wrapText="1"/>
    </xf>
    <xf numFmtId="0" fontId="33" fillId="0" borderId="31" xfId="0" applyFont="1" applyBorder="1" applyAlignment="1">
      <alignment horizontal="left" vertical="top" wrapText="1"/>
    </xf>
    <xf numFmtId="0" fontId="33" fillId="0" borderId="32" xfId="0" applyFont="1" applyBorder="1" applyAlignment="1">
      <alignment horizontal="left" vertical="top" wrapText="1"/>
    </xf>
    <xf numFmtId="0" fontId="37" fillId="0" borderId="27" xfId="0" applyFont="1" applyBorder="1" applyAlignment="1">
      <alignment vertical="center"/>
    </xf>
    <xf numFmtId="9" fontId="0" fillId="0" borderId="28" xfId="1" applyFont="1" applyFill="1" applyBorder="1" applyAlignment="1">
      <alignment vertical="center"/>
    </xf>
    <xf numFmtId="0" fontId="33" fillId="0" borderId="28" xfId="0" applyFont="1" applyBorder="1" applyAlignment="1">
      <alignment horizontal="left" vertical="center" wrapText="1"/>
    </xf>
    <xf numFmtId="0" fontId="33" fillId="0" borderId="29" xfId="0" applyFont="1" applyBorder="1" applyAlignment="1">
      <alignment horizontal="left" vertical="center" wrapText="1"/>
    </xf>
    <xf numFmtId="0" fontId="37" fillId="0" borderId="30" xfId="0" applyFont="1" applyBorder="1"/>
    <xf numFmtId="0" fontId="37" fillId="0" borderId="30" xfId="0" applyFont="1" applyBorder="1" applyAlignment="1">
      <alignment vertical="center"/>
    </xf>
    <xf numFmtId="0" fontId="59" fillId="0" borderId="28" xfId="0" applyFont="1" applyBorder="1" applyAlignment="1">
      <alignment horizontal="left" vertical="top" wrapText="1"/>
    </xf>
    <xf numFmtId="0" fontId="59" fillId="0" borderId="29" xfId="0" applyFont="1" applyBorder="1" applyAlignment="1">
      <alignment horizontal="left" vertical="top" wrapText="1"/>
    </xf>
    <xf numFmtId="0" fontId="59" fillId="0" borderId="31" xfId="0" applyFont="1" applyBorder="1" applyAlignment="1">
      <alignment horizontal="left" vertical="top" wrapText="1"/>
    </xf>
    <xf numFmtId="0" fontId="59" fillId="0" borderId="32" xfId="0" applyFont="1" applyBorder="1" applyAlignment="1">
      <alignment horizontal="left" vertical="top" wrapText="1"/>
    </xf>
    <xf numFmtId="0" fontId="33" fillId="0" borderId="24" xfId="0" applyFont="1" applyBorder="1"/>
    <xf numFmtId="0" fontId="33" fillId="0" borderId="25" xfId="0" applyFont="1" applyBorder="1" applyAlignment="1">
      <alignment horizontal="left" vertical="top" wrapText="1"/>
    </xf>
    <xf numFmtId="0" fontId="33" fillId="0" borderId="26" xfId="0" applyFont="1" applyBorder="1" applyAlignment="1">
      <alignment horizontal="left" vertical="top" wrapText="1"/>
    </xf>
    <xf numFmtId="0" fontId="33" fillId="0" borderId="0" xfId="0" applyFont="1" applyAlignment="1">
      <alignment horizontal="left" vertical="top" wrapText="1"/>
    </xf>
    <xf numFmtId="0" fontId="33" fillId="18" borderId="28" xfId="0" applyFont="1" applyFill="1" applyBorder="1"/>
    <xf numFmtId="0" fontId="0" fillId="0" borderId="1" xfId="0" applyBorder="1" applyAlignment="1">
      <alignment horizontal="right"/>
    </xf>
    <xf numFmtId="0" fontId="33" fillId="0" borderId="1" xfId="0" applyFont="1" applyBorder="1" applyAlignment="1">
      <alignment vertical="center" wrapText="1"/>
    </xf>
    <xf numFmtId="166" fontId="33" fillId="0" borderId="1" xfId="3" applyNumberFormat="1" applyFont="1" applyBorder="1" applyAlignment="1">
      <alignment vertical="center"/>
    </xf>
    <xf numFmtId="166" fontId="75" fillId="0" borderId="3" xfId="3" applyNumberFormat="1" applyFont="1" applyBorder="1" applyAlignment="1">
      <alignment vertical="center"/>
    </xf>
    <xf numFmtId="0" fontId="33" fillId="0" borderId="3" xfId="0" applyFont="1" applyBorder="1" applyAlignment="1">
      <alignment vertical="center"/>
    </xf>
    <xf numFmtId="0" fontId="33" fillId="0" borderId="1" xfId="0" applyFont="1" applyBorder="1" applyAlignment="1">
      <alignment vertical="center"/>
    </xf>
    <xf numFmtId="10" fontId="33" fillId="0" borderId="1" xfId="0" applyNumberFormat="1" applyFont="1" applyBorder="1" applyAlignment="1">
      <alignment vertical="center"/>
    </xf>
    <xf numFmtId="9" fontId="33" fillId="0" borderId="1" xfId="1" applyFont="1" applyBorder="1" applyAlignment="1">
      <alignment vertical="center"/>
    </xf>
    <xf numFmtId="3" fontId="33" fillId="0" borderId="1" xfId="0" applyNumberFormat="1" applyFont="1" applyBorder="1" applyAlignment="1">
      <alignment vertical="center"/>
    </xf>
    <xf numFmtId="166" fontId="33" fillId="0" borderId="3" xfId="3" applyNumberFormat="1" applyFont="1" applyBorder="1" applyAlignment="1">
      <alignment vertical="center"/>
    </xf>
    <xf numFmtId="170" fontId="33" fillId="0" borderId="1" xfId="2" applyNumberFormat="1" applyFont="1" applyBorder="1" applyAlignment="1"/>
    <xf numFmtId="166" fontId="33" fillId="0" borderId="1" xfId="3" applyNumberFormat="1" applyFont="1" applyFill="1" applyBorder="1" applyAlignment="1">
      <alignment vertical="center"/>
    </xf>
    <xf numFmtId="166" fontId="75" fillId="0" borderId="3" xfId="3" applyNumberFormat="1" applyFont="1" applyFill="1" applyBorder="1" applyAlignment="1">
      <alignment vertical="center"/>
    </xf>
    <xf numFmtId="9" fontId="33" fillId="0" borderId="1" xfId="1" applyFont="1" applyFill="1" applyBorder="1" applyAlignment="1">
      <alignment vertical="center"/>
    </xf>
    <xf numFmtId="166" fontId="33" fillId="0" borderId="3" xfId="3" applyNumberFormat="1" applyFont="1" applyFill="1" applyBorder="1" applyAlignment="1">
      <alignment vertical="center"/>
    </xf>
    <xf numFmtId="9" fontId="0" fillId="16" borderId="0" xfId="1" applyFont="1" applyFill="1" applyBorder="1"/>
    <xf numFmtId="0" fontId="76" fillId="20" borderId="1" xfId="4" applyFont="1" applyFill="1" applyBorder="1" applyAlignment="1" applyProtection="1">
      <alignment vertical="center"/>
    </xf>
    <xf numFmtId="0" fontId="77" fillId="20" borderId="1" xfId="0" applyFont="1" applyFill="1" applyBorder="1" applyAlignment="1">
      <alignment vertical="center" wrapText="1"/>
    </xf>
    <xf numFmtId="0" fontId="78" fillId="16" borderId="0" xfId="0" applyFont="1" applyFill="1"/>
    <xf numFmtId="0" fontId="50" fillId="0" borderId="0" xfId="0" applyFont="1"/>
    <xf numFmtId="5" fontId="0" fillId="0" borderId="0" xfId="0" applyNumberFormat="1"/>
    <xf numFmtId="0" fontId="0" fillId="0" borderId="6" xfId="0" applyBorder="1" applyAlignment="1">
      <alignment wrapText="1"/>
    </xf>
    <xf numFmtId="0" fontId="0" fillId="25" borderId="6" xfId="0" applyFill="1" applyBorder="1" applyAlignment="1">
      <alignment wrapText="1"/>
    </xf>
    <xf numFmtId="0" fontId="0" fillId="16" borderId="27" xfId="0" applyFill="1" applyBorder="1" applyAlignment="1">
      <alignment wrapText="1"/>
    </xf>
    <xf numFmtId="2" fontId="0" fillId="16" borderId="28" xfId="0" applyNumberFormat="1" applyFill="1" applyBorder="1"/>
    <xf numFmtId="0" fontId="0" fillId="16" borderId="33" xfId="0" applyFill="1" applyBorder="1" applyAlignment="1">
      <alignment wrapText="1"/>
    </xf>
    <xf numFmtId="0" fontId="0" fillId="16" borderId="65" xfId="0" applyFill="1" applyBorder="1" applyAlignment="1">
      <alignment wrapText="1"/>
    </xf>
    <xf numFmtId="0" fontId="0" fillId="16" borderId="66" xfId="0" applyFill="1" applyBorder="1"/>
    <xf numFmtId="43" fontId="8" fillId="19" borderId="30" xfId="2" applyFont="1" applyFill="1" applyBorder="1"/>
    <xf numFmtId="43" fontId="8" fillId="19" borderId="32" xfId="2" applyFont="1" applyFill="1" applyBorder="1"/>
    <xf numFmtId="2" fontId="8" fillId="0" borderId="0" xfId="0" applyNumberFormat="1" applyFont="1"/>
    <xf numFmtId="170" fontId="79" fillId="0" borderId="0" xfId="2" applyNumberFormat="1" applyFont="1"/>
    <xf numFmtId="170" fontId="0" fillId="0" borderId="0" xfId="2" applyNumberFormat="1" applyFont="1"/>
    <xf numFmtId="0" fontId="81" fillId="18" borderId="67" xfId="0" applyFont="1" applyFill="1" applyBorder="1" applyAlignment="1">
      <alignment horizontal="center" vertical="center" wrapText="1"/>
    </xf>
    <xf numFmtId="0" fontId="81" fillId="18" borderId="68" xfId="0" applyFont="1" applyFill="1" applyBorder="1" applyAlignment="1">
      <alignment horizontal="center" vertical="center" wrapText="1"/>
    </xf>
    <xf numFmtId="0" fontId="82" fillId="2" borderId="69" xfId="0" applyFont="1" applyFill="1" applyBorder="1" applyAlignment="1">
      <alignment vertical="center" wrapText="1"/>
    </xf>
    <xf numFmtId="0" fontId="82" fillId="2" borderId="70" xfId="0" applyFont="1" applyFill="1" applyBorder="1" applyAlignment="1">
      <alignment horizontal="center" vertical="center" wrapText="1"/>
    </xf>
    <xf numFmtId="43" fontId="8" fillId="19" borderId="24" xfId="2" applyFont="1" applyFill="1" applyBorder="1"/>
    <xf numFmtId="43" fontId="8" fillId="19" borderId="25" xfId="2" applyFont="1" applyFill="1" applyBorder="1"/>
    <xf numFmtId="43" fontId="8" fillId="19" borderId="26" xfId="2" applyFont="1" applyFill="1" applyBorder="1"/>
    <xf numFmtId="7" fontId="0" fillId="0" borderId="0" xfId="0" applyNumberFormat="1"/>
    <xf numFmtId="0" fontId="82" fillId="2" borderId="71" xfId="0" applyFont="1" applyFill="1" applyBorder="1" applyAlignment="1">
      <alignment vertical="center" wrapText="1"/>
    </xf>
    <xf numFmtId="3" fontId="39" fillId="0" borderId="0" xfId="0" applyNumberFormat="1" applyFont="1" applyAlignment="1">
      <alignment horizontal="center" vertical="center" wrapText="1"/>
    </xf>
    <xf numFmtId="174" fontId="0" fillId="0" borderId="0" xfId="0" applyNumberFormat="1"/>
    <xf numFmtId="0" fontId="8" fillId="19" borderId="24" xfId="0" applyFont="1" applyFill="1" applyBorder="1" applyAlignment="1">
      <alignment vertical="center"/>
    </xf>
    <xf numFmtId="0" fontId="8" fillId="19" borderId="25" xfId="0" applyFont="1" applyFill="1" applyBorder="1" applyAlignment="1">
      <alignment horizontal="center" vertical="center"/>
    </xf>
    <xf numFmtId="0" fontId="8" fillId="19" borderId="26" xfId="0" applyFont="1" applyFill="1" applyBorder="1" applyAlignment="1">
      <alignment horizontal="center" vertical="center"/>
    </xf>
    <xf numFmtId="0" fontId="8" fillId="16" borderId="0" xfId="0" applyFont="1" applyFill="1"/>
    <xf numFmtId="0" fontId="8" fillId="16" borderId="34" xfId="0" applyFont="1" applyFill="1" applyBorder="1"/>
    <xf numFmtId="0" fontId="0" fillId="15" borderId="0" xfId="0" applyFill="1"/>
    <xf numFmtId="0" fontId="8" fillId="15" borderId="0" xfId="0" applyFont="1" applyFill="1"/>
    <xf numFmtId="0" fontId="30" fillId="18" borderId="26" xfId="0" applyFont="1" applyFill="1" applyBorder="1"/>
    <xf numFmtId="0" fontId="0" fillId="25" borderId="0" xfId="0" applyFill="1" applyAlignment="1">
      <alignment horizontal="center" wrapText="1"/>
    </xf>
    <xf numFmtId="165" fontId="0" fillId="25" borderId="0" xfId="0" applyNumberFormat="1" applyFill="1" applyAlignment="1">
      <alignment horizontal="center" wrapText="1"/>
    </xf>
    <xf numFmtId="169" fontId="8" fillId="16" borderId="29" xfId="0" applyNumberFormat="1" applyFont="1" applyFill="1" applyBorder="1"/>
    <xf numFmtId="0" fontId="0" fillId="25" borderId="33" xfId="0" applyFill="1" applyBorder="1"/>
    <xf numFmtId="0" fontId="0" fillId="25" borderId="0" xfId="0" applyFill="1" applyAlignment="1">
      <alignment wrapText="1"/>
    </xf>
    <xf numFmtId="0" fontId="0" fillId="25" borderId="34" xfId="0" applyFill="1" applyBorder="1"/>
    <xf numFmtId="169" fontId="0" fillId="16" borderId="0" xfId="1" applyNumberFormat="1" applyFont="1" applyFill="1" applyBorder="1"/>
    <xf numFmtId="9" fontId="8" fillId="16" borderId="34" xfId="0" applyNumberFormat="1" applyFont="1" applyFill="1" applyBorder="1"/>
    <xf numFmtId="9" fontId="0" fillId="25" borderId="30" xfId="1" applyFont="1" applyFill="1" applyBorder="1"/>
    <xf numFmtId="9" fontId="0" fillId="25" borderId="31" xfId="1" applyFont="1" applyFill="1" applyBorder="1"/>
    <xf numFmtId="9" fontId="0" fillId="25" borderId="32" xfId="1" applyFont="1" applyFill="1" applyBorder="1"/>
    <xf numFmtId="169" fontId="8" fillId="16" borderId="34" xfId="0" applyNumberFormat="1" applyFont="1" applyFill="1" applyBorder="1"/>
    <xf numFmtId="3" fontId="0" fillId="25" borderId="0" xfId="0" applyNumberFormat="1" applyFill="1"/>
    <xf numFmtId="0" fontId="0" fillId="25" borderId="0" xfId="0" applyFill="1"/>
    <xf numFmtId="9" fontId="0" fillId="0" borderId="0" xfId="1" applyFont="1"/>
    <xf numFmtId="0" fontId="0" fillId="25" borderId="30" xfId="0" applyFill="1" applyBorder="1"/>
    <xf numFmtId="0" fontId="0" fillId="25" borderId="31" xfId="0" applyFill="1" applyBorder="1"/>
    <xf numFmtId="0" fontId="0" fillId="25" borderId="32" xfId="0" applyFill="1" applyBorder="1"/>
    <xf numFmtId="0" fontId="80" fillId="18" borderId="72" xfId="0" applyFont="1" applyFill="1" applyBorder="1" applyAlignment="1">
      <alignment horizontal="center" vertical="center" wrapText="1"/>
    </xf>
    <xf numFmtId="0" fontId="82" fillId="0" borderId="74" xfId="0" applyFont="1" applyBorder="1" applyAlignment="1">
      <alignment vertical="center" wrapText="1"/>
    </xf>
    <xf numFmtId="0" fontId="82" fillId="0" borderId="74" xfId="0" applyFont="1" applyBorder="1" applyAlignment="1">
      <alignment horizontal="center" vertical="center" wrapText="1"/>
    </xf>
    <xf numFmtId="0" fontId="82" fillId="0" borderId="75" xfId="0" applyFont="1" applyBorder="1" applyAlignment="1">
      <alignment horizontal="center" vertical="center" wrapText="1"/>
    </xf>
    <xf numFmtId="2" fontId="0" fillId="15" borderId="0" xfId="0" applyNumberFormat="1" applyFill="1"/>
    <xf numFmtId="174" fontId="0" fillId="15" borderId="0" xfId="0" applyNumberFormat="1" applyFill="1"/>
    <xf numFmtId="2" fontId="8" fillId="15" borderId="0" xfId="0" applyNumberFormat="1" applyFont="1" applyFill="1"/>
    <xf numFmtId="170" fontId="79" fillId="15" borderId="0" xfId="2" applyNumberFormat="1" applyFont="1" applyFill="1"/>
    <xf numFmtId="5" fontId="0" fillId="15" borderId="0" xfId="0" applyNumberFormat="1" applyFill="1"/>
    <xf numFmtId="0" fontId="30" fillId="18" borderId="27" xfId="0" applyFont="1" applyFill="1" applyBorder="1"/>
    <xf numFmtId="2" fontId="8" fillId="16" borderId="28" xfId="0" applyNumberFormat="1" applyFont="1" applyFill="1" applyBorder="1"/>
    <xf numFmtId="170" fontId="79" fillId="16" borderId="28" xfId="2" applyNumberFormat="1" applyFont="1" applyFill="1" applyBorder="1"/>
    <xf numFmtId="5" fontId="0" fillId="16" borderId="28" xfId="0" applyNumberFormat="1" applyFill="1" applyBorder="1"/>
    <xf numFmtId="7" fontId="0" fillId="16" borderId="28" xfId="0" applyNumberFormat="1" applyFill="1" applyBorder="1"/>
    <xf numFmtId="0" fontId="8" fillId="16" borderId="31" xfId="0" applyFont="1" applyFill="1" applyBorder="1"/>
    <xf numFmtId="170" fontId="0" fillId="16" borderId="31" xfId="2" applyNumberFormat="1" applyFont="1" applyFill="1" applyBorder="1"/>
    <xf numFmtId="5" fontId="0" fillId="16" borderId="31" xfId="0" applyNumberFormat="1" applyFill="1" applyBorder="1"/>
    <xf numFmtId="0" fontId="30" fillId="18" borderId="33" xfId="0" applyFont="1" applyFill="1" applyBorder="1"/>
    <xf numFmtId="0" fontId="32" fillId="18" borderId="54" xfId="0" applyFont="1" applyFill="1" applyBorder="1"/>
    <xf numFmtId="170" fontId="32" fillId="18" borderId="25" xfId="2" applyNumberFormat="1" applyFont="1" applyFill="1" applyBorder="1"/>
    <xf numFmtId="9" fontId="8" fillId="21" borderId="54" xfId="0" applyNumberFormat="1" applyFont="1" applyFill="1" applyBorder="1"/>
    <xf numFmtId="0" fontId="8" fillId="21" borderId="25" xfId="0" applyFont="1" applyFill="1" applyBorder="1"/>
    <xf numFmtId="170" fontId="0" fillId="21" borderId="25" xfId="2" applyNumberFormat="1" applyFont="1" applyFill="1" applyBorder="1"/>
    <xf numFmtId="0" fontId="0" fillId="21" borderId="25" xfId="0" applyFill="1" applyBorder="1"/>
    <xf numFmtId="43" fontId="0" fillId="21" borderId="54" xfId="0" applyNumberFormat="1" applyFill="1" applyBorder="1"/>
    <xf numFmtId="0" fontId="0" fillId="21" borderId="54" xfId="0" applyFill="1" applyBorder="1"/>
    <xf numFmtId="170" fontId="79" fillId="21" borderId="25" xfId="2" applyNumberFormat="1" applyFont="1" applyFill="1" applyBorder="1"/>
    <xf numFmtId="5" fontId="0" fillId="21" borderId="25" xfId="0" applyNumberFormat="1" applyFill="1" applyBorder="1"/>
    <xf numFmtId="7" fontId="0" fillId="21" borderId="25" xfId="0" applyNumberFormat="1" applyFill="1" applyBorder="1"/>
    <xf numFmtId="0" fontId="30" fillId="18" borderId="0" xfId="0" applyFont="1" applyFill="1"/>
    <xf numFmtId="0" fontId="0" fillId="21" borderId="47" xfId="0" applyFill="1" applyBorder="1"/>
    <xf numFmtId="170" fontId="0" fillId="21" borderId="0" xfId="2" applyNumberFormat="1" applyFont="1" applyFill="1" applyBorder="1"/>
    <xf numFmtId="0" fontId="0" fillId="21" borderId="28" xfId="0" applyFill="1" applyBorder="1"/>
    <xf numFmtId="0" fontId="8" fillId="21" borderId="28" xfId="0" applyFont="1" applyFill="1" applyBorder="1"/>
    <xf numFmtId="0" fontId="30" fillId="18" borderId="30" xfId="0" applyFont="1" applyFill="1" applyBorder="1"/>
    <xf numFmtId="0" fontId="0" fillId="21" borderId="37" xfId="0" applyFill="1" applyBorder="1"/>
    <xf numFmtId="0" fontId="0" fillId="21" borderId="31" xfId="0" applyFill="1" applyBorder="1"/>
    <xf numFmtId="0" fontId="8" fillId="21" borderId="31" xfId="0" applyFont="1" applyFill="1" applyBorder="1"/>
    <xf numFmtId="9" fontId="0" fillId="21" borderId="54" xfId="0" applyNumberFormat="1" applyFill="1" applyBorder="1"/>
    <xf numFmtId="0" fontId="30" fillId="0" borderId="0" xfId="0" applyFont="1"/>
    <xf numFmtId="43" fontId="0" fillId="21" borderId="54" xfId="2" applyFont="1" applyFill="1" applyBorder="1"/>
    <xf numFmtId="0" fontId="30" fillId="26" borderId="24" xfId="0" applyFont="1" applyFill="1" applyBorder="1"/>
    <xf numFmtId="0" fontId="30" fillId="26" borderId="25" xfId="0" applyFont="1" applyFill="1" applyBorder="1"/>
    <xf numFmtId="0" fontId="30" fillId="26" borderId="26" xfId="0" applyFont="1" applyFill="1" applyBorder="1"/>
    <xf numFmtId="0" fontId="30" fillId="26" borderId="27" xfId="0" applyFont="1" applyFill="1" applyBorder="1"/>
    <xf numFmtId="0" fontId="30" fillId="26" borderId="33" xfId="0" applyFont="1" applyFill="1" applyBorder="1"/>
    <xf numFmtId="0" fontId="32" fillId="26" borderId="24" xfId="0" applyFont="1" applyFill="1" applyBorder="1"/>
    <xf numFmtId="0" fontId="32" fillId="26" borderId="25" xfId="0" applyFont="1" applyFill="1" applyBorder="1"/>
    <xf numFmtId="0" fontId="32" fillId="26" borderId="54" xfId="0" applyFont="1" applyFill="1" applyBorder="1"/>
    <xf numFmtId="170" fontId="32" fillId="26" borderId="25" xfId="2" applyNumberFormat="1" applyFont="1" applyFill="1" applyBorder="1"/>
    <xf numFmtId="0" fontId="32" fillId="26" borderId="26" xfId="0" applyFont="1" applyFill="1" applyBorder="1"/>
    <xf numFmtId="0" fontId="0" fillId="21" borderId="26" xfId="0" applyFill="1" applyBorder="1"/>
    <xf numFmtId="0" fontId="30" fillId="26" borderId="0" xfId="0" applyFont="1" applyFill="1"/>
    <xf numFmtId="0" fontId="0" fillId="21" borderId="34" xfId="0" applyFill="1" applyBorder="1"/>
    <xf numFmtId="0" fontId="0" fillId="21" borderId="29" xfId="0" applyFill="1" applyBorder="1"/>
    <xf numFmtId="0" fontId="30" fillId="26" borderId="30" xfId="0" applyFont="1" applyFill="1" applyBorder="1"/>
    <xf numFmtId="0" fontId="0" fillId="21" borderId="32" xfId="0" applyFill="1" applyBorder="1"/>
    <xf numFmtId="169" fontId="0" fillId="21" borderId="54" xfId="0" applyNumberFormat="1" applyFill="1" applyBorder="1"/>
    <xf numFmtId="43" fontId="8" fillId="21" borderId="54" xfId="2" applyFont="1" applyFill="1" applyBorder="1"/>
    <xf numFmtId="0" fontId="30" fillId="18" borderId="32" xfId="0" applyFont="1" applyFill="1" applyBorder="1"/>
    <xf numFmtId="0" fontId="0" fillId="21" borderId="33" xfId="0" applyFill="1" applyBorder="1"/>
    <xf numFmtId="9" fontId="0" fillId="21" borderId="34" xfId="0" applyNumberFormat="1" applyFill="1" applyBorder="1"/>
    <xf numFmtId="0" fontId="0" fillId="21" borderId="30" xfId="0" applyFill="1" applyBorder="1" applyAlignment="1">
      <alignment horizontal="left" vertical="center"/>
    </xf>
    <xf numFmtId="9" fontId="0" fillId="21" borderId="32" xfId="0" applyNumberFormat="1" applyFill="1" applyBorder="1" applyAlignment="1">
      <alignment horizontal="left" vertical="center"/>
    </xf>
    <xf numFmtId="0" fontId="0" fillId="21" borderId="0" xfId="0" applyFill="1" applyAlignment="1">
      <alignment horizontal="left" vertical="center"/>
    </xf>
    <xf numFmtId="0" fontId="0" fillId="21" borderId="32" xfId="0" applyFill="1" applyBorder="1" applyAlignment="1">
      <alignment horizontal="left" vertical="center" wrapText="1"/>
    </xf>
    <xf numFmtId="0" fontId="0" fillId="21" borderId="0" xfId="0" applyFill="1" applyAlignment="1">
      <alignment horizontal="center" vertical="center"/>
    </xf>
    <xf numFmtId="0" fontId="0" fillId="21" borderId="30" xfId="0" applyFill="1" applyBorder="1" applyAlignment="1">
      <alignment horizontal="center" vertical="center"/>
    </xf>
    <xf numFmtId="0" fontId="0" fillId="21" borderId="32" xfId="0" applyFill="1" applyBorder="1" applyAlignment="1">
      <alignment horizontal="center" vertical="center" wrapText="1"/>
    </xf>
    <xf numFmtId="43" fontId="0" fillId="21" borderId="34" xfId="2" applyFont="1" applyFill="1" applyBorder="1"/>
    <xf numFmtId="0" fontId="0" fillId="21" borderId="30" xfId="0" applyFill="1" applyBorder="1" applyAlignment="1">
      <alignment vertical="center"/>
    </xf>
    <xf numFmtId="0" fontId="0" fillId="21" borderId="33" xfId="0" applyFill="1" applyBorder="1" applyAlignment="1">
      <alignment vertical="center"/>
    </xf>
    <xf numFmtId="0" fontId="0" fillId="21" borderId="34" xfId="0" applyFill="1" applyBorder="1" applyAlignment="1">
      <alignment vertical="center"/>
    </xf>
    <xf numFmtId="0" fontId="0" fillId="21" borderId="30" xfId="0" applyFill="1" applyBorder="1" applyAlignment="1">
      <alignment vertical="center" wrapText="1"/>
    </xf>
    <xf numFmtId="43" fontId="0" fillId="21" borderId="32" xfId="2" quotePrefix="1" applyFont="1" applyFill="1" applyBorder="1" applyAlignment="1">
      <alignment vertical="center" wrapText="1"/>
    </xf>
    <xf numFmtId="0" fontId="0" fillId="21" borderId="33" xfId="0" applyFill="1" applyBorder="1" applyAlignment="1">
      <alignment horizontal="left"/>
    </xf>
    <xf numFmtId="9" fontId="0" fillId="21" borderId="34" xfId="0" applyNumberFormat="1" applyFill="1" applyBorder="1" applyAlignment="1">
      <alignment horizontal="left"/>
    </xf>
    <xf numFmtId="10" fontId="0" fillId="21" borderId="32" xfId="0" applyNumberFormat="1" applyFill="1" applyBorder="1" applyAlignment="1">
      <alignment horizontal="left" vertical="center" wrapText="1"/>
    </xf>
    <xf numFmtId="0" fontId="0" fillId="21" borderId="30" xfId="0" applyFill="1" applyBorder="1"/>
    <xf numFmtId="0" fontId="0" fillId="21" borderId="28" xfId="0" applyFill="1" applyBorder="1" applyAlignment="1">
      <alignment horizontal="center" vertical="center"/>
    </xf>
    <xf numFmtId="0" fontId="0" fillId="21" borderId="28" xfId="0" applyFill="1" applyBorder="1" applyAlignment="1">
      <alignment horizontal="center" vertical="center" wrapText="1"/>
    </xf>
    <xf numFmtId="9" fontId="0" fillId="21" borderId="32" xfId="0" applyNumberFormat="1" applyFill="1" applyBorder="1" applyAlignment="1">
      <alignment vertical="center"/>
    </xf>
    <xf numFmtId="0" fontId="0" fillId="21" borderId="33" xfId="0" applyFill="1" applyBorder="1" applyAlignment="1">
      <alignment wrapText="1"/>
    </xf>
    <xf numFmtId="0" fontId="0" fillId="21" borderId="30" xfId="0" applyFill="1" applyBorder="1" applyAlignment="1">
      <alignment wrapText="1"/>
    </xf>
    <xf numFmtId="0" fontId="84" fillId="27" borderId="76" xfId="0" applyFont="1" applyFill="1" applyBorder="1" applyAlignment="1">
      <alignment horizontal="center" vertical="center" wrapText="1"/>
    </xf>
    <xf numFmtId="0" fontId="84" fillId="27" borderId="77" xfId="0" applyFont="1" applyFill="1" applyBorder="1" applyAlignment="1">
      <alignment vertical="center" wrapText="1"/>
    </xf>
    <xf numFmtId="0" fontId="82" fillId="21" borderId="78" xfId="0" applyFont="1" applyFill="1" applyBorder="1" applyAlignment="1">
      <alignment vertical="center" wrapText="1"/>
    </xf>
    <xf numFmtId="0" fontId="82" fillId="21" borderId="79" xfId="0" applyFont="1" applyFill="1" applyBorder="1" applyAlignment="1">
      <alignment horizontal="center" vertical="center" wrapText="1"/>
    </xf>
    <xf numFmtId="0" fontId="82" fillId="21" borderId="69" xfId="0" applyFont="1" applyFill="1" applyBorder="1" applyAlignment="1">
      <alignment vertical="center" wrapText="1"/>
    </xf>
    <xf numFmtId="0" fontId="82" fillId="21" borderId="74" xfId="0" applyFont="1" applyFill="1" applyBorder="1" applyAlignment="1">
      <alignment horizontal="center" vertical="center" wrapText="1"/>
    </xf>
    <xf numFmtId="0" fontId="8" fillId="21" borderId="33" xfId="0" applyFont="1" applyFill="1" applyBorder="1"/>
    <xf numFmtId="9" fontId="0" fillId="21" borderId="32" xfId="0" applyNumberFormat="1" applyFill="1" applyBorder="1"/>
    <xf numFmtId="0" fontId="0" fillId="16" borderId="24" xfId="0" applyFill="1" applyBorder="1" applyAlignment="1">
      <alignment horizontal="center"/>
    </xf>
    <xf numFmtId="0" fontId="0" fillId="16" borderId="26" xfId="0" applyFill="1" applyBorder="1" applyAlignment="1">
      <alignment horizontal="center"/>
    </xf>
    <xf numFmtId="0" fontId="37" fillId="16" borderId="1" xfId="0" applyFont="1" applyFill="1" applyBorder="1" applyAlignment="1">
      <alignment horizontal="center"/>
    </xf>
    <xf numFmtId="165" fontId="0" fillId="16" borderId="1" xfId="0" applyNumberFormat="1" applyFill="1" applyBorder="1"/>
    <xf numFmtId="0" fontId="32" fillId="0" borderId="0" xfId="0" applyFont="1" applyAlignment="1">
      <alignment vertical="center"/>
    </xf>
    <xf numFmtId="0" fontId="88" fillId="16" borderId="27" xfId="0" applyFont="1" applyFill="1" applyBorder="1"/>
    <xf numFmtId="9" fontId="39" fillId="16" borderId="28" xfId="1" applyFont="1" applyFill="1" applyBorder="1" applyAlignment="1">
      <alignment horizontal="center"/>
    </xf>
    <xf numFmtId="0" fontId="39" fillId="16" borderId="28" xfId="0" applyFont="1" applyFill="1" applyBorder="1"/>
    <xf numFmtId="170" fontId="36" fillId="0" borderId="0" xfId="2" applyNumberFormat="1" applyFont="1" applyFill="1" applyBorder="1" applyAlignment="1">
      <alignment horizontal="center" vertical="center" wrapText="1"/>
    </xf>
    <xf numFmtId="0" fontId="88" fillId="16" borderId="30" xfId="0" applyFont="1" applyFill="1" applyBorder="1"/>
    <xf numFmtId="0" fontId="39" fillId="16" borderId="31" xfId="0" applyFont="1" applyFill="1" applyBorder="1" applyAlignment="1">
      <alignment horizontal="center"/>
    </xf>
    <xf numFmtId="0" fontId="39" fillId="16" borderId="31" xfId="0" applyFont="1" applyFill="1" applyBorder="1"/>
    <xf numFmtId="170" fontId="0" fillId="0" borderId="0" xfId="2" applyNumberFormat="1" applyFont="1" applyFill="1" applyBorder="1"/>
    <xf numFmtId="9" fontId="0" fillId="0" borderId="0" xfId="1" applyFont="1" applyFill="1" applyBorder="1"/>
    <xf numFmtId="43" fontId="39" fillId="16" borderId="28" xfId="2" applyFont="1" applyFill="1" applyBorder="1" applyAlignment="1">
      <alignment horizontal="center"/>
    </xf>
    <xf numFmtId="0" fontId="33" fillId="16" borderId="28" xfId="0" applyFont="1" applyFill="1" applyBorder="1" applyAlignment="1">
      <alignment wrapText="1"/>
    </xf>
    <xf numFmtId="0" fontId="33" fillId="16" borderId="29" xfId="0" applyFont="1" applyFill="1" applyBorder="1" applyAlignment="1">
      <alignment wrapText="1"/>
    </xf>
    <xf numFmtId="1" fontId="39" fillId="16" borderId="28" xfId="0" applyNumberFormat="1" applyFont="1" applyFill="1" applyBorder="1" applyAlignment="1">
      <alignment horizontal="center"/>
    </xf>
    <xf numFmtId="0" fontId="39" fillId="16" borderId="0" xfId="0" applyFont="1" applyFill="1" applyAlignment="1">
      <alignment horizontal="center"/>
    </xf>
    <xf numFmtId="0" fontId="39" fillId="16" borderId="0" xfId="0" applyFont="1" applyFill="1"/>
    <xf numFmtId="0" fontId="39" fillId="16" borderId="28" xfId="0" applyFont="1" applyFill="1" applyBorder="1" applyAlignment="1">
      <alignment horizontal="center"/>
    </xf>
    <xf numFmtId="2" fontId="39" fillId="16" borderId="28" xfId="1" applyNumberFormat="1" applyFont="1" applyFill="1" applyBorder="1" applyAlignment="1">
      <alignment horizontal="center"/>
    </xf>
    <xf numFmtId="0" fontId="88" fillId="16" borderId="27" xfId="0" applyFont="1" applyFill="1" applyBorder="1" applyAlignment="1">
      <alignment horizontal="center"/>
    </xf>
    <xf numFmtId="0" fontId="88" fillId="16" borderId="33" xfId="0" applyFont="1" applyFill="1" applyBorder="1" applyAlignment="1">
      <alignment horizontal="center"/>
    </xf>
    <xf numFmtId="2" fontId="39" fillId="16" borderId="0" xfId="1" applyNumberFormat="1" applyFont="1" applyFill="1" applyBorder="1" applyAlignment="1">
      <alignment horizontal="center"/>
    </xf>
    <xf numFmtId="0" fontId="88" fillId="16" borderId="30" xfId="0" applyFont="1" applyFill="1" applyBorder="1" applyAlignment="1">
      <alignment horizontal="center"/>
    </xf>
    <xf numFmtId="2" fontId="39" fillId="16" borderId="31" xfId="1" applyNumberFormat="1" applyFont="1" applyFill="1" applyBorder="1" applyAlignment="1">
      <alignment horizontal="center"/>
    </xf>
    <xf numFmtId="0" fontId="88" fillId="16" borderId="24" xfId="0" applyFont="1" applyFill="1" applyBorder="1" applyAlignment="1">
      <alignment horizontal="center"/>
    </xf>
    <xf numFmtId="2" fontId="39" fillId="16" borderId="25" xfId="1" applyNumberFormat="1" applyFont="1" applyFill="1" applyBorder="1" applyAlignment="1">
      <alignment horizontal="center"/>
    </xf>
    <xf numFmtId="0" fontId="39" fillId="16" borderId="25" xfId="0" applyFont="1" applyFill="1" applyBorder="1"/>
    <xf numFmtId="0" fontId="0" fillId="16" borderId="25" xfId="0" applyFill="1" applyBorder="1"/>
    <xf numFmtId="0" fontId="0" fillId="16" borderId="26" xfId="0" applyFill="1" applyBorder="1"/>
    <xf numFmtId="0" fontId="39" fillId="16" borderId="25" xfId="0" applyFont="1" applyFill="1" applyBorder="1" applyAlignment="1">
      <alignment horizontal="center"/>
    </xf>
    <xf numFmtId="0" fontId="0" fillId="16" borderId="28" xfId="0" applyFill="1" applyBorder="1" applyAlignment="1">
      <alignment horizontal="center"/>
    </xf>
    <xf numFmtId="0" fontId="0" fillId="16" borderId="0" xfId="0" applyFill="1" applyAlignment="1">
      <alignment horizontal="center"/>
    </xf>
    <xf numFmtId="0" fontId="0" fillId="16" borderId="31" xfId="0" applyFill="1" applyBorder="1" applyAlignment="1">
      <alignment horizontal="center"/>
    </xf>
    <xf numFmtId="0" fontId="8" fillId="16" borderId="27" xfId="0" applyFont="1" applyFill="1" applyBorder="1" applyAlignment="1">
      <alignment horizontal="left" vertical="center"/>
    </xf>
    <xf numFmtId="0" fontId="8" fillId="16" borderId="30" xfId="0" applyFont="1" applyFill="1" applyBorder="1" applyAlignment="1">
      <alignment horizontal="left" vertical="center"/>
    </xf>
    <xf numFmtId="0" fontId="0" fillId="0" borderId="0" xfId="0" applyAlignment="1">
      <alignment horizontal="left" vertical="center"/>
    </xf>
    <xf numFmtId="0" fontId="0" fillId="0" borderId="0" xfId="0" applyAlignment="1">
      <alignment horizontal="left"/>
    </xf>
    <xf numFmtId="0" fontId="30" fillId="18" borderId="27" xfId="0" applyFont="1" applyFill="1" applyBorder="1" applyAlignment="1">
      <alignment vertical="center"/>
    </xf>
    <xf numFmtId="0" fontId="32" fillId="18" borderId="28" xfId="0" applyFont="1" applyFill="1" applyBorder="1" applyAlignment="1">
      <alignment vertical="center"/>
    </xf>
    <xf numFmtId="0" fontId="32" fillId="18" borderId="29" xfId="0" applyFont="1" applyFill="1" applyBorder="1" applyAlignment="1">
      <alignment vertical="center"/>
    </xf>
    <xf numFmtId="0" fontId="40" fillId="24" borderId="1" xfId="0" applyFont="1" applyFill="1" applyBorder="1" applyAlignment="1">
      <alignment horizontal="center" vertical="center" wrapText="1"/>
    </xf>
    <xf numFmtId="166" fontId="0" fillId="16" borderId="1" xfId="3" applyNumberFormat="1" applyFont="1" applyFill="1" applyBorder="1"/>
    <xf numFmtId="170" fontId="0" fillId="16" borderId="1" xfId="2" applyNumberFormat="1" applyFont="1" applyFill="1" applyBorder="1"/>
    <xf numFmtId="0" fontId="8" fillId="16" borderId="33" xfId="0" applyFont="1" applyFill="1" applyBorder="1"/>
    <xf numFmtId="0" fontId="36" fillId="24" borderId="50" xfId="0" applyFont="1" applyFill="1" applyBorder="1" applyAlignment="1">
      <alignment horizontal="center" vertical="center" wrapText="1"/>
    </xf>
    <xf numFmtId="0" fontId="36" fillId="24" borderId="1" xfId="0" applyFont="1" applyFill="1" applyBorder="1" applyAlignment="1">
      <alignment horizontal="center" vertical="center" wrapText="1"/>
    </xf>
    <xf numFmtId="0" fontId="36" fillId="24" borderId="51" xfId="0" applyFont="1" applyFill="1" applyBorder="1" applyAlignment="1">
      <alignment horizontal="center" vertical="center" wrapText="1"/>
    </xf>
    <xf numFmtId="0" fontId="33" fillId="16" borderId="50" xfId="0" applyFont="1" applyFill="1" applyBorder="1" applyAlignment="1">
      <alignment vertical="center"/>
    </xf>
    <xf numFmtId="3" fontId="33" fillId="16" borderId="1" xfId="0" applyNumberFormat="1" applyFont="1" applyFill="1" applyBorder="1" applyAlignment="1">
      <alignment vertical="center"/>
    </xf>
    <xf numFmtId="0" fontId="33" fillId="16" borderId="1" xfId="0" applyFont="1" applyFill="1" applyBorder="1" applyAlignment="1">
      <alignment vertical="center"/>
    </xf>
    <xf numFmtId="0" fontId="33" fillId="16" borderId="51" xfId="0" applyFont="1" applyFill="1" applyBorder="1" applyAlignment="1">
      <alignment vertical="center" wrapText="1"/>
    </xf>
    <xf numFmtId="0" fontId="33" fillId="16" borderId="0" xfId="0" applyFont="1" applyFill="1" applyAlignment="1">
      <alignment vertical="center" wrapText="1"/>
    </xf>
    <xf numFmtId="0" fontId="33" fillId="16" borderId="50" xfId="0" applyFont="1" applyFill="1" applyBorder="1" applyAlignment="1">
      <alignment vertical="center" wrapText="1"/>
    </xf>
    <xf numFmtId="2" fontId="33" fillId="16" borderId="1" xfId="0" applyNumberFormat="1" applyFont="1" applyFill="1" applyBorder="1" applyAlignment="1">
      <alignment vertical="center" wrapText="1"/>
    </xf>
    <xf numFmtId="0" fontId="33" fillId="16" borderId="52" xfId="0" applyFont="1" applyFill="1" applyBorder="1" applyAlignment="1">
      <alignment vertical="center"/>
    </xf>
    <xf numFmtId="0" fontId="33" fillId="16" borderId="45" xfId="0" applyFont="1" applyFill="1" applyBorder="1" applyAlignment="1">
      <alignment vertical="center" wrapText="1"/>
    </xf>
    <xf numFmtId="9" fontId="0" fillId="0" borderId="31" xfId="0" applyNumberFormat="1" applyBorder="1"/>
    <xf numFmtId="0" fontId="0" fillId="16" borderId="33" xfId="0" applyFill="1" applyBorder="1" applyAlignment="1">
      <alignment horizontal="left" indent="2"/>
    </xf>
    <xf numFmtId="0" fontId="40" fillId="18" borderId="27" xfId="0" applyFont="1" applyFill="1" applyBorder="1"/>
    <xf numFmtId="0" fontId="30" fillId="18" borderId="28" xfId="0" applyFont="1" applyFill="1" applyBorder="1" applyAlignment="1">
      <alignment horizontal="center"/>
    </xf>
    <xf numFmtId="0" fontId="30" fillId="18" borderId="28" xfId="0" applyFont="1" applyFill="1" applyBorder="1"/>
    <xf numFmtId="0" fontId="33" fillId="16" borderId="27" xfId="0" applyFont="1" applyFill="1" applyBorder="1"/>
    <xf numFmtId="0" fontId="33" fillId="16" borderId="28" xfId="0" applyFont="1" applyFill="1" applyBorder="1"/>
    <xf numFmtId="0" fontId="33" fillId="16" borderId="31" xfId="0" applyFont="1" applyFill="1" applyBorder="1"/>
    <xf numFmtId="9" fontId="0" fillId="16" borderId="28" xfId="1" applyFont="1" applyFill="1" applyBorder="1"/>
    <xf numFmtId="0" fontId="33" fillId="16" borderId="24" xfId="0" applyFont="1" applyFill="1" applyBorder="1"/>
    <xf numFmtId="2" fontId="0" fillId="16" borderId="28" xfId="1" applyNumberFormat="1" applyFont="1" applyFill="1" applyBorder="1"/>
    <xf numFmtId="16" fontId="0" fillId="16" borderId="29" xfId="0" applyNumberFormat="1" applyFill="1" applyBorder="1"/>
    <xf numFmtId="2" fontId="0" fillId="16" borderId="25" xfId="1" applyNumberFormat="1" applyFont="1" applyFill="1" applyBorder="1"/>
    <xf numFmtId="0" fontId="33" fillId="16" borderId="25" xfId="0" applyFont="1" applyFill="1" applyBorder="1"/>
    <xf numFmtId="0" fontId="36" fillId="15" borderId="48" xfId="0" applyFont="1" applyFill="1" applyBorder="1" applyAlignment="1">
      <alignment horizontal="center" vertical="center" wrapText="1"/>
    </xf>
    <xf numFmtId="0" fontId="36" fillId="15" borderId="82" xfId="0" applyFont="1" applyFill="1" applyBorder="1" applyAlignment="1">
      <alignment horizontal="center" vertical="center" wrapText="1"/>
    </xf>
    <xf numFmtId="0" fontId="36" fillId="15" borderId="50" xfId="0" applyFont="1" applyFill="1" applyBorder="1" applyAlignment="1">
      <alignment horizontal="center" vertical="center" wrapText="1"/>
    </xf>
    <xf numFmtId="0" fontId="36" fillId="15" borderId="1" xfId="0" applyFont="1" applyFill="1" applyBorder="1" applyAlignment="1">
      <alignment horizontal="center" vertical="center" wrapText="1"/>
    </xf>
    <xf numFmtId="0" fontId="0" fillId="16" borderId="52" xfId="0" applyFill="1" applyBorder="1"/>
    <xf numFmtId="0" fontId="0" fillId="16" borderId="1" xfId="0" applyFill="1" applyBorder="1" applyAlignment="1">
      <alignment horizontal="center" wrapText="1"/>
    </xf>
    <xf numFmtId="170" fontId="0" fillId="16" borderId="1" xfId="0" applyNumberFormat="1" applyFill="1" applyBorder="1" applyAlignment="1">
      <alignment wrapText="1"/>
    </xf>
    <xf numFmtId="1" fontId="0" fillId="16" borderId="1" xfId="0" applyNumberFormat="1" applyFill="1" applyBorder="1" applyAlignment="1">
      <alignment wrapText="1"/>
    </xf>
    <xf numFmtId="175" fontId="0" fillId="16" borderId="1" xfId="0" applyNumberFormat="1" applyFill="1" applyBorder="1" applyAlignment="1">
      <alignment wrapText="1"/>
    </xf>
    <xf numFmtId="175" fontId="0" fillId="16" borderId="1" xfId="0" applyNumberFormat="1" applyFill="1" applyBorder="1"/>
    <xf numFmtId="0" fontId="51" fillId="16" borderId="16" xfId="0" applyFont="1" applyFill="1" applyBorder="1"/>
    <xf numFmtId="0" fontId="51" fillId="16" borderId="6" xfId="0" applyFont="1" applyFill="1" applyBorder="1"/>
    <xf numFmtId="0" fontId="51" fillId="16" borderId="15" xfId="0" applyFont="1" applyFill="1" applyBorder="1"/>
    <xf numFmtId="0" fontId="0" fillId="16" borderId="24" xfId="0" applyFill="1" applyBorder="1"/>
    <xf numFmtId="0" fontId="0" fillId="16" borderId="28" xfId="0" applyFill="1" applyBorder="1" applyAlignment="1">
      <alignment horizontal="center" wrapText="1"/>
    </xf>
    <xf numFmtId="0" fontId="0" fillId="16" borderId="48" xfId="0" applyFill="1" applyBorder="1"/>
    <xf numFmtId="0" fontId="55" fillId="16" borderId="82" xfId="3" applyNumberFormat="1" applyFont="1" applyFill="1" applyBorder="1"/>
    <xf numFmtId="0" fontId="36" fillId="17" borderId="50" xfId="0" applyFont="1" applyFill="1" applyBorder="1" applyAlignment="1">
      <alignment horizontal="center" vertical="center" wrapText="1"/>
    </xf>
    <xf numFmtId="0" fontId="36" fillId="17" borderId="51" xfId="0" applyFont="1" applyFill="1" applyBorder="1" applyAlignment="1">
      <alignment horizontal="center" vertical="center" wrapText="1"/>
    </xf>
    <xf numFmtId="0" fontId="0" fillId="16" borderId="50" xfId="0" applyFill="1" applyBorder="1" applyAlignment="1">
      <alignment horizontal="right"/>
    </xf>
    <xf numFmtId="0" fontId="0" fillId="16" borderId="51" xfId="0" applyFill="1" applyBorder="1"/>
    <xf numFmtId="0" fontId="0" fillId="16" borderId="45" xfId="0" applyFill="1" applyBorder="1" applyAlignment="1">
      <alignment wrapText="1"/>
    </xf>
    <xf numFmtId="9" fontId="0" fillId="4" borderId="1" xfId="0" applyNumberFormat="1" applyFill="1" applyBorder="1"/>
    <xf numFmtId="0" fontId="8" fillId="0" borderId="6" xfId="0" applyFont="1" applyBorder="1"/>
    <xf numFmtId="170" fontId="0" fillId="16" borderId="28" xfId="2" applyNumberFormat="1" applyFont="1" applyFill="1" applyBorder="1"/>
    <xf numFmtId="10" fontId="0" fillId="16" borderId="28" xfId="0" applyNumberFormat="1" applyFill="1" applyBorder="1"/>
    <xf numFmtId="3" fontId="31" fillId="16" borderId="31" xfId="0" applyNumberFormat="1" applyFont="1" applyFill="1" applyBorder="1"/>
    <xf numFmtId="0" fontId="31" fillId="16" borderId="25" xfId="0" applyFont="1" applyFill="1" applyBorder="1"/>
    <xf numFmtId="0" fontId="31" fillId="16" borderId="1" xfId="0" applyFont="1" applyFill="1" applyBorder="1"/>
    <xf numFmtId="0" fontId="0" fillId="0" borderId="13" xfId="0" applyBorder="1"/>
    <xf numFmtId="0" fontId="33" fillId="0" borderId="25" xfId="0" applyFont="1" applyBorder="1"/>
    <xf numFmtId="0" fontId="96" fillId="17" borderId="1" xfId="0" applyFont="1" applyFill="1" applyBorder="1" applyAlignment="1">
      <alignment horizontal="center" vertical="center" wrapText="1"/>
    </xf>
    <xf numFmtId="6" fontId="33" fillId="16" borderId="1" xfId="0" applyNumberFormat="1" applyFont="1" applyFill="1" applyBorder="1" applyAlignment="1">
      <alignment vertical="center" wrapText="1"/>
    </xf>
    <xf numFmtId="0" fontId="36" fillId="17" borderId="50" xfId="0" applyFont="1" applyFill="1" applyBorder="1" applyAlignment="1">
      <alignment horizontal="left" vertical="center"/>
    </xf>
    <xf numFmtId="0" fontId="0" fillId="16" borderId="1" xfId="0" applyFill="1" applyBorder="1" applyAlignment="1">
      <alignment horizontal="center" vertical="center"/>
    </xf>
    <xf numFmtId="0" fontId="33" fillId="16" borderId="52" xfId="0" applyFont="1" applyFill="1" applyBorder="1" applyAlignment="1">
      <alignment vertical="center" wrapText="1"/>
    </xf>
    <xf numFmtId="0" fontId="33" fillId="16" borderId="1" xfId="0" applyFont="1" applyFill="1" applyBorder="1" applyAlignment="1">
      <alignment horizontal="left"/>
    </xf>
    <xf numFmtId="0" fontId="33" fillId="16" borderId="1" xfId="0" applyFont="1" applyFill="1" applyBorder="1" applyAlignment="1">
      <alignment horizontal="left" wrapText="1"/>
    </xf>
    <xf numFmtId="0" fontId="0" fillId="16" borderId="1" xfId="0" applyFill="1" applyBorder="1" applyAlignment="1">
      <alignment horizontal="left"/>
    </xf>
    <xf numFmtId="0" fontId="33" fillId="0" borderId="0" xfId="0" applyFont="1" applyAlignment="1">
      <alignment horizontal="left"/>
    </xf>
    <xf numFmtId="0" fontId="97" fillId="0" borderId="0" xfId="0" applyFont="1"/>
    <xf numFmtId="0" fontId="33" fillId="0" borderId="27" xfId="0" applyFont="1" applyBorder="1" applyAlignment="1">
      <alignment horizontal="left"/>
    </xf>
    <xf numFmtId="0" fontId="33" fillId="0" borderId="27" xfId="0" applyFont="1" applyBorder="1" applyAlignment="1">
      <alignment horizontal="left" wrapText="1"/>
    </xf>
    <xf numFmtId="0" fontId="0" fillId="0" borderId="24" xfId="0" applyBorder="1" applyAlignment="1">
      <alignment horizontal="left"/>
    </xf>
    <xf numFmtId="0" fontId="0" fillId="0" borderId="31" xfId="0" applyBorder="1" applyAlignment="1">
      <alignment horizontal="left"/>
    </xf>
    <xf numFmtId="0" fontId="0" fillId="0" borderId="31" xfId="0" applyBorder="1" applyAlignment="1">
      <alignment horizontal="left" wrapText="1"/>
    </xf>
    <xf numFmtId="0" fontId="0" fillId="0" borderId="32" xfId="0" applyBorder="1" applyAlignment="1">
      <alignment horizontal="left" wrapText="1"/>
    </xf>
    <xf numFmtId="0" fontId="0" fillId="0" borderId="28" xfId="0" applyBorder="1" applyAlignment="1">
      <alignment horizontal="left"/>
    </xf>
    <xf numFmtId="0" fontId="0" fillId="0" borderId="28" xfId="0" applyBorder="1" applyAlignment="1">
      <alignment horizontal="left" wrapText="1"/>
    </xf>
    <xf numFmtId="0" fontId="0" fillId="0" borderId="29" xfId="0" applyBorder="1" applyAlignment="1">
      <alignment horizontal="left" wrapText="1"/>
    </xf>
    <xf numFmtId="0" fontId="0" fillId="0" borderId="0" xfId="0" applyAlignment="1">
      <alignment horizontal="left" wrapText="1"/>
    </xf>
    <xf numFmtId="0" fontId="0" fillId="18" borderId="28" xfId="0" applyFill="1" applyBorder="1" applyAlignment="1">
      <alignment horizontal="left" wrapText="1"/>
    </xf>
    <xf numFmtId="6" fontId="0" fillId="16" borderId="1" xfId="0" applyNumberFormat="1" applyFill="1" applyBorder="1"/>
    <xf numFmtId="0" fontId="98" fillId="16" borderId="1" xfId="0" applyFont="1" applyFill="1" applyBorder="1"/>
    <xf numFmtId="0" fontId="32" fillId="20" borderId="8" xfId="0" applyFont="1" applyFill="1" applyBorder="1"/>
    <xf numFmtId="0" fontId="32" fillId="20" borderId="9" xfId="0" applyFont="1" applyFill="1" applyBorder="1"/>
    <xf numFmtId="0" fontId="99" fillId="20" borderId="9" xfId="0" applyFont="1" applyFill="1" applyBorder="1"/>
    <xf numFmtId="0" fontId="32" fillId="20" borderId="84" xfId="0" applyFont="1" applyFill="1" applyBorder="1"/>
    <xf numFmtId="0" fontId="0" fillId="16" borderId="13" xfId="0" applyFill="1" applyBorder="1"/>
    <xf numFmtId="0" fontId="0" fillId="16" borderId="0" xfId="0" applyFill="1" applyAlignment="1">
      <alignment horizontal="right"/>
    </xf>
    <xf numFmtId="3" fontId="0" fillId="16" borderId="0" xfId="0" applyNumberFormat="1" applyFill="1" applyAlignment="1">
      <alignment horizontal="center"/>
    </xf>
    <xf numFmtId="0" fontId="0" fillId="16" borderId="7" xfId="0" applyFill="1" applyBorder="1"/>
    <xf numFmtId="0" fontId="0" fillId="16" borderId="6" xfId="0" applyFill="1" applyBorder="1" applyAlignment="1">
      <alignment horizontal="right"/>
    </xf>
    <xf numFmtId="3" fontId="0" fillId="16" borderId="6" xfId="0" applyNumberFormat="1" applyFill="1" applyBorder="1" applyAlignment="1">
      <alignment horizontal="center"/>
    </xf>
    <xf numFmtId="10" fontId="33" fillId="16" borderId="1" xfId="1" applyNumberFormat="1" applyFont="1" applyFill="1" applyBorder="1" applyAlignment="1">
      <alignment vertical="center" wrapText="1"/>
    </xf>
    <xf numFmtId="9" fontId="0" fillId="16" borderId="0" xfId="1" applyFont="1" applyFill="1" applyBorder="1" applyAlignment="1">
      <alignment horizontal="center"/>
    </xf>
    <xf numFmtId="3" fontId="60" fillId="16" borderId="32" xfId="0" applyNumberFormat="1" applyFont="1" applyFill="1" applyBorder="1" applyAlignment="1">
      <alignment horizontal="center" vertical="center"/>
    </xf>
    <xf numFmtId="0" fontId="8" fillId="16" borderId="1" xfId="0" applyFont="1" applyFill="1" applyBorder="1" applyAlignment="1">
      <alignment wrapText="1"/>
    </xf>
    <xf numFmtId="0" fontId="30" fillId="0" borderId="31" xfId="0" applyFont="1" applyBorder="1" applyAlignment="1">
      <alignment horizontal="left" vertical="center"/>
    </xf>
    <xf numFmtId="0" fontId="36" fillId="0" borderId="28" xfId="0" applyFont="1" applyBorder="1" applyAlignment="1">
      <alignment horizontal="center" vertical="center"/>
    </xf>
    <xf numFmtId="0" fontId="30" fillId="0" borderId="28" xfId="0" applyFont="1" applyBorder="1" applyAlignment="1">
      <alignment horizontal="left" vertical="center"/>
    </xf>
    <xf numFmtId="0" fontId="36" fillId="0" borderId="0" xfId="0" applyFont="1" applyAlignment="1">
      <alignment horizontal="center" vertical="center"/>
    </xf>
    <xf numFmtId="0" fontId="30" fillId="0" borderId="0" xfId="0" applyFont="1" applyAlignment="1">
      <alignment horizontal="center"/>
    </xf>
    <xf numFmtId="0" fontId="36" fillId="0" borderId="31" xfId="0" applyFont="1" applyBorder="1" applyAlignment="1">
      <alignment horizontal="center" vertical="center"/>
    </xf>
    <xf numFmtId="0" fontId="30" fillId="0" borderId="31" xfId="0" applyFont="1" applyBorder="1" applyAlignment="1">
      <alignment horizontal="center"/>
    </xf>
    <xf numFmtId="0" fontId="33" fillId="0" borderId="28" xfId="0" applyFont="1" applyBorder="1" applyAlignment="1">
      <alignment horizontal="center" vertical="center"/>
    </xf>
    <xf numFmtId="0" fontId="53" fillId="0" borderId="28" xfId="0" applyFont="1" applyBorder="1" applyAlignment="1">
      <alignment horizontal="center" vertical="center"/>
    </xf>
    <xf numFmtId="0" fontId="30" fillId="0" borderId="28" xfId="0" applyFont="1" applyBorder="1" applyAlignment="1">
      <alignment horizontal="center"/>
    </xf>
    <xf numFmtId="0" fontId="0" fillId="0" borderId="0" xfId="0" applyAlignment="1">
      <alignment horizontal="center" vertical="center"/>
    </xf>
    <xf numFmtId="8" fontId="8" fillId="0" borderId="31" xfId="0" applyNumberFormat="1" applyFont="1" applyBorder="1"/>
    <xf numFmtId="0" fontId="0" fillId="0" borderId="31" xfId="0" applyBorder="1" applyAlignment="1">
      <alignment horizontal="center" vertical="center"/>
    </xf>
    <xf numFmtId="0" fontId="0" fillId="0" borderId="28" xfId="0" applyBorder="1" applyAlignment="1">
      <alignment horizontal="center" vertical="center"/>
    </xf>
    <xf numFmtId="8" fontId="8" fillId="0" borderId="0" xfId="0" applyNumberFormat="1" applyFont="1"/>
    <xf numFmtId="0" fontId="0" fillId="18" borderId="25" xfId="0" applyFill="1" applyBorder="1" applyAlignment="1">
      <alignment horizontal="center" vertical="center"/>
    </xf>
    <xf numFmtId="0" fontId="30" fillId="16" borderId="0" xfId="0" applyFont="1" applyFill="1" applyAlignment="1">
      <alignment horizontal="center" vertical="center"/>
    </xf>
    <xf numFmtId="8" fontId="8" fillId="20" borderId="2" xfId="0" applyNumberFormat="1" applyFont="1" applyFill="1" applyBorder="1"/>
    <xf numFmtId="0" fontId="30" fillId="16" borderId="0" xfId="0" applyFont="1" applyFill="1" applyAlignment="1">
      <alignment horizontal="center"/>
    </xf>
    <xf numFmtId="0" fontId="0" fillId="20" borderId="10" xfId="0" applyFill="1" applyBorder="1"/>
    <xf numFmtId="0" fontId="30" fillId="20" borderId="5" xfId="0" applyFont="1" applyFill="1" applyBorder="1" applyAlignment="1">
      <alignment horizontal="center"/>
    </xf>
    <xf numFmtId="0" fontId="30" fillId="20" borderId="0" xfId="0" applyFont="1" applyFill="1" applyAlignment="1">
      <alignment horizontal="center" wrapText="1"/>
    </xf>
    <xf numFmtId="0" fontId="30" fillId="20" borderId="1" xfId="0" applyFont="1" applyFill="1" applyBorder="1" applyAlignment="1">
      <alignment horizontal="center"/>
    </xf>
    <xf numFmtId="0" fontId="30" fillId="20" borderId="3" xfId="0" applyFont="1" applyFill="1" applyBorder="1" applyAlignment="1">
      <alignment vertical="center"/>
    </xf>
    <xf numFmtId="0" fontId="30" fillId="20" borderId="4" xfId="0" applyFont="1" applyFill="1" applyBorder="1" applyAlignment="1">
      <alignment vertical="center"/>
    </xf>
    <xf numFmtId="0" fontId="30" fillId="20" borderId="5" xfId="0" applyFont="1" applyFill="1" applyBorder="1" applyAlignment="1">
      <alignment vertical="center"/>
    </xf>
    <xf numFmtId="0" fontId="100" fillId="16" borderId="0" xfId="0" applyFont="1" applyFill="1" applyAlignment="1">
      <alignment horizontal="center"/>
    </xf>
    <xf numFmtId="1" fontId="53" fillId="16" borderId="1" xfId="0" applyNumberFormat="1" applyFont="1" applyFill="1" applyBorder="1" applyAlignment="1">
      <alignment horizontal="center" vertical="center"/>
    </xf>
    <xf numFmtId="0" fontId="0" fillId="20" borderId="16" xfId="0" applyFill="1" applyBorder="1"/>
    <xf numFmtId="3" fontId="29" fillId="16" borderId="0" xfId="2" applyNumberFormat="1" applyFont="1" applyFill="1" applyBorder="1" applyAlignment="1">
      <alignment horizontal="center"/>
    </xf>
    <xf numFmtId="3" fontId="29" fillId="16" borderId="1" xfId="2" applyNumberFormat="1" applyFont="1" applyFill="1" applyBorder="1" applyAlignment="1">
      <alignment horizontal="center"/>
    </xf>
    <xf numFmtId="0" fontId="101" fillId="16" borderId="1" xfId="0" applyFont="1" applyFill="1" applyBorder="1" applyAlignment="1">
      <alignment horizontal="center" vertical="center"/>
    </xf>
    <xf numFmtId="0" fontId="34" fillId="16" borderId="1" xfId="0" applyFont="1" applyFill="1" applyBorder="1" applyAlignment="1">
      <alignment horizontal="center" vertical="center"/>
    </xf>
    <xf numFmtId="0" fontId="48" fillId="16" borderId="0" xfId="0" applyFont="1" applyFill="1" applyAlignment="1">
      <alignment horizontal="center" vertical="center"/>
    </xf>
    <xf numFmtId="0" fontId="48" fillId="16" borderId="0" xfId="0" applyFont="1" applyFill="1" applyAlignment="1">
      <alignment horizontal="center" vertical="center" wrapText="1"/>
    </xf>
    <xf numFmtId="0" fontId="100" fillId="20" borderId="5" xfId="0" applyFont="1" applyFill="1" applyBorder="1" applyAlignment="1">
      <alignment horizontal="center"/>
    </xf>
    <xf numFmtId="0" fontId="100" fillId="20" borderId="1" xfId="0" applyFont="1" applyFill="1" applyBorder="1" applyAlignment="1">
      <alignment horizontal="center"/>
    </xf>
    <xf numFmtId="0" fontId="30" fillId="20" borderId="7" xfId="0" applyFont="1" applyFill="1" applyBorder="1" applyAlignment="1">
      <alignment vertical="center"/>
    </xf>
    <xf numFmtId="0" fontId="30" fillId="20" borderId="6" xfId="0" applyFont="1" applyFill="1" applyBorder="1" applyAlignment="1">
      <alignment vertical="center"/>
    </xf>
    <xf numFmtId="0" fontId="30" fillId="20" borderId="1" xfId="0" applyFont="1" applyFill="1" applyBorder="1" applyAlignment="1">
      <alignment horizontal="center" vertical="center"/>
    </xf>
    <xf numFmtId="0" fontId="33" fillId="16" borderId="37" xfId="0" applyFont="1" applyFill="1" applyBorder="1" applyAlignment="1">
      <alignment horizontal="left" vertical="center" wrapText="1"/>
    </xf>
    <xf numFmtId="9" fontId="33" fillId="16" borderId="32" xfId="0" applyNumberFormat="1" applyFont="1" applyFill="1" applyBorder="1" applyAlignment="1">
      <alignment horizontal="center" vertical="center" wrapText="1"/>
    </xf>
    <xf numFmtId="0" fontId="0" fillId="16" borderId="54" xfId="0" applyFill="1" applyBorder="1"/>
    <xf numFmtId="9" fontId="33" fillId="16" borderId="32" xfId="1"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36" fillId="23" borderId="26" xfId="0" applyFont="1" applyFill="1" applyBorder="1" applyAlignment="1">
      <alignment horizontal="center" vertical="center" wrapText="1"/>
    </xf>
    <xf numFmtId="0" fontId="0" fillId="16" borderId="0" xfId="0" applyFill="1" applyAlignment="1">
      <alignment vertical="center" wrapText="1"/>
    </xf>
    <xf numFmtId="0" fontId="53" fillId="16" borderId="37" xfId="0" applyFont="1" applyFill="1" applyBorder="1" applyAlignment="1">
      <alignment horizontal="center" vertical="center"/>
    </xf>
    <xf numFmtId="0" fontId="53" fillId="16" borderId="32" xfId="0" applyFont="1" applyFill="1" applyBorder="1" applyAlignment="1">
      <alignment horizontal="center" vertical="center"/>
    </xf>
    <xf numFmtId="0" fontId="30" fillId="20" borderId="2" xfId="0" applyFont="1" applyFill="1" applyBorder="1"/>
    <xf numFmtId="0" fontId="30" fillId="20" borderId="5" xfId="0" applyFont="1" applyFill="1" applyBorder="1" applyAlignment="1">
      <alignment horizontal="center" vertical="center"/>
    </xf>
    <xf numFmtId="8" fontId="0" fillId="16" borderId="1" xfId="0" applyNumberFormat="1" applyFill="1" applyBorder="1"/>
    <xf numFmtId="0" fontId="34" fillId="16" borderId="1" xfId="0" applyFont="1" applyFill="1" applyBorder="1" applyAlignment="1">
      <alignment vertical="center"/>
    </xf>
    <xf numFmtId="0" fontId="67" fillId="17" borderId="47" xfId="0" applyFont="1" applyFill="1" applyBorder="1" applyAlignment="1">
      <alignment horizontal="center" vertical="center" wrapText="1"/>
    </xf>
    <xf numFmtId="0" fontId="67" fillId="17" borderId="33" xfId="0" applyFont="1" applyFill="1" applyBorder="1" applyAlignment="1">
      <alignment horizontal="center" vertical="center" wrapText="1"/>
    </xf>
    <xf numFmtId="0" fontId="67" fillId="17" borderId="37" xfId="0" applyFont="1" applyFill="1" applyBorder="1" applyAlignment="1">
      <alignment horizontal="center" vertical="center" wrapText="1"/>
    </xf>
    <xf numFmtId="0" fontId="67" fillId="17" borderId="32" xfId="0" applyFont="1" applyFill="1" applyBorder="1" applyAlignment="1">
      <alignment horizontal="center" vertical="center" wrapText="1"/>
    </xf>
    <xf numFmtId="0" fontId="67" fillId="17" borderId="34" xfId="0" applyFont="1" applyFill="1" applyBorder="1" applyAlignment="1">
      <alignment horizontal="center" vertical="center" wrapText="1"/>
    </xf>
    <xf numFmtId="0" fontId="0" fillId="0" borderId="54" xfId="0" applyBorder="1" applyAlignment="1">
      <alignment vertical="center" wrapText="1"/>
    </xf>
    <xf numFmtId="0" fontId="60" fillId="0" borderId="32" xfId="0" applyFont="1" applyBorder="1" applyAlignment="1">
      <alignment vertical="center" wrapText="1"/>
    </xf>
    <xf numFmtId="3" fontId="60" fillId="0" borderId="32" xfId="0" applyNumberFormat="1" applyFont="1" applyBorder="1" applyAlignment="1">
      <alignment horizontal="center" vertical="center"/>
    </xf>
    <xf numFmtId="0" fontId="0" fillId="16" borderId="54" xfId="0" applyFill="1" applyBorder="1" applyAlignment="1">
      <alignment vertical="center" wrapText="1"/>
    </xf>
    <xf numFmtId="0" fontId="0" fillId="16" borderId="55" xfId="0" applyFill="1" applyBorder="1"/>
    <xf numFmtId="3" fontId="60" fillId="16" borderId="1" xfId="0" applyNumberFormat="1" applyFont="1" applyFill="1" applyBorder="1" applyAlignment="1">
      <alignment horizontal="center" vertical="center"/>
    </xf>
    <xf numFmtId="0" fontId="0" fillId="16" borderId="2" xfId="0" applyFill="1" applyBorder="1"/>
    <xf numFmtId="0" fontId="0" fillId="16" borderId="11" xfId="0" applyFill="1" applyBorder="1"/>
    <xf numFmtId="0" fontId="78" fillId="0" borderId="0" xfId="0" applyFont="1"/>
    <xf numFmtId="0" fontId="0" fillId="20" borderId="60" xfId="0" applyFill="1" applyBorder="1"/>
    <xf numFmtId="0" fontId="0" fillId="20" borderId="61" xfId="0" applyFill="1" applyBorder="1"/>
    <xf numFmtId="0" fontId="30" fillId="20" borderId="1" xfId="0" applyFont="1" applyFill="1" applyBorder="1"/>
    <xf numFmtId="0" fontId="32" fillId="15" borderId="1" xfId="0" applyFont="1" applyFill="1" applyBorder="1" applyAlignment="1">
      <alignment horizontal="center"/>
    </xf>
    <xf numFmtId="0" fontId="0" fillId="16" borderId="61" xfId="0" applyFill="1" applyBorder="1"/>
    <xf numFmtId="0" fontId="33" fillId="16" borderId="0" xfId="0" applyFont="1" applyFill="1" applyAlignment="1">
      <alignment horizontal="center" vertical="center"/>
    </xf>
    <xf numFmtId="0" fontId="0" fillId="16" borderId="0" xfId="0" applyFill="1" applyAlignment="1">
      <alignment horizontal="center" vertical="center"/>
    </xf>
    <xf numFmtId="0" fontId="30" fillId="20" borderId="50" xfId="0" applyFont="1" applyFill="1" applyBorder="1" applyAlignment="1">
      <alignment horizontal="center" vertical="center"/>
    </xf>
    <xf numFmtId="0" fontId="30" fillId="20" borderId="50" xfId="0" applyFont="1" applyFill="1" applyBorder="1" applyAlignment="1">
      <alignment horizontal="center"/>
    </xf>
    <xf numFmtId="0" fontId="32" fillId="16" borderId="0" xfId="0" applyFont="1" applyFill="1"/>
    <xf numFmtId="0" fontId="36" fillId="23" borderId="32" xfId="0" applyFont="1" applyFill="1" applyBorder="1" applyAlignment="1">
      <alignment horizontal="center" vertical="center"/>
    </xf>
    <xf numFmtId="0" fontId="53" fillId="16" borderId="32" xfId="0" applyFont="1" applyFill="1" applyBorder="1" applyAlignment="1">
      <alignment horizontal="left" vertical="center"/>
    </xf>
    <xf numFmtId="0" fontId="53" fillId="21" borderId="32" xfId="0" applyFont="1" applyFill="1" applyBorder="1" applyAlignment="1">
      <alignment horizontal="center" vertical="center"/>
    </xf>
    <xf numFmtId="168" fontId="53" fillId="16" borderId="32" xfId="0" applyNumberFormat="1" applyFont="1" applyFill="1" applyBorder="1" applyAlignment="1">
      <alignment horizontal="center" vertical="center"/>
    </xf>
    <xf numFmtId="0" fontId="53" fillId="16" borderId="1" xfId="0" applyFont="1" applyFill="1" applyBorder="1" applyAlignment="1">
      <alignment horizontal="right" vertical="center"/>
    </xf>
    <xf numFmtId="0" fontId="53" fillId="16" borderId="37" xfId="0" applyFont="1" applyFill="1" applyBorder="1" applyAlignment="1">
      <alignment horizontal="center" vertical="center" textRotation="90" wrapText="1"/>
    </xf>
    <xf numFmtId="0" fontId="53" fillId="16" borderId="32" xfId="0" applyFont="1" applyFill="1" applyBorder="1" applyAlignment="1">
      <alignment horizontal="left" vertical="center" wrapText="1"/>
    </xf>
    <xf numFmtId="0" fontId="53" fillId="16" borderId="37" xfId="0" applyFont="1" applyFill="1" applyBorder="1" applyAlignment="1">
      <alignment horizontal="left" vertical="center" wrapText="1"/>
    </xf>
    <xf numFmtId="0" fontId="8" fillId="19" borderId="1" xfId="0" applyFont="1" applyFill="1" applyBorder="1" applyAlignment="1">
      <alignment horizontal="center" wrapText="1"/>
    </xf>
    <xf numFmtId="0" fontId="103" fillId="19" borderId="1" xfId="0" applyFont="1" applyFill="1" applyBorder="1" applyAlignment="1">
      <alignment horizontal="center" wrapText="1"/>
    </xf>
    <xf numFmtId="0" fontId="38" fillId="19" borderId="1" xfId="0" applyFont="1" applyFill="1" applyBorder="1" applyAlignment="1">
      <alignment horizontal="center" vertical="center" wrapText="1"/>
    </xf>
    <xf numFmtId="0" fontId="105" fillId="19" borderId="1" xfId="0" applyFont="1" applyFill="1" applyBorder="1" applyAlignment="1">
      <alignment horizontal="center" vertical="center" wrapText="1"/>
    </xf>
    <xf numFmtId="0" fontId="109" fillId="19" borderId="1" xfId="0" applyFont="1" applyFill="1" applyBorder="1" applyAlignment="1">
      <alignment horizontal="center" vertical="center" wrapText="1"/>
    </xf>
    <xf numFmtId="0" fontId="34" fillId="0" borderId="0" xfId="0" applyFont="1" applyAlignment="1">
      <alignment horizontal="justify" vertical="center"/>
    </xf>
    <xf numFmtId="170" fontId="0" fillId="0" borderId="1" xfId="2" applyNumberFormat="1" applyFont="1" applyFill="1" applyBorder="1"/>
    <xf numFmtId="0" fontId="0" fillId="0" borderId="31" xfId="0" quotePrefix="1" applyBorder="1"/>
    <xf numFmtId="0" fontId="59" fillId="0" borderId="31" xfId="0" applyFont="1" applyBorder="1" applyAlignment="1">
      <alignment horizontal="justify" vertical="center"/>
    </xf>
    <xf numFmtId="0" fontId="104" fillId="0" borderId="27" xfId="0" applyFont="1" applyBorder="1"/>
    <xf numFmtId="0" fontId="59" fillId="0" borderId="28" xfId="0" applyFont="1" applyBorder="1"/>
    <xf numFmtId="0" fontId="0" fillId="0" borderId="28" xfId="0" quotePrefix="1" applyBorder="1"/>
    <xf numFmtId="0" fontId="59" fillId="0" borderId="28" xfId="0" applyFont="1" applyBorder="1" applyAlignment="1">
      <alignment horizontal="justify" vertical="center"/>
    </xf>
    <xf numFmtId="0" fontId="34" fillId="0" borderId="27" xfId="0" applyFont="1" applyBorder="1" applyAlignment="1">
      <alignment horizontal="justify" vertical="center"/>
    </xf>
    <xf numFmtId="0" fontId="111" fillId="0" borderId="27" xfId="0" applyFont="1" applyBorder="1" applyAlignment="1">
      <alignment horizontal="justify" vertical="center"/>
    </xf>
    <xf numFmtId="0" fontId="34" fillId="0" borderId="28" xfId="0" quotePrefix="1" applyFont="1" applyBorder="1" applyAlignment="1">
      <alignment horizontal="justify" vertical="center"/>
    </xf>
    <xf numFmtId="0" fontId="34" fillId="0" borderId="27" xfId="0" applyFont="1" applyBorder="1" applyAlignment="1">
      <alignment horizontal="left" vertical="center"/>
    </xf>
    <xf numFmtId="0" fontId="59" fillId="0" borderId="31" xfId="0" quotePrefix="1" applyFont="1" applyBorder="1" applyAlignment="1">
      <alignment horizontal="justify" vertical="center"/>
    </xf>
    <xf numFmtId="0" fontId="59" fillId="0" borderId="31" xfId="0" quotePrefix="1" applyFont="1" applyBorder="1" applyAlignment="1">
      <alignment horizontal="left" vertical="center"/>
    </xf>
    <xf numFmtId="0" fontId="112" fillId="0" borderId="27" xfId="0" applyFont="1" applyBorder="1" applyAlignment="1">
      <alignment horizontal="justify" vertical="center"/>
    </xf>
    <xf numFmtId="0" fontId="34" fillId="0" borderId="33" xfId="0" applyFont="1" applyBorder="1" applyAlignment="1">
      <alignment horizontal="justify" vertical="center"/>
    </xf>
    <xf numFmtId="0" fontId="34" fillId="0" borderId="30" xfId="0" applyFont="1" applyBorder="1" applyAlignment="1">
      <alignment horizontal="justify" vertical="center"/>
    </xf>
    <xf numFmtId="0" fontId="59" fillId="0" borderId="28" xfId="0" quotePrefix="1" applyFont="1" applyBorder="1" applyAlignment="1">
      <alignment horizontal="left" vertical="center"/>
    </xf>
    <xf numFmtId="0" fontId="59" fillId="0" borderId="31" xfId="0" quotePrefix="1" applyFont="1" applyBorder="1" applyAlignment="1">
      <alignment horizontal="left" vertical="center" indent="5"/>
    </xf>
    <xf numFmtId="0" fontId="59" fillId="0" borderId="28" xfId="0" quotePrefix="1" applyFont="1" applyBorder="1" applyAlignment="1">
      <alignment horizontal="justify" vertical="center"/>
    </xf>
    <xf numFmtId="0" fontId="59" fillId="0" borderId="30" xfId="0" applyFont="1" applyBorder="1" applyAlignment="1">
      <alignment horizontal="justify" vertical="center"/>
    </xf>
    <xf numFmtId="0" fontId="32" fillId="18" borderId="27" xfId="0" applyFont="1" applyFill="1" applyBorder="1"/>
    <xf numFmtId="0" fontId="108" fillId="16" borderId="33" xfId="0" applyFont="1" applyFill="1" applyBorder="1" applyAlignment="1">
      <alignment horizontal="justify" vertical="center"/>
    </xf>
    <xf numFmtId="0" fontId="34" fillId="16" borderId="33" xfId="0" applyFont="1" applyFill="1" applyBorder="1" applyAlignment="1">
      <alignment horizontal="justify" vertical="center"/>
    </xf>
    <xf numFmtId="0" fontId="59" fillId="16" borderId="0" xfId="0" quotePrefix="1" applyFont="1" applyFill="1" applyAlignment="1">
      <alignment horizontal="justify" vertical="center"/>
    </xf>
    <xf numFmtId="0" fontId="113" fillId="15" borderId="1" xfId="0" applyFont="1" applyFill="1" applyBorder="1" applyAlignment="1">
      <alignment horizontal="center" vertical="center" wrapText="1"/>
    </xf>
    <xf numFmtId="0" fontId="113" fillId="15" borderId="54" xfId="0" applyFont="1" applyFill="1" applyBorder="1" applyAlignment="1">
      <alignment horizontal="center" vertical="center" wrapText="1"/>
    </xf>
    <xf numFmtId="0" fontId="113" fillId="15" borderId="26" xfId="0" applyFont="1" applyFill="1" applyBorder="1" applyAlignment="1">
      <alignment horizontal="center" vertical="center" wrapText="1"/>
    </xf>
    <xf numFmtId="0" fontId="0" fillId="0" borderId="1" xfId="0" quotePrefix="1" applyBorder="1"/>
    <xf numFmtId="0" fontId="117" fillId="0" borderId="37" xfId="0" applyFont="1" applyBorder="1" applyAlignment="1">
      <alignment horizontal="left" vertical="center" wrapText="1"/>
    </xf>
    <xf numFmtId="9" fontId="117" fillId="0" borderId="32" xfId="0" applyNumberFormat="1" applyFont="1" applyBorder="1" applyAlignment="1">
      <alignment horizontal="center" vertical="center" wrapText="1"/>
    </xf>
    <xf numFmtId="0" fontId="117" fillId="16" borderId="37" xfId="0" applyFont="1" applyFill="1" applyBorder="1" applyAlignment="1">
      <alignment horizontal="center" vertical="center" wrapText="1"/>
    </xf>
    <xf numFmtId="0" fontId="117" fillId="16" borderId="32" xfId="0" applyFont="1" applyFill="1" applyBorder="1" applyAlignment="1">
      <alignment horizontal="center" vertical="center" wrapText="1"/>
    </xf>
    <xf numFmtId="0" fontId="108" fillId="0" borderId="33" xfId="0" applyFont="1" applyBorder="1" applyAlignment="1">
      <alignment horizontal="justify" vertical="center"/>
    </xf>
    <xf numFmtId="0" fontId="0" fillId="16" borderId="50" xfId="0" applyFill="1" applyBorder="1" applyAlignment="1">
      <alignment horizontal="left"/>
    </xf>
    <xf numFmtId="0" fontId="121" fillId="16" borderId="52" xfId="0" applyFont="1" applyFill="1" applyBorder="1" applyAlignment="1">
      <alignment horizontal="left" vertical="center" wrapText="1"/>
    </xf>
    <xf numFmtId="0" fontId="0" fillId="16" borderId="53" xfId="0" applyFill="1" applyBorder="1"/>
    <xf numFmtId="0" fontId="117" fillId="0" borderId="37" xfId="0" applyFont="1" applyBorder="1" applyAlignment="1">
      <alignment horizontal="center" vertical="center" wrapText="1"/>
    </xf>
    <xf numFmtId="3" fontId="117" fillId="0" borderId="32" xfId="0" applyNumberFormat="1" applyFont="1" applyBorder="1" applyAlignment="1">
      <alignment horizontal="center" vertical="center" wrapText="1"/>
    </xf>
    <xf numFmtId="0" fontId="124" fillId="16" borderId="37" xfId="0" applyFont="1" applyFill="1" applyBorder="1" applyAlignment="1">
      <alignment horizontal="center" vertical="center" wrapText="1"/>
    </xf>
    <xf numFmtId="0" fontId="124" fillId="16" borderId="32" xfId="0" applyFont="1" applyFill="1" applyBorder="1" applyAlignment="1">
      <alignment horizontal="center" vertical="center" wrapText="1"/>
    </xf>
    <xf numFmtId="0" fontId="59" fillId="16" borderId="0" xfId="0" quotePrefix="1" applyFont="1" applyFill="1" applyAlignment="1">
      <alignment horizontal="left" vertical="center"/>
    </xf>
    <xf numFmtId="0" fontId="59" fillId="16" borderId="33" xfId="0" applyFont="1" applyFill="1" applyBorder="1" applyAlignment="1">
      <alignment horizontal="left" vertical="center"/>
    </xf>
    <xf numFmtId="0" fontId="59" fillId="16" borderId="30" xfId="0" applyFont="1" applyFill="1" applyBorder="1" applyAlignment="1">
      <alignment horizontal="left" vertical="center"/>
    </xf>
    <xf numFmtId="0" fontId="59" fillId="0" borderId="0" xfId="0" quotePrefix="1" applyFont="1" applyAlignment="1">
      <alignment horizontal="justify" vertical="center"/>
    </xf>
    <xf numFmtId="0" fontId="59" fillId="0" borderId="0" xfId="0" applyFont="1" applyAlignment="1">
      <alignment horizontal="justify" vertical="center"/>
    </xf>
    <xf numFmtId="170" fontId="0" fillId="0" borderId="0" xfId="2" applyNumberFormat="1" applyFont="1" applyBorder="1"/>
    <xf numFmtId="0" fontId="0" fillId="0" borderId="27" xfId="0" applyBorder="1" applyAlignment="1">
      <alignment vertical="top"/>
    </xf>
    <xf numFmtId="0" fontId="0" fillId="0" borderId="30" xfId="0" applyBorder="1" applyAlignment="1">
      <alignment vertical="top"/>
    </xf>
    <xf numFmtId="0" fontId="33" fillId="0" borderId="27" xfId="0" applyFont="1" applyBorder="1" applyAlignment="1">
      <alignment wrapText="1"/>
    </xf>
    <xf numFmtId="0" fontId="33" fillId="0" borderId="30" xfId="0" applyFont="1" applyBorder="1" applyAlignment="1">
      <alignment wrapText="1"/>
    </xf>
    <xf numFmtId="9" fontId="0" fillId="0" borderId="28" xfId="1" applyFont="1" applyBorder="1" applyAlignment="1">
      <alignment wrapText="1"/>
    </xf>
    <xf numFmtId="9" fontId="0" fillId="0" borderId="31" xfId="1" applyFont="1" applyBorder="1" applyAlignment="1">
      <alignment wrapText="1"/>
    </xf>
    <xf numFmtId="3" fontId="0" fillId="0" borderId="28" xfId="0" applyNumberFormat="1" applyBorder="1" applyAlignment="1">
      <alignment wrapText="1"/>
    </xf>
    <xf numFmtId="3" fontId="0" fillId="0" borderId="31" xfId="0" applyNumberFormat="1" applyBorder="1" applyAlignment="1">
      <alignment wrapText="1"/>
    </xf>
    <xf numFmtId="164" fontId="0" fillId="0" borderId="28" xfId="0" applyNumberFormat="1" applyBorder="1" applyAlignment="1">
      <alignment wrapText="1"/>
    </xf>
    <xf numFmtId="0" fontId="33" fillId="0" borderId="33" xfId="0" applyFont="1" applyBorder="1" applyAlignment="1">
      <alignment wrapText="1"/>
    </xf>
    <xf numFmtId="164" fontId="0" fillId="0" borderId="0" xfId="0" applyNumberFormat="1" applyAlignment="1">
      <alignment wrapText="1"/>
    </xf>
    <xf numFmtId="164" fontId="0" fillId="0" borderId="31" xfId="0" applyNumberFormat="1" applyBorder="1" applyAlignment="1">
      <alignment wrapText="1"/>
    </xf>
    <xf numFmtId="0" fontId="33" fillId="0" borderId="24" xfId="0" applyFont="1" applyBorder="1" applyAlignment="1">
      <alignment wrapText="1"/>
    </xf>
    <xf numFmtId="3" fontId="0" fillId="0" borderId="25" xfId="0" applyNumberFormat="1" applyBorder="1" applyAlignment="1">
      <alignment wrapText="1"/>
    </xf>
    <xf numFmtId="0" fontId="77" fillId="18" borderId="25" xfId="0" applyFont="1" applyFill="1" applyBorder="1" applyAlignment="1">
      <alignment horizontal="justify" vertical="center"/>
    </xf>
    <xf numFmtId="0" fontId="33" fillId="16" borderId="31" xfId="0" applyFont="1" applyFill="1" applyBorder="1" applyAlignment="1">
      <alignment horizontal="justify" vertical="center"/>
    </xf>
    <xf numFmtId="0" fontId="0" fillId="20" borderId="0" xfId="0" applyFill="1"/>
    <xf numFmtId="43" fontId="34" fillId="0" borderId="1" xfId="2" applyFont="1" applyFill="1" applyBorder="1"/>
    <xf numFmtId="43" fontId="34" fillId="28" borderId="1" xfId="2" applyFont="1" applyFill="1" applyBorder="1"/>
    <xf numFmtId="43" fontId="0" fillId="0" borderId="1" xfId="2" applyFont="1" applyBorder="1"/>
    <xf numFmtId="0" fontId="36" fillId="20" borderId="0" xfId="0" applyFont="1" applyFill="1" applyAlignment="1">
      <alignment horizontal="center" vertical="center" wrapText="1"/>
    </xf>
    <xf numFmtId="43" fontId="0" fillId="0" borderId="28" xfId="2" applyFont="1" applyFill="1" applyBorder="1" applyAlignment="1">
      <alignment wrapText="1"/>
    </xf>
    <xf numFmtId="170" fontId="0" fillId="0" borderId="28" xfId="2" applyNumberFormat="1" applyFont="1" applyFill="1" applyBorder="1" applyAlignment="1">
      <alignment wrapText="1"/>
    </xf>
    <xf numFmtId="170" fontId="0" fillId="0" borderId="31" xfId="2" applyNumberFormat="1" applyFont="1" applyFill="1" applyBorder="1" applyAlignment="1">
      <alignment wrapText="1"/>
    </xf>
    <xf numFmtId="0" fontId="33" fillId="0" borderId="31" xfId="0" applyFont="1" applyBorder="1" applyAlignment="1">
      <alignment horizontal="left"/>
    </xf>
    <xf numFmtId="0" fontId="33" fillId="0" borderId="31" xfId="0" applyFont="1" applyBorder="1" applyAlignment="1">
      <alignment horizontal="left" wrapText="1"/>
    </xf>
    <xf numFmtId="0" fontId="36" fillId="17" borderId="10" xfId="0" applyFont="1" applyFill="1" applyBorder="1" applyAlignment="1">
      <alignment vertical="center" wrapText="1"/>
    </xf>
    <xf numFmtId="0" fontId="34" fillId="16" borderId="0" xfId="0" applyFont="1" applyFill="1"/>
    <xf numFmtId="0" fontId="0" fillId="18" borderId="0" xfId="0" applyFill="1"/>
    <xf numFmtId="0" fontId="8" fillId="16" borderId="1" xfId="0" applyFont="1" applyFill="1" applyBorder="1" applyAlignment="1">
      <alignment horizontal="center" wrapText="1"/>
    </xf>
    <xf numFmtId="0" fontId="8" fillId="16" borderId="1" xfId="0" applyFont="1" applyFill="1" applyBorder="1" applyAlignment="1">
      <alignment horizontal="center"/>
    </xf>
    <xf numFmtId="0" fontId="92" fillId="16" borderId="1" xfId="0" applyFont="1" applyFill="1" applyBorder="1" applyAlignment="1">
      <alignment horizontal="center"/>
    </xf>
    <xf numFmtId="0" fontId="8" fillId="16" borderId="1" xfId="0" applyFont="1" applyFill="1" applyBorder="1"/>
    <xf numFmtId="0" fontId="8" fillId="16" borderId="1" xfId="0" applyFont="1" applyFill="1" applyBorder="1" applyAlignment="1">
      <alignment vertical="center" wrapText="1"/>
    </xf>
    <xf numFmtId="0" fontId="63" fillId="0" borderId="0" xfId="0" applyFont="1"/>
    <xf numFmtId="0" fontId="8" fillId="0" borderId="86" xfId="0" applyFont="1" applyBorder="1"/>
    <xf numFmtId="2" fontId="0" fillId="16" borderId="1" xfId="0" applyNumberFormat="1" applyFill="1" applyBorder="1" applyAlignment="1">
      <alignment wrapText="1"/>
    </xf>
    <xf numFmtId="170" fontId="0" fillId="16" borderId="1" xfId="2" applyNumberFormat="1" applyFont="1" applyFill="1" applyBorder="1" applyAlignment="1">
      <alignment wrapText="1"/>
    </xf>
    <xf numFmtId="0" fontId="0" fillId="0" borderId="87" xfId="0" applyBorder="1" applyAlignment="1">
      <alignment wrapText="1"/>
    </xf>
    <xf numFmtId="171" fontId="0" fillId="16" borderId="1" xfId="2" applyNumberFormat="1" applyFont="1" applyFill="1" applyBorder="1" applyAlignment="1">
      <alignment wrapText="1"/>
    </xf>
    <xf numFmtId="43" fontId="0" fillId="16" borderId="1" xfId="2" applyFont="1" applyFill="1" applyBorder="1" applyAlignment="1">
      <alignment wrapText="1"/>
    </xf>
    <xf numFmtId="0" fontId="31" fillId="16" borderId="28" xfId="0" applyFont="1" applyFill="1" applyBorder="1"/>
    <xf numFmtId="0" fontId="63" fillId="16" borderId="33" xfId="0" applyFont="1" applyFill="1" applyBorder="1"/>
    <xf numFmtId="0" fontId="8" fillId="0" borderId="27" xfId="0" applyFont="1" applyBorder="1" applyAlignment="1">
      <alignment wrapText="1"/>
    </xf>
    <xf numFmtId="0" fontId="8" fillId="0" borderId="33" xfId="0" applyFont="1" applyBorder="1" applyAlignment="1">
      <alignment vertical="top"/>
    </xf>
    <xf numFmtId="0" fontId="87" fillId="0" borderId="0" xfId="0" applyFont="1"/>
    <xf numFmtId="0" fontId="92" fillId="0" borderId="88" xfId="0" applyFont="1" applyBorder="1"/>
    <xf numFmtId="0" fontId="8" fillId="0" borderId="88" xfId="0" applyFont="1" applyBorder="1" applyAlignment="1">
      <alignment vertical="top"/>
    </xf>
    <xf numFmtId="0" fontId="0" fillId="0" borderId="31" xfId="0" applyBorder="1" applyAlignment="1">
      <alignment horizontal="left" vertical="top"/>
    </xf>
    <xf numFmtId="0" fontId="0" fillId="0" borderId="31" xfId="0" applyBorder="1" applyAlignment="1">
      <alignment horizontal="left" vertical="top" wrapText="1"/>
    </xf>
    <xf numFmtId="0" fontId="0" fillId="0" borderId="32" xfId="0" applyBorder="1" applyAlignment="1">
      <alignment horizontal="left" vertical="top" wrapText="1"/>
    </xf>
    <xf numFmtId="0" fontId="8" fillId="0" borderId="27" xfId="0" applyFont="1" applyBorder="1" applyAlignment="1">
      <alignment vertical="center"/>
    </xf>
    <xf numFmtId="0" fontId="8" fillId="0" borderId="33" xfId="0" applyFont="1" applyBorder="1"/>
    <xf numFmtId="0" fontId="0" fillId="0" borderId="0" xfId="0" quotePrefix="1"/>
    <xf numFmtId="0" fontId="67" fillId="17" borderId="61" xfId="0" applyFont="1" applyFill="1" applyBorder="1" applyAlignment="1">
      <alignment horizontal="center" vertical="center" wrapText="1"/>
    </xf>
    <xf numFmtId="0" fontId="36" fillId="17" borderId="89" xfId="0" applyFont="1" applyFill="1" applyBorder="1" applyAlignment="1">
      <alignment horizontal="center" vertical="center" wrapText="1"/>
    </xf>
    <xf numFmtId="0" fontId="33" fillId="16" borderId="61" xfId="0" applyFont="1" applyFill="1" applyBorder="1" applyAlignment="1">
      <alignment vertical="center" wrapText="1"/>
    </xf>
    <xf numFmtId="0" fontId="33" fillId="16" borderId="16" xfId="0" applyFont="1" applyFill="1" applyBorder="1" applyAlignment="1">
      <alignment vertical="center" wrapText="1"/>
    </xf>
    <xf numFmtId="0" fontId="67" fillId="17" borderId="50" xfId="0" applyFont="1" applyFill="1" applyBorder="1" applyAlignment="1">
      <alignment horizontal="center" vertical="center" wrapText="1"/>
    </xf>
    <xf numFmtId="3" fontId="33" fillId="16" borderId="1" xfId="0" applyNumberFormat="1" applyFont="1" applyFill="1" applyBorder="1" applyAlignment="1">
      <alignment vertical="center" wrapText="1"/>
    </xf>
    <xf numFmtId="0" fontId="33" fillId="16" borderId="50" xfId="0" applyFont="1" applyFill="1" applyBorder="1" applyAlignment="1">
      <alignment horizontal="center" vertical="center" wrapText="1"/>
    </xf>
    <xf numFmtId="0" fontId="33" fillId="16" borderId="95" xfId="0" applyFont="1" applyFill="1" applyBorder="1" applyAlignment="1">
      <alignment vertical="center" wrapText="1"/>
    </xf>
    <xf numFmtId="0" fontId="36" fillId="17" borderId="96" xfId="0" applyFont="1" applyFill="1" applyBorder="1" applyAlignment="1">
      <alignment horizontal="center" vertical="center" wrapText="1"/>
    </xf>
    <xf numFmtId="0" fontId="33" fillId="16" borderId="60" xfId="0" applyFont="1" applyFill="1" applyBorder="1" applyAlignment="1">
      <alignment horizontal="center" vertical="center" wrapText="1"/>
    </xf>
    <xf numFmtId="0" fontId="33" fillId="16" borderId="60" xfId="0" applyFont="1" applyFill="1" applyBorder="1" applyAlignment="1">
      <alignment vertical="center" wrapText="1"/>
    </xf>
    <xf numFmtId="0" fontId="33" fillId="16" borderId="48" xfId="0" applyFont="1" applyFill="1" applyBorder="1" applyAlignment="1">
      <alignment horizontal="center" vertical="center" wrapText="1"/>
    </xf>
    <xf numFmtId="0" fontId="33" fillId="16" borderId="48" xfId="0" applyFont="1" applyFill="1" applyBorder="1" applyAlignment="1">
      <alignment vertical="center" wrapText="1"/>
    </xf>
    <xf numFmtId="0" fontId="33" fillId="16" borderId="96" xfId="0" applyFont="1" applyFill="1" applyBorder="1" applyAlignment="1">
      <alignment vertical="center" wrapText="1"/>
    </xf>
    <xf numFmtId="0" fontId="33" fillId="16" borderId="52" xfId="0" applyFont="1" applyFill="1" applyBorder="1" applyAlignment="1">
      <alignment horizontal="center" vertical="center" wrapText="1"/>
    </xf>
    <xf numFmtId="0" fontId="33" fillId="16" borderId="97" xfId="0" applyFont="1" applyFill="1" applyBorder="1" applyAlignment="1">
      <alignment vertical="center" wrapText="1"/>
    </xf>
    <xf numFmtId="0" fontId="33" fillId="21" borderId="1" xfId="0" applyFont="1" applyFill="1" applyBorder="1" applyAlignment="1">
      <alignment wrapText="1"/>
    </xf>
    <xf numFmtId="0" fontId="33" fillId="21" borderId="1" xfId="0" applyFont="1" applyFill="1" applyBorder="1"/>
    <xf numFmtId="0" fontId="33" fillId="21" borderId="2" xfId="0" applyFont="1" applyFill="1" applyBorder="1"/>
    <xf numFmtId="0" fontId="33" fillId="21" borderId="2" xfId="0" applyFont="1" applyFill="1" applyBorder="1" applyAlignment="1">
      <alignment wrapText="1"/>
    </xf>
    <xf numFmtId="9" fontId="0" fillId="21" borderId="1" xfId="1" applyFont="1" applyFill="1" applyBorder="1"/>
    <xf numFmtId="0" fontId="0" fillId="21" borderId="1" xfId="0" applyFill="1" applyBorder="1"/>
    <xf numFmtId="170" fontId="0" fillId="21" borderId="1" xfId="2" applyNumberFormat="1" applyFont="1" applyFill="1" applyBorder="1"/>
    <xf numFmtId="0" fontId="51" fillId="16" borderId="13" xfId="0" applyFont="1" applyFill="1" applyBorder="1"/>
    <xf numFmtId="2" fontId="0" fillId="16" borderId="1" xfId="0" applyNumberFormat="1" applyFill="1" applyBorder="1" applyAlignment="1">
      <alignment horizontal="left"/>
    </xf>
    <xf numFmtId="1" fontId="0" fillId="16" borderId="1" xfId="0" applyNumberFormat="1" applyFill="1" applyBorder="1" applyAlignment="1">
      <alignment horizontal="left"/>
    </xf>
    <xf numFmtId="174" fontId="0" fillId="16" borderId="1" xfId="0" applyNumberFormat="1" applyFill="1" applyBorder="1" applyAlignment="1">
      <alignment horizontal="center"/>
    </xf>
    <xf numFmtId="44" fontId="0" fillId="0" borderId="1" xfId="3" applyFont="1" applyBorder="1"/>
    <xf numFmtId="0" fontId="32" fillId="15" borderId="1" xfId="0" applyFont="1" applyFill="1" applyBorder="1" applyAlignment="1">
      <alignment wrapText="1"/>
    </xf>
    <xf numFmtId="0" fontId="129" fillId="16" borderId="34" xfId="0" applyFont="1" applyFill="1" applyBorder="1"/>
    <xf numFmtId="8" fontId="0" fillId="16" borderId="0" xfId="0" applyNumberFormat="1" applyFill="1"/>
    <xf numFmtId="0" fontId="33" fillId="16" borderId="33" xfId="0" applyFont="1" applyFill="1" applyBorder="1" applyAlignment="1">
      <alignment vertical="center"/>
    </xf>
    <xf numFmtId="0" fontId="33" fillId="16" borderId="0" xfId="0" applyFont="1" applyFill="1" applyAlignment="1">
      <alignment vertical="center"/>
    </xf>
    <xf numFmtId="0" fontId="33" fillId="16" borderId="34" xfId="0" applyFont="1" applyFill="1" applyBorder="1" applyAlignment="1">
      <alignment vertical="center"/>
    </xf>
    <xf numFmtId="0" fontId="130" fillId="0" borderId="0" xfId="7" applyAlignment="1">
      <alignment vertical="center"/>
    </xf>
    <xf numFmtId="0" fontId="60" fillId="16" borderId="7" xfId="0" applyFont="1" applyFill="1" applyBorder="1"/>
    <xf numFmtId="0" fontId="8" fillId="0" borderId="64" xfId="0" applyFont="1" applyBorder="1" applyAlignment="1">
      <alignment wrapText="1"/>
    </xf>
    <xf numFmtId="0" fontId="32" fillId="20" borderId="1" xfId="0" applyFont="1" applyFill="1" applyBorder="1"/>
    <xf numFmtId="0" fontId="0" fillId="16" borderId="25" xfId="0" applyFill="1" applyBorder="1" applyAlignment="1">
      <alignment wrapText="1"/>
    </xf>
    <xf numFmtId="0" fontId="0" fillId="19" borderId="18" xfId="0" applyFill="1" applyBorder="1"/>
    <xf numFmtId="0" fontId="0" fillId="19" borderId="57" xfId="0" applyFill="1" applyBorder="1"/>
    <xf numFmtId="0" fontId="8" fillId="19" borderId="57" xfId="0" applyFont="1" applyFill="1" applyBorder="1" applyAlignment="1">
      <alignment wrapText="1"/>
    </xf>
    <xf numFmtId="0" fontId="8" fillId="19" borderId="85" xfId="0" applyFont="1" applyFill="1" applyBorder="1" applyAlignment="1">
      <alignment wrapText="1"/>
    </xf>
    <xf numFmtId="0" fontId="8" fillId="19" borderId="57" xfId="0" applyFont="1" applyFill="1" applyBorder="1" applyAlignment="1">
      <alignment horizontal="center" wrapText="1"/>
    </xf>
    <xf numFmtId="0" fontId="8" fillId="19" borderId="17" xfId="0" applyFont="1" applyFill="1" applyBorder="1" applyAlignment="1">
      <alignment wrapText="1"/>
    </xf>
    <xf numFmtId="0" fontId="8" fillId="19" borderId="22" xfId="0" applyFont="1" applyFill="1" applyBorder="1"/>
    <xf numFmtId="0" fontId="8" fillId="19" borderId="19" xfId="0" applyFont="1" applyFill="1" applyBorder="1" applyAlignment="1">
      <alignment wrapText="1"/>
    </xf>
    <xf numFmtId="0" fontId="8" fillId="16" borderId="41" xfId="0" applyFont="1" applyFill="1" applyBorder="1" applyAlignment="1">
      <alignment wrapText="1"/>
    </xf>
    <xf numFmtId="0" fontId="8" fillId="16" borderId="0" xfId="0" applyFont="1" applyFill="1" applyAlignment="1">
      <alignment wrapText="1"/>
    </xf>
    <xf numFmtId="0" fontId="8" fillId="16" borderId="23" xfId="0" applyFont="1" applyFill="1" applyBorder="1" applyAlignment="1">
      <alignment wrapText="1"/>
    </xf>
    <xf numFmtId="0" fontId="0" fillId="16" borderId="41" xfId="0" applyFill="1" applyBorder="1" applyAlignment="1">
      <alignment horizontal="center" wrapText="1"/>
    </xf>
    <xf numFmtId="0" fontId="0" fillId="16" borderId="17" xfId="0" applyFill="1" applyBorder="1" applyAlignment="1">
      <alignment horizontal="right"/>
    </xf>
    <xf numFmtId="44" fontId="0" fillId="16" borderId="41" xfId="3" applyFont="1" applyFill="1" applyBorder="1" applyAlignment="1">
      <alignment horizontal="center" wrapText="1"/>
    </xf>
    <xf numFmtId="0" fontId="0" fillId="16" borderId="17" xfId="0" applyFill="1" applyBorder="1"/>
    <xf numFmtId="43" fontId="0" fillId="16" borderId="17" xfId="2" applyFont="1" applyFill="1" applyBorder="1"/>
    <xf numFmtId="175" fontId="0" fillId="16" borderId="41" xfId="2" applyNumberFormat="1" applyFont="1" applyFill="1" applyBorder="1" applyAlignment="1">
      <alignment wrapText="1"/>
    </xf>
    <xf numFmtId="43" fontId="0" fillId="16" borderId="62" xfId="2" applyFont="1" applyFill="1" applyBorder="1" applyAlignment="1">
      <alignment wrapText="1"/>
    </xf>
    <xf numFmtId="44" fontId="33" fillId="16" borderId="41" xfId="3" applyFont="1" applyFill="1" applyBorder="1" applyAlignment="1">
      <alignment horizontal="center" wrapText="1"/>
    </xf>
    <xf numFmtId="0" fontId="8" fillId="16" borderId="18" xfId="0" applyFont="1" applyFill="1" applyBorder="1" applyAlignment="1">
      <alignment wrapText="1"/>
    </xf>
    <xf numFmtId="0" fontId="0" fillId="19" borderId="17" xfId="0" applyFill="1" applyBorder="1"/>
    <xf numFmtId="0" fontId="8" fillId="19" borderId="18" xfId="0" applyFont="1" applyFill="1" applyBorder="1" applyAlignment="1">
      <alignment wrapText="1"/>
    </xf>
    <xf numFmtId="0" fontId="8" fillId="19" borderId="17" xfId="0" applyFont="1" applyFill="1" applyBorder="1"/>
    <xf numFmtId="0" fontId="8" fillId="19" borderId="17" xfId="0" applyFont="1" applyFill="1" applyBorder="1" applyAlignment="1">
      <alignment horizontal="center"/>
    </xf>
    <xf numFmtId="0" fontId="8" fillId="19" borderId="19" xfId="0" applyFont="1" applyFill="1" applyBorder="1" applyAlignment="1">
      <alignment horizontal="center"/>
    </xf>
    <xf numFmtId="0" fontId="0" fillId="16" borderId="0" xfId="0" applyFill="1" applyAlignment="1">
      <alignment wrapText="1"/>
    </xf>
    <xf numFmtId="0" fontId="33" fillId="16" borderId="0" xfId="0" applyFont="1" applyFill="1" applyAlignment="1">
      <alignment wrapText="1"/>
    </xf>
    <xf numFmtId="1" fontId="0" fillId="16" borderId="18" xfId="0" applyNumberFormat="1" applyFill="1" applyBorder="1" applyAlignment="1">
      <alignment horizontal="center" wrapText="1"/>
    </xf>
    <xf numFmtId="166" fontId="0" fillId="16" borderId="18" xfId="3" applyNumberFormat="1" applyFont="1" applyFill="1" applyBorder="1" applyAlignment="1">
      <alignment wrapText="1"/>
    </xf>
    <xf numFmtId="166" fontId="0" fillId="16" borderId="0" xfId="3" applyNumberFormat="1" applyFont="1" applyFill="1" applyBorder="1" applyAlignment="1">
      <alignment wrapText="1"/>
    </xf>
    <xf numFmtId="43" fontId="0" fillId="16" borderId="18" xfId="2" applyFont="1" applyFill="1" applyBorder="1"/>
    <xf numFmtId="167" fontId="0" fillId="16" borderId="18" xfId="2" applyNumberFormat="1" applyFont="1" applyFill="1" applyBorder="1"/>
    <xf numFmtId="43" fontId="0" fillId="16" borderId="23" xfId="2" applyFont="1" applyFill="1" applyBorder="1"/>
    <xf numFmtId="0" fontId="0" fillId="16" borderId="18" xfId="0" applyFill="1" applyBorder="1"/>
    <xf numFmtId="0" fontId="0" fillId="16" borderId="18" xfId="0" applyFill="1" applyBorder="1" applyAlignment="1">
      <alignment wrapText="1"/>
    </xf>
    <xf numFmtId="0" fontId="8" fillId="16" borderId="18" xfId="0" applyFont="1" applyFill="1" applyBorder="1"/>
    <xf numFmtId="0" fontId="0" fillId="16" borderId="81" xfId="0" applyFill="1" applyBorder="1"/>
    <xf numFmtId="0" fontId="8" fillId="16" borderId="81" xfId="0" applyFont="1" applyFill="1" applyBorder="1"/>
    <xf numFmtId="0" fontId="8" fillId="16" borderId="81" xfId="0" applyFont="1" applyFill="1" applyBorder="1" applyAlignment="1">
      <alignment wrapText="1"/>
    </xf>
    <xf numFmtId="43" fontId="0" fillId="16" borderId="0" xfId="2" applyFont="1" applyFill="1" applyBorder="1"/>
    <xf numFmtId="167" fontId="0" fillId="16" borderId="0" xfId="2" applyNumberFormat="1" applyFont="1" applyFill="1" applyBorder="1"/>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8" fillId="19" borderId="17" xfId="0" applyFont="1" applyFill="1" applyBorder="1" applyAlignment="1">
      <alignment horizontal="center" wrapText="1"/>
    </xf>
    <xf numFmtId="43" fontId="0" fillId="16" borderId="41" xfId="2" applyFont="1" applyFill="1" applyBorder="1" applyAlignment="1">
      <alignment wrapText="1"/>
    </xf>
    <xf numFmtId="167" fontId="0" fillId="16" borderId="41" xfId="2" applyNumberFormat="1" applyFont="1" applyFill="1" applyBorder="1" applyAlignment="1">
      <alignment wrapText="1"/>
    </xf>
    <xf numFmtId="0" fontId="8" fillId="19" borderId="41" xfId="0" applyFont="1" applyFill="1" applyBorder="1" applyAlignment="1">
      <alignment wrapText="1"/>
    </xf>
    <xf numFmtId="170" fontId="0" fillId="16" borderId="0" xfId="2" applyNumberFormat="1" applyFont="1" applyFill="1" applyAlignment="1">
      <alignment horizontal="center"/>
    </xf>
    <xf numFmtId="0" fontId="0" fillId="20" borderId="33" xfId="0" applyFill="1" applyBorder="1"/>
    <xf numFmtId="0" fontId="0" fillId="20" borderId="34" xfId="0" applyFill="1" applyBorder="1"/>
    <xf numFmtId="0" fontId="8" fillId="19" borderId="64" xfId="0" applyFont="1" applyFill="1" applyBorder="1" applyAlignment="1">
      <alignment wrapText="1"/>
    </xf>
    <xf numFmtId="0" fontId="8" fillId="19" borderId="22" xfId="0" applyFont="1" applyFill="1" applyBorder="1" applyAlignment="1">
      <alignment wrapText="1"/>
    </xf>
    <xf numFmtId="0" fontId="8" fillId="19" borderId="20" xfId="0" applyFont="1" applyFill="1" applyBorder="1" applyAlignment="1">
      <alignment wrapText="1"/>
    </xf>
    <xf numFmtId="0" fontId="0" fillId="16" borderId="18" xfId="0" applyFill="1" applyBorder="1" applyAlignment="1">
      <alignment horizontal="center" wrapText="1"/>
    </xf>
    <xf numFmtId="44" fontId="0" fillId="16" borderId="18" xfId="3" applyFont="1" applyFill="1" applyBorder="1" applyAlignment="1">
      <alignment horizontal="center" wrapText="1"/>
    </xf>
    <xf numFmtId="0" fontId="33" fillId="16" borderId="18" xfId="0" applyFont="1" applyFill="1" applyBorder="1" applyAlignment="1">
      <alignment horizontal="center" wrapText="1"/>
    </xf>
    <xf numFmtId="43" fontId="0" fillId="16" borderId="18" xfId="2" applyFont="1" applyFill="1" applyBorder="1" applyAlignment="1">
      <alignment wrapText="1"/>
    </xf>
    <xf numFmtId="167" fontId="0" fillId="16" borderId="18" xfId="2" applyNumberFormat="1" applyFont="1" applyFill="1" applyBorder="1" applyAlignment="1">
      <alignment wrapText="1"/>
    </xf>
    <xf numFmtId="44" fontId="0" fillId="16" borderId="17" xfId="3" applyFont="1" applyFill="1" applyBorder="1"/>
    <xf numFmtId="0" fontId="0" fillId="16" borderId="19" xfId="0" applyFill="1" applyBorder="1"/>
    <xf numFmtId="9" fontId="33" fillId="16" borderId="50" xfId="1" applyFont="1" applyFill="1" applyBorder="1" applyAlignment="1">
      <alignment vertical="center" wrapText="1"/>
    </xf>
    <xf numFmtId="0" fontId="8" fillId="16" borderId="41" xfId="0" applyFont="1" applyFill="1" applyBorder="1"/>
    <xf numFmtId="0" fontId="88" fillId="19" borderId="57" xfId="0" applyFont="1" applyFill="1" applyBorder="1" applyAlignment="1">
      <alignment wrapText="1"/>
    </xf>
    <xf numFmtId="0" fontId="0" fillId="16" borderId="23" xfId="0" applyFill="1" applyBorder="1" applyAlignment="1">
      <alignment horizontal="center" wrapText="1"/>
    </xf>
    <xf numFmtId="0" fontId="0" fillId="16" borderId="57" xfId="0" applyFill="1" applyBorder="1" applyAlignment="1">
      <alignment horizontal="center" wrapText="1"/>
    </xf>
    <xf numFmtId="8" fontId="0" fillId="16" borderId="18" xfId="3" applyNumberFormat="1" applyFont="1" applyFill="1" applyBorder="1" applyAlignment="1">
      <alignment horizontal="center" wrapText="1"/>
    </xf>
    <xf numFmtId="0" fontId="32" fillId="15" borderId="1" xfId="0" applyFont="1" applyFill="1" applyBorder="1" applyAlignment="1">
      <alignment horizontal="center" wrapText="1"/>
    </xf>
    <xf numFmtId="0" fontId="0" fillId="16" borderId="1" xfId="1" applyNumberFormat="1" applyFont="1" applyFill="1" applyBorder="1"/>
    <xf numFmtId="0" fontId="0" fillId="16" borderId="16" xfId="0" applyFill="1" applyBorder="1" applyAlignment="1">
      <alignment wrapText="1"/>
    </xf>
    <xf numFmtId="1" fontId="0" fillId="16" borderId="18" xfId="3" applyNumberFormat="1" applyFont="1" applyFill="1" applyBorder="1" applyAlignment="1">
      <alignment horizontal="center" wrapText="1"/>
    </xf>
    <xf numFmtId="170" fontId="0" fillId="16" borderId="18" xfId="2" applyNumberFormat="1" applyFont="1" applyFill="1" applyBorder="1" applyAlignment="1">
      <alignment wrapText="1"/>
    </xf>
    <xf numFmtId="44" fontId="0" fillId="16" borderId="18" xfId="3" applyFont="1" applyFill="1" applyBorder="1" applyAlignment="1">
      <alignment wrapText="1"/>
    </xf>
    <xf numFmtId="43" fontId="0" fillId="16" borderId="23" xfId="2" applyFont="1" applyFill="1" applyBorder="1" applyAlignment="1">
      <alignment wrapText="1"/>
    </xf>
    <xf numFmtId="0" fontId="8" fillId="16" borderId="64" xfId="0" applyFont="1" applyFill="1" applyBorder="1" applyAlignment="1">
      <alignment wrapText="1"/>
    </xf>
    <xf numFmtId="0" fontId="0" fillId="16" borderId="0" xfId="0" applyFill="1" applyAlignment="1">
      <alignment horizontal="center" wrapText="1"/>
    </xf>
    <xf numFmtId="9" fontId="0" fillId="16" borderId="0" xfId="0" applyNumberFormat="1" applyFill="1" applyAlignment="1">
      <alignment wrapText="1"/>
    </xf>
    <xf numFmtId="0" fontId="32" fillId="20" borderId="24" xfId="0" applyFont="1" applyFill="1" applyBorder="1"/>
    <xf numFmtId="0" fontId="32" fillId="20" borderId="26" xfId="0" applyFont="1" applyFill="1" applyBorder="1"/>
    <xf numFmtId="0" fontId="30" fillId="20" borderId="54" xfId="0" applyFont="1" applyFill="1" applyBorder="1" applyAlignment="1">
      <alignment horizontal="center"/>
    </xf>
    <xf numFmtId="10" fontId="0" fillId="16" borderId="47" xfId="0" applyNumberFormat="1" applyFill="1" applyBorder="1"/>
    <xf numFmtId="0" fontId="36" fillId="20" borderId="1" xfId="0" applyFont="1" applyFill="1" applyBorder="1" applyAlignment="1">
      <alignment horizontal="center" vertical="center" wrapText="1"/>
    </xf>
    <xf numFmtId="0" fontId="8" fillId="16" borderId="85" xfId="0" applyFont="1" applyFill="1" applyBorder="1" applyAlignment="1">
      <alignment wrapText="1"/>
    </xf>
    <xf numFmtId="0" fontId="33" fillId="16" borderId="0" xfId="0" applyFont="1" applyFill="1" applyAlignment="1">
      <alignment horizontal="center" wrapText="1"/>
    </xf>
    <xf numFmtId="178" fontId="0" fillId="16" borderId="18" xfId="0" applyNumberFormat="1" applyFill="1" applyBorder="1" applyAlignment="1">
      <alignment horizontal="center" wrapText="1"/>
    </xf>
    <xf numFmtId="0" fontId="0" fillId="16" borderId="63" xfId="0" applyFill="1" applyBorder="1"/>
    <xf numFmtId="0" fontId="8" fillId="19" borderId="57" xfId="0" applyFont="1" applyFill="1" applyBorder="1"/>
    <xf numFmtId="0" fontId="0" fillId="28" borderId="1" xfId="0" applyFill="1" applyBorder="1"/>
    <xf numFmtId="0" fontId="0" fillId="16" borderId="1" xfId="3" applyNumberFormat="1" applyFont="1" applyFill="1" applyBorder="1"/>
    <xf numFmtId="170" fontId="0" fillId="16" borderId="0" xfId="0" applyNumberFormat="1" applyFill="1" applyAlignment="1">
      <alignment horizontal="center"/>
    </xf>
    <xf numFmtId="0" fontId="8" fillId="19" borderId="41" xfId="0" applyFont="1" applyFill="1" applyBorder="1"/>
    <xf numFmtId="0" fontId="37" fillId="19" borderId="17" xfId="0" applyFont="1" applyFill="1" applyBorder="1" applyAlignment="1">
      <alignment wrapText="1"/>
    </xf>
    <xf numFmtId="0" fontId="38" fillId="19" borderId="17" xfId="0" applyFont="1" applyFill="1" applyBorder="1" applyAlignment="1">
      <alignment horizontal="center"/>
    </xf>
    <xf numFmtId="44" fontId="0" fillId="16" borderId="0" xfId="3" applyFont="1" applyFill="1" applyBorder="1" applyAlignment="1">
      <alignment horizontal="center" wrapText="1"/>
    </xf>
    <xf numFmtId="0" fontId="39" fillId="16" borderId="0" xfId="0" applyFont="1" applyFill="1" applyAlignment="1">
      <alignment wrapText="1"/>
    </xf>
    <xf numFmtId="9" fontId="33" fillId="16" borderId="0" xfId="1" applyFont="1" applyFill="1" applyAlignment="1">
      <alignment wrapText="1"/>
    </xf>
    <xf numFmtId="43" fontId="34" fillId="16" borderId="18" xfId="2" applyFont="1" applyFill="1" applyBorder="1"/>
    <xf numFmtId="0" fontId="0" fillId="19" borderId="19" xfId="0" applyFill="1" applyBorder="1"/>
    <xf numFmtId="0" fontId="62" fillId="16" borderId="13" xfId="0" applyFont="1" applyFill="1" applyBorder="1"/>
    <xf numFmtId="0" fontId="8" fillId="19" borderId="58" xfId="0" applyFont="1" applyFill="1" applyBorder="1" applyAlignment="1">
      <alignment wrapText="1"/>
    </xf>
    <xf numFmtId="0" fontId="8" fillId="19" borderId="21" xfId="0" applyFont="1" applyFill="1" applyBorder="1" applyAlignment="1">
      <alignment wrapText="1"/>
    </xf>
    <xf numFmtId="0" fontId="8" fillId="16" borderId="17" xfId="0" applyFont="1" applyFill="1" applyBorder="1" applyAlignment="1">
      <alignment wrapText="1"/>
    </xf>
    <xf numFmtId="44" fontId="34" fillId="16" borderId="18" xfId="3" applyFont="1" applyFill="1" applyBorder="1" applyAlignment="1">
      <alignment wrapText="1"/>
    </xf>
    <xf numFmtId="0" fontId="20" fillId="16" borderId="0" xfId="0" applyFont="1" applyFill="1" applyAlignment="1">
      <alignment wrapText="1"/>
    </xf>
    <xf numFmtId="170" fontId="0" fillId="16" borderId="0" xfId="2" applyNumberFormat="1" applyFont="1" applyFill="1" applyBorder="1" applyAlignment="1">
      <alignment wrapText="1"/>
    </xf>
    <xf numFmtId="167" fontId="0" fillId="16" borderId="17" xfId="2" applyNumberFormat="1" applyFont="1" applyFill="1" applyBorder="1" applyAlignment="1">
      <alignment wrapText="1"/>
    </xf>
    <xf numFmtId="43" fontId="0" fillId="16" borderId="17" xfId="2" applyFont="1" applyFill="1" applyBorder="1" applyAlignment="1">
      <alignment wrapText="1"/>
    </xf>
    <xf numFmtId="0" fontId="33" fillId="16" borderId="1" xfId="0" applyFont="1" applyFill="1" applyBorder="1" applyAlignment="1">
      <alignment horizontal="center"/>
    </xf>
    <xf numFmtId="6" fontId="33" fillId="16" borderId="1" xfId="0" applyNumberFormat="1" applyFont="1" applyFill="1" applyBorder="1" applyAlignment="1">
      <alignment horizontal="center" vertical="center" wrapText="1"/>
    </xf>
    <xf numFmtId="174" fontId="0" fillId="16" borderId="18" xfId="0" applyNumberFormat="1" applyFill="1" applyBorder="1"/>
    <xf numFmtId="0" fontId="8" fillId="16" borderId="31" xfId="0" applyFont="1" applyFill="1" applyBorder="1" applyAlignment="1">
      <alignment wrapText="1"/>
    </xf>
    <xf numFmtId="0" fontId="8" fillId="16" borderId="36" xfId="0" applyFont="1" applyFill="1" applyBorder="1" applyAlignment="1">
      <alignment wrapText="1"/>
    </xf>
    <xf numFmtId="1" fontId="0" fillId="16" borderId="31" xfId="0" applyNumberFormat="1" applyFill="1" applyBorder="1" applyAlignment="1">
      <alignment horizontal="center" wrapText="1"/>
    </xf>
    <xf numFmtId="166" fontId="0" fillId="16" borderId="36" xfId="3" applyNumberFormat="1" applyFont="1" applyFill="1" applyBorder="1" applyAlignment="1">
      <alignment wrapText="1"/>
    </xf>
    <xf numFmtId="0" fontId="39" fillId="16" borderId="31" xfId="0" applyFont="1" applyFill="1" applyBorder="1" applyAlignment="1">
      <alignment wrapText="1"/>
    </xf>
    <xf numFmtId="0" fontId="33" fillId="16" borderId="31" xfId="0" applyFont="1" applyFill="1" applyBorder="1" applyAlignment="1">
      <alignment wrapText="1"/>
    </xf>
    <xf numFmtId="0" fontId="0" fillId="16" borderId="31" xfId="0" applyFill="1" applyBorder="1" applyAlignment="1">
      <alignment wrapText="1"/>
    </xf>
    <xf numFmtId="43" fontId="0" fillId="16" borderId="36" xfId="2" applyFont="1" applyFill="1" applyBorder="1"/>
    <xf numFmtId="167" fontId="0" fillId="16" borderId="36" xfId="2" applyNumberFormat="1" applyFont="1" applyFill="1" applyBorder="1"/>
    <xf numFmtId="0" fontId="8" fillId="16" borderId="39" xfId="0" applyFont="1" applyFill="1" applyBorder="1" applyAlignment="1">
      <alignment wrapText="1"/>
    </xf>
    <xf numFmtId="0" fontId="8" fillId="16" borderId="44" xfId="0" applyFont="1" applyFill="1" applyBorder="1" applyAlignment="1">
      <alignment wrapText="1"/>
    </xf>
    <xf numFmtId="1" fontId="0" fillId="16" borderId="36" xfId="0" applyNumberFormat="1" applyFill="1" applyBorder="1" applyAlignment="1">
      <alignment horizontal="center" wrapText="1"/>
    </xf>
    <xf numFmtId="0" fontId="34" fillId="16" borderId="31" xfId="0" applyFont="1" applyFill="1" applyBorder="1"/>
    <xf numFmtId="0" fontId="8" fillId="19" borderId="5" xfId="0" applyFont="1" applyFill="1" applyBorder="1"/>
    <xf numFmtId="10" fontId="33" fillId="16" borderId="1" xfId="0" applyNumberFormat="1" applyFont="1" applyFill="1" applyBorder="1" applyAlignment="1">
      <alignment horizontal="center" vertical="center" wrapText="1"/>
    </xf>
    <xf numFmtId="0" fontId="41" fillId="16" borderId="0" xfId="4" applyFill="1" applyBorder="1" applyAlignment="1" applyProtection="1">
      <alignment horizontal="justify" vertical="center"/>
    </xf>
    <xf numFmtId="0" fontId="132" fillId="16" borderId="2" xfId="0" applyFont="1" applyFill="1" applyBorder="1" applyAlignment="1">
      <alignment vertical="center" wrapText="1"/>
    </xf>
    <xf numFmtId="0" fontId="132" fillId="16" borderId="10" xfId="0" applyFont="1" applyFill="1" applyBorder="1" applyAlignment="1">
      <alignment vertical="center" wrapText="1"/>
    </xf>
    <xf numFmtId="0" fontId="132" fillId="16" borderId="16" xfId="0" applyFont="1" applyFill="1" applyBorder="1" applyAlignment="1">
      <alignment vertical="center" wrapText="1"/>
    </xf>
    <xf numFmtId="0" fontId="33" fillId="19" borderId="17" xfId="0" applyFont="1" applyFill="1" applyBorder="1" applyAlignment="1">
      <alignment wrapText="1"/>
    </xf>
    <xf numFmtId="0" fontId="8" fillId="28" borderId="1" xfId="0" applyFont="1" applyFill="1" applyBorder="1" applyAlignment="1">
      <alignment horizontal="center" wrapText="1"/>
    </xf>
    <xf numFmtId="0" fontId="32" fillId="17" borderId="50" xfId="0" applyFont="1" applyFill="1" applyBorder="1"/>
    <xf numFmtId="0" fontId="32" fillId="17" borderId="1" xfId="0" applyFont="1" applyFill="1" applyBorder="1"/>
    <xf numFmtId="0" fontId="32" fillId="24" borderId="54" xfId="0" applyFont="1" applyFill="1" applyBorder="1" applyAlignment="1">
      <alignment horizontal="center" vertical="center"/>
    </xf>
    <xf numFmtId="44" fontId="0" fillId="16" borderId="0" xfId="3" applyFont="1" applyFill="1"/>
    <xf numFmtId="44" fontId="33" fillId="16" borderId="18" xfId="3" applyFont="1" applyFill="1" applyBorder="1" applyAlignment="1">
      <alignment horizontal="left" wrapText="1"/>
    </xf>
    <xf numFmtId="44" fontId="33" fillId="16" borderId="0" xfId="3" applyFont="1" applyFill="1" applyBorder="1" applyAlignment="1">
      <alignment horizontal="left" wrapText="1"/>
    </xf>
    <xf numFmtId="0" fontId="33" fillId="16" borderId="0" xfId="3" applyNumberFormat="1" applyFont="1" applyFill="1" applyBorder="1" applyAlignment="1">
      <alignment horizontal="left" wrapText="1"/>
    </xf>
    <xf numFmtId="2" fontId="0" fillId="16" borderId="18" xfId="2" applyNumberFormat="1" applyFont="1" applyFill="1" applyBorder="1" applyAlignment="1">
      <alignment horizontal="center" wrapText="1"/>
    </xf>
    <xf numFmtId="174" fontId="0" fillId="16" borderId="18" xfId="2" applyNumberFormat="1" applyFont="1" applyFill="1" applyBorder="1" applyAlignment="1">
      <alignment horizontal="center" wrapText="1"/>
    </xf>
    <xf numFmtId="165" fontId="0" fillId="16" borderId="18" xfId="2" applyNumberFormat="1" applyFont="1" applyFill="1" applyBorder="1" applyAlignment="1">
      <alignment horizontal="center" wrapText="1"/>
    </xf>
    <xf numFmtId="2" fontId="0" fillId="16" borderId="23" xfId="2" applyNumberFormat="1" applyFont="1" applyFill="1" applyBorder="1" applyAlignment="1">
      <alignment horizontal="center" wrapText="1"/>
    </xf>
    <xf numFmtId="0" fontId="38" fillId="16" borderId="23" xfId="0" applyFont="1" applyFill="1" applyBorder="1" applyAlignment="1">
      <alignment wrapText="1"/>
    </xf>
    <xf numFmtId="0" fontId="34" fillId="16" borderId="17" xfId="0" applyFont="1" applyFill="1" applyBorder="1"/>
    <xf numFmtId="170" fontId="34" fillId="16" borderId="0" xfId="2" applyNumberFormat="1" applyFont="1" applyFill="1" applyAlignment="1">
      <alignment wrapText="1"/>
    </xf>
    <xf numFmtId="0" fontId="34" fillId="16" borderId="0" xfId="0" applyFont="1" applyFill="1" applyAlignment="1">
      <alignment wrapText="1"/>
    </xf>
    <xf numFmtId="0" fontId="51" fillId="16" borderId="0" xfId="0" applyFont="1" applyFill="1" applyAlignment="1">
      <alignment wrapText="1"/>
    </xf>
    <xf numFmtId="0" fontId="34" fillId="16" borderId="0" xfId="0" applyFont="1" applyFill="1" applyAlignment="1">
      <alignment horizontal="center" wrapText="1"/>
    </xf>
    <xf numFmtId="44" fontId="34" fillId="16" borderId="0" xfId="3" applyFont="1" applyFill="1"/>
    <xf numFmtId="0" fontId="133" fillId="16" borderId="0" xfId="0" applyFont="1" applyFill="1" applyAlignment="1">
      <alignment wrapText="1"/>
    </xf>
    <xf numFmtId="2" fontId="34" fillId="16" borderId="18" xfId="0" applyNumberFormat="1" applyFont="1" applyFill="1" applyBorder="1"/>
    <xf numFmtId="174" fontId="34" fillId="16" borderId="18" xfId="0" applyNumberFormat="1" applyFont="1" applyFill="1" applyBorder="1"/>
    <xf numFmtId="175" fontId="34" fillId="16" borderId="18" xfId="2" applyNumberFormat="1" applyFont="1" applyFill="1" applyBorder="1"/>
    <xf numFmtId="43" fontId="34" fillId="16" borderId="23" xfId="2" applyFont="1" applyFill="1" applyBorder="1"/>
    <xf numFmtId="170" fontId="0" fillId="18" borderId="25" xfId="0" applyNumberFormat="1" applyFill="1" applyBorder="1"/>
    <xf numFmtId="2" fontId="0" fillId="0" borderId="28" xfId="0" applyNumberFormat="1" applyBorder="1" applyAlignment="1">
      <alignment vertical="center"/>
    </xf>
    <xf numFmtId="0" fontId="33" fillId="0" borderId="30" xfId="0" applyFont="1" applyBorder="1" applyAlignment="1">
      <alignment vertical="center" wrapText="1"/>
    </xf>
    <xf numFmtId="43" fontId="0" fillId="0" borderId="28" xfId="0" applyNumberFormat="1" applyBorder="1" applyAlignment="1">
      <alignment vertical="center"/>
    </xf>
    <xf numFmtId="2" fontId="0" fillId="0" borderId="31" xfId="0" applyNumberFormat="1" applyBorder="1" applyAlignment="1">
      <alignment vertical="center"/>
    </xf>
    <xf numFmtId="0" fontId="33" fillId="0" borderId="33" xfId="0" applyFont="1" applyBorder="1" applyAlignment="1">
      <alignment vertical="center" wrapText="1"/>
    </xf>
    <xf numFmtId="2" fontId="0" fillId="0" borderId="0" xfId="0" applyNumberFormat="1" applyAlignment="1">
      <alignment vertical="center"/>
    </xf>
    <xf numFmtId="167" fontId="0" fillId="0" borderId="28" xfId="2" applyNumberFormat="1" applyFont="1" applyBorder="1" applyAlignment="1">
      <alignment vertical="center" wrapText="1"/>
    </xf>
    <xf numFmtId="0" fontId="33" fillId="16" borderId="34" xfId="0" applyFont="1" applyFill="1" applyBorder="1" applyAlignment="1">
      <alignment horizontal="center" vertical="center" wrapText="1"/>
    </xf>
    <xf numFmtId="0" fontId="33" fillId="29" borderId="0" xfId="0" applyFont="1" applyFill="1" applyAlignment="1">
      <alignment horizontal="center" vertical="center" wrapText="1"/>
    </xf>
    <xf numFmtId="0" fontId="36" fillId="17" borderId="1" xfId="0" applyFont="1" applyFill="1" applyBorder="1" applyAlignment="1">
      <alignment horizontal="left" vertical="center"/>
    </xf>
    <xf numFmtId="0" fontId="36" fillId="17" borderId="1" xfId="0" applyFont="1" applyFill="1" applyBorder="1" applyAlignment="1">
      <alignment horizontal="right" vertical="center"/>
    </xf>
    <xf numFmtId="0" fontId="33" fillId="16" borderId="32" xfId="0" applyFont="1" applyFill="1" applyBorder="1" applyAlignment="1">
      <alignment horizontal="left" vertical="center" wrapText="1"/>
    </xf>
    <xf numFmtId="0" fontId="53" fillId="16" borderId="1" xfId="0" applyFont="1" applyFill="1" applyBorder="1" applyAlignment="1">
      <alignment horizontal="left" vertical="center"/>
    </xf>
    <xf numFmtId="170" fontId="8" fillId="16" borderId="23" xfId="0" applyNumberFormat="1" applyFont="1" applyFill="1" applyBorder="1" applyAlignment="1">
      <alignment wrapText="1"/>
    </xf>
    <xf numFmtId="170" fontId="0" fillId="16" borderId="0" xfId="2" applyNumberFormat="1" applyFont="1" applyFill="1" applyAlignment="1">
      <alignment wrapText="1"/>
    </xf>
    <xf numFmtId="2" fontId="0" fillId="16" borderId="18" xfId="2" applyNumberFormat="1" applyFont="1" applyFill="1" applyBorder="1"/>
    <xf numFmtId="9" fontId="0" fillId="0" borderId="28" xfId="0" applyNumberFormat="1" applyBorder="1" applyAlignment="1">
      <alignment vertical="center"/>
    </xf>
    <xf numFmtId="43" fontId="0" fillId="16" borderId="41" xfId="2" applyFont="1" applyFill="1" applyBorder="1"/>
    <xf numFmtId="0" fontId="0" fillId="16" borderId="28" xfId="0" applyFill="1" applyBorder="1" applyAlignment="1">
      <alignment wrapText="1"/>
    </xf>
    <xf numFmtId="0" fontId="40" fillId="17" borderId="1" xfId="0" applyFont="1" applyFill="1" applyBorder="1" applyAlignment="1">
      <alignment horizontal="center" vertical="center" wrapText="1"/>
    </xf>
    <xf numFmtId="0" fontId="51" fillId="0" borderId="1" xfId="0" applyFont="1" applyBorder="1" applyAlignment="1">
      <alignment horizontal="left" vertical="center"/>
    </xf>
    <xf numFmtId="0" fontId="0" fillId="0" borderId="5" xfId="0" applyBorder="1"/>
    <xf numFmtId="0" fontId="0" fillId="0" borderId="16" xfId="0" applyBorder="1"/>
    <xf numFmtId="0" fontId="0" fillId="0" borderId="15" xfId="0" applyBorder="1"/>
    <xf numFmtId="0" fontId="0" fillId="0" borderId="12" xfId="0" applyBorder="1"/>
    <xf numFmtId="0" fontId="32" fillId="20" borderId="0" xfId="0" applyFont="1" applyFill="1"/>
    <xf numFmtId="0" fontId="0" fillId="20" borderId="1" xfId="0" applyFill="1" applyBorder="1"/>
    <xf numFmtId="0" fontId="0" fillId="0" borderId="9" xfId="0" applyBorder="1"/>
    <xf numFmtId="0" fontId="0" fillId="0" borderId="14" xfId="0" applyBorder="1"/>
    <xf numFmtId="0" fontId="0" fillId="0" borderId="7" xfId="0" applyBorder="1"/>
    <xf numFmtId="0" fontId="0" fillId="0" borderId="6" xfId="0" applyBorder="1"/>
    <xf numFmtId="0" fontId="1" fillId="0" borderId="1" xfId="0" applyFont="1" applyBorder="1" applyAlignment="1">
      <alignment wrapText="1"/>
    </xf>
    <xf numFmtId="0" fontId="33" fillId="0" borderId="27" xfId="0" applyFont="1" applyBorder="1" applyAlignment="1">
      <alignment horizontal="justify" vertical="center"/>
    </xf>
    <xf numFmtId="0" fontId="33" fillId="0" borderId="30" xfId="0" applyFont="1" applyBorder="1" applyAlignment="1">
      <alignment horizontal="justify" vertical="center"/>
    </xf>
    <xf numFmtId="168" fontId="0" fillId="0" borderId="28" xfId="0" applyNumberFormat="1" applyBorder="1"/>
    <xf numFmtId="0" fontId="34" fillId="16" borderId="50" xfId="0" applyFont="1" applyFill="1" applyBorder="1"/>
    <xf numFmtId="2" fontId="34" fillId="16" borderId="50" xfId="0" applyNumberFormat="1" applyFont="1" applyFill="1" applyBorder="1"/>
    <xf numFmtId="0" fontId="0" fillId="16" borderId="0" xfId="0" applyFill="1" applyAlignment="1">
      <alignment horizontal="left" wrapText="1"/>
    </xf>
    <xf numFmtId="43" fontId="0" fillId="16" borderId="18" xfId="2" applyFont="1" applyFill="1" applyBorder="1" applyAlignment="1">
      <alignment horizontal="center" wrapText="1"/>
    </xf>
    <xf numFmtId="167" fontId="0" fillId="16" borderId="18" xfId="2" applyNumberFormat="1" applyFont="1" applyFill="1" applyBorder="1" applyAlignment="1">
      <alignment horizontal="center" wrapText="1"/>
    </xf>
    <xf numFmtId="43" fontId="0" fillId="16" borderId="23" xfId="2" applyFont="1" applyFill="1" applyBorder="1" applyAlignment="1">
      <alignment horizontal="center" wrapText="1"/>
    </xf>
    <xf numFmtId="14" fontId="0" fillId="16" borderId="26" xfId="0" applyNumberFormat="1" applyFill="1" applyBorder="1" applyAlignment="1">
      <alignment horizontal="center"/>
    </xf>
    <xf numFmtId="0" fontId="1" fillId="0" borderId="0" xfId="0" applyFont="1" applyAlignment="1">
      <alignment wrapText="1"/>
    </xf>
    <xf numFmtId="0" fontId="78" fillId="16" borderId="10" xfId="0" applyFont="1" applyFill="1" applyBorder="1"/>
    <xf numFmtId="43" fontId="0" fillId="16" borderId="0" xfId="2" applyFont="1" applyFill="1" applyBorder="1" applyAlignment="1">
      <alignment wrapText="1"/>
    </xf>
    <xf numFmtId="170" fontId="0" fillId="16" borderId="0" xfId="0" applyNumberFormat="1" applyFill="1"/>
    <xf numFmtId="0" fontId="8" fillId="19" borderId="19" xfId="0" applyFont="1" applyFill="1" applyBorder="1" applyAlignment="1">
      <alignment horizontal="center" wrapText="1"/>
    </xf>
    <xf numFmtId="0" fontId="36" fillId="17" borderId="90" xfId="0" applyFont="1" applyFill="1" applyBorder="1" applyAlignment="1">
      <alignment horizontal="center" vertical="center" wrapText="1"/>
    </xf>
    <xf numFmtId="0" fontId="67" fillId="17" borderId="1" xfId="0" applyFont="1" applyFill="1" applyBorder="1" applyAlignment="1">
      <alignment horizontal="center" vertical="center" wrapText="1"/>
    </xf>
    <xf numFmtId="170" fontId="0" fillId="16" borderId="53" xfId="2" applyNumberFormat="1" applyFont="1" applyFill="1" applyBorder="1"/>
    <xf numFmtId="170" fontId="0" fillId="16" borderId="51" xfId="2" applyNumberFormat="1" applyFont="1" applyFill="1" applyBorder="1"/>
    <xf numFmtId="0" fontId="63" fillId="16" borderId="27" xfId="0" applyFont="1" applyFill="1" applyBorder="1" applyAlignment="1">
      <alignment horizontal="left" vertical="center"/>
    </xf>
    <xf numFmtId="0" fontId="0" fillId="16" borderId="28" xfId="0" applyFill="1" applyBorder="1" applyAlignment="1">
      <alignment horizontal="left" vertical="center"/>
    </xf>
    <xf numFmtId="0" fontId="0" fillId="16" borderId="28" xfId="0" quotePrefix="1" applyFill="1" applyBorder="1" applyAlignment="1">
      <alignment horizontal="left" vertical="center"/>
    </xf>
    <xf numFmtId="0" fontId="0" fillId="16" borderId="29" xfId="0" applyFill="1" applyBorder="1" applyAlignment="1">
      <alignment horizontal="left" vertical="center"/>
    </xf>
    <xf numFmtId="0" fontId="63" fillId="16" borderId="30" xfId="0" applyFont="1" applyFill="1" applyBorder="1" applyAlignment="1">
      <alignment horizontal="left" vertical="center"/>
    </xf>
    <xf numFmtId="0" fontId="0" fillId="16" borderId="31" xfId="0" applyFill="1" applyBorder="1" applyAlignment="1">
      <alignment horizontal="left" vertical="center"/>
    </xf>
    <xf numFmtId="0" fontId="0" fillId="16" borderId="32" xfId="0" applyFill="1" applyBorder="1" applyAlignment="1">
      <alignment horizontal="left" vertical="center"/>
    </xf>
    <xf numFmtId="0" fontId="0" fillId="16" borderId="27" xfId="0" applyFill="1" applyBorder="1" applyAlignment="1">
      <alignment horizontal="left" vertical="center"/>
    </xf>
    <xf numFmtId="0" fontId="0" fillId="16" borderId="30" xfId="0" applyFill="1" applyBorder="1" applyAlignment="1">
      <alignment horizontal="left" vertical="center"/>
    </xf>
    <xf numFmtId="0" fontId="0" fillId="16" borderId="33" xfId="0" applyFill="1" applyBorder="1" applyAlignment="1">
      <alignment horizontal="left" vertical="center"/>
    </xf>
    <xf numFmtId="0" fontId="0" fillId="16" borderId="0" xfId="0" applyFill="1" applyAlignment="1">
      <alignment horizontal="left" vertical="center"/>
    </xf>
    <xf numFmtId="0" fontId="0" fillId="16" borderId="34" xfId="0" applyFill="1" applyBorder="1" applyAlignment="1">
      <alignment horizontal="left" vertical="center"/>
    </xf>
    <xf numFmtId="0" fontId="0" fillId="16" borderId="28" xfId="0" applyFill="1" applyBorder="1" applyAlignment="1">
      <alignment vertical="center"/>
    </xf>
    <xf numFmtId="0" fontId="0" fillId="16" borderId="31" xfId="0" applyFill="1" applyBorder="1" applyAlignment="1">
      <alignment vertical="center"/>
    </xf>
    <xf numFmtId="170" fontId="0" fillId="16" borderId="28" xfId="2" applyNumberFormat="1" applyFont="1" applyFill="1" applyBorder="1" applyAlignment="1">
      <alignment vertical="center"/>
    </xf>
    <xf numFmtId="170" fontId="0" fillId="16" borderId="31" xfId="2" applyNumberFormat="1" applyFont="1" applyFill="1" applyBorder="1" applyAlignment="1">
      <alignment vertical="center"/>
    </xf>
    <xf numFmtId="9" fontId="0" fillId="16" borderId="28" xfId="0" applyNumberFormat="1" applyFill="1" applyBorder="1" applyAlignment="1">
      <alignment vertical="center"/>
    </xf>
    <xf numFmtId="170" fontId="0" fillId="16" borderId="0" xfId="2" applyNumberFormat="1" applyFont="1" applyFill="1" applyBorder="1" applyAlignment="1">
      <alignment vertical="center"/>
    </xf>
    <xf numFmtId="166" fontId="0" fillId="16" borderId="28" xfId="3" applyNumberFormat="1" applyFont="1" applyFill="1" applyBorder="1" applyAlignment="1">
      <alignment vertical="center"/>
    </xf>
    <xf numFmtId="0" fontId="0" fillId="16" borderId="31" xfId="0" applyFill="1" applyBorder="1" applyAlignment="1">
      <alignment horizontal="center" vertical="center"/>
    </xf>
    <xf numFmtId="0" fontId="0" fillId="16" borderId="28" xfId="0" applyFill="1" applyBorder="1" applyAlignment="1">
      <alignment horizontal="right" vertical="center"/>
    </xf>
    <xf numFmtId="0" fontId="0" fillId="16" borderId="31" xfId="0" applyFill="1" applyBorder="1" applyAlignment="1">
      <alignment horizontal="right" vertical="center"/>
    </xf>
    <xf numFmtId="170" fontId="0" fillId="16" borderId="28" xfId="2" applyNumberFormat="1" applyFont="1" applyFill="1" applyBorder="1" applyAlignment="1">
      <alignment horizontal="right" vertical="center"/>
    </xf>
    <xf numFmtId="170" fontId="0" fillId="16" borderId="31" xfId="2" applyNumberFormat="1" applyFont="1" applyFill="1" applyBorder="1" applyAlignment="1">
      <alignment horizontal="right" vertical="center"/>
    </xf>
    <xf numFmtId="9" fontId="0" fillId="16" borderId="28" xfId="0" applyNumberFormat="1" applyFill="1" applyBorder="1" applyAlignment="1">
      <alignment horizontal="right" vertical="center"/>
    </xf>
    <xf numFmtId="170" fontId="0" fillId="16" borderId="0" xfId="2" applyNumberFormat="1" applyFont="1" applyFill="1" applyBorder="1" applyAlignment="1">
      <alignment horizontal="right" vertical="center"/>
    </xf>
    <xf numFmtId="166" fontId="0" fillId="16" borderId="28" xfId="3" applyNumberFormat="1" applyFont="1" applyFill="1" applyBorder="1" applyAlignment="1">
      <alignment horizontal="right" vertical="center"/>
    </xf>
    <xf numFmtId="0" fontId="0" fillId="16" borderId="27" xfId="0" applyFill="1" applyBorder="1" applyAlignment="1">
      <alignment vertical="center"/>
    </xf>
    <xf numFmtId="0" fontId="0" fillId="16" borderId="30" xfId="0" applyFill="1" applyBorder="1" applyAlignment="1">
      <alignment vertical="center"/>
    </xf>
    <xf numFmtId="0" fontId="0" fillId="16" borderId="33" xfId="0" applyFill="1" applyBorder="1" applyAlignment="1">
      <alignment vertical="center"/>
    </xf>
    <xf numFmtId="0" fontId="0" fillId="16" borderId="0" xfId="0" applyFill="1" applyAlignment="1">
      <alignment vertical="center"/>
    </xf>
    <xf numFmtId="0" fontId="0" fillId="16" borderId="29" xfId="0" applyFill="1" applyBorder="1" applyAlignment="1">
      <alignment vertical="center"/>
    </xf>
    <xf numFmtId="0" fontId="0" fillId="16" borderId="32" xfId="0" applyFill="1" applyBorder="1" applyAlignment="1">
      <alignment vertical="center"/>
    </xf>
    <xf numFmtId="0" fontId="0" fillId="16" borderId="34" xfId="0" applyFill="1" applyBorder="1" applyAlignment="1">
      <alignment vertical="center"/>
    </xf>
    <xf numFmtId="166" fontId="0" fillId="16" borderId="41" xfId="0" applyNumberFormat="1" applyFill="1" applyBorder="1" applyAlignment="1">
      <alignment horizontal="center" wrapText="1"/>
    </xf>
    <xf numFmtId="0" fontId="0" fillId="19" borderId="17" xfId="0" applyFill="1" applyBorder="1" applyAlignment="1">
      <alignment horizontal="center" vertical="center" wrapText="1"/>
    </xf>
    <xf numFmtId="0" fontId="0" fillId="0" borderId="17" xfId="0" applyBorder="1"/>
    <xf numFmtId="170" fontId="0" fillId="16" borderId="17" xfId="2" applyNumberFormat="1" applyFont="1" applyFill="1" applyBorder="1" applyAlignment="1">
      <alignment wrapText="1"/>
    </xf>
    <xf numFmtId="0" fontId="0" fillId="16" borderId="17" xfId="0" applyFill="1" applyBorder="1" applyAlignment="1">
      <alignment wrapText="1"/>
    </xf>
    <xf numFmtId="170" fontId="0" fillId="16" borderId="17" xfId="0" applyNumberFormat="1" applyFill="1" applyBorder="1" applyAlignment="1">
      <alignment wrapText="1"/>
    </xf>
    <xf numFmtId="171" fontId="0" fillId="16" borderId="17" xfId="0" applyNumberFormat="1" applyFill="1" applyBorder="1" applyAlignment="1">
      <alignment wrapText="1"/>
    </xf>
    <xf numFmtId="170" fontId="0" fillId="16" borderId="41" xfId="2" applyNumberFormat="1" applyFont="1" applyFill="1" applyBorder="1" applyAlignment="1">
      <alignment wrapText="1"/>
    </xf>
    <xf numFmtId="9" fontId="0" fillId="16" borderId="41" xfId="1" applyFont="1" applyFill="1" applyBorder="1" applyAlignment="1">
      <alignment wrapText="1"/>
    </xf>
    <xf numFmtId="9" fontId="0" fillId="16" borderId="28" xfId="0" applyNumberFormat="1" applyFill="1" applyBorder="1"/>
    <xf numFmtId="170" fontId="0" fillId="16" borderId="0" xfId="2" applyNumberFormat="1" applyFont="1" applyFill="1" applyBorder="1"/>
    <xf numFmtId="166" fontId="0" fillId="16" borderId="28" xfId="3" applyNumberFormat="1" applyFont="1" applyFill="1" applyBorder="1"/>
    <xf numFmtId="0" fontId="0" fillId="16" borderId="31" xfId="0" applyFill="1" applyBorder="1" applyAlignment="1">
      <alignment vertical="top"/>
    </xf>
    <xf numFmtId="0" fontId="0" fillId="16" borderId="27" xfId="0" applyFill="1" applyBorder="1" applyAlignment="1">
      <alignment horizontal="left" vertical="top"/>
    </xf>
    <xf numFmtId="0" fontId="0" fillId="16" borderId="28" xfId="0" applyFill="1" applyBorder="1" applyAlignment="1">
      <alignment horizontal="left" vertical="top"/>
    </xf>
    <xf numFmtId="0" fontId="0" fillId="16" borderId="30" xfId="0" applyFill="1" applyBorder="1" applyAlignment="1">
      <alignment horizontal="left" vertical="top"/>
    </xf>
    <xf numFmtId="0" fontId="0" fillId="16" borderId="31" xfId="0" applyFill="1" applyBorder="1" applyAlignment="1">
      <alignment horizontal="left" vertical="top"/>
    </xf>
    <xf numFmtId="0" fontId="0" fillId="16" borderId="33" xfId="0" applyFill="1" applyBorder="1" applyAlignment="1">
      <alignment horizontal="left" vertical="top"/>
    </xf>
    <xf numFmtId="0" fontId="0" fillId="16" borderId="0" xfId="0" applyFill="1" applyAlignment="1">
      <alignment horizontal="left" vertical="top"/>
    </xf>
    <xf numFmtId="0" fontId="0" fillId="16" borderId="29" xfId="0" applyFill="1" applyBorder="1" applyAlignment="1">
      <alignment horizontal="left" vertical="top"/>
    </xf>
    <xf numFmtId="0" fontId="0" fillId="16" borderId="32" xfId="0" applyFill="1" applyBorder="1" applyAlignment="1">
      <alignment horizontal="left" vertical="top"/>
    </xf>
    <xf numFmtId="0" fontId="0" fillId="16" borderId="34" xfId="0" applyFill="1" applyBorder="1" applyAlignment="1">
      <alignment horizontal="left" vertical="top"/>
    </xf>
    <xf numFmtId="170" fontId="0" fillId="16" borderId="28" xfId="2" applyNumberFormat="1" applyFont="1" applyFill="1" applyBorder="1" applyAlignment="1">
      <alignment horizontal="right" vertical="top"/>
    </xf>
    <xf numFmtId="170" fontId="0" fillId="16" borderId="31" xfId="2" applyNumberFormat="1" applyFont="1" applyFill="1" applyBorder="1" applyAlignment="1">
      <alignment horizontal="right" vertical="top"/>
    </xf>
    <xf numFmtId="9" fontId="0" fillId="16" borderId="28" xfId="1" applyFont="1" applyFill="1" applyBorder="1" applyAlignment="1">
      <alignment horizontal="right" vertical="top"/>
    </xf>
    <xf numFmtId="0" fontId="0" fillId="16" borderId="31" xfId="0" applyFill="1" applyBorder="1" applyAlignment="1">
      <alignment horizontal="right" vertical="top"/>
    </xf>
    <xf numFmtId="9" fontId="0" fillId="16" borderId="28" xfId="0" applyNumberFormat="1" applyFill="1" applyBorder="1" applyAlignment="1">
      <alignment horizontal="right" vertical="top"/>
    </xf>
    <xf numFmtId="0" fontId="0" fillId="16" borderId="28" xfId="0" applyFill="1" applyBorder="1" applyAlignment="1">
      <alignment horizontal="right" vertical="top"/>
    </xf>
    <xf numFmtId="170" fontId="0" fillId="16" borderId="0" xfId="2" applyNumberFormat="1" applyFont="1" applyFill="1" applyBorder="1" applyAlignment="1">
      <alignment horizontal="right" vertical="top"/>
    </xf>
    <xf numFmtId="166" fontId="0" fillId="16" borderId="28" xfId="3" applyNumberFormat="1" applyFont="1" applyFill="1" applyBorder="1" applyAlignment="1">
      <alignment horizontal="right" vertical="top"/>
    </xf>
    <xf numFmtId="0" fontId="36" fillId="17" borderId="61" xfId="0" applyFont="1" applyFill="1" applyBorder="1" applyAlignment="1">
      <alignment horizontal="center" vertical="center" wrapText="1"/>
    </xf>
    <xf numFmtId="170" fontId="33" fillId="16" borderId="1" xfId="2" applyNumberFormat="1" applyFont="1" applyFill="1" applyBorder="1" applyAlignment="1">
      <alignment vertical="center" wrapText="1"/>
    </xf>
    <xf numFmtId="9" fontId="33" fillId="16" borderId="52" xfId="1" applyFont="1" applyFill="1" applyBorder="1" applyAlignment="1">
      <alignment vertical="center" wrapText="1"/>
    </xf>
    <xf numFmtId="0" fontId="33" fillId="16" borderId="53" xfId="0" applyFont="1" applyFill="1" applyBorder="1" applyAlignment="1">
      <alignment vertical="center" wrapText="1"/>
    </xf>
    <xf numFmtId="0" fontId="33" fillId="16" borderId="27" xfId="0" applyFont="1" applyFill="1" applyBorder="1" applyAlignment="1">
      <alignment horizontal="left" vertical="center"/>
    </xf>
    <xf numFmtId="9" fontId="0" fillId="16" borderId="28" xfId="1" applyFont="1" applyFill="1" applyBorder="1" applyAlignment="1">
      <alignment horizontal="left" vertical="center"/>
    </xf>
    <xf numFmtId="0" fontId="33" fillId="16" borderId="28" xfId="0" applyFont="1" applyFill="1" applyBorder="1" applyAlignment="1">
      <alignment horizontal="left" vertical="center"/>
    </xf>
    <xf numFmtId="0" fontId="0" fillId="16" borderId="28" xfId="1" applyNumberFormat="1" applyFont="1" applyFill="1" applyBorder="1" applyAlignment="1">
      <alignment horizontal="left" vertical="center"/>
    </xf>
    <xf numFmtId="0" fontId="33" fillId="16" borderId="33" xfId="0" applyFont="1" applyFill="1" applyBorder="1" applyAlignment="1">
      <alignment horizontal="left" vertical="center"/>
    </xf>
    <xf numFmtId="0" fontId="33" fillId="16" borderId="0" xfId="0" applyFont="1" applyFill="1" applyAlignment="1">
      <alignment horizontal="left" vertical="center"/>
    </xf>
    <xf numFmtId="2" fontId="0" fillId="16" borderId="28" xfId="0" applyNumberFormat="1" applyFill="1" applyBorder="1" applyAlignment="1">
      <alignment horizontal="left" vertical="center"/>
    </xf>
    <xf numFmtId="0" fontId="33" fillId="16" borderId="31" xfId="0" applyFont="1" applyFill="1" applyBorder="1" applyAlignment="1">
      <alignment horizontal="left" vertical="center"/>
    </xf>
    <xf numFmtId="0" fontId="33" fillId="16" borderId="24" xfId="0" applyFont="1" applyFill="1" applyBorder="1" applyAlignment="1">
      <alignment vertical="center"/>
    </xf>
    <xf numFmtId="170" fontId="0" fillId="16" borderId="25" xfId="2" applyNumberFormat="1" applyFont="1" applyFill="1" applyBorder="1" applyAlignment="1">
      <alignment vertical="center" wrapText="1"/>
    </xf>
    <xf numFmtId="0" fontId="33" fillId="16" borderId="25" xfId="0" applyFont="1" applyFill="1" applyBorder="1" applyAlignment="1">
      <alignment vertical="center"/>
    </xf>
    <xf numFmtId="0" fontId="0" fillId="16" borderId="25" xfId="0" applyFill="1" applyBorder="1" applyAlignment="1">
      <alignment vertical="center"/>
    </xf>
    <xf numFmtId="0" fontId="0" fillId="16" borderId="26" xfId="0" applyFill="1" applyBorder="1" applyAlignment="1">
      <alignment vertical="center"/>
    </xf>
    <xf numFmtId="0" fontId="33" fillId="16" borderId="28" xfId="0" applyFont="1" applyFill="1" applyBorder="1" applyAlignment="1">
      <alignment horizontal="justify" vertical="center"/>
    </xf>
    <xf numFmtId="9" fontId="0" fillId="16" borderId="31" xfId="1" applyFont="1" applyFill="1" applyBorder="1"/>
    <xf numFmtId="9" fontId="0" fillId="16" borderId="25" xfId="0" applyNumberFormat="1" applyFill="1" applyBorder="1"/>
    <xf numFmtId="0" fontId="0" fillId="16" borderId="25" xfId="0" quotePrefix="1" applyFill="1" applyBorder="1"/>
    <xf numFmtId="44" fontId="0" fillId="16" borderId="28" xfId="0" applyNumberFormat="1" applyFill="1" applyBorder="1"/>
    <xf numFmtId="0" fontId="130" fillId="16" borderId="0" xfId="7" applyFill="1" applyBorder="1" applyAlignment="1">
      <alignment vertical="center"/>
    </xf>
    <xf numFmtId="0" fontId="0" fillId="16" borderId="24" xfId="0" applyFill="1" applyBorder="1" applyAlignment="1">
      <alignment vertical="center"/>
    </xf>
    <xf numFmtId="0" fontId="0" fillId="16" borderId="27" xfId="0" applyFill="1" applyBorder="1" applyAlignment="1">
      <alignment vertical="top"/>
    </xf>
    <xf numFmtId="0" fontId="0" fillId="16" borderId="28" xfId="0" applyFill="1" applyBorder="1" applyAlignment="1">
      <alignment vertical="top"/>
    </xf>
    <xf numFmtId="0" fontId="0" fillId="16" borderId="30" xfId="0" applyFill="1" applyBorder="1" applyAlignment="1">
      <alignment vertical="top"/>
    </xf>
    <xf numFmtId="0" fontId="0" fillId="16" borderId="29" xfId="0" applyFill="1" applyBorder="1" applyAlignment="1">
      <alignment vertical="top"/>
    </xf>
    <xf numFmtId="0" fontId="0" fillId="16" borderId="32" xfId="0" applyFill="1" applyBorder="1" applyAlignment="1">
      <alignment vertical="top"/>
    </xf>
    <xf numFmtId="10" fontId="0" fillId="16" borderId="0" xfId="0" applyNumberFormat="1" applyFill="1"/>
    <xf numFmtId="10" fontId="0" fillId="0" borderId="28" xfId="0" applyNumberFormat="1" applyBorder="1" applyAlignment="1">
      <alignment vertical="center"/>
    </xf>
    <xf numFmtId="169" fontId="0" fillId="16" borderId="45" xfId="1" applyNumberFormat="1" applyFont="1" applyFill="1" applyBorder="1"/>
    <xf numFmtId="0" fontId="32" fillId="18" borderId="0" xfId="0" applyFont="1" applyFill="1"/>
    <xf numFmtId="0" fontId="0" fillId="16" borderId="1" xfId="0" applyFill="1" applyBorder="1" applyAlignment="1">
      <alignment vertical="center"/>
    </xf>
    <xf numFmtId="14" fontId="8" fillId="0" borderId="0" xfId="0" applyNumberFormat="1" applyFont="1"/>
    <xf numFmtId="14" fontId="0" fillId="0" borderId="0" xfId="0" applyNumberFormat="1"/>
    <xf numFmtId="0" fontId="8" fillId="19" borderId="26" xfId="0" applyFont="1" applyFill="1" applyBorder="1" applyAlignment="1">
      <alignment horizontal="center" vertical="center" wrapText="1"/>
    </xf>
    <xf numFmtId="9" fontId="8" fillId="19" borderId="25" xfId="1" applyFont="1" applyFill="1" applyBorder="1"/>
    <xf numFmtId="0" fontId="0" fillId="16" borderId="27" xfId="0" quotePrefix="1" applyFill="1" applyBorder="1"/>
    <xf numFmtId="0" fontId="78" fillId="16" borderId="54" xfId="0" applyFont="1" applyFill="1" applyBorder="1" applyAlignment="1">
      <alignment horizontal="center"/>
    </xf>
    <xf numFmtId="0" fontId="78" fillId="16" borderId="26" xfId="0" applyFont="1" applyFill="1" applyBorder="1" applyAlignment="1">
      <alignment horizontal="center"/>
    </xf>
    <xf numFmtId="5" fontId="0" fillId="16" borderId="0" xfId="0" applyNumberFormat="1" applyFill="1"/>
    <xf numFmtId="43" fontId="28" fillId="21" borderId="54" xfId="2" applyFont="1" applyFill="1" applyBorder="1"/>
    <xf numFmtId="0" fontId="21" fillId="16" borderId="28" xfId="0" applyFont="1" applyFill="1" applyBorder="1"/>
    <xf numFmtId="43" fontId="0" fillId="16" borderId="32" xfId="0" applyNumberFormat="1" applyFill="1" applyBorder="1"/>
    <xf numFmtId="43" fontId="8" fillId="16" borderId="31" xfId="0" applyNumberFormat="1" applyFont="1" applyFill="1" applyBorder="1"/>
    <xf numFmtId="9" fontId="8" fillId="21" borderId="54" xfId="2" applyNumberFormat="1" applyFont="1" applyFill="1" applyBorder="1"/>
    <xf numFmtId="179" fontId="0" fillId="21" borderId="54" xfId="2" applyNumberFormat="1" applyFont="1" applyFill="1" applyBorder="1"/>
    <xf numFmtId="170" fontId="0" fillId="21" borderId="54" xfId="2" applyNumberFormat="1" applyFont="1" applyFill="1" applyBorder="1"/>
    <xf numFmtId="0" fontId="32" fillId="26" borderId="24" xfId="0" applyFont="1" applyFill="1" applyBorder="1" applyAlignment="1">
      <alignment vertical="center"/>
    </xf>
    <xf numFmtId="0" fontId="32" fillId="26" borderId="25" xfId="0" applyFont="1" applyFill="1" applyBorder="1" applyAlignment="1">
      <alignment vertical="center"/>
    </xf>
    <xf numFmtId="0" fontId="32" fillId="26" borderId="54" xfId="0" applyFont="1" applyFill="1" applyBorder="1" applyAlignment="1">
      <alignment vertical="center"/>
    </xf>
    <xf numFmtId="0" fontId="32" fillId="26" borderId="54" xfId="0" applyFont="1" applyFill="1" applyBorder="1" applyAlignment="1">
      <alignment vertical="center" wrapText="1"/>
    </xf>
    <xf numFmtId="170" fontId="32" fillId="26" borderId="25" xfId="2" applyNumberFormat="1" applyFont="1" applyFill="1" applyBorder="1" applyAlignment="1">
      <alignment vertical="center"/>
    </xf>
    <xf numFmtId="0" fontId="134" fillId="30" borderId="27" xfId="0" applyFont="1" applyFill="1" applyBorder="1" applyAlignment="1">
      <alignment horizontal="center" vertical="center" wrapText="1"/>
    </xf>
    <xf numFmtId="0" fontId="134" fillId="30" borderId="98" xfId="0" applyFont="1" applyFill="1" applyBorder="1" applyAlignment="1">
      <alignment horizontal="center" vertical="center" wrapText="1"/>
    </xf>
    <xf numFmtId="0" fontId="135" fillId="0" borderId="101" xfId="0" applyFont="1" applyBorder="1" applyAlignment="1">
      <alignment horizontal="center" vertical="center"/>
    </xf>
    <xf numFmtId="0" fontId="135" fillId="0" borderId="102" xfId="0" applyFont="1" applyBorder="1" applyAlignment="1">
      <alignment horizontal="center" vertical="center" wrapText="1"/>
    </xf>
    <xf numFmtId="0" fontId="136" fillId="0" borderId="102" xfId="0" applyFont="1" applyBorder="1" applyAlignment="1">
      <alignment horizontal="center" vertical="center" wrapText="1"/>
    </xf>
    <xf numFmtId="0" fontId="137" fillId="0" borderId="102" xfId="0" applyFont="1" applyBorder="1" applyAlignment="1">
      <alignment horizontal="center" vertical="center" wrapText="1"/>
    </xf>
    <xf numFmtId="0" fontId="136" fillId="0" borderId="103" xfId="0" applyFont="1" applyBorder="1" applyAlignment="1">
      <alignment horizontal="center" vertical="center" wrapText="1"/>
    </xf>
    <xf numFmtId="0" fontId="135" fillId="29" borderId="102" xfId="0" applyFont="1" applyFill="1" applyBorder="1" applyAlignment="1">
      <alignment horizontal="center" vertical="center" wrapText="1"/>
    </xf>
    <xf numFmtId="0" fontId="136" fillId="29" borderId="102" xfId="0" applyFont="1" applyFill="1" applyBorder="1" applyAlignment="1">
      <alignment horizontal="center" vertical="center" wrapText="1"/>
    </xf>
    <xf numFmtId="0" fontId="137" fillId="29" borderId="102" xfId="0" applyFont="1" applyFill="1" applyBorder="1" applyAlignment="1">
      <alignment horizontal="center" vertical="center" wrapText="1"/>
    </xf>
    <xf numFmtId="0" fontId="136" fillId="29" borderId="103" xfId="0" applyFont="1" applyFill="1" applyBorder="1" applyAlignment="1">
      <alignment horizontal="center" vertical="center" wrapText="1"/>
    </xf>
    <xf numFmtId="0" fontId="30" fillId="26" borderId="54" xfId="0" applyFont="1" applyFill="1" applyBorder="1"/>
    <xf numFmtId="0" fontId="135" fillId="0" borderId="31" xfId="0" applyFont="1" applyBorder="1" applyAlignment="1">
      <alignment horizontal="center" vertical="center" wrapText="1"/>
    </xf>
    <xf numFmtId="0" fontId="136" fillId="0" borderId="31" xfId="0" applyFont="1" applyBorder="1" applyAlignment="1">
      <alignment horizontal="center" vertical="center" wrapText="1"/>
    </xf>
    <xf numFmtId="0" fontId="137" fillId="0" borderId="31" xfId="0" applyFont="1" applyBorder="1" applyAlignment="1">
      <alignment horizontal="center" vertical="center" wrapText="1"/>
    </xf>
    <xf numFmtId="0" fontId="136" fillId="0" borderId="32" xfId="0" applyFont="1" applyBorder="1" applyAlignment="1">
      <alignment horizontal="center" vertical="center" wrapText="1"/>
    </xf>
    <xf numFmtId="0" fontId="134" fillId="30" borderId="82" xfId="0" applyFont="1" applyFill="1" applyBorder="1" applyAlignment="1">
      <alignment horizontal="center" vertical="center" wrapText="1"/>
    </xf>
    <xf numFmtId="0" fontId="135" fillId="0" borderId="50" xfId="0" applyFont="1" applyBorder="1" applyAlignment="1">
      <alignment horizontal="center" vertical="center" wrapText="1"/>
    </xf>
    <xf numFmtId="0" fontId="135" fillId="0" borderId="1" xfId="0" applyFont="1" applyBorder="1" applyAlignment="1">
      <alignment horizontal="center" vertical="center" wrapText="1"/>
    </xf>
    <xf numFmtId="0" fontId="136" fillId="0" borderId="1" xfId="0" applyFont="1" applyBorder="1" applyAlignment="1">
      <alignment horizontal="center" vertical="center" wrapText="1"/>
    </xf>
    <xf numFmtId="0" fontId="137" fillId="0" borderId="1" xfId="0" applyFont="1" applyBorder="1" applyAlignment="1">
      <alignment horizontal="center" vertical="center" wrapText="1"/>
    </xf>
    <xf numFmtId="0" fontId="136" fillId="0" borderId="51" xfId="0" applyFont="1" applyBorder="1" applyAlignment="1">
      <alignment horizontal="center" vertical="center" wrapText="1"/>
    </xf>
    <xf numFmtId="0" fontId="135" fillId="29" borderId="1" xfId="0" applyFont="1" applyFill="1" applyBorder="1" applyAlignment="1">
      <alignment horizontal="center" vertical="center" wrapText="1"/>
    </xf>
    <xf numFmtId="0" fontId="136" fillId="29" borderId="1" xfId="0" applyFont="1" applyFill="1" applyBorder="1" applyAlignment="1">
      <alignment horizontal="center" vertical="center" wrapText="1"/>
    </xf>
    <xf numFmtId="0" fontId="137" fillId="29" borderId="1" xfId="0" applyFont="1" applyFill="1" applyBorder="1" applyAlignment="1">
      <alignment horizontal="center" vertical="center" wrapText="1"/>
    </xf>
    <xf numFmtId="0" fontId="136" fillId="29" borderId="51" xfId="0" applyFont="1" applyFill="1" applyBorder="1" applyAlignment="1">
      <alignment horizontal="center" vertical="center" wrapText="1"/>
    </xf>
    <xf numFmtId="0" fontId="138" fillId="0" borderId="1" xfId="0" applyFont="1" applyBorder="1" applyAlignment="1">
      <alignment horizontal="center" vertical="center" wrapText="1"/>
    </xf>
    <xf numFmtId="0" fontId="138" fillId="29" borderId="1" xfId="0" applyFont="1" applyFill="1" applyBorder="1" applyAlignment="1">
      <alignment horizontal="center" vertical="center" wrapText="1"/>
    </xf>
    <xf numFmtId="0" fontId="135" fillId="0" borderId="45" xfId="0" applyFont="1" applyBorder="1" applyAlignment="1">
      <alignment horizontal="center" vertical="center" wrapText="1"/>
    </xf>
    <xf numFmtId="0" fontId="136" fillId="0" borderId="45" xfId="0" applyFont="1" applyBorder="1" applyAlignment="1">
      <alignment horizontal="center" vertical="center" wrapText="1"/>
    </xf>
    <xf numFmtId="0" fontId="137" fillId="0" borderId="45" xfId="0" applyFont="1" applyBorder="1" applyAlignment="1">
      <alignment horizontal="center" vertical="center" wrapText="1"/>
    </xf>
    <xf numFmtId="0" fontId="136" fillId="0" borderId="53" xfId="0" applyFont="1" applyBorder="1" applyAlignment="1">
      <alignment horizontal="center" vertical="center" wrapText="1"/>
    </xf>
    <xf numFmtId="0" fontId="136" fillId="0" borderId="50" xfId="0" applyFont="1" applyBorder="1" applyAlignment="1">
      <alignment horizontal="center" vertical="center" wrapText="1"/>
    </xf>
    <xf numFmtId="0" fontId="135" fillId="29" borderId="45" xfId="0" applyFont="1" applyFill="1" applyBorder="1" applyAlignment="1">
      <alignment horizontal="center" vertical="center" wrapText="1"/>
    </xf>
    <xf numFmtId="0" fontId="136" fillId="29" borderId="45" xfId="0" applyFont="1" applyFill="1" applyBorder="1" applyAlignment="1">
      <alignment horizontal="center" vertical="center" wrapText="1"/>
    </xf>
    <xf numFmtId="0" fontId="137" fillId="29" borderId="45" xfId="0" applyFont="1" applyFill="1" applyBorder="1" applyAlignment="1">
      <alignment horizontal="center" vertical="center" wrapText="1"/>
    </xf>
    <xf numFmtId="0" fontId="136" fillId="29" borderId="53" xfId="0" applyFont="1" applyFill="1" applyBorder="1" applyAlignment="1">
      <alignment horizontal="center" vertical="center" wrapText="1"/>
    </xf>
    <xf numFmtId="175" fontId="8" fillId="21" borderId="54" xfId="2" applyNumberFormat="1" applyFont="1" applyFill="1" applyBorder="1"/>
    <xf numFmtId="0" fontId="134" fillId="30" borderId="48" xfId="0" applyFont="1" applyFill="1" applyBorder="1" applyAlignment="1">
      <alignment horizontal="center" vertical="center" wrapText="1"/>
    </xf>
    <xf numFmtId="0" fontId="134" fillId="30" borderId="49" xfId="0" applyFont="1" applyFill="1" applyBorder="1" applyAlignment="1">
      <alignment horizontal="center" vertical="center" wrapText="1"/>
    </xf>
    <xf numFmtId="0" fontId="135" fillId="0" borderId="50" xfId="0" applyFont="1" applyBorder="1" applyAlignment="1">
      <alignment horizontal="center" vertical="center"/>
    </xf>
    <xf numFmtId="0" fontId="135" fillId="0" borderId="51" xfId="0" applyFont="1" applyBorder="1" applyAlignment="1">
      <alignment horizontal="center" vertical="center" wrapText="1"/>
    </xf>
    <xf numFmtId="0" fontId="135" fillId="29" borderId="50" xfId="0" applyFont="1" applyFill="1" applyBorder="1" applyAlignment="1">
      <alignment horizontal="center" vertical="center"/>
    </xf>
    <xf numFmtId="0" fontId="135" fillId="29" borderId="51" xfId="0" applyFont="1" applyFill="1" applyBorder="1" applyAlignment="1">
      <alignment horizontal="center" vertical="center" wrapText="1"/>
    </xf>
    <xf numFmtId="3" fontId="135" fillId="29" borderId="1" xfId="0" applyNumberFormat="1" applyFont="1" applyFill="1" applyBorder="1" applyAlignment="1">
      <alignment horizontal="center" vertical="center" wrapText="1"/>
    </xf>
    <xf numFmtId="3" fontId="135" fillId="0" borderId="50" xfId="0" applyNumberFormat="1" applyFont="1" applyBorder="1" applyAlignment="1">
      <alignment horizontal="center" vertical="center" wrapText="1"/>
    </xf>
    <xf numFmtId="3" fontId="135" fillId="0" borderId="1" xfId="0" applyNumberFormat="1" applyFont="1" applyBorder="1" applyAlignment="1">
      <alignment horizontal="center" vertical="center" wrapText="1"/>
    </xf>
    <xf numFmtId="0" fontId="135" fillId="0" borderId="53" xfId="0" applyFont="1" applyBorder="1" applyAlignment="1">
      <alignment horizontal="center" vertical="center" wrapText="1"/>
    </xf>
    <xf numFmtId="0" fontId="8" fillId="16" borderId="32" xfId="0" applyFont="1" applyFill="1" applyBorder="1"/>
    <xf numFmtId="0" fontId="1" fillId="0" borderId="0" xfId="0" applyFont="1"/>
    <xf numFmtId="0" fontId="1" fillId="10" borderId="0" xfId="0" applyFont="1" applyFill="1"/>
    <xf numFmtId="0" fontId="4" fillId="31" borderId="1" xfId="0" applyFont="1" applyFill="1" applyBorder="1" applyAlignment="1">
      <alignment horizontal="center" vertical="center" wrapText="1"/>
    </xf>
    <xf numFmtId="0" fontId="1" fillId="0" borderId="0" xfId="0" applyFont="1" applyAlignment="1">
      <alignment horizontal="center" vertical="center" wrapText="1"/>
    </xf>
    <xf numFmtId="0" fontId="7" fillId="31" borderId="1" xfId="0" applyFont="1" applyFill="1" applyBorder="1" applyAlignment="1">
      <alignment horizontal="center" vertical="center" wrapText="1"/>
    </xf>
    <xf numFmtId="0" fontId="5"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19" fillId="0" borderId="1" xfId="0" applyFont="1" applyBorder="1" applyAlignment="1">
      <alignment vertical="center"/>
    </xf>
    <xf numFmtId="0" fontId="19" fillId="0" borderId="3" xfId="0" applyFont="1" applyBorder="1" applyAlignment="1">
      <alignment vertical="center"/>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0" applyFont="1" applyAlignment="1">
      <alignment vertical="center" wrapText="1"/>
    </xf>
    <xf numFmtId="3" fontId="4" fillId="0" borderId="1" xfId="0" applyNumberFormat="1" applyFont="1" applyBorder="1" applyAlignment="1">
      <alignment horizontal="center" vertical="center" wrapText="1"/>
    </xf>
    <xf numFmtId="0" fontId="21"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vertical="center"/>
    </xf>
    <xf numFmtId="0" fontId="20" fillId="0" borderId="1" xfId="0" applyFont="1" applyBorder="1" applyAlignment="1">
      <alignment vertical="center"/>
    </xf>
    <xf numFmtId="0" fontId="20" fillId="0" borderId="3" xfId="0" applyFont="1" applyBorder="1" applyAlignment="1">
      <alignment vertical="center"/>
    </xf>
    <xf numFmtId="0" fontId="21" fillId="0" borderId="5" xfId="0" applyFont="1" applyBorder="1" applyAlignment="1">
      <alignment horizontal="center" vertical="center"/>
    </xf>
    <xf numFmtId="0" fontId="21" fillId="0" borderId="1" xfId="0" applyFont="1" applyBorder="1" applyAlignment="1">
      <alignment horizontal="center" vertical="center"/>
    </xf>
    <xf numFmtId="0" fontId="5" fillId="0" borderId="2" xfId="0" applyFont="1" applyBorder="1" applyAlignment="1">
      <alignment vertical="center"/>
    </xf>
    <xf numFmtId="0" fontId="0" fillId="0" borderId="2" xfId="0" applyBorder="1" applyAlignment="1">
      <alignment horizontal="center" vertical="center"/>
    </xf>
    <xf numFmtId="0" fontId="0" fillId="0" borderId="2" xfId="0" applyBorder="1" applyAlignment="1">
      <alignment vertical="center"/>
    </xf>
    <xf numFmtId="0" fontId="20" fillId="0" borderId="2" xfId="0" applyFont="1" applyBorder="1" applyAlignment="1">
      <alignment vertical="center"/>
    </xf>
    <xf numFmtId="0" fontId="20" fillId="0" borderId="8" xfId="0" applyFont="1" applyBorder="1" applyAlignment="1">
      <alignment vertical="center"/>
    </xf>
    <xf numFmtId="0" fontId="22" fillId="0" borderId="12" xfId="0" applyFont="1" applyBorder="1" applyAlignment="1">
      <alignment horizontal="center" vertical="center"/>
    </xf>
    <xf numFmtId="0" fontId="22" fillId="0" borderId="10" xfId="0" applyFont="1" applyBorder="1" applyAlignment="1">
      <alignment horizontal="center" vertical="center"/>
    </xf>
    <xf numFmtId="0" fontId="22" fillId="0" borderId="10" xfId="0" applyFont="1" applyBorder="1" applyAlignment="1">
      <alignment vertical="center"/>
    </xf>
    <xf numFmtId="0" fontId="5" fillId="0" borderId="11" xfId="0" applyFont="1" applyBorder="1" applyAlignment="1">
      <alignment vertical="center"/>
    </xf>
    <xf numFmtId="3" fontId="5" fillId="9" borderId="11" xfId="0" applyNumberFormat="1" applyFont="1" applyFill="1" applyBorder="1" applyAlignment="1">
      <alignment vertical="center"/>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31" borderId="1" xfId="0" applyFont="1" applyFill="1" applyBorder="1" applyAlignment="1">
      <alignment horizontal="center" vertical="center"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3" fontId="1" fillId="0" borderId="1" xfId="0" applyNumberFormat="1" applyFont="1" applyBorder="1" applyAlignment="1">
      <alignment horizontal="center" wrapText="1"/>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0" fillId="16" borderId="0" xfId="0" applyFill="1" applyAlignment="1">
      <alignment horizontal="left" vertical="top" wrapText="1"/>
    </xf>
    <xf numFmtId="0" fontId="0" fillId="16" borderId="34" xfId="0" applyFill="1" applyBorder="1" applyAlignment="1">
      <alignment horizontal="left" vertical="top" wrapText="1"/>
    </xf>
    <xf numFmtId="0" fontId="36" fillId="17" borderId="2" xfId="0" applyFont="1" applyFill="1" applyBorder="1" applyAlignment="1">
      <alignment horizontal="center" vertical="center" wrapText="1"/>
    </xf>
    <xf numFmtId="10" fontId="39" fillId="16" borderId="1" xfId="1" applyNumberFormat="1" applyFont="1" applyFill="1" applyBorder="1" applyAlignment="1">
      <alignment wrapText="1"/>
    </xf>
    <xf numFmtId="10" fontId="0" fillId="0" borderId="0" xfId="1" applyNumberFormat="1" applyFont="1"/>
    <xf numFmtId="0" fontId="77" fillId="20" borderId="55" xfId="0" applyFont="1" applyFill="1" applyBorder="1" applyAlignment="1">
      <alignment horizontal="center" vertical="center"/>
    </xf>
    <xf numFmtId="0" fontId="139" fillId="16" borderId="55" xfId="0" applyFont="1" applyFill="1" applyBorder="1" applyAlignment="1">
      <alignment vertical="center"/>
    </xf>
    <xf numFmtId="0" fontId="140" fillId="16" borderId="29" xfId="0" applyFont="1" applyFill="1" applyBorder="1" applyAlignment="1">
      <alignment horizontal="left" vertical="center"/>
    </xf>
    <xf numFmtId="0" fontId="140" fillId="16" borderId="26" xfId="0" applyFont="1" applyFill="1" applyBorder="1" applyAlignment="1">
      <alignment horizontal="left" vertical="center"/>
    </xf>
    <xf numFmtId="0" fontId="140" fillId="16" borderId="32" xfId="0" applyFont="1" applyFill="1" applyBorder="1" applyAlignment="1">
      <alignment horizontal="left" vertical="center"/>
    </xf>
    <xf numFmtId="0" fontId="140" fillId="16" borderId="34" xfId="0" applyFont="1" applyFill="1" applyBorder="1" applyAlignment="1">
      <alignment horizontal="left" vertical="center"/>
    </xf>
    <xf numFmtId="0" fontId="140" fillId="16" borderId="54" xfId="0" applyFont="1" applyFill="1" applyBorder="1" applyAlignment="1">
      <alignment horizontal="left" vertical="center"/>
    </xf>
    <xf numFmtId="0" fontId="140" fillId="16" borderId="37" xfId="0" applyFont="1" applyFill="1" applyBorder="1" applyAlignment="1">
      <alignment horizontal="left" vertical="center"/>
    </xf>
    <xf numFmtId="0" fontId="139" fillId="16" borderId="54" xfId="0" applyFont="1" applyFill="1" applyBorder="1" applyAlignment="1">
      <alignment vertical="center"/>
    </xf>
    <xf numFmtId="0" fontId="0" fillId="23" borderId="54" xfId="0" applyFill="1" applyBorder="1" applyAlignment="1">
      <alignment vertical="top"/>
    </xf>
    <xf numFmtId="0" fontId="73" fillId="23" borderId="26" xfId="0" applyFont="1" applyFill="1" applyBorder="1" applyAlignment="1">
      <alignment horizontal="center" vertical="center"/>
    </xf>
    <xf numFmtId="0" fontId="73" fillId="23" borderId="26" xfId="0" applyFont="1" applyFill="1" applyBorder="1" applyAlignment="1">
      <alignment horizontal="center" vertical="center" wrapText="1"/>
    </xf>
    <xf numFmtId="0" fontId="73" fillId="23" borderId="37" xfId="0" applyFont="1" applyFill="1" applyBorder="1" applyAlignment="1">
      <alignment horizontal="left" vertical="center"/>
    </xf>
    <xf numFmtId="0" fontId="77" fillId="20" borderId="1" xfId="0" applyFont="1" applyFill="1" applyBorder="1"/>
    <xf numFmtId="0" fontId="77" fillId="20" borderId="16" xfId="0" applyFont="1" applyFill="1" applyBorder="1"/>
    <xf numFmtId="0" fontId="73" fillId="23" borderId="32" xfId="0" applyFont="1" applyFill="1" applyBorder="1" applyAlignment="1">
      <alignment horizontal="center" vertical="center" wrapText="1"/>
    </xf>
    <xf numFmtId="0" fontId="142" fillId="16" borderId="32" xfId="0" applyFont="1" applyFill="1" applyBorder="1" applyAlignment="1">
      <alignment horizontal="center" vertical="center"/>
    </xf>
    <xf numFmtId="0" fontId="142" fillId="16" borderId="54" xfId="0" applyFont="1" applyFill="1" applyBorder="1" applyAlignment="1">
      <alignment horizontal="center" vertical="center"/>
    </xf>
    <xf numFmtId="0" fontId="142" fillId="16" borderId="55" xfId="0" applyFont="1" applyFill="1" applyBorder="1" applyAlignment="1">
      <alignment vertical="center" wrapText="1"/>
    </xf>
    <xf numFmtId="0" fontId="142" fillId="16" borderId="54" xfId="0" applyFont="1" applyFill="1" applyBorder="1" applyAlignment="1">
      <alignment vertical="center" wrapText="1"/>
    </xf>
    <xf numFmtId="0" fontId="142" fillId="16" borderId="37" xfId="0" applyFont="1" applyFill="1" applyBorder="1" applyAlignment="1">
      <alignment vertical="center" wrapText="1"/>
    </xf>
    <xf numFmtId="2" fontId="31" fillId="16" borderId="0" xfId="0" applyNumberFormat="1" applyFont="1" applyFill="1"/>
    <xf numFmtId="0" fontId="73" fillId="23" borderId="1" xfId="0" applyFont="1" applyFill="1" applyBorder="1" applyAlignment="1">
      <alignment horizontal="left" vertical="center"/>
    </xf>
    <xf numFmtId="0" fontId="0" fillId="19" borderId="18" xfId="0" applyFill="1" applyBorder="1" applyAlignment="1">
      <alignment vertical="center" wrapText="1"/>
    </xf>
    <xf numFmtId="0" fontId="8" fillId="19" borderId="17" xfId="0" applyFont="1" applyFill="1" applyBorder="1" applyAlignment="1">
      <alignment vertical="center" wrapText="1"/>
    </xf>
    <xf numFmtId="0" fontId="8" fillId="19" borderId="18" xfId="0" applyFont="1" applyFill="1" applyBorder="1" applyAlignment="1">
      <alignment vertical="center" wrapText="1"/>
    </xf>
    <xf numFmtId="0" fontId="39" fillId="16" borderId="107" xfId="0" applyFont="1" applyFill="1" applyBorder="1" applyAlignment="1">
      <alignment wrapText="1"/>
    </xf>
    <xf numFmtId="0" fontId="0" fillId="16" borderId="107" xfId="0" applyFill="1" applyBorder="1"/>
    <xf numFmtId="1" fontId="0" fillId="16" borderId="17" xfId="0" applyNumberFormat="1" applyFill="1" applyBorder="1" applyAlignment="1">
      <alignment horizontal="center" wrapText="1"/>
    </xf>
    <xf numFmtId="44" fontId="0" fillId="16" borderId="17" xfId="3" applyFont="1" applyFill="1" applyBorder="1" applyAlignment="1">
      <alignment horizontal="center" wrapText="1"/>
    </xf>
    <xf numFmtId="167" fontId="0" fillId="16" borderId="17" xfId="2" applyNumberFormat="1" applyFont="1" applyFill="1" applyBorder="1"/>
    <xf numFmtId="0" fontId="0" fillId="16" borderId="2" xfId="1" applyNumberFormat="1" applyFont="1" applyFill="1" applyBorder="1"/>
    <xf numFmtId="0" fontId="0" fillId="16" borderId="108" xfId="0" applyFill="1" applyBorder="1"/>
    <xf numFmtId="0" fontId="39" fillId="16" borderId="17" xfId="0" applyFont="1" applyFill="1" applyBorder="1" applyAlignment="1">
      <alignment wrapText="1"/>
    </xf>
    <xf numFmtId="9" fontId="33" fillId="16" borderId="17" xfId="1" applyFont="1" applyFill="1" applyBorder="1" applyAlignment="1">
      <alignment wrapText="1"/>
    </xf>
    <xf numFmtId="0" fontId="33" fillId="16" borderId="17" xfId="1" applyNumberFormat="1" applyFont="1" applyFill="1" applyBorder="1" applyAlignment="1">
      <alignment wrapText="1"/>
    </xf>
    <xf numFmtId="0" fontId="33" fillId="16" borderId="17" xfId="0" applyFont="1" applyFill="1" applyBorder="1" applyAlignment="1">
      <alignment wrapText="1"/>
    </xf>
    <xf numFmtId="10" fontId="87" fillId="16" borderId="17" xfId="1" applyNumberFormat="1" applyFont="1" applyFill="1" applyBorder="1"/>
    <xf numFmtId="10" fontId="0" fillId="16" borderId="17" xfId="1" applyNumberFormat="1" applyFont="1" applyFill="1" applyBorder="1"/>
    <xf numFmtId="169" fontId="0" fillId="16" borderId="17" xfId="1" applyNumberFormat="1" applyFont="1" applyFill="1" applyBorder="1"/>
    <xf numFmtId="10" fontId="0" fillId="0" borderId="0" xfId="1" applyNumberFormat="1" applyFont="1" applyBorder="1"/>
    <xf numFmtId="0" fontId="0" fillId="0" borderId="0" xfId="1" applyNumberFormat="1" applyFont="1" applyBorder="1"/>
    <xf numFmtId="0" fontId="117" fillId="16" borderId="30" xfId="0" applyFont="1" applyFill="1" applyBorder="1"/>
    <xf numFmtId="0" fontId="0" fillId="16" borderId="0" xfId="0" quotePrefix="1" applyFill="1" applyAlignment="1">
      <alignment vertical="top"/>
    </xf>
    <xf numFmtId="0" fontId="0" fillId="0" borderId="0" xfId="0" applyAlignment="1">
      <alignment horizontal="left" vertical="top" wrapText="1"/>
    </xf>
    <xf numFmtId="0" fontId="64" fillId="33" borderId="34" xfId="0" applyFont="1" applyFill="1" applyBorder="1" applyAlignment="1">
      <alignment horizontal="center" vertical="center" wrapText="1"/>
    </xf>
    <xf numFmtId="0" fontId="77" fillId="34" borderId="0" xfId="0" applyFont="1" applyFill="1" applyAlignment="1">
      <alignment vertical="center"/>
    </xf>
    <xf numFmtId="0" fontId="0" fillId="25" borderId="27" xfId="0" applyFill="1" applyBorder="1"/>
    <xf numFmtId="0" fontId="0" fillId="25" borderId="29" xfId="0" applyFill="1" applyBorder="1"/>
    <xf numFmtId="0" fontId="36" fillId="17" borderId="37" xfId="0" applyFont="1" applyFill="1" applyBorder="1" applyAlignment="1">
      <alignment horizontal="center" vertical="center"/>
    </xf>
    <xf numFmtId="0" fontId="36" fillId="17" borderId="32" xfId="0" applyFont="1" applyFill="1" applyBorder="1" applyAlignment="1">
      <alignment horizontal="center" vertical="center"/>
    </xf>
    <xf numFmtId="170" fontId="33" fillId="16" borderId="17" xfId="2" applyNumberFormat="1" applyFont="1" applyFill="1" applyBorder="1" applyAlignment="1">
      <alignment wrapText="1"/>
    </xf>
    <xf numFmtId="43" fontId="34" fillId="16" borderId="17" xfId="2" applyFont="1" applyFill="1" applyBorder="1"/>
    <xf numFmtId="170" fontId="39" fillId="16" borderId="17" xfId="2" applyNumberFormat="1" applyFont="1" applyFill="1" applyBorder="1" applyAlignment="1">
      <alignment wrapText="1"/>
    </xf>
    <xf numFmtId="43" fontId="39" fillId="16" borderId="17" xfId="2" applyFont="1" applyFill="1" applyBorder="1" applyAlignment="1">
      <alignment wrapText="1"/>
    </xf>
    <xf numFmtId="170" fontId="39" fillId="16" borderId="19" xfId="2" applyNumberFormat="1" applyFont="1" applyFill="1" applyBorder="1" applyAlignment="1">
      <alignment wrapText="1"/>
    </xf>
    <xf numFmtId="0" fontId="51" fillId="16" borderId="35" xfId="0" applyFont="1" applyFill="1" applyBorder="1"/>
    <xf numFmtId="0" fontId="8" fillId="19" borderId="18" xfId="0" applyFont="1" applyFill="1" applyBorder="1"/>
    <xf numFmtId="0" fontId="8" fillId="19" borderId="18" xfId="0" applyFont="1" applyFill="1" applyBorder="1" applyAlignment="1">
      <alignment horizontal="center"/>
    </xf>
    <xf numFmtId="0" fontId="38" fillId="19" borderId="18" xfId="0" applyFont="1" applyFill="1" applyBorder="1" applyAlignment="1">
      <alignment horizontal="center"/>
    </xf>
    <xf numFmtId="0" fontId="8" fillId="19" borderId="23" xfId="0" applyFont="1" applyFill="1" applyBorder="1" applyAlignment="1">
      <alignment horizontal="center"/>
    </xf>
    <xf numFmtId="10" fontId="39" fillId="19" borderId="17" xfId="1" applyNumberFormat="1" applyFont="1" applyFill="1" applyBorder="1" applyAlignment="1">
      <alignment wrapText="1"/>
    </xf>
    <xf numFmtId="0" fontId="39" fillId="19" borderId="17" xfId="0" applyFont="1" applyFill="1" applyBorder="1" applyAlignment="1">
      <alignment wrapText="1"/>
    </xf>
    <xf numFmtId="0" fontId="39" fillId="19" borderId="19" xfId="0" applyFont="1" applyFill="1" applyBorder="1" applyAlignment="1">
      <alignment wrapText="1"/>
    </xf>
    <xf numFmtId="0" fontId="0" fillId="0" borderId="0" xfId="0" applyAlignment="1">
      <alignment vertical="top"/>
    </xf>
    <xf numFmtId="0" fontId="0" fillId="0" borderId="0" xfId="0" applyAlignment="1">
      <alignment horizontal="left" vertical="top"/>
    </xf>
    <xf numFmtId="0" fontId="0" fillId="20" borderId="50" xfId="0" applyFill="1" applyBorder="1" applyAlignment="1">
      <alignment horizontal="center" vertical="center"/>
    </xf>
    <xf numFmtId="0" fontId="0" fillId="20" borderId="1" xfId="0" applyFill="1" applyBorder="1" applyAlignment="1">
      <alignment horizontal="center" vertical="center"/>
    </xf>
    <xf numFmtId="3" fontId="0" fillId="16" borderId="1" xfId="0" applyNumberFormat="1" applyFill="1" applyBorder="1"/>
    <xf numFmtId="0" fontId="0" fillId="16" borderId="28" xfId="0" applyFill="1" applyBorder="1" applyAlignment="1">
      <alignment vertical="center" wrapText="1"/>
    </xf>
    <xf numFmtId="9" fontId="0" fillId="16" borderId="0" xfId="0" applyNumberFormat="1" applyFill="1" applyAlignment="1">
      <alignment vertical="center"/>
    </xf>
    <xf numFmtId="10" fontId="0" fillId="16" borderId="28" xfId="0" applyNumberFormat="1" applyFill="1" applyBorder="1" applyAlignment="1">
      <alignment vertical="center"/>
    </xf>
    <xf numFmtId="0" fontId="36" fillId="22" borderId="47" xfId="0" applyFont="1" applyFill="1" applyBorder="1" applyAlignment="1">
      <alignment horizontal="center" vertical="center" wrapText="1"/>
    </xf>
    <xf numFmtId="0" fontId="36" fillId="22" borderId="37" xfId="0" applyFont="1" applyFill="1" applyBorder="1" applyAlignment="1">
      <alignment horizontal="center" vertical="center" wrapText="1"/>
    </xf>
    <xf numFmtId="0" fontId="53" fillId="16" borderId="54" xfId="0" applyFont="1" applyFill="1" applyBorder="1" applyAlignment="1">
      <alignment horizontal="left" vertical="center" wrapText="1"/>
    </xf>
    <xf numFmtId="0" fontId="0" fillId="16" borderId="32" xfId="0" applyFill="1" applyBorder="1" applyAlignment="1">
      <alignment horizontal="left" vertical="center" wrapText="1"/>
    </xf>
    <xf numFmtId="0" fontId="0" fillId="19" borderId="1" xfId="0" applyFill="1" applyBorder="1" applyAlignment="1">
      <alignment horizontal="center" vertical="center"/>
    </xf>
    <xf numFmtId="0" fontId="8" fillId="16" borderId="41" xfId="0" applyFont="1" applyFill="1" applyBorder="1" applyAlignment="1">
      <alignment vertical="center" wrapText="1"/>
    </xf>
    <xf numFmtId="0" fontId="0" fillId="16" borderId="17" xfId="0" applyFill="1" applyBorder="1" applyAlignment="1">
      <alignment horizontal="center"/>
    </xf>
    <xf numFmtId="9" fontId="0" fillId="16" borderId="0" xfId="1" applyFont="1" applyFill="1"/>
    <xf numFmtId="9" fontId="0" fillId="16" borderId="0" xfId="1" applyFont="1" applyFill="1" applyAlignment="1">
      <alignment horizontal="center"/>
    </xf>
    <xf numFmtId="167" fontId="0" fillId="16" borderId="0" xfId="2" applyNumberFormat="1" applyFont="1" applyFill="1" applyBorder="1" applyAlignment="1">
      <alignment horizontal="center" wrapText="1"/>
    </xf>
    <xf numFmtId="43" fontId="0" fillId="16" borderId="0" xfId="2" applyFont="1" applyFill="1" applyBorder="1" applyAlignment="1">
      <alignment horizontal="center" wrapText="1"/>
    </xf>
    <xf numFmtId="0" fontId="33" fillId="16" borderId="34" xfId="0" applyFont="1" applyFill="1" applyBorder="1"/>
    <xf numFmtId="0" fontId="33" fillId="16" borderId="32" xfId="0" applyFont="1" applyFill="1" applyBorder="1"/>
    <xf numFmtId="171" fontId="0" fillId="0" borderId="28" xfId="2" applyNumberFormat="1" applyFont="1" applyBorder="1"/>
    <xf numFmtId="0" fontId="33" fillId="0" borderId="31" xfId="0" applyFont="1" applyBorder="1" applyAlignment="1">
      <alignment vertical="top"/>
    </xf>
    <xf numFmtId="0" fontId="33" fillId="16" borderId="51" xfId="0" applyFont="1" applyFill="1" applyBorder="1" applyAlignment="1">
      <alignment horizontal="center" vertical="center" wrapText="1"/>
    </xf>
    <xf numFmtId="6" fontId="0" fillId="16" borderId="0" xfId="0" applyNumberFormat="1" applyFill="1"/>
    <xf numFmtId="0" fontId="77" fillId="20" borderId="1" xfId="0" applyFont="1" applyFill="1" applyBorder="1" applyAlignment="1">
      <alignment horizontal="center" vertical="center" wrapText="1"/>
    </xf>
    <xf numFmtId="0" fontId="77" fillId="20" borderId="1" xfId="0" applyFont="1" applyFill="1" applyBorder="1" applyAlignment="1">
      <alignment horizontal="center"/>
    </xf>
    <xf numFmtId="0" fontId="65" fillId="16" borderId="37" xfId="0" applyFont="1" applyFill="1" applyBorder="1" applyAlignment="1">
      <alignment horizontal="justify" vertical="center" wrapText="1"/>
    </xf>
    <xf numFmtId="0" fontId="65" fillId="16" borderId="37" xfId="0" applyFont="1" applyFill="1" applyBorder="1" applyAlignment="1">
      <alignment horizontal="left" vertical="center" wrapText="1"/>
    </xf>
    <xf numFmtId="170" fontId="60" fillId="16" borderId="37" xfId="2" applyNumberFormat="1" applyFont="1" applyFill="1" applyBorder="1" applyAlignment="1">
      <alignment horizontal="left" vertical="center" wrapText="1"/>
    </xf>
    <xf numFmtId="170" fontId="60" fillId="16" borderId="32" xfId="2" applyNumberFormat="1" applyFont="1" applyFill="1" applyBorder="1" applyAlignment="1">
      <alignment horizontal="left" vertical="center" wrapText="1"/>
    </xf>
    <xf numFmtId="170" fontId="60" fillId="16" borderId="31" xfId="2" applyNumberFormat="1" applyFont="1" applyFill="1" applyBorder="1" applyAlignment="1">
      <alignment horizontal="left" vertical="center" wrapText="1"/>
    </xf>
    <xf numFmtId="170" fontId="0" fillId="16" borderId="54" xfId="2" applyNumberFormat="1" applyFont="1" applyFill="1" applyBorder="1" applyAlignment="1">
      <alignment horizontal="left"/>
    </xf>
    <xf numFmtId="0" fontId="33" fillId="16" borderId="37" xfId="0" applyFont="1" applyFill="1" applyBorder="1" applyAlignment="1">
      <alignment vertical="center"/>
    </xf>
    <xf numFmtId="170" fontId="60" fillId="16" borderId="0" xfId="2" applyNumberFormat="1" applyFont="1" applyFill="1" applyBorder="1" applyAlignment="1">
      <alignment horizontal="left" vertical="center" wrapText="1"/>
    </xf>
    <xf numFmtId="170" fontId="0" fillId="16" borderId="0" xfId="2" applyNumberFormat="1" applyFont="1" applyFill="1" applyBorder="1" applyAlignment="1">
      <alignment horizontal="left"/>
    </xf>
    <xf numFmtId="0" fontId="51" fillId="16" borderId="1" xfId="0" applyFont="1" applyFill="1" applyBorder="1" applyAlignment="1">
      <alignment horizontal="center" vertical="center" wrapText="1"/>
    </xf>
    <xf numFmtId="0" fontId="60" fillId="16" borderId="0" xfId="0" applyFont="1" applyFill="1" applyAlignment="1">
      <alignment horizontal="justify" vertical="center" wrapText="1"/>
    </xf>
    <xf numFmtId="0" fontId="65" fillId="16" borderId="0" xfId="0" applyFont="1" applyFill="1" applyAlignment="1">
      <alignment horizontal="left" vertical="center" wrapText="1"/>
    </xf>
    <xf numFmtId="3" fontId="53" fillId="16" borderId="32" xfId="0" applyNumberFormat="1" applyFont="1" applyFill="1" applyBorder="1" applyAlignment="1">
      <alignment horizontal="center" vertical="center"/>
    </xf>
    <xf numFmtId="0" fontId="33" fillId="0" borderId="0" xfId="0" applyFont="1" applyAlignment="1">
      <alignment horizontal="left" wrapText="1"/>
    </xf>
    <xf numFmtId="169" fontId="0" fillId="0" borderId="0" xfId="1" applyNumberFormat="1" applyFont="1"/>
    <xf numFmtId="0" fontId="0" fillId="0" borderId="112" xfId="0" applyBorder="1"/>
    <xf numFmtId="0" fontId="0" fillId="0" borderId="87" xfId="0" applyBorder="1"/>
    <xf numFmtId="0" fontId="33" fillId="16" borderId="1" xfId="0" applyFont="1" applyFill="1" applyBorder="1" applyAlignment="1">
      <alignment horizontal="justify" vertical="center"/>
    </xf>
    <xf numFmtId="0" fontId="0" fillId="16" borderId="17" xfId="0" applyFill="1" applyBorder="1" applyAlignment="1">
      <alignment horizontal="center" wrapText="1"/>
    </xf>
    <xf numFmtId="0" fontId="20" fillId="16" borderId="17" xfId="0" applyFont="1" applyFill="1" applyBorder="1" applyAlignment="1">
      <alignment wrapText="1"/>
    </xf>
    <xf numFmtId="0" fontId="33" fillId="16" borderId="17" xfId="0" applyFont="1" applyFill="1" applyBorder="1"/>
    <xf numFmtId="2" fontId="0" fillId="16" borderId="17" xfId="2" applyNumberFormat="1" applyFont="1" applyFill="1" applyBorder="1" applyAlignment="1">
      <alignment horizontal="center" wrapText="1"/>
    </xf>
    <xf numFmtId="174" fontId="0" fillId="16" borderId="17" xfId="2" applyNumberFormat="1" applyFont="1" applyFill="1" applyBorder="1" applyAlignment="1">
      <alignment horizontal="center" wrapText="1"/>
    </xf>
    <xf numFmtId="43" fontId="0" fillId="16" borderId="17" xfId="2" applyFont="1" applyFill="1" applyBorder="1" applyAlignment="1">
      <alignment horizontal="center" wrapText="1"/>
    </xf>
    <xf numFmtId="2" fontId="0" fillId="16" borderId="17" xfId="0" applyNumberFormat="1" applyFill="1" applyBorder="1"/>
    <xf numFmtId="9" fontId="0" fillId="16" borderId="17" xfId="1" applyFont="1" applyFill="1" applyBorder="1"/>
    <xf numFmtId="170" fontId="0" fillId="16" borderId="17" xfId="2" applyNumberFormat="1" applyFont="1" applyFill="1" applyBorder="1"/>
    <xf numFmtId="2" fontId="0" fillId="16" borderId="1" xfId="0" applyNumberFormat="1" applyFill="1" applyBorder="1" applyAlignment="1">
      <alignment horizontal="center"/>
    </xf>
    <xf numFmtId="0" fontId="33" fillId="16" borderId="2" xfId="0" applyFont="1" applyFill="1" applyBorder="1" applyAlignment="1">
      <alignment horizontal="justify" vertical="center"/>
    </xf>
    <xf numFmtId="2" fontId="0" fillId="16" borderId="2" xfId="0" applyNumberFormat="1" applyFill="1" applyBorder="1" applyAlignment="1">
      <alignment horizontal="center"/>
    </xf>
    <xf numFmtId="2" fontId="0" fillId="16" borderId="115" xfId="0" applyNumberFormat="1" applyFill="1" applyBorder="1"/>
    <xf numFmtId="2" fontId="0" fillId="16" borderId="116" xfId="0" applyNumberFormat="1" applyFill="1" applyBorder="1"/>
    <xf numFmtId="0" fontId="0" fillId="16" borderId="115" xfId="0" applyFill="1" applyBorder="1"/>
    <xf numFmtId="0" fontId="0" fillId="16" borderId="116" xfId="0" applyFill="1" applyBorder="1"/>
    <xf numFmtId="0" fontId="33" fillId="16" borderId="89" xfId="0" applyFont="1" applyFill="1" applyBorder="1"/>
    <xf numFmtId="0" fontId="0" fillId="16" borderId="90" xfId="0" applyFill="1" applyBorder="1"/>
    <xf numFmtId="9" fontId="0" fillId="16" borderId="115" xfId="1" applyFont="1" applyFill="1" applyBorder="1"/>
    <xf numFmtId="9" fontId="0" fillId="16" borderId="116" xfId="1" applyFont="1" applyFill="1" applyBorder="1"/>
    <xf numFmtId="170" fontId="0" fillId="16" borderId="116" xfId="2" applyNumberFormat="1" applyFont="1" applyFill="1" applyBorder="1"/>
    <xf numFmtId="9" fontId="0" fillId="16" borderId="115" xfId="0" applyNumberFormat="1" applyFill="1" applyBorder="1"/>
    <xf numFmtId="0" fontId="33" fillId="16" borderId="113" xfId="0" applyFont="1" applyFill="1" applyBorder="1" applyAlignment="1">
      <alignment horizontal="justify" vertical="center"/>
    </xf>
    <xf numFmtId="0" fontId="33" fillId="16" borderId="114" xfId="0" applyFont="1" applyFill="1" applyBorder="1" applyAlignment="1">
      <alignment horizontal="justify" vertical="center"/>
    </xf>
    <xf numFmtId="169" fontId="0" fillId="16" borderId="115" xfId="1" applyNumberFormat="1" applyFont="1" applyFill="1" applyBorder="1"/>
    <xf numFmtId="169" fontId="0" fillId="16" borderId="116" xfId="1" applyNumberFormat="1" applyFont="1" applyFill="1" applyBorder="1"/>
    <xf numFmtId="0" fontId="33" fillId="16" borderId="89" xfId="0" applyFont="1" applyFill="1" applyBorder="1" applyAlignment="1">
      <alignment horizontal="justify" vertical="center"/>
    </xf>
    <xf numFmtId="43" fontId="0" fillId="16" borderId="90" xfId="2" applyFont="1" applyFill="1" applyBorder="1"/>
    <xf numFmtId="0" fontId="8" fillId="19" borderId="57" xfId="0" applyFont="1" applyFill="1" applyBorder="1" applyAlignment="1">
      <alignment horizontal="center" vertical="center" wrapText="1"/>
    </xf>
    <xf numFmtId="0" fontId="53" fillId="16" borderId="52" xfId="0" applyFont="1" applyFill="1" applyBorder="1" applyAlignment="1">
      <alignment horizontal="left" vertical="center"/>
    </xf>
    <xf numFmtId="10" fontId="33" fillId="29" borderId="117" xfId="0" applyNumberFormat="1" applyFont="1" applyFill="1" applyBorder="1" applyAlignment="1">
      <alignment horizontal="center" vertical="center" wrapText="1"/>
    </xf>
    <xf numFmtId="0" fontId="33" fillId="16" borderId="111" xfId="0" applyFont="1" applyFill="1" applyBorder="1" applyAlignment="1">
      <alignment horizontal="left" vertical="center" wrapText="1"/>
    </xf>
    <xf numFmtId="9" fontId="33" fillId="16" borderId="5" xfId="0" applyNumberFormat="1" applyFont="1" applyFill="1" applyBorder="1" applyAlignment="1">
      <alignment horizontal="center" vertical="center" wrapText="1"/>
    </xf>
    <xf numFmtId="10" fontId="33" fillId="16" borderId="5" xfId="0" applyNumberFormat="1" applyFont="1" applyFill="1" applyBorder="1" applyAlignment="1">
      <alignment horizontal="center" vertical="center" wrapText="1"/>
    </xf>
    <xf numFmtId="0" fontId="33" fillId="16" borderId="118" xfId="0" applyFont="1" applyFill="1" applyBorder="1" applyAlignment="1">
      <alignment horizontal="left" vertical="center" wrapText="1"/>
    </xf>
    <xf numFmtId="0" fontId="4" fillId="2" borderId="5"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21" fillId="0" borderId="0" xfId="0" applyFont="1"/>
    <xf numFmtId="0" fontId="22" fillId="0" borderId="0" xfId="0" applyFont="1"/>
    <xf numFmtId="170" fontId="1" fillId="0" borderId="1" xfId="2" applyNumberFormat="1" applyFont="1" applyBorder="1" applyAlignment="1">
      <alignment wrapText="1"/>
    </xf>
    <xf numFmtId="0" fontId="33" fillId="12" borderId="16" xfId="0" applyFont="1" applyFill="1" applyBorder="1" applyAlignment="1">
      <alignment vertical="center" wrapText="1"/>
    </xf>
    <xf numFmtId="0" fontId="33" fillId="12" borderId="92" xfId="0" applyFont="1" applyFill="1" applyBorder="1" applyAlignment="1">
      <alignment vertical="center" wrapText="1"/>
    </xf>
    <xf numFmtId="0" fontId="33" fillId="12" borderId="1" xfId="0" applyFont="1" applyFill="1" applyBorder="1" applyAlignment="1">
      <alignment vertical="center" wrapText="1"/>
    </xf>
    <xf numFmtId="0" fontId="33" fillId="12" borderId="51" xfId="0" applyFont="1" applyFill="1" applyBorder="1" applyAlignment="1">
      <alignment vertical="center" wrapText="1"/>
    </xf>
    <xf numFmtId="174" fontId="33" fillId="12" borderId="1" xfId="0" applyNumberFormat="1" applyFont="1" applyFill="1" applyBorder="1" applyAlignment="1">
      <alignment vertical="center" wrapText="1"/>
    </xf>
    <xf numFmtId="43" fontId="34" fillId="12" borderId="17" xfId="2" applyFont="1" applyFill="1" applyBorder="1"/>
    <xf numFmtId="43" fontId="0" fillId="12" borderId="17" xfId="2" applyFont="1" applyFill="1" applyBorder="1"/>
    <xf numFmtId="0" fontId="60" fillId="12" borderId="54" xfId="0" applyFont="1" applyFill="1" applyBorder="1" applyAlignment="1">
      <alignment horizontal="justify" vertical="center" wrapText="1"/>
    </xf>
    <xf numFmtId="0" fontId="60" fillId="12" borderId="26" xfId="0" applyFont="1" applyFill="1" applyBorder="1" applyAlignment="1">
      <alignment horizontal="justify" vertical="center" wrapText="1"/>
    </xf>
    <xf numFmtId="0" fontId="60" fillId="12" borderId="25" xfId="0" applyFont="1" applyFill="1" applyBorder="1" applyAlignment="1">
      <alignment horizontal="justify" vertical="center" wrapText="1"/>
    </xf>
    <xf numFmtId="0" fontId="0" fillId="12" borderId="54" xfId="0" applyFill="1" applyBorder="1"/>
    <xf numFmtId="0" fontId="60" fillId="12" borderId="37" xfId="0" applyFont="1" applyFill="1" applyBorder="1" applyAlignment="1">
      <alignment horizontal="justify" vertical="center" wrapText="1"/>
    </xf>
    <xf numFmtId="0" fontId="60" fillId="12" borderId="32" xfId="0" applyFont="1" applyFill="1" applyBorder="1" applyAlignment="1">
      <alignment horizontal="justify" vertical="center" wrapText="1"/>
    </xf>
    <xf numFmtId="0" fontId="60" fillId="12" borderId="31" xfId="0" applyFont="1" applyFill="1" applyBorder="1" applyAlignment="1">
      <alignment horizontal="justify" vertical="center" wrapText="1"/>
    </xf>
    <xf numFmtId="0" fontId="0" fillId="35" borderId="50" xfId="0" applyFill="1" applyBorder="1"/>
    <xf numFmtId="9" fontId="0" fillId="35" borderId="51" xfId="0" applyNumberFormat="1" applyFill="1" applyBorder="1"/>
    <xf numFmtId="0" fontId="0" fillId="35" borderId="52" xfId="0" applyFill="1" applyBorder="1"/>
    <xf numFmtId="0" fontId="0" fillId="35" borderId="53" xfId="0" applyFill="1" applyBorder="1"/>
    <xf numFmtId="0" fontId="33" fillId="12" borderId="1" xfId="0" applyFont="1" applyFill="1" applyBorder="1" applyAlignment="1">
      <alignment horizontal="left" vertical="center"/>
    </xf>
    <xf numFmtId="0" fontId="33" fillId="12" borderId="1" xfId="0" applyFont="1" applyFill="1" applyBorder="1" applyAlignment="1">
      <alignment horizontal="center" vertical="center"/>
    </xf>
    <xf numFmtId="0" fontId="37" fillId="12" borderId="1" xfId="0" applyFont="1" applyFill="1" applyBorder="1" applyAlignment="1">
      <alignment horizontal="center" vertical="center" wrapText="1"/>
    </xf>
    <xf numFmtId="0" fontId="37" fillId="12" borderId="2" xfId="0" applyFont="1" applyFill="1" applyBorder="1" applyAlignment="1">
      <alignment vertical="center" wrapText="1"/>
    </xf>
    <xf numFmtId="6" fontId="51" fillId="12" borderId="32" xfId="0" applyNumberFormat="1" applyFont="1" applyFill="1" applyBorder="1" applyAlignment="1">
      <alignment horizontal="center" vertical="center" wrapText="1"/>
    </xf>
    <xf numFmtId="6" fontId="51" fillId="12" borderId="54" xfId="0" applyNumberFormat="1" applyFont="1" applyFill="1" applyBorder="1" applyAlignment="1">
      <alignment horizontal="center" vertical="center" wrapText="1"/>
    </xf>
    <xf numFmtId="0" fontId="0" fillId="35" borderId="0" xfId="0" applyFill="1"/>
    <xf numFmtId="0" fontId="33" fillId="12" borderId="50" xfId="0" applyFont="1" applyFill="1" applyBorder="1" applyAlignment="1">
      <alignment horizontal="right" vertical="center"/>
    </xf>
    <xf numFmtId="0" fontId="37" fillId="12" borderId="50" xfId="0" applyFont="1" applyFill="1" applyBorder="1" applyAlignment="1">
      <alignment horizontal="center" vertical="center"/>
    </xf>
    <xf numFmtId="0" fontId="33" fillId="12" borderId="7" xfId="0" applyFont="1" applyFill="1" applyBorder="1"/>
    <xf numFmtId="0" fontId="0" fillId="12" borderId="6" xfId="0" applyFill="1" applyBorder="1"/>
    <xf numFmtId="0" fontId="0" fillId="12" borderId="15" xfId="0" applyFill="1" applyBorder="1"/>
    <xf numFmtId="0" fontId="0" fillId="12" borderId="1" xfId="0" applyFill="1" applyBorder="1"/>
    <xf numFmtId="0" fontId="0" fillId="12" borderId="28" xfId="0" applyFill="1" applyBorder="1"/>
    <xf numFmtId="0" fontId="38" fillId="12" borderId="1" xfId="0" applyFont="1" applyFill="1" applyBorder="1" applyAlignment="1">
      <alignment horizontal="center" vertical="center"/>
    </xf>
    <xf numFmtId="0" fontId="33" fillId="12" borderId="1" xfId="0" applyFont="1" applyFill="1" applyBorder="1" applyAlignment="1">
      <alignment horizontal="center" vertical="center" wrapText="1"/>
    </xf>
    <xf numFmtId="14" fontId="0" fillId="12" borderId="26" xfId="0" applyNumberFormat="1" applyFill="1" applyBorder="1" applyAlignment="1">
      <alignment horizontal="center"/>
    </xf>
    <xf numFmtId="0" fontId="0" fillId="12" borderId="26" xfId="0" applyFill="1" applyBorder="1" applyAlignment="1">
      <alignment horizontal="center"/>
    </xf>
    <xf numFmtId="0" fontId="33" fillId="12" borderId="0" xfId="0" applyFont="1" applyFill="1"/>
    <xf numFmtId="0" fontId="0" fillId="12" borderId="34" xfId="0" applyFill="1" applyBorder="1"/>
    <xf numFmtId="0" fontId="0" fillId="12" borderId="31" xfId="0" applyFill="1" applyBorder="1"/>
    <xf numFmtId="0" fontId="0" fillId="12" borderId="32" xfId="0" applyFill="1" applyBorder="1"/>
    <xf numFmtId="169" fontId="0" fillId="16" borderId="16" xfId="1" applyNumberFormat="1" applyFont="1" applyFill="1" applyBorder="1"/>
    <xf numFmtId="9" fontId="33" fillId="16" borderId="0" xfId="0" applyNumberFormat="1" applyFont="1" applyFill="1" applyAlignment="1">
      <alignment horizontal="center" vertical="center" wrapText="1"/>
    </xf>
    <xf numFmtId="0" fontId="0" fillId="12" borderId="28" xfId="0" applyFill="1" applyBorder="1" applyAlignment="1">
      <alignment vertical="center"/>
    </xf>
    <xf numFmtId="0" fontId="33" fillId="12" borderId="31" xfId="0" applyFont="1" applyFill="1" applyBorder="1"/>
    <xf numFmtId="0" fontId="82" fillId="12" borderId="74" xfId="0" applyFont="1" applyFill="1" applyBorder="1" applyAlignment="1">
      <alignment horizontal="center" vertical="center" wrapText="1"/>
    </xf>
    <xf numFmtId="0" fontId="82" fillId="0" borderId="0" xfId="0" applyFont="1" applyAlignment="1">
      <alignment horizontal="center" vertical="center" wrapText="1"/>
    </xf>
    <xf numFmtId="0" fontId="144" fillId="0" borderId="0" xfId="0" applyFont="1"/>
    <xf numFmtId="3" fontId="4" fillId="0" borderId="1" xfId="0" applyNumberFormat="1" applyFont="1" applyBorder="1" applyAlignment="1">
      <alignment vertical="center" wrapText="1"/>
    </xf>
    <xf numFmtId="3" fontId="5" fillId="2" borderId="11" xfId="0" applyNumberFormat="1" applyFont="1" applyFill="1" applyBorder="1" applyAlignment="1">
      <alignment horizontal="center" vertical="center"/>
    </xf>
    <xf numFmtId="170" fontId="4" fillId="0" borderId="1" xfId="2" applyNumberFormat="1" applyFont="1" applyBorder="1" applyAlignment="1">
      <alignment horizontal="center" vertical="center" wrapText="1"/>
    </xf>
    <xf numFmtId="0" fontId="1" fillId="0" borderId="1" xfId="0" applyFont="1" applyBorder="1" applyAlignment="1">
      <alignment vertical="center" wrapText="1"/>
    </xf>
    <xf numFmtId="3" fontId="4" fillId="0" borderId="5" xfId="0" applyNumberFormat="1" applyFont="1" applyBorder="1" applyAlignment="1">
      <alignment horizontal="center" vertical="center" wrapText="1"/>
    </xf>
    <xf numFmtId="0" fontId="1" fillId="0" borderId="1" xfId="0" applyFont="1" applyBorder="1" applyAlignment="1">
      <alignment vertical="center"/>
    </xf>
    <xf numFmtId="43" fontId="0" fillId="12" borderId="28" xfId="2" applyFont="1" applyFill="1" applyBorder="1" applyAlignment="1">
      <alignment vertical="center"/>
    </xf>
    <xf numFmtId="0" fontId="0" fillId="12" borderId="27" xfId="0" applyFill="1" applyBorder="1"/>
    <xf numFmtId="169" fontId="0" fillId="12" borderId="28" xfId="1" applyNumberFormat="1" applyFont="1" applyFill="1" applyBorder="1"/>
    <xf numFmtId="0" fontId="33" fillId="12" borderId="28" xfId="0" applyFont="1" applyFill="1" applyBorder="1"/>
    <xf numFmtId="0" fontId="0" fillId="12" borderId="33" xfId="0" applyFill="1" applyBorder="1"/>
    <xf numFmtId="169" fontId="0" fillId="12" borderId="0" xfId="1" applyNumberFormat="1" applyFont="1" applyFill="1" applyBorder="1"/>
    <xf numFmtId="0" fontId="0" fillId="12" borderId="30" xfId="0" applyFill="1" applyBorder="1"/>
    <xf numFmtId="169" fontId="0" fillId="12" borderId="31" xfId="1" applyNumberFormat="1" applyFont="1" applyFill="1" applyBorder="1"/>
    <xf numFmtId="0" fontId="0" fillId="12" borderId="1" xfId="0" applyFill="1" applyBorder="1" applyAlignment="1">
      <alignment horizontal="center"/>
    </xf>
    <xf numFmtId="9" fontId="0" fillId="12" borderId="1" xfId="0" applyNumberFormat="1" applyFill="1" applyBorder="1" applyAlignment="1">
      <alignment horizontal="center"/>
    </xf>
    <xf numFmtId="9" fontId="0" fillId="12" borderId="28" xfId="0" applyNumberFormat="1" applyFill="1" applyBorder="1"/>
    <xf numFmtId="9" fontId="0" fillId="12" borderId="0" xfId="0" applyNumberFormat="1" applyFill="1"/>
    <xf numFmtId="9" fontId="33" fillId="12" borderId="1" xfId="0" applyNumberFormat="1" applyFont="1" applyFill="1" applyBorder="1"/>
    <xf numFmtId="3" fontId="5" fillId="0" borderId="11" xfId="0" applyNumberFormat="1" applyFont="1" applyBorder="1" applyAlignment="1">
      <alignment vertical="center"/>
    </xf>
    <xf numFmtId="0" fontId="4" fillId="0" borderId="0" xfId="0" applyFont="1" applyAlignment="1">
      <alignment horizontal="center" vertical="center" wrapText="1"/>
    </xf>
    <xf numFmtId="170" fontId="1" fillId="0" borderId="1" xfId="0" applyNumberFormat="1" applyFont="1" applyBorder="1" applyAlignment="1">
      <alignment vertical="center" wrapText="1"/>
    </xf>
    <xf numFmtId="0" fontId="135" fillId="12" borderId="101" xfId="0" applyFont="1" applyFill="1" applyBorder="1" applyAlignment="1">
      <alignment horizontal="center" vertical="center"/>
    </xf>
    <xf numFmtId="0" fontId="135" fillId="12" borderId="30" xfId="0" applyFont="1" applyFill="1" applyBorder="1" applyAlignment="1">
      <alignment horizontal="center" vertical="center"/>
    </xf>
    <xf numFmtId="0" fontId="135" fillId="12" borderId="50" xfId="0" applyFont="1" applyFill="1" applyBorder="1" applyAlignment="1">
      <alignment horizontal="center" vertical="center" wrapText="1"/>
    </xf>
    <xf numFmtId="0" fontId="135" fillId="12" borderId="52" xfId="0" applyFont="1" applyFill="1" applyBorder="1" applyAlignment="1">
      <alignment horizontal="center" vertical="center" wrapText="1"/>
    </xf>
    <xf numFmtId="0" fontId="136" fillId="12" borderId="50" xfId="0" applyFont="1" applyFill="1" applyBorder="1" applyAlignment="1">
      <alignment horizontal="center" vertical="center" wrapText="1"/>
    </xf>
    <xf numFmtId="0" fontId="136" fillId="12" borderId="52" xfId="0" applyFont="1" applyFill="1" applyBorder="1" applyAlignment="1">
      <alignment horizontal="center" vertical="center" wrapText="1"/>
    </xf>
    <xf numFmtId="0" fontId="135" fillId="12" borderId="50" xfId="0" applyFont="1" applyFill="1" applyBorder="1" applyAlignment="1">
      <alignment horizontal="center" vertical="center"/>
    </xf>
    <xf numFmtId="0" fontId="135" fillId="12" borderId="52" xfId="0" applyFont="1" applyFill="1" applyBorder="1" applyAlignment="1">
      <alignment horizontal="center" vertical="center"/>
    </xf>
    <xf numFmtId="3" fontId="23" fillId="0" borderId="0" xfId="0" applyNumberFormat="1" applyFont="1" applyAlignment="1">
      <alignment horizontal="center" wrapText="1"/>
    </xf>
    <xf numFmtId="0" fontId="21" fillId="0" borderId="0" xfId="0" applyFont="1" applyAlignment="1">
      <alignment horizontal="right"/>
    </xf>
    <xf numFmtId="170" fontId="1" fillId="0" borderId="1" xfId="2" applyNumberFormat="1" applyFont="1" applyBorder="1" applyAlignment="1">
      <alignment horizontal="center" wrapText="1"/>
    </xf>
    <xf numFmtId="3" fontId="1" fillId="0" borderId="3" xfId="0" applyNumberFormat="1" applyFont="1" applyBorder="1" applyAlignment="1">
      <alignment horizontal="center" wrapText="1"/>
    </xf>
    <xf numFmtId="0" fontId="4" fillId="0" borderId="0" xfId="0" applyFont="1" applyAlignment="1">
      <alignment wrapText="1"/>
    </xf>
    <xf numFmtId="43" fontId="1" fillId="0" borderId="1" xfId="2" applyFont="1" applyBorder="1" applyAlignment="1">
      <alignment wrapText="1"/>
    </xf>
    <xf numFmtId="3" fontId="1" fillId="19" borderId="3" xfId="0" applyNumberFormat="1" applyFont="1" applyFill="1" applyBorder="1" applyAlignment="1">
      <alignment horizontal="center" wrapText="1"/>
    </xf>
    <xf numFmtId="0" fontId="4" fillId="26" borderId="1" xfId="0" applyFont="1" applyFill="1" applyBorder="1" applyAlignment="1">
      <alignment horizontal="center" vertical="center" wrapText="1"/>
    </xf>
    <xf numFmtId="0" fontId="7" fillId="26" borderId="1" xfId="0" applyFont="1" applyFill="1" applyBorder="1" applyAlignment="1">
      <alignment horizontal="center" vertical="center" wrapText="1"/>
    </xf>
    <xf numFmtId="0" fontId="4" fillId="36" borderId="1" xfId="0" applyFont="1" applyFill="1" applyBorder="1" applyAlignment="1">
      <alignment horizontal="center" vertical="center" wrapText="1"/>
    </xf>
    <xf numFmtId="0" fontId="7" fillId="36" borderId="1" xfId="0" applyFont="1" applyFill="1" applyBorder="1" applyAlignment="1">
      <alignment horizontal="center" vertical="center" wrapText="1"/>
    </xf>
    <xf numFmtId="170" fontId="5" fillId="36" borderId="1" xfId="0" applyNumberFormat="1" applyFont="1" applyFill="1" applyBorder="1" applyAlignment="1">
      <alignment vertical="center"/>
    </xf>
    <xf numFmtId="0" fontId="145" fillId="0" borderId="0" xfId="0" applyFont="1" applyAlignment="1">
      <alignment horizontal="right"/>
    </xf>
    <xf numFmtId="3" fontId="1" fillId="0" borderId="0" xfId="0" applyNumberFormat="1" applyFont="1" applyAlignment="1">
      <alignment horizontal="center" wrapText="1"/>
    </xf>
    <xf numFmtId="170" fontId="23" fillId="0" borderId="0" xfId="2" applyNumberFormat="1" applyFont="1" applyBorder="1" applyAlignment="1">
      <alignment horizontal="center" wrapText="1"/>
    </xf>
    <xf numFmtId="170" fontId="1" fillId="0" borderId="0" xfId="2" applyNumberFormat="1" applyFont="1" applyBorder="1" applyAlignment="1">
      <alignment horizontal="center" wrapText="1"/>
    </xf>
    <xf numFmtId="0" fontId="4" fillId="0" borderId="1" xfId="0" applyFont="1" applyBorder="1"/>
    <xf numFmtId="0" fontId="144" fillId="0" borderId="1" xfId="0" applyFont="1" applyBorder="1"/>
    <xf numFmtId="0" fontId="1" fillId="8" borderId="1" xfId="0" applyFont="1" applyFill="1" applyBorder="1" applyAlignment="1">
      <alignment horizontal="center"/>
    </xf>
    <xf numFmtId="0" fontId="1" fillId="8" borderId="1" xfId="0" applyFont="1" applyFill="1" applyBorder="1"/>
    <xf numFmtId="3" fontId="1" fillId="8" borderId="1" xfId="0" applyNumberFormat="1" applyFont="1" applyFill="1" applyBorder="1"/>
    <xf numFmtId="3" fontId="1" fillId="2" borderId="1" xfId="0" applyNumberFormat="1" applyFont="1" applyFill="1" applyBorder="1" applyAlignment="1">
      <alignment horizontal="center"/>
    </xf>
    <xf numFmtId="0" fontId="1" fillId="9" borderId="1" xfId="0" applyFont="1" applyFill="1" applyBorder="1"/>
    <xf numFmtId="3" fontId="1" fillId="0" borderId="1" xfId="0" applyNumberFormat="1" applyFont="1" applyBorder="1"/>
    <xf numFmtId="170" fontId="22" fillId="0" borderId="0" xfId="0" applyNumberFormat="1" applyFont="1" applyAlignment="1">
      <alignment vertical="center"/>
    </xf>
    <xf numFmtId="0" fontId="22" fillId="0" borderId="0" xfId="0" applyFont="1" applyAlignment="1">
      <alignment vertical="center"/>
    </xf>
    <xf numFmtId="3" fontId="1" fillId="5" borderId="1" xfId="0" applyNumberFormat="1" applyFont="1" applyFill="1" applyBorder="1" applyAlignment="1">
      <alignment horizontal="center" wrapText="1"/>
    </xf>
    <xf numFmtId="3" fontId="1" fillId="6" borderId="1" xfId="0" applyNumberFormat="1" applyFont="1" applyFill="1" applyBorder="1" applyAlignment="1">
      <alignment horizontal="center" wrapText="1"/>
    </xf>
    <xf numFmtId="3" fontId="1" fillId="31" borderId="1" xfId="0" applyNumberFormat="1" applyFont="1" applyFill="1" applyBorder="1" applyAlignment="1">
      <alignment horizontal="center" wrapText="1"/>
    </xf>
    <xf numFmtId="3" fontId="5" fillId="4" borderId="1" xfId="0" applyNumberFormat="1" applyFont="1" applyFill="1" applyBorder="1" applyAlignment="1">
      <alignment horizontal="center" vertical="center" wrapText="1"/>
    </xf>
    <xf numFmtId="3" fontId="1" fillId="0" borderId="8" xfId="0" applyNumberFormat="1" applyFont="1" applyBorder="1" applyAlignment="1">
      <alignment horizontal="center" wrapText="1"/>
    </xf>
    <xf numFmtId="39" fontId="5" fillId="0" borderId="0" xfId="2" applyNumberFormat="1" applyFont="1" applyBorder="1" applyAlignment="1">
      <alignment horizontal="center" wrapText="1"/>
    </xf>
    <xf numFmtId="0" fontId="21" fillId="36" borderId="0" xfId="0" applyFont="1" applyFill="1" applyAlignment="1">
      <alignment horizontal="right"/>
    </xf>
    <xf numFmtId="0" fontId="21" fillId="2" borderId="0" xfId="0" applyFont="1" applyFill="1" applyAlignment="1">
      <alignment horizontal="right"/>
    </xf>
    <xf numFmtId="3" fontId="5" fillId="3" borderId="1" xfId="0" applyNumberFormat="1" applyFont="1" applyFill="1" applyBorder="1" applyAlignment="1">
      <alignment horizontal="center" wrapText="1"/>
    </xf>
    <xf numFmtId="170" fontId="5" fillId="0" borderId="1" xfId="2" applyNumberFormat="1" applyFont="1" applyBorder="1" applyAlignment="1">
      <alignment wrapText="1"/>
    </xf>
    <xf numFmtId="169" fontId="0" fillId="16" borderId="2" xfId="1" applyNumberFormat="1" applyFont="1" applyFill="1" applyBorder="1"/>
    <xf numFmtId="0" fontId="0" fillId="13" borderId="0" xfId="2" applyNumberFormat="1" applyFont="1" applyFill="1" applyBorder="1"/>
    <xf numFmtId="169" fontId="0" fillId="13" borderId="0" xfId="2" applyNumberFormat="1" applyFont="1" applyFill="1" applyBorder="1"/>
    <xf numFmtId="43" fontId="34" fillId="13" borderId="0" xfId="2" applyFont="1" applyFill="1" applyBorder="1"/>
    <xf numFmtId="167" fontId="0" fillId="13" borderId="0" xfId="2" applyNumberFormat="1" applyFont="1" applyFill="1" applyBorder="1"/>
    <xf numFmtId="1" fontId="34" fillId="13" borderId="0" xfId="2" applyNumberFormat="1" applyFont="1" applyFill="1" applyBorder="1"/>
    <xf numFmtId="0" fontId="8" fillId="16" borderId="62" xfId="0" applyFont="1" applyFill="1" applyBorder="1" applyAlignment="1">
      <alignment wrapText="1"/>
    </xf>
    <xf numFmtId="1" fontId="0" fillId="16" borderId="41" xfId="0" applyNumberFormat="1" applyFill="1" applyBorder="1" applyAlignment="1">
      <alignment horizontal="center" wrapText="1"/>
    </xf>
    <xf numFmtId="166" fontId="0" fillId="16" borderId="41" xfId="3" applyNumberFormat="1" applyFont="1" applyFill="1" applyBorder="1" applyAlignment="1">
      <alignment wrapText="1"/>
    </xf>
    <xf numFmtId="167" fontId="0" fillId="16" borderId="41" xfId="2" applyNumberFormat="1" applyFont="1" applyFill="1" applyBorder="1"/>
    <xf numFmtId="2" fontId="0" fillId="16" borderId="16" xfId="0" applyNumberFormat="1" applyFill="1" applyBorder="1"/>
    <xf numFmtId="168" fontId="0" fillId="16" borderId="16" xfId="0" applyNumberFormat="1" applyFill="1" applyBorder="1"/>
    <xf numFmtId="0" fontId="0" fillId="0" borderId="0" xfId="0" pivotButton="1"/>
    <xf numFmtId="0" fontId="8" fillId="19" borderId="0" xfId="0" applyFont="1" applyFill="1" applyAlignment="1">
      <alignment horizontal="center"/>
    </xf>
    <xf numFmtId="0" fontId="33" fillId="37" borderId="1" xfId="0" applyFont="1" applyFill="1" applyBorder="1"/>
    <xf numFmtId="43" fontId="0" fillId="37" borderId="18" xfId="2" applyFont="1" applyFill="1" applyBorder="1"/>
    <xf numFmtId="0" fontId="0" fillId="37" borderId="18" xfId="0" applyFill="1" applyBorder="1"/>
    <xf numFmtId="0" fontId="0" fillId="37" borderId="81" xfId="0" applyFill="1" applyBorder="1"/>
    <xf numFmtId="43" fontId="0" fillId="37" borderId="0" xfId="2" applyFont="1" applyFill="1" applyBorder="1"/>
    <xf numFmtId="43" fontId="0" fillId="37" borderId="23" xfId="2" applyFont="1" applyFill="1" applyBorder="1"/>
    <xf numFmtId="0" fontId="0" fillId="37" borderId="1" xfId="0" applyFill="1" applyBorder="1"/>
    <xf numFmtId="0" fontId="0" fillId="37" borderId="28" xfId="0" applyFill="1" applyBorder="1"/>
    <xf numFmtId="0" fontId="0" fillId="37" borderId="0" xfId="0" applyFill="1"/>
    <xf numFmtId="0" fontId="33" fillId="37" borderId="0" xfId="0" applyFont="1" applyFill="1" applyAlignment="1">
      <alignment horizontal="justify" vertical="center"/>
    </xf>
    <xf numFmtId="0" fontId="0" fillId="37" borderId="34" xfId="0" applyFill="1" applyBorder="1"/>
    <xf numFmtId="0" fontId="0" fillId="16" borderId="28" xfId="0" quotePrefix="1" applyFill="1" applyBorder="1" applyAlignment="1">
      <alignment horizontal="left" wrapText="1"/>
    </xf>
    <xf numFmtId="0" fontId="0" fillId="16" borderId="29" xfId="0" quotePrefix="1" applyFill="1" applyBorder="1" applyAlignment="1">
      <alignment horizontal="left" wrapText="1"/>
    </xf>
    <xf numFmtId="0" fontId="0" fillId="37" borderId="28" xfId="0" applyFill="1" applyBorder="1" applyAlignment="1">
      <alignment vertical="center"/>
    </xf>
    <xf numFmtId="0" fontId="0" fillId="37" borderId="28" xfId="0" quotePrefix="1" applyFill="1" applyBorder="1" applyAlignment="1">
      <alignment horizontal="left" wrapText="1"/>
    </xf>
    <xf numFmtId="9" fontId="0" fillId="37" borderId="28" xfId="0" applyNumberFormat="1" applyFill="1" applyBorder="1"/>
    <xf numFmtId="0" fontId="0" fillId="37" borderId="28" xfId="0" quotePrefix="1" applyFill="1" applyBorder="1"/>
    <xf numFmtId="0" fontId="51" fillId="37" borderId="1" xfId="0" applyFont="1" applyFill="1" applyBorder="1" applyAlignment="1">
      <alignment horizontal="left" vertical="center"/>
    </xf>
    <xf numFmtId="3" fontId="60" fillId="37" borderId="32" xfId="0" applyNumberFormat="1" applyFont="1" applyFill="1" applyBorder="1" applyAlignment="1">
      <alignment horizontal="center" vertical="center"/>
    </xf>
    <xf numFmtId="0" fontId="36" fillId="17" borderId="1" xfId="0" applyFont="1" applyFill="1" applyBorder="1" applyAlignment="1">
      <alignment vertical="center" wrapText="1"/>
    </xf>
    <xf numFmtId="0" fontId="0" fillId="6" borderId="34" xfId="0" applyFill="1" applyBorder="1"/>
    <xf numFmtId="0" fontId="30" fillId="24" borderId="0" xfId="0" applyFont="1" applyFill="1"/>
    <xf numFmtId="0" fontId="0" fillId="37" borderId="3" xfId="0" applyFill="1" applyBorder="1"/>
    <xf numFmtId="0" fontId="0" fillId="37" borderId="5" xfId="0" applyFill="1" applyBorder="1"/>
    <xf numFmtId="0" fontId="30" fillId="24" borderId="119" xfId="0" applyFont="1" applyFill="1" applyBorder="1" applyAlignment="1">
      <alignment horizontal="center" vertical="center" wrapText="1"/>
    </xf>
    <xf numFmtId="0" fontId="30" fillId="24" borderId="120" xfId="0" applyFont="1" applyFill="1" applyBorder="1" applyAlignment="1">
      <alignment horizontal="center" vertical="center" wrapText="1"/>
    </xf>
    <xf numFmtId="0" fontId="30" fillId="24" borderId="121" xfId="0" applyFont="1" applyFill="1" applyBorder="1" applyAlignment="1">
      <alignment horizontal="center" vertical="center" wrapText="1"/>
    </xf>
    <xf numFmtId="0" fontId="0" fillId="37" borderId="122" xfId="0" applyFill="1" applyBorder="1" applyAlignment="1">
      <alignment wrapText="1"/>
    </xf>
    <xf numFmtId="0" fontId="0" fillId="37" borderId="123" xfId="0" applyFill="1" applyBorder="1" applyAlignment="1">
      <alignment wrapText="1"/>
    </xf>
    <xf numFmtId="0" fontId="0" fillId="37" borderId="124" xfId="0" applyFill="1" applyBorder="1" applyAlignment="1">
      <alignment wrapText="1"/>
    </xf>
    <xf numFmtId="0" fontId="0" fillId="37" borderId="125" xfId="0" applyFill="1" applyBorder="1" applyAlignment="1">
      <alignment wrapText="1"/>
    </xf>
    <xf numFmtId="0" fontId="0" fillId="37" borderId="126" xfId="0" applyFill="1" applyBorder="1" applyAlignment="1">
      <alignment wrapText="1"/>
    </xf>
    <xf numFmtId="0" fontId="0" fillId="37" borderId="127" xfId="0" applyFill="1" applyBorder="1" applyAlignment="1">
      <alignment wrapText="1"/>
    </xf>
    <xf numFmtId="0" fontId="0" fillId="0" borderId="3" xfId="0" applyBorder="1"/>
    <xf numFmtId="0" fontId="33" fillId="16" borderId="5" xfId="0" applyFont="1" applyFill="1" applyBorder="1"/>
    <xf numFmtId="0" fontId="0" fillId="12" borderId="50" xfId="0" applyFill="1" applyBorder="1"/>
    <xf numFmtId="8" fontId="0" fillId="12" borderId="1" xfId="0" applyNumberFormat="1" applyFill="1" applyBorder="1"/>
    <xf numFmtId="8" fontId="0" fillId="12" borderId="5" xfId="0" applyNumberFormat="1" applyFill="1" applyBorder="1"/>
    <xf numFmtId="0" fontId="32" fillId="19" borderId="0" xfId="0" applyFont="1" applyFill="1" applyAlignment="1">
      <alignment horizontal="center"/>
    </xf>
    <xf numFmtId="0" fontId="33" fillId="12" borderId="6" xfId="0" applyFont="1" applyFill="1" applyBorder="1" applyAlignment="1">
      <alignment horizontal="left" indent="1"/>
    </xf>
    <xf numFmtId="0" fontId="37" fillId="12" borderId="6" xfId="0" applyFont="1" applyFill="1" applyBorder="1"/>
    <xf numFmtId="0" fontId="53" fillId="35" borderId="32" xfId="0" applyFont="1" applyFill="1" applyBorder="1" applyAlignment="1">
      <alignment horizontal="center" vertical="center" wrapText="1"/>
    </xf>
    <xf numFmtId="1" fontId="33" fillId="35" borderId="54" xfId="0" applyNumberFormat="1" applyFont="1" applyFill="1" applyBorder="1" applyAlignment="1">
      <alignment horizontal="center" vertical="center"/>
    </xf>
    <xf numFmtId="0" fontId="36" fillId="35" borderId="32" xfId="0" applyFont="1" applyFill="1" applyBorder="1" applyAlignment="1">
      <alignment horizontal="center" vertical="center" wrapText="1"/>
    </xf>
    <xf numFmtId="9" fontId="53" fillId="35" borderId="32" xfId="0" applyNumberFormat="1" applyFont="1" applyFill="1" applyBorder="1" applyAlignment="1">
      <alignment horizontal="center" vertical="center" wrapText="1"/>
    </xf>
    <xf numFmtId="9" fontId="0" fillId="35" borderId="54" xfId="0" applyNumberFormat="1" applyFill="1" applyBorder="1" applyAlignment="1">
      <alignment horizontal="center"/>
    </xf>
    <xf numFmtId="0" fontId="0" fillId="35" borderId="54" xfId="0" applyFill="1" applyBorder="1"/>
    <xf numFmtId="0" fontId="36" fillId="35" borderId="32" xfId="0" applyFont="1" applyFill="1" applyBorder="1" applyAlignment="1">
      <alignment horizontal="left" vertical="center" wrapText="1"/>
    </xf>
    <xf numFmtId="0" fontId="53" fillId="35" borderId="32" xfId="0" applyFont="1" applyFill="1" applyBorder="1" applyAlignment="1">
      <alignment horizontal="left" vertical="center" wrapText="1"/>
    </xf>
    <xf numFmtId="0" fontId="0" fillId="12" borderId="37" xfId="0" applyFill="1" applyBorder="1"/>
    <xf numFmtId="0" fontId="0" fillId="37" borderId="1" xfId="0" applyFill="1" applyBorder="1" applyAlignment="1">
      <alignment horizontal="center" wrapText="1"/>
    </xf>
    <xf numFmtId="9" fontId="0" fillId="37" borderId="1" xfId="1" applyFont="1" applyFill="1" applyBorder="1" applyAlignment="1">
      <alignment horizontal="center"/>
    </xf>
    <xf numFmtId="0" fontId="0" fillId="0" borderId="0" xfId="0" applyAlignment="1">
      <alignment horizontal="center"/>
    </xf>
    <xf numFmtId="0" fontId="0" fillId="3" borderId="18" xfId="0" applyFill="1" applyBorder="1"/>
    <xf numFmtId="0" fontId="0" fillId="3" borderId="57" xfId="0" applyFill="1" applyBorder="1"/>
    <xf numFmtId="0" fontId="8" fillId="3" borderId="22" xfId="0" applyFont="1" applyFill="1" applyBorder="1" applyAlignment="1">
      <alignment wrapText="1"/>
    </xf>
    <xf numFmtId="0" fontId="8" fillId="14" borderId="17" xfId="0" applyFont="1" applyFill="1" applyBorder="1" applyAlignment="1">
      <alignment horizontal="center" vertical="center"/>
    </xf>
    <xf numFmtId="0" fontId="8" fillId="14" borderId="22" xfId="0" applyFont="1" applyFill="1" applyBorder="1" applyAlignment="1">
      <alignment horizontal="center" vertical="center"/>
    </xf>
    <xf numFmtId="0" fontId="8" fillId="14" borderId="22" xfId="0" applyFont="1" applyFill="1" applyBorder="1" applyAlignment="1">
      <alignment horizontal="center" vertical="center" wrapText="1"/>
    </xf>
    <xf numFmtId="0" fontId="8" fillId="14" borderId="57" xfId="0" applyFont="1" applyFill="1" applyBorder="1" applyAlignment="1">
      <alignment horizontal="center" vertical="center" wrapText="1"/>
    </xf>
    <xf numFmtId="0" fontId="8" fillId="14" borderId="85" xfId="0" applyFont="1" applyFill="1" applyBorder="1" applyAlignment="1">
      <alignment horizontal="center" vertical="center" wrapText="1"/>
    </xf>
    <xf numFmtId="0" fontId="8" fillId="0" borderId="1" xfId="0" applyFont="1" applyBorder="1" applyAlignment="1">
      <alignment horizontal="center" vertical="center" wrapText="1"/>
    </xf>
    <xf numFmtId="0" fontId="0" fillId="13" borderId="17" xfId="0" applyFill="1" applyBorder="1" applyAlignment="1">
      <alignment vertical="center"/>
    </xf>
    <xf numFmtId="0" fontId="0" fillId="13" borderId="19" xfId="0" applyFill="1" applyBorder="1" applyAlignment="1">
      <alignment vertical="center"/>
    </xf>
    <xf numFmtId="44" fontId="0" fillId="0" borderId="0" xfId="3" applyFont="1"/>
    <xf numFmtId="0" fontId="30" fillId="39" borderId="3" xfId="0" applyFont="1" applyFill="1" applyBorder="1"/>
    <xf numFmtId="43" fontId="1" fillId="0" borderId="0" xfId="0" applyNumberFormat="1" applyFont="1" applyAlignment="1">
      <alignment wrapText="1"/>
    </xf>
    <xf numFmtId="0" fontId="145" fillId="0" borderId="0" xfId="0" applyFont="1"/>
    <xf numFmtId="2" fontId="29" fillId="37" borderId="1" xfId="8" applyNumberFormat="1" applyFill="1" applyBorder="1" applyAlignment="1">
      <alignment horizontal="center"/>
    </xf>
    <xf numFmtId="165" fontId="29" fillId="6" borderId="1" xfId="8" applyNumberFormat="1" applyFill="1" applyBorder="1" applyAlignment="1">
      <alignment horizontal="center"/>
    </xf>
    <xf numFmtId="2" fontId="29" fillId="6" borderId="1" xfId="8" applyNumberFormat="1" applyFill="1" applyBorder="1" applyAlignment="1">
      <alignment horizontal="center"/>
    </xf>
    <xf numFmtId="2" fontId="29" fillId="40" borderId="1" xfId="8" applyNumberFormat="1" applyBorder="1" applyAlignment="1">
      <alignment horizontal="center"/>
    </xf>
    <xf numFmtId="1" fontId="29" fillId="40" borderId="1" xfId="8" applyNumberFormat="1" applyBorder="1" applyAlignment="1">
      <alignment horizontal="center"/>
    </xf>
    <xf numFmtId="1" fontId="29" fillId="6" borderId="1" xfId="8" applyNumberFormat="1" applyFill="1" applyBorder="1" applyAlignment="1">
      <alignment horizontal="center"/>
    </xf>
    <xf numFmtId="0" fontId="146" fillId="0" borderId="54" xfId="0" applyFont="1" applyBorder="1"/>
    <xf numFmtId="2" fontId="146" fillId="6" borderId="55" xfId="0" applyNumberFormat="1" applyFont="1" applyFill="1" applyBorder="1"/>
    <xf numFmtId="0" fontId="146" fillId="6" borderId="55" xfId="0" applyFont="1" applyFill="1" applyBorder="1"/>
    <xf numFmtId="0" fontId="0" fillId="41" borderId="24" xfId="0" applyFill="1" applyBorder="1"/>
    <xf numFmtId="9" fontId="0" fillId="41" borderId="54" xfId="1" applyFont="1" applyFill="1" applyBorder="1"/>
    <xf numFmtId="0" fontId="0" fillId="41" borderId="25" xfId="0" applyFill="1" applyBorder="1"/>
    <xf numFmtId="9" fontId="0" fillId="41" borderId="26" xfId="1" applyFont="1" applyFill="1" applyBorder="1"/>
    <xf numFmtId="170" fontId="0" fillId="41" borderId="26" xfId="2" applyNumberFormat="1" applyFont="1" applyFill="1" applyBorder="1"/>
    <xf numFmtId="0" fontId="78" fillId="0" borderId="33" xfId="0" applyFont="1" applyBorder="1"/>
    <xf numFmtId="2" fontId="146" fillId="37" borderId="54" xfId="0" applyNumberFormat="1" applyFont="1" applyFill="1" applyBorder="1"/>
    <xf numFmtId="0" fontId="147" fillId="28" borderId="31" xfId="9" applyFill="1" applyBorder="1"/>
    <xf numFmtId="0" fontId="147" fillId="28" borderId="0" xfId="9" applyFill="1"/>
    <xf numFmtId="0" fontId="148" fillId="28" borderId="0" xfId="9" applyFont="1" applyFill="1"/>
    <xf numFmtId="0" fontId="148" fillId="28" borderId="1" xfId="9" applyFont="1" applyFill="1" applyBorder="1" applyAlignment="1">
      <alignment horizontal="center"/>
    </xf>
    <xf numFmtId="0" fontId="150" fillId="42" borderId="1" xfId="9" applyFont="1" applyFill="1" applyBorder="1" applyAlignment="1">
      <alignment horizontal="center"/>
    </xf>
    <xf numFmtId="0" fontId="147" fillId="31" borderId="1" xfId="9" applyFill="1" applyBorder="1"/>
    <xf numFmtId="8" fontId="147" fillId="31" borderId="1" xfId="9" applyNumberFormat="1" applyFill="1" applyBorder="1" applyAlignment="1">
      <alignment horizontal="center"/>
    </xf>
    <xf numFmtId="38" fontId="151" fillId="12" borderId="1" xfId="9" applyNumberFormat="1" applyFont="1" applyFill="1" applyBorder="1" applyAlignment="1">
      <alignment horizontal="center"/>
    </xf>
    <xf numFmtId="43" fontId="145" fillId="36" borderId="1" xfId="2" applyFont="1" applyFill="1" applyBorder="1"/>
    <xf numFmtId="0" fontId="8" fillId="0" borderId="4" xfId="0" applyFont="1" applyBorder="1" applyAlignment="1">
      <alignment horizontal="right"/>
    </xf>
    <xf numFmtId="2" fontId="145" fillId="0" borderId="4" xfId="0" applyNumberFormat="1" applyFont="1" applyBorder="1"/>
    <xf numFmtId="0" fontId="0" fillId="0" borderId="4" xfId="0" applyBorder="1"/>
    <xf numFmtId="2" fontId="145" fillId="0" borderId="5" xfId="0" applyNumberFormat="1" applyFont="1" applyBorder="1"/>
    <xf numFmtId="0" fontId="0" fillId="43" borderId="0" xfId="0" applyFill="1"/>
    <xf numFmtId="0" fontId="8" fillId="43" borderId="48" xfId="0" applyFont="1" applyFill="1" applyBorder="1" applyAlignment="1">
      <alignment horizontal="center" vertical="center"/>
    </xf>
    <xf numFmtId="0" fontId="8" fillId="43" borderId="49" xfId="0" applyFont="1" applyFill="1" applyBorder="1" applyAlignment="1">
      <alignment horizontal="center" vertical="center"/>
    </xf>
    <xf numFmtId="0" fontId="0" fillId="43" borderId="50" xfId="0" applyFill="1" applyBorder="1"/>
    <xf numFmtId="0" fontId="0" fillId="43" borderId="51" xfId="0" applyFill="1" applyBorder="1" applyAlignment="1">
      <alignment horizontal="center" vertical="center"/>
    </xf>
    <xf numFmtId="0" fontId="0" fillId="43" borderId="52" xfId="0" applyFill="1" applyBorder="1"/>
    <xf numFmtId="0" fontId="0" fillId="43" borderId="27" xfId="0" applyFill="1" applyBorder="1"/>
    <xf numFmtId="0" fontId="0" fillId="43" borderId="28" xfId="0" applyFill="1" applyBorder="1"/>
    <xf numFmtId="0" fontId="0" fillId="43" borderId="29" xfId="0" applyFill="1" applyBorder="1"/>
    <xf numFmtId="0" fontId="0" fillId="43" borderId="30" xfId="0" applyFill="1" applyBorder="1"/>
    <xf numFmtId="0" fontId="0" fillId="43" borderId="31" xfId="0" applyFill="1" applyBorder="1"/>
    <xf numFmtId="0" fontId="0" fillId="43" borderId="32" xfId="0" applyFill="1" applyBorder="1"/>
    <xf numFmtId="3" fontId="31" fillId="43" borderId="31" xfId="0" applyNumberFormat="1" applyFont="1" applyFill="1" applyBorder="1"/>
    <xf numFmtId="0" fontId="0" fillId="43" borderId="18" xfId="0" applyFill="1" applyBorder="1" applyAlignment="1">
      <alignment horizontal="center" wrapText="1"/>
    </xf>
    <xf numFmtId="43" fontId="0" fillId="43" borderId="23" xfId="2" applyFont="1" applyFill="1" applyBorder="1" applyAlignment="1">
      <alignment wrapText="1"/>
    </xf>
    <xf numFmtId="0" fontId="33" fillId="43" borderId="1" xfId="0" applyFont="1" applyFill="1" applyBorder="1" applyAlignment="1">
      <alignment vertical="center" wrapText="1"/>
    </xf>
    <xf numFmtId="0" fontId="0" fillId="43" borderId="1" xfId="0" applyFill="1" applyBorder="1" applyAlignment="1">
      <alignment horizontal="center"/>
    </xf>
    <xf numFmtId="9" fontId="0" fillId="43" borderId="1" xfId="1" applyFont="1" applyFill="1" applyBorder="1" applyAlignment="1">
      <alignment horizontal="center"/>
    </xf>
    <xf numFmtId="0" fontId="0" fillId="43" borderId="1" xfId="0" applyFill="1" applyBorder="1"/>
    <xf numFmtId="43" fontId="0" fillId="43" borderId="1" xfId="0" applyNumberFormat="1" applyFill="1" applyBorder="1"/>
    <xf numFmtId="169" fontId="0" fillId="16" borderId="0" xfId="2" applyNumberFormat="1" applyFont="1" applyFill="1" applyAlignment="1">
      <alignment horizontal="center"/>
    </xf>
    <xf numFmtId="169" fontId="0" fillId="16" borderId="0" xfId="1" applyNumberFormat="1" applyFont="1" applyFill="1" applyAlignment="1">
      <alignment horizontal="center"/>
    </xf>
    <xf numFmtId="2" fontId="0" fillId="37" borderId="18" xfId="0" applyNumberFormat="1" applyFill="1" applyBorder="1" applyAlignment="1">
      <alignment wrapText="1"/>
    </xf>
    <xf numFmtId="2" fontId="0" fillId="37" borderId="23" xfId="0" applyNumberFormat="1" applyFill="1" applyBorder="1" applyAlignment="1">
      <alignment wrapText="1"/>
    </xf>
    <xf numFmtId="169" fontId="0" fillId="16" borderId="28" xfId="0" applyNumberFormat="1" applyFill="1" applyBorder="1"/>
    <xf numFmtId="169" fontId="0" fillId="16" borderId="0" xfId="0" applyNumberFormat="1" applyFill="1" applyAlignment="1">
      <alignment horizontal="center" wrapText="1"/>
    </xf>
    <xf numFmtId="10" fontId="0" fillId="16" borderId="0" xfId="0" applyNumberFormat="1" applyFill="1" applyAlignment="1">
      <alignment horizontal="center" wrapText="1"/>
    </xf>
    <xf numFmtId="43" fontId="0" fillId="43" borderId="1" xfId="0" applyNumberFormat="1" applyFill="1" applyBorder="1" applyAlignment="1">
      <alignment horizontal="center"/>
    </xf>
    <xf numFmtId="0" fontId="76" fillId="20" borderId="1" xfId="4" applyFont="1" applyFill="1" applyBorder="1" applyAlignment="1" applyProtection="1">
      <alignment vertical="center" wrapText="1"/>
    </xf>
    <xf numFmtId="9" fontId="0" fillId="0" borderId="1" xfId="1" applyFont="1" applyFill="1" applyBorder="1" applyAlignment="1">
      <alignment horizontal="center"/>
    </xf>
    <xf numFmtId="0" fontId="63" fillId="16" borderId="0" xfId="0" applyFont="1" applyFill="1"/>
    <xf numFmtId="2" fontId="0" fillId="37" borderId="124" xfId="0" applyNumberFormat="1" applyFill="1" applyBorder="1" applyAlignment="1">
      <alignment wrapText="1"/>
    </xf>
    <xf numFmtId="43" fontId="0" fillId="43" borderId="17" xfId="2" applyFont="1" applyFill="1" applyBorder="1" applyAlignment="1">
      <alignment horizontal="center" wrapText="1"/>
    </xf>
    <xf numFmtId="0" fontId="0" fillId="0" borderId="9" xfId="0" applyBorder="1" applyAlignment="1">
      <alignment horizontal="center" wrapText="1"/>
    </xf>
    <xf numFmtId="0" fontId="41" fillId="0" borderId="1" xfId="4" applyBorder="1" applyAlignment="1" applyProtection="1">
      <alignment wrapText="1"/>
    </xf>
    <xf numFmtId="9" fontId="1" fillId="0" borderId="1" xfId="0" applyNumberFormat="1" applyFont="1" applyBorder="1" applyAlignment="1">
      <alignment horizontal="center" wrapText="1"/>
    </xf>
    <xf numFmtId="0" fontId="1" fillId="12" borderId="1" xfId="0" applyFont="1" applyFill="1" applyBorder="1" applyAlignment="1">
      <alignment horizontal="center" vertical="center" wrapText="1"/>
    </xf>
    <xf numFmtId="0" fontId="7" fillId="12" borderId="1" xfId="0" applyFont="1" applyFill="1" applyBorder="1" applyAlignment="1">
      <alignment horizontal="center" vertical="center" wrapText="1"/>
    </xf>
    <xf numFmtId="0" fontId="4" fillId="12" borderId="1" xfId="0" applyFont="1" applyFill="1" applyBorder="1" applyAlignment="1">
      <alignment horizontal="center" vertical="center" wrapText="1"/>
    </xf>
    <xf numFmtId="0" fontId="9" fillId="0" borderId="0" xfId="0" applyFont="1" applyAlignment="1">
      <alignment horizontal="center" vertical="center" wrapText="1"/>
    </xf>
    <xf numFmtId="0" fontId="9" fillId="0" borderId="7" xfId="0" applyFont="1" applyBorder="1" applyAlignment="1">
      <alignment horizontal="center" vertical="center" wrapText="1"/>
    </xf>
    <xf numFmtId="0" fontId="9" fillId="0" borderId="6" xfId="0" applyFont="1" applyBorder="1" applyAlignment="1">
      <alignment horizontal="center" vertical="center" wrapText="1"/>
    </xf>
    <xf numFmtId="0" fontId="12" fillId="4" borderId="1" xfId="0" applyFont="1" applyFill="1" applyBorder="1" applyAlignment="1">
      <alignment horizontal="center" vertical="center" wrapText="1"/>
    </xf>
    <xf numFmtId="0" fontId="12" fillId="5" borderId="1"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31" borderId="1" xfId="0" applyFont="1" applyFill="1" applyBorder="1" applyAlignment="1">
      <alignment horizontal="center" vertical="center" wrapText="1"/>
    </xf>
    <xf numFmtId="0" fontId="13" fillId="3" borderId="1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 fillId="0" borderId="0" xfId="0" applyFont="1" applyAlignment="1">
      <alignment horizontal="center" wrapText="1"/>
    </xf>
    <xf numFmtId="44" fontId="0" fillId="16" borderId="0" xfId="3" applyFont="1" applyFill="1" applyBorder="1" applyAlignment="1">
      <alignment wrapText="1"/>
    </xf>
    <xf numFmtId="0" fontId="8" fillId="13" borderId="41" xfId="0" applyFont="1" applyFill="1" applyBorder="1" applyAlignment="1">
      <alignment wrapText="1"/>
    </xf>
    <xf numFmtId="0" fontId="8" fillId="13" borderId="64" xfId="0" applyFont="1" applyFill="1" applyBorder="1" applyAlignment="1">
      <alignment wrapText="1"/>
    </xf>
    <xf numFmtId="0" fontId="8" fillId="13" borderId="0" xfId="0" applyFont="1" applyFill="1" applyAlignment="1">
      <alignment wrapText="1"/>
    </xf>
    <xf numFmtId="0" fontId="41" fillId="0" borderId="0" xfId="4" applyAlignment="1" applyProtection="1"/>
    <xf numFmtId="2" fontId="0" fillId="37" borderId="0" xfId="0" applyNumberFormat="1" applyFill="1" applyAlignment="1">
      <alignment wrapText="1"/>
    </xf>
    <xf numFmtId="169" fontId="0" fillId="0" borderId="31" xfId="0" applyNumberFormat="1" applyBorder="1" applyAlignment="1">
      <alignment vertical="center"/>
    </xf>
    <xf numFmtId="10" fontId="0" fillId="0" borderId="31" xfId="0" applyNumberFormat="1" applyBorder="1"/>
    <xf numFmtId="170" fontId="0" fillId="0" borderId="0" xfId="2" applyNumberFormat="1" applyFont="1" applyFill="1" applyAlignment="1">
      <alignment horizontal="center"/>
    </xf>
    <xf numFmtId="2" fontId="0" fillId="38" borderId="18" xfId="0" applyNumberFormat="1" applyFill="1" applyBorder="1" applyAlignment="1">
      <alignment wrapText="1"/>
    </xf>
    <xf numFmtId="3" fontId="34" fillId="0" borderId="1" xfId="0" applyNumberFormat="1" applyFont="1" applyBorder="1" applyAlignment="1">
      <alignment horizontal="center" vertical="center"/>
    </xf>
    <xf numFmtId="0" fontId="34" fillId="0" borderId="1" xfId="0" applyFont="1" applyBorder="1" applyAlignment="1">
      <alignment horizontal="center" vertical="center"/>
    </xf>
    <xf numFmtId="0" fontId="0" fillId="4" borderId="129" xfId="0" applyFill="1" applyBorder="1"/>
    <xf numFmtId="0" fontId="32" fillId="20" borderId="30" xfId="0" applyFont="1" applyFill="1" applyBorder="1" applyAlignment="1">
      <alignment horizontal="center"/>
    </xf>
    <xf numFmtId="0" fontId="32" fillId="20" borderId="31" xfId="0" applyFont="1" applyFill="1" applyBorder="1" applyAlignment="1">
      <alignment horizontal="center"/>
    </xf>
    <xf numFmtId="0" fontId="32" fillId="20" borderId="32" xfId="0" applyFont="1" applyFill="1" applyBorder="1" applyAlignment="1">
      <alignment horizontal="center"/>
    </xf>
    <xf numFmtId="0" fontId="30" fillId="18" borderId="24" xfId="0" applyFont="1" applyFill="1" applyBorder="1" applyAlignment="1">
      <alignment horizontal="center"/>
    </xf>
    <xf numFmtId="0" fontId="30" fillId="18" borderId="26" xfId="0" applyFont="1" applyFill="1" applyBorder="1" applyAlignment="1">
      <alignment horizontal="center"/>
    </xf>
    <xf numFmtId="0" fontId="30" fillId="18" borderId="27" xfId="0" applyFont="1" applyFill="1" applyBorder="1" applyAlignment="1">
      <alignment horizontal="center"/>
    </xf>
    <xf numFmtId="0" fontId="30" fillId="18" borderId="29" xfId="0" applyFont="1" applyFill="1" applyBorder="1" applyAlignment="1">
      <alignment horizontal="center"/>
    </xf>
    <xf numFmtId="9" fontId="0" fillId="16" borderId="31" xfId="0" applyNumberFormat="1" applyFill="1" applyBorder="1" applyAlignment="1">
      <alignment horizontal="right" vertical="top"/>
    </xf>
    <xf numFmtId="0" fontId="0" fillId="16" borderId="65" xfId="0" applyFill="1" applyBorder="1" applyAlignment="1">
      <alignment horizontal="left" vertical="top"/>
    </xf>
    <xf numFmtId="9" fontId="0" fillId="16" borderId="6" xfId="0" applyNumberFormat="1" applyFill="1" applyBorder="1" applyAlignment="1">
      <alignment horizontal="right" vertical="top"/>
    </xf>
    <xf numFmtId="0" fontId="0" fillId="16" borderId="6" xfId="0" applyFill="1" applyBorder="1" applyAlignment="1">
      <alignment horizontal="left" vertical="top"/>
    </xf>
    <xf numFmtId="0" fontId="0" fillId="16" borderId="66" xfId="0" applyFill="1" applyBorder="1" applyAlignment="1">
      <alignment horizontal="left" vertical="top"/>
    </xf>
    <xf numFmtId="0" fontId="8" fillId="3" borderId="57" xfId="0" applyFont="1" applyFill="1" applyBorder="1" applyAlignment="1">
      <alignment wrapText="1"/>
    </xf>
    <xf numFmtId="0" fontId="8" fillId="14" borderId="17" xfId="0" applyFont="1" applyFill="1" applyBorder="1" applyAlignment="1">
      <alignment wrapText="1"/>
    </xf>
    <xf numFmtId="0" fontId="8" fillId="14" borderId="22" xfId="0" applyFont="1" applyFill="1" applyBorder="1"/>
    <xf numFmtId="0" fontId="8" fillId="14" borderId="17" xfId="0" applyFont="1" applyFill="1" applyBorder="1" applyAlignment="1">
      <alignment horizontal="center" wrapText="1"/>
    </xf>
    <xf numFmtId="0" fontId="8" fillId="14" borderId="19" xfId="0" applyFont="1" applyFill="1" applyBorder="1" applyAlignment="1">
      <alignment horizontal="center" wrapText="1"/>
    </xf>
    <xf numFmtId="0" fontId="8" fillId="13" borderId="23" xfId="0" applyFont="1" applyFill="1" applyBorder="1" applyAlignment="1">
      <alignment wrapText="1"/>
    </xf>
    <xf numFmtId="0" fontId="0" fillId="13" borderId="41" xfId="0" applyFill="1" applyBorder="1" applyAlignment="1">
      <alignment horizontal="center" wrapText="1"/>
    </xf>
    <xf numFmtId="0" fontId="33" fillId="13" borderId="0" xfId="0" applyFont="1" applyFill="1" applyAlignment="1">
      <alignment wrapText="1"/>
    </xf>
    <xf numFmtId="44" fontId="0" fillId="13" borderId="41" xfId="3" applyFont="1" applyFill="1" applyBorder="1" applyAlignment="1">
      <alignment horizontal="center" wrapText="1"/>
    </xf>
    <xf numFmtId="44" fontId="33" fillId="13" borderId="41" xfId="3" applyFont="1" applyFill="1" applyBorder="1" applyAlignment="1">
      <alignment horizontal="center" wrapText="1"/>
    </xf>
    <xf numFmtId="43" fontId="0" fillId="13" borderId="41" xfId="2" applyFont="1" applyFill="1" applyBorder="1" applyAlignment="1">
      <alignment wrapText="1"/>
    </xf>
    <xf numFmtId="167" fontId="0" fillId="13" borderId="41" xfId="2" applyNumberFormat="1" applyFont="1" applyFill="1" applyBorder="1" applyAlignment="1">
      <alignment wrapText="1"/>
    </xf>
    <xf numFmtId="43" fontId="0" fillId="13" borderId="62" xfId="2" applyFont="1" applyFill="1" applyBorder="1" applyAlignment="1">
      <alignment wrapText="1"/>
    </xf>
    <xf numFmtId="9" fontId="0" fillId="16" borderId="1" xfId="0" applyNumberFormat="1" applyFill="1" applyBorder="1" applyAlignment="1">
      <alignment wrapText="1"/>
    </xf>
    <xf numFmtId="9" fontId="0" fillId="0" borderId="1" xfId="0" applyNumberFormat="1" applyBorder="1" applyAlignment="1">
      <alignment wrapText="1"/>
    </xf>
    <xf numFmtId="0" fontId="0" fillId="13" borderId="17" xfId="0" applyFill="1" applyBorder="1"/>
    <xf numFmtId="3" fontId="33" fillId="0" borderId="3" xfId="0" applyNumberFormat="1" applyFont="1" applyBorder="1" applyAlignment="1">
      <alignment vertical="center" wrapText="1"/>
    </xf>
    <xf numFmtId="0" fontId="30" fillId="20" borderId="1" xfId="0" applyFont="1" applyFill="1" applyBorder="1" applyAlignment="1">
      <alignment horizontal="center" wrapText="1"/>
    </xf>
    <xf numFmtId="43" fontId="0" fillId="13" borderId="0" xfId="2" applyFont="1" applyFill="1" applyBorder="1" applyAlignment="1">
      <alignment wrapText="1"/>
    </xf>
    <xf numFmtId="0" fontId="0" fillId="6" borderId="24" xfId="0" applyFill="1" applyBorder="1"/>
    <xf numFmtId="0" fontId="0" fillId="6" borderId="25" xfId="0" applyFill="1" applyBorder="1"/>
    <xf numFmtId="0" fontId="0" fillId="6" borderId="26" xfId="0" applyFill="1" applyBorder="1"/>
    <xf numFmtId="0" fontId="87" fillId="6" borderId="33" xfId="0" applyFont="1" applyFill="1" applyBorder="1"/>
    <xf numFmtId="0" fontId="0" fillId="6" borderId="0" xfId="0" applyFill="1"/>
    <xf numFmtId="0" fontId="0" fillId="6" borderId="33" xfId="0" applyFill="1" applyBorder="1"/>
    <xf numFmtId="0" fontId="33" fillId="16" borderId="59" xfId="0" applyFont="1" applyFill="1" applyBorder="1"/>
    <xf numFmtId="0" fontId="33" fillId="16" borderId="4" xfId="0" applyFont="1" applyFill="1" applyBorder="1" applyAlignment="1">
      <alignment horizontal="justify" vertical="center"/>
    </xf>
    <xf numFmtId="0" fontId="0" fillId="16" borderId="5" xfId="0" applyFill="1" applyBorder="1"/>
    <xf numFmtId="0" fontId="0" fillId="6" borderId="30" xfId="0" applyFill="1" applyBorder="1"/>
    <xf numFmtId="0" fontId="0" fillId="6" borderId="31" xfId="0" applyFill="1" applyBorder="1"/>
    <xf numFmtId="0" fontId="0" fillId="6" borderId="32" xfId="0" applyFill="1" applyBorder="1"/>
    <xf numFmtId="0" fontId="0" fillId="41" borderId="26" xfId="0" applyFill="1" applyBorder="1"/>
    <xf numFmtId="0" fontId="0" fillId="41" borderId="33" xfId="0" applyFill="1" applyBorder="1"/>
    <xf numFmtId="0" fontId="0" fillId="41" borderId="0" xfId="0" applyFill="1"/>
    <xf numFmtId="0" fontId="0" fillId="41" borderId="34" xfId="0" applyFill="1" applyBorder="1"/>
    <xf numFmtId="0" fontId="0" fillId="0" borderId="27" xfId="0" applyBorder="1" applyAlignment="1">
      <alignment wrapText="1"/>
    </xf>
    <xf numFmtId="0" fontId="0" fillId="41" borderId="30" xfId="0" applyFill="1" applyBorder="1"/>
    <xf numFmtId="0" fontId="0" fillId="41" borderId="31" xfId="0" applyFill="1" applyBorder="1"/>
    <xf numFmtId="0" fontId="0" fillId="41" borderId="32" xfId="0" applyFill="1" applyBorder="1"/>
    <xf numFmtId="0" fontId="0" fillId="25" borderId="27" xfId="0" applyFill="1" applyBorder="1" applyAlignment="1">
      <alignment vertical="top"/>
    </xf>
    <xf numFmtId="0" fontId="0" fillId="25" borderId="28" xfId="0" applyFill="1" applyBorder="1" applyAlignment="1">
      <alignment vertical="top"/>
    </xf>
    <xf numFmtId="0" fontId="0" fillId="25" borderId="29" xfId="0" applyFill="1" applyBorder="1" applyAlignment="1">
      <alignment vertical="top"/>
    </xf>
    <xf numFmtId="0" fontId="0" fillId="25" borderId="33" xfId="0" applyFill="1" applyBorder="1" applyAlignment="1">
      <alignment vertical="top"/>
    </xf>
    <xf numFmtId="0" fontId="0" fillId="25" borderId="0" xfId="0" applyFill="1" applyAlignment="1">
      <alignment vertical="top"/>
    </xf>
    <xf numFmtId="0" fontId="0" fillId="25" borderId="34" xfId="0" applyFill="1" applyBorder="1" applyAlignment="1">
      <alignment vertical="top"/>
    </xf>
    <xf numFmtId="0" fontId="0" fillId="25" borderId="30" xfId="0" applyFill="1" applyBorder="1" applyAlignment="1">
      <alignment vertical="top"/>
    </xf>
    <xf numFmtId="0" fontId="0" fillId="25" borderId="31" xfId="0" applyFill="1" applyBorder="1" applyAlignment="1">
      <alignment vertical="top"/>
    </xf>
    <xf numFmtId="0" fontId="0" fillId="25" borderId="32" xfId="0" applyFill="1" applyBorder="1" applyAlignment="1">
      <alignment vertical="top"/>
    </xf>
    <xf numFmtId="3" fontId="0" fillId="0" borderId="31" xfId="0" applyNumberFormat="1" applyBorder="1" applyAlignment="1">
      <alignment vertical="center" wrapText="1"/>
    </xf>
    <xf numFmtId="9" fontId="0" fillId="0" borderId="28" xfId="0" applyNumberFormat="1" applyBorder="1" applyAlignment="1">
      <alignment vertical="center" wrapText="1"/>
    </xf>
    <xf numFmtId="0" fontId="33" fillId="0" borderId="28" xfId="0" applyFont="1" applyBorder="1" applyAlignment="1">
      <alignment horizontal="right" vertical="center" wrapText="1"/>
    </xf>
    <xf numFmtId="0" fontId="0" fillId="0" borderId="31" xfId="0" quotePrefix="1" applyBorder="1" applyAlignment="1">
      <alignment vertical="center"/>
    </xf>
    <xf numFmtId="0" fontId="32" fillId="20" borderId="24" xfId="0" applyFont="1" applyFill="1" applyBorder="1" applyAlignment="1">
      <alignment horizontal="center"/>
    </xf>
    <xf numFmtId="0" fontId="32" fillId="20" borderId="54" xfId="0" applyFont="1" applyFill="1" applyBorder="1" applyAlignment="1">
      <alignment horizontal="center"/>
    </xf>
    <xf numFmtId="0" fontId="32" fillId="20" borderId="37" xfId="0" applyFont="1" applyFill="1" applyBorder="1" applyAlignment="1">
      <alignment horizontal="center"/>
    </xf>
    <xf numFmtId="0" fontId="32" fillId="20" borderId="26" xfId="0" applyFont="1" applyFill="1" applyBorder="1" applyAlignment="1">
      <alignment horizontal="center"/>
    </xf>
    <xf numFmtId="0" fontId="32" fillId="20" borderId="25" xfId="0" applyFont="1" applyFill="1" applyBorder="1" applyAlignment="1">
      <alignment horizontal="center"/>
    </xf>
    <xf numFmtId="3" fontId="0" fillId="0" borderId="34" xfId="0" applyNumberFormat="1" applyBorder="1"/>
    <xf numFmtId="3" fontId="0" fillId="0" borderId="33" xfId="0" applyNumberFormat="1" applyBorder="1"/>
    <xf numFmtId="0" fontId="0" fillId="0" borderId="33" xfId="0" applyBorder="1" applyAlignment="1">
      <alignment horizontal="center"/>
    </xf>
    <xf numFmtId="0" fontId="0" fillId="0" borderId="47" xfId="0" applyBorder="1" applyAlignment="1">
      <alignment horizontal="center"/>
    </xf>
    <xf numFmtId="0" fontId="0" fillId="0" borderId="34" xfId="0" applyBorder="1" applyAlignment="1">
      <alignment horizontal="center"/>
    </xf>
    <xf numFmtId="3" fontId="0" fillId="0" borderId="31" xfId="0" applyNumberFormat="1" applyBorder="1"/>
    <xf numFmtId="3" fontId="0" fillId="0" borderId="30" xfId="0" applyNumberFormat="1" applyBorder="1"/>
    <xf numFmtId="0" fontId="0" fillId="0" borderId="30" xfId="0" applyBorder="1" applyAlignment="1">
      <alignment horizontal="center"/>
    </xf>
    <xf numFmtId="0" fontId="0" fillId="0" borderId="37" xfId="0" applyBorder="1" applyAlignment="1">
      <alignment horizontal="center"/>
    </xf>
    <xf numFmtId="0" fontId="0" fillId="0" borderId="32" xfId="0" applyBorder="1" applyAlignment="1">
      <alignment horizontal="center"/>
    </xf>
    <xf numFmtId="0" fontId="0" fillId="0" borderId="31" xfId="0" applyBorder="1" applyAlignment="1">
      <alignment horizontal="center"/>
    </xf>
    <xf numFmtId="170" fontId="0" fillId="4" borderId="34" xfId="2" applyNumberFormat="1" applyFont="1" applyFill="1" applyBorder="1"/>
    <xf numFmtId="170" fontId="0" fillId="4" borderId="0" xfId="2" applyNumberFormat="1" applyFont="1" applyFill="1" applyBorder="1"/>
    <xf numFmtId="0" fontId="67" fillId="17" borderId="50" xfId="0" applyFont="1" applyFill="1" applyBorder="1" applyAlignment="1">
      <alignment vertical="center" wrapText="1"/>
    </xf>
    <xf numFmtId="0" fontId="67" fillId="17" borderId="51" xfId="0" applyFont="1" applyFill="1" applyBorder="1" applyAlignment="1">
      <alignment horizontal="center" vertical="center" wrapText="1"/>
    </xf>
    <xf numFmtId="0" fontId="60" fillId="0" borderId="50" xfId="0" applyFont="1" applyBorder="1" applyAlignment="1">
      <alignment vertical="center" wrapText="1"/>
    </xf>
    <xf numFmtId="0" fontId="60" fillId="0" borderId="1" xfId="0" applyFont="1" applyBorder="1" applyAlignment="1">
      <alignment horizontal="center" vertical="center" wrapText="1"/>
    </xf>
    <xf numFmtId="170" fontId="33" fillId="0" borderId="1" xfId="2" applyNumberFormat="1" applyFont="1" applyBorder="1" applyAlignment="1">
      <alignment horizontal="center" vertical="center" wrapText="1"/>
    </xf>
    <xf numFmtId="170" fontId="33" fillId="0" borderId="1" xfId="2" applyNumberFormat="1" applyFont="1" applyBorder="1" applyAlignment="1">
      <alignment vertical="center" wrapText="1"/>
    </xf>
    <xf numFmtId="0" fontId="60" fillId="4" borderId="52" xfId="0" applyFont="1" applyFill="1" applyBorder="1" applyAlignment="1">
      <alignment vertical="center" wrapText="1"/>
    </xf>
    <xf numFmtId="170" fontId="60" fillId="4" borderId="45" xfId="2" applyNumberFormat="1" applyFont="1" applyFill="1" applyBorder="1" applyAlignment="1">
      <alignment horizontal="center" vertical="center" wrapText="1"/>
    </xf>
    <xf numFmtId="170" fontId="60" fillId="4" borderId="53" xfId="2" applyNumberFormat="1" applyFont="1" applyFill="1" applyBorder="1" applyAlignment="1">
      <alignment horizontal="center" vertical="center" wrapText="1"/>
    </xf>
    <xf numFmtId="0" fontId="33" fillId="0" borderId="1" xfId="0" applyFont="1" applyBorder="1" applyAlignment="1">
      <alignment horizontal="left" vertical="center" wrapText="1"/>
    </xf>
    <xf numFmtId="0" fontId="0" fillId="0" borderId="10" xfId="0" applyBorder="1"/>
    <xf numFmtId="0" fontId="8" fillId="0" borderId="41" xfId="0" applyFont="1" applyBorder="1" applyAlignment="1">
      <alignment wrapText="1"/>
    </xf>
    <xf numFmtId="0" fontId="8" fillId="0" borderId="23" xfId="0" applyFont="1" applyBorder="1" applyAlignment="1">
      <alignment wrapText="1"/>
    </xf>
    <xf numFmtId="0" fontId="0" fillId="0" borderId="41" xfId="0" applyBorder="1" applyAlignment="1">
      <alignment horizontal="center" wrapText="1"/>
    </xf>
    <xf numFmtId="171" fontId="0" fillId="0" borderId="41" xfId="2" applyNumberFormat="1" applyFont="1" applyFill="1" applyBorder="1" applyAlignment="1">
      <alignment horizontal="center" wrapText="1"/>
    </xf>
    <xf numFmtId="44" fontId="0" fillId="0" borderId="41" xfId="3" applyFont="1" applyFill="1" applyBorder="1" applyAlignment="1">
      <alignment horizontal="center" wrapText="1"/>
    </xf>
    <xf numFmtId="44" fontId="33" fillId="0" borderId="41" xfId="3" applyFont="1" applyFill="1" applyBorder="1" applyAlignment="1">
      <alignment horizontal="center" wrapText="1"/>
    </xf>
    <xf numFmtId="43" fontId="0" fillId="0" borderId="41" xfId="2" applyFont="1" applyFill="1" applyBorder="1" applyAlignment="1">
      <alignment wrapText="1"/>
    </xf>
    <xf numFmtId="167" fontId="0" fillId="0" borderId="41" xfId="2" applyNumberFormat="1" applyFont="1" applyFill="1" applyBorder="1" applyAlignment="1">
      <alignment wrapText="1"/>
    </xf>
    <xf numFmtId="43" fontId="0" fillId="0" borderId="0" xfId="2" applyFont="1" applyFill="1" applyBorder="1" applyAlignment="1">
      <alignment wrapText="1"/>
    </xf>
    <xf numFmtId="0" fontId="0" fillId="4" borderId="0" xfId="0" applyFill="1"/>
    <xf numFmtId="165" fontId="0" fillId="4" borderId="10" xfId="0" applyNumberFormat="1" applyFill="1" applyBorder="1"/>
    <xf numFmtId="3" fontId="0" fillId="4" borderId="0" xfId="0" applyNumberFormat="1" applyFill="1"/>
    <xf numFmtId="0" fontId="0" fillId="4" borderId="1" xfId="0" applyFill="1" applyBorder="1"/>
    <xf numFmtId="0" fontId="33" fillId="4" borderId="1" xfId="0" applyFont="1" applyFill="1" applyBorder="1" applyAlignment="1">
      <alignment vertical="center"/>
    </xf>
    <xf numFmtId="3" fontId="33" fillId="4" borderId="1" xfId="0" applyNumberFormat="1" applyFont="1" applyFill="1" applyBorder="1" applyAlignment="1">
      <alignment vertical="center"/>
    </xf>
    <xf numFmtId="0" fontId="33" fillId="4" borderId="1" xfId="0" applyFont="1" applyFill="1" applyBorder="1" applyAlignment="1">
      <alignment vertical="center" wrapText="1"/>
    </xf>
    <xf numFmtId="0" fontId="36" fillId="4" borderId="10" xfId="0" applyFont="1" applyFill="1" applyBorder="1" applyAlignment="1">
      <alignment horizontal="center" vertical="center" wrapText="1"/>
    </xf>
    <xf numFmtId="0" fontId="36" fillId="4" borderId="1" xfId="0" applyFont="1" applyFill="1" applyBorder="1" applyAlignment="1">
      <alignment horizontal="center" vertical="center" wrapText="1"/>
    </xf>
    <xf numFmtId="0" fontId="0" fillId="0" borderId="45" xfId="0" applyBorder="1" applyAlignment="1">
      <alignment horizontal="center" vertical="center"/>
    </xf>
    <xf numFmtId="0" fontId="0" fillId="0" borderId="1" xfId="0" applyBorder="1" applyAlignment="1">
      <alignment horizontal="center" vertical="center"/>
    </xf>
    <xf numFmtId="9" fontId="33" fillId="38" borderId="1" xfId="0" applyNumberFormat="1" applyFont="1" applyFill="1" applyBorder="1" applyAlignment="1">
      <alignment horizontal="center" vertical="center" wrapText="1"/>
    </xf>
    <xf numFmtId="170" fontId="0" fillId="16" borderId="30" xfId="2" applyNumberFormat="1" applyFont="1" applyFill="1" applyBorder="1" applyAlignment="1">
      <alignment horizontal="left" indent="3"/>
    </xf>
    <xf numFmtId="170" fontId="0" fillId="16" borderId="33" xfId="2" applyNumberFormat="1" applyFont="1" applyFill="1" applyBorder="1" applyAlignment="1">
      <alignment horizontal="left" indent="3"/>
    </xf>
    <xf numFmtId="170" fontId="0" fillId="16" borderId="27" xfId="2" applyNumberFormat="1" applyFont="1" applyFill="1" applyBorder="1" applyAlignment="1">
      <alignment horizontal="left" indent="3"/>
    </xf>
    <xf numFmtId="170" fontId="0" fillId="41" borderId="30" xfId="2" applyNumberFormat="1" applyFont="1" applyFill="1" applyBorder="1" applyAlignment="1">
      <alignment horizontal="left" indent="3"/>
    </xf>
    <xf numFmtId="170" fontId="0" fillId="41" borderId="33" xfId="2" applyNumberFormat="1" applyFont="1" applyFill="1" applyBorder="1" applyAlignment="1">
      <alignment horizontal="left" indent="3"/>
    </xf>
    <xf numFmtId="10" fontId="33" fillId="35" borderId="1" xfId="0" applyNumberFormat="1" applyFont="1" applyFill="1" applyBorder="1" applyAlignment="1">
      <alignment vertical="center" wrapText="1"/>
    </xf>
    <xf numFmtId="6" fontId="33" fillId="38" borderId="1" xfId="0" applyNumberFormat="1" applyFont="1" applyFill="1" applyBorder="1" applyAlignment="1">
      <alignment vertical="center" wrapText="1"/>
    </xf>
    <xf numFmtId="9" fontId="33" fillId="35" borderId="1" xfId="0" applyNumberFormat="1" applyFont="1" applyFill="1" applyBorder="1" applyAlignment="1">
      <alignment horizontal="right" vertical="center" wrapText="1"/>
    </xf>
    <xf numFmtId="9" fontId="33" fillId="35" borderId="1" xfId="0" applyNumberFormat="1" applyFont="1" applyFill="1" applyBorder="1" applyAlignment="1">
      <alignment vertical="center" wrapText="1"/>
    </xf>
    <xf numFmtId="170" fontId="8" fillId="41" borderId="33" xfId="2" applyNumberFormat="1" applyFont="1" applyFill="1" applyBorder="1" applyAlignment="1">
      <alignment horizontal="left" indent="2"/>
    </xf>
    <xf numFmtId="9" fontId="0" fillId="4" borderId="26" xfId="0" applyNumberFormat="1" applyFill="1" applyBorder="1"/>
    <xf numFmtId="0" fontId="0" fillId="4" borderId="25" xfId="0" applyFill="1" applyBorder="1"/>
    <xf numFmtId="170" fontId="0" fillId="4" borderId="24" xfId="2" applyNumberFormat="1" applyFont="1" applyFill="1" applyBorder="1" applyAlignment="1">
      <alignment horizontal="left" indent="3"/>
    </xf>
    <xf numFmtId="170" fontId="0" fillId="41" borderId="33" xfId="2" applyNumberFormat="1" applyFont="1" applyFill="1" applyBorder="1" applyAlignment="1">
      <alignment horizontal="left" indent="5"/>
    </xf>
    <xf numFmtId="0" fontId="95" fillId="0" borderId="0" xfId="0" applyFont="1" applyProtection="1">
      <protection locked="0"/>
    </xf>
    <xf numFmtId="0" fontId="0" fillId="18" borderId="34" xfId="0" applyFill="1" applyBorder="1"/>
    <xf numFmtId="0" fontId="30" fillId="18" borderId="33" xfId="0" applyFont="1" applyFill="1" applyBorder="1" applyAlignment="1">
      <alignment vertical="center"/>
    </xf>
    <xf numFmtId="0" fontId="0" fillId="41" borderId="29" xfId="0" applyFill="1" applyBorder="1"/>
    <xf numFmtId="0" fontId="0" fillId="41" borderId="28" xfId="0" applyFill="1" applyBorder="1"/>
    <xf numFmtId="170" fontId="0" fillId="41" borderId="27" xfId="2" applyNumberFormat="1" applyFont="1" applyFill="1" applyBorder="1" applyAlignment="1">
      <alignment horizontal="left" indent="3"/>
    </xf>
    <xf numFmtId="0" fontId="0" fillId="16" borderId="37" xfId="0" applyFill="1" applyBorder="1"/>
    <xf numFmtId="0" fontId="0" fillId="16" borderId="30" xfId="0" applyFill="1" applyBorder="1" applyAlignment="1">
      <alignment wrapText="1"/>
    </xf>
    <xf numFmtId="0" fontId="0" fillId="16" borderId="28" xfId="0" applyFill="1" applyBorder="1" applyAlignment="1">
      <alignment horizontal="center" vertical="center"/>
    </xf>
    <xf numFmtId="0" fontId="0" fillId="16" borderId="24" xfId="0" applyFill="1" applyBorder="1" applyAlignment="1">
      <alignment wrapText="1"/>
    </xf>
    <xf numFmtId="0" fontId="8" fillId="16" borderId="33" xfId="0" applyFont="1" applyFill="1" applyBorder="1" applyAlignment="1">
      <alignment horizontal="left" indent="2"/>
    </xf>
    <xf numFmtId="0" fontId="41" fillId="16" borderId="33" xfId="4" applyFill="1" applyBorder="1" applyAlignment="1" applyProtection="1">
      <alignment horizontal="left" indent="3"/>
    </xf>
    <xf numFmtId="9" fontId="0" fillId="16" borderId="28" xfId="1" applyFont="1" applyFill="1" applyBorder="1" applyAlignment="1">
      <alignment horizontal="center" vertical="center"/>
    </xf>
    <xf numFmtId="0" fontId="87" fillId="16" borderId="27" xfId="0" applyFont="1" applyFill="1" applyBorder="1"/>
    <xf numFmtId="0" fontId="33" fillId="16" borderId="31" xfId="0" applyFont="1" applyFill="1" applyBorder="1" applyAlignment="1">
      <alignment vertical="center"/>
    </xf>
    <xf numFmtId="0" fontId="33" fillId="16" borderId="28" xfId="0" applyFont="1" applyFill="1" applyBorder="1" applyAlignment="1">
      <alignment vertical="center"/>
    </xf>
    <xf numFmtId="0" fontId="39" fillId="16" borderId="27" xfId="0" applyFont="1" applyFill="1" applyBorder="1"/>
    <xf numFmtId="170" fontId="0" fillId="16" borderId="28" xfId="0" applyNumberFormat="1" applyFill="1" applyBorder="1" applyAlignment="1">
      <alignment horizontal="center" vertical="center"/>
    </xf>
    <xf numFmtId="0" fontId="0" fillId="16" borderId="54" xfId="0" applyFill="1" applyBorder="1" applyAlignment="1">
      <alignment wrapText="1"/>
    </xf>
    <xf numFmtId="0" fontId="30" fillId="18" borderId="54" xfId="0" applyFont="1" applyFill="1" applyBorder="1" applyAlignment="1">
      <alignment horizontal="center"/>
    </xf>
    <xf numFmtId="0" fontId="87" fillId="16" borderId="33" xfId="0" applyFont="1" applyFill="1" applyBorder="1"/>
    <xf numFmtId="0" fontId="0" fillId="16" borderId="14" xfId="0" applyFill="1" applyBorder="1"/>
    <xf numFmtId="0" fontId="0" fillId="16" borderId="9" xfId="0" applyFill="1" applyBorder="1"/>
    <xf numFmtId="0" fontId="33" fillId="16" borderId="9" xfId="0" applyFont="1" applyFill="1" applyBorder="1"/>
    <xf numFmtId="0" fontId="33" fillId="16" borderId="8" xfId="0" applyFont="1" applyFill="1" applyBorder="1"/>
    <xf numFmtId="43" fontId="0" fillId="13" borderId="18" xfId="2" applyFont="1" applyFill="1" applyBorder="1" applyAlignment="1">
      <alignment wrapText="1"/>
    </xf>
    <xf numFmtId="44" fontId="0" fillId="13" borderId="18" xfId="3" applyFont="1" applyFill="1" applyBorder="1" applyAlignment="1">
      <alignment wrapText="1"/>
    </xf>
    <xf numFmtId="0" fontId="0" fillId="13" borderId="0" xfId="0" applyFill="1" applyAlignment="1">
      <alignment wrapText="1"/>
    </xf>
    <xf numFmtId="0" fontId="0" fillId="13" borderId="0" xfId="0" applyFill="1"/>
    <xf numFmtId="2" fontId="0" fillId="37" borderId="1" xfId="0" applyNumberFormat="1" applyFill="1" applyBorder="1"/>
    <xf numFmtId="177" fontId="0" fillId="0" borderId="0" xfId="0" applyNumberFormat="1"/>
    <xf numFmtId="0" fontId="8" fillId="13" borderId="62" xfId="0" applyFont="1" applyFill="1" applyBorder="1" applyAlignment="1">
      <alignment wrapText="1"/>
    </xf>
    <xf numFmtId="0" fontId="39" fillId="16" borderId="5" xfId="0" applyFont="1" applyFill="1" applyBorder="1"/>
    <xf numFmtId="0" fontId="92" fillId="14" borderId="17" xfId="0" applyFont="1" applyFill="1" applyBorder="1" applyAlignment="1">
      <alignment horizontal="center"/>
    </xf>
    <xf numFmtId="0" fontId="8" fillId="14" borderId="20" xfId="0" applyFont="1" applyFill="1" applyBorder="1" applyAlignment="1">
      <alignment wrapText="1"/>
    </xf>
    <xf numFmtId="0" fontId="8" fillId="14" borderId="22" xfId="0" applyFont="1" applyFill="1" applyBorder="1" applyAlignment="1">
      <alignment wrapText="1"/>
    </xf>
    <xf numFmtId="0" fontId="8" fillId="14" borderId="17" xfId="0" applyFont="1" applyFill="1" applyBorder="1"/>
    <xf numFmtId="0" fontId="0" fillId="0" borderId="0" xfId="0" applyAlignment="1">
      <alignment horizontal="center" wrapText="1"/>
    </xf>
    <xf numFmtId="0" fontId="0" fillId="0" borderId="18" xfId="0" applyBorder="1" applyAlignment="1">
      <alignment horizontal="center" wrapText="1"/>
    </xf>
    <xf numFmtId="0" fontId="0" fillId="16" borderId="28" xfId="0" applyFill="1" applyBorder="1" applyAlignment="1">
      <alignment horizontal="left" vertical="top" wrapText="1"/>
    </xf>
    <xf numFmtId="0" fontId="8" fillId="14" borderId="22" xfId="0" applyFont="1" applyFill="1" applyBorder="1" applyAlignment="1">
      <alignment horizontal="center" wrapText="1"/>
    </xf>
    <xf numFmtId="0" fontId="30" fillId="39" borderId="0" xfId="0" applyFont="1" applyFill="1" applyAlignment="1">
      <alignment horizontal="left"/>
    </xf>
    <xf numFmtId="0" fontId="0" fillId="0" borderId="29" xfId="0" applyBorder="1" applyAlignment="1">
      <alignment vertical="center" wrapText="1"/>
    </xf>
    <xf numFmtId="0" fontId="0" fillId="0" borderId="30" xfId="0" applyBorder="1" applyAlignment="1">
      <alignment vertical="center" wrapText="1"/>
    </xf>
    <xf numFmtId="0" fontId="0" fillId="0" borderId="32" xfId="0" applyBorder="1" applyAlignment="1">
      <alignment vertical="center" wrapText="1"/>
    </xf>
    <xf numFmtId="0" fontId="30" fillId="18" borderId="55" xfId="0" applyFont="1" applyFill="1" applyBorder="1" applyAlignment="1">
      <alignment horizontal="center"/>
    </xf>
    <xf numFmtId="170" fontId="0" fillId="16" borderId="28" xfId="2" applyNumberFormat="1" applyFont="1" applyFill="1" applyBorder="1" applyAlignment="1">
      <alignment vertical="top"/>
    </xf>
    <xf numFmtId="0" fontId="0" fillId="16" borderId="55" xfId="0" applyFill="1" applyBorder="1" applyAlignment="1">
      <alignment horizontal="left" vertical="top" wrapText="1"/>
    </xf>
    <xf numFmtId="0" fontId="0" fillId="16" borderId="33" xfId="0" applyFill="1" applyBorder="1" applyAlignment="1">
      <alignment vertical="top"/>
    </xf>
    <xf numFmtId="170" fontId="0" fillId="16" borderId="0" xfId="2" applyNumberFormat="1" applyFont="1" applyFill="1" applyBorder="1" applyAlignment="1">
      <alignment vertical="top"/>
    </xf>
    <xf numFmtId="0" fontId="0" fillId="16" borderId="47" xfId="0" applyFill="1" applyBorder="1" applyAlignment="1">
      <alignment horizontal="left" vertical="top" wrapText="1"/>
    </xf>
    <xf numFmtId="170" fontId="0" fillId="16" borderId="31" xfId="2" applyNumberFormat="1" applyFont="1" applyFill="1" applyBorder="1" applyAlignment="1">
      <alignment vertical="top"/>
    </xf>
    <xf numFmtId="0" fontId="0" fillId="16" borderId="37" xfId="0" applyFill="1" applyBorder="1" applyAlignment="1">
      <alignment horizontal="left" vertical="top" wrapText="1"/>
    </xf>
    <xf numFmtId="0" fontId="0" fillId="16" borderId="0" xfId="0" applyFill="1" applyAlignment="1">
      <alignment vertical="top"/>
    </xf>
    <xf numFmtId="0" fontId="0" fillId="16" borderId="55" xfId="0" applyFill="1" applyBorder="1" applyAlignment="1">
      <alignment vertical="top"/>
    </xf>
    <xf numFmtId="0" fontId="0" fillId="16" borderId="47" xfId="0" applyFill="1" applyBorder="1" applyAlignment="1">
      <alignment vertical="top"/>
    </xf>
    <xf numFmtId="44" fontId="0" fillId="16" borderId="28" xfId="3" applyFont="1" applyFill="1" applyBorder="1" applyAlignment="1">
      <alignment vertical="top"/>
    </xf>
    <xf numFmtId="0" fontId="0" fillId="16" borderId="37" xfId="0" applyFill="1" applyBorder="1" applyAlignment="1">
      <alignment vertical="top"/>
    </xf>
    <xf numFmtId="0" fontId="32" fillId="20" borderId="25" xfId="0" applyFont="1" applyFill="1" applyBorder="1"/>
    <xf numFmtId="0" fontId="32" fillId="20" borderId="33" xfId="0" applyFont="1" applyFill="1" applyBorder="1"/>
    <xf numFmtId="170" fontId="0" fillId="16" borderId="34" xfId="2" applyNumberFormat="1" applyFont="1" applyFill="1" applyBorder="1"/>
    <xf numFmtId="0" fontId="32" fillId="20" borderId="30" xfId="0" applyFont="1" applyFill="1" applyBorder="1"/>
    <xf numFmtId="10" fontId="0" fillId="16" borderId="31" xfId="0" applyNumberFormat="1" applyFill="1" applyBorder="1"/>
    <xf numFmtId="0" fontId="32" fillId="20" borderId="24" xfId="0" applyFont="1" applyFill="1" applyBorder="1" applyAlignment="1">
      <alignment wrapText="1"/>
    </xf>
    <xf numFmtId="0" fontId="32" fillId="20" borderId="24" xfId="0" quotePrefix="1" applyFont="1" applyFill="1" applyBorder="1"/>
    <xf numFmtId="0" fontId="32" fillId="20" borderId="54" xfId="0" applyFont="1" applyFill="1" applyBorder="1" applyAlignment="1">
      <alignment wrapText="1"/>
    </xf>
    <xf numFmtId="0" fontId="32" fillId="20" borderId="54" xfId="0" applyFont="1" applyFill="1" applyBorder="1"/>
    <xf numFmtId="170" fontId="0" fillId="16" borderId="47" xfId="2" applyNumberFormat="1" applyFont="1" applyFill="1" applyBorder="1"/>
    <xf numFmtId="170" fontId="0" fillId="16" borderId="47" xfId="0" applyNumberFormat="1" applyFill="1" applyBorder="1"/>
    <xf numFmtId="10" fontId="0" fillId="16" borderId="34" xfId="0" applyNumberFormat="1" applyFill="1" applyBorder="1"/>
    <xf numFmtId="170" fontId="0" fillId="16" borderId="37" xfId="2" applyNumberFormat="1" applyFont="1" applyFill="1" applyBorder="1"/>
    <xf numFmtId="170" fontId="0" fillId="16" borderId="37" xfId="0" applyNumberFormat="1" applyFill="1" applyBorder="1"/>
    <xf numFmtId="10" fontId="0" fillId="16" borderId="37" xfId="0" applyNumberFormat="1" applyFill="1" applyBorder="1"/>
    <xf numFmtId="10" fontId="0" fillId="16" borderId="32" xfId="0" applyNumberFormat="1" applyFill="1" applyBorder="1"/>
    <xf numFmtId="0" fontId="8" fillId="0" borderId="17" xfId="0" applyFont="1" applyBorder="1" applyAlignment="1">
      <alignment horizontal="center" wrapText="1"/>
    </xf>
    <xf numFmtId="0" fontId="8" fillId="0" borderId="23" xfId="0" applyFont="1" applyBorder="1" applyAlignment="1">
      <alignment horizontal="center" wrapText="1"/>
    </xf>
    <xf numFmtId="0" fontId="8" fillId="13" borderId="18" xfId="0" applyFont="1" applyFill="1" applyBorder="1"/>
    <xf numFmtId="1" fontId="0" fillId="13" borderId="18" xfId="0" applyNumberFormat="1" applyFill="1" applyBorder="1" applyAlignment="1">
      <alignment horizontal="center" wrapText="1"/>
    </xf>
    <xf numFmtId="43" fontId="0" fillId="0" borderId="18" xfId="2" applyFont="1" applyFill="1" applyBorder="1" applyAlignment="1">
      <alignment wrapText="1"/>
    </xf>
    <xf numFmtId="167" fontId="0" fillId="0" borderId="18" xfId="2" applyNumberFormat="1" applyFont="1" applyFill="1" applyBorder="1" applyAlignment="1">
      <alignment wrapText="1"/>
    </xf>
    <xf numFmtId="43" fontId="0" fillId="0" borderId="23" xfId="2" applyFont="1" applyFill="1" applyBorder="1" applyAlignment="1">
      <alignment wrapText="1"/>
    </xf>
    <xf numFmtId="0" fontId="8" fillId="14" borderId="0" xfId="0" applyFont="1" applyFill="1" applyAlignment="1">
      <alignment horizontal="center" vertical="center" wrapText="1"/>
    </xf>
    <xf numFmtId="43" fontId="0" fillId="13" borderId="17" xfId="0" applyNumberFormat="1" applyFill="1" applyBorder="1" applyAlignment="1">
      <alignment vertical="center"/>
    </xf>
    <xf numFmtId="0" fontId="30" fillId="0" borderId="0" xfId="0" applyFont="1" applyAlignment="1">
      <alignment horizontal="left"/>
    </xf>
    <xf numFmtId="0" fontId="57" fillId="0" borderId="0" xfId="0" applyFont="1" applyAlignment="1">
      <alignment horizontal="left" vertical="center"/>
    </xf>
    <xf numFmtId="6" fontId="0" fillId="0" borderId="0" xfId="0" applyNumberFormat="1" applyAlignment="1">
      <alignment horizontal="left"/>
    </xf>
    <xf numFmtId="0" fontId="30" fillId="39" borderId="1" xfId="0" applyFont="1" applyFill="1" applyBorder="1"/>
    <xf numFmtId="0" fontId="0" fillId="0" borderId="2" xfId="0" applyBorder="1"/>
    <xf numFmtId="0" fontId="67" fillId="45" borderId="55" xfId="0" applyFont="1" applyFill="1" applyBorder="1" applyAlignment="1">
      <alignment horizontal="center" vertical="center" wrapText="1"/>
    </xf>
    <xf numFmtId="0" fontId="36" fillId="45" borderId="54" xfId="0" applyFont="1" applyFill="1" applyBorder="1" applyAlignment="1">
      <alignment horizontal="center" vertical="center" wrapText="1"/>
    </xf>
    <xf numFmtId="0" fontId="67" fillId="45" borderId="37" xfId="0" applyFont="1" applyFill="1" applyBorder="1" applyAlignment="1">
      <alignment horizontal="center" vertical="center" wrapText="1"/>
    </xf>
    <xf numFmtId="0" fontId="67" fillId="45" borderId="32" xfId="0" applyFont="1" applyFill="1" applyBorder="1" applyAlignment="1">
      <alignment horizontal="center" vertical="center" wrapText="1"/>
    </xf>
    <xf numFmtId="0" fontId="36" fillId="45" borderId="32" xfId="0" applyFont="1" applyFill="1" applyBorder="1" applyAlignment="1">
      <alignment horizontal="center" vertical="center" wrapText="1"/>
    </xf>
    <xf numFmtId="0" fontId="60" fillId="0" borderId="37" xfId="0" applyFont="1" applyBorder="1" applyAlignment="1">
      <alignment horizontal="center" vertical="center" wrapText="1"/>
    </xf>
    <xf numFmtId="0" fontId="70" fillId="0" borderId="32" xfId="0" applyFont="1" applyBorder="1" applyAlignment="1">
      <alignment horizontal="center" vertical="center" wrapText="1"/>
    </xf>
    <xf numFmtId="0" fontId="53" fillId="0" borderId="32" xfId="0" applyFont="1" applyBorder="1" applyAlignment="1">
      <alignment horizontal="center" vertical="center" wrapText="1"/>
    </xf>
    <xf numFmtId="0" fontId="8" fillId="0" borderId="41" xfId="0" applyFont="1" applyBorder="1" applyAlignment="1">
      <alignment vertical="center" wrapText="1"/>
    </xf>
    <xf numFmtId="0" fontId="8" fillId="0" borderId="64" xfId="0" applyFont="1" applyBorder="1" applyAlignment="1">
      <alignment horizontal="center" vertical="center" wrapText="1"/>
    </xf>
    <xf numFmtId="0" fontId="8" fillId="0" borderId="0" xfId="0" applyFont="1" applyAlignment="1">
      <alignment horizontal="center" vertical="center" wrapText="1"/>
    </xf>
    <xf numFmtId="0" fontId="0" fillId="0" borderId="18" xfId="0" applyBorder="1" applyAlignment="1">
      <alignment horizontal="center" vertical="center" wrapText="1"/>
    </xf>
    <xf numFmtId="166" fontId="0" fillId="0" borderId="18" xfId="3" applyNumberFormat="1" applyFont="1" applyFill="1" applyBorder="1" applyAlignment="1">
      <alignment vertical="center" wrapText="1"/>
    </xf>
    <xf numFmtId="43" fontId="0" fillId="0" borderId="18" xfId="2" applyFont="1" applyFill="1" applyBorder="1" applyAlignment="1">
      <alignment vertical="center" wrapText="1"/>
    </xf>
    <xf numFmtId="174" fontId="0" fillId="0" borderId="18" xfId="0" applyNumberFormat="1" applyBorder="1" applyAlignment="1">
      <alignment vertical="center" wrapText="1"/>
    </xf>
    <xf numFmtId="0" fontId="0" fillId="0" borderId="18" xfId="0" applyBorder="1" applyAlignment="1">
      <alignment vertical="center" wrapText="1"/>
    </xf>
    <xf numFmtId="43" fontId="0" fillId="0" borderId="23" xfId="2" applyFont="1" applyFill="1" applyBorder="1" applyAlignment="1">
      <alignment vertical="center" wrapText="1"/>
    </xf>
    <xf numFmtId="174" fontId="0" fillId="0" borderId="17" xfId="0" applyNumberFormat="1" applyBorder="1" applyAlignment="1">
      <alignment vertical="center" wrapText="1"/>
    </xf>
    <xf numFmtId="0" fontId="0" fillId="0" borderId="17" xfId="0" applyBorder="1" applyAlignment="1">
      <alignment vertical="center" wrapText="1"/>
    </xf>
    <xf numFmtId="9" fontId="0" fillId="0" borderId="0" xfId="1" applyFont="1" applyFill="1"/>
    <xf numFmtId="0" fontId="30" fillId="39" borderId="48" xfId="0" applyFont="1" applyFill="1" applyBorder="1" applyAlignment="1">
      <alignment horizontal="center" vertical="center"/>
    </xf>
    <xf numFmtId="0" fontId="30" fillId="39" borderId="49" xfId="0" applyFont="1" applyFill="1"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1" xfId="0" applyBorder="1" applyAlignment="1">
      <alignment horizontal="center"/>
    </xf>
    <xf numFmtId="0" fontId="0" fillId="0" borderId="52" xfId="0" applyBorder="1" applyAlignment="1">
      <alignment horizontal="center" vertical="center"/>
    </xf>
    <xf numFmtId="0" fontId="0" fillId="0" borderId="53" xfId="0" applyBorder="1" applyAlignment="1">
      <alignment horizontal="center" vertical="center"/>
    </xf>
    <xf numFmtId="0" fontId="8" fillId="0" borderId="64" xfId="0" applyFont="1" applyBorder="1" applyAlignment="1">
      <alignment vertical="center" wrapText="1"/>
    </xf>
    <xf numFmtId="0" fontId="8" fillId="0" borderId="0" xfId="0" applyFont="1" applyAlignment="1">
      <alignment vertical="center" wrapText="1"/>
    </xf>
    <xf numFmtId="0" fontId="67" fillId="39" borderId="37" xfId="0" applyFont="1" applyFill="1" applyBorder="1" applyAlignment="1">
      <alignment horizontal="center" vertical="center"/>
    </xf>
    <xf numFmtId="0" fontId="67" fillId="39" borderId="32" xfId="0" applyFont="1" applyFill="1" applyBorder="1" applyAlignment="1">
      <alignment horizontal="center" vertical="center" wrapText="1"/>
    </xf>
    <xf numFmtId="0" fontId="70" fillId="0" borderId="37" xfId="0" applyFont="1" applyBorder="1" applyAlignment="1">
      <alignment horizontal="center" vertical="center"/>
    </xf>
    <xf numFmtId="0" fontId="60" fillId="0" borderId="32" xfId="0" applyFont="1" applyBorder="1" applyAlignment="1">
      <alignment horizontal="center" vertical="center" wrapText="1"/>
    </xf>
    <xf numFmtId="0" fontId="70" fillId="0" borderId="0" xfId="0" applyFont="1" applyAlignment="1">
      <alignment horizontal="left" vertical="center"/>
    </xf>
    <xf numFmtId="0" fontId="8" fillId="14" borderId="57" xfId="0" applyFont="1" applyFill="1" applyBorder="1" applyAlignment="1">
      <alignment wrapText="1"/>
    </xf>
    <xf numFmtId="0" fontId="8" fillId="14" borderId="64" xfId="0" applyFont="1" applyFill="1" applyBorder="1" applyAlignment="1">
      <alignment wrapText="1"/>
    </xf>
    <xf numFmtId="0" fontId="0" fillId="3" borderId="17" xfId="0" applyFill="1" applyBorder="1"/>
    <xf numFmtId="0" fontId="0" fillId="0" borderId="85" xfId="0" applyBorder="1"/>
    <xf numFmtId="0" fontId="52" fillId="16" borderId="8" xfId="0" applyFont="1" applyFill="1" applyBorder="1"/>
    <xf numFmtId="0" fontId="34" fillId="16" borderId="9" xfId="0" applyFont="1" applyFill="1" applyBorder="1"/>
    <xf numFmtId="0" fontId="51" fillId="16" borderId="7" xfId="0" applyFont="1" applyFill="1" applyBorder="1"/>
    <xf numFmtId="0" fontId="34" fillId="16" borderId="6" xfId="0" applyFont="1" applyFill="1" applyBorder="1"/>
    <xf numFmtId="0" fontId="0" fillId="0" borderId="21" xfId="0" applyBorder="1"/>
    <xf numFmtId="0" fontId="32" fillId="0" borderId="0" xfId="0" applyFont="1"/>
    <xf numFmtId="0" fontId="157" fillId="23" borderId="26" xfId="0" applyFont="1" applyFill="1" applyBorder="1" applyAlignment="1">
      <alignment horizontal="center" vertical="center" wrapText="1"/>
    </xf>
    <xf numFmtId="0" fontId="60" fillId="0" borderId="24" xfId="0" applyFont="1" applyBorder="1" applyAlignment="1">
      <alignment vertical="center" wrapText="1"/>
    </xf>
    <xf numFmtId="0" fontId="60" fillId="0" borderId="26" xfId="0" applyFont="1" applyBorder="1" applyAlignment="1">
      <alignment vertical="center" wrapText="1"/>
    </xf>
    <xf numFmtId="0" fontId="0" fillId="0" borderId="54" xfId="0" applyBorder="1" applyAlignment="1">
      <alignment horizontal="center"/>
    </xf>
    <xf numFmtId="44" fontId="0" fillId="0" borderId="18" xfId="3" applyFont="1" applyFill="1" applyBorder="1" applyAlignment="1">
      <alignment horizontal="center" wrapText="1"/>
    </xf>
    <xf numFmtId="0" fontId="0" fillId="0" borderId="17" xfId="0" applyBorder="1" applyAlignment="1">
      <alignment wrapText="1"/>
    </xf>
    <xf numFmtId="0" fontId="0" fillId="0" borderId="22" xfId="0" applyBorder="1" applyAlignment="1">
      <alignment wrapText="1"/>
    </xf>
    <xf numFmtId="2" fontId="0" fillId="0" borderId="18" xfId="2" applyNumberFormat="1" applyFont="1" applyFill="1" applyBorder="1" applyAlignment="1">
      <alignment horizontal="center" wrapText="1"/>
    </xf>
    <xf numFmtId="174" fontId="0" fillId="0" borderId="18" xfId="2" applyNumberFormat="1" applyFont="1" applyFill="1" applyBorder="1" applyAlignment="1">
      <alignment horizontal="center" wrapText="1"/>
    </xf>
    <xf numFmtId="43" fontId="0" fillId="0" borderId="18" xfId="2" applyFont="1" applyFill="1" applyBorder="1" applyAlignment="1">
      <alignment horizontal="center" wrapText="1"/>
    </xf>
    <xf numFmtId="180" fontId="0" fillId="0" borderId="0" xfId="0" applyNumberFormat="1"/>
    <xf numFmtId="0" fontId="67" fillId="23" borderId="54" xfId="0" applyFont="1" applyFill="1" applyBorder="1" applyAlignment="1">
      <alignment horizontal="center" vertical="center" wrapText="1"/>
    </xf>
    <xf numFmtId="0" fontId="67" fillId="23" borderId="26" xfId="0" applyFont="1" applyFill="1" applyBorder="1" applyAlignment="1">
      <alignment horizontal="center" vertical="center" wrapText="1"/>
    </xf>
    <xf numFmtId="0" fontId="60" fillId="0" borderId="0" xfId="0" applyFont="1" applyAlignment="1">
      <alignment horizontal="left" vertical="center"/>
    </xf>
    <xf numFmtId="0" fontId="60" fillId="0" borderId="0" xfId="0" applyFont="1" applyAlignment="1">
      <alignment horizontal="left" vertical="center" wrapText="1"/>
    </xf>
    <xf numFmtId="9" fontId="60" fillId="0" borderId="32" xfId="0" applyNumberFormat="1" applyFont="1" applyBorder="1" applyAlignment="1">
      <alignment horizontal="center" vertical="center" wrapText="1"/>
    </xf>
    <xf numFmtId="10" fontId="60" fillId="0" borderId="32" xfId="0" applyNumberFormat="1" applyFont="1" applyBorder="1" applyAlignment="1">
      <alignment horizontal="center" vertical="center" wrapText="1"/>
    </xf>
    <xf numFmtId="44" fontId="0" fillId="0" borderId="18" xfId="3" applyFont="1" applyFill="1" applyBorder="1" applyAlignment="1">
      <alignment horizontal="left" wrapText="1"/>
    </xf>
    <xf numFmtId="170" fontId="0" fillId="0" borderId="17" xfId="2" applyNumberFormat="1" applyFont="1" applyFill="1" applyBorder="1" applyAlignment="1">
      <alignment wrapText="1"/>
    </xf>
    <xf numFmtId="10" fontId="0" fillId="0" borderId="17" xfId="1" applyNumberFormat="1" applyFont="1" applyFill="1" applyBorder="1"/>
    <xf numFmtId="0" fontId="8" fillId="0" borderId="64" xfId="0" applyFont="1" applyBorder="1" applyAlignment="1">
      <alignment vertical="center"/>
    </xf>
    <xf numFmtId="166" fontId="0" fillId="0" borderId="0" xfId="3" applyNumberFormat="1" applyFont="1" applyFill="1" applyBorder="1" applyAlignment="1">
      <alignment vertical="center" wrapText="1"/>
    </xf>
    <xf numFmtId="167" fontId="0" fillId="0" borderId="0" xfId="2" applyNumberFormat="1" applyFont="1" applyFill="1" applyBorder="1" applyAlignment="1">
      <alignment wrapText="1"/>
    </xf>
    <xf numFmtId="0" fontId="0" fillId="21" borderId="1" xfId="0" applyFill="1" applyBorder="1" applyAlignment="1">
      <alignment vertical="center"/>
    </xf>
    <xf numFmtId="0" fontId="0" fillId="21" borderId="1" xfId="0" applyFill="1" applyBorder="1" applyAlignment="1">
      <alignment horizontal="center" vertical="center"/>
    </xf>
    <xf numFmtId="0" fontId="0" fillId="21" borderId="1" xfId="0" applyFill="1" applyBorder="1" applyAlignment="1">
      <alignment horizontal="center" vertical="center" wrapText="1"/>
    </xf>
    <xf numFmtId="170" fontId="0" fillId="37" borderId="1" xfId="2" applyNumberFormat="1" applyFont="1" applyFill="1" applyBorder="1" applyAlignment="1">
      <alignment horizontal="center" vertical="center"/>
    </xf>
    <xf numFmtId="170" fontId="0" fillId="38" borderId="1" xfId="2" applyNumberFormat="1" applyFont="1" applyFill="1" applyBorder="1" applyAlignment="1">
      <alignment vertical="center"/>
    </xf>
    <xf numFmtId="0" fontId="8" fillId="0" borderId="0" xfId="0" applyFont="1" applyAlignment="1">
      <alignment horizontal="left" indent="2"/>
    </xf>
    <xf numFmtId="0" fontId="8" fillId="0" borderId="0" xfId="0" applyFont="1" applyAlignment="1">
      <alignment horizontal="center" wrapText="1"/>
    </xf>
    <xf numFmtId="170" fontId="8" fillId="0" borderId="0" xfId="2" applyNumberFormat="1" applyFont="1" applyFill="1" applyBorder="1"/>
    <xf numFmtId="0" fontId="0" fillId="0" borderId="0" xfId="0" applyAlignment="1">
      <alignment horizontal="left" indent="1"/>
    </xf>
    <xf numFmtId="169" fontId="0" fillId="0" borderId="1" xfId="1" applyNumberFormat="1" applyFont="1" applyFill="1" applyBorder="1"/>
    <xf numFmtId="169" fontId="0" fillId="0" borderId="45" xfId="1" applyNumberFormat="1" applyFont="1" applyFill="1" applyBorder="1"/>
    <xf numFmtId="169" fontId="0" fillId="0" borderId="10" xfId="1" applyNumberFormat="1" applyFont="1" applyFill="1" applyBorder="1"/>
    <xf numFmtId="169" fontId="0" fillId="0" borderId="116" xfId="1" applyNumberFormat="1" applyFont="1" applyFill="1" applyBorder="1"/>
    <xf numFmtId="0" fontId="0" fillId="0" borderId="1" xfId="0" applyBorder="1" applyAlignment="1">
      <alignment horizontal="left"/>
    </xf>
    <xf numFmtId="3" fontId="0" fillId="0" borderId="45" xfId="0" applyNumberFormat="1" applyBorder="1"/>
    <xf numFmtId="3" fontId="0" fillId="0" borderId="16" xfId="0" applyNumberFormat="1" applyBorder="1"/>
    <xf numFmtId="3" fontId="0" fillId="0" borderId="116" xfId="0" applyNumberFormat="1" applyBorder="1"/>
    <xf numFmtId="0" fontId="0" fillId="46" borderId="0" xfId="0" applyFill="1" applyAlignment="1">
      <alignment horizontal="center"/>
    </xf>
    <xf numFmtId="10" fontId="0" fillId="46" borderId="0" xfId="0" applyNumberFormat="1" applyFill="1"/>
    <xf numFmtId="43" fontId="0" fillId="46" borderId="0" xfId="0" applyNumberFormat="1" applyFill="1"/>
    <xf numFmtId="10" fontId="0" fillId="16" borderId="0" xfId="1" applyNumberFormat="1" applyFont="1" applyFill="1" applyBorder="1"/>
    <xf numFmtId="0" fontId="8" fillId="13" borderId="18" xfId="0" applyFont="1" applyFill="1" applyBorder="1" applyAlignment="1">
      <alignment wrapText="1"/>
    </xf>
    <xf numFmtId="0" fontId="0" fillId="3" borderId="19" xfId="0" applyFill="1" applyBorder="1"/>
    <xf numFmtId="0" fontId="37" fillId="14" borderId="17" xfId="0" applyFont="1" applyFill="1" applyBorder="1" applyAlignment="1">
      <alignment wrapText="1"/>
    </xf>
    <xf numFmtId="43" fontId="38" fillId="14" borderId="17" xfId="0" applyNumberFormat="1" applyFont="1" applyFill="1" applyBorder="1" applyAlignment="1">
      <alignment horizontal="center"/>
    </xf>
    <xf numFmtId="0" fontId="8" fillId="14" borderId="0" xfId="0" applyFont="1" applyFill="1" applyAlignment="1">
      <alignment horizontal="center"/>
    </xf>
    <xf numFmtId="0" fontId="39" fillId="16" borderId="1" xfId="0" applyFont="1" applyFill="1" applyBorder="1" applyAlignment="1">
      <alignment horizontal="center" vertical="center" wrapText="1"/>
    </xf>
    <xf numFmtId="0" fontId="39" fillId="16" borderId="10" xfId="0" applyFont="1" applyFill="1" applyBorder="1" applyAlignment="1">
      <alignment horizontal="center" vertical="center" wrapText="1"/>
    </xf>
    <xf numFmtId="44" fontId="0" fillId="6" borderId="18" xfId="3" applyFont="1" applyFill="1" applyBorder="1" applyAlignment="1">
      <alignment horizontal="center" wrapText="1"/>
    </xf>
    <xf numFmtId="44" fontId="0" fillId="13" borderId="0" xfId="3" applyFont="1" applyFill="1" applyBorder="1" applyAlignment="1">
      <alignment horizontal="center" wrapText="1"/>
    </xf>
    <xf numFmtId="0" fontId="39" fillId="13" borderId="0" xfId="0" applyFont="1" applyFill="1" applyAlignment="1">
      <alignment wrapText="1"/>
    </xf>
    <xf numFmtId="9" fontId="33" fillId="0" borderId="0" xfId="1" applyFont="1" applyAlignment="1">
      <alignment wrapText="1"/>
    </xf>
    <xf numFmtId="43" fontId="0" fillId="13" borderId="18" xfId="2" applyFont="1" applyFill="1" applyBorder="1"/>
    <xf numFmtId="43" fontId="0" fillId="13" borderId="0" xfId="2" applyFont="1" applyFill="1" applyBorder="1"/>
    <xf numFmtId="1" fontId="0" fillId="13" borderId="0" xfId="0" applyNumberFormat="1" applyFill="1" applyAlignment="1">
      <alignment horizontal="center" wrapText="1"/>
    </xf>
    <xf numFmtId="44" fontId="0" fillId="6" borderId="0" xfId="3" applyFont="1" applyFill="1" applyBorder="1" applyAlignment="1">
      <alignment horizontal="center" wrapText="1"/>
    </xf>
    <xf numFmtId="43" fontId="0" fillId="16" borderId="0" xfId="0" applyNumberFormat="1" applyFill="1"/>
    <xf numFmtId="0" fontId="39" fillId="16" borderId="27" xfId="0" applyFont="1" applyFill="1" applyBorder="1" applyAlignment="1">
      <alignment wrapText="1"/>
    </xf>
    <xf numFmtId="0" fontId="39" fillId="16" borderId="30" xfId="0" applyFont="1" applyFill="1" applyBorder="1" applyAlignment="1">
      <alignment wrapText="1"/>
    </xf>
    <xf numFmtId="169" fontId="0" fillId="16" borderId="28" xfId="1" applyNumberFormat="1" applyFont="1" applyFill="1" applyBorder="1"/>
    <xf numFmtId="10" fontId="0" fillId="16" borderId="28" xfId="1" applyNumberFormat="1" applyFont="1" applyFill="1" applyBorder="1"/>
    <xf numFmtId="1" fontId="0" fillId="16" borderId="28" xfId="1" applyNumberFormat="1" applyFont="1" applyFill="1" applyBorder="1"/>
    <xf numFmtId="171" fontId="0" fillId="16" borderId="31" xfId="2" applyNumberFormat="1" applyFont="1" applyFill="1" applyBorder="1"/>
    <xf numFmtId="169" fontId="33" fillId="16" borderId="1" xfId="0" applyNumberFormat="1" applyFont="1" applyFill="1" applyBorder="1" applyAlignment="1">
      <alignment horizontal="center" vertical="center" wrapText="1"/>
    </xf>
    <xf numFmtId="43" fontId="33" fillId="16" borderId="1" xfId="0" applyNumberFormat="1" applyFont="1" applyFill="1" applyBorder="1" applyAlignment="1">
      <alignment horizontal="center" vertical="center" wrapText="1"/>
    </xf>
    <xf numFmtId="0" fontId="41" fillId="16" borderId="0" xfId="4" applyFill="1" applyAlignment="1" applyProtection="1">
      <alignment horizontal="justify" vertical="center"/>
    </xf>
    <xf numFmtId="0" fontId="44" fillId="16" borderId="0" xfId="0" applyFont="1" applyFill="1" applyAlignment="1">
      <alignment horizontal="justify" vertical="center"/>
    </xf>
    <xf numFmtId="44" fontId="31" fillId="16" borderId="1" xfId="3" applyFont="1" applyFill="1" applyBorder="1"/>
    <xf numFmtId="0" fontId="33" fillId="38" borderId="1" xfId="0" applyFont="1" applyFill="1" applyBorder="1" applyAlignment="1">
      <alignment horizontal="center" vertical="center" wrapText="1"/>
    </xf>
    <xf numFmtId="0" fontId="0" fillId="16" borderId="1" xfId="0" applyFill="1" applyBorder="1" applyAlignment="1">
      <alignment horizontal="center" vertical="top" wrapText="1"/>
    </xf>
    <xf numFmtId="44" fontId="0" fillId="0" borderId="0" xfId="0" applyNumberFormat="1"/>
    <xf numFmtId="0" fontId="0" fillId="0" borderId="0" xfId="0" applyAlignment="1">
      <alignment horizontal="left" indent="2"/>
    </xf>
    <xf numFmtId="0" fontId="8" fillId="0" borderId="0" xfId="0" applyFont="1" applyAlignment="1">
      <alignment horizontal="left" vertical="top"/>
    </xf>
    <xf numFmtId="6" fontId="0" fillId="0" borderId="0" xfId="0" applyNumberFormat="1" applyAlignment="1">
      <alignment horizontal="center"/>
    </xf>
    <xf numFmtId="9" fontId="0" fillId="0" borderId="0" xfId="1" applyFont="1" applyBorder="1" applyAlignment="1">
      <alignment horizontal="center"/>
    </xf>
    <xf numFmtId="9" fontId="0" fillId="0" borderId="0" xfId="0" applyNumberFormat="1" applyAlignment="1">
      <alignment horizontal="center"/>
    </xf>
    <xf numFmtId="43" fontId="8" fillId="0" borderId="0" xfId="0" applyNumberFormat="1" applyFont="1"/>
    <xf numFmtId="181" fontId="0" fillId="0" borderId="0" xfId="3" applyNumberFormat="1" applyFont="1" applyFill="1" applyBorder="1"/>
    <xf numFmtId="44" fontId="0" fillId="0" borderId="0" xfId="3" applyFont="1" applyFill="1" applyBorder="1"/>
    <xf numFmtId="169" fontId="0" fillId="0" borderId="0" xfId="1" applyNumberFormat="1" applyFont="1" applyFill="1" applyBorder="1"/>
    <xf numFmtId="44" fontId="8" fillId="0" borderId="0" xfId="3" applyFont="1" applyFill="1" applyBorder="1"/>
    <xf numFmtId="0" fontId="8" fillId="0" borderId="18" xfId="0" applyFont="1" applyBorder="1" applyAlignment="1">
      <alignment wrapText="1"/>
    </xf>
    <xf numFmtId="43" fontId="0" fillId="0" borderId="18" xfId="2" applyFont="1" applyFill="1" applyBorder="1"/>
    <xf numFmtId="167" fontId="0" fillId="0" borderId="18" xfId="2" applyNumberFormat="1" applyFont="1" applyFill="1" applyBorder="1"/>
    <xf numFmtId="43" fontId="34" fillId="0" borderId="18" xfId="2" applyFont="1" applyFill="1" applyBorder="1"/>
    <xf numFmtId="10" fontId="0" fillId="0" borderId="1" xfId="1" applyNumberFormat="1" applyFont="1" applyFill="1" applyBorder="1"/>
    <xf numFmtId="9" fontId="0" fillId="0" borderId="1" xfId="1" applyFont="1" applyFill="1" applyBorder="1"/>
    <xf numFmtId="0" fontId="33" fillId="38" borderId="50" xfId="0" applyFont="1" applyFill="1" applyBorder="1" applyAlignment="1">
      <alignment horizontal="center" vertical="center" wrapText="1"/>
    </xf>
    <xf numFmtId="169" fontId="0" fillId="16" borderId="0" xfId="0" applyNumberFormat="1" applyFill="1"/>
    <xf numFmtId="0" fontId="39" fillId="16" borderId="33" xfId="0" applyFont="1" applyFill="1" applyBorder="1" applyAlignment="1">
      <alignment wrapText="1"/>
    </xf>
    <xf numFmtId="0" fontId="8" fillId="0" borderId="17" xfId="0" applyFont="1" applyBorder="1" applyAlignment="1">
      <alignment horizontal="center"/>
    </xf>
    <xf numFmtId="0" fontId="8" fillId="0" borderId="19" xfId="0" applyFont="1" applyBorder="1" applyAlignment="1">
      <alignment horizontal="center"/>
    </xf>
    <xf numFmtId="0" fontId="39" fillId="0" borderId="1" xfId="0" applyFont="1" applyBorder="1" applyAlignment="1">
      <alignment horizontal="center" wrapText="1"/>
    </xf>
    <xf numFmtId="0" fontId="33" fillId="0" borderId="1" xfId="0" applyFont="1" applyBorder="1" applyAlignment="1">
      <alignment horizontal="center"/>
    </xf>
    <xf numFmtId="174" fontId="0" fillId="0" borderId="18" xfId="0" applyNumberFormat="1" applyBorder="1"/>
    <xf numFmtId="43" fontId="0" fillId="0" borderId="23" xfId="2" applyFont="1" applyFill="1" applyBorder="1"/>
    <xf numFmtId="9" fontId="0" fillId="0" borderId="1" xfId="1" applyFont="1" applyFill="1" applyBorder="1" applyAlignment="1">
      <alignment horizontal="right"/>
    </xf>
    <xf numFmtId="0" fontId="39" fillId="0" borderId="33" xfId="0" applyFont="1" applyBorder="1" applyAlignment="1">
      <alignment wrapText="1"/>
    </xf>
    <xf numFmtId="0" fontId="0" fillId="0" borderId="50" xfId="0" applyBorder="1"/>
    <xf numFmtId="0" fontId="0" fillId="0" borderId="52" xfId="0" applyBorder="1"/>
    <xf numFmtId="0" fontId="0" fillId="0" borderId="53" xfId="0" applyBorder="1"/>
    <xf numFmtId="6" fontId="33" fillId="16" borderId="1" xfId="0" applyNumberFormat="1" applyFont="1" applyFill="1" applyBorder="1" applyAlignment="1">
      <alignment horizontal="center" vertical="center"/>
    </xf>
    <xf numFmtId="0" fontId="33" fillId="0" borderId="1" xfId="0" applyFont="1" applyBorder="1" applyAlignment="1">
      <alignment horizontal="center" vertical="center" wrapText="1"/>
    </xf>
    <xf numFmtId="2" fontId="0" fillId="0" borderId="1" xfId="0" applyNumberFormat="1" applyBorder="1" applyAlignment="1">
      <alignment horizontal="center" vertical="center"/>
    </xf>
    <xf numFmtId="0" fontId="8" fillId="19" borderId="21" xfId="0" applyFont="1" applyFill="1" applyBorder="1" applyAlignment="1">
      <alignment horizontal="center"/>
    </xf>
    <xf numFmtId="0" fontId="0" fillId="16" borderId="1" xfId="0" applyFill="1" applyBorder="1" applyAlignment="1">
      <alignment horizontal="center" vertical="center" wrapText="1"/>
    </xf>
    <xf numFmtId="0" fontId="8" fillId="16" borderId="63" xfId="0" applyFont="1" applyFill="1" applyBorder="1" applyAlignment="1">
      <alignment wrapText="1"/>
    </xf>
    <xf numFmtId="0" fontId="8" fillId="0" borderId="16" xfId="0" applyFont="1" applyBorder="1" applyAlignment="1">
      <alignment wrapText="1"/>
    </xf>
    <xf numFmtId="0" fontId="8" fillId="0" borderId="7" xfId="0" applyFont="1" applyBorder="1" applyAlignment="1">
      <alignment wrapText="1"/>
    </xf>
    <xf numFmtId="0" fontId="8" fillId="14" borderId="19" xfId="0" applyFont="1" applyFill="1" applyBorder="1" applyAlignment="1">
      <alignment horizontal="center"/>
    </xf>
    <xf numFmtId="0" fontId="32" fillId="20" borderId="1" xfId="0" applyFont="1" applyFill="1" applyBorder="1" applyAlignment="1">
      <alignment horizontal="center"/>
    </xf>
    <xf numFmtId="0" fontId="8" fillId="19" borderId="18" xfId="0" applyFont="1" applyFill="1" applyBorder="1" applyAlignment="1">
      <alignment horizontal="center" wrapText="1"/>
    </xf>
    <xf numFmtId="43" fontId="0" fillId="16" borderId="63" xfId="2" applyFont="1" applyFill="1" applyBorder="1"/>
    <xf numFmtId="174" fontId="0" fillId="16" borderId="0" xfId="0" applyNumberFormat="1" applyFill="1"/>
    <xf numFmtId="0" fontId="8" fillId="25" borderId="1" xfId="0" applyFont="1" applyFill="1" applyBorder="1" applyAlignment="1">
      <alignment wrapText="1"/>
    </xf>
    <xf numFmtId="0" fontId="8" fillId="25" borderId="0" xfId="0" applyFont="1" applyFill="1" applyAlignment="1">
      <alignment wrapText="1"/>
    </xf>
    <xf numFmtId="0" fontId="38" fillId="0" borderId="0" xfId="0" applyFont="1" applyAlignment="1">
      <alignment wrapText="1"/>
    </xf>
    <xf numFmtId="0" fontId="34" fillId="0" borderId="0" xfId="0" applyFont="1"/>
    <xf numFmtId="170" fontId="34" fillId="0" borderId="0" xfId="2" applyNumberFormat="1" applyFont="1" applyFill="1" applyAlignment="1">
      <alignment wrapText="1"/>
    </xf>
    <xf numFmtId="0" fontId="34" fillId="0" borderId="0" xfId="0" applyFont="1" applyAlignment="1">
      <alignment wrapText="1"/>
    </xf>
    <xf numFmtId="0" fontId="51" fillId="0" borderId="0" xfId="0" applyFont="1" applyAlignment="1">
      <alignment wrapText="1"/>
    </xf>
    <xf numFmtId="0" fontId="34" fillId="0" borderId="0" xfId="0" applyFont="1" applyAlignment="1">
      <alignment horizontal="center" wrapText="1"/>
    </xf>
    <xf numFmtId="44" fontId="34" fillId="0" borderId="0" xfId="3" applyFont="1" applyFill="1"/>
    <xf numFmtId="2" fontId="34" fillId="0" borderId="0" xfId="0" applyNumberFormat="1" applyFont="1" applyAlignment="1">
      <alignment wrapText="1"/>
    </xf>
    <xf numFmtId="0" fontId="133" fillId="0" borderId="0" xfId="0" applyFont="1" applyAlignment="1">
      <alignment wrapText="1"/>
    </xf>
    <xf numFmtId="2" fontId="34" fillId="0" borderId="0" xfId="0" applyNumberFormat="1" applyFont="1"/>
    <xf numFmtId="174" fontId="34" fillId="0" borderId="0" xfId="0" applyNumberFormat="1" applyFont="1"/>
    <xf numFmtId="175" fontId="34" fillId="0" borderId="0" xfId="2" applyNumberFormat="1" applyFont="1" applyFill="1" applyBorder="1"/>
    <xf numFmtId="43" fontId="34" fillId="0" borderId="0" xfId="2" applyFont="1" applyFill="1" applyBorder="1"/>
    <xf numFmtId="0" fontId="38" fillId="0" borderId="23" xfId="0" applyFont="1" applyBorder="1" applyAlignment="1">
      <alignment wrapText="1"/>
    </xf>
    <xf numFmtId="0" fontId="34" fillId="0" borderId="17" xfId="0" applyFont="1" applyBorder="1"/>
    <xf numFmtId="2" fontId="34" fillId="0" borderId="18" xfId="0" applyNumberFormat="1" applyFont="1" applyBorder="1"/>
    <xf numFmtId="174" fontId="34" fillId="0" borderId="18" xfId="0" applyNumberFormat="1" applyFont="1" applyBorder="1"/>
    <xf numFmtId="175" fontId="34" fillId="0" borderId="18" xfId="2" applyNumberFormat="1" applyFont="1" applyFill="1" applyBorder="1"/>
    <xf numFmtId="43" fontId="34" fillId="0" borderId="23" xfId="2" applyFont="1" applyFill="1" applyBorder="1"/>
    <xf numFmtId="10" fontId="0" fillId="0" borderId="1" xfId="0" applyNumberFormat="1" applyBorder="1"/>
    <xf numFmtId="0" fontId="8" fillId="44" borderId="17" xfId="0" applyFont="1" applyFill="1" applyBorder="1" applyAlignment="1">
      <alignment horizontal="center" wrapText="1"/>
    </xf>
    <xf numFmtId="170" fontId="0" fillId="13" borderId="0" xfId="2" applyNumberFormat="1" applyFont="1" applyFill="1" applyAlignment="1">
      <alignment wrapText="1"/>
    </xf>
    <xf numFmtId="44" fontId="34" fillId="16" borderId="0" xfId="3" applyFont="1" applyFill="1" applyBorder="1" applyAlignment="1">
      <alignment wrapText="1"/>
    </xf>
    <xf numFmtId="167" fontId="0" fillId="16" borderId="0" xfId="2" applyNumberFormat="1" applyFont="1" applyFill="1" applyBorder="1" applyAlignment="1">
      <alignment wrapText="1"/>
    </xf>
    <xf numFmtId="0" fontId="8" fillId="13" borderId="17" xfId="0" applyFont="1" applyFill="1" applyBorder="1" applyAlignment="1">
      <alignment wrapText="1"/>
    </xf>
    <xf numFmtId="170" fontId="0" fillId="0" borderId="0" xfId="2" applyNumberFormat="1" applyFont="1" applyBorder="1" applyAlignment="1">
      <alignment wrapText="1"/>
    </xf>
    <xf numFmtId="43" fontId="0" fillId="44" borderId="17" xfId="2" applyFont="1" applyFill="1" applyBorder="1" applyAlignment="1">
      <alignment wrapText="1"/>
    </xf>
    <xf numFmtId="2" fontId="0" fillId="44" borderId="18" xfId="0" applyNumberFormat="1" applyFill="1" applyBorder="1" applyAlignment="1">
      <alignment wrapText="1"/>
    </xf>
    <xf numFmtId="0" fontId="8" fillId="0" borderId="17" xfId="0" applyFont="1" applyBorder="1" applyAlignment="1">
      <alignment wrapText="1"/>
    </xf>
    <xf numFmtId="43" fontId="0" fillId="44" borderId="23" xfId="2" applyFont="1" applyFill="1" applyBorder="1"/>
    <xf numFmtId="2" fontId="0" fillId="44" borderId="18" xfId="0" applyNumberFormat="1" applyFill="1" applyBorder="1" applyAlignment="1">
      <alignment horizontal="center" wrapText="1"/>
    </xf>
    <xf numFmtId="0" fontId="8" fillId="3" borderId="41" xfId="0" applyFont="1" applyFill="1" applyBorder="1" applyAlignment="1">
      <alignment wrapText="1"/>
    </xf>
    <xf numFmtId="0" fontId="8" fillId="3" borderId="23" xfId="0" applyFont="1" applyFill="1" applyBorder="1" applyAlignment="1">
      <alignment wrapText="1"/>
    </xf>
    <xf numFmtId="0" fontId="0" fillId="3" borderId="0" xfId="0" applyFill="1"/>
    <xf numFmtId="0" fontId="0" fillId="3" borderId="18" xfId="0" applyFill="1" applyBorder="1" applyAlignment="1">
      <alignment horizontal="center" wrapText="1"/>
    </xf>
    <xf numFmtId="44" fontId="0" fillId="3" borderId="18" xfId="3" applyFont="1" applyFill="1" applyBorder="1" applyAlignment="1">
      <alignment horizontal="center" wrapText="1"/>
    </xf>
    <xf numFmtId="44" fontId="0" fillId="3" borderId="18" xfId="3" applyFont="1" applyFill="1" applyBorder="1" applyAlignment="1">
      <alignment horizontal="left" wrapText="1"/>
    </xf>
    <xf numFmtId="0" fontId="0" fillId="3" borderId="0" xfId="0" applyFill="1" applyAlignment="1">
      <alignment wrapText="1"/>
    </xf>
    <xf numFmtId="0" fontId="0" fillId="3" borderId="17" xfId="0" applyFill="1" applyBorder="1" applyAlignment="1">
      <alignment wrapText="1"/>
    </xf>
    <xf numFmtId="0" fontId="0" fillId="3" borderId="22" xfId="0" applyFill="1" applyBorder="1" applyAlignment="1">
      <alignment wrapText="1"/>
    </xf>
    <xf numFmtId="0" fontId="0" fillId="3" borderId="22" xfId="3" applyNumberFormat="1" applyFont="1" applyFill="1" applyBorder="1"/>
    <xf numFmtId="2" fontId="0" fillId="3" borderId="18" xfId="2" applyNumberFormat="1" applyFont="1" applyFill="1" applyBorder="1" applyAlignment="1">
      <alignment horizontal="center" wrapText="1"/>
    </xf>
    <xf numFmtId="174" fontId="0" fillId="3" borderId="18" xfId="2" applyNumberFormat="1" applyFont="1" applyFill="1" applyBorder="1" applyAlignment="1">
      <alignment horizontal="center" wrapText="1"/>
    </xf>
    <xf numFmtId="43" fontId="0" fillId="3" borderId="18" xfId="2" applyFont="1" applyFill="1" applyBorder="1" applyAlignment="1">
      <alignment horizontal="center" wrapText="1"/>
    </xf>
    <xf numFmtId="0" fontId="34" fillId="16" borderId="14" xfId="0" applyFont="1" applyFill="1" applyBorder="1"/>
    <xf numFmtId="0" fontId="34" fillId="16" borderId="12" xfId="0" applyFont="1" applyFill="1" applyBorder="1"/>
    <xf numFmtId="0" fontId="52" fillId="16" borderId="13" xfId="0" applyFont="1" applyFill="1" applyBorder="1"/>
    <xf numFmtId="0" fontId="34" fillId="16" borderId="15" xfId="0" applyFont="1" applyFill="1" applyBorder="1"/>
    <xf numFmtId="49" fontId="0" fillId="0" borderId="0" xfId="0" applyNumberFormat="1"/>
    <xf numFmtId="0" fontId="60" fillId="0" borderId="37" xfId="0" applyFont="1" applyBorder="1" applyAlignment="1">
      <alignment vertical="center" wrapText="1"/>
    </xf>
    <xf numFmtId="0" fontId="63" fillId="0" borderId="0" xfId="0" applyFont="1" applyAlignment="1">
      <alignment vertical="center"/>
    </xf>
    <xf numFmtId="0" fontId="67" fillId="23" borderId="34" xfId="0" applyFont="1" applyFill="1" applyBorder="1" applyAlignment="1">
      <alignment horizontal="center" vertical="center" wrapText="1"/>
    </xf>
    <xf numFmtId="0" fontId="36" fillId="23" borderId="54" xfId="0" applyFont="1" applyFill="1" applyBorder="1" applyAlignment="1">
      <alignment horizontal="center" vertical="center" wrapText="1"/>
    </xf>
    <xf numFmtId="0" fontId="33" fillId="0" borderId="37" xfId="0" applyFont="1" applyBorder="1" applyAlignment="1">
      <alignment vertical="center" wrapText="1"/>
    </xf>
    <xf numFmtId="0" fontId="33" fillId="0" borderId="32" xfId="0" applyFont="1" applyBorder="1" applyAlignment="1">
      <alignment horizontal="center" vertical="center" wrapText="1"/>
    </xf>
    <xf numFmtId="3" fontId="33" fillId="0" borderId="32" xfId="0" applyNumberFormat="1" applyFont="1" applyBorder="1" applyAlignment="1">
      <alignment horizontal="center" vertical="center" wrapText="1"/>
    </xf>
    <xf numFmtId="44" fontId="0" fillId="16" borderId="57" xfId="3" applyFont="1" applyFill="1" applyBorder="1" applyAlignment="1">
      <alignment wrapText="1"/>
    </xf>
    <xf numFmtId="1" fontId="0" fillId="16" borderId="0" xfId="0" applyNumberFormat="1" applyFill="1" applyAlignment="1">
      <alignment horizontal="center" wrapText="1"/>
    </xf>
    <xf numFmtId="4" fontId="1" fillId="0" borderId="1" xfId="0" applyNumberFormat="1" applyFont="1" applyBorder="1" applyAlignment="1">
      <alignment wrapText="1"/>
    </xf>
    <xf numFmtId="10" fontId="0" fillId="0" borderId="28" xfId="1" applyNumberFormat="1" applyFont="1" applyFill="1" applyBorder="1"/>
    <xf numFmtId="171" fontId="1" fillId="0" borderId="1" xfId="2" applyNumberFormat="1" applyFont="1" applyFill="1" applyBorder="1" applyAlignment="1">
      <alignment wrapText="1"/>
    </xf>
    <xf numFmtId="0" fontId="8" fillId="14" borderId="18" xfId="0" applyFont="1" applyFill="1" applyBorder="1"/>
    <xf numFmtId="0" fontId="8" fillId="14" borderId="57" xfId="0" applyFont="1" applyFill="1" applyBorder="1"/>
    <xf numFmtId="0" fontId="8" fillId="3" borderId="17" xfId="0" applyFont="1" applyFill="1" applyBorder="1" applyAlignment="1">
      <alignment wrapText="1"/>
    </xf>
    <xf numFmtId="0" fontId="0" fillId="3" borderId="17" xfId="0" applyFill="1" applyBorder="1" applyAlignment="1">
      <alignment horizontal="center" wrapText="1"/>
    </xf>
    <xf numFmtId="44" fontId="0" fillId="3" borderId="17" xfId="3" applyFont="1" applyFill="1" applyBorder="1" applyAlignment="1">
      <alignment horizontal="center" wrapText="1"/>
    </xf>
    <xf numFmtId="0" fontId="8" fillId="3" borderId="0" xfId="0" applyFont="1" applyFill="1" applyAlignment="1">
      <alignment wrapText="1"/>
    </xf>
    <xf numFmtId="0" fontId="0" fillId="3" borderId="0" xfId="0" applyFill="1" applyAlignment="1">
      <alignment horizontal="center" wrapText="1"/>
    </xf>
    <xf numFmtId="44" fontId="0" fillId="3" borderId="0" xfId="3" applyFont="1" applyFill="1" applyBorder="1" applyAlignment="1">
      <alignment horizontal="center" wrapText="1"/>
    </xf>
    <xf numFmtId="2" fontId="0" fillId="3" borderId="0" xfId="2" applyNumberFormat="1" applyFont="1" applyFill="1" applyBorder="1" applyAlignment="1">
      <alignment horizontal="center" wrapText="1"/>
    </xf>
    <xf numFmtId="174" fontId="0" fillId="3" borderId="0" xfId="2" applyNumberFormat="1" applyFont="1" applyFill="1" applyBorder="1" applyAlignment="1">
      <alignment horizontal="center" wrapText="1"/>
    </xf>
    <xf numFmtId="43" fontId="0" fillId="3" borderId="0" xfId="2" applyFont="1" applyFill="1" applyBorder="1" applyAlignment="1">
      <alignment horizontal="center" wrapText="1"/>
    </xf>
    <xf numFmtId="0" fontId="52" fillId="16" borderId="0" xfId="0" applyFont="1" applyFill="1"/>
    <xf numFmtId="0" fontId="51" fillId="16" borderId="0" xfId="0" applyFont="1" applyFill="1"/>
    <xf numFmtId="178" fontId="0" fillId="0" borderId="0" xfId="3" applyNumberFormat="1" applyFont="1"/>
    <xf numFmtId="0" fontId="8" fillId="0" borderId="0" xfId="0" applyFont="1" applyAlignment="1">
      <alignment horizontal="left"/>
    </xf>
    <xf numFmtId="0" fontId="160" fillId="23" borderId="54" xfId="0" applyFont="1" applyFill="1" applyBorder="1" applyAlignment="1">
      <alignment horizontal="center" vertical="center" wrapText="1"/>
    </xf>
    <xf numFmtId="0" fontId="160" fillId="23" borderId="29" xfId="0" applyFont="1" applyFill="1" applyBorder="1" applyAlignment="1">
      <alignment horizontal="center" vertical="center" wrapText="1"/>
    </xf>
    <xf numFmtId="0" fontId="63" fillId="0" borderId="30" xfId="0" applyFont="1" applyBorder="1" applyAlignment="1">
      <alignment horizontal="center" vertical="center" wrapText="1"/>
    </xf>
    <xf numFmtId="0" fontId="63" fillId="0" borderId="37" xfId="0" applyFont="1" applyBorder="1" applyAlignment="1">
      <alignment horizontal="center" vertical="center" wrapText="1"/>
    </xf>
    <xf numFmtId="0" fontId="63" fillId="0" borderId="0" xfId="0" applyFont="1" applyAlignment="1">
      <alignment horizontal="center" vertical="center" wrapText="1"/>
    </xf>
    <xf numFmtId="0" fontId="63" fillId="0" borderId="0" xfId="0" applyFont="1" applyAlignment="1">
      <alignment horizontal="left" vertical="center"/>
    </xf>
    <xf numFmtId="0" fontId="160" fillId="23" borderId="26" xfId="0" applyFont="1" applyFill="1" applyBorder="1" applyAlignment="1">
      <alignment horizontal="center" vertical="center" wrapText="1"/>
    </xf>
    <xf numFmtId="0" fontId="63" fillId="0" borderId="32" xfId="0" applyFont="1" applyBorder="1" applyAlignment="1">
      <alignment horizontal="center" vertical="center" wrapText="1"/>
    </xf>
    <xf numFmtId="170" fontId="8" fillId="0" borderId="0" xfId="2" applyNumberFormat="1" applyFont="1"/>
    <xf numFmtId="9" fontId="63" fillId="0" borderId="32" xfId="1" applyFont="1" applyBorder="1" applyAlignment="1">
      <alignment horizontal="center" vertical="center" wrapText="1"/>
    </xf>
    <xf numFmtId="0" fontId="0" fillId="0" borderId="27" xfId="0" applyBorder="1" applyAlignment="1">
      <alignment horizontal="left" vertical="center" wrapText="1"/>
    </xf>
    <xf numFmtId="0" fontId="8" fillId="19" borderId="3" xfId="0" applyFont="1" applyFill="1" applyBorder="1" applyAlignment="1">
      <alignment horizontal="center"/>
    </xf>
    <xf numFmtId="0" fontId="8" fillId="19" borderId="4" xfId="0" applyFont="1" applyFill="1" applyBorder="1" applyAlignment="1">
      <alignment horizontal="center"/>
    </xf>
    <xf numFmtId="0" fontId="8" fillId="19" borderId="5" xfId="0" applyFont="1" applyFill="1" applyBorder="1" applyAlignment="1">
      <alignment horizontal="center"/>
    </xf>
    <xf numFmtId="0" fontId="134" fillId="30" borderId="28" xfId="0" applyFont="1" applyFill="1" applyBorder="1" applyAlignment="1">
      <alignment horizontal="center" vertical="center" wrapText="1"/>
    </xf>
    <xf numFmtId="0" fontId="134" fillId="30" borderId="99" xfId="0" applyFont="1" applyFill="1" applyBorder="1" applyAlignment="1">
      <alignment horizontal="center" vertical="center" wrapText="1"/>
    </xf>
    <xf numFmtId="0" fontId="134" fillId="30" borderId="1" xfId="0" applyFont="1" applyFill="1" applyBorder="1" applyAlignment="1">
      <alignment horizontal="center" vertical="center" wrapText="1"/>
    </xf>
    <xf numFmtId="0" fontId="0" fillId="21" borderId="24" xfId="0" applyFill="1" applyBorder="1" applyAlignment="1">
      <alignment horizontal="center"/>
    </xf>
    <xf numFmtId="0" fontId="0" fillId="21" borderId="25" xfId="0" applyFill="1" applyBorder="1" applyAlignment="1">
      <alignment horizontal="center"/>
    </xf>
    <xf numFmtId="0" fontId="0" fillId="21" borderId="26" xfId="0" applyFill="1" applyBorder="1" applyAlignment="1">
      <alignment horizontal="center"/>
    </xf>
    <xf numFmtId="0" fontId="147" fillId="28" borderId="0" xfId="9" applyFill="1" applyAlignment="1">
      <alignment horizontal="left" vertical="top" wrapText="1"/>
    </xf>
    <xf numFmtId="9" fontId="0" fillId="3" borderId="17" xfId="0" applyNumberFormat="1" applyFill="1" applyBorder="1"/>
    <xf numFmtId="0" fontId="52" fillId="17" borderId="55" xfId="0" applyFont="1" applyFill="1" applyBorder="1" applyAlignment="1">
      <alignment horizontal="center" vertical="center"/>
    </xf>
    <xf numFmtId="0" fontId="52" fillId="17" borderId="29" xfId="0" applyFont="1" applyFill="1" applyBorder="1" applyAlignment="1">
      <alignment horizontal="center" vertical="center"/>
    </xf>
    <xf numFmtId="0" fontId="52" fillId="17" borderId="37" xfId="0" applyFont="1" applyFill="1" applyBorder="1" applyAlignment="1">
      <alignment horizontal="center" vertical="center"/>
    </xf>
    <xf numFmtId="0" fontId="52" fillId="17" borderId="32" xfId="0" applyFont="1" applyFill="1" applyBorder="1" applyAlignment="1">
      <alignment horizontal="center" vertical="center"/>
    </xf>
    <xf numFmtId="0" fontId="51" fillId="0" borderId="37" xfId="0" applyFont="1" applyBorder="1" applyAlignment="1">
      <alignment horizontal="justify" vertical="center"/>
    </xf>
    <xf numFmtId="0" fontId="51" fillId="0" borderId="32" xfId="0" applyFont="1" applyBorder="1" applyAlignment="1">
      <alignment horizontal="center" vertical="center"/>
    </xf>
    <xf numFmtId="0" fontId="52" fillId="0" borderId="32" xfId="0" applyFont="1" applyBorder="1" applyAlignment="1">
      <alignment horizontal="center" vertical="center"/>
    </xf>
    <xf numFmtId="0" fontId="51" fillId="0" borderId="0" xfId="0" applyFont="1" applyAlignment="1">
      <alignment horizontal="justify" vertical="center"/>
    </xf>
    <xf numFmtId="0" fontId="8" fillId="3" borderId="18" xfId="0" applyFont="1" applyFill="1" applyBorder="1" applyAlignment="1">
      <alignment wrapText="1"/>
    </xf>
    <xf numFmtId="0" fontId="0" fillId="19" borderId="0" xfId="0" applyFill="1"/>
    <xf numFmtId="0" fontId="33" fillId="16" borderId="10" xfId="0" applyFont="1" applyFill="1" applyBorder="1"/>
    <xf numFmtId="170" fontId="0" fillId="0" borderId="0" xfId="2" applyNumberFormat="1" applyFont="1" applyFill="1" applyAlignment="1">
      <alignment wrapText="1"/>
    </xf>
    <xf numFmtId="44" fontId="0" fillId="0" borderId="0" xfId="3" applyFont="1" applyFill="1"/>
    <xf numFmtId="9" fontId="33" fillId="0" borderId="1" xfId="0" applyNumberFormat="1" applyFont="1" applyBorder="1"/>
    <xf numFmtId="169" fontId="0" fillId="0" borderId="0" xfId="1" applyNumberFormat="1" applyFont="1" applyFill="1"/>
    <xf numFmtId="170" fontId="0" fillId="0" borderId="0" xfId="2" applyNumberFormat="1" applyFont="1" applyFill="1" applyBorder="1" applyAlignment="1">
      <alignment wrapText="1"/>
    </xf>
    <xf numFmtId="0" fontId="8" fillId="16" borderId="17" xfId="0" applyFont="1" applyFill="1" applyBorder="1"/>
    <xf numFmtId="1" fontId="0" fillId="0" borderId="0" xfId="0" applyNumberFormat="1" applyAlignment="1">
      <alignment wrapText="1"/>
    </xf>
    <xf numFmtId="0" fontId="0" fillId="0" borderId="55" xfId="0" applyBorder="1"/>
    <xf numFmtId="0" fontId="0" fillId="0" borderId="37" xfId="0" applyBorder="1"/>
    <xf numFmtId="9" fontId="0" fillId="28" borderId="28" xfId="0" applyNumberFormat="1" applyFill="1" applyBorder="1"/>
    <xf numFmtId="0" fontId="0" fillId="0" borderId="47" xfId="0" applyBorder="1"/>
    <xf numFmtId="0" fontId="0" fillId="28" borderId="28" xfId="0" applyFill="1" applyBorder="1"/>
    <xf numFmtId="0" fontId="40" fillId="20" borderId="1" xfId="0" applyFont="1" applyFill="1" applyBorder="1" applyAlignment="1">
      <alignment horizontal="center" vertical="center" wrapText="1"/>
    </xf>
    <xf numFmtId="0" fontId="0" fillId="0" borderId="1" xfId="0" applyBorder="1" applyAlignment="1">
      <alignment horizontal="center" vertical="center" wrapText="1"/>
    </xf>
    <xf numFmtId="0" fontId="33" fillId="0" borderId="1" xfId="0" applyFont="1" applyBorder="1" applyAlignment="1">
      <alignment horizontal="justify" vertical="center" wrapText="1"/>
    </xf>
    <xf numFmtId="0" fontId="0" fillId="12" borderId="0" xfId="0" applyFill="1" applyAlignment="1">
      <alignment horizontal="center" wrapText="1"/>
    </xf>
    <xf numFmtId="178" fontId="0" fillId="0" borderId="0" xfId="0" applyNumberFormat="1"/>
    <xf numFmtId="4" fontId="0" fillId="0" borderId="0" xfId="0" applyNumberFormat="1"/>
    <xf numFmtId="3" fontId="0" fillId="12" borderId="0" xfId="0" applyNumberFormat="1" applyFill="1" applyAlignment="1">
      <alignment horizontal="center"/>
    </xf>
    <xf numFmtId="178" fontId="0" fillId="0" borderId="0" xfId="0" applyNumberFormat="1" applyAlignment="1">
      <alignment horizontal="center"/>
    </xf>
    <xf numFmtId="4" fontId="0" fillId="0" borderId="0" xfId="0" applyNumberFormat="1" applyAlignment="1">
      <alignment horizontal="center"/>
    </xf>
    <xf numFmtId="182" fontId="0" fillId="0" borderId="0" xfId="0" applyNumberFormat="1" applyAlignment="1">
      <alignment horizontal="center"/>
    </xf>
    <xf numFmtId="3" fontId="0" fillId="0" borderId="0" xfId="0" applyNumberFormat="1" applyAlignment="1">
      <alignment horizontal="center"/>
    </xf>
    <xf numFmtId="178" fontId="0" fillId="12" borderId="0" xfId="0" applyNumberFormat="1" applyFill="1" applyAlignment="1">
      <alignment horizontal="center"/>
    </xf>
    <xf numFmtId="0" fontId="8" fillId="43" borderId="18" xfId="0" applyFont="1" applyFill="1" applyBorder="1" applyAlignment="1">
      <alignment horizontal="center" wrapText="1"/>
    </xf>
    <xf numFmtId="0" fontId="8" fillId="0" borderId="17" xfId="0" applyFont="1" applyBorder="1"/>
    <xf numFmtId="0" fontId="30" fillId="0" borderId="33" xfId="0" applyFont="1" applyBorder="1"/>
    <xf numFmtId="2" fontId="0" fillId="0" borderId="0" xfId="0" applyNumberFormat="1" applyAlignment="1">
      <alignment horizontal="center"/>
    </xf>
    <xf numFmtId="169" fontId="0" fillId="0" borderId="0" xfId="0" applyNumberFormat="1"/>
    <xf numFmtId="0" fontId="8" fillId="14" borderId="18" xfId="0" applyFont="1" applyFill="1" applyBorder="1" applyAlignment="1">
      <alignment wrapText="1"/>
    </xf>
    <xf numFmtId="0" fontId="8" fillId="14" borderId="18" xfId="0" applyFont="1" applyFill="1" applyBorder="1" applyAlignment="1">
      <alignment horizontal="center"/>
    </xf>
    <xf numFmtId="0" fontId="33" fillId="16" borderId="50" xfId="0" applyFont="1" applyFill="1" applyBorder="1" applyAlignment="1">
      <alignment horizontal="center" vertical="center"/>
    </xf>
    <xf numFmtId="0" fontId="33" fillId="16" borderId="31" xfId="0" applyFont="1" applyFill="1" applyBorder="1" applyAlignment="1">
      <alignment vertical="top"/>
    </xf>
    <xf numFmtId="6" fontId="0" fillId="16" borderId="25" xfId="0" applyNumberFormat="1" applyFill="1" applyBorder="1"/>
    <xf numFmtId="170" fontId="0" fillId="0" borderId="0" xfId="2" applyNumberFormat="1" applyFont="1" applyFill="1"/>
    <xf numFmtId="0" fontId="38" fillId="16" borderId="0" xfId="0" applyFont="1" applyFill="1"/>
    <xf numFmtId="0" fontId="38" fillId="16" borderId="1" xfId="0" applyFont="1" applyFill="1" applyBorder="1"/>
    <xf numFmtId="2" fontId="0" fillId="13" borderId="41" xfId="2" applyNumberFormat="1" applyFont="1" applyFill="1" applyBorder="1" applyAlignment="1">
      <alignment wrapText="1"/>
    </xf>
    <xf numFmtId="0" fontId="34" fillId="16" borderId="1" xfId="0" applyFont="1" applyFill="1" applyBorder="1" applyAlignment="1">
      <alignment wrapText="1"/>
    </xf>
    <xf numFmtId="9" fontId="0" fillId="0" borderId="0" xfId="1" applyFont="1" applyAlignment="1">
      <alignment wrapText="1"/>
    </xf>
    <xf numFmtId="0" fontId="63" fillId="0" borderId="30" xfId="0" applyFont="1" applyBorder="1"/>
    <xf numFmtId="0" fontId="0" fillId="16" borderId="55" xfId="0" applyFill="1" applyBorder="1" applyAlignment="1">
      <alignment vertical="top" wrapText="1"/>
    </xf>
    <xf numFmtId="0" fontId="0" fillId="16" borderId="37" xfId="0" applyFill="1" applyBorder="1" applyAlignment="1">
      <alignment vertical="top" wrapText="1"/>
    </xf>
    <xf numFmtId="0" fontId="0" fillId="16" borderId="47" xfId="0" applyFill="1" applyBorder="1" applyAlignment="1">
      <alignment vertical="top" wrapText="1"/>
    </xf>
    <xf numFmtId="0" fontId="0" fillId="16" borderId="31" xfId="0" quotePrefix="1" applyFill="1" applyBorder="1" applyAlignment="1">
      <alignment horizontal="left" vertical="top"/>
    </xf>
    <xf numFmtId="176" fontId="0" fillId="16" borderId="28" xfId="2" applyNumberFormat="1" applyFont="1" applyFill="1" applyBorder="1"/>
    <xf numFmtId="0" fontId="0" fillId="16" borderId="47" xfId="0" applyFill="1" applyBorder="1"/>
    <xf numFmtId="176" fontId="0" fillId="16" borderId="0" xfId="2" applyNumberFormat="1" applyFont="1" applyFill="1" applyBorder="1"/>
    <xf numFmtId="44" fontId="0" fillId="16" borderId="28" xfId="3" applyFont="1" applyFill="1" applyBorder="1"/>
    <xf numFmtId="44" fontId="0" fillId="16" borderId="0" xfId="3" applyFont="1" applyFill="1" applyBorder="1"/>
    <xf numFmtId="0" fontId="0" fillId="16" borderId="34" xfId="0" applyFill="1" applyBorder="1" applyAlignment="1">
      <alignment vertical="top"/>
    </xf>
    <xf numFmtId="0" fontId="32" fillId="20" borderId="50" xfId="0" applyFont="1" applyFill="1" applyBorder="1" applyAlignment="1">
      <alignment horizontal="center"/>
    </xf>
    <xf numFmtId="0" fontId="0" fillId="16" borderId="50" xfId="0" applyFill="1" applyBorder="1" applyAlignment="1">
      <alignment horizontal="left" vertical="center"/>
    </xf>
    <xf numFmtId="0" fontId="0" fillId="16" borderId="1" xfId="0" applyFill="1" applyBorder="1" applyAlignment="1">
      <alignment horizontal="left" vertical="center"/>
    </xf>
    <xf numFmtId="0" fontId="0" fillId="16" borderId="1" xfId="0" applyFill="1" applyBorder="1" applyAlignment="1">
      <alignment horizontal="left" vertical="center" wrapText="1"/>
    </xf>
    <xf numFmtId="0" fontId="32" fillId="20" borderId="14" xfId="0" applyFont="1" applyFill="1" applyBorder="1"/>
    <xf numFmtId="44" fontId="0" fillId="16" borderId="3" xfId="3" applyFont="1" applyFill="1" applyBorder="1"/>
    <xf numFmtId="0" fontId="0" fillId="16" borderId="3" xfId="0" applyFill="1" applyBorder="1"/>
    <xf numFmtId="0" fontId="0" fillId="16" borderId="4" xfId="0" applyFill="1" applyBorder="1"/>
    <xf numFmtId="44" fontId="0" fillId="12" borderId="3" xfId="3" applyFont="1" applyFill="1" applyBorder="1"/>
    <xf numFmtId="0" fontId="0" fillId="16" borderId="132" xfId="0" applyFill="1" applyBorder="1"/>
    <xf numFmtId="44" fontId="0" fillId="16" borderId="133" xfId="3" applyFont="1" applyFill="1" applyBorder="1"/>
    <xf numFmtId="44" fontId="0" fillId="16" borderId="7" xfId="3" applyFont="1" applyFill="1" applyBorder="1"/>
    <xf numFmtId="0" fontId="32" fillId="20" borderId="50" xfId="0" applyFont="1" applyFill="1" applyBorder="1"/>
    <xf numFmtId="0" fontId="30" fillId="20" borderId="50" xfId="0" applyFont="1" applyFill="1" applyBorder="1"/>
    <xf numFmtId="0" fontId="39" fillId="16" borderId="10" xfId="0" applyFont="1" applyFill="1" applyBorder="1"/>
    <xf numFmtId="166" fontId="0" fillId="13" borderId="0" xfId="3" applyNumberFormat="1" applyFont="1" applyFill="1" applyBorder="1" applyAlignment="1">
      <alignment wrapText="1"/>
    </xf>
    <xf numFmtId="0" fontId="0" fillId="13" borderId="0" xfId="0" applyFill="1" applyAlignment="1">
      <alignment horizontal="center"/>
    </xf>
    <xf numFmtId="0" fontId="0" fillId="16" borderId="6" xfId="0" quotePrefix="1" applyFill="1" applyBorder="1"/>
    <xf numFmtId="0" fontId="51" fillId="6" borderId="1"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0" fillId="6" borderId="1" xfId="0" applyFill="1" applyBorder="1"/>
    <xf numFmtId="0" fontId="0" fillId="6" borderId="1" xfId="0" applyFill="1" applyBorder="1" applyAlignment="1">
      <alignment wrapText="1"/>
    </xf>
    <xf numFmtId="0" fontId="0" fillId="0" borderId="24" xfId="0" applyBorder="1" applyAlignment="1">
      <alignment wrapText="1"/>
    </xf>
    <xf numFmtId="0" fontId="0" fillId="25" borderId="25" xfId="0" applyFill="1" applyBorder="1" applyAlignment="1">
      <alignment horizontal="center" vertical="center" wrapText="1"/>
    </xf>
    <xf numFmtId="165" fontId="0" fillId="25" borderId="25" xfId="0" applyNumberFormat="1" applyFill="1" applyBorder="1" applyAlignment="1">
      <alignment horizontal="center" vertical="center" wrapText="1"/>
    </xf>
    <xf numFmtId="0" fontId="0" fillId="25" borderId="25" xfId="0" applyFill="1" applyBorder="1" applyAlignment="1">
      <alignment horizontal="center" vertical="center"/>
    </xf>
    <xf numFmtId="0" fontId="0" fillId="25" borderId="26" xfId="0" applyFill="1" applyBorder="1" applyAlignment="1">
      <alignment horizontal="center" vertical="center" wrapText="1"/>
    </xf>
    <xf numFmtId="165" fontId="0" fillId="21" borderId="0" xfId="0" applyNumberFormat="1" applyFill="1" applyAlignment="1">
      <alignment horizontal="center" vertical="center" wrapText="1"/>
    </xf>
    <xf numFmtId="0" fontId="0" fillId="25" borderId="26" xfId="0" applyFill="1" applyBorder="1" applyAlignment="1">
      <alignment horizontal="center" vertical="center"/>
    </xf>
    <xf numFmtId="0" fontId="0" fillId="16" borderId="61" xfId="0" applyFill="1" applyBorder="1" applyAlignment="1">
      <alignment wrapText="1"/>
    </xf>
    <xf numFmtId="0" fontId="0" fillId="16" borderId="16" xfId="0" applyFill="1" applyBorder="1" applyAlignment="1">
      <alignment horizontal="right"/>
    </xf>
    <xf numFmtId="44" fontId="34" fillId="16" borderId="16" xfId="3" applyFont="1" applyFill="1" applyBorder="1"/>
    <xf numFmtId="44" fontId="34" fillId="16" borderId="92" xfId="3" applyFont="1" applyFill="1" applyBorder="1"/>
    <xf numFmtId="2" fontId="0" fillId="21" borderId="0" xfId="0" applyNumberFormat="1" applyFill="1"/>
    <xf numFmtId="0" fontId="0" fillId="16" borderId="92" xfId="0" applyFill="1" applyBorder="1" applyAlignment="1">
      <alignment horizontal="right"/>
    </xf>
    <xf numFmtId="0" fontId="0" fillId="16" borderId="50" xfId="0" applyFill="1" applyBorder="1" applyAlignment="1">
      <alignment wrapText="1"/>
    </xf>
    <xf numFmtId="2" fontId="34" fillId="16" borderId="1" xfId="0" applyNumberFormat="1" applyFont="1" applyFill="1" applyBorder="1"/>
    <xf numFmtId="44" fontId="34" fillId="16" borderId="1" xfId="3" applyFont="1" applyFill="1" applyBorder="1"/>
    <xf numFmtId="44" fontId="34" fillId="16" borderId="51" xfId="3" applyFont="1" applyFill="1" applyBorder="1"/>
    <xf numFmtId="2" fontId="34" fillId="21" borderId="0" xfId="0" applyNumberFormat="1" applyFont="1" applyFill="1"/>
    <xf numFmtId="0" fontId="0" fillId="16" borderId="51" xfId="0" applyFill="1" applyBorder="1" applyAlignment="1">
      <alignment horizontal="right"/>
    </xf>
    <xf numFmtId="43" fontId="8" fillId="19" borderId="52" xfId="2" applyFont="1" applyFill="1" applyBorder="1"/>
    <xf numFmtId="43" fontId="8" fillId="19" borderId="45" xfId="2" applyFont="1" applyFill="1" applyBorder="1"/>
    <xf numFmtId="0" fontId="0" fillId="19" borderId="45" xfId="0" applyFill="1" applyBorder="1"/>
    <xf numFmtId="44" fontId="0" fillId="19" borderId="45" xfId="3" applyFont="1" applyFill="1" applyBorder="1"/>
    <xf numFmtId="44" fontId="0" fillId="19" borderId="53" xfId="3" applyFont="1" applyFill="1" applyBorder="1"/>
    <xf numFmtId="43" fontId="8" fillId="21" borderId="0" xfId="2" applyFont="1" applyFill="1" applyBorder="1"/>
    <xf numFmtId="0" fontId="0" fillId="19" borderId="53" xfId="0" applyFill="1" applyBorder="1"/>
    <xf numFmtId="0" fontId="8" fillId="19" borderId="48" xfId="0" applyFont="1" applyFill="1" applyBorder="1" applyAlignment="1">
      <alignment horizontal="center" vertical="center" wrapText="1"/>
    </xf>
    <xf numFmtId="0" fontId="8" fillId="19" borderId="49" xfId="0" applyFont="1" applyFill="1" applyBorder="1" applyAlignment="1">
      <alignment horizontal="center" vertical="center"/>
    </xf>
    <xf numFmtId="0" fontId="0" fillId="0" borderId="50" xfId="0" applyBorder="1" applyAlignment="1">
      <alignment horizontal="left" vertical="center" wrapText="1"/>
    </xf>
    <xf numFmtId="10" fontId="0" fillId="0" borderId="51" xfId="1" applyNumberFormat="1" applyFont="1" applyBorder="1" applyAlignment="1">
      <alignment horizontal="center" vertical="center"/>
    </xf>
    <xf numFmtId="0" fontId="0" fillId="0" borderId="52" xfId="0" applyBorder="1" applyAlignment="1">
      <alignment horizontal="left" vertical="center" wrapText="1"/>
    </xf>
    <xf numFmtId="10" fontId="0" fillId="0" borderId="53" xfId="1" applyNumberFormat="1" applyFont="1" applyBorder="1" applyAlignment="1">
      <alignment horizontal="center" vertical="center"/>
    </xf>
    <xf numFmtId="0" fontId="64" fillId="23" borderId="32" xfId="0" applyFont="1" applyFill="1" applyBorder="1" applyAlignment="1">
      <alignment horizontal="center" vertical="center" wrapText="1"/>
    </xf>
    <xf numFmtId="168" fontId="60" fillId="0" borderId="32" xfId="0" applyNumberFormat="1" applyFont="1" applyBorder="1" applyAlignment="1">
      <alignment horizontal="center" vertical="center" wrapText="1"/>
    </xf>
    <xf numFmtId="165" fontId="60" fillId="0" borderId="32" xfId="0" applyNumberFormat="1" applyFont="1" applyBorder="1" applyAlignment="1">
      <alignment horizontal="center" vertical="center" wrapText="1"/>
    </xf>
    <xf numFmtId="0" fontId="60" fillId="0" borderId="54" xfId="0" applyFont="1" applyBorder="1" applyAlignment="1">
      <alignment horizontal="center" vertical="center" wrapText="1"/>
    </xf>
    <xf numFmtId="0" fontId="33" fillId="0" borderId="54" xfId="0" applyFont="1" applyBorder="1" applyAlignment="1">
      <alignment horizontal="center" vertical="center"/>
    </xf>
    <xf numFmtId="0" fontId="33" fillId="0" borderId="37" xfId="0" applyFont="1" applyBorder="1" applyAlignment="1">
      <alignment horizontal="center" vertical="center" wrapText="1"/>
    </xf>
    <xf numFmtId="0" fontId="34" fillId="0" borderId="32" xfId="7" applyFont="1" applyBorder="1" applyAlignment="1">
      <alignment horizontal="center" vertical="center" wrapText="1"/>
    </xf>
    <xf numFmtId="0" fontId="8" fillId="0" borderId="0" xfId="0" applyFont="1" applyAlignment="1">
      <alignment vertical="center"/>
    </xf>
    <xf numFmtId="0" fontId="8" fillId="0" borderId="0" xfId="0" applyFont="1" applyAlignment="1">
      <alignment horizontal="center" vertical="center"/>
    </xf>
    <xf numFmtId="0" fontId="12" fillId="12" borderId="3" xfId="0" applyFont="1" applyFill="1" applyBorder="1" applyAlignment="1">
      <alignment horizontal="center" vertical="center" wrapText="1"/>
    </xf>
    <xf numFmtId="175" fontId="0" fillId="0" borderId="0" xfId="0" applyNumberFormat="1" applyAlignment="1">
      <alignment horizontal="right"/>
    </xf>
    <xf numFmtId="168" fontId="0" fillId="0" borderId="0" xfId="0" applyNumberFormat="1" applyAlignment="1">
      <alignment horizontal="right"/>
    </xf>
    <xf numFmtId="175" fontId="0" fillId="0" borderId="1" xfId="0" applyNumberFormat="1" applyBorder="1" applyAlignment="1">
      <alignment horizontal="right"/>
    </xf>
    <xf numFmtId="168" fontId="0" fillId="0" borderId="1" xfId="0" applyNumberFormat="1" applyBorder="1" applyAlignment="1">
      <alignment horizontal="right"/>
    </xf>
    <xf numFmtId="170" fontId="147" fillId="28" borderId="0" xfId="2" applyNumberFormat="1" applyFont="1" applyFill="1"/>
    <xf numFmtId="0" fontId="147" fillId="14" borderId="0" xfId="9" applyFill="1"/>
    <xf numFmtId="0" fontId="147" fillId="28" borderId="0" xfId="9" applyFill="1" applyAlignment="1">
      <alignment horizontal="center"/>
    </xf>
    <xf numFmtId="170" fontId="147" fillId="28" borderId="0" xfId="2" applyNumberFormat="1" applyFont="1" applyFill="1" applyAlignment="1">
      <alignment horizontal="center"/>
    </xf>
    <xf numFmtId="0" fontId="165" fillId="14" borderId="0" xfId="9" applyFont="1" applyFill="1" applyAlignment="1">
      <alignment horizontal="left" vertical="top" wrapText="1"/>
    </xf>
    <xf numFmtId="170" fontId="147" fillId="28" borderId="0" xfId="2" applyNumberFormat="1" applyFont="1" applyFill="1" applyAlignment="1">
      <alignment horizontal="left" vertical="top" wrapText="1"/>
    </xf>
    <xf numFmtId="170" fontId="147" fillId="28" borderId="1" xfId="2" applyNumberFormat="1" applyFont="1" applyFill="1" applyBorder="1"/>
    <xf numFmtId="0" fontId="147" fillId="28" borderId="1" xfId="9" applyFill="1" applyBorder="1" applyAlignment="1">
      <alignment horizontal="left" vertical="top" wrapText="1"/>
    </xf>
    <xf numFmtId="0" fontId="147" fillId="28" borderId="1" xfId="9" applyFill="1" applyBorder="1"/>
    <xf numFmtId="10" fontId="0" fillId="28" borderId="1" xfId="1" applyNumberFormat="1" applyFont="1" applyFill="1" applyBorder="1" applyAlignment="1">
      <alignment horizontal="center"/>
    </xf>
    <xf numFmtId="3" fontId="53" fillId="0" borderId="1" xfId="0" applyNumberFormat="1" applyFont="1" applyBorder="1" applyAlignment="1">
      <alignment horizontal="center" vertical="center"/>
    </xf>
    <xf numFmtId="0" fontId="53" fillId="0" borderId="1" xfId="0" applyFont="1" applyBorder="1" applyAlignment="1">
      <alignment horizontal="center" vertical="center"/>
    </xf>
    <xf numFmtId="0" fontId="147" fillId="28" borderId="1" xfId="9" applyFill="1" applyBorder="1" applyAlignment="1">
      <alignment horizontal="left" vertical="top"/>
    </xf>
    <xf numFmtId="170" fontId="147" fillId="31" borderId="1" xfId="2" applyNumberFormat="1" applyFont="1" applyFill="1" applyBorder="1" applyAlignment="1">
      <alignment horizontal="center"/>
    </xf>
    <xf numFmtId="43" fontId="147" fillId="28" borderId="0" xfId="2" applyFont="1" applyFill="1"/>
    <xf numFmtId="0" fontId="148" fillId="28" borderId="0" xfId="9" applyFont="1" applyFill="1" applyAlignment="1">
      <alignment horizontal="center"/>
    </xf>
    <xf numFmtId="3" fontId="29" fillId="40" borderId="1" xfId="2" applyNumberFormat="1" applyFont="1" applyFill="1" applyBorder="1" applyAlignment="1">
      <alignment horizontal="center"/>
    </xf>
    <xf numFmtId="3" fontId="164" fillId="49" borderId="1" xfId="2" applyNumberFormat="1" applyFont="1" applyFill="1" applyBorder="1" applyAlignment="1">
      <alignment horizontal="center"/>
    </xf>
    <xf numFmtId="9" fontId="162" fillId="48" borderId="1" xfId="10" applyNumberFormat="1" applyBorder="1" applyAlignment="1">
      <alignment horizontal="center"/>
    </xf>
    <xf numFmtId="0" fontId="0" fillId="50" borderId="1" xfId="0" applyFill="1" applyBorder="1" applyAlignment="1">
      <alignment horizontal="center"/>
    </xf>
    <xf numFmtId="0" fontId="0" fillId="0" borderId="0" xfId="0" applyAlignment="1">
      <alignment horizontal="center" vertical="center" wrapText="1"/>
    </xf>
    <xf numFmtId="1" fontId="162" fillId="48" borderId="1" xfId="10" applyNumberFormat="1" applyBorder="1" applyAlignment="1">
      <alignment horizontal="center"/>
    </xf>
    <xf numFmtId="3" fontId="162" fillId="12" borderId="1" xfId="10" applyNumberFormat="1" applyFill="1" applyBorder="1" applyAlignment="1">
      <alignment horizontal="center"/>
    </xf>
    <xf numFmtId="4" fontId="164" fillId="49" borderId="1" xfId="2" applyNumberFormat="1" applyFont="1" applyFill="1" applyBorder="1" applyAlignment="1">
      <alignment horizontal="center"/>
    </xf>
    <xf numFmtId="4" fontId="164" fillId="12" borderId="1" xfId="2" applyNumberFormat="1" applyFont="1" applyFill="1" applyBorder="1" applyAlignment="1">
      <alignment horizontal="center"/>
    </xf>
    <xf numFmtId="10" fontId="164" fillId="49" borderId="1" xfId="2" applyNumberFormat="1" applyFont="1" applyFill="1" applyBorder="1" applyAlignment="1">
      <alignment horizontal="center"/>
    </xf>
    <xf numFmtId="178" fontId="29" fillId="40" borderId="2" xfId="2" applyNumberFormat="1" applyFont="1" applyFill="1" applyBorder="1" applyAlignment="1">
      <alignment horizontal="center"/>
    </xf>
    <xf numFmtId="4" fontId="164" fillId="49" borderId="1" xfId="11" applyNumberFormat="1" applyFont="1" applyBorder="1" applyAlignment="1">
      <alignment horizontal="center" vertical="center"/>
    </xf>
    <xf numFmtId="178" fontId="162" fillId="48" borderId="1" xfId="10" applyNumberFormat="1" applyBorder="1" applyAlignment="1">
      <alignment horizontal="center"/>
    </xf>
    <xf numFmtId="9" fontId="29" fillId="40" borderId="1" xfId="1" applyFont="1" applyFill="1" applyBorder="1" applyAlignment="1">
      <alignment horizontal="center"/>
    </xf>
    <xf numFmtId="1" fontId="162" fillId="12" borderId="1" xfId="10" applyNumberFormat="1" applyFill="1" applyBorder="1" applyAlignment="1">
      <alignment horizontal="center"/>
    </xf>
    <xf numFmtId="178" fontId="164" fillId="49" borderId="1" xfId="11" applyNumberFormat="1" applyFont="1" applyBorder="1" applyAlignment="1">
      <alignment horizontal="center"/>
    </xf>
    <xf numFmtId="9" fontId="164" fillId="49" borderId="1" xfId="1" applyFont="1" applyFill="1" applyBorder="1" applyAlignment="1">
      <alignment horizontal="center"/>
    </xf>
    <xf numFmtId="169" fontId="162" fillId="48" borderId="1" xfId="10" applyNumberFormat="1" applyBorder="1" applyAlignment="1">
      <alignment horizontal="center"/>
    </xf>
    <xf numFmtId="164" fontId="1" fillId="35" borderId="1" xfId="0" applyNumberFormat="1" applyFont="1" applyFill="1" applyBorder="1" applyAlignment="1">
      <alignment wrapText="1"/>
    </xf>
    <xf numFmtId="43" fontId="0" fillId="13" borderId="17" xfId="0" applyNumberFormat="1" applyFill="1" applyBorder="1"/>
    <xf numFmtId="4" fontId="0" fillId="0" borderId="1" xfId="0" applyNumberFormat="1" applyBorder="1"/>
    <xf numFmtId="0" fontId="33" fillId="0" borderId="16" xfId="0" applyFont="1" applyBorder="1" applyAlignment="1">
      <alignment vertical="center" wrapText="1"/>
    </xf>
    <xf numFmtId="43" fontId="0" fillId="0" borderId="1" xfId="2" applyFont="1" applyFill="1" applyBorder="1" applyAlignment="1"/>
    <xf numFmtId="0" fontId="36" fillId="23" borderId="1" xfId="0" applyFont="1" applyFill="1" applyBorder="1" applyAlignment="1">
      <alignment horizontal="center" vertical="center" wrapText="1"/>
    </xf>
    <xf numFmtId="0" fontId="32" fillId="47" borderId="1" xfId="0" applyFont="1" applyFill="1" applyBorder="1" applyAlignment="1">
      <alignment horizontal="center" wrapText="1"/>
    </xf>
    <xf numFmtId="0" fontId="32" fillId="42" borderId="2" xfId="0" applyFont="1" applyFill="1" applyBorder="1" applyAlignment="1">
      <alignment horizontal="center" wrapText="1"/>
    </xf>
    <xf numFmtId="0" fontId="41" fillId="0" borderId="1" xfId="4" applyFill="1" applyBorder="1" applyAlignment="1" applyProtection="1"/>
    <xf numFmtId="4" fontId="0" fillId="0" borderId="1" xfId="2" applyNumberFormat="1" applyFont="1" applyFill="1" applyBorder="1" applyAlignment="1">
      <alignment horizontal="center"/>
    </xf>
    <xf numFmtId="4" fontId="8" fillId="0" borderId="1" xfId="0" applyNumberFormat="1" applyFont="1" applyBorder="1" applyAlignment="1">
      <alignment horizontal="center"/>
    </xf>
    <xf numFmtId="43" fontId="0" fillId="0" borderId="0" xfId="2" applyFont="1" applyFill="1" applyBorder="1" applyAlignment="1"/>
    <xf numFmtId="0" fontId="135" fillId="12" borderId="1" xfId="0" applyFont="1" applyFill="1" applyBorder="1" applyAlignment="1">
      <alignment horizontal="center" vertical="center" wrapText="1"/>
    </xf>
    <xf numFmtId="0" fontId="136" fillId="12" borderId="51" xfId="0" applyFont="1" applyFill="1" applyBorder="1" applyAlignment="1">
      <alignment horizontal="center" vertical="center" wrapText="1"/>
    </xf>
    <xf numFmtId="0" fontId="135" fillId="12" borderId="45" xfId="0" applyFont="1" applyFill="1" applyBorder="1" applyAlignment="1">
      <alignment horizontal="center" vertical="center" wrapText="1"/>
    </xf>
    <xf numFmtId="2" fontId="135" fillId="12" borderId="50" xfId="0" applyNumberFormat="1" applyFont="1" applyFill="1" applyBorder="1" applyAlignment="1">
      <alignment horizontal="center" vertical="center" wrapText="1"/>
    </xf>
    <xf numFmtId="0" fontId="136" fillId="12" borderId="1" xfId="0" applyFont="1" applyFill="1" applyBorder="1" applyAlignment="1">
      <alignment horizontal="center" vertical="center" wrapText="1"/>
    </xf>
    <xf numFmtId="0" fontId="137" fillId="12" borderId="1" xfId="0" applyFont="1" applyFill="1" applyBorder="1" applyAlignment="1">
      <alignment horizontal="center" vertical="center" wrapText="1"/>
    </xf>
    <xf numFmtId="0" fontId="0" fillId="16" borderId="33" xfId="0" applyFill="1" applyBorder="1" applyAlignment="1">
      <alignment horizontal="right" wrapText="1"/>
    </xf>
    <xf numFmtId="2" fontId="0" fillId="16" borderId="29" xfId="0" applyNumberFormat="1" applyFill="1" applyBorder="1"/>
    <xf numFmtId="2" fontId="0" fillId="16" borderId="34" xfId="0" applyNumberFormat="1" applyFill="1" applyBorder="1"/>
    <xf numFmtId="0" fontId="0" fillId="13" borderId="17" xfId="0" applyFill="1" applyBorder="1" applyAlignment="1">
      <alignment horizontal="center"/>
    </xf>
    <xf numFmtId="2" fontId="0" fillId="13" borderId="17" xfId="0" applyNumberFormat="1" applyFill="1" applyBorder="1"/>
    <xf numFmtId="168" fontId="33" fillId="16" borderId="32" xfId="0" applyNumberFormat="1" applyFont="1" applyFill="1" applyBorder="1" applyAlignment="1">
      <alignment horizontal="center" vertical="center" wrapText="1"/>
    </xf>
    <xf numFmtId="0" fontId="8" fillId="3" borderId="57" xfId="0" applyFont="1" applyFill="1" applyBorder="1"/>
    <xf numFmtId="0" fontId="0" fillId="6" borderId="1" xfId="0" applyFill="1" applyBorder="1" applyAlignment="1">
      <alignment horizontal="center" vertical="center" wrapText="1"/>
    </xf>
    <xf numFmtId="0" fontId="0" fillId="13" borderId="18" xfId="0" applyFill="1" applyBorder="1" applyAlignment="1">
      <alignment horizontal="center" wrapText="1"/>
    </xf>
    <xf numFmtId="170" fontId="0" fillId="0" borderId="0" xfId="2" applyNumberFormat="1" applyFont="1" applyAlignment="1">
      <alignment horizontal="center"/>
    </xf>
    <xf numFmtId="2" fontId="0" fillId="13" borderId="23" xfId="0" applyNumberFormat="1" applyFill="1" applyBorder="1" applyAlignment="1">
      <alignment wrapText="1"/>
    </xf>
    <xf numFmtId="170" fontId="0" fillId="0" borderId="1" xfId="0" applyNumberFormat="1" applyBorder="1" applyAlignment="1">
      <alignment wrapText="1"/>
    </xf>
    <xf numFmtId="10" fontId="0" fillId="6" borderId="1" xfId="0" applyNumberFormat="1" applyFill="1" applyBorder="1" applyAlignment="1">
      <alignment wrapText="1"/>
    </xf>
    <xf numFmtId="1" fontId="0" fillId="0" borderId="1" xfId="0" applyNumberFormat="1" applyBorder="1" applyAlignment="1">
      <alignment wrapText="1"/>
    </xf>
    <xf numFmtId="0" fontId="0" fillId="13" borderId="17" xfId="0" applyFill="1" applyBorder="1" applyAlignment="1">
      <alignment wrapText="1"/>
    </xf>
    <xf numFmtId="0" fontId="51" fillId="16" borderId="1" xfId="0" applyFont="1" applyFill="1" applyBorder="1"/>
    <xf numFmtId="0" fontId="51" fillId="16" borderId="4" xfId="0" applyFont="1" applyFill="1" applyBorder="1"/>
    <xf numFmtId="0" fontId="51" fillId="16" borderId="5" xfId="0" applyFont="1" applyFill="1" applyBorder="1"/>
    <xf numFmtId="169" fontId="0" fillId="0" borderId="28" xfId="0" applyNumberFormat="1" applyBorder="1"/>
    <xf numFmtId="170" fontId="40" fillId="17" borderId="1" xfId="2" applyNumberFormat="1" applyFont="1" applyFill="1" applyBorder="1" applyAlignment="1">
      <alignment horizontal="center" vertical="center" wrapText="1"/>
    </xf>
    <xf numFmtId="170" fontId="36" fillId="17" borderId="1" xfId="2" applyNumberFormat="1" applyFont="1" applyFill="1" applyBorder="1" applyAlignment="1">
      <alignment horizontal="center" vertical="center" wrapText="1"/>
    </xf>
    <xf numFmtId="170" fontId="0" fillId="4" borderId="1" xfId="2" applyNumberFormat="1" applyFont="1" applyFill="1" applyBorder="1"/>
    <xf numFmtId="0" fontId="75" fillId="0" borderId="0" xfId="0" applyFont="1" applyAlignment="1">
      <alignment vertical="center"/>
    </xf>
    <xf numFmtId="171" fontId="0" fillId="16" borderId="0" xfId="2" applyNumberFormat="1" applyFont="1" applyFill="1" applyAlignment="1">
      <alignment horizontal="center"/>
    </xf>
    <xf numFmtId="43" fontId="0" fillId="16" borderId="0" xfId="2" applyFont="1" applyFill="1" applyAlignment="1">
      <alignment horizontal="center"/>
    </xf>
    <xf numFmtId="4" fontId="0" fillId="0" borderId="0" xfId="0" applyNumberFormat="1" applyAlignment="1">
      <alignment horizontal="right"/>
    </xf>
    <xf numFmtId="0" fontId="0" fillId="21" borderId="10" xfId="0" applyFill="1" applyBorder="1"/>
    <xf numFmtId="178" fontId="0" fillId="0" borderId="1" xfId="0" applyNumberFormat="1" applyBorder="1"/>
    <xf numFmtId="0" fontId="167" fillId="0" borderId="0" xfId="0" applyFont="1"/>
    <xf numFmtId="0" fontId="168" fillId="0" borderId="0" xfId="0" applyFont="1"/>
    <xf numFmtId="0" fontId="168" fillId="0" borderId="0" xfId="0" applyFont="1" applyAlignment="1">
      <alignment horizontal="center"/>
    </xf>
    <xf numFmtId="0" fontId="167" fillId="0" borderId="0" xfId="0" applyFont="1" applyAlignment="1">
      <alignment horizontal="center"/>
    </xf>
    <xf numFmtId="2" fontId="167" fillId="37" borderId="0" xfId="0" applyNumberFormat="1" applyFont="1" applyFill="1" applyAlignment="1">
      <alignment horizontal="center"/>
    </xf>
    <xf numFmtId="178" fontId="167" fillId="0" borderId="0" xfId="3" applyNumberFormat="1" applyFont="1"/>
    <xf numFmtId="0" fontId="167" fillId="0" borderId="0" xfId="0" applyFont="1" applyAlignment="1">
      <alignment horizontal="left"/>
    </xf>
    <xf numFmtId="9" fontId="167" fillId="0" borderId="0" xfId="0" applyNumberFormat="1" applyFont="1" applyAlignment="1">
      <alignment horizontal="left"/>
    </xf>
    <xf numFmtId="10" fontId="167" fillId="0" borderId="0" xfId="0" applyNumberFormat="1" applyFont="1" applyAlignment="1">
      <alignment horizontal="left"/>
    </xf>
    <xf numFmtId="0" fontId="167" fillId="0" borderId="0" xfId="0" applyFont="1" applyAlignment="1">
      <alignment horizontal="right"/>
    </xf>
    <xf numFmtId="170" fontId="1" fillId="0" borderId="1" xfId="2" applyNumberFormat="1" applyFont="1" applyFill="1" applyBorder="1" applyAlignment="1">
      <alignment wrapText="1"/>
    </xf>
    <xf numFmtId="39" fontId="1" fillId="0" borderId="1" xfId="2" applyNumberFormat="1" applyFont="1" applyFill="1" applyBorder="1" applyAlignment="1">
      <alignment wrapText="1"/>
    </xf>
    <xf numFmtId="43" fontId="1" fillId="0" borderId="1" xfId="2" applyFont="1" applyFill="1" applyBorder="1" applyAlignment="1">
      <alignment wrapText="1"/>
    </xf>
    <xf numFmtId="4" fontId="1" fillId="0" borderId="1" xfId="2" applyNumberFormat="1" applyFont="1" applyFill="1" applyBorder="1" applyAlignment="1">
      <alignment wrapText="1"/>
    </xf>
    <xf numFmtId="171" fontId="0" fillId="0" borderId="0" xfId="0" applyNumberFormat="1"/>
    <xf numFmtId="182" fontId="1" fillId="0" borderId="1" xfId="0" applyNumberFormat="1" applyFont="1" applyBorder="1" applyAlignment="1">
      <alignment wrapText="1"/>
    </xf>
    <xf numFmtId="184" fontId="1" fillId="0" borderId="1" xfId="0" applyNumberFormat="1" applyFont="1" applyBorder="1" applyAlignment="1">
      <alignment wrapText="1"/>
    </xf>
    <xf numFmtId="43" fontId="0" fillId="16" borderId="37" xfId="0" applyNumberFormat="1" applyFill="1" applyBorder="1"/>
    <xf numFmtId="43" fontId="0" fillId="16" borderId="47" xfId="0" applyNumberFormat="1" applyFill="1" applyBorder="1"/>
    <xf numFmtId="0" fontId="8" fillId="0" borderId="134" xfId="0" applyFont="1" applyBorder="1"/>
    <xf numFmtId="185" fontId="1" fillId="0" borderId="1" xfId="0" applyNumberFormat="1" applyFont="1" applyBorder="1" applyAlignment="1">
      <alignment wrapText="1"/>
    </xf>
    <xf numFmtId="176" fontId="0" fillId="0" borderId="18" xfId="2" applyNumberFormat="1" applyFont="1" applyFill="1" applyBorder="1"/>
    <xf numFmtId="186" fontId="1" fillId="0" borderId="1" xfId="0" applyNumberFormat="1" applyFont="1" applyBorder="1" applyAlignment="1">
      <alignment wrapText="1"/>
    </xf>
    <xf numFmtId="179" fontId="0" fillId="0" borderId="18" xfId="2" applyNumberFormat="1" applyFont="1" applyFill="1" applyBorder="1" applyAlignment="1">
      <alignment horizontal="center" wrapText="1"/>
    </xf>
    <xf numFmtId="187" fontId="0" fillId="16" borderId="1" xfId="0" applyNumberFormat="1" applyFill="1" applyBorder="1"/>
    <xf numFmtId="187" fontId="0" fillId="16" borderId="1" xfId="1" applyNumberFormat="1" applyFont="1" applyFill="1" applyBorder="1"/>
    <xf numFmtId="174" fontId="0" fillId="0" borderId="1" xfId="1" applyNumberFormat="1" applyFont="1" applyFill="1" applyBorder="1"/>
    <xf numFmtId="174" fontId="0" fillId="0" borderId="1" xfId="2" applyNumberFormat="1" applyFont="1" applyFill="1" applyBorder="1"/>
    <xf numFmtId="174" fontId="0" fillId="0" borderId="1" xfId="0" applyNumberFormat="1" applyBorder="1"/>
    <xf numFmtId="174" fontId="0" fillId="16" borderId="1" xfId="2" applyNumberFormat="1" applyFont="1" applyFill="1" applyBorder="1"/>
    <xf numFmtId="170" fontId="32" fillId="0" borderId="1" xfId="2" applyNumberFormat="1" applyFont="1" applyFill="1" applyBorder="1"/>
    <xf numFmtId="170" fontId="32" fillId="0" borderId="1" xfId="0" applyNumberFormat="1" applyFont="1" applyBorder="1"/>
    <xf numFmtId="0" fontId="4" fillId="52" borderId="1" xfId="0" applyFont="1" applyFill="1" applyBorder="1" applyAlignment="1">
      <alignment horizontal="center" vertical="center" wrapText="1"/>
    </xf>
    <xf numFmtId="0" fontId="1" fillId="0" borderId="9" xfId="0" applyFont="1" applyBorder="1" applyAlignment="1">
      <alignment horizontal="center" vertical="center" wrapText="1"/>
    </xf>
    <xf numFmtId="0" fontId="169" fillId="52" borderId="1" xfId="0" applyFont="1" applyFill="1" applyBorder="1" applyAlignment="1">
      <alignment horizontal="center" vertical="center" wrapText="1"/>
    </xf>
    <xf numFmtId="3" fontId="1" fillId="4" borderId="1" xfId="0" applyNumberFormat="1" applyFont="1" applyFill="1" applyBorder="1" applyAlignment="1">
      <alignment horizontal="right" wrapText="1"/>
    </xf>
    <xf numFmtId="167" fontId="1" fillId="0" borderId="1" xfId="2" applyNumberFormat="1" applyFont="1" applyFill="1" applyBorder="1" applyAlignment="1">
      <alignment wrapText="1"/>
    </xf>
    <xf numFmtId="175" fontId="1" fillId="0" borderId="1" xfId="2" applyNumberFormat="1" applyFont="1" applyFill="1" applyBorder="1" applyAlignment="1">
      <alignment wrapText="1"/>
    </xf>
    <xf numFmtId="6" fontId="33" fillId="0" borderId="3" xfId="0" applyNumberFormat="1" applyFont="1" applyBorder="1" applyAlignment="1">
      <alignment vertical="center" wrapText="1"/>
    </xf>
    <xf numFmtId="44" fontId="0" fillId="0" borderId="18" xfId="3" applyFont="1" applyFill="1" applyBorder="1" applyAlignment="1">
      <alignment wrapText="1"/>
    </xf>
    <xf numFmtId="0" fontId="33" fillId="0" borderId="50" xfId="0" applyFont="1" applyBorder="1" applyAlignment="1">
      <alignment vertical="center" wrapText="1"/>
    </xf>
    <xf numFmtId="0" fontId="33" fillId="0" borderId="52" xfId="0" applyFont="1" applyBorder="1" applyAlignment="1">
      <alignment vertical="center" wrapText="1"/>
    </xf>
    <xf numFmtId="9" fontId="33" fillId="0" borderId="45" xfId="0" applyNumberFormat="1" applyFont="1" applyBorder="1" applyAlignment="1">
      <alignment horizontal="center" vertical="center" wrapText="1"/>
    </xf>
    <xf numFmtId="165" fontId="0" fillId="0" borderId="6" xfId="0" applyNumberFormat="1" applyBorder="1" applyAlignment="1">
      <alignment wrapText="1"/>
    </xf>
    <xf numFmtId="2" fontId="0" fillId="0" borderId="6" xfId="0" applyNumberFormat="1" applyBorder="1"/>
    <xf numFmtId="43" fontId="8" fillId="0" borderId="31" xfId="2" applyFont="1" applyFill="1" applyBorder="1"/>
    <xf numFmtId="43" fontId="8" fillId="0" borderId="25" xfId="2" applyFont="1" applyFill="1" applyBorder="1"/>
    <xf numFmtId="0" fontId="32" fillId="0" borderId="1" xfId="0" applyFont="1" applyBorder="1" applyAlignment="1">
      <alignment horizontal="center" wrapText="1"/>
    </xf>
    <xf numFmtId="0" fontId="0" fillId="38" borderId="0" xfId="0" applyFill="1" applyAlignment="1">
      <alignment wrapText="1"/>
    </xf>
    <xf numFmtId="0" fontId="0" fillId="38" borderId="0" xfId="0" applyFill="1"/>
    <xf numFmtId="2" fontId="0" fillId="0" borderId="0" xfId="0" quotePrefix="1" applyNumberFormat="1"/>
    <xf numFmtId="2" fontId="167" fillId="0" borderId="0" xfId="0" applyNumberFormat="1" applyFont="1" applyAlignment="1">
      <alignment horizontal="center"/>
    </xf>
    <xf numFmtId="3" fontId="34" fillId="51" borderId="1" xfId="0" applyNumberFormat="1" applyFont="1" applyFill="1" applyBorder="1" applyAlignment="1">
      <alignment horizontal="center" vertical="center"/>
    </xf>
    <xf numFmtId="9" fontId="0" fillId="51" borderId="1" xfId="0" applyNumberFormat="1" applyFill="1" applyBorder="1"/>
    <xf numFmtId="3" fontId="5" fillId="5" borderId="11" xfId="0" applyNumberFormat="1" applyFont="1" applyFill="1" applyBorder="1" applyAlignment="1">
      <alignment horizontal="center" vertical="center"/>
    </xf>
    <xf numFmtId="3" fontId="5" fillId="6" borderId="11" xfId="0" applyNumberFormat="1" applyFont="1" applyFill="1" applyBorder="1" applyAlignment="1">
      <alignment horizontal="center" vertical="center"/>
    </xf>
    <xf numFmtId="3" fontId="5" fillId="31" borderId="11" xfId="0" applyNumberFormat="1" applyFont="1" applyFill="1" applyBorder="1" applyAlignment="1">
      <alignment horizontal="center" vertical="center"/>
    </xf>
    <xf numFmtId="3" fontId="5" fillId="11" borderId="11" xfId="0" applyNumberFormat="1" applyFont="1" applyFill="1" applyBorder="1" applyAlignment="1">
      <alignment horizontal="center" vertical="center"/>
    </xf>
    <xf numFmtId="3" fontId="5" fillId="11" borderId="11" xfId="0" applyNumberFormat="1" applyFont="1" applyFill="1" applyBorder="1" applyAlignment="1">
      <alignment vertical="center"/>
    </xf>
    <xf numFmtId="170" fontId="5" fillId="26" borderId="1" xfId="0" applyNumberFormat="1" applyFont="1" applyFill="1" applyBorder="1" applyAlignment="1">
      <alignment vertical="center"/>
    </xf>
    <xf numFmtId="43" fontId="145" fillId="26" borderId="1" xfId="0" applyNumberFormat="1" applyFont="1" applyFill="1" applyBorder="1"/>
    <xf numFmtId="0" fontId="8" fillId="12" borderId="0" xfId="0" applyFont="1" applyFill="1"/>
    <xf numFmtId="9" fontId="1" fillId="12" borderId="1" xfId="0" applyNumberFormat="1" applyFont="1" applyFill="1" applyBorder="1" applyAlignment="1">
      <alignment horizontal="center" wrapText="1"/>
    </xf>
    <xf numFmtId="0" fontId="41" fillId="0" borderId="1" xfId="4" applyBorder="1" applyAlignment="1" applyProtection="1"/>
    <xf numFmtId="4" fontId="0" fillId="0" borderId="1" xfId="2" applyNumberFormat="1" applyFont="1" applyBorder="1" applyAlignment="1">
      <alignment horizontal="center"/>
    </xf>
    <xf numFmtId="4" fontId="0" fillId="0" borderId="1" xfId="0" applyNumberFormat="1" applyBorder="1" applyAlignment="1">
      <alignment horizontal="center"/>
    </xf>
    <xf numFmtId="43" fontId="0" fillId="12" borderId="1" xfId="2" applyFont="1" applyFill="1" applyBorder="1"/>
    <xf numFmtId="2" fontId="170" fillId="12" borderId="0" xfId="0" applyNumberFormat="1" applyFont="1" applyFill="1" applyAlignment="1">
      <alignment horizontal="center"/>
    </xf>
    <xf numFmtId="171" fontId="0" fillId="0" borderId="1" xfId="0" applyNumberFormat="1" applyBorder="1" applyAlignment="1">
      <alignment horizontal="center"/>
    </xf>
    <xf numFmtId="0" fontId="41" fillId="0" borderId="1" xfId="4" applyFill="1" applyBorder="1" applyAlignment="1" applyProtection="1">
      <alignment wrapText="1"/>
    </xf>
    <xf numFmtId="0" fontId="41" fillId="0" borderId="0" xfId="4" applyFill="1" applyAlignment="1" applyProtection="1"/>
    <xf numFmtId="0" fontId="1" fillId="53" borderId="1" xfId="0" applyFont="1" applyFill="1" applyBorder="1" applyAlignment="1">
      <alignment horizontal="center" vertical="center" wrapText="1"/>
    </xf>
    <xf numFmtId="9" fontId="1" fillId="54" borderId="1" xfId="0" applyNumberFormat="1" applyFont="1" applyFill="1" applyBorder="1" applyAlignment="1">
      <alignment horizontal="center" wrapText="1"/>
    </xf>
    <xf numFmtId="170" fontId="1" fillId="54" borderId="1" xfId="2" applyNumberFormat="1" applyFont="1" applyFill="1" applyBorder="1" applyAlignment="1">
      <alignment wrapText="1"/>
    </xf>
    <xf numFmtId="0" fontId="32" fillId="18" borderId="26" xfId="0" applyFont="1" applyFill="1" applyBorder="1" applyAlignment="1">
      <alignment horizontal="center"/>
    </xf>
    <xf numFmtId="3" fontId="0" fillId="54" borderId="0" xfId="0" applyNumberFormat="1" applyFill="1"/>
    <xf numFmtId="3" fontId="0" fillId="54" borderId="34" xfId="0" applyNumberFormat="1" applyFill="1" applyBorder="1"/>
    <xf numFmtId="3" fontId="0" fillId="54" borderId="31" xfId="0" applyNumberFormat="1" applyFill="1" applyBorder="1"/>
    <xf numFmtId="3" fontId="0" fillId="54" borderId="32" xfId="0" applyNumberFormat="1" applyFill="1" applyBorder="1"/>
    <xf numFmtId="0" fontId="0" fillId="54" borderId="32" xfId="0" applyFill="1" applyBorder="1"/>
    <xf numFmtId="0" fontId="0" fillId="54" borderId="34" xfId="0" applyFill="1" applyBorder="1" applyAlignment="1">
      <alignment horizontal="center"/>
    </xf>
    <xf numFmtId="0" fontId="0" fillId="54" borderId="32" xfId="0" applyFill="1" applyBorder="1" applyAlignment="1">
      <alignment horizontal="center"/>
    </xf>
    <xf numFmtId="2" fontId="0" fillId="54" borderId="34" xfId="0" applyNumberFormat="1" applyFill="1" applyBorder="1" applyAlignment="1">
      <alignment horizontal="center"/>
    </xf>
    <xf numFmtId="2" fontId="0" fillId="54" borderId="32" xfId="0" applyNumberFormat="1" applyFill="1" applyBorder="1" applyAlignment="1">
      <alignment horizontal="center"/>
    </xf>
    <xf numFmtId="6" fontId="60" fillId="54" borderId="1" xfId="0" applyNumberFormat="1" applyFont="1" applyFill="1" applyBorder="1" applyAlignment="1">
      <alignment horizontal="center" vertical="center" wrapText="1"/>
    </xf>
    <xf numFmtId="0" fontId="60" fillId="54" borderId="1" xfId="0" applyFont="1" applyFill="1" applyBorder="1" applyAlignment="1">
      <alignment horizontal="center" vertical="center" wrapText="1"/>
    </xf>
    <xf numFmtId="3" fontId="33" fillId="0" borderId="51" xfId="0" applyNumberFormat="1" applyFont="1" applyBorder="1" applyAlignment="1">
      <alignment horizontal="right" vertical="center"/>
    </xf>
    <xf numFmtId="44" fontId="0" fillId="54" borderId="41" xfId="3" applyFont="1" applyFill="1" applyBorder="1" applyAlignment="1">
      <alignment horizontal="center" wrapText="1"/>
    </xf>
    <xf numFmtId="0" fontId="32" fillId="20" borderId="2" xfId="0" applyFont="1" applyFill="1" applyBorder="1" applyAlignment="1">
      <alignment horizontal="center"/>
    </xf>
    <xf numFmtId="0" fontId="0" fillId="6" borderId="48" xfId="0" applyFill="1" applyBorder="1"/>
    <xf numFmtId="0" fontId="0" fillId="6" borderId="82" xfId="0" applyFill="1" applyBorder="1"/>
    <xf numFmtId="0" fontId="0" fillId="6" borderId="49" xfId="0" applyFill="1" applyBorder="1"/>
    <xf numFmtId="0" fontId="0" fillId="6" borderId="52" xfId="0" applyFill="1" applyBorder="1"/>
    <xf numFmtId="0" fontId="0" fillId="6" borderId="45" xfId="0" applyFill="1" applyBorder="1"/>
    <xf numFmtId="0" fontId="0" fillId="6" borderId="53" xfId="0" applyFill="1" applyBorder="1"/>
    <xf numFmtId="43" fontId="0" fillId="54" borderId="41" xfId="2" applyFont="1" applyFill="1" applyBorder="1" applyAlignment="1">
      <alignment wrapText="1"/>
    </xf>
    <xf numFmtId="167" fontId="0" fillId="54" borderId="41" xfId="2" applyNumberFormat="1" applyFont="1" applyFill="1" applyBorder="1" applyAlignment="1">
      <alignment wrapText="1"/>
    </xf>
    <xf numFmtId="0" fontId="33" fillId="54" borderId="27" xfId="0" applyFont="1" applyFill="1" applyBorder="1" applyAlignment="1">
      <alignment wrapText="1"/>
    </xf>
    <xf numFmtId="0" fontId="0" fillId="54" borderId="28" xfId="0" applyFill="1" applyBorder="1" applyAlignment="1">
      <alignment wrapText="1"/>
    </xf>
    <xf numFmtId="0" fontId="33" fillId="54" borderId="28" xfId="0" applyFont="1" applyFill="1" applyBorder="1"/>
    <xf numFmtId="0" fontId="0" fillId="54" borderId="28" xfId="0" applyFill="1" applyBorder="1"/>
    <xf numFmtId="0" fontId="0" fillId="54" borderId="29" xfId="0" applyFill="1" applyBorder="1"/>
    <xf numFmtId="43" fontId="0" fillId="0" borderId="31" xfId="2" applyFont="1" applyFill="1" applyBorder="1" applyAlignment="1">
      <alignment wrapText="1"/>
    </xf>
    <xf numFmtId="0" fontId="40" fillId="18" borderId="24" xfId="0" applyFont="1" applyFill="1" applyBorder="1" applyAlignment="1">
      <alignment horizontal="left"/>
    </xf>
    <xf numFmtId="0" fontId="40" fillId="18" borderId="0" xfId="0" applyFont="1" applyFill="1"/>
    <xf numFmtId="0" fontId="32" fillId="18" borderId="54" xfId="0" applyFont="1" applyFill="1" applyBorder="1" applyAlignment="1">
      <alignment horizontal="center"/>
    </xf>
    <xf numFmtId="0" fontId="33" fillId="16" borderId="1" xfId="0" applyFont="1" applyFill="1" applyBorder="1" applyAlignment="1">
      <alignment horizontal="center" wrapText="1"/>
    </xf>
    <xf numFmtId="43" fontId="0" fillId="16" borderId="1" xfId="0" applyNumberFormat="1" applyFill="1" applyBorder="1" applyAlignment="1">
      <alignment horizontal="center" wrapText="1"/>
    </xf>
    <xf numFmtId="0" fontId="33" fillId="54" borderId="1" xfId="0" applyFont="1" applyFill="1" applyBorder="1" applyAlignment="1">
      <alignment horizontal="center" wrapText="1"/>
    </xf>
    <xf numFmtId="43" fontId="0" fillId="54" borderId="1" xfId="0" applyNumberFormat="1" applyFill="1" applyBorder="1" applyAlignment="1">
      <alignment horizontal="center" wrapText="1"/>
    </xf>
    <xf numFmtId="170" fontId="0" fillId="54" borderId="1" xfId="0" applyNumberFormat="1" applyFill="1" applyBorder="1" applyAlignment="1">
      <alignment horizontal="center" wrapText="1"/>
    </xf>
    <xf numFmtId="0" fontId="0" fillId="54" borderId="27" xfId="0" applyFill="1" applyBorder="1"/>
    <xf numFmtId="178" fontId="0" fillId="54" borderId="28" xfId="0" applyNumberFormat="1" applyFill="1" applyBorder="1"/>
    <xf numFmtId="0" fontId="0" fillId="54" borderId="30" xfId="0" applyFill="1" applyBorder="1"/>
    <xf numFmtId="178" fontId="0" fillId="54" borderId="31" xfId="0" applyNumberFormat="1" applyFill="1" applyBorder="1"/>
    <xf numFmtId="0" fontId="33" fillId="54" borderId="31" xfId="0" applyFont="1" applyFill="1" applyBorder="1"/>
    <xf numFmtId="0" fontId="0" fillId="54" borderId="31" xfId="0" applyFill="1" applyBorder="1"/>
    <xf numFmtId="0" fontId="33" fillId="54" borderId="30" xfId="0" applyFont="1" applyFill="1" applyBorder="1" applyAlignment="1">
      <alignment wrapText="1"/>
    </xf>
    <xf numFmtId="0" fontId="0" fillId="54" borderId="31" xfId="0" applyFill="1" applyBorder="1" applyAlignment="1">
      <alignment wrapText="1"/>
    </xf>
    <xf numFmtId="3" fontId="0" fillId="16" borderId="41" xfId="0" applyNumberFormat="1" applyFill="1" applyBorder="1" applyAlignment="1">
      <alignment horizontal="center" wrapText="1"/>
    </xf>
    <xf numFmtId="178" fontId="0" fillId="54" borderId="41" xfId="3" applyNumberFormat="1" applyFont="1" applyFill="1" applyBorder="1" applyAlignment="1">
      <alignment horizontal="center" wrapText="1"/>
    </xf>
    <xf numFmtId="0" fontId="0" fillId="55" borderId="31" xfId="0" applyFill="1" applyBorder="1"/>
    <xf numFmtId="9" fontId="0" fillId="55" borderId="28" xfId="1" applyFont="1" applyFill="1" applyBorder="1"/>
    <xf numFmtId="165" fontId="0" fillId="16" borderId="28" xfId="0" applyNumberFormat="1" applyFill="1" applyBorder="1"/>
    <xf numFmtId="14" fontId="0" fillId="54" borderId="26" xfId="0" applyNumberFormat="1" applyFill="1" applyBorder="1" applyAlignment="1">
      <alignment horizontal="center"/>
    </xf>
    <xf numFmtId="0" fontId="0" fillId="54" borderId="26" xfId="0" applyFill="1" applyBorder="1" applyAlignment="1">
      <alignment horizontal="center"/>
    </xf>
    <xf numFmtId="0" fontId="8" fillId="21" borderId="0" xfId="0" applyFont="1" applyFill="1" applyAlignment="1">
      <alignment horizontal="center"/>
    </xf>
    <xf numFmtId="0" fontId="33" fillId="54" borderId="1" xfId="0" applyFont="1" applyFill="1" applyBorder="1"/>
    <xf numFmtId="2" fontId="33" fillId="54" borderId="1" xfId="0" applyNumberFormat="1" applyFont="1" applyFill="1" applyBorder="1"/>
    <xf numFmtId="0" fontId="0" fillId="54" borderId="1" xfId="0" applyFill="1" applyBorder="1" applyAlignment="1">
      <alignment horizontal="right"/>
    </xf>
    <xf numFmtId="165" fontId="0" fillId="37" borderId="1" xfId="0" applyNumberFormat="1" applyFill="1" applyBorder="1"/>
    <xf numFmtId="0" fontId="8" fillId="54" borderId="0" xfId="0" applyFont="1" applyFill="1" applyAlignment="1">
      <alignment wrapText="1"/>
    </xf>
    <xf numFmtId="0" fontId="0" fillId="54" borderId="28" xfId="0" applyFill="1" applyBorder="1" applyAlignment="1">
      <alignment vertical="center"/>
    </xf>
    <xf numFmtId="0" fontId="0" fillId="54" borderId="29" xfId="0" applyFill="1" applyBorder="1" applyAlignment="1">
      <alignment vertical="center"/>
    </xf>
    <xf numFmtId="0" fontId="0" fillId="54" borderId="31" xfId="0" applyFill="1" applyBorder="1" applyAlignment="1">
      <alignment vertical="center"/>
    </xf>
    <xf numFmtId="0" fontId="0" fillId="54" borderId="32" xfId="0" applyFill="1" applyBorder="1" applyAlignment="1">
      <alignment vertical="center"/>
    </xf>
    <xf numFmtId="43" fontId="0" fillId="54" borderId="18" xfId="2" applyFont="1" applyFill="1" applyBorder="1" applyAlignment="1">
      <alignment wrapText="1"/>
    </xf>
    <xf numFmtId="2" fontId="0" fillId="54" borderId="23" xfId="0" applyNumberFormat="1" applyFill="1" applyBorder="1" applyAlignment="1">
      <alignment wrapText="1"/>
    </xf>
    <xf numFmtId="0" fontId="0" fillId="54" borderId="31" xfId="0" applyFill="1" applyBorder="1" applyAlignment="1">
      <alignment horizontal="left" vertical="center"/>
    </xf>
    <xf numFmtId="0" fontId="0" fillId="54" borderId="0" xfId="0" applyFill="1" applyAlignment="1">
      <alignment horizontal="left" vertical="center"/>
    </xf>
    <xf numFmtId="0" fontId="96" fillId="54" borderId="1" xfId="0" applyFont="1" applyFill="1" applyBorder="1" applyAlignment="1">
      <alignment horizontal="center" vertical="center" wrapText="1"/>
    </xf>
    <xf numFmtId="0" fontId="33" fillId="54" borderId="1" xfId="0" applyFont="1" applyFill="1" applyBorder="1" applyAlignment="1">
      <alignment horizontal="center" vertical="center" wrapText="1"/>
    </xf>
    <xf numFmtId="1" fontId="0" fillId="54" borderId="1" xfId="0" applyNumberFormat="1" applyFill="1" applyBorder="1" applyAlignment="1">
      <alignment horizontal="center"/>
    </xf>
    <xf numFmtId="167" fontId="33" fillId="54" borderId="1" xfId="2" applyNumberFormat="1" applyFont="1" applyFill="1" applyBorder="1" applyAlignment="1">
      <alignment horizontal="center" vertical="center" wrapText="1"/>
    </xf>
    <xf numFmtId="176" fontId="33" fillId="54" borderId="1" xfId="2" applyNumberFormat="1" applyFont="1" applyFill="1" applyBorder="1" applyAlignment="1">
      <alignment horizontal="center" vertical="center" wrapText="1"/>
    </xf>
    <xf numFmtId="2" fontId="0" fillId="54" borderId="18" xfId="0" applyNumberFormat="1" applyFill="1" applyBorder="1" applyAlignment="1">
      <alignment wrapText="1"/>
    </xf>
    <xf numFmtId="0" fontId="0" fillId="54" borderId="0" xfId="0" applyFill="1"/>
    <xf numFmtId="0" fontId="33" fillId="54" borderId="0" xfId="0" applyFont="1" applyFill="1" applyAlignment="1">
      <alignment horizontal="justify" vertical="center"/>
    </xf>
    <xf numFmtId="0" fontId="0" fillId="54" borderId="34" xfId="0" applyFill="1" applyBorder="1"/>
    <xf numFmtId="0" fontId="33" fillId="54" borderId="31" xfId="0" applyFont="1" applyFill="1" applyBorder="1" applyAlignment="1">
      <alignment horizontal="justify" vertical="center"/>
    </xf>
    <xf numFmtId="43" fontId="0" fillId="54" borderId="0" xfId="2" applyFont="1" applyFill="1" applyBorder="1"/>
    <xf numFmtId="175" fontId="0" fillId="54" borderId="31" xfId="2" applyNumberFormat="1" applyFont="1" applyFill="1" applyBorder="1"/>
    <xf numFmtId="0" fontId="33" fillId="54" borderId="1" xfId="0" applyFont="1" applyFill="1" applyBorder="1" applyAlignment="1">
      <alignment horizontal="justify" vertical="center" wrapText="1"/>
    </xf>
    <xf numFmtId="9" fontId="33" fillId="54" borderId="1" xfId="0" applyNumberFormat="1" applyFont="1" applyFill="1" applyBorder="1" applyAlignment="1">
      <alignment horizontal="center" vertical="center" wrapText="1"/>
    </xf>
    <xf numFmtId="0" fontId="0" fillId="54" borderId="1" xfId="0" applyFill="1" applyBorder="1"/>
    <xf numFmtId="170" fontId="0" fillId="54" borderId="28" xfId="2" applyNumberFormat="1" applyFont="1" applyFill="1" applyBorder="1" applyAlignment="1">
      <alignment vertical="center" wrapText="1"/>
    </xf>
    <xf numFmtId="0" fontId="8" fillId="13" borderId="17" xfId="0" applyFont="1" applyFill="1" applyBorder="1"/>
    <xf numFmtId="0" fontId="51" fillId="54" borderId="1" xfId="0" applyFont="1" applyFill="1" applyBorder="1" applyAlignment="1">
      <alignment horizontal="left" vertical="center"/>
    </xf>
    <xf numFmtId="3" fontId="34" fillId="54" borderId="1" xfId="0" applyNumberFormat="1" applyFont="1" applyFill="1" applyBorder="1" applyAlignment="1">
      <alignment horizontal="center" vertical="center"/>
    </xf>
    <xf numFmtId="0" fontId="51" fillId="54" borderId="16" xfId="0" applyFont="1" applyFill="1" applyBorder="1"/>
    <xf numFmtId="0" fontId="51" fillId="54" borderId="6" xfId="0" applyFont="1" applyFill="1" applyBorder="1"/>
    <xf numFmtId="0" fontId="51" fillId="54" borderId="15" xfId="0" applyFont="1" applyFill="1" applyBorder="1"/>
    <xf numFmtId="0" fontId="0" fillId="54" borderId="0" xfId="0" applyFill="1" applyAlignment="1">
      <alignment wrapText="1"/>
    </xf>
    <xf numFmtId="43" fontId="0" fillId="54" borderId="23" xfId="2" applyFont="1" applyFill="1" applyBorder="1" applyAlignment="1">
      <alignment wrapText="1"/>
    </xf>
    <xf numFmtId="0" fontId="0" fillId="16" borderId="54" xfId="0" applyFill="1" applyBorder="1" applyAlignment="1">
      <alignment horizontal="center" vertical="center"/>
    </xf>
    <xf numFmtId="0" fontId="33" fillId="16" borderId="33" xfId="0" applyFont="1" applyFill="1" applyBorder="1" applyAlignment="1">
      <alignment horizontal="left" vertical="center" wrapText="1"/>
    </xf>
    <xf numFmtId="0" fontId="33" fillId="16" borderId="30" xfId="0" applyFont="1" applyFill="1" applyBorder="1" applyAlignment="1">
      <alignment horizontal="left" vertical="center" wrapText="1"/>
    </xf>
    <xf numFmtId="0" fontId="33" fillId="16" borderId="31" xfId="0" applyFont="1" applyFill="1" applyBorder="1" applyAlignment="1">
      <alignment horizontal="center" vertical="center" wrapText="1"/>
    </xf>
    <xf numFmtId="9" fontId="33" fillId="16" borderId="0" xfId="1" applyFont="1" applyFill="1" applyBorder="1" applyAlignment="1">
      <alignment horizontal="center" vertical="center" wrapText="1"/>
    </xf>
    <xf numFmtId="2" fontId="33" fillId="16" borderId="32" xfId="0" applyNumberFormat="1" applyFont="1" applyFill="1" applyBorder="1" applyAlignment="1">
      <alignment horizontal="center" vertical="center" wrapText="1"/>
    </xf>
    <xf numFmtId="0" fontId="33" fillId="54" borderId="37" xfId="0" applyFont="1" applyFill="1" applyBorder="1" applyAlignment="1">
      <alignment horizontal="left" vertical="center" wrapText="1"/>
    </xf>
    <xf numFmtId="9" fontId="33" fillId="54" borderId="32" xfId="0" applyNumberFormat="1" applyFont="1" applyFill="1" applyBorder="1" applyAlignment="1">
      <alignment horizontal="center" vertical="center" wrapText="1"/>
    </xf>
    <xf numFmtId="2" fontId="33" fillId="54" borderId="32" xfId="0" applyNumberFormat="1" applyFont="1" applyFill="1" applyBorder="1" applyAlignment="1">
      <alignment horizontal="center" vertical="center" wrapText="1"/>
    </xf>
    <xf numFmtId="0" fontId="0" fillId="54" borderId="54" xfId="0" applyFill="1" applyBorder="1" applyAlignment="1">
      <alignment horizontal="center" vertical="center"/>
    </xf>
    <xf numFmtId="9" fontId="33" fillId="54" borderId="32" xfId="1" applyFont="1" applyFill="1" applyBorder="1" applyAlignment="1">
      <alignment horizontal="center" vertical="center" wrapText="1"/>
    </xf>
    <xf numFmtId="0" fontId="0" fillId="0" borderId="28" xfId="0" applyBorder="1" applyAlignment="1">
      <alignment horizontal="left" vertical="center"/>
    </xf>
    <xf numFmtId="0" fontId="0" fillId="0" borderId="31" xfId="0" applyBorder="1" applyAlignment="1">
      <alignment horizontal="left" vertical="center"/>
    </xf>
    <xf numFmtId="9" fontId="0" fillId="0" borderId="28" xfId="1" applyFont="1" applyBorder="1" applyAlignment="1">
      <alignment horizontal="left" vertical="center"/>
    </xf>
    <xf numFmtId="9" fontId="0" fillId="0" borderId="0" xfId="1" applyFont="1" applyBorder="1" applyAlignment="1">
      <alignment horizontal="left"/>
    </xf>
    <xf numFmtId="9" fontId="0" fillId="0" borderId="31" xfId="1" applyFont="1" applyBorder="1" applyAlignment="1">
      <alignment horizontal="left"/>
    </xf>
    <xf numFmtId="43" fontId="0" fillId="0" borderId="28" xfId="2" applyFont="1" applyFill="1" applyBorder="1" applyAlignment="1">
      <alignment horizontal="left"/>
    </xf>
    <xf numFmtId="9" fontId="0" fillId="0" borderId="31" xfId="1" applyFont="1" applyFill="1" applyBorder="1" applyAlignment="1">
      <alignment horizontal="left"/>
    </xf>
    <xf numFmtId="9" fontId="0" fillId="0" borderId="28" xfId="1" applyFont="1" applyFill="1" applyBorder="1" applyAlignment="1">
      <alignment horizontal="left" vertical="center"/>
    </xf>
    <xf numFmtId="43" fontId="0" fillId="0" borderId="31" xfId="2" applyFont="1" applyFill="1" applyBorder="1" applyAlignment="1">
      <alignment horizontal="left"/>
    </xf>
    <xf numFmtId="9" fontId="0" fillId="0" borderId="28" xfId="1" applyFont="1" applyFill="1" applyBorder="1" applyAlignment="1">
      <alignment horizontal="left"/>
    </xf>
    <xf numFmtId="43" fontId="0" fillId="0" borderId="25" xfId="2" applyFont="1" applyFill="1" applyBorder="1" applyAlignment="1">
      <alignment horizontal="left"/>
    </xf>
    <xf numFmtId="0" fontId="33" fillId="54" borderId="32" xfId="0" applyFont="1" applyFill="1" applyBorder="1" applyAlignment="1">
      <alignment horizontal="center" vertical="center" wrapText="1"/>
    </xf>
    <xf numFmtId="0" fontId="0" fillId="13" borderId="0" xfId="0" applyFill="1" applyAlignment="1">
      <alignment vertical="center"/>
    </xf>
    <xf numFmtId="9" fontId="0" fillId="0" borderId="1" xfId="1" applyFont="1" applyFill="1" applyBorder="1" applyAlignment="1">
      <alignment horizontal="center" vertical="center"/>
    </xf>
    <xf numFmtId="169" fontId="0" fillId="0" borderId="1" xfId="1" applyNumberFormat="1" applyFont="1" applyFill="1" applyBorder="1" applyAlignment="1">
      <alignment horizontal="center" vertical="center"/>
    </xf>
    <xf numFmtId="2" fontId="0" fillId="0" borderId="1" xfId="1" applyNumberFormat="1" applyFont="1" applyFill="1" applyBorder="1" applyAlignment="1">
      <alignment horizontal="center" vertical="center"/>
    </xf>
    <xf numFmtId="2" fontId="0" fillId="54" borderId="18" xfId="0" applyNumberFormat="1" applyFill="1" applyBorder="1" applyAlignment="1">
      <alignment vertical="center" wrapText="1"/>
    </xf>
    <xf numFmtId="0" fontId="0" fillId="54" borderId="19" xfId="0" applyFill="1" applyBorder="1" applyAlignment="1">
      <alignment vertical="center" wrapText="1"/>
    </xf>
    <xf numFmtId="0" fontId="0" fillId="54" borderId="27" xfId="0" applyFill="1" applyBorder="1" applyAlignment="1">
      <alignment vertical="center"/>
    </xf>
    <xf numFmtId="0" fontId="0" fillId="54" borderId="33" xfId="0" applyFill="1" applyBorder="1" applyAlignment="1">
      <alignment horizontal="left" vertical="center"/>
    </xf>
    <xf numFmtId="0" fontId="0" fillId="54" borderId="0" xfId="0" applyFill="1" applyAlignment="1">
      <alignment horizontal="left"/>
    </xf>
    <xf numFmtId="0" fontId="0" fillId="54" borderId="0" xfId="0" applyFill="1" applyAlignment="1">
      <alignment vertical="center" wrapText="1"/>
    </xf>
    <xf numFmtId="9" fontId="0" fillId="54" borderId="34" xfId="0" applyNumberFormat="1" applyFill="1" applyBorder="1" applyAlignment="1">
      <alignment horizontal="center"/>
    </xf>
    <xf numFmtId="10" fontId="0" fillId="54" borderId="34" xfId="0" applyNumberFormat="1" applyFill="1" applyBorder="1" applyAlignment="1">
      <alignment horizontal="center"/>
    </xf>
    <xf numFmtId="165" fontId="0" fillId="54" borderId="34" xfId="0" applyNumberFormat="1" applyFill="1" applyBorder="1" applyAlignment="1">
      <alignment horizontal="center"/>
    </xf>
    <xf numFmtId="165" fontId="0" fillId="54" borderId="32" xfId="0" applyNumberFormat="1" applyFill="1" applyBorder="1" applyAlignment="1">
      <alignment horizontal="center"/>
    </xf>
    <xf numFmtId="0" fontId="33" fillId="0" borderId="16" xfId="0" applyFont="1" applyBorder="1"/>
    <xf numFmtId="0" fontId="33" fillId="0" borderId="16" xfId="0" applyFont="1" applyBorder="1" applyAlignment="1">
      <alignment horizontal="justify"/>
    </xf>
    <xf numFmtId="0" fontId="0" fillId="54" borderId="33" xfId="0" applyFill="1" applyBorder="1"/>
    <xf numFmtId="9" fontId="0" fillId="54" borderId="0" xfId="0" applyNumberFormat="1" applyFill="1"/>
    <xf numFmtId="9" fontId="0" fillId="54" borderId="42" xfId="2" applyNumberFormat="1" applyFont="1" applyFill="1" applyBorder="1"/>
    <xf numFmtId="9" fontId="0" fillId="54" borderId="46" xfId="2" applyNumberFormat="1" applyFont="1" applyFill="1" applyBorder="1"/>
    <xf numFmtId="169" fontId="33" fillId="54" borderId="1" xfId="0" applyNumberFormat="1" applyFont="1" applyFill="1" applyBorder="1" applyAlignment="1">
      <alignment horizontal="center" vertical="center" wrapText="1"/>
    </xf>
    <xf numFmtId="0" fontId="34" fillId="16" borderId="33" xfId="0" applyFont="1" applyFill="1" applyBorder="1"/>
    <xf numFmtId="0" fontId="34" fillId="16" borderId="34" xfId="0" applyFont="1" applyFill="1" applyBorder="1"/>
    <xf numFmtId="0" fontId="0" fillId="3" borderId="135" xfId="0" applyFill="1" applyBorder="1"/>
    <xf numFmtId="0" fontId="0" fillId="3" borderId="136" xfId="0" applyFill="1" applyBorder="1"/>
    <xf numFmtId="0" fontId="0" fillId="3" borderId="137" xfId="0" applyFill="1" applyBorder="1"/>
    <xf numFmtId="0" fontId="8" fillId="14" borderId="140" xfId="0" applyFont="1" applyFill="1" applyBorder="1"/>
    <xf numFmtId="0" fontId="8" fillId="14" borderId="141" xfId="0" applyFont="1" applyFill="1" applyBorder="1" applyAlignment="1">
      <alignment horizontal="center"/>
    </xf>
    <xf numFmtId="0" fontId="0" fillId="0" borderId="142" xfId="0" applyBorder="1"/>
    <xf numFmtId="44" fontId="0" fillId="0" borderId="0" xfId="3" applyFont="1" applyBorder="1"/>
    <xf numFmtId="43" fontId="0" fillId="0" borderId="143" xfId="0" applyNumberFormat="1" applyBorder="1"/>
    <xf numFmtId="0" fontId="0" fillId="0" borderId="144" xfId="0" applyBorder="1"/>
    <xf numFmtId="0" fontId="0" fillId="0" borderId="145" xfId="0" applyBorder="1"/>
    <xf numFmtId="44" fontId="0" fillId="0" borderId="145" xfId="3" applyFont="1" applyBorder="1"/>
    <xf numFmtId="43" fontId="0" fillId="54" borderId="145" xfId="0" applyNumberFormat="1" applyFill="1" applyBorder="1"/>
    <xf numFmtId="43" fontId="0" fillId="0" borderId="146" xfId="0" applyNumberFormat="1" applyBorder="1"/>
    <xf numFmtId="0" fontId="33" fillId="54" borderId="13" xfId="0" applyFont="1" applyFill="1" applyBorder="1"/>
    <xf numFmtId="0" fontId="0" fillId="54" borderId="12" xfId="0" applyFill="1" applyBorder="1"/>
    <xf numFmtId="0" fontId="33" fillId="54" borderId="7" xfId="0" applyFont="1" applyFill="1" applyBorder="1"/>
    <xf numFmtId="0" fontId="0" fillId="54" borderId="6" xfId="0" applyFill="1" applyBorder="1"/>
    <xf numFmtId="0" fontId="33" fillId="54" borderId="6" xfId="0" applyFont="1" applyFill="1" applyBorder="1" applyAlignment="1">
      <alignment horizontal="justify" vertical="center"/>
    </xf>
    <xf numFmtId="0" fontId="0" fillId="54" borderId="15" xfId="0" applyFill="1" applyBorder="1"/>
    <xf numFmtId="0" fontId="0" fillId="16" borderId="50" xfId="0" applyFill="1" applyBorder="1" applyAlignment="1">
      <alignment horizontal="center"/>
    </xf>
    <xf numFmtId="0" fontId="0" fillId="54" borderId="2" xfId="0" applyFill="1" applyBorder="1" applyAlignment="1">
      <alignment horizontal="center"/>
    </xf>
    <xf numFmtId="0" fontId="0" fillId="54" borderId="16" xfId="0" applyFill="1" applyBorder="1" applyAlignment="1">
      <alignment horizontal="center"/>
    </xf>
    <xf numFmtId="9" fontId="0" fillId="54" borderId="17" xfId="0" applyNumberFormat="1" applyFill="1" applyBorder="1"/>
    <xf numFmtId="0" fontId="8" fillId="56" borderId="22" xfId="0" applyFont="1" applyFill="1" applyBorder="1" applyAlignment="1">
      <alignment horizontal="center" wrapText="1"/>
    </xf>
    <xf numFmtId="0" fontId="33" fillId="56" borderId="17" xfId="0" applyFont="1" applyFill="1" applyBorder="1" applyAlignment="1">
      <alignment horizontal="center" vertical="center"/>
    </xf>
    <xf numFmtId="0" fontId="0" fillId="56" borderId="17" xfId="0" applyFill="1" applyBorder="1" applyAlignment="1">
      <alignment horizontal="center" vertical="center"/>
    </xf>
    <xf numFmtId="165" fontId="0" fillId="16" borderId="17" xfId="0" applyNumberFormat="1" applyFill="1" applyBorder="1"/>
    <xf numFmtId="43" fontId="34" fillId="54" borderId="18" xfId="2" applyFont="1" applyFill="1" applyBorder="1"/>
    <xf numFmtId="43" fontId="0" fillId="54" borderId="18" xfId="2" applyFont="1" applyFill="1" applyBorder="1"/>
    <xf numFmtId="0" fontId="36" fillId="54" borderId="1" xfId="0" applyFont="1" applyFill="1" applyBorder="1" applyAlignment="1">
      <alignment horizontal="center" vertical="center" wrapText="1"/>
    </xf>
    <xf numFmtId="0" fontId="58" fillId="54" borderId="1" xfId="4" applyFont="1" applyFill="1" applyBorder="1" applyAlignment="1" applyProtection="1">
      <alignment horizontal="right"/>
    </xf>
    <xf numFmtId="0" fontId="33" fillId="54" borderId="0" xfId="0" applyFont="1" applyFill="1"/>
    <xf numFmtId="4" fontId="1" fillId="54" borderId="1" xfId="2" applyNumberFormat="1" applyFont="1" applyFill="1" applyBorder="1" applyAlignment="1">
      <alignment wrapText="1"/>
    </xf>
    <xf numFmtId="171" fontId="1" fillId="54" borderId="1" xfId="2" applyNumberFormat="1" applyFont="1" applyFill="1" applyBorder="1" applyAlignment="1">
      <alignment wrapText="1"/>
    </xf>
    <xf numFmtId="0" fontId="34" fillId="54" borderId="32" xfId="7" applyFont="1" applyFill="1" applyBorder="1" applyAlignment="1">
      <alignment horizontal="center" vertical="center" wrapText="1"/>
    </xf>
    <xf numFmtId="2" fontId="0" fillId="54" borderId="16" xfId="0" applyNumberFormat="1" applyFill="1" applyBorder="1"/>
    <xf numFmtId="2" fontId="34" fillId="54" borderId="1" xfId="0" applyNumberFormat="1" applyFont="1" applyFill="1" applyBorder="1"/>
    <xf numFmtId="2" fontId="0" fillId="54" borderId="1" xfId="0" applyNumberFormat="1" applyFill="1" applyBorder="1"/>
    <xf numFmtId="1" fontId="0" fillId="54" borderId="1" xfId="0" applyNumberFormat="1" applyFill="1" applyBorder="1" applyAlignment="1">
      <alignment wrapText="1"/>
    </xf>
    <xf numFmtId="3" fontId="0" fillId="54" borderId="1" xfId="0" applyNumberFormat="1" applyFill="1" applyBorder="1" applyAlignment="1">
      <alignment horizontal="center"/>
    </xf>
    <xf numFmtId="0" fontId="87" fillId="16" borderId="31" xfId="0" applyFont="1" applyFill="1" applyBorder="1"/>
    <xf numFmtId="0" fontId="0" fillId="54" borderId="1" xfId="0" applyFill="1" applyBorder="1" applyAlignment="1">
      <alignment wrapText="1"/>
    </xf>
    <xf numFmtId="2" fontId="34" fillId="54" borderId="32" xfId="7" applyNumberFormat="1" applyFont="1" applyFill="1" applyBorder="1" applyAlignment="1">
      <alignment horizontal="center" vertical="center" wrapText="1"/>
    </xf>
    <xf numFmtId="9" fontId="0" fillId="0" borderId="0" xfId="0" applyNumberFormat="1" applyAlignment="1">
      <alignment vertical="center"/>
    </xf>
    <xf numFmtId="169" fontId="0" fillId="54" borderId="0" xfId="1" applyNumberFormat="1" applyFont="1" applyFill="1"/>
    <xf numFmtId="0" fontId="8" fillId="54" borderId="17" xfId="0" applyFont="1" applyFill="1" applyBorder="1" applyAlignment="1">
      <alignment horizontal="center" wrapText="1"/>
    </xf>
    <xf numFmtId="175" fontId="34" fillId="54" borderId="18" xfId="2" applyNumberFormat="1" applyFont="1" applyFill="1" applyBorder="1"/>
    <xf numFmtId="175" fontId="34" fillId="54" borderId="0" xfId="2" applyNumberFormat="1" applyFont="1" applyFill="1" applyBorder="1"/>
    <xf numFmtId="43" fontId="34" fillId="54" borderId="23" xfId="2" applyFont="1" applyFill="1" applyBorder="1"/>
    <xf numFmtId="43" fontId="34" fillId="54" borderId="0" xfId="2" applyFont="1" applyFill="1" applyBorder="1"/>
    <xf numFmtId="0" fontId="8" fillId="54" borderId="17" xfId="0" applyFont="1" applyFill="1" applyBorder="1" applyAlignment="1">
      <alignment wrapText="1"/>
    </xf>
    <xf numFmtId="2" fontId="34" fillId="54" borderId="18" xfId="0" applyNumberFormat="1" applyFont="1" applyFill="1" applyBorder="1" applyAlignment="1">
      <alignment wrapText="1"/>
    </xf>
    <xf numFmtId="9" fontId="0" fillId="54" borderId="28" xfId="1" applyFont="1" applyFill="1" applyBorder="1" applyAlignment="1">
      <alignment vertical="center"/>
    </xf>
    <xf numFmtId="0" fontId="33" fillId="54" borderId="27" xfId="0" applyFont="1" applyFill="1" applyBorder="1" applyAlignment="1">
      <alignment vertical="center"/>
    </xf>
    <xf numFmtId="2" fontId="34" fillId="54" borderId="147" xfId="0" applyNumberFormat="1" applyFont="1" applyFill="1" applyBorder="1" applyAlignment="1">
      <alignment wrapText="1"/>
    </xf>
    <xf numFmtId="0" fontId="133" fillId="16" borderId="147" xfId="0" applyFont="1" applyFill="1" applyBorder="1" applyAlignment="1">
      <alignment wrapText="1"/>
    </xf>
    <xf numFmtId="2" fontId="0" fillId="54" borderId="0" xfId="0" applyNumberFormat="1" applyFill="1" applyAlignment="1">
      <alignment horizontal="center" vertical="center"/>
    </xf>
    <xf numFmtId="43" fontId="0" fillId="54" borderId="17" xfId="0" applyNumberFormat="1" applyFill="1" applyBorder="1" applyAlignment="1">
      <alignment horizontal="center" wrapText="1"/>
    </xf>
    <xf numFmtId="167" fontId="0" fillId="0" borderId="0" xfId="0" applyNumberFormat="1"/>
    <xf numFmtId="43" fontId="0" fillId="54" borderId="17" xfId="2" applyFont="1" applyFill="1" applyBorder="1"/>
    <xf numFmtId="43" fontId="28" fillId="54" borderId="0" xfId="2" applyFont="1" applyFill="1" applyBorder="1"/>
    <xf numFmtId="2" fontId="0" fillId="54" borderId="0" xfId="0" applyNumberFormat="1" applyFill="1" applyAlignment="1">
      <alignment wrapText="1"/>
    </xf>
    <xf numFmtId="43" fontId="0" fillId="54" borderId="23" xfId="2" applyFont="1" applyFill="1" applyBorder="1"/>
    <xf numFmtId="171" fontId="147" fillId="54" borderId="1" xfId="2" applyNumberFormat="1" applyFont="1" applyFill="1" applyBorder="1"/>
    <xf numFmtId="171" fontId="0" fillId="0" borderId="0" xfId="0" applyNumberFormat="1" applyAlignment="1">
      <alignment horizontal="center"/>
    </xf>
    <xf numFmtId="171" fontId="0" fillId="54" borderId="0" xfId="0" applyNumberFormat="1" applyFill="1" applyAlignment="1">
      <alignment horizontal="center"/>
    </xf>
    <xf numFmtId="170" fontId="0" fillId="0" borderId="0" xfId="0" applyNumberFormat="1" applyAlignment="1">
      <alignment horizontal="center"/>
    </xf>
    <xf numFmtId="0" fontId="0" fillId="54" borderId="17" xfId="0" applyFill="1" applyBorder="1"/>
    <xf numFmtId="3" fontId="1" fillId="54" borderId="3" xfId="0" applyNumberFormat="1" applyFont="1" applyFill="1" applyBorder="1" applyAlignment="1">
      <alignment horizontal="center" wrapText="1"/>
    </xf>
    <xf numFmtId="164" fontId="1" fillId="0" borderId="3" xfId="0" applyNumberFormat="1" applyFont="1" applyBorder="1" applyAlignment="1">
      <alignment horizontal="center" wrapText="1"/>
    </xf>
    <xf numFmtId="3" fontId="1" fillId="54" borderId="1" xfId="0" applyNumberFormat="1" applyFont="1" applyFill="1" applyBorder="1" applyAlignment="1">
      <alignment wrapText="1"/>
    </xf>
    <xf numFmtId="164" fontId="1" fillId="54" borderId="1" xfId="0" applyNumberFormat="1" applyFont="1" applyFill="1" applyBorder="1" applyAlignment="1">
      <alignment wrapText="1"/>
    </xf>
    <xf numFmtId="2" fontId="0" fillId="54" borderId="0" xfId="0" applyNumberFormat="1" applyFill="1"/>
    <xf numFmtId="43" fontId="28" fillId="0" borderId="0" xfId="2" applyFont="1" applyFill="1" applyBorder="1"/>
    <xf numFmtId="3" fontId="5" fillId="58" borderId="11" xfId="0" applyNumberFormat="1" applyFont="1" applyFill="1" applyBorder="1" applyAlignment="1">
      <alignment vertical="center"/>
    </xf>
    <xf numFmtId="3" fontId="5" fillId="59" borderId="11" xfId="0" applyNumberFormat="1" applyFont="1" applyFill="1" applyBorder="1" applyAlignment="1">
      <alignment horizontal="center" vertical="center"/>
    </xf>
    <xf numFmtId="3" fontId="5" fillId="57" borderId="11" xfId="0" applyNumberFormat="1" applyFont="1" applyFill="1" applyBorder="1" applyAlignment="1">
      <alignment horizontal="center" vertical="center"/>
    </xf>
    <xf numFmtId="2" fontId="166" fillId="54" borderId="1" xfId="9" applyNumberFormat="1" applyFont="1" applyFill="1" applyBorder="1" applyAlignment="1">
      <alignment horizontal="center"/>
    </xf>
    <xf numFmtId="3" fontId="0" fillId="54" borderId="28" xfId="0" applyNumberFormat="1" applyFill="1" applyBorder="1"/>
    <xf numFmtId="44" fontId="0" fillId="0" borderId="1" xfId="3" applyFont="1" applyFill="1" applyBorder="1"/>
    <xf numFmtId="0" fontId="82" fillId="2" borderId="32" xfId="0" applyFont="1" applyFill="1" applyBorder="1" applyAlignment="1">
      <alignment horizontal="center" vertical="center" wrapText="1"/>
    </xf>
    <xf numFmtId="43" fontId="0" fillId="21" borderId="37" xfId="2" applyFont="1" applyFill="1" applyBorder="1"/>
    <xf numFmtId="0" fontId="0" fillId="54" borderId="55" xfId="0" applyFill="1" applyBorder="1"/>
    <xf numFmtId="14" fontId="0" fillId="0" borderId="26" xfId="0" applyNumberFormat="1" applyBorder="1" applyAlignment="1">
      <alignment horizontal="center"/>
    </xf>
    <xf numFmtId="0" fontId="0" fillId="0" borderId="26" xfId="0" applyBorder="1" applyAlignment="1">
      <alignment horizontal="center"/>
    </xf>
    <xf numFmtId="4" fontId="0" fillId="54" borderId="1" xfId="0" applyNumberFormat="1" applyFill="1" applyBorder="1" applyAlignment="1">
      <alignment horizontal="center"/>
    </xf>
    <xf numFmtId="0" fontId="0" fillId="0" borderId="1" xfId="0" applyBorder="1" applyAlignment="1">
      <alignment horizontal="center" wrapText="1"/>
    </xf>
    <xf numFmtId="4" fontId="0" fillId="54" borderId="1" xfId="2" applyNumberFormat="1" applyFont="1" applyFill="1" applyBorder="1" applyAlignment="1">
      <alignment horizontal="center"/>
    </xf>
    <xf numFmtId="183" fontId="0" fillId="54" borderId="28" xfId="0" applyNumberFormat="1" applyFill="1" applyBorder="1"/>
    <xf numFmtId="183" fontId="0" fillId="21" borderId="37" xfId="0" applyNumberFormat="1" applyFill="1" applyBorder="1"/>
    <xf numFmtId="43" fontId="0" fillId="21" borderId="26" xfId="2" applyFont="1" applyFill="1" applyBorder="1"/>
    <xf numFmtId="43" fontId="0" fillId="21" borderId="32" xfId="2" applyFont="1" applyFill="1" applyBorder="1"/>
    <xf numFmtId="179" fontId="0" fillId="54" borderId="54" xfId="2" applyNumberFormat="1" applyFont="1" applyFill="1" applyBorder="1"/>
    <xf numFmtId="43" fontId="0" fillId="54" borderId="32" xfId="0" applyNumberFormat="1" applyFill="1" applyBorder="1"/>
    <xf numFmtId="43" fontId="0" fillId="54" borderId="54" xfId="2" applyFont="1" applyFill="1" applyBorder="1"/>
    <xf numFmtId="0" fontId="0" fillId="54" borderId="34" xfId="0" applyFill="1" applyBorder="1" applyAlignment="1">
      <alignment horizontal="right"/>
    </xf>
    <xf numFmtId="0" fontId="0" fillId="54" borderId="34" xfId="0" applyFill="1" applyBorder="1" applyAlignment="1">
      <alignment horizontal="right" vertical="center" wrapText="1"/>
    </xf>
    <xf numFmtId="0" fontId="0" fillId="54" borderId="32" xfId="0" applyFill="1" applyBorder="1" applyAlignment="1">
      <alignment horizontal="right" vertical="center" wrapText="1"/>
    </xf>
    <xf numFmtId="43" fontId="0" fillId="21" borderId="32" xfId="2" applyFont="1" applyFill="1" applyBorder="1" applyAlignment="1">
      <alignment vertical="center"/>
    </xf>
    <xf numFmtId="183" fontId="0" fillId="54" borderId="55" xfId="0" applyNumberFormat="1" applyFill="1" applyBorder="1"/>
    <xf numFmtId="43" fontId="0" fillId="54" borderId="26" xfId="2" applyFont="1" applyFill="1" applyBorder="1"/>
    <xf numFmtId="14" fontId="2" fillId="54" borderId="0" xfId="0" applyNumberFormat="1" applyFont="1" applyFill="1"/>
    <xf numFmtId="0" fontId="41" fillId="54" borderId="1" xfId="4" applyFill="1" applyBorder="1" applyAlignment="1" applyProtection="1">
      <alignment wrapText="1"/>
    </xf>
    <xf numFmtId="0" fontId="41" fillId="0" borderId="0" xfId="4" applyFill="1" applyBorder="1" applyAlignment="1" applyProtection="1"/>
    <xf numFmtId="170" fontId="0" fillId="0" borderId="1" xfId="0" applyNumberFormat="1" applyBorder="1" applyAlignment="1">
      <alignment horizontal="center"/>
    </xf>
    <xf numFmtId="0" fontId="144" fillId="0" borderId="0" xfId="0" applyFont="1" applyAlignment="1">
      <alignment horizontal="center"/>
    </xf>
    <xf numFmtId="0" fontId="33" fillId="60" borderId="13" xfId="0" applyFont="1" applyFill="1" applyBorder="1"/>
    <xf numFmtId="0" fontId="33" fillId="60" borderId="0" xfId="0" applyFont="1" applyFill="1" applyAlignment="1">
      <alignment horizontal="justify" vertical="center"/>
    </xf>
    <xf numFmtId="0" fontId="0" fillId="60" borderId="0" xfId="0" applyFill="1"/>
    <xf numFmtId="0" fontId="0" fillId="60" borderId="12" xfId="0" applyFill="1" applyBorder="1"/>
    <xf numFmtId="0" fontId="33" fillId="60" borderId="7" xfId="0" applyFont="1" applyFill="1" applyBorder="1"/>
    <xf numFmtId="0" fontId="0" fillId="60" borderId="6" xfId="0" applyFill="1" applyBorder="1"/>
    <xf numFmtId="0" fontId="0" fillId="60" borderId="15" xfId="0" applyFill="1" applyBorder="1"/>
    <xf numFmtId="2" fontId="33" fillId="60" borderId="1" xfId="0" applyNumberFormat="1" applyFont="1" applyFill="1" applyBorder="1"/>
    <xf numFmtId="0" fontId="0" fillId="60" borderId="27" xfId="0" applyFill="1" applyBorder="1"/>
    <xf numFmtId="183" fontId="0" fillId="54" borderId="3" xfId="1" applyNumberFormat="1" applyFont="1" applyFill="1" applyBorder="1" applyAlignment="1">
      <alignment horizontal="right"/>
    </xf>
    <xf numFmtId="0" fontId="0" fillId="60" borderId="1" xfId="0" applyFill="1" applyBorder="1"/>
    <xf numFmtId="170" fontId="0" fillId="21" borderId="1" xfId="2" applyNumberFormat="1" applyFont="1" applyFill="1" applyBorder="1" applyAlignment="1">
      <alignment horizontal="right"/>
    </xf>
    <xf numFmtId="0" fontId="33" fillId="55" borderId="31" xfId="0" applyFont="1" applyFill="1" applyBorder="1"/>
    <xf numFmtId="0" fontId="0" fillId="55" borderId="32" xfId="0" applyFill="1" applyBorder="1"/>
    <xf numFmtId="0" fontId="0" fillId="60" borderId="28" xfId="0" applyFill="1" applyBorder="1" applyAlignment="1">
      <alignment horizontal="center" vertical="center"/>
    </xf>
    <xf numFmtId="0" fontId="0" fillId="60" borderId="28" xfId="0" applyFill="1" applyBorder="1"/>
    <xf numFmtId="9" fontId="33" fillId="60" borderId="1" xfId="0" applyNumberFormat="1" applyFont="1" applyFill="1" applyBorder="1" applyAlignment="1">
      <alignment vertical="center" wrapText="1"/>
    </xf>
    <xf numFmtId="0" fontId="33" fillId="60" borderId="1" xfId="0" applyFont="1" applyFill="1" applyBorder="1" applyAlignment="1">
      <alignment horizontal="right" vertical="center" wrapText="1"/>
    </xf>
    <xf numFmtId="170" fontId="0" fillId="60" borderId="1" xfId="2" applyNumberFormat="1" applyFont="1" applyFill="1" applyBorder="1" applyAlignment="1">
      <alignment horizontal="center" vertical="center"/>
    </xf>
    <xf numFmtId="2" fontId="34" fillId="60" borderId="50" xfId="0" applyNumberFormat="1" applyFont="1" applyFill="1" applyBorder="1"/>
    <xf numFmtId="9" fontId="0" fillId="60" borderId="1" xfId="0" applyNumberFormat="1" applyFill="1" applyBorder="1"/>
    <xf numFmtId="0" fontId="171" fillId="60" borderId="1" xfId="0" applyFont="1" applyFill="1" applyBorder="1" applyAlignment="1">
      <alignment horizontal="center" vertical="center" wrapText="1"/>
    </xf>
    <xf numFmtId="0" fontId="33" fillId="16" borderId="2" xfId="0" applyFont="1" applyFill="1" applyBorder="1" applyAlignment="1">
      <alignment horizontal="justify" vertical="center" wrapText="1"/>
    </xf>
    <xf numFmtId="0" fontId="33" fillId="16" borderId="2" xfId="0" applyFont="1" applyFill="1" applyBorder="1" applyAlignment="1">
      <alignment horizontal="center" vertical="center" wrapText="1"/>
    </xf>
    <xf numFmtId="43" fontId="34" fillId="60" borderId="41" xfId="2" applyFont="1" applyFill="1" applyBorder="1"/>
    <xf numFmtId="43" fontId="34" fillId="60" borderId="39" xfId="2" applyFont="1" applyFill="1" applyBorder="1"/>
    <xf numFmtId="171" fontId="0" fillId="60" borderId="18" xfId="2" applyNumberFormat="1" applyFont="1" applyFill="1" applyBorder="1"/>
    <xf numFmtId="171" fontId="0" fillId="60" borderId="36" xfId="2" applyNumberFormat="1" applyFont="1" applyFill="1" applyBorder="1"/>
    <xf numFmtId="171" fontId="0" fillId="60" borderId="41" xfId="2" applyNumberFormat="1" applyFont="1" applyFill="1" applyBorder="1"/>
    <xf numFmtId="171" fontId="0" fillId="60" borderId="39" xfId="2" applyNumberFormat="1" applyFont="1" applyFill="1" applyBorder="1"/>
    <xf numFmtId="43" fontId="0" fillId="60" borderId="18" xfId="2" applyFont="1" applyFill="1" applyBorder="1"/>
    <xf numFmtId="43" fontId="0" fillId="60" borderId="31" xfId="2" applyFont="1" applyFill="1" applyBorder="1"/>
    <xf numFmtId="43" fontId="0" fillId="60" borderId="36" xfId="2" applyFont="1" applyFill="1" applyBorder="1"/>
    <xf numFmtId="43" fontId="0" fillId="60" borderId="23" xfId="2" applyFont="1" applyFill="1" applyBorder="1"/>
    <xf numFmtId="43" fontId="0" fillId="60" borderId="41" xfId="2" applyFont="1" applyFill="1" applyBorder="1"/>
    <xf numFmtId="1" fontId="0" fillId="0" borderId="45" xfId="0" applyNumberFormat="1" applyBorder="1"/>
    <xf numFmtId="1" fontId="0" fillId="0" borderId="16" xfId="0" applyNumberFormat="1" applyBorder="1"/>
    <xf numFmtId="1" fontId="0" fillId="0" borderId="116" xfId="0" applyNumberFormat="1" applyBorder="1"/>
    <xf numFmtId="43" fontId="0" fillId="0" borderId="1" xfId="2" applyFont="1" applyFill="1" applyBorder="1"/>
    <xf numFmtId="0" fontId="33" fillId="0" borderId="3" xfId="0" applyFont="1" applyBorder="1"/>
    <xf numFmtId="0" fontId="0" fillId="55" borderId="50" xfId="0" applyFill="1" applyBorder="1" applyAlignment="1">
      <alignment horizontal="center"/>
    </xf>
    <xf numFmtId="0" fontId="172" fillId="55" borderId="154" xfId="0" applyFont="1" applyFill="1" applyBorder="1" applyAlignment="1">
      <alignment horizontal="center"/>
    </xf>
    <xf numFmtId="0" fontId="0" fillId="60" borderId="153" xfId="0" applyFill="1" applyBorder="1" applyAlignment="1">
      <alignment horizontal="center"/>
    </xf>
    <xf numFmtId="0" fontId="0" fillId="60" borderId="153" xfId="0" applyFill="1" applyBorder="1"/>
    <xf numFmtId="0" fontId="33" fillId="60" borderId="37" xfId="0" applyFont="1" applyFill="1" applyBorder="1" applyAlignment="1">
      <alignment horizontal="justify" vertical="center" wrapText="1"/>
    </xf>
    <xf numFmtId="0" fontId="33" fillId="60" borderId="32" xfId="0" applyFont="1" applyFill="1" applyBorder="1" applyAlignment="1">
      <alignment horizontal="left" vertical="center" wrapText="1"/>
    </xf>
    <xf numFmtId="0" fontId="33" fillId="60" borderId="32" xfId="0" applyFont="1" applyFill="1" applyBorder="1" applyAlignment="1">
      <alignment horizontal="center" vertical="center" wrapText="1"/>
    </xf>
    <xf numFmtId="0" fontId="0" fillId="54" borderId="0" xfId="0" applyFill="1" applyAlignment="1">
      <alignment horizontal="center" wrapText="1"/>
    </xf>
    <xf numFmtId="0" fontId="3" fillId="2" borderId="4" xfId="0" applyFont="1" applyFill="1" applyBorder="1" applyAlignment="1">
      <alignment horizontal="center" vertical="center" wrapText="1"/>
    </xf>
    <xf numFmtId="0" fontId="63" fillId="54" borderId="33" xfId="0" applyFont="1" applyFill="1" applyBorder="1"/>
    <xf numFmtId="0" fontId="0" fillId="54" borderId="148" xfId="0" applyFill="1" applyBorder="1" applyAlignment="1">
      <alignment vertical="top" wrapText="1"/>
    </xf>
    <xf numFmtId="0" fontId="0" fillId="54" borderId="149" xfId="0" applyFill="1" applyBorder="1"/>
    <xf numFmtId="9" fontId="0" fillId="54" borderId="1" xfId="1" applyFont="1" applyFill="1" applyBorder="1"/>
    <xf numFmtId="6" fontId="0" fillId="54" borderId="1" xfId="0" applyNumberFormat="1" applyFill="1" applyBorder="1"/>
    <xf numFmtId="3" fontId="0" fillId="54" borderId="34" xfId="0" applyNumberFormat="1" applyFill="1" applyBorder="1" applyAlignment="1">
      <alignment horizontal="center"/>
    </xf>
    <xf numFmtId="0" fontId="39" fillId="54" borderId="27" xfId="0" applyFont="1" applyFill="1" applyBorder="1" applyAlignment="1">
      <alignment wrapText="1"/>
    </xf>
    <xf numFmtId="0" fontId="39" fillId="54" borderId="30" xfId="0" applyFont="1" applyFill="1" applyBorder="1"/>
    <xf numFmtId="169" fontId="33" fillId="54" borderId="1" xfId="1" applyNumberFormat="1" applyFont="1" applyFill="1" applyBorder="1" applyAlignment="1">
      <alignment horizontal="center" vertical="center" wrapText="1"/>
    </xf>
    <xf numFmtId="169" fontId="51" fillId="54" borderId="1" xfId="1" applyNumberFormat="1" applyFont="1" applyFill="1" applyBorder="1" applyAlignment="1">
      <alignment horizontal="center" vertical="center" wrapText="1"/>
    </xf>
    <xf numFmtId="43" fontId="0" fillId="54" borderId="0" xfId="0" applyNumberFormat="1" applyFill="1"/>
    <xf numFmtId="43" fontId="0" fillId="54" borderId="18" xfId="2" applyFont="1" applyFill="1" applyBorder="1" applyAlignment="1">
      <alignment horizontal="center" wrapText="1"/>
    </xf>
    <xf numFmtId="43" fontId="0" fillId="54" borderId="23" xfId="2" applyFont="1" applyFill="1" applyBorder="1" applyAlignment="1">
      <alignment horizontal="center" wrapText="1"/>
    </xf>
    <xf numFmtId="168" fontId="0" fillId="54" borderId="17" xfId="0" applyNumberFormat="1" applyFill="1" applyBorder="1"/>
    <xf numFmtId="0" fontId="33" fillId="54" borderId="0" xfId="0" applyFont="1" applyFill="1" applyAlignment="1">
      <alignment horizontal="center" vertical="center"/>
    </xf>
    <xf numFmtId="9" fontId="0" fillId="54" borderId="28" xfId="0" applyNumberFormat="1" applyFill="1" applyBorder="1"/>
    <xf numFmtId="0" fontId="0" fillId="54" borderId="28" xfId="0" applyFill="1" applyBorder="1" applyAlignment="1">
      <alignment horizontal="right"/>
    </xf>
    <xf numFmtId="0" fontId="33" fillId="54" borderId="33" xfId="0" applyFont="1" applyFill="1" applyBorder="1"/>
    <xf numFmtId="0" fontId="0" fillId="54" borderId="115" xfId="0" applyFill="1" applyBorder="1"/>
    <xf numFmtId="43" fontId="0" fillId="54" borderId="17" xfId="2" applyFont="1" applyFill="1" applyBorder="1" applyAlignment="1">
      <alignment horizontal="center" wrapText="1"/>
    </xf>
    <xf numFmtId="0" fontId="33" fillId="16" borderId="35" xfId="0" applyFont="1" applyFill="1" applyBorder="1" applyAlignment="1">
      <alignment horizontal="center" vertical="center"/>
    </xf>
    <xf numFmtId="0" fontId="0" fillId="19" borderId="0" xfId="0" applyFill="1" applyAlignment="1">
      <alignment horizontal="center"/>
    </xf>
    <xf numFmtId="0" fontId="33" fillId="54" borderId="37" xfId="0" applyFont="1" applyFill="1" applyBorder="1" applyAlignment="1">
      <alignment horizontal="justify" vertical="top" wrapText="1"/>
    </xf>
    <xf numFmtId="0" fontId="33" fillId="54" borderId="32" xfId="0" applyFont="1" applyFill="1" applyBorder="1" applyAlignment="1">
      <alignment horizontal="left" vertical="center" wrapText="1"/>
    </xf>
    <xf numFmtId="0" fontId="33" fillId="54" borderId="37" xfId="0" applyFont="1" applyFill="1" applyBorder="1" applyAlignment="1">
      <alignment horizontal="justify" vertical="center" wrapText="1"/>
    </xf>
    <xf numFmtId="2" fontId="0" fillId="54" borderId="1" xfId="0" applyNumberFormat="1" applyFill="1" applyBorder="1" applyAlignment="1">
      <alignment wrapText="1"/>
    </xf>
    <xf numFmtId="0" fontId="4" fillId="54" borderId="1" xfId="0" applyFont="1" applyFill="1" applyBorder="1" applyAlignment="1">
      <alignment horizontal="center" vertical="center" wrapText="1"/>
    </xf>
    <xf numFmtId="4" fontId="7" fillId="0" borderId="0" xfId="0" applyNumberFormat="1" applyFont="1" applyAlignment="1">
      <alignment horizontal="center" vertical="center" wrapText="1"/>
    </xf>
    <xf numFmtId="0" fontId="7" fillId="11" borderId="3"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63" fillId="16" borderId="1" xfId="0" applyFont="1" applyFill="1" applyBorder="1" applyAlignment="1">
      <alignment horizontal="center" wrapText="1"/>
    </xf>
    <xf numFmtId="0" fontId="63" fillId="16" borderId="1" xfId="0" applyFont="1" applyFill="1" applyBorder="1" applyAlignment="1">
      <alignment horizontal="center"/>
    </xf>
    <xf numFmtId="0" fontId="58" fillId="60" borderId="1" xfId="0" applyFont="1" applyFill="1" applyBorder="1" applyAlignment="1">
      <alignment horizontal="center" vertical="center" wrapText="1"/>
    </xf>
    <xf numFmtId="0" fontId="57" fillId="60" borderId="0" xfId="0" applyFont="1" applyFill="1"/>
    <xf numFmtId="0" fontId="5" fillId="36" borderId="1" xfId="0" applyFont="1" applyFill="1" applyBorder="1" applyAlignment="1">
      <alignment horizontal="center" wrapText="1"/>
    </xf>
    <xf numFmtId="0" fontId="5" fillId="4" borderId="1"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5" fillId="26" borderId="1" xfId="0" applyFont="1" applyFill="1" applyBorder="1" applyAlignment="1">
      <alignment horizontal="center" wrapText="1"/>
    </xf>
    <xf numFmtId="0" fontId="8" fillId="0" borderId="0" xfId="0" applyFont="1" applyAlignment="1">
      <alignment horizontal="left" vertical="top"/>
    </xf>
    <xf numFmtId="0" fontId="4" fillId="31" borderId="3" xfId="0" applyFont="1" applyFill="1" applyBorder="1" applyAlignment="1">
      <alignment horizontal="center" vertical="center" wrapText="1"/>
    </xf>
    <xf numFmtId="0" fontId="4" fillId="31" borderId="4" xfId="0" applyFont="1" applyFill="1" applyBorder="1" applyAlignment="1">
      <alignment horizontal="center" vertical="center" wrapText="1"/>
    </xf>
    <xf numFmtId="0" fontId="4" fillId="31" borderId="5"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38" fillId="0" borderId="0" xfId="0" applyFont="1" applyAlignment="1">
      <alignment horizontal="left" vertical="top" wrapText="1"/>
    </xf>
    <xf numFmtId="0" fontId="4" fillId="2"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16" xfId="0" applyFont="1" applyBorder="1" applyAlignment="1">
      <alignment horizontal="center" vertical="center" wrapText="1"/>
    </xf>
    <xf numFmtId="0" fontId="6" fillId="2" borderId="8"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12" fillId="12" borderId="3" xfId="0" applyFont="1" applyFill="1" applyBorder="1" applyAlignment="1">
      <alignment horizontal="center" vertical="center" wrapText="1"/>
    </xf>
    <xf numFmtId="0" fontId="12" fillId="12" borderId="4" xfId="0" applyFont="1" applyFill="1" applyBorder="1" applyAlignment="1">
      <alignment horizontal="center" vertical="center" wrapText="1"/>
    </xf>
    <xf numFmtId="0" fontId="12" fillId="12" borderId="5" xfId="0" applyFont="1" applyFill="1" applyBorder="1" applyAlignment="1">
      <alignment horizontal="center" vertical="center" wrapText="1"/>
    </xf>
    <xf numFmtId="0" fontId="12" fillId="52" borderId="3" xfId="0" applyFont="1" applyFill="1" applyBorder="1" applyAlignment="1">
      <alignment horizontal="center" vertical="center" wrapText="1"/>
    </xf>
    <xf numFmtId="0" fontId="12" fillId="52" borderId="4" xfId="0" applyFont="1" applyFill="1" applyBorder="1" applyAlignment="1">
      <alignment horizontal="center" vertical="center" wrapText="1"/>
    </xf>
    <xf numFmtId="0" fontId="12" fillId="52" borderId="5" xfId="0" applyFont="1" applyFill="1" applyBorder="1" applyAlignment="1">
      <alignment horizontal="center" vertical="center" wrapText="1"/>
    </xf>
    <xf numFmtId="0" fontId="12" fillId="54" borderId="3" xfId="0" applyFont="1" applyFill="1" applyBorder="1" applyAlignment="1">
      <alignment horizontal="center" vertical="center" wrapText="1"/>
    </xf>
    <xf numFmtId="0" fontId="12" fillId="54" borderId="4" xfId="0" applyFont="1" applyFill="1" applyBorder="1" applyAlignment="1">
      <alignment horizontal="center" vertical="center" wrapText="1"/>
    </xf>
    <xf numFmtId="0" fontId="12" fillId="54" borderId="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5" borderId="3"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4" fillId="53" borderId="3" xfId="0" applyFont="1" applyFill="1" applyBorder="1" applyAlignment="1">
      <alignment horizontal="center" vertical="center" wrapText="1"/>
    </xf>
    <xf numFmtId="0" fontId="4" fillId="53" borderId="4" xfId="0" applyFont="1" applyFill="1" applyBorder="1" applyAlignment="1">
      <alignment horizontal="center" vertical="center" wrapText="1"/>
    </xf>
    <xf numFmtId="0" fontId="4" fillId="53" borderId="5" xfId="0" applyFont="1" applyFill="1" applyBorder="1" applyAlignment="1">
      <alignment horizontal="center" vertical="center" wrapText="1"/>
    </xf>
    <xf numFmtId="0" fontId="12" fillId="53" borderId="3" xfId="0" applyFont="1" applyFill="1" applyBorder="1" applyAlignment="1">
      <alignment horizontal="center" vertical="center" wrapText="1"/>
    </xf>
    <xf numFmtId="0" fontId="12" fillId="53" borderId="4" xfId="0" applyFont="1" applyFill="1" applyBorder="1" applyAlignment="1">
      <alignment horizontal="center" vertical="center" wrapText="1"/>
    </xf>
    <xf numFmtId="0" fontId="12" fillId="53" borderId="5"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31" borderId="3" xfId="0" applyFont="1" applyFill="1" applyBorder="1" applyAlignment="1">
      <alignment horizontal="center" vertical="center" wrapText="1"/>
    </xf>
    <xf numFmtId="0" fontId="3" fillId="31" borderId="4" xfId="0" applyFont="1" applyFill="1" applyBorder="1" applyAlignment="1">
      <alignment horizontal="center" vertical="center" wrapText="1"/>
    </xf>
    <xf numFmtId="0" fontId="3" fillId="31" borderId="5" xfId="0" applyFont="1" applyFill="1" applyBorder="1" applyAlignment="1">
      <alignment horizontal="center" vertical="center" wrapText="1"/>
    </xf>
    <xf numFmtId="0" fontId="6" fillId="36" borderId="8" xfId="0" applyFont="1" applyFill="1" applyBorder="1" applyAlignment="1">
      <alignment horizontal="center" vertical="center" wrapText="1"/>
    </xf>
    <xf numFmtId="0" fontId="6" fillId="36" borderId="9" xfId="0" applyFont="1" applyFill="1" applyBorder="1" applyAlignment="1">
      <alignment horizontal="center" vertical="center" wrapText="1"/>
    </xf>
    <xf numFmtId="0" fontId="6" fillId="36" borderId="14" xfId="0" applyFont="1" applyFill="1" applyBorder="1" applyAlignment="1">
      <alignment horizontal="center" vertical="center" wrapText="1"/>
    </xf>
    <xf numFmtId="0" fontId="6" fillId="36" borderId="7" xfId="0" applyFont="1" applyFill="1" applyBorder="1" applyAlignment="1">
      <alignment horizontal="center" vertical="center" wrapText="1"/>
    </xf>
    <xf numFmtId="0" fontId="6" fillId="36" borderId="6" xfId="0" applyFont="1" applyFill="1" applyBorder="1" applyAlignment="1">
      <alignment horizontal="center" vertical="center" wrapText="1"/>
    </xf>
    <xf numFmtId="0" fontId="6" fillId="36" borderId="15" xfId="0" applyFont="1" applyFill="1" applyBorder="1" applyAlignment="1">
      <alignment horizontal="center" vertical="center" wrapText="1"/>
    </xf>
    <xf numFmtId="0" fontId="6" fillId="36" borderId="1" xfId="0" applyFont="1" applyFill="1" applyBorder="1" applyAlignment="1">
      <alignment horizontal="center" vertical="center" wrapText="1"/>
    </xf>
    <xf numFmtId="0" fontId="12" fillId="6" borderId="3"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31" borderId="3" xfId="0" applyFont="1" applyFill="1" applyBorder="1" applyAlignment="1">
      <alignment horizontal="center" vertical="center" wrapText="1"/>
    </xf>
    <xf numFmtId="0" fontId="12" fillId="31" borderId="4" xfId="0" applyFont="1" applyFill="1" applyBorder="1" applyAlignment="1">
      <alignment horizontal="center" vertical="center" wrapText="1"/>
    </xf>
    <xf numFmtId="0" fontId="12" fillId="31" borderId="5"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24" fillId="7" borderId="9" xfId="0" applyFont="1" applyFill="1" applyBorder="1" applyAlignment="1">
      <alignment horizontal="center" vertical="center" wrapText="1"/>
    </xf>
    <xf numFmtId="0" fontId="24" fillId="7" borderId="14" xfId="0" applyFont="1" applyFill="1" applyBorder="1" applyAlignment="1">
      <alignment horizontal="center" vertical="center" wrapText="1"/>
    </xf>
    <xf numFmtId="0" fontId="24" fillId="7" borderId="7" xfId="0" applyFont="1" applyFill="1" applyBorder="1" applyAlignment="1">
      <alignment horizontal="center" vertical="center" wrapText="1"/>
    </xf>
    <xf numFmtId="0" fontId="24" fillId="7" borderId="6" xfId="0" applyFont="1" applyFill="1" applyBorder="1" applyAlignment="1">
      <alignment horizontal="center" vertical="center" wrapText="1"/>
    </xf>
    <xf numFmtId="0" fontId="24" fillId="7" borderId="15" xfId="0" applyFont="1" applyFill="1" applyBorder="1" applyAlignment="1">
      <alignment horizontal="center" vertical="center" wrapText="1"/>
    </xf>
    <xf numFmtId="0" fontId="32" fillId="15" borderId="24" xfId="0" applyFont="1" applyFill="1" applyBorder="1" applyAlignment="1">
      <alignment horizontal="center"/>
    </xf>
    <xf numFmtId="0" fontId="32" fillId="15" borderId="25" xfId="0" applyFont="1" applyFill="1" applyBorder="1" applyAlignment="1">
      <alignment horizontal="center"/>
    </xf>
    <xf numFmtId="0" fontId="32" fillId="15" borderId="26" xfId="0" applyFont="1" applyFill="1" applyBorder="1" applyAlignment="1">
      <alignment horizontal="center"/>
    </xf>
    <xf numFmtId="0" fontId="8" fillId="19" borderId="23" xfId="0" applyFont="1" applyFill="1" applyBorder="1" applyAlignment="1">
      <alignment horizontal="center" wrapText="1"/>
    </xf>
    <xf numFmtId="0" fontId="8" fillId="19" borderId="85" xfId="0" applyFont="1" applyFill="1" applyBorder="1" applyAlignment="1">
      <alignment horizontal="center" wrapText="1"/>
    </xf>
    <xf numFmtId="0" fontId="8" fillId="19" borderId="57" xfId="0" applyFont="1" applyFill="1" applyBorder="1" applyAlignment="1">
      <alignment horizontal="center" wrapText="1"/>
    </xf>
    <xf numFmtId="0" fontId="8" fillId="19" borderId="1" xfId="0" applyFont="1" applyFill="1" applyBorder="1" applyAlignment="1">
      <alignment horizontal="center"/>
    </xf>
    <xf numFmtId="0" fontId="32" fillId="15" borderId="27" xfId="0" applyFont="1" applyFill="1" applyBorder="1" applyAlignment="1">
      <alignment horizontal="center"/>
    </xf>
    <xf numFmtId="0" fontId="32" fillId="15" borderId="29" xfId="0" applyFont="1" applyFill="1" applyBorder="1" applyAlignment="1">
      <alignment horizontal="center"/>
    </xf>
    <xf numFmtId="0" fontId="8" fillId="16" borderId="27" xfId="0" applyFont="1" applyFill="1" applyBorder="1" applyAlignment="1">
      <alignment horizontal="center" vertical="center"/>
    </xf>
    <xf numFmtId="0" fontId="8" fillId="16" borderId="30" xfId="0" applyFont="1" applyFill="1" applyBorder="1" applyAlignment="1">
      <alignment horizontal="center" vertical="center"/>
    </xf>
    <xf numFmtId="0" fontId="0" fillId="16" borderId="28" xfId="0" applyFill="1" applyBorder="1" applyAlignment="1">
      <alignment horizontal="left" vertical="top" wrapText="1"/>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0" fillId="16" borderId="28" xfId="0" applyFill="1" applyBorder="1" applyAlignment="1">
      <alignment horizontal="left" wrapText="1"/>
    </xf>
    <xf numFmtId="0" fontId="0" fillId="16" borderId="29" xfId="0" applyFill="1" applyBorder="1" applyAlignment="1">
      <alignment horizontal="left" wrapText="1"/>
    </xf>
    <xf numFmtId="0" fontId="0" fillId="16" borderId="31" xfId="0" applyFill="1" applyBorder="1" applyAlignment="1">
      <alignment horizontal="left" wrapText="1"/>
    </xf>
    <xf numFmtId="0" fontId="0" fillId="16" borderId="32" xfId="0" applyFill="1" applyBorder="1" applyAlignment="1">
      <alignment horizontal="left" wrapText="1"/>
    </xf>
    <xf numFmtId="0" fontId="88" fillId="16" borderId="27" xfId="0" applyFont="1" applyFill="1" applyBorder="1" applyAlignment="1">
      <alignment horizontal="center" vertical="center"/>
    </xf>
    <xf numFmtId="0" fontId="88" fillId="16" borderId="33" xfId="0" applyFont="1" applyFill="1" applyBorder="1" applyAlignment="1">
      <alignment horizontal="center" vertical="center"/>
    </xf>
    <xf numFmtId="0" fontId="88" fillId="16" borderId="30" xfId="0" applyFont="1" applyFill="1" applyBorder="1" applyAlignment="1">
      <alignment horizontal="center" vertical="center"/>
    </xf>
    <xf numFmtId="0" fontId="8" fillId="16" borderId="33" xfId="0" applyFont="1" applyFill="1" applyBorder="1" applyAlignment="1">
      <alignment horizontal="center" vertical="center"/>
    </xf>
    <xf numFmtId="0" fontId="8" fillId="19" borderId="19" xfId="0" applyFont="1" applyFill="1" applyBorder="1" applyAlignment="1">
      <alignment horizontal="center"/>
    </xf>
    <xf numFmtId="0" fontId="8" fillId="19" borderId="20" xfId="0" applyFont="1" applyFill="1" applyBorder="1" applyAlignment="1">
      <alignment horizontal="center"/>
    </xf>
    <xf numFmtId="0" fontId="8" fillId="19" borderId="22" xfId="0" applyFont="1" applyFill="1" applyBorder="1" applyAlignment="1">
      <alignment horizontal="center"/>
    </xf>
    <xf numFmtId="0" fontId="8" fillId="19" borderId="56" xfId="0" applyFont="1" applyFill="1" applyBorder="1" applyAlignment="1">
      <alignment horizontal="center"/>
    </xf>
    <xf numFmtId="0" fontId="8" fillId="19" borderId="21" xfId="0" applyFont="1" applyFill="1" applyBorder="1" applyAlignment="1">
      <alignment horizontal="center"/>
    </xf>
    <xf numFmtId="0" fontId="8" fillId="19" borderId="6" xfId="0" applyFont="1" applyFill="1" applyBorder="1" applyAlignment="1">
      <alignment horizontal="center"/>
    </xf>
    <xf numFmtId="0" fontId="33" fillId="16" borderId="33" xfId="0" applyFont="1" applyFill="1" applyBorder="1" applyAlignment="1">
      <alignment horizontal="left" wrapText="1"/>
    </xf>
    <xf numFmtId="0" fontId="33" fillId="16" borderId="0" xfId="0" applyFont="1" applyFill="1" applyAlignment="1">
      <alignment horizontal="left" wrapText="1"/>
    </xf>
    <xf numFmtId="0" fontId="33" fillId="16" borderId="34" xfId="0" applyFont="1" applyFill="1" applyBorder="1" applyAlignment="1">
      <alignment horizontal="left"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33" fillId="16" borderId="13" xfId="0" applyFont="1" applyFill="1" applyBorder="1" applyAlignment="1">
      <alignment horizontal="left" wrapText="1"/>
    </xf>
    <xf numFmtId="0" fontId="33" fillId="16" borderId="12" xfId="0" applyFont="1" applyFill="1" applyBorder="1" applyAlignment="1">
      <alignment horizontal="left" wrapText="1"/>
    </xf>
    <xf numFmtId="0" fontId="155" fillId="20" borderId="1"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8" xfId="0" applyFont="1" applyFill="1" applyBorder="1" applyAlignment="1">
      <alignment horizontal="center" vertical="center" wrapText="1"/>
    </xf>
    <xf numFmtId="0" fontId="32" fillId="20" borderId="29" xfId="0" applyFont="1" applyFill="1" applyBorder="1" applyAlignment="1">
      <alignment horizontal="center" vertical="center" wrapText="1"/>
    </xf>
    <xf numFmtId="0" fontId="32" fillId="20" borderId="24" xfId="0" applyFont="1" applyFill="1" applyBorder="1" applyAlignment="1">
      <alignment horizontal="center"/>
    </xf>
    <xf numFmtId="0" fontId="32" fillId="20" borderId="25" xfId="0" applyFont="1" applyFill="1" applyBorder="1" applyAlignment="1">
      <alignment horizontal="center"/>
    </xf>
    <xf numFmtId="0" fontId="32" fillId="20" borderId="26" xfId="0" applyFont="1" applyFill="1" applyBorder="1" applyAlignment="1">
      <alignment horizontal="center"/>
    </xf>
    <xf numFmtId="0" fontId="67" fillId="17" borderId="8" xfId="0" applyFont="1" applyFill="1" applyBorder="1" applyAlignment="1">
      <alignment horizontal="center" vertical="center" wrapText="1"/>
    </xf>
    <xf numFmtId="0" fontId="67" fillId="17" borderId="14" xfId="0" applyFont="1" applyFill="1" applyBorder="1" applyAlignment="1">
      <alignment horizontal="center" vertical="center" wrapText="1"/>
    </xf>
    <xf numFmtId="0" fontId="8" fillId="14" borderId="56" xfId="0" applyFont="1" applyFill="1" applyBorder="1" applyAlignment="1">
      <alignment horizontal="center" wrapText="1"/>
    </xf>
    <xf numFmtId="0" fontId="8" fillId="14" borderId="21" xfId="0" applyFont="1" applyFill="1" applyBorder="1" applyAlignment="1">
      <alignment horizontal="center" wrapText="1"/>
    </xf>
    <xf numFmtId="0" fontId="8" fillId="14" borderId="58" xfId="0" applyFont="1" applyFill="1" applyBorder="1" applyAlignment="1">
      <alignment horizontal="center" wrapText="1"/>
    </xf>
    <xf numFmtId="0" fontId="8" fillId="14" borderId="23" xfId="0" applyFont="1" applyFill="1" applyBorder="1" applyAlignment="1">
      <alignment horizontal="center" wrapText="1"/>
    </xf>
    <xf numFmtId="0" fontId="8" fillId="14" borderId="85" xfId="0" applyFont="1" applyFill="1" applyBorder="1" applyAlignment="1">
      <alignment horizont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33" fillId="0" borderId="31" xfId="0" applyFont="1" applyBorder="1" applyAlignment="1">
      <alignment horizontal="left" vertical="top" wrapText="1"/>
    </xf>
    <xf numFmtId="0" fontId="33" fillId="0" borderId="32" xfId="0" applyFont="1" applyBorder="1" applyAlignment="1">
      <alignment horizontal="left" vertical="top" wrapText="1"/>
    </xf>
    <xf numFmtId="0" fontId="40" fillId="18" borderId="25" xfId="0" applyFont="1" applyFill="1" applyBorder="1" applyAlignment="1">
      <alignment horizontal="center"/>
    </xf>
    <xf numFmtId="0" fontId="40" fillId="18" borderId="26" xfId="0" applyFont="1" applyFill="1" applyBorder="1" applyAlignment="1">
      <alignment horizontal="center"/>
    </xf>
    <xf numFmtId="0" fontId="8" fillId="19" borderId="19" xfId="0" applyFont="1" applyFill="1" applyBorder="1" applyAlignment="1">
      <alignment horizontal="center" wrapText="1"/>
    </xf>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33" fillId="60" borderId="13" xfId="0" applyFont="1" applyFill="1" applyBorder="1" applyAlignment="1">
      <alignment horizontal="left" wrapText="1"/>
    </xf>
    <xf numFmtId="0" fontId="33" fillId="60" borderId="0" xfId="0" applyFont="1" applyFill="1" applyAlignment="1">
      <alignment horizontal="left" wrapText="1"/>
    </xf>
    <xf numFmtId="0" fontId="33" fillId="60" borderId="12" xfId="0" applyFont="1" applyFill="1" applyBorder="1" applyAlignment="1">
      <alignment horizontal="left" wrapText="1"/>
    </xf>
    <xf numFmtId="0" fontId="33" fillId="0" borderId="28" xfId="0" applyFont="1"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33" fillId="0" borderId="0" xfId="0" applyFont="1" applyAlignment="1">
      <alignment horizontal="left" vertical="top" wrapText="1"/>
    </xf>
    <xf numFmtId="0" fontId="33" fillId="0" borderId="34" xfId="0" applyFont="1" applyBorder="1" applyAlignment="1">
      <alignment horizontal="left" vertical="top" wrapText="1"/>
    </xf>
    <xf numFmtId="0" fontId="33" fillId="16" borderId="27" xfId="0" applyFont="1" applyFill="1" applyBorder="1" applyAlignment="1">
      <alignment horizontal="left" wrapText="1"/>
    </xf>
    <xf numFmtId="0" fontId="33" fillId="16" borderId="28" xfId="0" applyFont="1" applyFill="1" applyBorder="1" applyAlignment="1">
      <alignment horizontal="left" wrapText="1"/>
    </xf>
    <xf numFmtId="0" fontId="33" fillId="16" borderId="29" xfId="0" applyFont="1" applyFill="1" applyBorder="1" applyAlignment="1">
      <alignment horizontal="left" wrapText="1"/>
    </xf>
    <xf numFmtId="0" fontId="8" fillId="21" borderId="80" xfId="0" applyFont="1" applyFill="1" applyBorder="1" applyAlignment="1">
      <alignment horizontal="center"/>
    </xf>
    <xf numFmtId="0" fontId="8" fillId="21" borderId="6" xfId="0" applyFont="1" applyFill="1" applyBorder="1" applyAlignment="1">
      <alignment horizontal="center"/>
    </xf>
    <xf numFmtId="0" fontId="0" fillId="37" borderId="31" xfId="0" applyFill="1" applyBorder="1" applyAlignment="1">
      <alignment horizontal="left" vertical="top" wrapText="1"/>
    </xf>
    <xf numFmtId="0" fontId="0" fillId="37" borderId="32" xfId="0" applyFill="1" applyBorder="1" applyAlignment="1">
      <alignment horizontal="left" vertical="top" wrapText="1"/>
    </xf>
    <xf numFmtId="0" fontId="0" fillId="37" borderId="28" xfId="0" applyFill="1" applyBorder="1" applyAlignment="1">
      <alignment horizontal="left" wrapText="1"/>
    </xf>
    <xf numFmtId="0" fontId="0" fillId="37" borderId="29" xfId="0" applyFill="1" applyBorder="1" applyAlignment="1">
      <alignment horizontal="left" wrapText="1"/>
    </xf>
    <xf numFmtId="0" fontId="8" fillId="19" borderId="17" xfId="0" applyFont="1" applyFill="1" applyBorder="1" applyAlignment="1">
      <alignment horizontal="center"/>
    </xf>
    <xf numFmtId="0" fontId="33" fillId="16" borderId="1" xfId="0" applyFont="1" applyFill="1" applyBorder="1" applyAlignment="1">
      <alignment horizontal="left"/>
    </xf>
    <xf numFmtId="0" fontId="8" fillId="14" borderId="19" xfId="0" applyFont="1" applyFill="1" applyBorder="1" applyAlignment="1">
      <alignment horizontal="center" wrapText="1"/>
    </xf>
    <xf numFmtId="0" fontId="8" fillId="14" borderId="20" xfId="0" applyFont="1" applyFill="1" applyBorder="1" applyAlignment="1">
      <alignment horizontal="center" wrapText="1"/>
    </xf>
    <xf numFmtId="0" fontId="8" fillId="14" borderId="22" xfId="0" applyFont="1" applyFill="1" applyBorder="1" applyAlignment="1">
      <alignment horizontal="center" wrapText="1"/>
    </xf>
    <xf numFmtId="0" fontId="60" fillId="16" borderId="1" xfId="0" applyFont="1" applyFill="1" applyBorder="1" applyAlignment="1">
      <alignment horizontal="left"/>
    </xf>
    <xf numFmtId="0" fontId="36" fillId="17" borderId="3" xfId="0" applyFont="1" applyFill="1" applyBorder="1" applyAlignment="1">
      <alignment horizontal="center" vertical="center" wrapText="1"/>
    </xf>
    <xf numFmtId="0" fontId="36" fillId="17" borderId="5" xfId="0" applyFont="1" applyFill="1" applyBorder="1" applyAlignment="1">
      <alignment horizontal="center" vertical="center" wrapText="1"/>
    </xf>
    <xf numFmtId="0" fontId="33" fillId="16" borderId="55" xfId="0" applyFont="1" applyFill="1" applyBorder="1" applyAlignment="1">
      <alignment horizontal="center" vertical="center" wrapText="1"/>
    </xf>
    <xf numFmtId="0" fontId="33" fillId="16" borderId="47" xfId="0" applyFont="1" applyFill="1" applyBorder="1" applyAlignment="1">
      <alignment horizontal="center" vertical="center" wrapText="1"/>
    </xf>
    <xf numFmtId="0" fontId="33" fillId="16" borderId="37" xfId="0" applyFont="1" applyFill="1" applyBorder="1" applyAlignment="1">
      <alignment horizontal="center" vertical="center" wrapText="1"/>
    </xf>
    <xf numFmtId="0" fontId="127" fillId="20" borderId="27" xfId="0" applyFont="1" applyFill="1" applyBorder="1" applyAlignment="1">
      <alignment horizontal="center"/>
    </xf>
    <xf numFmtId="0" fontId="127" fillId="20" borderId="28" xfId="0" applyFont="1" applyFill="1" applyBorder="1" applyAlignment="1">
      <alignment horizontal="center"/>
    </xf>
    <xf numFmtId="0" fontId="127" fillId="20" borderId="29" xfId="0" applyFont="1" applyFill="1" applyBorder="1" applyAlignment="1">
      <alignment horizontal="center"/>
    </xf>
    <xf numFmtId="0" fontId="36" fillId="17" borderId="90" xfId="0" applyFont="1" applyFill="1" applyBorder="1" applyAlignment="1">
      <alignment horizontal="center" vertical="center" wrapText="1"/>
    </xf>
    <xf numFmtId="0" fontId="36" fillId="17" borderId="91" xfId="0" applyFont="1" applyFill="1" applyBorder="1" applyAlignment="1">
      <alignment horizontal="center" vertical="center" wrapText="1"/>
    </xf>
    <xf numFmtId="0" fontId="127" fillId="20" borderId="24" xfId="0" applyFont="1" applyFill="1" applyBorder="1" applyAlignment="1">
      <alignment horizontal="center"/>
    </xf>
    <xf numFmtId="0" fontId="127" fillId="20" borderId="25" xfId="0" applyFont="1" applyFill="1" applyBorder="1" applyAlignment="1">
      <alignment horizontal="center"/>
    </xf>
    <xf numFmtId="0" fontId="127" fillId="20" borderId="26" xfId="0" applyFont="1" applyFill="1" applyBorder="1" applyAlignment="1">
      <alignment horizontal="center"/>
    </xf>
    <xf numFmtId="0" fontId="36" fillId="17" borderId="7" xfId="0" applyFont="1" applyFill="1" applyBorder="1" applyAlignment="1">
      <alignment horizontal="center" vertical="center" wrapText="1"/>
    </xf>
    <xf numFmtId="0" fontId="36" fillId="17" borderId="15" xfId="0" applyFont="1" applyFill="1" applyBorder="1" applyAlignment="1">
      <alignment horizontal="center" vertical="center" wrapText="1"/>
    </xf>
    <xf numFmtId="0" fontId="32" fillId="20" borderId="59" xfId="0" applyFont="1" applyFill="1" applyBorder="1" applyAlignment="1">
      <alignment horizontal="center"/>
    </xf>
    <xf numFmtId="0" fontId="32" fillId="20" borderId="83" xfId="0" applyFont="1" applyFill="1" applyBorder="1" applyAlignment="1">
      <alignment horizontal="center"/>
    </xf>
    <xf numFmtId="0" fontId="32" fillId="20" borderId="93" xfId="0" quotePrefix="1" applyFont="1" applyFill="1" applyBorder="1" applyAlignment="1">
      <alignment horizontal="center"/>
    </xf>
    <xf numFmtId="0" fontId="32" fillId="20" borderId="94" xfId="0" quotePrefix="1" applyFont="1" applyFill="1" applyBorder="1" applyAlignment="1">
      <alignment horizontal="center"/>
    </xf>
    <xf numFmtId="0" fontId="0" fillId="54" borderId="149" xfId="0" quotePrefix="1" applyFill="1" applyBorder="1" applyAlignment="1">
      <alignment horizontal="left" vertical="top" wrapText="1"/>
    </xf>
    <xf numFmtId="0" fontId="0" fillId="54" borderId="150" xfId="0" quotePrefix="1" applyFill="1" applyBorder="1" applyAlignment="1">
      <alignment horizontal="left" vertical="top" wrapText="1"/>
    </xf>
    <xf numFmtId="0" fontId="8" fillId="15" borderId="7" xfId="0" applyFont="1" applyFill="1" applyBorder="1" applyAlignment="1">
      <alignment horizontal="center"/>
    </xf>
    <xf numFmtId="0" fontId="8" fillId="15" borderId="6" xfId="0" applyFont="1" applyFill="1" applyBorder="1" applyAlignment="1">
      <alignment horizontal="center"/>
    </xf>
    <xf numFmtId="0" fontId="96" fillId="17" borderId="3" xfId="0" applyFont="1" applyFill="1" applyBorder="1" applyAlignment="1">
      <alignment horizontal="center" vertical="center" wrapText="1"/>
    </xf>
    <xf numFmtId="0" fontId="96" fillId="17" borderId="5" xfId="0" applyFont="1" applyFill="1" applyBorder="1" applyAlignment="1">
      <alignment horizontal="center" vertical="center" wrapText="1"/>
    </xf>
    <xf numFmtId="0" fontId="8" fillId="19" borderId="58" xfId="0" applyFont="1" applyFill="1" applyBorder="1" applyAlignment="1">
      <alignment horizontal="center"/>
    </xf>
    <xf numFmtId="0" fontId="0" fillId="15" borderId="7" xfId="0" applyFill="1" applyBorder="1" applyAlignment="1">
      <alignment horizontal="center"/>
    </xf>
    <xf numFmtId="0" fontId="0" fillId="15" borderId="6" xfId="0" applyFill="1" applyBorder="1" applyAlignment="1">
      <alignment horizontal="center"/>
    </xf>
    <xf numFmtId="0" fontId="51" fillId="16" borderId="151" xfId="0" applyFont="1" applyFill="1" applyBorder="1" applyAlignment="1">
      <alignment horizontal="left"/>
    </xf>
    <xf numFmtId="0" fontId="51" fillId="16" borderId="28" xfId="0" applyFont="1" applyFill="1" applyBorder="1" applyAlignment="1">
      <alignment horizontal="left"/>
    </xf>
    <xf numFmtId="0" fontId="51" fillId="16" borderId="152" xfId="0" applyFont="1" applyFill="1" applyBorder="1" applyAlignment="1">
      <alignment horizontal="left"/>
    </xf>
    <xf numFmtId="0" fontId="33" fillId="16" borderId="13" xfId="0" applyFont="1" applyFill="1" applyBorder="1" applyAlignment="1">
      <alignment horizontal="left"/>
    </xf>
    <xf numFmtId="0" fontId="33" fillId="16" borderId="0" xfId="0" applyFont="1" applyFill="1" applyAlignment="1">
      <alignment horizontal="left"/>
    </xf>
    <xf numFmtId="0" fontId="33" fillId="16" borderId="12" xfId="0" applyFont="1" applyFill="1" applyBorder="1" applyAlignment="1">
      <alignment horizontal="left"/>
    </xf>
    <xf numFmtId="0" fontId="0" fillId="15" borderId="1" xfId="0" applyFill="1" applyBorder="1" applyAlignment="1">
      <alignment horizontal="center"/>
    </xf>
    <xf numFmtId="0" fontId="32" fillId="15" borderId="3" xfId="0" applyFont="1" applyFill="1" applyBorder="1" applyAlignment="1">
      <alignment horizontal="left" vertical="center" wrapText="1"/>
    </xf>
    <xf numFmtId="0" fontId="32" fillId="15" borderId="5" xfId="0" applyFont="1" applyFill="1" applyBorder="1" applyAlignment="1">
      <alignment horizontal="left" vertical="center" wrapText="1"/>
    </xf>
    <xf numFmtId="0" fontId="0" fillId="15" borderId="3" xfId="0" applyFill="1" applyBorder="1" applyAlignment="1">
      <alignment horizontal="center"/>
    </xf>
    <xf numFmtId="0" fontId="0" fillId="15" borderId="5" xfId="0" applyFill="1" applyBorder="1" applyAlignment="1">
      <alignment horizontal="center"/>
    </xf>
    <xf numFmtId="0" fontId="0" fillId="0" borderId="25" xfId="0" applyBorder="1" applyAlignment="1">
      <alignment horizontal="left" vertical="center" wrapText="1"/>
    </xf>
    <xf numFmtId="0" fontId="0" fillId="0" borderId="26" xfId="0" applyBorder="1" applyAlignment="1">
      <alignment horizontal="left" vertical="center" wrapText="1"/>
    </xf>
    <xf numFmtId="0" fontId="32" fillId="15" borderId="2" xfId="0" applyFont="1" applyFill="1" applyBorder="1" applyAlignment="1">
      <alignment horizontal="center" wrapText="1"/>
    </xf>
    <xf numFmtId="0" fontId="32" fillId="15" borderId="10" xfId="0" applyFont="1" applyFill="1" applyBorder="1" applyAlignment="1">
      <alignment horizontal="center" wrapText="1"/>
    </xf>
    <xf numFmtId="0" fontId="32" fillId="15" borderId="16" xfId="0" applyFont="1" applyFill="1" applyBorder="1" applyAlignment="1">
      <alignment horizontal="center" wrapText="1"/>
    </xf>
    <xf numFmtId="0" fontId="32" fillId="15" borderId="1" xfId="0" applyFont="1" applyFill="1" applyBorder="1" applyAlignment="1">
      <alignment horizontal="center"/>
    </xf>
    <xf numFmtId="0" fontId="32" fillId="15" borderId="3" xfId="0" applyFont="1" applyFill="1" applyBorder="1" applyAlignment="1">
      <alignment horizontal="center"/>
    </xf>
    <xf numFmtId="0" fontId="32" fillId="15" borderId="5" xfId="0" applyFont="1" applyFill="1" applyBorder="1" applyAlignment="1">
      <alignment horizontal="center"/>
    </xf>
    <xf numFmtId="0" fontId="0" fillId="19" borderId="3" xfId="0" applyFill="1" applyBorder="1" applyAlignment="1">
      <alignment horizontal="center"/>
    </xf>
    <xf numFmtId="0" fontId="0" fillId="19" borderId="4" xfId="0" applyFill="1" applyBorder="1" applyAlignment="1">
      <alignment horizontal="center"/>
    </xf>
    <xf numFmtId="0" fontId="0" fillId="19" borderId="5" xfId="0" applyFill="1" applyBorder="1" applyAlignment="1">
      <alignment horizontal="center"/>
    </xf>
    <xf numFmtId="0" fontId="0" fillId="16" borderId="25" xfId="0" quotePrefix="1" applyFill="1" applyBorder="1" applyAlignment="1">
      <alignment horizontal="left" wrapText="1"/>
    </xf>
    <xf numFmtId="0" fontId="0" fillId="16" borderId="26" xfId="0" quotePrefix="1" applyFill="1" applyBorder="1" applyAlignment="1">
      <alignment horizontal="left" wrapText="1"/>
    </xf>
    <xf numFmtId="0" fontId="0" fillId="43" borderId="129" xfId="0" applyFill="1" applyBorder="1" applyAlignment="1">
      <alignment horizontal="center" vertical="center"/>
    </xf>
    <xf numFmtId="0" fontId="0" fillId="43" borderId="130" xfId="0" applyFill="1" applyBorder="1" applyAlignment="1">
      <alignment horizontal="center" vertical="center"/>
    </xf>
    <xf numFmtId="0" fontId="0" fillId="43" borderId="131" xfId="0" applyFill="1" applyBorder="1" applyAlignment="1">
      <alignment horizontal="center" vertical="center"/>
    </xf>
    <xf numFmtId="0" fontId="0" fillId="16" borderId="55" xfId="0" applyFill="1" applyBorder="1" applyAlignment="1">
      <alignment horizontal="left" vertical="top" wrapText="1"/>
    </xf>
    <xf numFmtId="0" fontId="0" fillId="16" borderId="37" xfId="0" applyFill="1" applyBorder="1" applyAlignment="1">
      <alignment horizontal="left" vertical="top" wrapText="1"/>
    </xf>
    <xf numFmtId="0" fontId="0" fillId="16" borderId="28" xfId="0" applyFill="1" applyBorder="1" applyAlignment="1">
      <alignment horizontal="left" vertical="top"/>
    </xf>
    <xf numFmtId="0" fontId="0" fillId="16" borderId="29" xfId="0" applyFill="1" applyBorder="1" applyAlignment="1">
      <alignment horizontal="left" vertical="top"/>
    </xf>
    <xf numFmtId="0" fontId="30" fillId="18" borderId="24" xfId="0" applyFont="1" applyFill="1" applyBorder="1" applyAlignment="1">
      <alignment horizontal="center"/>
    </xf>
    <xf numFmtId="0" fontId="30" fillId="18" borderId="25" xfId="0" applyFont="1" applyFill="1" applyBorder="1" applyAlignment="1">
      <alignment horizontal="center"/>
    </xf>
    <xf numFmtId="0" fontId="30" fillId="18" borderId="26" xfId="0" applyFont="1" applyFill="1" applyBorder="1" applyAlignment="1">
      <alignment horizontal="center"/>
    </xf>
    <xf numFmtId="0" fontId="0" fillId="16" borderId="0" xfId="0" applyFill="1" applyAlignment="1">
      <alignment horizontal="left" vertical="top" wrapText="1"/>
    </xf>
    <xf numFmtId="0" fontId="0" fillId="16" borderId="34" xfId="0" applyFill="1" applyBorder="1" applyAlignment="1">
      <alignment horizontal="left" vertical="top" wrapText="1"/>
    </xf>
    <xf numFmtId="0" fontId="0" fillId="19" borderId="80" xfId="0" applyFill="1" applyBorder="1" applyAlignment="1">
      <alignment horizontal="center"/>
    </xf>
    <xf numFmtId="0" fontId="0" fillId="19" borderId="6" xfId="0" applyFill="1" applyBorder="1" applyAlignment="1">
      <alignment horizontal="center"/>
    </xf>
    <xf numFmtId="0" fontId="36" fillId="17" borderId="4" xfId="0" applyFont="1" applyFill="1" applyBorder="1" applyAlignment="1">
      <alignment horizontal="center" vertical="center" wrapText="1"/>
    </xf>
    <xf numFmtId="0" fontId="36" fillId="17" borderId="83" xfId="0" applyFont="1" applyFill="1" applyBorder="1" applyAlignment="1">
      <alignment horizontal="center" vertical="center" wrapText="1"/>
    </xf>
    <xf numFmtId="0" fontId="32" fillId="20" borderId="3" xfId="0" applyFont="1" applyFill="1" applyBorder="1" applyAlignment="1">
      <alignment horizontal="center"/>
    </xf>
    <xf numFmtId="0" fontId="32" fillId="20" borderId="4" xfId="0" applyFont="1" applyFill="1" applyBorder="1" applyAlignment="1">
      <alignment horizontal="center"/>
    </xf>
    <xf numFmtId="0" fontId="32" fillId="20" borderId="5" xfId="0" applyFont="1" applyFill="1" applyBorder="1" applyAlignment="1">
      <alignment horizontal="center"/>
    </xf>
    <xf numFmtId="0" fontId="30" fillId="15" borderId="50" xfId="0" applyFont="1" applyFill="1" applyBorder="1" applyAlignment="1">
      <alignment horizontal="center"/>
    </xf>
    <xf numFmtId="0" fontId="30" fillId="15" borderId="1" xfId="0" applyFont="1" applyFill="1" applyBorder="1" applyAlignment="1">
      <alignment horizontal="center"/>
    </xf>
    <xf numFmtId="0" fontId="0" fillId="19" borderId="1" xfId="0" applyFill="1" applyBorder="1" applyAlignment="1">
      <alignment horizontal="center"/>
    </xf>
    <xf numFmtId="0" fontId="8" fillId="14" borderId="56" xfId="0" applyFont="1" applyFill="1" applyBorder="1" applyAlignment="1">
      <alignment horizontal="center"/>
    </xf>
    <xf numFmtId="0" fontId="8" fillId="14" borderId="21" xfId="0" applyFont="1" applyFill="1" applyBorder="1" applyAlignment="1">
      <alignment horizontal="center"/>
    </xf>
    <xf numFmtId="0" fontId="0" fillId="16" borderId="55" xfId="0" applyFill="1" applyBorder="1" applyAlignment="1">
      <alignment horizontal="left" vertical="center" wrapText="1"/>
    </xf>
    <xf numFmtId="0" fontId="0" fillId="16" borderId="37" xfId="0" applyFill="1" applyBorder="1" applyAlignment="1">
      <alignment horizontal="left" vertical="center" wrapText="1"/>
    </xf>
    <xf numFmtId="0" fontId="0" fillId="16" borderId="55" xfId="0" applyFill="1" applyBorder="1" applyAlignment="1">
      <alignment horizontal="left" vertical="center"/>
    </xf>
    <xf numFmtId="0" fontId="0" fillId="16" borderId="37" xfId="0" applyFill="1" applyBorder="1" applyAlignment="1">
      <alignment horizontal="left" vertical="center"/>
    </xf>
    <xf numFmtId="0" fontId="8" fillId="14" borderId="17" xfId="0" applyFont="1" applyFill="1" applyBorder="1" applyAlignment="1">
      <alignment horizontal="center"/>
    </xf>
    <xf numFmtId="0" fontId="8" fillId="14" borderId="19" xfId="0" applyFont="1" applyFill="1" applyBorder="1" applyAlignment="1">
      <alignment horizontal="center"/>
    </xf>
    <xf numFmtId="0" fontId="36" fillId="4" borderId="2" xfId="0" applyFont="1" applyFill="1" applyBorder="1" applyAlignment="1">
      <alignment horizontal="center" vertical="center" wrapText="1"/>
    </xf>
    <xf numFmtId="0" fontId="36" fillId="4" borderId="16" xfId="0" applyFont="1" applyFill="1" applyBorder="1" applyAlignment="1">
      <alignment horizontal="center" vertical="center" wrapText="1"/>
    </xf>
    <xf numFmtId="0" fontId="36" fillId="4" borderId="13" xfId="0" applyFont="1" applyFill="1" applyBorder="1" applyAlignment="1">
      <alignment horizontal="center" vertical="center" wrapText="1"/>
    </xf>
    <xf numFmtId="0" fontId="36" fillId="4" borderId="0" xfId="0" applyFont="1" applyFill="1" applyAlignment="1">
      <alignment horizontal="center" vertical="center" wrapText="1"/>
    </xf>
    <xf numFmtId="0" fontId="36" fillId="17" borderId="50" xfId="0" applyFont="1" applyFill="1" applyBorder="1" applyAlignment="1">
      <alignment horizontal="center" vertical="center" wrapText="1"/>
    </xf>
    <xf numFmtId="0" fontId="36" fillId="17" borderId="13" xfId="0" applyFont="1" applyFill="1" applyBorder="1" applyAlignment="1">
      <alignment horizontal="center" vertical="center" wrapText="1"/>
    </xf>
    <xf numFmtId="0" fontId="36" fillId="17" borderId="0" xfId="0" applyFont="1" applyFill="1" applyAlignment="1">
      <alignment horizontal="center" vertical="center" wrapText="1"/>
    </xf>
    <xf numFmtId="0" fontId="0" fillId="0" borderId="0" xfId="0" applyAlignment="1"/>
    <xf numFmtId="0" fontId="30" fillId="20" borderId="1" xfId="0" applyFont="1" applyFill="1" applyBorder="1" applyAlignment="1">
      <alignment horizontal="center"/>
    </xf>
    <xf numFmtId="0" fontId="0" fillId="0" borderId="0" xfId="0" applyAlignment="1">
      <alignment horizontal="left" wrapText="1"/>
    </xf>
    <xf numFmtId="0" fontId="0" fillId="0" borderId="34" xfId="0" applyBorder="1" applyAlignment="1">
      <alignment horizontal="left" wrapText="1"/>
    </xf>
    <xf numFmtId="0" fontId="32" fillId="20" borderId="30" xfId="0" applyFont="1" applyFill="1" applyBorder="1" applyAlignment="1">
      <alignment horizontal="center"/>
    </xf>
    <xf numFmtId="0" fontId="32" fillId="20" borderId="31" xfId="0" applyFont="1" applyFill="1" applyBorder="1" applyAlignment="1">
      <alignment horizontal="center"/>
    </xf>
    <xf numFmtId="0" fontId="32" fillId="20" borderId="32" xfId="0" applyFont="1" applyFill="1" applyBorder="1" applyAlignment="1">
      <alignment horizontal="center"/>
    </xf>
    <xf numFmtId="0" fontId="36" fillId="17" borderId="1" xfId="0" applyFont="1" applyFill="1" applyBorder="1" applyAlignment="1">
      <alignment horizontal="center" vertical="center" wrapText="1"/>
    </xf>
    <xf numFmtId="0" fontId="30" fillId="20" borderId="3" xfId="0" applyFont="1" applyFill="1" applyBorder="1" applyAlignment="1">
      <alignment horizontal="center" vertical="center"/>
    </xf>
    <xf numFmtId="0" fontId="30" fillId="20" borderId="4" xfId="0" applyFont="1" applyFill="1" applyBorder="1" applyAlignment="1">
      <alignment horizontal="center" vertical="center"/>
    </xf>
    <xf numFmtId="0" fontId="30" fillId="20" borderId="5" xfId="0" applyFont="1" applyFill="1" applyBorder="1" applyAlignment="1">
      <alignment horizontal="center" vertical="center"/>
    </xf>
    <xf numFmtId="0" fontId="36" fillId="17" borderId="30" xfId="0" applyFont="1" applyFill="1" applyBorder="1" applyAlignment="1">
      <alignment horizontal="center" vertical="center" wrapText="1"/>
    </xf>
    <xf numFmtId="0" fontId="36" fillId="17" borderId="31" xfId="0" applyFont="1" applyFill="1" applyBorder="1" applyAlignment="1">
      <alignment horizontal="center" vertical="center" wrapText="1"/>
    </xf>
    <xf numFmtId="0" fontId="36" fillId="17" borderId="24" xfId="0" applyFont="1" applyFill="1" applyBorder="1" applyAlignment="1">
      <alignment horizontal="center" vertical="center" wrapText="1"/>
    </xf>
    <xf numFmtId="0" fontId="36" fillId="17" borderId="25" xfId="0" applyFont="1" applyFill="1" applyBorder="1" applyAlignment="1">
      <alignment horizontal="center" vertical="center" wrapText="1"/>
    </xf>
    <xf numFmtId="0" fontId="36" fillId="23" borderId="55" xfId="0" applyFont="1" applyFill="1" applyBorder="1" applyAlignment="1">
      <alignment horizontal="center" vertical="center" wrapText="1"/>
    </xf>
    <xf numFmtId="0" fontId="36" fillId="23" borderId="47" xfId="0" applyFont="1" applyFill="1" applyBorder="1" applyAlignment="1">
      <alignment horizontal="center" vertical="center" wrapText="1"/>
    </xf>
    <xf numFmtId="0" fontId="36" fillId="23" borderId="37" xfId="0" applyFont="1" applyFill="1" applyBorder="1" applyAlignment="1">
      <alignment horizontal="center" vertical="center" wrapText="1"/>
    </xf>
    <xf numFmtId="0" fontId="30" fillId="20" borderId="1" xfId="0" applyFont="1" applyFill="1" applyBorder="1" applyAlignment="1">
      <alignment horizontal="center" vertical="center"/>
    </xf>
    <xf numFmtId="0" fontId="67" fillId="17" borderId="1" xfId="0" applyFont="1" applyFill="1" applyBorder="1" applyAlignment="1">
      <alignment horizontal="center" vertical="center" wrapText="1"/>
    </xf>
    <xf numFmtId="0" fontId="67" fillId="17" borderId="30" xfId="0" applyFont="1" applyFill="1" applyBorder="1" applyAlignment="1">
      <alignment horizontal="center" vertical="center" wrapText="1"/>
    </xf>
    <xf numFmtId="0" fontId="0" fillId="0" borderId="31" xfId="0" applyBorder="1" applyAlignment="1"/>
    <xf numFmtId="0" fontId="0" fillId="0" borderId="32" xfId="0" applyBorder="1" applyAlignment="1"/>
    <xf numFmtId="0" fontId="32" fillId="20" borderId="1" xfId="0" applyFont="1" applyFill="1" applyBorder="1" applyAlignment="1">
      <alignment horizontal="center"/>
    </xf>
    <xf numFmtId="0" fontId="0" fillId="0" borderId="0" xfId="0" applyAlignment="1">
      <alignment horizontal="left" vertical="top" wrapText="1"/>
    </xf>
    <xf numFmtId="8" fontId="30" fillId="20" borderId="28" xfId="0" applyNumberFormat="1" applyFont="1" applyFill="1" applyBorder="1" applyAlignment="1">
      <alignment horizontal="center"/>
    </xf>
    <xf numFmtId="0" fontId="30" fillId="20" borderId="7" xfId="0" applyFont="1" applyFill="1" applyBorder="1" applyAlignment="1">
      <alignment horizontal="center" vertical="center"/>
    </xf>
    <xf numFmtId="0" fontId="30" fillId="20" borderId="6" xfId="0" applyFont="1" applyFill="1" applyBorder="1" applyAlignment="1">
      <alignment horizontal="center" vertical="center"/>
    </xf>
    <xf numFmtId="0" fontId="30" fillId="20" borderId="15" xfId="0" applyFont="1" applyFill="1" applyBorder="1" applyAlignment="1">
      <alignment horizontal="center" vertical="center"/>
    </xf>
    <xf numFmtId="0" fontId="53" fillId="16" borderId="55" xfId="0" applyFont="1" applyFill="1" applyBorder="1" applyAlignment="1">
      <alignment horizontal="center" vertical="center" textRotation="90"/>
    </xf>
    <xf numFmtId="0" fontId="53" fillId="16" borderId="47" xfId="0" applyFont="1" applyFill="1" applyBorder="1" applyAlignment="1">
      <alignment horizontal="center" vertical="center" textRotation="90"/>
    </xf>
    <xf numFmtId="0" fontId="53" fillId="16" borderId="37" xfId="0" applyFont="1" applyFill="1" applyBorder="1" applyAlignment="1">
      <alignment horizontal="center" vertical="center" textRotation="90"/>
    </xf>
    <xf numFmtId="0" fontId="53" fillId="16" borderId="24" xfId="0" applyFont="1" applyFill="1" applyBorder="1" applyAlignment="1">
      <alignment horizontal="center" vertical="center"/>
    </xf>
    <xf numFmtId="0" fontId="53" fillId="16" borderId="25" xfId="0" applyFont="1" applyFill="1" applyBorder="1" applyAlignment="1">
      <alignment horizontal="center" vertical="center"/>
    </xf>
    <xf numFmtId="0" fontId="53" fillId="16" borderId="26" xfId="0" applyFont="1" applyFill="1" applyBorder="1" applyAlignment="1">
      <alignment horizontal="center" vertical="center"/>
    </xf>
    <xf numFmtId="0" fontId="36" fillId="23" borderId="31" xfId="0" applyFont="1" applyFill="1" applyBorder="1" applyAlignment="1">
      <alignment horizontal="center" vertical="center"/>
    </xf>
    <xf numFmtId="0" fontId="36" fillId="23" borderId="32" xfId="0" applyFont="1" applyFill="1" applyBorder="1" applyAlignment="1">
      <alignment horizontal="center" vertical="center"/>
    </xf>
    <xf numFmtId="0" fontId="36" fillId="23" borderId="55" xfId="0" applyFont="1" applyFill="1" applyBorder="1" applyAlignment="1">
      <alignment horizontal="center" vertical="center"/>
    </xf>
    <xf numFmtId="0" fontId="36" fillId="23" borderId="37" xfId="0" applyFont="1" applyFill="1" applyBorder="1" applyAlignment="1">
      <alignment horizontal="center" vertical="center"/>
    </xf>
    <xf numFmtId="0" fontId="36" fillId="23" borderId="24" xfId="0" applyFont="1" applyFill="1" applyBorder="1" applyAlignment="1">
      <alignment horizontal="center" vertical="center"/>
    </xf>
    <xf numFmtId="0" fontId="36" fillId="23" borderId="25" xfId="0" applyFont="1" applyFill="1" applyBorder="1" applyAlignment="1">
      <alignment horizontal="center" vertical="center"/>
    </xf>
    <xf numFmtId="0" fontId="36" fillId="23" borderId="26" xfId="0" applyFont="1" applyFill="1" applyBorder="1" applyAlignment="1">
      <alignment horizontal="center" vertical="center"/>
    </xf>
    <xf numFmtId="0" fontId="32" fillId="15" borderId="1" xfId="0" applyFont="1" applyFill="1" applyBorder="1" applyAlignment="1">
      <alignment horizontal="center" wrapText="1"/>
    </xf>
    <xf numFmtId="0" fontId="30" fillId="20" borderId="65" xfId="0" applyFont="1" applyFill="1" applyBorder="1" applyAlignment="1">
      <alignment horizontal="center" vertical="center"/>
    </xf>
    <xf numFmtId="0" fontId="0" fillId="0" borderId="34" xfId="0" applyBorder="1" applyAlignment="1">
      <alignment horizontal="left" vertical="top" wrapText="1"/>
    </xf>
    <xf numFmtId="0" fontId="36" fillId="17" borderId="3" xfId="0" applyFont="1" applyFill="1" applyBorder="1" applyAlignment="1">
      <alignment horizontal="center" vertical="center"/>
    </xf>
    <xf numFmtId="0" fontId="36" fillId="17" borderId="5" xfId="0" applyFont="1" applyFill="1" applyBorder="1" applyAlignment="1">
      <alignment horizontal="center" vertical="center"/>
    </xf>
    <xf numFmtId="0" fontId="73" fillId="17" borderId="3" xfId="0" applyFont="1" applyFill="1" applyBorder="1" applyAlignment="1">
      <alignment horizontal="center" vertical="top" wrapText="1"/>
    </xf>
    <xf numFmtId="0" fontId="73" fillId="17" borderId="4" xfId="0" applyFont="1" applyFill="1" applyBorder="1" applyAlignment="1">
      <alignment horizontal="center" vertical="top" wrapText="1"/>
    </xf>
    <xf numFmtId="0" fontId="73" fillId="17" borderId="5" xfId="0" applyFont="1" applyFill="1" applyBorder="1" applyAlignment="1">
      <alignment horizontal="center" vertical="top" wrapText="1"/>
    </xf>
    <xf numFmtId="0" fontId="0" fillId="37" borderId="3" xfId="0" applyFill="1" applyBorder="1" applyAlignment="1">
      <alignment horizontal="left"/>
    </xf>
    <xf numFmtId="0" fontId="0" fillId="37" borderId="5" xfId="0" applyFill="1" applyBorder="1" applyAlignment="1">
      <alignment horizontal="left"/>
    </xf>
    <xf numFmtId="0" fontId="139" fillId="15" borderId="106" xfId="0" applyFont="1" applyFill="1" applyBorder="1" applyAlignment="1">
      <alignment horizontal="center" vertical="center"/>
    </xf>
    <xf numFmtId="0" fontId="139" fillId="15" borderId="57" xfId="0" applyFont="1" applyFill="1" applyBorder="1" applyAlignment="1">
      <alignment horizontal="center" vertical="center"/>
    </xf>
    <xf numFmtId="0" fontId="77" fillId="20" borderId="6" xfId="0" applyFont="1" applyFill="1" applyBorder="1" applyAlignment="1">
      <alignment horizontal="center"/>
    </xf>
    <xf numFmtId="0" fontId="8" fillId="19" borderId="19" xfId="0" applyFont="1" applyFill="1" applyBorder="1" applyAlignment="1">
      <alignment horizontal="center" vertical="center" wrapText="1"/>
    </xf>
    <xf numFmtId="0" fontId="8" fillId="19" borderId="20"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73" fillId="23" borderId="3" xfId="0" applyFont="1" applyFill="1" applyBorder="1" applyAlignment="1">
      <alignment horizontal="center" vertical="center"/>
    </xf>
    <xf numFmtId="0" fontId="73" fillId="23" borderId="5" xfId="0" applyFont="1" applyFill="1" applyBorder="1" applyAlignment="1">
      <alignment horizontal="center" vertical="center"/>
    </xf>
    <xf numFmtId="0" fontId="8" fillId="19" borderId="109" xfId="0" applyFont="1" applyFill="1" applyBorder="1" applyAlignment="1">
      <alignment horizontal="center" vertical="center" wrapText="1"/>
    </xf>
    <xf numFmtId="10" fontId="28" fillId="15" borderId="104" xfId="1" applyNumberFormat="1" applyFont="1" applyFill="1" applyBorder="1" applyAlignment="1">
      <alignment horizontal="center"/>
    </xf>
    <xf numFmtId="0" fontId="88" fillId="15" borderId="85" xfId="0" applyFont="1" applyFill="1" applyBorder="1" applyAlignment="1">
      <alignment horizontal="center"/>
    </xf>
    <xf numFmtId="0" fontId="88" fillId="15" borderId="105" xfId="0" applyFont="1" applyFill="1" applyBorder="1" applyAlignment="1">
      <alignment horizontal="center"/>
    </xf>
    <xf numFmtId="0" fontId="77" fillId="20" borderId="30" xfId="0" applyFont="1" applyFill="1" applyBorder="1" applyAlignment="1">
      <alignment horizontal="center" vertical="center"/>
    </xf>
    <xf numFmtId="0" fontId="77" fillId="20" borderId="31" xfId="0" applyFont="1" applyFill="1" applyBorder="1" applyAlignment="1">
      <alignment horizontal="center" vertical="center"/>
    </xf>
    <xf numFmtId="0" fontId="73" fillId="23" borderId="24" xfId="0" applyFont="1" applyFill="1" applyBorder="1" applyAlignment="1">
      <alignment horizontal="center" vertical="center"/>
    </xf>
    <xf numFmtId="0" fontId="73" fillId="23" borderId="25" xfId="0" applyFont="1" applyFill="1" applyBorder="1" applyAlignment="1">
      <alignment horizontal="center" vertical="center"/>
    </xf>
    <xf numFmtId="0" fontId="73" fillId="23" borderId="26" xfId="0" applyFont="1" applyFill="1" applyBorder="1" applyAlignment="1">
      <alignment horizontal="center" vertical="center"/>
    </xf>
    <xf numFmtId="0" fontId="73" fillId="23" borderId="1" xfId="0" applyFont="1" applyFill="1" applyBorder="1" applyAlignment="1">
      <alignment horizontal="center" vertical="center"/>
    </xf>
    <xf numFmtId="0" fontId="64" fillId="33" borderId="55" xfId="0" applyFont="1" applyFill="1" applyBorder="1" applyAlignment="1">
      <alignment horizontal="center" vertical="center" wrapText="1"/>
    </xf>
    <xf numFmtId="0" fontId="64" fillId="33" borderId="47" xfId="0" applyFont="1" applyFill="1" applyBorder="1" applyAlignment="1">
      <alignment horizontal="center" vertical="center" wrapText="1"/>
    </xf>
    <xf numFmtId="0" fontId="64" fillId="33" borderId="33" xfId="0" applyFont="1" applyFill="1" applyBorder="1" applyAlignment="1">
      <alignment horizontal="center" vertical="center" wrapText="1"/>
    </xf>
    <xf numFmtId="0" fontId="64" fillId="33" borderId="0" xfId="0" applyFont="1" applyFill="1" applyAlignment="1">
      <alignment horizontal="center" vertical="center" wrapText="1"/>
    </xf>
    <xf numFmtId="10" fontId="0" fillId="19" borderId="110" xfId="1" applyNumberFormat="1" applyFont="1" applyFill="1" applyBorder="1" applyAlignment="1">
      <alignment horizontal="center"/>
    </xf>
    <xf numFmtId="10" fontId="0" fillId="19" borderId="21" xfId="1" applyNumberFormat="1" applyFont="1" applyFill="1" applyBorder="1" applyAlignment="1">
      <alignment horizontal="center"/>
    </xf>
    <xf numFmtId="0" fontId="120" fillId="32" borderId="47" xfId="0" applyFont="1" applyFill="1" applyBorder="1" applyAlignment="1">
      <alignment horizontal="center" vertical="center" wrapText="1"/>
    </xf>
    <xf numFmtId="0" fontId="120" fillId="32" borderId="37" xfId="0" applyFont="1" applyFill="1" applyBorder="1" applyAlignment="1">
      <alignment horizontal="center" vertical="center" wrapText="1"/>
    </xf>
    <xf numFmtId="0" fontId="120" fillId="32" borderId="33" xfId="0" applyFont="1" applyFill="1" applyBorder="1" applyAlignment="1">
      <alignment horizontal="center" vertical="center" wrapText="1"/>
    </xf>
    <xf numFmtId="0" fontId="120" fillId="32" borderId="0" xfId="0" applyFont="1" applyFill="1" applyAlignment="1">
      <alignment horizontal="center" vertical="center" wrapText="1"/>
    </xf>
    <xf numFmtId="0" fontId="120" fillId="32" borderId="65" xfId="0" applyFont="1" applyFill="1" applyBorder="1" applyAlignment="1">
      <alignment horizontal="center" vertical="center" wrapText="1"/>
    </xf>
    <xf numFmtId="0" fontId="120" fillId="32" borderId="6" xfId="0" applyFont="1" applyFill="1" applyBorder="1" applyAlignment="1">
      <alignment horizontal="center" vertical="center" wrapText="1"/>
    </xf>
    <xf numFmtId="0" fontId="38" fillId="16" borderId="1" xfId="0" applyFont="1" applyFill="1" applyBorder="1" applyAlignment="1">
      <alignment horizontal="center"/>
    </xf>
    <xf numFmtId="0" fontId="0" fillId="16" borderId="47" xfId="0" applyFill="1" applyBorder="1" applyAlignment="1">
      <alignment horizontal="left" vertical="top" wrapText="1"/>
    </xf>
    <xf numFmtId="170" fontId="0" fillId="16" borderId="28" xfId="2" applyNumberFormat="1" applyFont="1" applyFill="1" applyBorder="1" applyAlignment="1">
      <alignment horizontal="left" vertical="top" wrapText="1"/>
    </xf>
    <xf numFmtId="170" fontId="0" fillId="16" borderId="31" xfId="2" applyNumberFormat="1" applyFont="1" applyFill="1" applyBorder="1" applyAlignment="1">
      <alignment horizontal="left" vertical="top" wrapText="1"/>
    </xf>
    <xf numFmtId="0" fontId="32" fillId="20" borderId="65" xfId="0" applyFont="1" applyFill="1" applyBorder="1" applyAlignment="1">
      <alignment horizontal="center"/>
    </xf>
    <xf numFmtId="0" fontId="32" fillId="20" borderId="6" xfId="0" applyFont="1" applyFill="1" applyBorder="1" applyAlignment="1">
      <alignment horizontal="center"/>
    </xf>
    <xf numFmtId="0" fontId="30" fillId="20" borderId="7" xfId="0" applyFont="1" applyFill="1" applyBorder="1" applyAlignment="1">
      <alignment horizontal="center"/>
    </xf>
    <xf numFmtId="0" fontId="30" fillId="20" borderId="6" xfId="0" applyFont="1" applyFill="1" applyBorder="1" applyAlignment="1">
      <alignment horizontal="center"/>
    </xf>
    <xf numFmtId="0" fontId="30" fillId="39" borderId="0" xfId="0" applyFont="1" applyFill="1" applyAlignment="1">
      <alignment horizontal="left"/>
    </xf>
    <xf numFmtId="0" fontId="0" fillId="54" borderId="0" xfId="0" applyFill="1" applyAlignment="1">
      <alignment horizontal="left" vertical="top" wrapText="1"/>
    </xf>
    <xf numFmtId="0" fontId="0" fillId="54" borderId="33" xfId="0" applyFill="1" applyBorder="1" applyAlignment="1">
      <alignment horizontal="left" vertical="center"/>
    </xf>
    <xf numFmtId="0" fontId="0" fillId="54" borderId="0" xfId="0" applyFill="1" applyAlignment="1">
      <alignment horizontal="left" vertical="center"/>
    </xf>
    <xf numFmtId="0" fontId="0" fillId="54" borderId="30" xfId="0" applyFill="1" applyBorder="1" applyAlignment="1">
      <alignment horizontal="left" vertical="center"/>
    </xf>
    <xf numFmtId="0" fontId="0" fillId="54" borderId="31" xfId="0" applyFill="1" applyBorder="1" applyAlignment="1">
      <alignment horizontal="left" vertical="center"/>
    </xf>
    <xf numFmtId="0" fontId="0" fillId="54" borderId="27" xfId="0" applyFill="1" applyBorder="1" applyAlignment="1">
      <alignment horizontal="left" vertical="center"/>
    </xf>
    <xf numFmtId="0" fontId="0" fillId="54" borderId="28" xfId="0" applyFill="1" applyBorder="1" applyAlignment="1">
      <alignment horizontal="left" vertical="center"/>
    </xf>
    <xf numFmtId="0" fontId="0" fillId="54" borderId="29" xfId="0" applyFill="1" applyBorder="1" applyAlignment="1">
      <alignment horizontal="left" vertical="center"/>
    </xf>
    <xf numFmtId="0" fontId="0" fillId="54" borderId="30" xfId="0" applyFill="1" applyBorder="1" applyAlignment="1">
      <alignment horizontal="center" vertical="center"/>
    </xf>
    <xf numFmtId="0" fontId="0" fillId="54" borderId="31" xfId="0" applyFill="1" applyBorder="1" applyAlignment="1">
      <alignment horizontal="center" vertical="center"/>
    </xf>
    <xf numFmtId="0" fontId="0" fillId="54" borderId="32" xfId="0" applyFill="1" applyBorder="1" applyAlignment="1">
      <alignment horizontal="center" vertical="center"/>
    </xf>
    <xf numFmtId="0" fontId="8" fillId="14" borderId="58" xfId="0" applyFont="1" applyFill="1" applyBorder="1" applyAlignment="1">
      <alignment horizontal="center"/>
    </xf>
    <xf numFmtId="0" fontId="67" fillId="23" borderId="24" xfId="0" applyFont="1" applyFill="1" applyBorder="1" applyAlignment="1">
      <alignment horizontal="center" vertical="center" wrapText="1"/>
    </xf>
    <xf numFmtId="0" fontId="67" fillId="23" borderId="26" xfId="0" applyFont="1" applyFill="1" applyBorder="1" applyAlignment="1">
      <alignment horizontal="center" vertical="center" wrapText="1"/>
    </xf>
    <xf numFmtId="0" fontId="157" fillId="23" borderId="24" xfId="0" applyFont="1" applyFill="1" applyBorder="1" applyAlignment="1">
      <alignment horizontal="center" vertical="center" wrapText="1"/>
    </xf>
    <xf numFmtId="0" fontId="157" fillId="23" borderId="26" xfId="0" applyFont="1" applyFill="1" applyBorder="1" applyAlignment="1">
      <alignment horizontal="center" vertical="center" wrapText="1"/>
    </xf>
    <xf numFmtId="0" fontId="38" fillId="19" borderId="3" xfId="0" applyFont="1" applyFill="1" applyBorder="1" applyAlignment="1">
      <alignment horizontal="center"/>
    </xf>
    <xf numFmtId="0" fontId="38" fillId="19" borderId="5" xfId="0" applyFont="1" applyFill="1" applyBorder="1" applyAlignment="1">
      <alignment horizontal="center"/>
    </xf>
    <xf numFmtId="0" fontId="67" fillId="39" borderId="24" xfId="0" applyFont="1" applyFill="1" applyBorder="1" applyAlignment="1">
      <alignment horizontal="center" vertical="center"/>
    </xf>
    <xf numFmtId="0" fontId="67" fillId="39" borderId="25" xfId="0" applyFont="1" applyFill="1" applyBorder="1" applyAlignment="1">
      <alignment horizontal="center" vertical="center"/>
    </xf>
    <xf numFmtId="0" fontId="67" fillId="39" borderId="26" xfId="0" applyFont="1" applyFill="1" applyBorder="1" applyAlignment="1">
      <alignment horizontal="center" vertical="center"/>
    </xf>
    <xf numFmtId="0" fontId="156" fillId="39" borderId="0" xfId="0" applyFont="1" applyFill="1" applyAlignment="1">
      <alignment horizontal="left" vertical="center"/>
    </xf>
    <xf numFmtId="0" fontId="67" fillId="45" borderId="24" xfId="0" applyFont="1" applyFill="1" applyBorder="1" applyAlignment="1">
      <alignment horizontal="center" vertical="center" wrapText="1"/>
    </xf>
    <xf numFmtId="0" fontId="67" fillId="45" borderId="26" xfId="0" applyFont="1" applyFill="1" applyBorder="1" applyAlignment="1">
      <alignment horizontal="center" vertical="center" wrapText="1"/>
    </xf>
    <xf numFmtId="0" fontId="32" fillId="17" borderId="1" xfId="0" applyFont="1" applyFill="1" applyBorder="1" applyAlignment="1">
      <alignment horizontal="center"/>
    </xf>
    <xf numFmtId="0" fontId="32" fillId="17" borderId="50" xfId="0" applyFont="1" applyFill="1" applyBorder="1" applyAlignment="1">
      <alignment horizontal="center"/>
    </xf>
    <xf numFmtId="0" fontId="32" fillId="20" borderId="3" xfId="0" applyFont="1" applyFill="1" applyBorder="1" applyAlignment="1">
      <alignment horizontal="center" wrapText="1"/>
    </xf>
    <xf numFmtId="0" fontId="32" fillId="20" borderId="4" xfId="0" applyFont="1" applyFill="1" applyBorder="1" applyAlignment="1">
      <alignment horizontal="center" wrapText="1"/>
    </xf>
    <xf numFmtId="0" fontId="32" fillId="20" borderId="5" xfId="0" applyFont="1" applyFill="1" applyBorder="1" applyAlignment="1">
      <alignment horizontal="center" wrapText="1"/>
    </xf>
    <xf numFmtId="0" fontId="65" fillId="16" borderId="2" xfId="0" applyFont="1" applyFill="1" applyBorder="1" applyAlignment="1">
      <alignment horizontal="center" vertical="center" wrapText="1"/>
    </xf>
    <xf numFmtId="0" fontId="65" fillId="16" borderId="10" xfId="0" applyFont="1" applyFill="1" applyBorder="1" applyAlignment="1">
      <alignment horizontal="center" vertical="center" wrapText="1"/>
    </xf>
    <xf numFmtId="0" fontId="65" fillId="16" borderId="16" xfId="0" applyFont="1" applyFill="1" applyBorder="1" applyAlignment="1">
      <alignment horizontal="center" vertical="center" wrapText="1"/>
    </xf>
    <xf numFmtId="0" fontId="0" fillId="6" borderId="27" xfId="0" applyFill="1" applyBorder="1" applyAlignment="1">
      <alignment horizontal="left" vertical="top" wrapText="1"/>
    </xf>
    <xf numFmtId="0" fontId="0" fillId="6" borderId="28" xfId="0" applyFill="1" applyBorder="1" applyAlignment="1">
      <alignment horizontal="left" vertical="top" wrapText="1"/>
    </xf>
    <xf numFmtId="0" fontId="0" fillId="6" borderId="29" xfId="0" applyFill="1" applyBorder="1" applyAlignment="1">
      <alignment horizontal="left" vertical="top" wrapText="1"/>
    </xf>
    <xf numFmtId="0" fontId="0" fillId="6" borderId="33" xfId="0" applyFill="1" applyBorder="1" applyAlignment="1">
      <alignment horizontal="left" vertical="top" wrapText="1"/>
    </xf>
    <xf numFmtId="0" fontId="0" fillId="6" borderId="0" xfId="0" applyFill="1" applyAlignment="1">
      <alignment horizontal="left" vertical="top" wrapText="1"/>
    </xf>
    <xf numFmtId="0" fontId="0" fillId="6" borderId="34" xfId="0" applyFill="1" applyBorder="1" applyAlignment="1">
      <alignment horizontal="left" vertical="top" wrapText="1"/>
    </xf>
    <xf numFmtId="0" fontId="0" fillId="6" borderId="30" xfId="0" applyFill="1" applyBorder="1" applyAlignment="1">
      <alignment horizontal="left" vertical="top" wrapText="1"/>
    </xf>
    <xf numFmtId="0" fontId="0" fillId="6" borderId="31" xfId="0" applyFill="1" applyBorder="1" applyAlignment="1">
      <alignment horizontal="left" vertical="top" wrapText="1"/>
    </xf>
    <xf numFmtId="0" fontId="0" fillId="6" borderId="32" xfId="0" applyFill="1" applyBorder="1" applyAlignment="1">
      <alignment horizontal="left" vertical="top" wrapText="1"/>
    </xf>
    <xf numFmtId="0" fontId="8" fillId="19" borderId="7" xfId="0" applyFont="1" applyFill="1" applyBorder="1" applyAlignment="1">
      <alignment horizontal="center"/>
    </xf>
    <xf numFmtId="0" fontId="0" fillId="0" borderId="48" xfId="0" applyBorder="1" applyAlignment="1">
      <alignment horizontal="center"/>
    </xf>
    <xf numFmtId="0" fontId="0" fillId="0" borderId="49" xfId="0" applyBorder="1" applyAlignment="1">
      <alignment horizontal="center"/>
    </xf>
    <xf numFmtId="9" fontId="54" fillId="0" borderId="0" xfId="0" applyNumberFormat="1" applyFont="1" applyAlignment="1">
      <alignment horizontal="center" vertical="center" wrapText="1"/>
    </xf>
    <xf numFmtId="0" fontId="0" fillId="0" borderId="0" xfId="0" applyAlignment="1">
      <alignment horizontal="left" vertical="center" wrapText="1"/>
    </xf>
    <xf numFmtId="0" fontId="0" fillId="0" borderId="34" xfId="0" applyBorder="1" applyAlignment="1">
      <alignment horizontal="left" vertical="center" wrapText="1"/>
    </xf>
    <xf numFmtId="0" fontId="0" fillId="35" borderId="48" xfId="0" applyFill="1" applyBorder="1" applyAlignment="1">
      <alignment horizontal="center"/>
    </xf>
    <xf numFmtId="0" fontId="0" fillId="35" borderId="49" xfId="0" applyFill="1" applyBorder="1" applyAlignment="1">
      <alignment horizontal="center"/>
    </xf>
    <xf numFmtId="0" fontId="47" fillId="17" borderId="3" xfId="0" applyFont="1" applyFill="1" applyBorder="1" applyAlignment="1">
      <alignment horizontal="center" vertical="center" wrapText="1"/>
    </xf>
    <xf numFmtId="0" fontId="47" fillId="17" borderId="5" xfId="0" applyFont="1" applyFill="1" applyBorder="1" applyAlignment="1">
      <alignment horizontal="center" vertical="center" wrapText="1"/>
    </xf>
    <xf numFmtId="0" fontId="0" fillId="0" borderId="0" xfId="0" applyAlignment="1">
      <alignment horizontal="center"/>
    </xf>
    <xf numFmtId="0" fontId="8" fillId="15" borderId="1" xfId="0" applyFont="1" applyFill="1" applyBorder="1" applyAlignment="1">
      <alignment horizontal="center"/>
    </xf>
    <xf numFmtId="0" fontId="32" fillId="19" borderId="7" xfId="0" applyFont="1" applyFill="1" applyBorder="1" applyAlignment="1">
      <alignment horizontal="center"/>
    </xf>
    <xf numFmtId="0" fontId="32" fillId="19" borderId="6" xfId="0" applyFont="1" applyFill="1" applyBorder="1" applyAlignment="1">
      <alignment horizontal="center"/>
    </xf>
    <xf numFmtId="0" fontId="36" fillId="22" borderId="47" xfId="0" applyFont="1" applyFill="1" applyBorder="1" applyAlignment="1">
      <alignment horizontal="center" vertical="center" wrapText="1"/>
    </xf>
    <xf numFmtId="0" fontId="36" fillId="22" borderId="37" xfId="0" applyFont="1" applyFill="1" applyBorder="1" applyAlignment="1">
      <alignment horizontal="center" vertical="center" wrapText="1"/>
    </xf>
    <xf numFmtId="0" fontId="0" fillId="16" borderId="30" xfId="0" applyFill="1" applyBorder="1" applyAlignment="1">
      <alignment horizontal="left" vertical="top" wrapText="1"/>
    </xf>
    <xf numFmtId="0" fontId="0" fillId="16" borderId="31" xfId="0" applyFill="1" applyBorder="1" applyAlignment="1">
      <alignment horizontal="left" vertical="center" wrapText="1"/>
    </xf>
    <xf numFmtId="0" fontId="0" fillId="12" borderId="55" xfId="0" applyFill="1" applyBorder="1" applyAlignment="1">
      <alignment horizontal="center" vertical="center"/>
    </xf>
    <xf numFmtId="0" fontId="0" fillId="12" borderId="37" xfId="0" applyFill="1" applyBorder="1" applyAlignment="1">
      <alignment horizontal="center" vertical="center"/>
    </xf>
    <xf numFmtId="0" fontId="30" fillId="18" borderId="33" xfId="0" applyFont="1" applyFill="1" applyBorder="1" applyAlignment="1">
      <alignment horizontal="left"/>
    </xf>
    <xf numFmtId="0" fontId="30" fillId="18" borderId="0" xfId="0" applyFont="1" applyFill="1" applyAlignment="1">
      <alignment horizontal="left"/>
    </xf>
    <xf numFmtId="0" fontId="158" fillId="17" borderId="13" xfId="0" applyFont="1" applyFill="1" applyBorder="1" applyAlignment="1">
      <alignment horizontal="center" vertical="center" wrapText="1"/>
    </xf>
    <xf numFmtId="0" fontId="158" fillId="17" borderId="0" xfId="0" applyFont="1" applyFill="1" applyAlignment="1">
      <alignment horizontal="center" vertical="center" wrapText="1"/>
    </xf>
    <xf numFmtId="0" fontId="8" fillId="14" borderId="20" xfId="0" applyFont="1" applyFill="1" applyBorder="1" applyAlignment="1">
      <alignment horizontal="center"/>
    </xf>
    <xf numFmtId="0" fontId="8" fillId="14" borderId="109" xfId="0" applyFont="1" applyFill="1" applyBorder="1" applyAlignment="1">
      <alignment horizontal="center"/>
    </xf>
    <xf numFmtId="0" fontId="30" fillId="0" borderId="0" xfId="0" applyFont="1" applyAlignment="1">
      <alignment horizontal="center"/>
    </xf>
    <xf numFmtId="0" fontId="8" fillId="14" borderId="137" xfId="0" applyFont="1" applyFill="1" applyBorder="1" applyAlignment="1">
      <alignment horizontal="center"/>
    </xf>
    <xf numFmtId="0" fontId="8" fillId="14" borderId="138" xfId="0" applyFont="1" applyFill="1" applyBorder="1" applyAlignment="1">
      <alignment horizontal="center"/>
    </xf>
    <xf numFmtId="0" fontId="8" fillId="14" borderId="139" xfId="0" applyFont="1" applyFill="1" applyBorder="1" applyAlignment="1">
      <alignment horizontal="center"/>
    </xf>
    <xf numFmtId="0" fontId="33" fillId="16" borderId="31" xfId="0" applyFont="1" applyFill="1" applyBorder="1" applyAlignment="1">
      <alignment horizontal="left" vertical="top" wrapText="1"/>
    </xf>
    <xf numFmtId="0" fontId="33" fillId="16" borderId="32" xfId="0" applyFont="1" applyFill="1" applyBorder="1" applyAlignment="1">
      <alignment horizontal="left" vertical="top" wrapText="1"/>
    </xf>
    <xf numFmtId="0" fontId="8" fillId="19" borderId="62" xfId="0" applyFont="1" applyFill="1" applyBorder="1" applyAlignment="1">
      <alignment horizontal="center"/>
    </xf>
    <xf numFmtId="0" fontId="8" fillId="19" borderId="0" xfId="0" applyFont="1" applyFill="1" applyAlignment="1">
      <alignment horizontal="center"/>
    </xf>
    <xf numFmtId="0" fontId="32" fillId="17" borderId="59" xfId="0" applyFont="1" applyFill="1" applyBorder="1" applyAlignment="1">
      <alignment horizontal="center"/>
    </xf>
    <xf numFmtId="0" fontId="32" fillId="17" borderId="5" xfId="0" applyFont="1" applyFill="1" applyBorder="1" applyAlignment="1">
      <alignment horizontal="center"/>
    </xf>
    <xf numFmtId="0" fontId="77" fillId="20" borderId="1"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0" xfId="0" applyAlignment="1">
      <alignment horizontal="center" vertical="center" wrapText="1"/>
    </xf>
    <xf numFmtId="0" fontId="0" fillId="0" borderId="31" xfId="0" applyBorder="1" applyAlignment="1">
      <alignment horizontal="center" vertical="center" wrapText="1"/>
    </xf>
    <xf numFmtId="0" fontId="8" fillId="19" borderId="3" xfId="0" applyFont="1" applyFill="1" applyBorder="1" applyAlignment="1">
      <alignment horizontal="center"/>
    </xf>
    <xf numFmtId="0" fontId="8" fillId="19" borderId="4" xfId="0" applyFont="1" applyFill="1" applyBorder="1" applyAlignment="1">
      <alignment horizontal="center"/>
    </xf>
    <xf numFmtId="0" fontId="8" fillId="19" borderId="5" xfId="0" applyFont="1" applyFill="1" applyBorder="1" applyAlignment="1">
      <alignment horizontal="center"/>
    </xf>
    <xf numFmtId="0" fontId="33" fillId="16" borderId="151" xfId="0" applyFont="1" applyFill="1" applyBorder="1" applyAlignment="1">
      <alignment horizontal="left"/>
    </xf>
    <xf numFmtId="0" fontId="33" fillId="16" borderId="28" xfId="0" applyFont="1" applyFill="1" applyBorder="1" applyAlignment="1">
      <alignment horizontal="left"/>
    </xf>
    <xf numFmtId="0" fontId="33" fillId="16" borderId="152" xfId="0" applyFont="1" applyFill="1" applyBorder="1" applyAlignment="1">
      <alignment horizontal="left"/>
    </xf>
    <xf numFmtId="0" fontId="0" fillId="0" borderId="0" xfId="0" applyAlignment="1">
      <alignment horizontal="center" vertical="center"/>
    </xf>
    <xf numFmtId="0" fontId="36" fillId="17" borderId="26" xfId="0" applyFont="1" applyFill="1" applyBorder="1" applyAlignment="1">
      <alignment horizontal="center" vertical="center" wrapText="1"/>
    </xf>
    <xf numFmtId="0" fontId="8" fillId="14" borderId="0" xfId="0" applyFont="1" applyFill="1" applyAlignment="1">
      <alignment horizontal="center"/>
    </xf>
    <xf numFmtId="0" fontId="0" fillId="0" borderId="55" xfId="0" applyBorder="1" applyAlignment="1">
      <alignment horizontal="left" wrapText="1"/>
    </xf>
    <xf numFmtId="0" fontId="0" fillId="0" borderId="37" xfId="0" applyBorder="1" applyAlignment="1">
      <alignment horizontal="left" wrapText="1"/>
    </xf>
    <xf numFmtId="0" fontId="0" fillId="0" borderId="27" xfId="0" applyBorder="1" applyAlignment="1">
      <alignment horizontal="left" wrapText="1"/>
    </xf>
    <xf numFmtId="0" fontId="0" fillId="0" borderId="30" xfId="0" applyBorder="1" applyAlignment="1">
      <alignment horizontal="left" wrapText="1"/>
    </xf>
    <xf numFmtId="0" fontId="0" fillId="0" borderId="55" xfId="0" applyBorder="1" applyAlignment="1">
      <alignment horizontal="center" wrapText="1"/>
    </xf>
    <xf numFmtId="0" fontId="0" fillId="0" borderId="37" xfId="0" applyBorder="1" applyAlignment="1">
      <alignment horizontal="center" wrapText="1"/>
    </xf>
    <xf numFmtId="0" fontId="0" fillId="0" borderId="33" xfId="0" applyBorder="1" applyAlignment="1">
      <alignment horizontal="left" wrapText="1"/>
    </xf>
    <xf numFmtId="0" fontId="0" fillId="0" borderId="47" xfId="0" applyBorder="1" applyAlignment="1">
      <alignment horizontal="center" wrapText="1"/>
    </xf>
    <xf numFmtId="0" fontId="0" fillId="0" borderId="55" xfId="0" applyBorder="1" applyAlignment="1">
      <alignment horizontal="left" vertical="top" wrapText="1"/>
    </xf>
    <xf numFmtId="0" fontId="0" fillId="0" borderId="37" xfId="0" applyBorder="1" applyAlignment="1">
      <alignment horizontal="left" vertical="top" wrapText="1"/>
    </xf>
    <xf numFmtId="0" fontId="0" fillId="0" borderId="47" xfId="0" applyBorder="1" applyAlignment="1">
      <alignment horizontal="left" vertical="top" wrapText="1"/>
    </xf>
    <xf numFmtId="0" fontId="67" fillId="23" borderId="55" xfId="0" applyFont="1" applyFill="1" applyBorder="1" applyAlignment="1">
      <alignment horizontal="center" vertical="center" wrapText="1"/>
    </xf>
    <xf numFmtId="0" fontId="67" fillId="23" borderId="37" xfId="0" applyFont="1" applyFill="1" applyBorder="1" applyAlignment="1">
      <alignment horizontal="center" vertical="center" wrapText="1"/>
    </xf>
    <xf numFmtId="0" fontId="36" fillId="17" borderId="14" xfId="0" applyFont="1" applyFill="1" applyBorder="1" applyAlignment="1">
      <alignment horizontal="center" vertical="center" wrapText="1"/>
    </xf>
    <xf numFmtId="0" fontId="36" fillId="17" borderId="4" xfId="0" applyFont="1" applyFill="1" applyBorder="1" applyAlignment="1">
      <alignment horizontal="center" vertical="center"/>
    </xf>
    <xf numFmtId="0" fontId="0" fillId="16" borderId="60" xfId="0" applyFill="1" applyBorder="1" applyAlignment="1">
      <alignment horizontal="center" vertical="center" wrapText="1"/>
    </xf>
    <xf numFmtId="0" fontId="0" fillId="16" borderId="35" xfId="0" applyFill="1" applyBorder="1" applyAlignment="1">
      <alignment horizontal="center" vertical="center" wrapText="1"/>
    </xf>
    <xf numFmtId="0" fontId="0" fillId="16" borderId="61" xfId="0" applyFill="1" applyBorder="1" applyAlignment="1">
      <alignment horizontal="center" vertical="center" wrapText="1"/>
    </xf>
    <xf numFmtId="0" fontId="36" fillId="17" borderId="59" xfId="0" applyFont="1" applyFill="1" applyBorder="1" applyAlignment="1">
      <alignment horizontal="center" vertical="center" wrapText="1"/>
    </xf>
    <xf numFmtId="0" fontId="33" fillId="16" borderId="1" xfId="0" applyFont="1" applyFill="1" applyBorder="1" applyAlignment="1">
      <alignment horizontal="justify" vertical="center" wrapText="1"/>
    </xf>
    <xf numFmtId="0" fontId="8" fillId="19" borderId="109" xfId="0" applyFont="1" applyFill="1" applyBorder="1" applyAlignment="1">
      <alignment horizontal="center"/>
    </xf>
    <xf numFmtId="0" fontId="0" fillId="0" borderId="1" xfId="0" applyBorder="1" applyAlignment="1">
      <alignment horizontal="left"/>
    </xf>
    <xf numFmtId="0" fontId="21" fillId="21" borderId="27" xfId="0" applyFont="1" applyFill="1" applyBorder="1" applyAlignment="1">
      <alignment horizontal="center" vertical="center"/>
    </xf>
    <xf numFmtId="0" fontId="21" fillId="21" borderId="28" xfId="0" applyFont="1" applyFill="1" applyBorder="1" applyAlignment="1">
      <alignment horizontal="center" vertical="center"/>
    </xf>
    <xf numFmtId="0" fontId="21" fillId="21" borderId="29" xfId="0" applyFont="1" applyFill="1" applyBorder="1" applyAlignment="1">
      <alignment horizontal="center" vertical="center"/>
    </xf>
    <xf numFmtId="0" fontId="21" fillId="21" borderId="30" xfId="0" applyFont="1" applyFill="1" applyBorder="1" applyAlignment="1">
      <alignment horizontal="center" vertical="center"/>
    </xf>
    <xf numFmtId="0" fontId="21" fillId="21" borderId="31" xfId="0" applyFont="1" applyFill="1" applyBorder="1" applyAlignment="1">
      <alignment horizontal="center" vertical="center"/>
    </xf>
    <xf numFmtId="0" fontId="21" fillId="21" borderId="32" xfId="0" applyFont="1" applyFill="1" applyBorder="1" applyAlignment="1">
      <alignment horizontal="center" vertical="center"/>
    </xf>
    <xf numFmtId="0" fontId="8" fillId="0" borderId="27" xfId="0" applyFont="1" applyBorder="1" applyAlignment="1">
      <alignment horizontal="center"/>
    </xf>
    <xf numFmtId="0" fontId="8" fillId="0" borderId="28" xfId="0" applyFont="1" applyBorder="1" applyAlignment="1">
      <alignment horizontal="center"/>
    </xf>
    <xf numFmtId="0" fontId="8" fillId="0" borderId="29" xfId="0" applyFont="1" applyBorder="1" applyAlignment="1">
      <alignment horizontal="center"/>
    </xf>
    <xf numFmtId="0" fontId="0" fillId="0" borderId="27" xfId="0" applyBorder="1" applyAlignment="1">
      <alignment horizontal="left" vertical="top" wrapText="1"/>
    </xf>
    <xf numFmtId="0" fontId="0" fillId="0" borderId="28" xfId="0" applyBorder="1" applyAlignment="1">
      <alignment horizontal="left" vertical="top"/>
    </xf>
    <xf numFmtId="0" fontId="0" fillId="0" borderId="29" xfId="0" applyBorder="1" applyAlignment="1">
      <alignment horizontal="left" vertical="top"/>
    </xf>
    <xf numFmtId="0" fontId="0" fillId="0" borderId="33" xfId="0" applyBorder="1" applyAlignment="1">
      <alignment horizontal="left" vertical="top"/>
    </xf>
    <xf numFmtId="0" fontId="0" fillId="0" borderId="0" xfId="0" applyAlignment="1">
      <alignment horizontal="left" vertical="top"/>
    </xf>
    <xf numFmtId="0" fontId="0" fillId="0" borderId="34" xfId="0" applyBorder="1" applyAlignment="1">
      <alignment horizontal="left" vertical="top"/>
    </xf>
    <xf numFmtId="0" fontId="0" fillId="0" borderId="30" xfId="0" applyBorder="1" applyAlignment="1">
      <alignment horizontal="left" vertical="top"/>
    </xf>
    <xf numFmtId="0" fontId="0" fillId="0" borderId="31" xfId="0" applyBorder="1" applyAlignment="1">
      <alignment horizontal="left" vertical="top"/>
    </xf>
    <xf numFmtId="0" fontId="0" fillId="0" borderId="32" xfId="0" applyBorder="1" applyAlignment="1">
      <alignment horizontal="left" vertical="top"/>
    </xf>
    <xf numFmtId="0" fontId="8" fillId="0" borderId="24" xfId="0" applyFont="1" applyBorder="1" applyAlignment="1">
      <alignment horizontal="left" vertical="top"/>
    </xf>
    <xf numFmtId="0" fontId="8" fillId="0" borderId="25" xfId="0" applyFont="1" applyBorder="1" applyAlignment="1">
      <alignment horizontal="left" vertical="top"/>
    </xf>
    <xf numFmtId="0" fontId="8" fillId="0" borderId="26" xfId="0" applyFont="1" applyBorder="1" applyAlignment="1">
      <alignment horizontal="left" vertical="top"/>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33" fillId="16" borderId="7" xfId="0" applyFont="1" applyFill="1" applyBorder="1" applyAlignment="1">
      <alignment horizontal="left" wrapText="1"/>
    </xf>
    <xf numFmtId="0" fontId="33" fillId="16" borderId="6" xfId="0" applyFont="1" applyFill="1" applyBorder="1" applyAlignment="1">
      <alignment horizontal="left" wrapText="1"/>
    </xf>
    <xf numFmtId="0" fontId="33" fillId="16" borderId="15" xfId="0" applyFont="1" applyFill="1" applyBorder="1" applyAlignment="1">
      <alignment horizontal="left" wrapText="1"/>
    </xf>
    <xf numFmtId="0" fontId="33" fillId="16" borderId="55" xfId="0" applyFont="1" applyFill="1" applyBorder="1" applyAlignment="1">
      <alignment horizontal="justify" vertical="center" wrapText="1"/>
    </xf>
    <xf numFmtId="0" fontId="33" fillId="16" borderId="47" xfId="0" applyFont="1" applyFill="1" applyBorder="1" applyAlignment="1">
      <alignment horizontal="justify" vertical="center" wrapText="1"/>
    </xf>
    <xf numFmtId="0" fontId="33" fillId="16" borderId="37" xfId="0" applyFont="1" applyFill="1" applyBorder="1" applyAlignment="1">
      <alignment horizontal="justify" vertical="center" wrapText="1"/>
    </xf>
    <xf numFmtId="0" fontId="0" fillId="16" borderId="1" xfId="0" applyFill="1" applyBorder="1" applyAlignment="1">
      <alignment horizontal="center" vertical="center" wrapText="1"/>
    </xf>
    <xf numFmtId="0" fontId="33" fillId="0" borderId="31" xfId="0" applyFont="1" applyBorder="1" applyAlignment="1">
      <alignment horizontal="left" vertical="center" wrapText="1"/>
    </xf>
    <xf numFmtId="0" fontId="36" fillId="17" borderId="2" xfId="0" applyFont="1" applyFill="1" applyBorder="1" applyAlignment="1">
      <alignment horizontal="center" vertical="center" wrapText="1"/>
    </xf>
    <xf numFmtId="0" fontId="36" fillId="17" borderId="16" xfId="0" applyFont="1" applyFill="1" applyBorder="1" applyAlignment="1">
      <alignment horizontal="center" vertical="center" wrapText="1"/>
    </xf>
    <xf numFmtId="0" fontId="36" fillId="17" borderId="59" xfId="0" applyFont="1" applyFill="1" applyBorder="1" applyAlignment="1">
      <alignment horizontal="center" vertical="center"/>
    </xf>
    <xf numFmtId="0" fontId="36" fillId="17" borderId="7" xfId="0" applyFont="1" applyFill="1" applyBorder="1" applyAlignment="1">
      <alignment horizontal="center" vertical="center"/>
    </xf>
    <xf numFmtId="0" fontId="36" fillId="17" borderId="15" xfId="0" applyFont="1" applyFill="1" applyBorder="1" applyAlignment="1">
      <alignment horizontal="center" vertical="center"/>
    </xf>
    <xf numFmtId="0" fontId="32" fillId="20" borderId="27" xfId="0" applyFont="1" applyFill="1" applyBorder="1" applyAlignment="1">
      <alignment horizontal="center"/>
    </xf>
    <xf numFmtId="0" fontId="32" fillId="20" borderId="28" xfId="0" applyFont="1" applyFill="1" applyBorder="1" applyAlignment="1">
      <alignment horizontal="center"/>
    </xf>
    <xf numFmtId="0" fontId="32" fillId="20" borderId="29" xfId="0" applyFont="1" applyFill="1" applyBorder="1" applyAlignment="1">
      <alignment horizontal="center"/>
    </xf>
    <xf numFmtId="0" fontId="33" fillId="16" borderId="113" xfId="0" applyFont="1" applyFill="1" applyBorder="1" applyAlignment="1">
      <alignment horizontal="center" vertical="center"/>
    </xf>
    <xf numFmtId="0" fontId="33" fillId="16" borderId="114" xfId="0" applyFont="1" applyFill="1" applyBorder="1" applyAlignment="1">
      <alignment horizontal="center" vertical="center"/>
    </xf>
    <xf numFmtId="0" fontId="0" fillId="16" borderId="113" xfId="0" applyFill="1" applyBorder="1" applyAlignment="1">
      <alignment horizontal="center" vertical="center"/>
    </xf>
    <xf numFmtId="0" fontId="0" fillId="16" borderId="114" xfId="0" applyFill="1" applyBorder="1" applyAlignment="1">
      <alignment horizontal="center" vertical="center"/>
    </xf>
    <xf numFmtId="0" fontId="0" fillId="16" borderId="115" xfId="0" applyFill="1" applyBorder="1" applyAlignment="1">
      <alignment horizontal="center" vertical="center"/>
    </xf>
    <xf numFmtId="0" fontId="0" fillId="16" borderId="116" xfId="0" applyFill="1" applyBorder="1" applyAlignment="1">
      <alignment horizontal="center" vertical="center"/>
    </xf>
    <xf numFmtId="0" fontId="0" fillId="0" borderId="30" xfId="0" applyBorder="1" applyAlignment="1">
      <alignment horizontal="left" vertical="top" wrapText="1"/>
    </xf>
    <xf numFmtId="0" fontId="0" fillId="0" borderId="47" xfId="0" applyBorder="1" applyAlignment="1">
      <alignment horizontal="left" wrapText="1"/>
    </xf>
    <xf numFmtId="0" fontId="33" fillId="16" borderId="29" xfId="0" applyFont="1" applyFill="1" applyBorder="1" applyAlignment="1">
      <alignment horizontal="justify" vertical="center" wrapText="1"/>
    </xf>
    <xf numFmtId="0" fontId="33" fillId="16" borderId="34" xfId="0" applyFont="1" applyFill="1" applyBorder="1" applyAlignment="1">
      <alignment horizontal="justify" vertical="center" wrapText="1"/>
    </xf>
    <xf numFmtId="0" fontId="33" fillId="16" borderId="32" xfId="0" applyFont="1" applyFill="1" applyBorder="1" applyAlignment="1">
      <alignment horizontal="justify" vertical="center" wrapText="1"/>
    </xf>
    <xf numFmtId="0" fontId="0" fillId="0" borderId="1" xfId="0" applyBorder="1" applyAlignment="1">
      <alignment horizontal="center" vertical="center" wrapText="1"/>
    </xf>
    <xf numFmtId="0" fontId="30" fillId="18" borderId="27" xfId="0" applyFont="1" applyFill="1" applyBorder="1" applyAlignment="1">
      <alignment horizontal="center"/>
    </xf>
    <xf numFmtId="0" fontId="30" fillId="18" borderId="28" xfId="0" applyFont="1" applyFill="1" applyBorder="1" applyAlignment="1">
      <alignment horizontal="center"/>
    </xf>
    <xf numFmtId="0" fontId="30" fillId="18" borderId="29" xfId="0" applyFont="1" applyFill="1" applyBorder="1" applyAlignment="1">
      <alignment horizontal="center"/>
    </xf>
    <xf numFmtId="0" fontId="134" fillId="30" borderId="50" xfId="0" applyFont="1" applyFill="1" applyBorder="1" applyAlignment="1">
      <alignment horizontal="center" vertical="center" wrapText="1"/>
    </xf>
    <xf numFmtId="0" fontId="134" fillId="30" borderId="1" xfId="0" applyFont="1" applyFill="1" applyBorder="1" applyAlignment="1">
      <alignment horizontal="center" vertical="center" wrapText="1"/>
    </xf>
    <xf numFmtId="0" fontId="134" fillId="30" borderId="51" xfId="0" applyFont="1" applyFill="1" applyBorder="1" applyAlignment="1">
      <alignment horizontal="center" vertical="center" wrapText="1"/>
    </xf>
    <xf numFmtId="0" fontId="80" fillId="18" borderId="27" xfId="0" applyFont="1" applyFill="1" applyBorder="1" applyAlignment="1">
      <alignment horizontal="center" vertical="center" wrapText="1"/>
    </xf>
    <xf numFmtId="0" fontId="80" fillId="18" borderId="28" xfId="0" applyFont="1" applyFill="1" applyBorder="1" applyAlignment="1">
      <alignment horizontal="center" vertical="center" wrapText="1"/>
    </xf>
    <xf numFmtId="0" fontId="80" fillId="18" borderId="29" xfId="0" applyFont="1" applyFill="1" applyBorder="1" applyAlignment="1">
      <alignment horizontal="center" vertical="center" wrapText="1"/>
    </xf>
    <xf numFmtId="0" fontId="32" fillId="18" borderId="24" xfId="0" applyFont="1" applyFill="1" applyBorder="1" applyAlignment="1">
      <alignment horizontal="center" vertical="center"/>
    </xf>
    <xf numFmtId="0" fontId="32" fillId="18" borderId="25" xfId="0" applyFont="1" applyFill="1" applyBorder="1" applyAlignment="1">
      <alignment horizontal="center" vertical="center"/>
    </xf>
    <xf numFmtId="0" fontId="32" fillId="18" borderId="26" xfId="0" applyFont="1" applyFill="1" applyBorder="1" applyAlignment="1">
      <alignment horizontal="center" vertical="center"/>
    </xf>
    <xf numFmtId="0" fontId="8" fillId="0" borderId="24" xfId="0" applyFont="1" applyBorder="1" applyAlignment="1">
      <alignment horizontal="center"/>
    </xf>
    <xf numFmtId="0" fontId="8" fillId="0" borderId="25" xfId="0" applyFont="1" applyBorder="1" applyAlignment="1">
      <alignment horizontal="center"/>
    </xf>
    <xf numFmtId="0" fontId="8" fillId="0" borderId="26" xfId="0" applyFont="1" applyBorder="1" applyAlignment="1">
      <alignment horizontal="center"/>
    </xf>
    <xf numFmtId="0" fontId="143" fillId="2" borderId="24" xfId="0" applyFont="1" applyFill="1" applyBorder="1" applyAlignment="1">
      <alignment horizontal="center" vertical="center" wrapText="1"/>
    </xf>
    <xf numFmtId="0" fontId="143" fillId="2" borderId="25" xfId="0" applyFont="1" applyFill="1" applyBorder="1" applyAlignment="1">
      <alignment horizontal="center" vertical="center" wrapText="1"/>
    </xf>
    <xf numFmtId="0" fontId="80" fillId="18" borderId="24" xfId="0" applyFont="1" applyFill="1" applyBorder="1" applyAlignment="1">
      <alignment horizontal="center" vertical="center" wrapText="1"/>
    </xf>
    <xf numFmtId="0" fontId="80" fillId="18" borderId="25" xfId="0" applyFont="1" applyFill="1" applyBorder="1" applyAlignment="1">
      <alignment horizontal="center" vertical="center" wrapText="1"/>
    </xf>
    <xf numFmtId="0" fontId="80" fillId="18" borderId="73" xfId="0" applyFont="1" applyFill="1" applyBorder="1" applyAlignment="1">
      <alignment horizontal="center" vertical="center" wrapText="1"/>
    </xf>
    <xf numFmtId="0" fontId="80" fillId="18" borderId="32" xfId="0" applyFont="1" applyFill="1" applyBorder="1" applyAlignment="1">
      <alignment horizontal="center" vertical="center" wrapText="1"/>
    </xf>
    <xf numFmtId="0" fontId="30" fillId="18" borderId="31" xfId="0" applyFont="1" applyFill="1" applyBorder="1" applyAlignment="1">
      <alignment horizontal="center"/>
    </xf>
    <xf numFmtId="0" fontId="134" fillId="30" borderId="28" xfId="0" applyFont="1" applyFill="1" applyBorder="1" applyAlignment="1">
      <alignment horizontal="center" vertical="center" wrapText="1"/>
    </xf>
    <xf numFmtId="0" fontId="134" fillId="30" borderId="99" xfId="0" applyFont="1" applyFill="1" applyBorder="1" applyAlignment="1">
      <alignment horizontal="center" vertical="center" wrapText="1"/>
    </xf>
    <xf numFmtId="0" fontId="134" fillId="30" borderId="29" xfId="0" applyFont="1" applyFill="1" applyBorder="1" applyAlignment="1">
      <alignment horizontal="center" vertical="center" wrapText="1"/>
    </xf>
    <xf numFmtId="0" fontId="134" fillId="30" borderId="100" xfId="0" applyFont="1" applyFill="1" applyBorder="1" applyAlignment="1">
      <alignment horizontal="center" vertical="center" wrapText="1"/>
    </xf>
    <xf numFmtId="0" fontId="134" fillId="30" borderId="48" xfId="0" applyFont="1" applyFill="1" applyBorder="1" applyAlignment="1">
      <alignment horizontal="center" vertical="center" wrapText="1"/>
    </xf>
    <xf numFmtId="0" fontId="134" fillId="30" borderId="82" xfId="0" applyFont="1" applyFill="1" applyBorder="1" applyAlignment="1">
      <alignment horizontal="center" vertical="center" wrapText="1"/>
    </xf>
    <xf numFmtId="0" fontId="134" fillId="30" borderId="49" xfId="0" applyFont="1" applyFill="1" applyBorder="1" applyAlignment="1">
      <alignment horizontal="center" vertical="center" wrapText="1"/>
    </xf>
    <xf numFmtId="0" fontId="32" fillId="18" borderId="27" xfId="0" applyFont="1" applyFill="1" applyBorder="1" applyAlignment="1">
      <alignment horizontal="center"/>
    </xf>
    <xf numFmtId="0" fontId="32" fillId="18" borderId="28" xfId="0" applyFont="1" applyFill="1" applyBorder="1" applyAlignment="1">
      <alignment horizontal="center"/>
    </xf>
    <xf numFmtId="0" fontId="32" fillId="18" borderId="29" xfId="0" applyFont="1" applyFill="1" applyBorder="1" applyAlignment="1">
      <alignment horizontal="center"/>
    </xf>
    <xf numFmtId="0" fontId="0" fillId="21" borderId="24" xfId="0" applyFill="1" applyBorder="1" applyAlignment="1">
      <alignment horizontal="center"/>
    </xf>
    <xf numFmtId="0" fontId="0" fillId="21" borderId="25" xfId="0" applyFill="1" applyBorder="1" applyAlignment="1">
      <alignment horizontal="center"/>
    </xf>
    <xf numFmtId="0" fontId="0" fillId="21" borderId="26" xfId="0" applyFill="1" applyBorder="1" applyAlignment="1">
      <alignment horizontal="center"/>
    </xf>
    <xf numFmtId="0" fontId="32" fillId="18" borderId="24" xfId="0" applyFont="1" applyFill="1" applyBorder="1" applyAlignment="1">
      <alignment horizontal="center"/>
    </xf>
    <xf numFmtId="0" fontId="32" fillId="18" borderId="25" xfId="0" applyFont="1" applyFill="1" applyBorder="1" applyAlignment="1">
      <alignment horizontal="center"/>
    </xf>
    <xf numFmtId="0" fontId="32" fillId="18" borderId="26" xfId="0" applyFont="1" applyFill="1" applyBorder="1" applyAlignment="1">
      <alignment horizontal="center"/>
    </xf>
    <xf numFmtId="0" fontId="83" fillId="35" borderId="33" xfId="0" applyFont="1" applyFill="1" applyBorder="1" applyAlignment="1">
      <alignment horizontal="center" vertical="center" wrapText="1"/>
    </xf>
    <xf numFmtId="0" fontId="83" fillId="35" borderId="0" xfId="0" applyFont="1" applyFill="1" applyAlignment="1">
      <alignment horizontal="center" vertical="center" wrapText="1"/>
    </xf>
    <xf numFmtId="0" fontId="40" fillId="17" borderId="3" xfId="0" applyFont="1" applyFill="1" applyBorder="1" applyAlignment="1">
      <alignment horizontal="center" vertical="center" wrapText="1"/>
    </xf>
    <xf numFmtId="0" fontId="40" fillId="17" borderId="4" xfId="0" applyFont="1" applyFill="1" applyBorder="1" applyAlignment="1">
      <alignment horizontal="center" vertical="center" wrapText="1"/>
    </xf>
    <xf numFmtId="0" fontId="40" fillId="17" borderId="5" xfId="0" applyFont="1" applyFill="1" applyBorder="1" applyAlignment="1">
      <alignment horizontal="center" vertical="center" wrapText="1"/>
    </xf>
    <xf numFmtId="0" fontId="77" fillId="20" borderId="1" xfId="0" applyFont="1" applyFill="1" applyBorder="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48" fillId="28" borderId="0" xfId="9" applyFont="1" applyFill="1" applyAlignment="1">
      <alignment horizontal="left" vertical="top" wrapText="1"/>
    </xf>
    <xf numFmtId="0" fontId="148" fillId="28" borderId="6" xfId="9" applyFont="1" applyFill="1" applyBorder="1" applyAlignment="1">
      <alignment horizontal="left" vertical="top" wrapText="1"/>
    </xf>
    <xf numFmtId="2" fontId="148" fillId="7" borderId="1" xfId="9" applyNumberFormat="1" applyFont="1" applyFill="1" applyBorder="1" applyAlignment="1">
      <alignment horizontal="center" vertical="center"/>
    </xf>
    <xf numFmtId="0" fontId="147" fillId="28" borderId="31" xfId="9" applyFill="1" applyBorder="1" applyAlignment="1">
      <alignment horizontal="center"/>
    </xf>
    <xf numFmtId="0" fontId="147" fillId="28" borderId="0" xfId="9" applyFill="1" applyAlignment="1">
      <alignment horizontal="left" vertical="top" wrapText="1"/>
    </xf>
    <xf numFmtId="0" fontId="147" fillId="28" borderId="0" xfId="9" applyFill="1" applyAlignment="1">
      <alignment horizontal="left" vertical="top"/>
    </xf>
    <xf numFmtId="0" fontId="148" fillId="28" borderId="1" xfId="9" applyFont="1" applyFill="1" applyBorder="1" applyAlignment="1">
      <alignment horizontal="center" vertical="center"/>
    </xf>
    <xf numFmtId="0" fontId="148" fillId="54" borderId="1" xfId="9" applyFont="1" applyFill="1" applyBorder="1" applyAlignment="1">
      <alignment horizontal="center" wrapText="1"/>
    </xf>
    <xf numFmtId="0" fontId="148" fillId="7" borderId="1" xfId="9" applyFont="1" applyFill="1" applyBorder="1" applyAlignment="1">
      <alignment horizontal="center" vertical="top" wrapText="1"/>
    </xf>
    <xf numFmtId="0" fontId="147" fillId="28" borderId="1" xfId="9" applyFill="1" applyBorder="1" applyAlignment="1">
      <alignment horizontal="center" vertical="top" wrapText="1"/>
    </xf>
  </cellXfs>
  <cellStyles count="12">
    <cellStyle name="1" xfId="5" xr:uid="{00000000-0005-0000-0000-000000000000}"/>
    <cellStyle name="Calculation" xfId="11" builtinId="22"/>
    <cellStyle name="Comma" xfId="2" builtinId="3"/>
    <cellStyle name="Currency" xfId="3" builtinId="4"/>
    <cellStyle name="Good" xfId="10" builtinId="26"/>
    <cellStyle name="Hyperlink" xfId="4" builtinId="8"/>
    <cellStyle name="Hyperlink 2" xfId="6" xr:uid="{00000000-0005-0000-0000-000004000000}"/>
    <cellStyle name="Hyperlink 3" xfId="7" xr:uid="{00000000-0005-0000-0000-000005000000}"/>
    <cellStyle name="Input" xfId="8" builtinId="20"/>
    <cellStyle name="Normal" xfId="0" builtinId="0"/>
    <cellStyle name="Normal 36" xfId="9" xr:uid="{69A8025F-E622-4FF3-A79A-4135BC991560}"/>
    <cellStyle name="Percent" xfId="1" builtinId="5"/>
  </cellStyles>
  <dxfs count="31">
    <dxf>
      <alignment wrapText="1"/>
    </dxf>
    <dxf>
      <alignment wrapText="1"/>
    </dxf>
    <dxf>
      <alignment wrapText="1"/>
    </dxf>
    <dxf>
      <alignment wrapText="1"/>
    </dxf>
    <dxf>
      <alignment wrapText="1"/>
    </dxf>
    <dxf>
      <alignment wrapText="1"/>
    </dxf>
    <dxf>
      <fill>
        <patternFill patternType="solid">
          <bgColor rgb="FFFFFF00"/>
        </patternFill>
      </fill>
    </dxf>
    <dxf>
      <fill>
        <patternFill patternType="solid">
          <bgColor rgb="FFFFFF00"/>
        </patternFill>
      </fill>
    </dxf>
    <dxf>
      <fill>
        <patternFill patternType="solid">
          <bgColor rgb="FFFFFF00"/>
        </patternFill>
      </fill>
    </dxf>
    <dxf>
      <alignment wrapText="1"/>
    </dxf>
    <dxf>
      <alignment wrapText="1"/>
    </dxf>
    <dxf>
      <alignment wrapText="1"/>
    </dxf>
    <dxf>
      <alignment wrapText="1"/>
    </dxf>
    <dxf>
      <alignment wrapText="1"/>
    </dxf>
    <dxf>
      <alignment wrapText="1"/>
    </dxf>
    <dxf>
      <fill>
        <patternFill patternType="solid">
          <bgColor rgb="FFFFFF00"/>
        </patternFill>
      </fill>
    </dxf>
    <dxf>
      <fill>
        <patternFill patternType="solid">
          <bgColor rgb="FFFFFF00"/>
        </patternFill>
      </fill>
    </dxf>
    <dxf>
      <fill>
        <patternFill patternType="solid">
          <bgColor rgb="FFFFFF00"/>
        </patternFill>
      </fill>
    </dxf>
    <dxf>
      <alignment wrapText="1"/>
    </dxf>
    <dxf>
      <alignment wrapText="1"/>
    </dxf>
    <dxf>
      <alignment wrapText="1"/>
    </dxf>
    <dxf>
      <alignment wrapText="1"/>
    </dxf>
    <dxf>
      <alignment wrapText="1"/>
    </dxf>
    <dxf>
      <alignment wrapText="1"/>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7" tint="0.59999389629810485"/>
        </patternFill>
      </fill>
    </dxf>
    <dxf>
      <fill>
        <gradientFill degree="90">
          <stop position="0">
            <color theme="0"/>
          </stop>
          <stop position="1">
            <color rgb="FF00B050"/>
          </stop>
        </gradientFill>
      </fill>
    </dxf>
    <dxf>
      <fill>
        <gradientFill degree="90">
          <stop position="0">
            <color theme="0"/>
          </stop>
          <stop position="1">
            <color rgb="FFFFFF00"/>
          </stop>
        </gradientFill>
      </fill>
    </dxf>
    <dxf>
      <fill>
        <gradientFill degree="90">
          <stop position="0">
            <color theme="0"/>
          </stop>
          <stop position="1">
            <color rgb="FFC54D47"/>
          </stop>
        </gradientFill>
      </fill>
    </dxf>
  </dxfs>
  <tableStyles count="0" defaultTableStyle="TableStyleMedium2" defaultPivotStyle="PivotStyleLight16"/>
  <colors>
    <mruColors>
      <color rgb="FF00B050"/>
      <color rgb="FF70AD47"/>
      <color rgb="FFF2F2F2"/>
      <color rgb="FFC54D47"/>
      <color rgb="FFBFBFBF"/>
      <color rgb="FFDCE6F1"/>
      <color rgb="FFFFFF66"/>
      <color rgb="FFFFFF99"/>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112" Type="http://schemas.openxmlformats.org/officeDocument/2006/relationships/externalLink" Target="externalLinks/externalLink37.xml"/><Relationship Id="rId133" Type="http://schemas.openxmlformats.org/officeDocument/2006/relationships/externalLink" Target="externalLinks/externalLink58.xml"/><Relationship Id="rId138" Type="http://schemas.openxmlformats.org/officeDocument/2006/relationships/theme" Target="theme/theme1.xml"/><Relationship Id="rId154" Type="http://schemas.microsoft.com/office/2017/10/relationships/person" Target="persons/person.xml"/><Relationship Id="rId16" Type="http://schemas.openxmlformats.org/officeDocument/2006/relationships/worksheet" Target="worksheets/sheet16.xml"/><Relationship Id="rId107" Type="http://schemas.openxmlformats.org/officeDocument/2006/relationships/externalLink" Target="externalLinks/externalLink3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4.xml"/><Relationship Id="rId102" Type="http://schemas.openxmlformats.org/officeDocument/2006/relationships/externalLink" Target="externalLinks/externalLink27.xml"/><Relationship Id="rId123" Type="http://schemas.openxmlformats.org/officeDocument/2006/relationships/externalLink" Target="externalLinks/externalLink48.xml"/><Relationship Id="rId128" Type="http://schemas.openxmlformats.org/officeDocument/2006/relationships/externalLink" Target="externalLinks/externalLink53.xml"/><Relationship Id="rId144" Type="http://schemas.openxmlformats.org/officeDocument/2006/relationships/calcChain" Target="calcChain.xml"/><Relationship Id="rId149" Type="http://schemas.openxmlformats.org/officeDocument/2006/relationships/customXml" Target="../customXml/item5.xml"/><Relationship Id="rId5" Type="http://schemas.openxmlformats.org/officeDocument/2006/relationships/worksheet" Target="worksheets/sheet5.xml"/><Relationship Id="rId90" Type="http://schemas.openxmlformats.org/officeDocument/2006/relationships/externalLink" Target="externalLinks/externalLink15.xml"/><Relationship Id="rId95" Type="http://schemas.openxmlformats.org/officeDocument/2006/relationships/externalLink" Target="externalLinks/externalLink2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38.xml"/><Relationship Id="rId118" Type="http://schemas.openxmlformats.org/officeDocument/2006/relationships/externalLink" Target="externalLinks/externalLink43.xml"/><Relationship Id="rId134" Type="http://schemas.openxmlformats.org/officeDocument/2006/relationships/pivotCacheDefinition" Target="pivotCache/pivotCacheDefinition1.xml"/><Relationship Id="rId139" Type="http://schemas.openxmlformats.org/officeDocument/2006/relationships/connections" Target="connections.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150" Type="http://schemas.openxmlformats.org/officeDocument/2006/relationships/customXml" Target="../customXml/item6.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28.xml"/><Relationship Id="rId108" Type="http://schemas.openxmlformats.org/officeDocument/2006/relationships/externalLink" Target="externalLinks/externalLink33.xml"/><Relationship Id="rId116" Type="http://schemas.openxmlformats.org/officeDocument/2006/relationships/externalLink" Target="externalLinks/externalLink41.xml"/><Relationship Id="rId124" Type="http://schemas.openxmlformats.org/officeDocument/2006/relationships/externalLink" Target="externalLinks/externalLink49.xml"/><Relationship Id="rId129" Type="http://schemas.openxmlformats.org/officeDocument/2006/relationships/externalLink" Target="externalLinks/externalLink54.xml"/><Relationship Id="rId137" Type="http://schemas.openxmlformats.org/officeDocument/2006/relationships/pivotCacheDefinition" Target="pivotCache/pivotCacheDefinition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externalLink" Target="externalLinks/externalLink16.xml"/><Relationship Id="rId96" Type="http://schemas.openxmlformats.org/officeDocument/2006/relationships/externalLink" Target="externalLinks/externalLink21.xml"/><Relationship Id="rId111" Type="http://schemas.openxmlformats.org/officeDocument/2006/relationships/externalLink" Target="externalLinks/externalLink36.xml"/><Relationship Id="rId132" Type="http://schemas.openxmlformats.org/officeDocument/2006/relationships/externalLink" Target="externalLinks/externalLink57.xml"/><Relationship Id="rId140" Type="http://schemas.openxmlformats.org/officeDocument/2006/relationships/styles" Target="styles.xml"/><Relationship Id="rId145" Type="http://schemas.openxmlformats.org/officeDocument/2006/relationships/customXml" Target="../customXml/item1.xml"/><Relationship Id="rId153"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31.xml"/><Relationship Id="rId114" Type="http://schemas.openxmlformats.org/officeDocument/2006/relationships/externalLink" Target="externalLinks/externalLink39.xml"/><Relationship Id="rId119" Type="http://schemas.openxmlformats.org/officeDocument/2006/relationships/externalLink" Target="externalLinks/externalLink44.xml"/><Relationship Id="rId127" Type="http://schemas.openxmlformats.org/officeDocument/2006/relationships/externalLink" Target="externalLinks/externalLink5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externalLink" Target="externalLinks/externalLink19.xml"/><Relationship Id="rId99" Type="http://schemas.openxmlformats.org/officeDocument/2006/relationships/externalLink" Target="externalLinks/externalLink24.xml"/><Relationship Id="rId101" Type="http://schemas.openxmlformats.org/officeDocument/2006/relationships/externalLink" Target="externalLinks/externalLink26.xml"/><Relationship Id="rId122" Type="http://schemas.openxmlformats.org/officeDocument/2006/relationships/externalLink" Target="externalLinks/externalLink47.xml"/><Relationship Id="rId130" Type="http://schemas.openxmlformats.org/officeDocument/2006/relationships/externalLink" Target="externalLinks/externalLink55.xml"/><Relationship Id="rId135" Type="http://schemas.openxmlformats.org/officeDocument/2006/relationships/pivotCacheDefinition" Target="pivotCache/pivotCacheDefinition2.xml"/><Relationship Id="rId143" Type="http://schemas.openxmlformats.org/officeDocument/2006/relationships/powerPivotData" Target="model/item.data"/><Relationship Id="rId148" Type="http://schemas.openxmlformats.org/officeDocument/2006/relationships/customXml" Target="../customXml/item4.xml"/><Relationship Id="rId151"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97" Type="http://schemas.openxmlformats.org/officeDocument/2006/relationships/externalLink" Target="externalLinks/externalLink22.xml"/><Relationship Id="rId104" Type="http://schemas.openxmlformats.org/officeDocument/2006/relationships/externalLink" Target="externalLinks/externalLink29.xml"/><Relationship Id="rId120" Type="http://schemas.openxmlformats.org/officeDocument/2006/relationships/externalLink" Target="externalLinks/externalLink45.xml"/><Relationship Id="rId125" Type="http://schemas.openxmlformats.org/officeDocument/2006/relationships/externalLink" Target="externalLinks/externalLink50.xml"/><Relationship Id="rId141" Type="http://schemas.openxmlformats.org/officeDocument/2006/relationships/sharedStrings" Target="sharedStrings.xml"/><Relationship Id="rId14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2.xml"/><Relationship Id="rId110" Type="http://schemas.openxmlformats.org/officeDocument/2006/relationships/externalLink" Target="externalLinks/externalLink35.xml"/><Relationship Id="rId115" Type="http://schemas.openxmlformats.org/officeDocument/2006/relationships/externalLink" Target="externalLinks/externalLink40.xml"/><Relationship Id="rId131" Type="http://schemas.openxmlformats.org/officeDocument/2006/relationships/externalLink" Target="externalLinks/externalLink56.xml"/><Relationship Id="rId136" Type="http://schemas.openxmlformats.org/officeDocument/2006/relationships/pivotCacheDefinition" Target="pivotCache/pivotCacheDefinition3.xml"/><Relationship Id="rId61" Type="http://schemas.openxmlformats.org/officeDocument/2006/relationships/worksheet" Target="worksheets/sheet61.xml"/><Relationship Id="rId82" Type="http://schemas.openxmlformats.org/officeDocument/2006/relationships/externalLink" Target="externalLinks/externalLink7.xml"/><Relationship Id="rId152" Type="http://schemas.openxmlformats.org/officeDocument/2006/relationships/customXml" Target="../customXml/item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xml"/><Relationship Id="rId100" Type="http://schemas.openxmlformats.org/officeDocument/2006/relationships/externalLink" Target="externalLinks/externalLink25.xml"/><Relationship Id="rId105" Type="http://schemas.openxmlformats.org/officeDocument/2006/relationships/externalLink" Target="externalLinks/externalLink30.xml"/><Relationship Id="rId126" Type="http://schemas.openxmlformats.org/officeDocument/2006/relationships/externalLink" Target="externalLinks/externalLink51.xml"/><Relationship Id="rId14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8.xml"/><Relationship Id="rId98" Type="http://schemas.openxmlformats.org/officeDocument/2006/relationships/externalLink" Target="externalLinks/externalLink23.xml"/><Relationship Id="rId121" Type="http://schemas.openxmlformats.org/officeDocument/2006/relationships/externalLink" Target="externalLinks/externalLink46.xml"/><Relationship Id="rId142" Type="http://schemas.openxmlformats.org/officeDocument/2006/relationships/sheetMetadata" Target="metadata.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47625</xdr:colOff>
      <xdr:row>11</xdr:row>
      <xdr:rowOff>104775</xdr:rowOff>
    </xdr:from>
    <xdr:to>
      <xdr:col>2</xdr:col>
      <xdr:colOff>752475</xdr:colOff>
      <xdr:row>13</xdr:row>
      <xdr:rowOff>28575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181350"/>
          <a:ext cx="3752850"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17</xdr:row>
      <xdr:rowOff>0</xdr:rowOff>
    </xdr:from>
    <xdr:to>
      <xdr:col>0</xdr:col>
      <xdr:colOff>1781175</xdr:colOff>
      <xdr:row>17</xdr:row>
      <xdr:rowOff>152400</xdr:rowOff>
    </xdr:to>
    <xdr:pic>
      <xdr:nvPicPr>
        <xdr:cNvPr id="2" name="Picture 1">
          <a:extLst>
            <a:ext uri="{FF2B5EF4-FFF2-40B4-BE49-F238E27FC236}">
              <a16:creationId xmlns:a16="http://schemas.microsoft.com/office/drawing/2014/main" id="{C4A344B5-899A-4596-937A-2C24F197AB2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3467100"/>
          <a:ext cx="13716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107</xdr:row>
      <xdr:rowOff>19050</xdr:rowOff>
    </xdr:from>
    <xdr:to>
      <xdr:col>5</xdr:col>
      <xdr:colOff>115033</xdr:colOff>
      <xdr:row>108</xdr:row>
      <xdr:rowOff>144991</xdr:rowOff>
    </xdr:to>
    <xdr:pic>
      <xdr:nvPicPr>
        <xdr:cNvPr id="4" name="Picture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3095625" y="21650325"/>
          <a:ext cx="4496533" cy="323850"/>
        </a:xfrm>
        <a:prstGeom prst="rect">
          <a:avLst/>
        </a:prstGeom>
      </xdr:spPr>
    </xdr:pic>
    <xdr:clientData/>
  </xdr:twoCellAnchor>
  <xdr:twoCellAnchor editAs="oneCell">
    <xdr:from>
      <xdr:col>1</xdr:col>
      <xdr:colOff>66676</xdr:colOff>
      <xdr:row>137</xdr:row>
      <xdr:rowOff>38101</xdr:rowOff>
    </xdr:from>
    <xdr:to>
      <xdr:col>6</xdr:col>
      <xdr:colOff>7408</xdr:colOff>
      <xdr:row>138</xdr:row>
      <xdr:rowOff>170920</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2"/>
        <a:stretch>
          <a:fillRect/>
        </a:stretch>
      </xdr:blipFill>
      <xdr:spPr>
        <a:xfrm>
          <a:off x="3114676" y="27632026"/>
          <a:ext cx="5172074" cy="333902"/>
        </a:xfrm>
        <a:prstGeom prst="rect">
          <a:avLst/>
        </a:prstGeom>
      </xdr:spPr>
    </xdr:pic>
    <xdr:clientData/>
  </xdr:twoCellAnchor>
  <xdr:oneCellAnchor>
    <xdr:from>
      <xdr:col>1</xdr:col>
      <xdr:colOff>66676</xdr:colOff>
      <xdr:row>163</xdr:row>
      <xdr:rowOff>38101</xdr:rowOff>
    </xdr:from>
    <xdr:ext cx="5172074" cy="333902"/>
    <xdr:pic>
      <xdr:nvPicPr>
        <xdr:cNvPr id="6" name="Picture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2"/>
        <a:stretch>
          <a:fillRect/>
        </a:stretch>
      </xdr:blipFill>
      <xdr:spPr>
        <a:xfrm>
          <a:off x="3114676" y="32794576"/>
          <a:ext cx="5172074" cy="333902"/>
        </a:xfrm>
        <a:prstGeom prst="rect">
          <a:avLst/>
        </a:prstGeom>
      </xdr:spPr>
    </xdr:pic>
    <xdr:clientData/>
  </xdr:oneCellAnchor>
  <xdr:oneCellAnchor>
    <xdr:from>
      <xdr:col>1</xdr:col>
      <xdr:colOff>19050</xdr:colOff>
      <xdr:row>209</xdr:row>
      <xdr:rowOff>19050</xdr:rowOff>
    </xdr:from>
    <xdr:ext cx="4496533" cy="323850"/>
    <xdr:pic>
      <xdr:nvPicPr>
        <xdr:cNvPr id="7" name="Picture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1"/>
        <a:stretch>
          <a:fillRect/>
        </a:stretch>
      </xdr:blipFill>
      <xdr:spPr>
        <a:xfrm>
          <a:off x="3067050" y="42024300"/>
          <a:ext cx="4496533" cy="323850"/>
        </a:xfrm>
        <a:prstGeom prst="rect">
          <a:avLst/>
        </a:prstGeom>
      </xdr:spPr>
    </xdr:pic>
    <xdr:clientData/>
  </xdr:oneCellAnchor>
  <xdr:oneCellAnchor>
    <xdr:from>
      <xdr:col>1</xdr:col>
      <xdr:colOff>66676</xdr:colOff>
      <xdr:row>231</xdr:row>
      <xdr:rowOff>38101</xdr:rowOff>
    </xdr:from>
    <xdr:ext cx="5172074" cy="333902"/>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2"/>
        <a:stretch>
          <a:fillRect/>
        </a:stretch>
      </xdr:blipFill>
      <xdr:spPr>
        <a:xfrm>
          <a:off x="3114676" y="47282101"/>
          <a:ext cx="5172074" cy="333902"/>
        </a:xfrm>
        <a:prstGeom prst="rect">
          <a:avLst/>
        </a:prstGeom>
      </xdr:spPr>
    </xdr:pic>
    <xdr:clientData/>
  </xdr:oneCellAnchor>
  <xdr:oneCellAnchor>
    <xdr:from>
      <xdr:col>1</xdr:col>
      <xdr:colOff>66676</xdr:colOff>
      <xdr:row>254</xdr:row>
      <xdr:rowOff>38101</xdr:rowOff>
    </xdr:from>
    <xdr:ext cx="5172074" cy="333902"/>
    <xdr:pic>
      <xdr:nvPicPr>
        <xdr:cNvPr id="9" name="Picture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2"/>
        <a:stretch>
          <a:fillRect/>
        </a:stretch>
      </xdr:blipFill>
      <xdr:spPr>
        <a:xfrm>
          <a:off x="3114676" y="52539901"/>
          <a:ext cx="5172074" cy="333902"/>
        </a:xfrm>
        <a:prstGeom prst="rect">
          <a:avLst/>
        </a:prstGeom>
      </xdr:spPr>
    </xdr:pic>
    <xdr:clientData/>
  </xdr:oneCellAnchor>
  <xdr:twoCellAnchor editAs="oneCell">
    <xdr:from>
      <xdr:col>1</xdr:col>
      <xdr:colOff>95251</xdr:colOff>
      <xdr:row>109</xdr:row>
      <xdr:rowOff>57150</xdr:rowOff>
    </xdr:from>
    <xdr:to>
      <xdr:col>5</xdr:col>
      <xdr:colOff>158751</xdr:colOff>
      <xdr:row>110</xdr:row>
      <xdr:rowOff>50707</xdr:rowOff>
    </xdr:to>
    <xdr:pic>
      <xdr:nvPicPr>
        <xdr:cNvPr id="10" name="Picture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3"/>
        <a:stretch>
          <a:fillRect/>
        </a:stretch>
      </xdr:blipFill>
      <xdr:spPr>
        <a:xfrm>
          <a:off x="3143251" y="22078950"/>
          <a:ext cx="4495800" cy="197815"/>
        </a:xfrm>
        <a:prstGeom prst="rect">
          <a:avLst/>
        </a:prstGeom>
      </xdr:spPr>
    </xdr:pic>
    <xdr:clientData/>
  </xdr:twoCellAnchor>
  <xdr:twoCellAnchor editAs="oneCell">
    <xdr:from>
      <xdr:col>0</xdr:col>
      <xdr:colOff>3047999</xdr:colOff>
      <xdr:row>139</xdr:row>
      <xdr:rowOff>0</xdr:rowOff>
    </xdr:from>
    <xdr:to>
      <xdr:col>7</xdr:col>
      <xdr:colOff>19529</xdr:colOff>
      <xdr:row>140</xdr:row>
      <xdr:rowOff>68791</xdr:rowOff>
    </xdr:to>
    <xdr:pic>
      <xdr:nvPicPr>
        <xdr:cNvPr id="11" name="Picture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4"/>
        <a:stretch>
          <a:fillRect/>
        </a:stretch>
      </xdr:blipFill>
      <xdr:spPr>
        <a:xfrm>
          <a:off x="3047999" y="27984450"/>
          <a:ext cx="6768673" cy="266700"/>
        </a:xfrm>
        <a:prstGeom prst="rect">
          <a:avLst/>
        </a:prstGeom>
      </xdr:spPr>
    </xdr:pic>
    <xdr:clientData/>
  </xdr:twoCellAnchor>
  <xdr:twoCellAnchor editAs="oneCell">
    <xdr:from>
      <xdr:col>1</xdr:col>
      <xdr:colOff>0</xdr:colOff>
      <xdr:row>165</xdr:row>
      <xdr:rowOff>0</xdr:rowOff>
    </xdr:from>
    <xdr:to>
      <xdr:col>7</xdr:col>
      <xdr:colOff>820839</xdr:colOff>
      <xdr:row>166</xdr:row>
      <xdr:rowOff>68791</xdr:rowOff>
    </xdr:to>
    <xdr:pic>
      <xdr:nvPicPr>
        <xdr:cNvPr id="12" name="Picture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4"/>
        <a:stretch>
          <a:fillRect/>
        </a:stretch>
      </xdr:blipFill>
      <xdr:spPr>
        <a:xfrm>
          <a:off x="3048000" y="33147000"/>
          <a:ext cx="6768673" cy="266700"/>
        </a:xfrm>
        <a:prstGeom prst="rect">
          <a:avLst/>
        </a:prstGeom>
      </xdr:spPr>
    </xdr:pic>
    <xdr:clientData/>
  </xdr:twoCellAnchor>
  <xdr:twoCellAnchor editAs="oneCell">
    <xdr:from>
      <xdr:col>1</xdr:col>
      <xdr:colOff>47625</xdr:colOff>
      <xdr:row>211</xdr:row>
      <xdr:rowOff>47625</xdr:rowOff>
    </xdr:from>
    <xdr:to>
      <xdr:col>5</xdr:col>
      <xdr:colOff>114300</xdr:colOff>
      <xdr:row>212</xdr:row>
      <xdr:rowOff>47531</xdr:rowOff>
    </xdr:to>
    <xdr:pic>
      <xdr:nvPicPr>
        <xdr:cNvPr id="13" name="Picture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3"/>
        <a:stretch>
          <a:fillRect/>
        </a:stretch>
      </xdr:blipFill>
      <xdr:spPr>
        <a:xfrm>
          <a:off x="3095625" y="42443400"/>
          <a:ext cx="4495800" cy="197815"/>
        </a:xfrm>
        <a:prstGeom prst="rect">
          <a:avLst/>
        </a:prstGeom>
      </xdr:spPr>
    </xdr:pic>
    <xdr:clientData/>
  </xdr:twoCellAnchor>
  <xdr:twoCellAnchor editAs="oneCell">
    <xdr:from>
      <xdr:col>0</xdr:col>
      <xdr:colOff>3799416</xdr:colOff>
      <xdr:row>232</xdr:row>
      <xdr:rowOff>158750</xdr:rowOff>
    </xdr:from>
    <xdr:to>
      <xdr:col>7</xdr:col>
      <xdr:colOff>767922</xdr:colOff>
      <xdr:row>234</xdr:row>
      <xdr:rowOff>21167</xdr:rowOff>
    </xdr:to>
    <xdr:pic>
      <xdr:nvPicPr>
        <xdr:cNvPr id="14" name="Picture 13">
          <a:extLst>
            <a:ext uri="{FF2B5EF4-FFF2-40B4-BE49-F238E27FC236}">
              <a16:creationId xmlns:a16="http://schemas.microsoft.com/office/drawing/2014/main" id="{00000000-0008-0000-3100-00000E000000}"/>
            </a:ext>
          </a:extLst>
        </xdr:cNvPr>
        <xdr:cNvPicPr>
          <a:picLocks noChangeAspect="1"/>
        </xdr:cNvPicPr>
      </xdr:nvPicPr>
      <xdr:blipFill>
        <a:blip xmlns:r="http://schemas.openxmlformats.org/officeDocument/2006/relationships" r:embed="rId4"/>
        <a:stretch>
          <a:fillRect/>
        </a:stretch>
      </xdr:blipFill>
      <xdr:spPr>
        <a:xfrm>
          <a:off x="3799416" y="48873833"/>
          <a:ext cx="6779256" cy="264584"/>
        </a:xfrm>
        <a:prstGeom prst="rect">
          <a:avLst/>
        </a:prstGeom>
      </xdr:spPr>
    </xdr:pic>
    <xdr:clientData/>
  </xdr:twoCellAnchor>
  <xdr:twoCellAnchor editAs="oneCell">
    <xdr:from>
      <xdr:col>1</xdr:col>
      <xdr:colOff>0</xdr:colOff>
      <xdr:row>256</xdr:row>
      <xdr:rowOff>0</xdr:rowOff>
    </xdr:from>
    <xdr:to>
      <xdr:col>7</xdr:col>
      <xdr:colOff>820839</xdr:colOff>
      <xdr:row>257</xdr:row>
      <xdr:rowOff>68791</xdr:rowOff>
    </xdr:to>
    <xdr:pic>
      <xdr:nvPicPr>
        <xdr:cNvPr id="15" name="Picture 14">
          <a:extLst>
            <a:ext uri="{FF2B5EF4-FFF2-40B4-BE49-F238E27FC236}">
              <a16:creationId xmlns:a16="http://schemas.microsoft.com/office/drawing/2014/main" id="{00000000-0008-0000-3100-00000F000000}"/>
            </a:ext>
          </a:extLst>
        </xdr:cNvPr>
        <xdr:cNvPicPr>
          <a:picLocks noChangeAspect="1"/>
        </xdr:cNvPicPr>
      </xdr:nvPicPr>
      <xdr:blipFill>
        <a:blip xmlns:r="http://schemas.openxmlformats.org/officeDocument/2006/relationships" r:embed="rId4"/>
        <a:stretch>
          <a:fillRect/>
        </a:stretch>
      </xdr:blipFill>
      <xdr:spPr>
        <a:xfrm>
          <a:off x="3048000" y="53482875"/>
          <a:ext cx="6768673" cy="266700"/>
        </a:xfrm>
        <a:prstGeom prst="rect">
          <a:avLst/>
        </a:prstGeom>
      </xdr:spPr>
    </xdr:pic>
    <xdr:clientData/>
  </xdr:twoCellAnchor>
  <xdr:twoCellAnchor editAs="oneCell">
    <xdr:from>
      <xdr:col>1</xdr:col>
      <xdr:colOff>38101</xdr:colOff>
      <xdr:row>276</xdr:row>
      <xdr:rowOff>19050</xdr:rowOff>
    </xdr:from>
    <xdr:to>
      <xdr:col>6</xdr:col>
      <xdr:colOff>26458</xdr:colOff>
      <xdr:row>276</xdr:row>
      <xdr:rowOff>334894</xdr:rowOff>
    </xdr:to>
    <xdr:pic>
      <xdr:nvPicPr>
        <xdr:cNvPr id="16" name="Picture 15">
          <a:extLst>
            <a:ext uri="{FF2B5EF4-FFF2-40B4-BE49-F238E27FC236}">
              <a16:creationId xmlns:a16="http://schemas.microsoft.com/office/drawing/2014/main" id="{00000000-0008-0000-3100-000010000000}"/>
            </a:ext>
          </a:extLst>
        </xdr:cNvPr>
        <xdr:cNvPicPr>
          <a:picLocks noChangeAspect="1"/>
        </xdr:cNvPicPr>
      </xdr:nvPicPr>
      <xdr:blipFill>
        <a:blip xmlns:r="http://schemas.openxmlformats.org/officeDocument/2006/relationships" r:embed="rId5"/>
        <a:stretch>
          <a:fillRect/>
        </a:stretch>
      </xdr:blipFill>
      <xdr:spPr>
        <a:xfrm>
          <a:off x="3086101" y="58740675"/>
          <a:ext cx="5219699" cy="319019"/>
        </a:xfrm>
        <a:prstGeom prst="rect">
          <a:avLst/>
        </a:prstGeom>
      </xdr:spPr>
    </xdr:pic>
    <xdr:clientData/>
  </xdr:twoCellAnchor>
  <xdr:twoCellAnchor editAs="oneCell">
    <xdr:from>
      <xdr:col>8</xdr:col>
      <xdr:colOff>42334</xdr:colOff>
      <xdr:row>38</xdr:row>
      <xdr:rowOff>116417</xdr:rowOff>
    </xdr:from>
    <xdr:to>
      <xdr:col>11</xdr:col>
      <xdr:colOff>2750609</xdr:colOff>
      <xdr:row>55</xdr:row>
      <xdr:rowOff>182034</xdr:rowOff>
    </xdr:to>
    <xdr:pic>
      <xdr:nvPicPr>
        <xdr:cNvPr id="17" name="Picture 16">
          <a:extLst>
            <a:ext uri="{FF2B5EF4-FFF2-40B4-BE49-F238E27FC236}">
              <a16:creationId xmlns:a16="http://schemas.microsoft.com/office/drawing/2014/main" id="{785F5816-3675-462F-8826-A0ED00EB2C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720917" y="7768167"/>
          <a:ext cx="8451850" cy="3847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19050</xdr:colOff>
      <xdr:row>20</xdr:row>
      <xdr:rowOff>95250</xdr:rowOff>
    </xdr:from>
    <xdr:to>
      <xdr:col>4</xdr:col>
      <xdr:colOff>307915</xdr:colOff>
      <xdr:row>25</xdr:row>
      <xdr:rowOff>28464</xdr:rowOff>
    </xdr:to>
    <xdr:pic>
      <xdr:nvPicPr>
        <xdr:cNvPr id="2" name="Picture 1">
          <a:extLst>
            <a:ext uri="{FF2B5EF4-FFF2-40B4-BE49-F238E27FC236}">
              <a16:creationId xmlns:a16="http://schemas.microsoft.com/office/drawing/2014/main" id="{D1581366-03CF-40A3-88B0-07734ABAB92A}"/>
            </a:ext>
          </a:extLst>
        </xdr:cNvPr>
        <xdr:cNvPicPr>
          <a:picLocks noChangeAspect="1"/>
        </xdr:cNvPicPr>
      </xdr:nvPicPr>
      <xdr:blipFill>
        <a:blip xmlns:r="http://schemas.openxmlformats.org/officeDocument/2006/relationships" r:embed="rId1"/>
        <a:stretch>
          <a:fillRect/>
        </a:stretch>
      </xdr:blipFill>
      <xdr:spPr>
        <a:xfrm>
          <a:off x="2076450" y="10239375"/>
          <a:ext cx="6337240" cy="885714"/>
        </a:xfrm>
        <a:prstGeom prst="rect">
          <a:avLst/>
        </a:prstGeom>
      </xdr:spPr>
    </xdr:pic>
    <xdr:clientData/>
  </xdr:twoCellAnchor>
  <xdr:twoCellAnchor editAs="oneCell">
    <xdr:from>
      <xdr:col>1</xdr:col>
      <xdr:colOff>0</xdr:colOff>
      <xdr:row>41</xdr:row>
      <xdr:rowOff>0</xdr:rowOff>
    </xdr:from>
    <xdr:to>
      <xdr:col>3</xdr:col>
      <xdr:colOff>477820</xdr:colOff>
      <xdr:row>43</xdr:row>
      <xdr:rowOff>152333</xdr:rowOff>
    </xdr:to>
    <xdr:pic>
      <xdr:nvPicPr>
        <xdr:cNvPr id="3" name="Picture 2">
          <a:extLst>
            <a:ext uri="{FF2B5EF4-FFF2-40B4-BE49-F238E27FC236}">
              <a16:creationId xmlns:a16="http://schemas.microsoft.com/office/drawing/2014/main" id="{25A56390-991D-4474-9A7E-C73B8009A89A}"/>
            </a:ext>
          </a:extLst>
        </xdr:cNvPr>
        <xdr:cNvPicPr>
          <a:picLocks noChangeAspect="1"/>
        </xdr:cNvPicPr>
      </xdr:nvPicPr>
      <xdr:blipFill>
        <a:blip xmlns:r="http://schemas.openxmlformats.org/officeDocument/2006/relationships" r:embed="rId2"/>
        <a:stretch>
          <a:fillRect/>
        </a:stretch>
      </xdr:blipFill>
      <xdr:spPr>
        <a:xfrm>
          <a:off x="2057400" y="14144625"/>
          <a:ext cx="5030770" cy="533333"/>
        </a:xfrm>
        <a:prstGeom prst="rect">
          <a:avLst/>
        </a:prstGeom>
      </xdr:spPr>
    </xdr:pic>
    <xdr:clientData/>
  </xdr:twoCellAnchor>
  <xdr:twoCellAnchor editAs="oneCell">
    <xdr:from>
      <xdr:col>1</xdr:col>
      <xdr:colOff>0</xdr:colOff>
      <xdr:row>53</xdr:row>
      <xdr:rowOff>0</xdr:rowOff>
    </xdr:from>
    <xdr:to>
      <xdr:col>3</xdr:col>
      <xdr:colOff>1152544</xdr:colOff>
      <xdr:row>58</xdr:row>
      <xdr:rowOff>171310</xdr:rowOff>
    </xdr:to>
    <xdr:pic>
      <xdr:nvPicPr>
        <xdr:cNvPr id="4" name="Picture 3">
          <a:extLst>
            <a:ext uri="{FF2B5EF4-FFF2-40B4-BE49-F238E27FC236}">
              <a16:creationId xmlns:a16="http://schemas.microsoft.com/office/drawing/2014/main" id="{B3130EE3-01B3-4D95-87A1-AC00043F1E63}"/>
            </a:ext>
          </a:extLst>
        </xdr:cNvPr>
        <xdr:cNvPicPr>
          <a:picLocks noChangeAspect="1"/>
        </xdr:cNvPicPr>
      </xdr:nvPicPr>
      <xdr:blipFill>
        <a:blip xmlns:r="http://schemas.openxmlformats.org/officeDocument/2006/relationships" r:embed="rId3"/>
        <a:stretch>
          <a:fillRect/>
        </a:stretch>
      </xdr:blipFill>
      <xdr:spPr>
        <a:xfrm>
          <a:off x="2057400" y="16430625"/>
          <a:ext cx="5705494" cy="1123810"/>
        </a:xfrm>
        <a:prstGeom prst="rect">
          <a:avLst/>
        </a:prstGeom>
      </xdr:spPr>
    </xdr:pic>
    <xdr:clientData/>
  </xdr:twoCellAnchor>
  <xdr:twoCellAnchor editAs="oneCell">
    <xdr:from>
      <xdr:col>1</xdr:col>
      <xdr:colOff>0</xdr:colOff>
      <xdr:row>70</xdr:row>
      <xdr:rowOff>0</xdr:rowOff>
    </xdr:from>
    <xdr:to>
      <xdr:col>3</xdr:col>
      <xdr:colOff>1333497</xdr:colOff>
      <xdr:row>72</xdr:row>
      <xdr:rowOff>123762</xdr:rowOff>
    </xdr:to>
    <xdr:pic>
      <xdr:nvPicPr>
        <xdr:cNvPr id="5" name="Picture 4">
          <a:extLst>
            <a:ext uri="{FF2B5EF4-FFF2-40B4-BE49-F238E27FC236}">
              <a16:creationId xmlns:a16="http://schemas.microsoft.com/office/drawing/2014/main" id="{3469E496-9BDF-49D5-9A54-52AF493566CD}"/>
            </a:ext>
          </a:extLst>
        </xdr:cNvPr>
        <xdr:cNvPicPr>
          <a:picLocks noChangeAspect="1"/>
        </xdr:cNvPicPr>
      </xdr:nvPicPr>
      <xdr:blipFill>
        <a:blip xmlns:r="http://schemas.openxmlformats.org/officeDocument/2006/relationships" r:embed="rId4"/>
        <a:stretch>
          <a:fillRect/>
        </a:stretch>
      </xdr:blipFill>
      <xdr:spPr>
        <a:xfrm>
          <a:off x="2057400" y="19669125"/>
          <a:ext cx="5886447" cy="504762"/>
        </a:xfrm>
        <a:prstGeom prst="rect">
          <a:avLst/>
        </a:prstGeom>
      </xdr:spPr>
    </xdr:pic>
    <xdr:clientData/>
  </xdr:twoCellAnchor>
  <xdr:twoCellAnchor editAs="oneCell">
    <xdr:from>
      <xdr:col>1</xdr:col>
      <xdr:colOff>0</xdr:colOff>
      <xdr:row>83</xdr:row>
      <xdr:rowOff>0</xdr:rowOff>
    </xdr:from>
    <xdr:to>
      <xdr:col>4</xdr:col>
      <xdr:colOff>199976</xdr:colOff>
      <xdr:row>87</xdr:row>
      <xdr:rowOff>9429</xdr:rowOff>
    </xdr:to>
    <xdr:pic>
      <xdr:nvPicPr>
        <xdr:cNvPr id="6" name="Picture 5">
          <a:extLst>
            <a:ext uri="{FF2B5EF4-FFF2-40B4-BE49-F238E27FC236}">
              <a16:creationId xmlns:a16="http://schemas.microsoft.com/office/drawing/2014/main" id="{1943E721-1896-459F-BFEE-57B57EA9CA3D}"/>
            </a:ext>
          </a:extLst>
        </xdr:cNvPr>
        <xdr:cNvPicPr>
          <a:picLocks noChangeAspect="1"/>
        </xdr:cNvPicPr>
      </xdr:nvPicPr>
      <xdr:blipFill>
        <a:blip xmlns:r="http://schemas.openxmlformats.org/officeDocument/2006/relationships" r:embed="rId5"/>
        <a:stretch>
          <a:fillRect/>
        </a:stretch>
      </xdr:blipFill>
      <xdr:spPr>
        <a:xfrm>
          <a:off x="2057400" y="22145625"/>
          <a:ext cx="6248351" cy="771429"/>
        </a:xfrm>
        <a:prstGeom prst="rect">
          <a:avLst/>
        </a:prstGeom>
      </xdr:spPr>
    </xdr:pic>
    <xdr:clientData/>
  </xdr:twoCellAnchor>
  <xdr:twoCellAnchor editAs="oneCell">
    <xdr:from>
      <xdr:col>1</xdr:col>
      <xdr:colOff>0</xdr:colOff>
      <xdr:row>100</xdr:row>
      <xdr:rowOff>0</xdr:rowOff>
    </xdr:from>
    <xdr:to>
      <xdr:col>4</xdr:col>
      <xdr:colOff>231722</xdr:colOff>
      <xdr:row>106</xdr:row>
      <xdr:rowOff>180810</xdr:rowOff>
    </xdr:to>
    <xdr:pic>
      <xdr:nvPicPr>
        <xdr:cNvPr id="7" name="Picture 6">
          <a:extLst>
            <a:ext uri="{FF2B5EF4-FFF2-40B4-BE49-F238E27FC236}">
              <a16:creationId xmlns:a16="http://schemas.microsoft.com/office/drawing/2014/main" id="{E525C794-3399-4A6F-9319-F853947FFB94}"/>
            </a:ext>
          </a:extLst>
        </xdr:cNvPr>
        <xdr:cNvPicPr>
          <a:picLocks noChangeAspect="1"/>
        </xdr:cNvPicPr>
      </xdr:nvPicPr>
      <xdr:blipFill>
        <a:blip xmlns:r="http://schemas.openxmlformats.org/officeDocument/2006/relationships" r:embed="rId6"/>
        <a:stretch>
          <a:fillRect/>
        </a:stretch>
      </xdr:blipFill>
      <xdr:spPr>
        <a:xfrm>
          <a:off x="2057400" y="25384125"/>
          <a:ext cx="6280097" cy="1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363681</xdr:colOff>
      <xdr:row>10</xdr:row>
      <xdr:rowOff>173180</xdr:rowOff>
    </xdr:from>
    <xdr:to>
      <xdr:col>2</xdr:col>
      <xdr:colOff>92652</xdr:colOff>
      <xdr:row>12</xdr:row>
      <xdr:rowOff>115165</xdr:rowOff>
    </xdr:to>
    <xdr:pic>
      <xdr:nvPicPr>
        <xdr:cNvPr id="3" name="Picture 2">
          <a:extLst>
            <a:ext uri="{FF2B5EF4-FFF2-40B4-BE49-F238E27FC236}">
              <a16:creationId xmlns:a16="http://schemas.microsoft.com/office/drawing/2014/main" id="{1BD79CCA-8420-4846-8436-548A047EFED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3681" y="2606385"/>
          <a:ext cx="3556289" cy="305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10</xdr:row>
      <xdr:rowOff>123825</xdr:rowOff>
    </xdr:from>
    <xdr:to>
      <xdr:col>3</xdr:col>
      <xdr:colOff>514350</xdr:colOff>
      <xdr:row>12</xdr:row>
      <xdr:rowOff>47625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4905375"/>
          <a:ext cx="40767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12</xdr:row>
      <xdr:rowOff>123825</xdr:rowOff>
    </xdr:from>
    <xdr:to>
      <xdr:col>3</xdr:col>
      <xdr:colOff>514350</xdr:colOff>
      <xdr:row>14</xdr:row>
      <xdr:rowOff>47625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762375"/>
          <a:ext cx="40957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11</xdr:row>
      <xdr:rowOff>123825</xdr:rowOff>
    </xdr:from>
    <xdr:to>
      <xdr:col>4</xdr:col>
      <xdr:colOff>1219200</xdr:colOff>
      <xdr:row>13</xdr:row>
      <xdr:rowOff>47625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825" y="2838450"/>
          <a:ext cx="511492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13</xdr:row>
      <xdr:rowOff>19050</xdr:rowOff>
    </xdr:from>
    <xdr:to>
      <xdr:col>2</xdr:col>
      <xdr:colOff>9525</xdr:colOff>
      <xdr:row>14</xdr:row>
      <xdr:rowOff>142875</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24075" y="4819650"/>
          <a:ext cx="25241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9</xdr:row>
      <xdr:rowOff>57150</xdr:rowOff>
    </xdr:from>
    <xdr:to>
      <xdr:col>3</xdr:col>
      <xdr:colOff>276225</xdr:colOff>
      <xdr:row>12</xdr:row>
      <xdr:rowOff>104775</xdr:rowOff>
    </xdr:to>
    <xdr:pic>
      <xdr:nvPicPr>
        <xdr:cNvPr id="4" name="Picture 3">
          <a:extLst>
            <a:ext uri="{FF2B5EF4-FFF2-40B4-BE49-F238E27FC236}">
              <a16:creationId xmlns:a16="http://schemas.microsoft.com/office/drawing/2014/main" id="{3391C535-E996-44A9-8BAD-D5986219C70C}"/>
            </a:ext>
            <a:ext uri="{147F2762-F138-4A5C-976F-8EAC2B608ADB}">
              <a16:predDERef xmlns:a16="http://schemas.microsoft.com/office/drawing/2014/main" pred="{00000000-0008-0000-1000-000003000000}"/>
            </a:ext>
          </a:extLst>
        </xdr:cNvPr>
        <xdr:cNvPicPr>
          <a:picLocks noChangeAspect="1"/>
        </xdr:cNvPicPr>
      </xdr:nvPicPr>
      <xdr:blipFill>
        <a:blip xmlns:r="http://schemas.openxmlformats.org/officeDocument/2006/relationships" r:embed="rId2"/>
        <a:stretch>
          <a:fillRect/>
        </a:stretch>
      </xdr:blipFill>
      <xdr:spPr>
        <a:xfrm>
          <a:off x="962025" y="2762250"/>
          <a:ext cx="4572000"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8</xdr:row>
      <xdr:rowOff>85725</xdr:rowOff>
    </xdr:from>
    <xdr:to>
      <xdr:col>2</xdr:col>
      <xdr:colOff>1543050</xdr:colOff>
      <xdr:row>10</xdr:row>
      <xdr:rowOff>76200</xdr:rowOff>
    </xdr:to>
    <xdr:pic>
      <xdr:nvPicPr>
        <xdr:cNvPr id="2" name="Picture 1">
          <a:extLst>
            <a:ext uri="{FF2B5EF4-FFF2-40B4-BE49-F238E27FC236}">
              <a16:creationId xmlns:a16="http://schemas.microsoft.com/office/drawing/2014/main" id="{AA28D395-5D0B-4D36-8AA2-0BFE0E1BE62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825" y="2219325"/>
          <a:ext cx="5781675"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33</xdr:col>
      <xdr:colOff>547404</xdr:colOff>
      <xdr:row>21</xdr:row>
      <xdr:rowOff>28863</xdr:rowOff>
    </xdr:from>
    <xdr:to>
      <xdr:col>40</xdr:col>
      <xdr:colOff>540065</xdr:colOff>
      <xdr:row>29</xdr:row>
      <xdr:rowOff>16351</xdr:rowOff>
    </xdr:to>
    <xdr:pic>
      <xdr:nvPicPr>
        <xdr:cNvPr id="3" name="Picture 2">
          <a:extLst>
            <a:ext uri="{FF2B5EF4-FFF2-40B4-BE49-F238E27FC236}">
              <a16:creationId xmlns:a16="http://schemas.microsoft.com/office/drawing/2014/main" id="{07D8F0C8-05A5-4025-886B-08174F277494}"/>
            </a:ext>
          </a:extLst>
        </xdr:cNvPr>
        <xdr:cNvPicPr>
          <a:picLocks noChangeAspect="1"/>
        </xdr:cNvPicPr>
      </xdr:nvPicPr>
      <xdr:blipFill>
        <a:blip xmlns:r="http://schemas.openxmlformats.org/officeDocument/2006/relationships" r:embed="rId1"/>
        <a:stretch>
          <a:fillRect/>
        </a:stretch>
      </xdr:blipFill>
      <xdr:spPr>
        <a:xfrm>
          <a:off x="32407086" y="7793181"/>
          <a:ext cx="4282374" cy="14710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162278</xdr:colOff>
      <xdr:row>52</xdr:row>
      <xdr:rowOff>169332</xdr:rowOff>
    </xdr:from>
    <xdr:to>
      <xdr:col>10</xdr:col>
      <xdr:colOff>56097</xdr:colOff>
      <xdr:row>60</xdr:row>
      <xdr:rowOff>144633</xdr:rowOff>
    </xdr:to>
    <xdr:pic>
      <xdr:nvPicPr>
        <xdr:cNvPr id="2" name="Picture 1">
          <a:extLst>
            <a:ext uri="{FF2B5EF4-FFF2-40B4-BE49-F238E27FC236}">
              <a16:creationId xmlns:a16="http://schemas.microsoft.com/office/drawing/2014/main" id="{E197CE3C-D83B-4FE7-8458-CE20F38E1193}"/>
            </a:ext>
          </a:extLst>
        </xdr:cNvPr>
        <xdr:cNvPicPr>
          <a:picLocks noChangeAspect="1"/>
        </xdr:cNvPicPr>
      </xdr:nvPicPr>
      <xdr:blipFill>
        <a:blip xmlns:r="http://schemas.openxmlformats.org/officeDocument/2006/relationships" r:embed="rId1"/>
        <a:stretch>
          <a:fillRect/>
        </a:stretch>
      </xdr:blipFill>
      <xdr:spPr>
        <a:xfrm>
          <a:off x="10660945" y="12170832"/>
          <a:ext cx="4282374" cy="14710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pfiler1\acumen\Personal\Deals\Unisource\Springerville%20model\Springerville34_Base%207%2025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Res_TRM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oco365.sharepoint.com/sites/EEP4.020222025/Shared%20Documents/General/EEP4.0/F4%20EEP4%20Adjustable%20Savings%20Goals/TRMv9-Custom%20Calculators/HIM_Res_TRMv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EEP%20Portfolio%20Planning\Planning%20System\Planning%20File%20Structure\Measure_Data\Custom%20TRM%20V4\HIM_Res_TRMv4%20-%20Cop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HIM_Res_TRMv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Res_TRMv5.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oco365-my.sharepoint.com/personal/llchoong_southernco_com/Documents/Research/Adjustable%20Goals/Copy%20of%20Appendix%20B%20Adjustable%20Goals%206_27_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weccusa.org/sites/nicor/Nicor%20Workflow%20Automation/Measure%20Dat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are.franklinenergy.com/Users/kgrabner/AppData/Local/Microsoft/Windows/Temporary%20Internet%20Files/Content.Outlook/4VOKPJ5B/Measure%20Level%20TRC%20Analysis%206.27.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4%20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CI_TRMv5%2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d\Excel2000f\ROA%20v.%20Bundled\Templates\Rev%20Credit%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5%20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Inputs_Remodel_Compliance_V3_NTG.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soco365.sharepoint.com/sites/EEP4.020222025/Shared%20Documents/General/EEP4.0/F4%20EEP4%20Adjustable%20Savings%20Goals/TRMv9-Custom%20Calculators/HIM_CI_TRMv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Portfolio%20Planning\E3%20Sandbox\Planning%20Tools\Measure_Data\Custom%20TRM%20V8\Bruce%20Working%20Files\HIM_CI_TRMv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hare.franklinenergy.com/Users/kgrabner/AppData/Local/Microsoft/Windows/Temporary%20Internet%20Files/Content.Outlook/4VOKPJ5B/Proposal%20Bencost/Integrys%20RFP%20measure%20buildup.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soco365.sharepoint.com/sites/EEP4.020222025/Shared%20Documents/General/EEP4.0/F4%20EEP4%20Adjustable%20Savings%20Goals/TRMv9-Custom%20Calculators/Other_Res_TRMv9.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Res_TRMv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Portfolio%20Planning\E3%20Sandbox\Planning%20Tools\Measure_Data\Custom%20TRM%20V8\Other_Res_TRMv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Res_TRMv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Clients\Peoples%20Gas%20Chicago\PY4-6%20RFP%20Bencost\Modified\bencost%20NSvPY4-6%20RFP%20Planning.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O:\NGAS\Depts\3137\EEP%20Portfolio%20Planning%20&amp;%20Analysis\Portfolio%20Planning\E3%20Sandbox\Planning%20Tools\Measure_Data\Custom%20TRM%20V7\Measure%20Research\Furnace%20Boiler%20Furnace%20Research\Boiler%20Input%20Capacity%20All%20Programs%20PY5-7.xlsx?3B1BC87C" TargetMode="External"/><Relationship Id="rId1" Type="http://schemas.openxmlformats.org/officeDocument/2006/relationships/externalLinkPath" Target="file:///\\3B1BC87C\Boiler%20Input%20Capacity%20All%20Programs%20PY5-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hare.franklinenergy.com/dept/Eng/MasterMeasureDatabases/Integrys/PY04%20Master%20Measure%20Database/Integrys%20MMDB%20PY4.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Special%20Projects\Potential%20Tool\TEAPOT%20Development\Converted%20Stock.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rp.aglrsc.com\corproot$\NGAS\Depts\3137\EEP%20Portfolio%20Planning%20&amp;%20Analysis\Special%20Projects\Potential%20Tool\TEAPOT%20Development\Converted%20Stock.xlsx"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DataValidation"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franklinenergy.sharepoint.com/Users/zmafraji/Desktop/PGNSG%20MMDB%20PY6%20to%20PY7/PY7%20Measures%20summary%208-7-2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hare.franklinenergy.com/Users/kgrabner/AppData/Local/Microsoft/Windows/Temporary%20Internet%20Files/Content.Outlook/4VOKPJ5B/TRC%20Analysis%2012.6.13.xlsx" TargetMode="External"/></Relationships>
</file>

<file path=xl/externalLinks/_rels/externalLink36.xml.rels><?xml version="1.0" encoding="UTF-8" standalone="yes"?>
<Relationships xmlns="http://schemas.openxmlformats.org/package/2006/relationships"><Relationship Id="rId2" Type="http://schemas.microsoft.com/office/2019/04/relationships/externalLinkLongPath" Target="file:///U:\Users\acottrell\AppData\Local\Microsoft\Windows\Temporary%20Internet%20Files\Content.Outlook\K6BOTMG1\Users\acottrell\AppData\Local\Microsoft\Windows\Temporary%20Internet%20Files\Content.Outlook\K6BOTMG1\BenCost%20for%20LIPA%20Tool.xls?FCC86863" TargetMode="External"/><Relationship Id="rId1" Type="http://schemas.openxmlformats.org/officeDocument/2006/relationships/externalLinkPath" Target="file:///\\FCC86863\BenCost%20for%20LIPA%20Too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TEAPot%202020\Nicor%20Gas%20EEPS%20Tool_v2.9.xlsb"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Inputs_other_Res_TRMv2%200_BL.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Other_Res_TRMv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xiliu\AppData\Local\Temp\OneNote\16.0\Exported\%7b130C5A79-4C2C-49D7-9890-EFAD8F2A9892%7d\NT\0\Boiler%20Input%20Capacity%20All%20Programs%20PY5-71.xlsx"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MF%20SPS%20Boiler%20Controls%20and%20Venting%20Calculation%20Integrys%200925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Measure%20Level%20TRC%20Analysis_8-7-1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EEP%20Planning%20Models\@GMT-2017.03.09-13.00.14\Planning%20Tools\Measure_Data\Custom%20TRM%20V6\HIM_Res_TRMv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franklinenergy.sharepoint.com/Users/qpresley/Desktop/components%20project/Integrys/PY4%20Gas%20Workbook/Copy%20of%20DI%20Measures%20Savings%20(with%20water%20calc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soco365.sharepoint.com/sites/EEP4.020222025/Shared%20Documents/General/EEP4.0/F4%20EEP4%20Adjustable%20Savings%20Goals/TRMv9-Custom%20Calculators/CustomTables_v9.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Portfolio%20Planning\E3%20Sandbox\Planning%20Tools\Measure_Data\Custom%20TRM%20V8\CustomTables_v8.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CustomTables_v6.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CustomTables_v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Projects\A25013_H25013_Nicor%20EE%20Planning%20System\Task%201%20-%20Project%20Management\Kick%20Off%20Meeting\TEAPot%202.8.6.9.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soco365.sharepoint.com/Projects/A25013_H25013_Nicor%20EE%20Planning%20System/Task%201%20-%20Project%20Management/Kick%20Off%20Meeting/TEAPot%202.8.6.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oco365.sharepoint.com/sites/EEP4.020222025/Shared%20Documents/General/EEP4.0/F4%20EEP4%20Adjustable%20Savings%20Goals/TRMv9-Custom%20Calculators/Other_Commercial_TRMv9.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orp.aglrsc.com\corproot$\Projects\A25013_H25013_Nicor%20EE%20Planning%20System\Task%201%20-%20Project%20Management\Kick%20Off%20Meeting\TEAPot%202.8.6.9.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Scenario%20-%20Reduced%20Wx/2015%20Nipsco%20CE%20Tool_FINAL_Revision%20V3_updated%202013eval.xlsm"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file:///U:\Users\acottrell\AppData\Local\Microsoft\Windows\Temporary%20Internet%20Files\Content.Outlook\K6BOTMG1\Consulting\Projects%20&amp;%20Utility%20Info\Active\NY\LIPA\ELI\2008%20scenarios\Blocks%205-8%20as%20submitted\PST%20v2.05.05a%20ELI%20Block%207%2001-14-08%20-submitted.xls?BF91E30D" TargetMode="External"/><Relationship Id="rId1" Type="http://schemas.openxmlformats.org/officeDocument/2006/relationships/externalLinkPath" Target="file:///\\BF91E30D\PST%20v2.05.05a%20ELI%20Block%207%2001-14-08%20-submitte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Users\ACOTTR~1\AppData\Local\Temp\BPL78%20-%20LED%20exit%20signs.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ww.wrike.com/Documents%20and%20Settings/jlong/Desktop/TATI/DR%20Tools/DR%20Tools%20Rev.%202.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franklinenergy.sharepoint.com/Users/qpresley/AppData/Local/Microsoft/Windows/Temporary%20Internet%20Files/Content.Outlook/LQ3RBBUE/PY4%20Gas%20Workbook.xlsx" TargetMode="External"/></Relationships>
</file>

<file path=xl/externalLinks/_rels/externalLink57.xml.rels><?xml version="1.0" encoding="UTF-8" standalone="yes"?>
<Relationships xmlns="http://schemas.openxmlformats.org/package/2006/relationships"><Relationship Id="rId2" Type="http://schemas.microsoft.com/office/2019/04/relationships/externalLinkLongPath" Target="file:///U:\Users\e107093\AppData\Local\Microsoft\Windows\Temporary%20Internet%20Files\Content.Outlook\RK0ONNHX\Consulting\Projects%20&amp;%20Utility%20Info\Active\NY\LIPA\ELI\2008%20scenarios\Blocks%205-8%20as%20submitted\PST%20v2.05.05a%20ELI%20Block%207%2001-14-08%20-submitted.xls?9105726E" TargetMode="External"/><Relationship Id="rId1" Type="http://schemas.openxmlformats.org/officeDocument/2006/relationships/externalLinkPath" Target="file:///\\9105726E\PST%20v2.05.05a%20ELI%20Block%207%2001-14-08%20-submitted.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HEER%20Adv%20Thermostat%20Data"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Commercial_TRMv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Commercial_TRMv5%20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Copy%20of%20NIPSCO%20CE%20Tool_10072013%20EM%20FINAL_12%2003%20201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weccusa.org/sites/nicor/Nicor%20Workflow%20Automation/Version%203/Inputs-HIM_Res_TRMv3%2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Assumptions &amp; Log"/>
      <sheetName val="Inputs"/>
      <sheetName val="Con"/>
      <sheetName val="Summary"/>
      <sheetName val="Ptnr Returns (Lease)"/>
      <sheetName val="UNS Retuns"/>
      <sheetName val="Performance"/>
      <sheetName val="Costs"/>
      <sheetName val="Rev"/>
      <sheetName val="Inc (Lease)"/>
      <sheetName val="Cash (Lease)"/>
      <sheetName val="Bal"/>
      <sheetName val="Depn"/>
      <sheetName val="Property Tax"/>
      <sheetName val="Common Facilities"/>
      <sheetName val="Debt"/>
      <sheetName val="CSFB Debt"/>
      <sheetName val="EPC Calcs"/>
      <sheetName val="50 50 "/>
      <sheetName val="100"/>
      <sheetName val="Cash"/>
      <sheetName val="Inc"/>
      <sheetName val="Ptnr Returns"/>
      <sheetName val="CLEAResult Rates"/>
      <sheetName val="Tool 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efreshError="1"/>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refreshError="1"/>
      <sheetData sheetId="12" refreshError="1"/>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refreshError="1"/>
      <sheetData sheetId="19">
        <row r="3">
          <cell r="B3" t="str">
            <v>Agriculture</v>
          </cell>
        </row>
      </sheetData>
      <sheetData sheetId="20">
        <row r="8">
          <cell r="D8">
            <v>8.09E-2</v>
          </cell>
        </row>
      </sheetData>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Update Log"/>
      <sheetName val="Summary"/>
      <sheetName val="DualSummary"/>
      <sheetName val="Algorithm Components Summary"/>
      <sheetName val="5.1.2"/>
      <sheetName val="5.1.8"/>
      <sheetName val="5.3.1"/>
      <sheetName val="5.3.3"/>
      <sheetName val="5.3.5"/>
      <sheetName val="5.3.6"/>
      <sheetName val="5.3.7"/>
      <sheetName val="5.3.11"/>
      <sheetName val="5.3.16"/>
      <sheetName val="5.3.17"/>
      <sheetName val="5.3.18"/>
      <sheetName val="5.4.2"/>
      <sheetName val="5.4.3"/>
      <sheetName val="5.4.4"/>
      <sheetName val="5.4.5"/>
      <sheetName val="5.4.9"/>
      <sheetName val="5.5.1"/>
      <sheetName val="5.5.2"/>
      <sheetName val="5.5.6"/>
      <sheetName val="5.6.1"/>
      <sheetName val="5.6.2"/>
      <sheetName val="5.6.4 &amp; 5.6.5"/>
      <sheetName val="5.6.6"/>
      <sheetName val="List"/>
      <sheetName val="Input_Data"/>
    </sheetNames>
    <sheetDataSet>
      <sheetData sheetId="0"/>
      <sheetData sheetId="1"/>
      <sheetData sheetId="2"/>
      <sheetData sheetId="3"/>
      <sheetData sheetId="4"/>
      <sheetData sheetId="5"/>
      <sheetData sheetId="6"/>
      <sheetData sheetId="7"/>
      <sheetData sheetId="8">
        <row r="60">
          <cell r="C60" t="str">
            <v>TOS</v>
          </cell>
        </row>
        <row r="61">
          <cell r="C61" t="str">
            <v>NC</v>
          </cell>
        </row>
        <row r="66">
          <cell r="H66"/>
        </row>
        <row r="67">
          <cell r="H67"/>
        </row>
        <row r="68">
          <cell r="H68"/>
        </row>
        <row r="107">
          <cell r="A107" t="str">
            <v>Electric</v>
          </cell>
        </row>
        <row r="108">
          <cell r="A108" t="str">
            <v>Natural Gas</v>
          </cell>
        </row>
      </sheetData>
      <sheetData sheetId="9">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10">
        <row r="22">
          <cell r="I22" t="str">
            <v>TOS</v>
          </cell>
        </row>
        <row r="23">
          <cell r="I23" t="str">
            <v>NC</v>
          </cell>
        </row>
        <row r="24">
          <cell r="I24" t="str">
            <v>EREP</v>
          </cell>
        </row>
        <row r="50">
          <cell r="G50" t="str">
            <v>Air Source Heat Pump</v>
          </cell>
          <cell r="K50" t="str">
            <v>Air Source Heat Pump</v>
          </cell>
        </row>
        <row r="51">
          <cell r="G51" t="str">
            <v>Central AC</v>
          </cell>
          <cell r="K51" t="str">
            <v>Electric Resistance</v>
          </cell>
        </row>
        <row r="52">
          <cell r="G52" t="str">
            <v>No central cooling</v>
          </cell>
        </row>
      </sheetData>
      <sheetData sheetId="11">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12">
        <row r="7">
          <cell r="J7" t="str">
            <v>RF</v>
          </cell>
        </row>
        <row r="8">
          <cell r="J8" t="str">
            <v>EREP</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13">
        <row r="47">
          <cell r="A47" t="str">
            <v>Measure Type</v>
          </cell>
        </row>
        <row r="48">
          <cell r="A48" t="str">
            <v>AFUE 82.5%</v>
          </cell>
        </row>
        <row r="49">
          <cell r="A49" t="str">
            <v>AFUE 90% (Energy Star)</v>
          </cell>
        </row>
        <row r="50">
          <cell r="A50" t="str">
            <v>AFUE 90%</v>
          </cell>
        </row>
        <row r="51">
          <cell r="A51" t="str">
            <v>AFUE 95%</v>
          </cell>
        </row>
        <row r="62">
          <cell r="A62"/>
        </row>
        <row r="63">
          <cell r="A63" t="str">
            <v>Program Year</v>
          </cell>
        </row>
        <row r="64">
          <cell r="A64" t="str">
            <v>implemented prior to 2022</v>
          </cell>
        </row>
        <row r="65">
          <cell r="A65" t="str">
            <v>implemented in 2022 and beyond</v>
          </cell>
        </row>
      </sheetData>
      <sheetData sheetId="14"/>
      <sheetData sheetId="15">
        <row r="28">
          <cell r="L28" t="str">
            <v>"Zip code" - which determines Climate zone</v>
          </cell>
        </row>
        <row r="29">
          <cell r="L29"/>
        </row>
        <row r="35">
          <cell r="L35"/>
        </row>
        <row r="36">
          <cell r="L36" t="str">
            <v>None - TRM Deemed</v>
          </cell>
        </row>
        <row r="59">
          <cell r="G59"/>
        </row>
        <row r="60">
          <cell r="G60" t="str">
            <v xml:space="preserve">TRM </v>
          </cell>
        </row>
        <row r="61">
          <cell r="G61" t="str">
            <v>Actual - SF</v>
          </cell>
        </row>
        <row r="62">
          <cell r="G62" t="str">
            <v>Actual - MF</v>
          </cell>
        </row>
        <row r="63">
          <cell r="G63"/>
        </row>
        <row r="64">
          <cell r="G64"/>
        </row>
        <row r="66">
          <cell r="G66" t="str">
            <v>TOS</v>
          </cell>
        </row>
        <row r="67">
          <cell r="B67" t="str">
            <v>Single Family</v>
          </cell>
          <cell r="C67">
            <v>1</v>
          </cell>
          <cell r="D67"/>
          <cell r="G67" t="str">
            <v>NC</v>
          </cell>
        </row>
        <row r="68">
          <cell r="G68" t="str">
            <v>RF</v>
          </cell>
        </row>
        <row r="69">
          <cell r="G69" t="str">
            <v>DI</v>
          </cell>
        </row>
        <row r="70">
          <cell r="G70"/>
        </row>
        <row r="71">
          <cell r="G71"/>
        </row>
        <row r="74">
          <cell r="B74" t="str">
            <v>Electric Resistance</v>
          </cell>
          <cell r="C74" t="str">
            <v>Electric Heat Pump</v>
          </cell>
          <cell r="D74" t="str">
            <v>Unknown</v>
          </cell>
        </row>
      </sheetData>
      <sheetData sheetId="16"/>
      <sheetData sheetId="17"/>
      <sheetData sheetId="18"/>
      <sheetData sheetId="19">
        <row r="39">
          <cell r="I39" t="str">
            <v>Application Field</v>
          </cell>
        </row>
        <row r="40">
          <cell r="I40" t="str">
            <v>Collect any assumption about the tank size of the baseline storage water heater?</v>
          </cell>
        </row>
        <row r="41">
          <cell r="I41"/>
        </row>
        <row r="42">
          <cell r="I42"/>
        </row>
        <row r="73">
          <cell r="B73" t="str">
            <v>Water heater Type</v>
          </cell>
        </row>
        <row r="74">
          <cell r="B74" t="str">
            <v>Gas Storage (≤55 gallons)</v>
          </cell>
        </row>
        <row r="75">
          <cell r="B75" t="str">
            <v>Gas Storage (&gt;55 gallons)</v>
          </cell>
        </row>
        <row r="76">
          <cell r="B76" t="str">
            <v>Condensing gas storage</v>
          </cell>
        </row>
        <row r="77">
          <cell r="B77" t="str">
            <v>Tankless whole-house unit</v>
          </cell>
        </row>
      </sheetData>
      <sheetData sheetId="2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row>
        <row r="37">
          <cell r="F37" t="str">
            <v>Resistance</v>
          </cell>
        </row>
      </sheetData>
      <sheetData sheetId="21"/>
      <sheetData sheetId="22"/>
      <sheetData sheetId="23"/>
      <sheetData sheetId="24">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25">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26">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7">
        <row r="111">
          <cell r="I111"/>
          <cell r="J111"/>
        </row>
        <row r="120">
          <cell r="I120">
            <v>5</v>
          </cell>
          <cell r="J120">
            <v>6</v>
          </cell>
        </row>
        <row r="126">
          <cell r="A126" t="str">
            <v>Chicago</v>
          </cell>
        </row>
        <row r="127">
          <cell r="A127" t="str">
            <v>Springfield</v>
          </cell>
        </row>
        <row r="131">
          <cell r="A131" t="str">
            <v>Electric</v>
          </cell>
        </row>
        <row r="132">
          <cell r="A132" t="str">
            <v>Natural Gas</v>
          </cell>
        </row>
        <row r="133">
          <cell r="A133"/>
        </row>
        <row r="135">
          <cell r="A135" t="str">
            <v>Central Cooling</v>
          </cell>
        </row>
        <row r="136">
          <cell r="A136" t="str">
            <v>Heat Pump</v>
          </cell>
        </row>
        <row r="140">
          <cell r="A140" t="str">
            <v>R08 - Residential Cooling</v>
          </cell>
        </row>
        <row r="141">
          <cell r="A141" t="str">
            <v>R09 - Residential Electric Space Heat</v>
          </cell>
        </row>
        <row r="142">
          <cell r="A142" t="str">
            <v xml:space="preserve">R10 - Residential Electric Heating and Cooling </v>
          </cell>
        </row>
      </sheetData>
      <sheetData sheetId="28"/>
      <sheetData sheetId="29"/>
      <sheetData sheetId="30"/>
      <sheetData sheetId="31">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Adv Thermostats</v>
          </cell>
        </row>
        <row r="20">
          <cell r="B20" t="str">
            <v>Thermostats</v>
          </cell>
        </row>
        <row r="21">
          <cell r="B21" t="str">
            <v>Duct sealing</v>
          </cell>
        </row>
        <row r="22">
          <cell r="B22" t="str">
            <v>Pipe insulation</v>
          </cell>
        </row>
        <row r="23">
          <cell r="B23" t="str">
            <v>Technical assistance</v>
          </cell>
        </row>
        <row r="24">
          <cell r="B24" t="str">
            <v>Shell</v>
          </cell>
        </row>
        <row r="25">
          <cell r="B25" t="str">
            <v>Custom</v>
          </cell>
        </row>
        <row r="26">
          <cell r="B26" t="str">
            <v>Controls</v>
          </cell>
        </row>
      </sheetData>
      <sheetData sheetId="32">
        <row r="8">
          <cell r="D8">
            <v>2.3800000000000002E-2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sheetData sheetId="12"/>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sheetData sheetId="19">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0">
        <row r="8">
          <cell r="D8">
            <v>8.09E-2</v>
          </cell>
        </row>
      </sheetData>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gorithm Components Summary"/>
      <sheetName val="TEAPot Measure Output Equip"/>
      <sheetName val="TEAPot Measure Output NonEquip"/>
      <sheetName val="List for Segments - TEAPOt"/>
      <sheetName val="Teapot Summary"/>
      <sheetName val="Summary"/>
      <sheetName val="DualSummary"/>
      <sheetName val="5.1.2"/>
      <sheetName val="5.1.8"/>
      <sheetName val="5.3.1"/>
      <sheetName val="5.3.3"/>
      <sheetName val="5.3.5"/>
      <sheetName val="5.3.6"/>
      <sheetName val="5.3.7"/>
      <sheetName val="5.3.11"/>
      <sheetName val="5.3.16"/>
      <sheetName val="5.4.2"/>
      <sheetName val="5.4.3"/>
      <sheetName val="5.4.4"/>
      <sheetName val="5.4.5"/>
      <sheetName val="5.5.1"/>
      <sheetName val="5.5.2"/>
      <sheetName val="5.5.6"/>
      <sheetName val="5.6.1"/>
      <sheetName val="5.6.2"/>
      <sheetName val="5.6.4"/>
      <sheetName val="List"/>
      <sheetName val="Input_Data"/>
      <sheetName val="Sheet1"/>
      <sheetName val="5.4.9"/>
    </sheetNames>
    <sheetDataSet>
      <sheetData sheetId="0"/>
      <sheetData sheetId="1"/>
      <sheetData sheetId="2"/>
      <sheetData sheetId="3"/>
      <sheetData sheetId="4">
        <row r="5">
          <cell r="V5">
            <v>14</v>
          </cell>
        </row>
      </sheetData>
      <sheetData sheetId="5"/>
      <sheetData sheetId="6"/>
      <sheetData sheetId="7">
        <row r="60">
          <cell r="C60" t="str">
            <v>TOS</v>
          </cell>
        </row>
        <row r="61">
          <cell r="C61" t="str">
            <v>NC</v>
          </cell>
        </row>
        <row r="66">
          <cell r="H66"/>
        </row>
        <row r="67">
          <cell r="H67"/>
        </row>
        <row r="68">
          <cell r="H68"/>
        </row>
        <row r="107">
          <cell r="A107" t="str">
            <v>Electric</v>
          </cell>
        </row>
        <row r="108">
          <cell r="A108" t="str">
            <v>Natural Gas</v>
          </cell>
        </row>
      </sheetData>
      <sheetData sheetId="8">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9">
        <row r="22">
          <cell r="I22" t="str">
            <v>TOS</v>
          </cell>
        </row>
        <row r="23">
          <cell r="I23" t="str">
            <v>NC</v>
          </cell>
        </row>
        <row r="24">
          <cell r="I24" t="str">
            <v>EREP</v>
          </cell>
        </row>
        <row r="50">
          <cell r="G50" t="str">
            <v>Air Source Heat Pump</v>
          </cell>
          <cell r="K50" t="str">
            <v>Air Source Heat Pump</v>
          </cell>
        </row>
        <row r="51">
          <cell r="G51" t="str">
            <v>Central AC</v>
          </cell>
          <cell r="K51" t="str">
            <v>Electric Resistance</v>
          </cell>
        </row>
        <row r="52">
          <cell r="G52" t="str">
            <v>No central cooling</v>
          </cell>
        </row>
      </sheetData>
      <sheetData sheetId="10">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11">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12">
        <row r="38">
          <cell r="A38" t="str">
            <v>Incremental Cost</v>
          </cell>
        </row>
        <row r="47">
          <cell r="A47" t="str">
            <v>AFUE 85% (Energy Star)</v>
          </cell>
        </row>
        <row r="48">
          <cell r="A48" t="str">
            <v>AFUE 90%</v>
          </cell>
        </row>
        <row r="49">
          <cell r="A49" t="str">
            <v>AFUE 95%</v>
          </cell>
        </row>
        <row r="62">
          <cell r="A62" t="str">
            <v>June 2012 – May 2013</v>
          </cell>
        </row>
        <row r="63">
          <cell r="A63" t="str">
            <v>June 2013 onwards</v>
          </cell>
        </row>
      </sheetData>
      <sheetData sheetId="13"/>
      <sheetData sheetId="14">
        <row r="26">
          <cell r="L26"/>
        </row>
        <row r="27">
          <cell r="L27" t="str">
            <v>None - TRM Deemed</v>
          </cell>
        </row>
        <row r="57">
          <cell r="G57" t="str">
            <v>TOS</v>
          </cell>
        </row>
        <row r="58">
          <cell r="G58" t="str">
            <v>NC</v>
          </cell>
        </row>
        <row r="59">
          <cell r="G59" t="str">
            <v>RF</v>
          </cell>
        </row>
        <row r="60">
          <cell r="G60" t="str">
            <v>DI</v>
          </cell>
        </row>
        <row r="63">
          <cell r="B63" t="str">
            <v>Electric Resistance</v>
          </cell>
          <cell r="C63" t="str">
            <v>Electric Heat Pump</v>
          </cell>
          <cell r="D63" t="str">
            <v>Unknown</v>
          </cell>
        </row>
      </sheetData>
      <sheetData sheetId="15"/>
      <sheetData sheetId="16">
        <row r="39">
          <cell r="B39">
            <v>0</v>
          </cell>
        </row>
      </sheetData>
      <sheetData sheetId="17">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row>
        <row r="37">
          <cell r="F37" t="str">
            <v>Resistance</v>
          </cell>
        </row>
      </sheetData>
      <sheetData sheetId="18"/>
      <sheetData sheetId="19"/>
      <sheetData sheetId="20">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21">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22">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3">
        <row r="109">
          <cell r="I109">
            <v>5</v>
          </cell>
          <cell r="J109">
            <v>6</v>
          </cell>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4"/>
      <sheetData sheetId="25"/>
      <sheetData sheetId="26">
        <row r="2">
          <cell r="L2">
            <v>0.10876731997839081</v>
          </cell>
        </row>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7">
        <row r="8">
          <cell r="D8">
            <v>2.2185999999999987E-2</v>
          </cell>
        </row>
      </sheetData>
      <sheetData sheetId="28"/>
      <sheetData sheetId="2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DualSummary"/>
      <sheetName val="5.1.2"/>
      <sheetName val="5.1.8"/>
      <sheetName val="5.3.1"/>
      <sheetName val="5.3.3"/>
      <sheetName val="5.3.5"/>
      <sheetName val="5.3.6"/>
      <sheetName val="5.3.7"/>
      <sheetName val="5.3.11"/>
      <sheetName val="5.3.16"/>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sheetData sheetId="2">
        <row r="78">
          <cell r="L78">
            <v>74.347799999999992</v>
          </cell>
        </row>
      </sheetData>
      <sheetData sheetId="3"/>
      <sheetData sheetId="4">
        <row r="61">
          <cell r="C61" t="str">
            <v>TOS</v>
          </cell>
        </row>
        <row r="62">
          <cell r="C62" t="str">
            <v>NC</v>
          </cell>
        </row>
        <row r="67">
          <cell r="H67"/>
        </row>
        <row r="68">
          <cell r="H68"/>
        </row>
        <row r="69">
          <cell r="H69"/>
        </row>
        <row r="108">
          <cell r="A108" t="str">
            <v>Electric</v>
          </cell>
        </row>
        <row r="109">
          <cell r="A109" t="str">
            <v>Natural Gas</v>
          </cell>
        </row>
      </sheetData>
      <sheetData sheetId="5">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6">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7">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8">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9">
        <row r="38">
          <cell r="A38" t="str">
            <v>AFUE 85% (Energy Star)</v>
          </cell>
        </row>
        <row r="39">
          <cell r="A39" t="str">
            <v>AFUE 90%</v>
          </cell>
        </row>
        <row r="40">
          <cell r="A40" t="str">
            <v>AFUE 95%</v>
          </cell>
        </row>
        <row r="53">
          <cell r="A53" t="str">
            <v>June 2012 – May 2013</v>
          </cell>
        </row>
        <row r="54">
          <cell r="A54" t="str">
            <v>June 2013 onwards</v>
          </cell>
        </row>
      </sheetData>
      <sheetData sheetId="10"/>
      <sheetData sheetId="11">
        <row r="27">
          <cell r="L27"/>
        </row>
        <row r="28">
          <cell r="L28"/>
        </row>
        <row r="58">
          <cell r="G58" t="str">
            <v>TOS</v>
          </cell>
        </row>
        <row r="59">
          <cell r="G59" t="str">
            <v>NC</v>
          </cell>
        </row>
        <row r="60">
          <cell r="G60" t="str">
            <v>RF</v>
          </cell>
        </row>
        <row r="61">
          <cell r="G61" t="str">
            <v>DI</v>
          </cell>
        </row>
        <row r="64">
          <cell r="B64" t="str">
            <v>Electric Resistance</v>
          </cell>
          <cell r="C64" t="str">
            <v>Electric Heat Pump</v>
          </cell>
          <cell r="D64" t="str">
            <v>Unknown</v>
          </cell>
        </row>
      </sheetData>
      <sheetData sheetId="12"/>
      <sheetData sheetId="13">
        <row r="30">
          <cell r="I30" t="str">
            <v>TOS</v>
          </cell>
        </row>
        <row r="31">
          <cell r="I31" t="str">
            <v>EREP</v>
          </cell>
        </row>
        <row r="39">
          <cell r="B39" t="str">
            <v>Gas Storage</v>
          </cell>
        </row>
        <row r="40">
          <cell r="B40" t="str">
            <v>Condensing gas storage</v>
          </cell>
        </row>
        <row r="41">
          <cell r="B41" t="str">
            <v>Tankless whole-house unit</v>
          </cell>
        </row>
      </sheetData>
      <sheetData sheetId="14">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t="str">
            <v>Resistance</v>
          </cell>
        </row>
      </sheetData>
      <sheetData sheetId="15"/>
      <sheetData sheetId="16"/>
      <sheetData sheetId="17">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8">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9">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0">
        <row r="109">
          <cell r="I109">
            <v>5</v>
          </cell>
          <cell r="J109">
            <v>6</v>
          </cell>
        </row>
        <row r="122">
          <cell r="J122"/>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1"/>
      <sheetData sheetId="22"/>
      <sheetData sheetId="23">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4">
        <row r="8">
          <cell r="D8">
            <v>7.4399999999999994E-2</v>
          </cell>
        </row>
      </sheetData>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Program-Level Adjustments"/>
      <sheetName val="Measure-Level Adjustments"/>
      <sheetName val="4.2.1"/>
      <sheetName val="4.2.3"/>
      <sheetName val="4.2.4"/>
      <sheetName val="4.2.5"/>
      <sheetName val="4.2.7"/>
      <sheetName val="4.2.8"/>
      <sheetName val="4.2.11"/>
      <sheetName val="4.2.12"/>
      <sheetName val="4.2.13"/>
      <sheetName val="4.2.14"/>
      <sheetName val="4.2.15"/>
      <sheetName val="4.2.17"/>
      <sheetName val="4.2.18"/>
      <sheetName val="4.3.1"/>
      <sheetName val="4.3.2"/>
      <sheetName val="4.3.3"/>
      <sheetName val="4.3.4"/>
      <sheetName val="4.3.6"/>
      <sheetName val="4.4.2"/>
      <sheetName val="4.4.3"/>
      <sheetName val="4.4.4"/>
      <sheetName val="4.4.5"/>
      <sheetName val="4.4.10"/>
      <sheetName val="4.4.11"/>
      <sheetName val="4.4.12"/>
      <sheetName val="4.4.14"/>
      <sheetName val="4.4.16"/>
      <sheetName val="4.4.18"/>
      <sheetName val="4.4.19"/>
      <sheetName val="4.4.24 "/>
      <sheetName val="4.8.4"/>
      <sheetName val="5.3.4"/>
      <sheetName val="5.3.6"/>
      <sheetName val="5.3.7"/>
      <sheetName val="5.3.13"/>
      <sheetName val="5.4.1"/>
      <sheetName val="5.4.2"/>
      <sheetName val="5.4.4"/>
      <sheetName val="5.4.5"/>
      <sheetName val="5.4.6"/>
      <sheetName val="5.3.11"/>
      <sheetName val="5.3.16"/>
      <sheetName val="5.6.1"/>
      <sheetName val="5.6.2"/>
      <sheetName val="5.6.3"/>
      <sheetName val="5.6.4"/>
      <sheetName val="Kits"/>
      <sheetName val="List"/>
      <sheetName val="5.6.4 &amp; 5.6.5"/>
      <sheetName val="4.4.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_Data"/>
      <sheetName val="CANDI"/>
      <sheetName val="RES"/>
      <sheetName val="RNC"/>
      <sheetName val="Kit"/>
      <sheetName val="Furnace"/>
      <sheetName val="Furnace Simple"/>
      <sheetName val="EEP2 Sources"/>
      <sheetName val="Avoided Costs"/>
      <sheetName val="PY1 Sources"/>
      <sheetName val="Furnace background"/>
      <sheetName val="Column Headings"/>
      <sheetName val="Sheet1"/>
      <sheetName val="Thermostats"/>
      <sheetName val="Non-TR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Peoples Gas Measure"/>
      <sheetName val="Peoples Program Inputs"/>
      <sheetName val="General Inputs"/>
      <sheetName val="Peoples PY4"/>
      <sheetName val="Peoples PY5"/>
      <sheetName val="Peoples PY6"/>
      <sheetName val="Peoples PY4-6"/>
      <sheetName val="Peoples Gas Program"/>
      <sheetName val="North Sh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refreshError="1"/>
      <sheetData sheetId="1" refreshError="1">
        <row r="14">
          <cell r="H14" t="str">
            <v>Natural Gas Steam Cooker</v>
          </cell>
        </row>
        <row r="15">
          <cell r="H15" t="str">
            <v>Electric Steam Cooker</v>
          </cell>
        </row>
        <row r="38">
          <cell r="D38">
            <v>3</v>
          </cell>
        </row>
        <row r="39">
          <cell r="D39">
            <v>4</v>
          </cell>
        </row>
        <row r="40">
          <cell r="D40">
            <v>5</v>
          </cell>
        </row>
        <row r="41">
          <cell r="D41">
            <v>6</v>
          </cell>
        </row>
        <row r="45">
          <cell r="D45" t="str">
            <v>Fast Food, limited menu</v>
          </cell>
          <cell r="H45" t="str">
            <v>Tier 1A</v>
          </cell>
        </row>
        <row r="46">
          <cell r="D46" t="str">
            <v>Fast Food, expanded menu</v>
          </cell>
          <cell r="H46" t="str">
            <v>Tier 1B</v>
          </cell>
        </row>
        <row r="47">
          <cell r="D47" t="str">
            <v>Pizza</v>
          </cell>
          <cell r="H47" t="str">
            <v>Avg Efficient</v>
          </cell>
        </row>
        <row r="48">
          <cell r="D48" t="str">
            <v>Full Service, limited menu</v>
          </cell>
          <cell r="H48" t="str">
            <v>Avg Most Efficient</v>
          </cell>
        </row>
        <row r="49">
          <cell r="D49" t="str">
            <v>Full Service, expanded menu</v>
          </cell>
        </row>
        <row r="50">
          <cell r="D50" t="str">
            <v>Cafeteria</v>
          </cell>
        </row>
        <row r="51">
          <cell r="D51" t="str">
            <v>Unknown</v>
          </cell>
        </row>
        <row r="52">
          <cell r="D52" t="str">
            <v>Custom</v>
          </cell>
        </row>
      </sheetData>
      <sheetData sheetId="2" refreshError="1">
        <row r="13">
          <cell r="K13" t="str">
            <v>TOS</v>
          </cell>
        </row>
        <row r="14">
          <cell r="K14" t="str">
            <v>RF</v>
          </cell>
        </row>
        <row r="15">
          <cell r="K15" t="str">
            <v>DI</v>
          </cell>
        </row>
        <row r="18">
          <cell r="K18" t="str">
            <v>Electric</v>
          </cell>
        </row>
        <row r="19">
          <cell r="K19" t="str">
            <v>Gas</v>
          </cell>
        </row>
        <row r="30">
          <cell r="B30" t="str">
            <v>Small, quick- service restaurants</v>
          </cell>
        </row>
        <row r="31">
          <cell r="B31" t="str">
            <v>Medium-sized casual dining restaurants</v>
          </cell>
        </row>
        <row r="32">
          <cell r="B32" t="str">
            <v>Large institutional establishments with cafeteria</v>
          </cell>
        </row>
      </sheetData>
      <sheetData sheetId="3" refreshError="1">
        <row r="8">
          <cell r="K8" t="str">
            <v>TOS</v>
          </cell>
        </row>
        <row r="9">
          <cell r="K9" t="str">
            <v>RF</v>
          </cell>
        </row>
        <row r="10">
          <cell r="K10" t="str">
            <v>ER</v>
          </cell>
        </row>
        <row r="14">
          <cell r="H14">
            <v>5</v>
          </cell>
        </row>
        <row r="15">
          <cell r="H15">
            <v>10</v>
          </cell>
        </row>
        <row r="16">
          <cell r="H16">
            <v>15</v>
          </cell>
        </row>
      </sheetData>
      <sheetData sheetId="4" refreshError="1">
        <row r="15">
          <cell r="O15">
            <v>1</v>
          </cell>
        </row>
        <row r="16">
          <cell r="H16" t="str">
            <v>1 (Rockford)</v>
          </cell>
          <cell r="O16">
            <v>75</v>
          </cell>
        </row>
        <row r="17">
          <cell r="H17" t="str">
            <v>2 (Chicago)</v>
          </cell>
          <cell r="O17">
            <v>300</v>
          </cell>
        </row>
        <row r="18">
          <cell r="H18" t="str">
            <v>3 (Springfield)</v>
          </cell>
          <cell r="O18">
            <v>400</v>
          </cell>
        </row>
        <row r="19">
          <cell r="H19" t="str">
            <v>4 (Belleville)</v>
          </cell>
          <cell r="O19">
            <v>650</v>
          </cell>
        </row>
        <row r="20">
          <cell r="H20" t="str">
            <v>5 (Marion)</v>
          </cell>
          <cell r="O20">
            <v>482</v>
          </cell>
        </row>
        <row r="21">
          <cell r="H21" t="str">
            <v>Custom</v>
          </cell>
          <cell r="O21">
            <v>800</v>
          </cell>
        </row>
        <row r="28">
          <cell r="B28" t="str">
            <v>Office - High Rise</v>
          </cell>
        </row>
        <row r="29">
          <cell r="B29" t="str">
            <v>Office - Mid Rise</v>
          </cell>
        </row>
        <row r="30">
          <cell r="B30" t="str">
            <v>Office - Low Rise</v>
          </cell>
        </row>
        <row r="31">
          <cell r="B31" t="str">
            <v>Convenience</v>
          </cell>
        </row>
        <row r="32">
          <cell r="B32" t="str">
            <v>Healthcare Clinic</v>
          </cell>
        </row>
        <row r="33">
          <cell r="B33" t="str">
            <v>Manufacturing Facility</v>
          </cell>
        </row>
        <row r="34">
          <cell r="B34" t="str">
            <v>Lodging Hotel/Motel</v>
          </cell>
        </row>
        <row r="35">
          <cell r="B35" t="str">
            <v>High School</v>
          </cell>
        </row>
        <row r="36">
          <cell r="B36" t="str">
            <v>Hospital</v>
          </cell>
        </row>
        <row r="37">
          <cell r="B37" t="str">
            <v>Elementary</v>
          </cell>
        </row>
        <row r="38">
          <cell r="B38" t="str">
            <v>Religious Facility</v>
          </cell>
        </row>
        <row r="39">
          <cell r="B39" t="str">
            <v>Restaurant</v>
          </cell>
        </row>
        <row r="40">
          <cell r="B40" t="str">
            <v>Retail - Strip Mall</v>
          </cell>
        </row>
        <row r="41">
          <cell r="B41" t="str">
            <v>Retail - Department Store</v>
          </cell>
        </row>
        <row r="42">
          <cell r="B42" t="str">
            <v>College/University</v>
          </cell>
        </row>
        <row r="43">
          <cell r="B43" t="str">
            <v>Warehouse</v>
          </cell>
        </row>
        <row r="44">
          <cell r="B44" t="str">
            <v>Unknown</v>
          </cell>
        </row>
      </sheetData>
      <sheetData sheetId="5" refreshError="1"/>
      <sheetData sheetId="6" refreshError="1">
        <row r="20">
          <cell r="H20" t="str">
            <v>TOS</v>
          </cell>
        </row>
        <row r="21">
          <cell r="H21" t="str">
            <v>RF</v>
          </cell>
        </row>
        <row r="31">
          <cell r="J31" t="str">
            <v>Hot Water &lt;300,000 Btu/h &lt; June 1, 2013</v>
          </cell>
        </row>
        <row r="32">
          <cell r="J32" t="str">
            <v>Hot Water &lt;300,000 Btu/h  ≥ June 1, 2013</v>
          </cell>
          <cell r="N32" t="str">
            <v>ENERGY STAR® Minimum</v>
          </cell>
        </row>
        <row r="33">
          <cell r="J33" t="str">
            <v>Hot Water  ≥300,000 &amp; ≤2,500,000 Btu/h</v>
          </cell>
          <cell r="N33" t="str">
            <v>AFUE 90%</v>
          </cell>
        </row>
        <row r="34">
          <cell r="J34" t="str">
            <v>Hot Water  &gt;2,500,000 Btu/h</v>
          </cell>
          <cell r="N34" t="str">
            <v>AFUE 95%</v>
          </cell>
        </row>
        <row r="35">
          <cell r="J35" t="str">
            <v>Steam &lt;300,000 Btu/h &lt; June 1, 2013</v>
          </cell>
          <cell r="N35" t="str">
            <v>AFUE ≥ 96%</v>
          </cell>
        </row>
        <row r="36">
          <cell r="J36" t="str">
            <v>Steam &lt;300,000 Btu/h ≥June 1, 2013</v>
          </cell>
          <cell r="N36" t="str">
            <v>Custom</v>
          </cell>
        </row>
        <row r="37">
          <cell r="J37" t="str">
            <v>Steam - all except natural draft ≥300,000 &amp; ≤2,500,000 Btu/h</v>
          </cell>
        </row>
        <row r="38">
          <cell r="J38" t="str">
            <v>Steam - natural draft ≥300,000 &amp; ≤2,500,000 Btu/h</v>
          </cell>
        </row>
        <row r="39">
          <cell r="J39" t="str">
            <v>Steam - all except natural draft &gt;2,500,000 Btu/h</v>
          </cell>
        </row>
        <row r="40">
          <cell r="J40" t="str">
            <v>Steam - natural draft &gt;2,500,000 Btu/h</v>
          </cell>
        </row>
      </sheetData>
      <sheetData sheetId="7" refreshError="1">
        <row r="29">
          <cell r="B29" t="str">
            <v>Air Conditioning</v>
          </cell>
          <cell r="J29">
            <v>2012</v>
          </cell>
        </row>
        <row r="30">
          <cell r="B30" t="str">
            <v>No Air Conditioning</v>
          </cell>
          <cell r="J30">
            <v>2013</v>
          </cell>
        </row>
        <row r="31">
          <cell r="B31" t="str">
            <v>Unknown</v>
          </cell>
        </row>
      </sheetData>
      <sheetData sheetId="8" refreshError="1"/>
      <sheetData sheetId="9" refreshError="1">
        <row r="26">
          <cell r="B26" t="str">
            <v>Commercial Dry Cleaners</v>
          </cell>
        </row>
        <row r="27">
          <cell r="B27" t="str">
            <v>Commercial Heating , (including Multifamily) low pressure steam</v>
          </cell>
        </row>
        <row r="28">
          <cell r="B28" t="str">
            <v xml:space="preserve">Industrial Low Pressure &lt;15 psig </v>
          </cell>
        </row>
        <row r="29">
          <cell r="B29" t="str">
            <v>Industrial Medium Pressure &gt;15 psig &lt; 30 psig</v>
          </cell>
        </row>
        <row r="30">
          <cell r="B30" t="str">
            <v>Industrial Medium Pressure ≥30 &lt;75 psig</v>
          </cell>
        </row>
        <row r="31">
          <cell r="B31" t="str">
            <v>Industrial High Pressure ≥75 &lt;125 psig</v>
          </cell>
        </row>
        <row r="32">
          <cell r="B32" t="str">
            <v>Industrial High Pressure ≥125 &lt;175 psig</v>
          </cell>
        </row>
        <row r="33">
          <cell r="B33" t="str">
            <v>Industrial High Pressure ≥175 &lt;250 psig</v>
          </cell>
        </row>
        <row r="34">
          <cell r="B34" t="str">
            <v>Industrial High Pressure ≥250 psig</v>
          </cell>
        </row>
      </sheetData>
      <sheetData sheetId="10" refreshError="1">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1" refreshError="1"/>
      <sheetData sheetId="12" refreshError="1">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3"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4" refreshError="1">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5" refreshError="1">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6" refreshError="1">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7" refreshError="1">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18" refreshError="1">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row>
        <row r="38">
          <cell r="B38" t="str">
            <v>Hospital</v>
          </cell>
          <cell r="G38" t="str">
            <v>Parking areas &amp; drives</v>
          </cell>
        </row>
        <row r="39">
          <cell r="B39" t="str">
            <v>Hotel</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row>
        <row r="49">
          <cell r="B49" t="str">
            <v>Performing Arts Theater</v>
          </cell>
          <cell r="G49" t="str">
            <v>Free standing &amp; attached</v>
          </cell>
        </row>
        <row r="50">
          <cell r="B50" t="str">
            <v>Police/Fire Station</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19"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0" refreshError="1">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1" refreshError="1">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2" refreshError="1">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3" refreshError="1">
        <row r="8">
          <cell r="D8">
            <v>8.09E-2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sheetData sheetId="1"/>
      <sheetData sheetId="2"/>
      <sheetData sheetId="3">
        <row r="73">
          <cell r="B73"/>
        </row>
        <row r="74">
          <cell r="B74" t="str">
            <v>Natural Gas Steam Cooker</v>
          </cell>
        </row>
        <row r="75">
          <cell r="B75" t="str">
            <v>Electric Steam Cooker</v>
          </cell>
        </row>
        <row r="78">
          <cell r="A78" t="str">
            <v>Number of Pans</v>
          </cell>
        </row>
        <row r="79">
          <cell r="A79">
            <v>3</v>
          </cell>
        </row>
        <row r="80">
          <cell r="A80">
            <v>4</v>
          </cell>
        </row>
        <row r="81">
          <cell r="A81">
            <v>5</v>
          </cell>
        </row>
        <row r="82">
          <cell r="A82">
            <v>6</v>
          </cell>
        </row>
        <row r="85">
          <cell r="A85" t="str">
            <v>Type of Food Service</v>
          </cell>
          <cell r="E85" t="str">
            <v>CEE Tier</v>
          </cell>
        </row>
        <row r="86">
          <cell r="A86" t="str">
            <v>Fast Food, limited menu</v>
          </cell>
          <cell r="E86" t="str">
            <v>Tier 1A</v>
          </cell>
        </row>
        <row r="87">
          <cell r="A87" t="str">
            <v>Fast Food, expanded menu</v>
          </cell>
          <cell r="E87" t="str">
            <v>Tier 1B</v>
          </cell>
        </row>
        <row r="88">
          <cell r="A88" t="str">
            <v>Pizza</v>
          </cell>
          <cell r="E88" t="str">
            <v>Avg Efficient</v>
          </cell>
        </row>
        <row r="89">
          <cell r="A89" t="str">
            <v>Full Service, limited menu</v>
          </cell>
          <cell r="E89" t="str">
            <v>Avg Most Efficient</v>
          </cell>
        </row>
        <row r="90">
          <cell r="A90" t="str">
            <v>Full Service, expanded menu</v>
          </cell>
        </row>
        <row r="91">
          <cell r="A91" t="str">
            <v>Cafeteria</v>
          </cell>
        </row>
        <row r="92">
          <cell r="A92" t="str">
            <v>Unknown</v>
          </cell>
        </row>
        <row r="93">
          <cell r="A93" t="str">
            <v>Custom</v>
          </cell>
        </row>
      </sheetData>
      <sheetData sheetId="4">
        <row r="44">
          <cell r="A44" t="str">
            <v>Efficient Definition</v>
          </cell>
        </row>
        <row r="49">
          <cell r="A49" t="str">
            <v>Small, quick- service restaurants</v>
          </cell>
        </row>
        <row r="50">
          <cell r="A50" t="str">
            <v>Medium-sized casual dining restaurants</v>
          </cell>
        </row>
        <row r="51">
          <cell r="A51" t="str">
            <v>Large institutional establishments with cafeteria</v>
          </cell>
        </row>
        <row r="57">
          <cell r="A57" t="str">
            <v>Actual-MF</v>
          </cell>
        </row>
        <row r="58">
          <cell r="A58" t="str">
            <v>Actual-SBES</v>
          </cell>
        </row>
        <row r="59">
          <cell r="A59"/>
        </row>
        <row r="62">
          <cell r="A62" t="str">
            <v>TOS</v>
          </cell>
        </row>
        <row r="63">
          <cell r="A63" t="str">
            <v>RF</v>
          </cell>
        </row>
        <row r="64">
          <cell r="A64" t="str">
            <v>DI</v>
          </cell>
        </row>
        <row r="67">
          <cell r="A67" t="str">
            <v>Electric</v>
          </cell>
        </row>
        <row r="68">
          <cell r="A68" t="str">
            <v>Gas</v>
          </cell>
        </row>
      </sheetData>
      <sheetData sheetId="5">
        <row r="52">
          <cell r="A52" t="str">
            <v>Output (Gpm) at delta T 70</v>
          </cell>
        </row>
        <row r="53">
          <cell r="A53">
            <v>5</v>
          </cell>
        </row>
        <row r="54">
          <cell r="A54">
            <v>10</v>
          </cell>
        </row>
        <row r="55">
          <cell r="A55">
            <v>15</v>
          </cell>
        </row>
        <row r="63">
          <cell r="B63" t="str">
            <v>Program Type</v>
          </cell>
        </row>
        <row r="64">
          <cell r="B64" t="str">
            <v>TOS</v>
          </cell>
        </row>
        <row r="65">
          <cell r="B65" t="str">
            <v>RF</v>
          </cell>
        </row>
        <row r="66">
          <cell r="B66" t="str">
            <v>ER</v>
          </cell>
        </row>
      </sheetData>
      <sheetData sheetId="6">
        <row r="45">
          <cell r="A45" t="str">
            <v>Climate Table Lookup</v>
          </cell>
          <cell r="D45" t="str">
            <v>Boiler kbtuh (MBh)</v>
          </cell>
        </row>
        <row r="46">
          <cell r="A46" t="str">
            <v>1 (Rockford)</v>
          </cell>
          <cell r="D46">
            <v>1</v>
          </cell>
        </row>
        <row r="47">
          <cell r="A47" t="str">
            <v>2 (Chicago)</v>
          </cell>
          <cell r="D47">
            <v>75</v>
          </cell>
        </row>
        <row r="48">
          <cell r="A48" t="str">
            <v>3 (Springfield)</v>
          </cell>
          <cell r="D48">
            <v>300</v>
          </cell>
        </row>
        <row r="49">
          <cell r="A49" t="str">
            <v>4 (Belleville)</v>
          </cell>
          <cell r="D49">
            <v>400</v>
          </cell>
        </row>
        <row r="50">
          <cell r="A50" t="str">
            <v>5 (Marion)</v>
          </cell>
          <cell r="D50">
            <v>650</v>
          </cell>
        </row>
        <row r="51">
          <cell r="A51" t="str">
            <v>Custom</v>
          </cell>
          <cell r="D51">
            <v>482</v>
          </cell>
        </row>
        <row r="52">
          <cell r="D52">
            <v>800</v>
          </cell>
        </row>
        <row r="74">
          <cell r="B74"/>
        </row>
        <row r="75">
          <cell r="B75" t="str">
            <v>Office - High Rise</v>
          </cell>
        </row>
        <row r="76">
          <cell r="B76" t="str">
            <v>Office - Mid Rise</v>
          </cell>
        </row>
        <row r="77">
          <cell r="B77" t="str">
            <v>Office - Low Rise</v>
          </cell>
        </row>
        <row r="78">
          <cell r="B78" t="str">
            <v>Convenience</v>
          </cell>
        </row>
        <row r="79">
          <cell r="B79" t="str">
            <v>Healthcare Clinic</v>
          </cell>
        </row>
        <row r="80">
          <cell r="B80" t="str">
            <v>Manufacturing Facility</v>
          </cell>
        </row>
        <row r="81">
          <cell r="B81" t="str">
            <v>Lodging Hotel/Motel</v>
          </cell>
        </row>
        <row r="82">
          <cell r="B82" t="str">
            <v>High School</v>
          </cell>
        </row>
        <row r="83">
          <cell r="B83" t="str">
            <v>Hospital</v>
          </cell>
        </row>
        <row r="84">
          <cell r="B84" t="str">
            <v>Elementary</v>
          </cell>
        </row>
        <row r="85">
          <cell r="B85" t="str">
            <v>Religious Facility</v>
          </cell>
        </row>
        <row r="86">
          <cell r="B86" t="str">
            <v>Restaurant</v>
          </cell>
        </row>
        <row r="87">
          <cell r="B87" t="str">
            <v>Retail - Strip Mall</v>
          </cell>
        </row>
        <row r="88">
          <cell r="B88" t="str">
            <v>Retail - Department Store</v>
          </cell>
        </row>
        <row r="89">
          <cell r="B89" t="str">
            <v>College/University</v>
          </cell>
        </row>
        <row r="90">
          <cell r="B90" t="str">
            <v>Warehouse</v>
          </cell>
        </row>
        <row r="91">
          <cell r="B91" t="str">
            <v>Unknown</v>
          </cell>
        </row>
      </sheetData>
      <sheetData sheetId="7"/>
      <sheetData sheetId="8">
        <row r="39">
          <cell r="C39" t="str">
            <v>Program Type</v>
          </cell>
        </row>
        <row r="40">
          <cell r="C40" t="str">
            <v>TOS</v>
          </cell>
        </row>
        <row r="41">
          <cell r="C41" t="str">
            <v>RF</v>
          </cell>
        </row>
        <row r="45">
          <cell r="D45" t="str">
            <v>ENERGY STAR® Minimum</v>
          </cell>
        </row>
        <row r="46">
          <cell r="D46" t="str">
            <v>AFUE 90%</v>
          </cell>
        </row>
        <row r="47">
          <cell r="D47" t="str">
            <v>AFUE 95%</v>
          </cell>
        </row>
        <row r="48">
          <cell r="D48" t="str">
            <v>AFUE ≥ 96%</v>
          </cell>
        </row>
        <row r="49">
          <cell r="D49" t="str">
            <v>Custom</v>
          </cell>
        </row>
        <row r="53">
          <cell r="A53" t="str">
            <v>Hot Water &lt;300,000 Btu/h &lt; June 1, 2013</v>
          </cell>
        </row>
        <row r="54">
          <cell r="A54" t="str">
            <v>Hot Water &lt;300,000 Btu/h  ≥ June 1, 2013</v>
          </cell>
        </row>
        <row r="55">
          <cell r="A55" t="str">
            <v>Hot Water  ≥300,000 &amp; ≤2,500,000 Btu/h</v>
          </cell>
        </row>
        <row r="56">
          <cell r="A56" t="str">
            <v>Hot Water  &gt;2,500,000 Btu/h</v>
          </cell>
        </row>
        <row r="57">
          <cell r="A57" t="str">
            <v>Steam &lt;300,000 Btu/h &lt; June 1, 2013</v>
          </cell>
        </row>
        <row r="58">
          <cell r="A58" t="str">
            <v>Steam &lt;300,000 Btu/h ≥June 1, 2013</v>
          </cell>
        </row>
        <row r="59">
          <cell r="A59" t="str">
            <v>Steam - all except natural draft ≥300,000 &amp; ≤2,500,000 Btu/h</v>
          </cell>
        </row>
        <row r="60">
          <cell r="A60" t="str">
            <v>Steam - natural draft ≥300,000 &amp; ≤2,500,000 Btu/h</v>
          </cell>
        </row>
        <row r="61">
          <cell r="A61" t="str">
            <v>Steam - all except natural draft &gt;2,500,000 Btu/h</v>
          </cell>
        </row>
        <row r="62">
          <cell r="A62" t="str">
            <v>Steam - natural draft &gt;2,500,000 Btu/h</v>
          </cell>
        </row>
      </sheetData>
      <sheetData sheetId="9">
        <row r="56">
          <cell r="B56" t="str">
            <v>Air Conditioning</v>
          </cell>
        </row>
        <row r="57">
          <cell r="B57" t="str">
            <v>No Air Conditioning</v>
          </cell>
        </row>
        <row r="58">
          <cell r="B58" t="str">
            <v>Unknown</v>
          </cell>
        </row>
        <row r="96">
          <cell r="B96">
            <v>2012</v>
          </cell>
        </row>
        <row r="97">
          <cell r="B97">
            <v>2013</v>
          </cell>
        </row>
      </sheetData>
      <sheetData sheetId="10"/>
      <sheetData sheetId="11">
        <row r="70">
          <cell r="B70" t="str">
            <v>Commercial Dry Cleaners</v>
          </cell>
        </row>
        <row r="71">
          <cell r="B71" t="str">
            <v>Commercial Heating , (including Multifamily) low pressure steam</v>
          </cell>
        </row>
        <row r="72">
          <cell r="B72" t="str">
            <v xml:space="preserve">Industrial Low Pressure &lt;15 psig </v>
          </cell>
        </row>
        <row r="73">
          <cell r="B73" t="str">
            <v>Industrial Medium Pressure &gt;15 psig &lt; 30 psig</v>
          </cell>
        </row>
        <row r="74">
          <cell r="B74" t="str">
            <v>Industrial Medium Pressure ≥30 &lt;75 psig</v>
          </cell>
        </row>
        <row r="75">
          <cell r="B75" t="str">
            <v>Industrial High Pressure ≥75 &lt;125 psig</v>
          </cell>
        </row>
        <row r="76">
          <cell r="B76" t="str">
            <v>Industrial High Pressure ≥125 &lt;175 psig</v>
          </cell>
        </row>
        <row r="77">
          <cell r="B77" t="str">
            <v>Industrial High Pressure ≥175 &lt;250 psig</v>
          </cell>
        </row>
        <row r="78">
          <cell r="B78" t="str">
            <v>Industrial High Pressure ≥250 psig</v>
          </cell>
        </row>
        <row r="79">
          <cell r="B79" t="str">
            <v>Industrial High Pressure ≥300psig</v>
          </cell>
        </row>
        <row r="80">
          <cell r="B80"/>
        </row>
      </sheetData>
      <sheetData sheetId="12">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3"/>
      <sheetData sheetId="14">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5">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6">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7">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8">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9">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0">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row>
        <row r="38">
          <cell r="B38" t="str">
            <v>Hospital</v>
          </cell>
          <cell r="G38" t="str">
            <v>Parking areas &amp; drives</v>
          </cell>
        </row>
        <row r="39">
          <cell r="B39" t="str">
            <v>Hotel</v>
          </cell>
          <cell r="G39"/>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row>
        <row r="49">
          <cell r="B49" t="str">
            <v>Performing Arts Theater</v>
          </cell>
          <cell r="G49" t="str">
            <v>Free standing &amp; attached</v>
          </cell>
        </row>
        <row r="50">
          <cell r="B50" t="str">
            <v>Police/Fire Station</v>
          </cell>
          <cell r="G50"/>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2">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3">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4">
        <row r="38">
          <cell r="J38" t="str">
            <v>1 (Rockford)</v>
          </cell>
        </row>
      </sheetData>
      <sheetData sheetId="25">
        <row r="8">
          <cell r="D8">
            <v>7.4399999999999994E-2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 val="Lists"/>
    </sheetNames>
    <sheetDataSet>
      <sheetData sheetId="0" refreshError="1"/>
      <sheetData sheetId="1" refreshError="1"/>
      <sheetData sheetId="2" refreshError="1"/>
      <sheetData sheetId="3"/>
      <sheetData sheetId="4"/>
      <sheetData sheetId="5"/>
      <sheetData sheetId="6"/>
      <sheetData sheetId="7" refreshError="1"/>
      <sheetData sheetId="8"/>
      <sheetData sheetId="9"/>
      <sheetData sheetId="10" refreshError="1"/>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Update Log"/>
      <sheetName val="Summary"/>
      <sheetName val="Algorithm Components Summary"/>
      <sheetName val="4.2.3"/>
      <sheetName val="4.2.11"/>
      <sheetName val="4.2.16"/>
      <sheetName val="4.4.2"/>
      <sheetName val="4.3.5"/>
      <sheetName val="4.4.4"/>
      <sheetName val="4.4.11"/>
      <sheetName val="4.4.14"/>
      <sheetName val="4.4.16"/>
      <sheetName val="4.4.17"/>
      <sheetName val="4.4.24 "/>
      <sheetName val="4.4.40"/>
      <sheetName val="4.4.41"/>
      <sheetName val="4.4.47"/>
      <sheetName val="4.4.48"/>
      <sheetName val="4.5.1"/>
      <sheetName val="4.5.2"/>
      <sheetName val="4.5.3"/>
      <sheetName val="4.5.4"/>
      <sheetName val="4.5.5"/>
      <sheetName val="4.5.6"/>
      <sheetName val="4.5.7"/>
      <sheetName val="4.5.9"/>
      <sheetName val="4.5.10"/>
      <sheetName val="4.5.12"/>
      <sheetName val="4.8.11"/>
      <sheetName val="4.8.12"/>
      <sheetName val="4.8.16"/>
      <sheetName val="List"/>
      <sheetName val="Input_Data"/>
    </sheetNames>
    <sheetDataSet>
      <sheetData sheetId="0"/>
      <sheetData sheetId="1"/>
      <sheetData sheetId="2">
        <row r="316">
          <cell r="C316" t="str">
            <v>Key</v>
          </cell>
          <cell r="D316" t="str">
            <v>Size Key</v>
          </cell>
          <cell r="E316" t="str">
            <v>Pipe Insulation</v>
          </cell>
          <cell r="F316" t="str">
            <v>Steam Traps</v>
          </cell>
          <cell r="G316" t="str">
            <v>Other</v>
          </cell>
        </row>
        <row r="317">
          <cell r="C317"/>
          <cell r="D317"/>
          <cell r="E317" t="str">
            <v>LN FT</v>
          </cell>
          <cell r="F317" t="str">
            <v>Unit</v>
          </cell>
          <cell r="G317" t="str">
            <v>Unit</v>
          </cell>
        </row>
        <row r="318">
          <cell r="C318" t="str">
            <v>Small CommercialAssembly</v>
          </cell>
          <cell r="D318" t="str">
            <v>Small</v>
          </cell>
          <cell r="E318">
            <v>10</v>
          </cell>
          <cell r="F318">
            <v>2</v>
          </cell>
          <cell r="G318">
            <v>1</v>
          </cell>
        </row>
        <row r="319">
          <cell r="C319" t="str">
            <v>Small CommercialAssisted Living</v>
          </cell>
          <cell r="D319" t="str">
            <v>Small</v>
          </cell>
          <cell r="E319">
            <v>10</v>
          </cell>
          <cell r="F319">
            <v>2</v>
          </cell>
          <cell r="G319">
            <v>1</v>
          </cell>
        </row>
        <row r="320">
          <cell r="C320" t="str">
            <v>Small CommercialCollege</v>
          </cell>
          <cell r="D320" t="str">
            <v>Medium</v>
          </cell>
          <cell r="E320">
            <v>20</v>
          </cell>
          <cell r="F320">
            <v>8</v>
          </cell>
          <cell r="G320">
            <v>1</v>
          </cell>
        </row>
        <row r="321">
          <cell r="C321" t="str">
            <v>Small CommercialGrocery</v>
          </cell>
          <cell r="D321" t="str">
            <v>Small</v>
          </cell>
          <cell r="E321">
            <v>10</v>
          </cell>
          <cell r="F321">
            <v>2</v>
          </cell>
          <cell r="G321">
            <v>1</v>
          </cell>
        </row>
        <row r="322">
          <cell r="C322" t="str">
            <v>Small CommercialHealthcare Clinic</v>
          </cell>
          <cell r="D322" t="str">
            <v>Small</v>
          </cell>
          <cell r="E322">
            <v>10</v>
          </cell>
          <cell r="F322">
            <v>2</v>
          </cell>
          <cell r="G322">
            <v>1</v>
          </cell>
        </row>
        <row r="323">
          <cell r="C323" t="str">
            <v>Small CommercialHotel/Motel</v>
          </cell>
          <cell r="D323" t="str">
            <v>Small</v>
          </cell>
          <cell r="E323">
            <v>10</v>
          </cell>
          <cell r="F323">
            <v>2</v>
          </cell>
          <cell r="G323">
            <v>1</v>
          </cell>
        </row>
        <row r="324">
          <cell r="C324" t="str">
            <v>Small CommercialMF - Mid Rise</v>
          </cell>
          <cell r="D324" t="str">
            <v>Medium</v>
          </cell>
          <cell r="E324">
            <v>20</v>
          </cell>
          <cell r="F324">
            <v>8</v>
          </cell>
          <cell r="G324">
            <v>1</v>
          </cell>
        </row>
        <row r="325">
          <cell r="C325" t="str">
            <v>Small CommercialSmall Office</v>
          </cell>
          <cell r="D325" t="str">
            <v>Small</v>
          </cell>
          <cell r="E325">
            <v>10</v>
          </cell>
          <cell r="F325">
            <v>2</v>
          </cell>
          <cell r="G325">
            <v>1</v>
          </cell>
        </row>
        <row r="326">
          <cell r="C326" t="str">
            <v>Small CommercialReligious Building</v>
          </cell>
          <cell r="D326" t="str">
            <v>Small</v>
          </cell>
          <cell r="E326">
            <v>10</v>
          </cell>
          <cell r="F326">
            <v>2</v>
          </cell>
          <cell r="G326">
            <v>1</v>
          </cell>
        </row>
        <row r="327">
          <cell r="C327" t="str">
            <v>Small CommercialRestaurant</v>
          </cell>
          <cell r="D327" t="str">
            <v>Small</v>
          </cell>
          <cell r="E327">
            <v>10</v>
          </cell>
          <cell r="F327">
            <v>2</v>
          </cell>
          <cell r="G327">
            <v>1</v>
          </cell>
        </row>
        <row r="328">
          <cell r="C328" t="str">
            <v>Small CommercialRetail</v>
          </cell>
          <cell r="D328" t="str">
            <v>Small</v>
          </cell>
          <cell r="E328">
            <v>10</v>
          </cell>
          <cell r="F328">
            <v>2</v>
          </cell>
          <cell r="G328">
            <v>1</v>
          </cell>
        </row>
        <row r="329">
          <cell r="C329" t="str">
            <v>Small CommercialWarehouse</v>
          </cell>
          <cell r="D329" t="str">
            <v>Medium</v>
          </cell>
          <cell r="E329">
            <v>20</v>
          </cell>
          <cell r="F329">
            <v>8</v>
          </cell>
          <cell r="G329">
            <v>1</v>
          </cell>
        </row>
        <row r="330">
          <cell r="C330" t="str">
            <v>Small CommercialMisc. Commercial</v>
          </cell>
          <cell r="D330" t="str">
            <v>Small</v>
          </cell>
          <cell r="E330">
            <v>10</v>
          </cell>
          <cell r="F330">
            <v>2</v>
          </cell>
          <cell r="G330">
            <v>1</v>
          </cell>
        </row>
        <row r="331">
          <cell r="C331" t="str">
            <v>Small CommercialPrivate Elementary and High School</v>
          </cell>
          <cell r="D331" t="str">
            <v>Medium</v>
          </cell>
          <cell r="E331">
            <v>20</v>
          </cell>
          <cell r="F331">
            <v>8</v>
          </cell>
          <cell r="G331">
            <v>1</v>
          </cell>
        </row>
        <row r="332">
          <cell r="C332" t="str">
            <v>Large CommercialAssembly</v>
          </cell>
          <cell r="D332" t="str">
            <v>Small</v>
          </cell>
          <cell r="E332">
            <v>10</v>
          </cell>
          <cell r="F332">
            <v>2</v>
          </cell>
          <cell r="G332">
            <v>1</v>
          </cell>
        </row>
        <row r="333">
          <cell r="C333" t="str">
            <v>Large CommercialAssisted Living</v>
          </cell>
          <cell r="D333" t="str">
            <v>Medium</v>
          </cell>
          <cell r="E333">
            <v>20</v>
          </cell>
          <cell r="F333">
            <v>8</v>
          </cell>
          <cell r="G333">
            <v>1</v>
          </cell>
        </row>
        <row r="334">
          <cell r="C334" t="str">
            <v>Large CommercialCollege</v>
          </cell>
          <cell r="D334" t="str">
            <v>Large</v>
          </cell>
          <cell r="E334">
            <v>30</v>
          </cell>
          <cell r="F334">
            <v>15</v>
          </cell>
          <cell r="G334">
            <v>1</v>
          </cell>
        </row>
        <row r="335">
          <cell r="C335" t="str">
            <v>Large CommercialGrocery</v>
          </cell>
          <cell r="D335" t="str">
            <v>Large</v>
          </cell>
          <cell r="E335">
            <v>30</v>
          </cell>
          <cell r="F335">
            <v>15</v>
          </cell>
          <cell r="G335">
            <v>1</v>
          </cell>
        </row>
        <row r="336">
          <cell r="C336" t="str">
            <v>Large CommercialHospital</v>
          </cell>
          <cell r="D336" t="str">
            <v>Large</v>
          </cell>
          <cell r="E336">
            <v>30</v>
          </cell>
          <cell r="F336">
            <v>15</v>
          </cell>
          <cell r="G336">
            <v>1</v>
          </cell>
        </row>
        <row r="337">
          <cell r="C337" t="str">
            <v>Large CommercialHotel/Motel</v>
          </cell>
          <cell r="D337" t="str">
            <v>Large</v>
          </cell>
          <cell r="E337">
            <v>30</v>
          </cell>
          <cell r="F337">
            <v>15</v>
          </cell>
          <cell r="G337">
            <v>1</v>
          </cell>
        </row>
        <row r="338">
          <cell r="C338" t="str">
            <v>Large CommercialMF - High Rise</v>
          </cell>
          <cell r="D338" t="str">
            <v>Large</v>
          </cell>
          <cell r="E338">
            <v>30</v>
          </cell>
          <cell r="F338">
            <v>15</v>
          </cell>
          <cell r="G338">
            <v>1</v>
          </cell>
        </row>
        <row r="339">
          <cell r="C339" t="str">
            <v>Large CommercialLarge Office</v>
          </cell>
          <cell r="D339" t="str">
            <v>Large</v>
          </cell>
          <cell r="E339">
            <v>30</v>
          </cell>
          <cell r="F339">
            <v>15</v>
          </cell>
          <cell r="G339">
            <v>1</v>
          </cell>
        </row>
        <row r="340">
          <cell r="C340" t="str">
            <v>Large CommercialReligious Building</v>
          </cell>
          <cell r="D340" t="str">
            <v>Small</v>
          </cell>
          <cell r="E340">
            <v>10</v>
          </cell>
          <cell r="F340">
            <v>2</v>
          </cell>
          <cell r="G340">
            <v>1</v>
          </cell>
        </row>
        <row r="341">
          <cell r="C341" t="str">
            <v>Large CommercialRestaurant</v>
          </cell>
          <cell r="D341" t="str">
            <v>Small</v>
          </cell>
          <cell r="E341">
            <v>10</v>
          </cell>
          <cell r="F341">
            <v>2</v>
          </cell>
          <cell r="G341">
            <v>1</v>
          </cell>
        </row>
        <row r="342">
          <cell r="C342" t="str">
            <v>Large CommercialRetail</v>
          </cell>
          <cell r="D342" t="str">
            <v>Small</v>
          </cell>
          <cell r="E342">
            <v>10</v>
          </cell>
          <cell r="F342">
            <v>2</v>
          </cell>
          <cell r="G342">
            <v>1</v>
          </cell>
        </row>
        <row r="343">
          <cell r="C343" t="str">
            <v>Large CommercialWarehouse</v>
          </cell>
          <cell r="D343" t="str">
            <v>Large</v>
          </cell>
          <cell r="E343">
            <v>30</v>
          </cell>
          <cell r="F343">
            <v>15</v>
          </cell>
          <cell r="G343">
            <v>1</v>
          </cell>
        </row>
        <row r="344">
          <cell r="C344" t="str">
            <v>Large CommercialMisc. Commercial</v>
          </cell>
          <cell r="D344" t="str">
            <v>Small</v>
          </cell>
          <cell r="E344">
            <v>10</v>
          </cell>
          <cell r="F344">
            <v>2</v>
          </cell>
          <cell r="G344">
            <v>1</v>
          </cell>
        </row>
        <row r="345">
          <cell r="C345" t="str">
            <v>Large CommercialPrivate Elementary and High School</v>
          </cell>
          <cell r="D345" t="str">
            <v>Medium</v>
          </cell>
          <cell r="E345">
            <v>20</v>
          </cell>
          <cell r="F345">
            <v>8</v>
          </cell>
          <cell r="G345">
            <v>1</v>
          </cell>
        </row>
        <row r="346">
          <cell r="C346" t="str">
            <v>Public SectorCollege</v>
          </cell>
          <cell r="D346" t="str">
            <v>Large</v>
          </cell>
          <cell r="E346">
            <v>30</v>
          </cell>
          <cell r="F346">
            <v>15</v>
          </cell>
          <cell r="G346">
            <v>1</v>
          </cell>
        </row>
        <row r="347">
          <cell r="C347" t="str">
            <v>Public SectorPublic Elementary and High School</v>
          </cell>
          <cell r="D347" t="str">
            <v>Medium</v>
          </cell>
          <cell r="E347">
            <v>20</v>
          </cell>
          <cell r="F347">
            <v>8</v>
          </cell>
          <cell r="G347">
            <v>1</v>
          </cell>
        </row>
        <row r="348">
          <cell r="C348" t="str">
            <v>Public SectorHospital</v>
          </cell>
          <cell r="D348" t="str">
            <v>Large</v>
          </cell>
          <cell r="E348">
            <v>30</v>
          </cell>
          <cell r="F348">
            <v>15</v>
          </cell>
          <cell r="G348">
            <v>1</v>
          </cell>
        </row>
        <row r="349">
          <cell r="C349" t="str">
            <v>Public SectorPublic Service/Gov't</v>
          </cell>
          <cell r="D349" t="str">
            <v>Small</v>
          </cell>
          <cell r="E349">
            <v>10</v>
          </cell>
          <cell r="F349">
            <v>2</v>
          </cell>
          <cell r="G349">
            <v>1</v>
          </cell>
        </row>
        <row r="350">
          <cell r="C350" t="str">
            <v>Public SectorMisc. Commercial</v>
          </cell>
          <cell r="D350" t="str">
            <v>Small</v>
          </cell>
          <cell r="E350">
            <v>10</v>
          </cell>
          <cell r="F350">
            <v>2</v>
          </cell>
          <cell r="G350">
            <v>1</v>
          </cell>
        </row>
        <row r="351">
          <cell r="C351" t="str">
            <v>IndustrialSmall Mfg</v>
          </cell>
          <cell r="D351" t="str">
            <v>Small</v>
          </cell>
          <cell r="E351">
            <v>10</v>
          </cell>
          <cell r="F351">
            <v>2</v>
          </cell>
          <cell r="G351">
            <v>1</v>
          </cell>
        </row>
        <row r="352">
          <cell r="C352" t="str">
            <v>IndustrialLarge Mfg</v>
          </cell>
          <cell r="D352" t="str">
            <v>Large</v>
          </cell>
          <cell r="E352">
            <v>30</v>
          </cell>
          <cell r="F352">
            <v>15</v>
          </cell>
          <cell r="G352">
            <v>1</v>
          </cell>
        </row>
        <row r="353">
          <cell r="C353" t="str">
            <v>IndustrialSmall Agriculture</v>
          </cell>
          <cell r="D353" t="str">
            <v>Small</v>
          </cell>
          <cell r="E353">
            <v>10</v>
          </cell>
          <cell r="F353">
            <v>2</v>
          </cell>
          <cell r="G353">
            <v>1</v>
          </cell>
        </row>
        <row r="354">
          <cell r="C354" t="str">
            <v>IndustrialLarge Agriculture</v>
          </cell>
          <cell r="D354" t="str">
            <v>Large</v>
          </cell>
          <cell r="E354">
            <v>30</v>
          </cell>
          <cell r="F354">
            <v>15</v>
          </cell>
          <cell r="G354">
            <v>1</v>
          </cell>
        </row>
        <row r="355">
          <cell r="C355" t="str">
            <v>IndustrialSmall Misc. Industrial</v>
          </cell>
          <cell r="D355" t="str">
            <v>Small</v>
          </cell>
          <cell r="E355">
            <v>10</v>
          </cell>
          <cell r="F355">
            <v>2</v>
          </cell>
          <cell r="G355">
            <v>1</v>
          </cell>
        </row>
        <row r="356">
          <cell r="C356" t="str">
            <v>IndustrialLarge Misc. Industrial</v>
          </cell>
          <cell r="D356" t="str">
            <v>Large</v>
          </cell>
          <cell r="E356">
            <v>30</v>
          </cell>
          <cell r="F356">
            <v>15</v>
          </cell>
          <cell r="G356">
            <v>1</v>
          </cell>
        </row>
        <row r="361">
          <cell r="A361" t="str">
            <v>Measure</v>
          </cell>
          <cell r="B361" t="str">
            <v>Category</v>
          </cell>
          <cell r="C361" t="str">
            <v>Measure Saturation</v>
          </cell>
        </row>
        <row r="362">
          <cell r="A362" t="str">
            <v>Commercial Steamer, E ≥38%</v>
          </cell>
          <cell r="B362" t="str">
            <v>Steamer</v>
          </cell>
          <cell r="C362">
            <v>0.05</v>
          </cell>
        </row>
        <row r="363">
          <cell r="A363" t="str">
            <v>Combination Oven  (10 pans)</v>
          </cell>
          <cell r="B363" t="str">
            <v>Combo Oven</v>
          </cell>
          <cell r="C363">
            <v>0.13333333333333333</v>
          </cell>
        </row>
        <row r="364">
          <cell r="A364" t="str">
            <v>Combination Oven  (16 pans)</v>
          </cell>
          <cell r="B364" t="str">
            <v>Combo Oven</v>
          </cell>
          <cell r="C364">
            <v>0.13333333333333333</v>
          </cell>
        </row>
        <row r="365">
          <cell r="A365" t="str">
            <v>Combination Oven  (31 pans)</v>
          </cell>
          <cell r="B365" t="str">
            <v>Combo Oven</v>
          </cell>
          <cell r="C365">
            <v>0.13333333333333333</v>
          </cell>
        </row>
        <row r="366">
          <cell r="A366" t="str">
            <v>Large Conveyor Oven, &gt;=25 in</v>
          </cell>
          <cell r="B366" t="str">
            <v>Conveyor Oven</v>
          </cell>
          <cell r="C366">
            <v>2.5000000000000001E-2</v>
          </cell>
        </row>
        <row r="367">
          <cell r="A367" t="str">
            <v>Convection Oven, E &gt;44%</v>
          </cell>
          <cell r="B367" t="str">
            <v>Oven Other</v>
          </cell>
          <cell r="C367">
            <v>3.7499999999999999E-2</v>
          </cell>
        </row>
        <row r="368">
          <cell r="A368" t="str">
            <v>Fryer - E &gt;50%</v>
          </cell>
          <cell r="B368" t="str">
            <v>Fryer</v>
          </cell>
          <cell r="C368">
            <v>0.05</v>
          </cell>
        </row>
        <row r="369">
          <cell r="A369" t="str">
            <v>Griddle</v>
          </cell>
          <cell r="B369" t="str">
            <v>Griddle</v>
          </cell>
          <cell r="C369">
            <v>0.05</v>
          </cell>
        </row>
        <row r="370">
          <cell r="A370" t="str">
            <v>Infrared Charbroiler</v>
          </cell>
          <cell r="B370" t="str">
            <v>Broiler</v>
          </cell>
          <cell r="C370">
            <v>4.9999999999999996E-2</v>
          </cell>
        </row>
        <row r="371">
          <cell r="A371" t="str">
            <v>Infrared Rotisserie Oven</v>
          </cell>
          <cell r="B371" t="str">
            <v>Oven Other</v>
          </cell>
          <cell r="C371">
            <v>3.7499999999999999E-2</v>
          </cell>
        </row>
        <row r="372">
          <cell r="A372" t="str">
            <v>Infrared Salamander Broiler</v>
          </cell>
          <cell r="B372" t="str">
            <v>Broiler</v>
          </cell>
          <cell r="C372">
            <v>4.9999999999999996E-2</v>
          </cell>
        </row>
        <row r="373">
          <cell r="A373" t="str">
            <v>Infrared Upright Broiler</v>
          </cell>
          <cell r="B373" t="str">
            <v>Broiler</v>
          </cell>
          <cell r="C373">
            <v>4.9999999999999996E-2</v>
          </cell>
        </row>
        <row r="374">
          <cell r="A374" t="str">
            <v>Pasta Cooker</v>
          </cell>
          <cell r="B374" t="str">
            <v>Other</v>
          </cell>
          <cell r="C374">
            <v>2.5000000000000001E-2</v>
          </cell>
        </row>
        <row r="375">
          <cell r="A375" t="str">
            <v>Rack Oven - Double</v>
          </cell>
          <cell r="B375" t="str">
            <v>Oven Other</v>
          </cell>
          <cell r="C375">
            <v>3.7499999999999999E-2</v>
          </cell>
        </row>
        <row r="376">
          <cell r="A376" t="str">
            <v>Large Conveyor Oven, &lt;25 in</v>
          </cell>
          <cell r="B376" t="str">
            <v>Conveyor Oven</v>
          </cell>
          <cell r="C376">
            <v>2.5000000000000001E-2</v>
          </cell>
        </row>
        <row r="377">
          <cell r="A377" t="str">
            <v>Fryer - Large Vat</v>
          </cell>
          <cell r="B377" t="str">
            <v>Fryer</v>
          </cell>
          <cell r="C377">
            <v>0.05</v>
          </cell>
        </row>
        <row r="378">
          <cell r="A378" t="str">
            <v>Finned-Bottom Stock Pots</v>
          </cell>
          <cell r="B378" t="str">
            <v>Other</v>
          </cell>
          <cell r="C378">
            <v>2.5000000000000001E-2</v>
          </cell>
        </row>
        <row r="379">
          <cell r="A379" t="str">
            <v>Rack Oven - Single</v>
          </cell>
          <cell r="B379" t="str">
            <v>Oven Other</v>
          </cell>
          <cell r="C379">
            <v>3.7499999999999999E-2</v>
          </cell>
        </row>
      </sheetData>
      <sheetData sheetId="3"/>
      <sheetData sheetId="4"/>
      <sheetData sheetId="5"/>
      <sheetData sheetId="6"/>
      <sheetData sheetId="7">
        <row r="76">
          <cell r="B76" t="str">
            <v>Natural Gas Steam Cooker</v>
          </cell>
        </row>
        <row r="77">
          <cell r="B77" t="str">
            <v>Electric Steam Cooker</v>
          </cell>
        </row>
        <row r="81">
          <cell r="A81">
            <v>3</v>
          </cell>
        </row>
        <row r="82">
          <cell r="A82">
            <v>4</v>
          </cell>
        </row>
        <row r="83">
          <cell r="A83">
            <v>5</v>
          </cell>
        </row>
        <row r="84">
          <cell r="A84">
            <v>6</v>
          </cell>
        </row>
        <row r="88">
          <cell r="A88" t="str">
            <v>Fast Food, limited menu</v>
          </cell>
          <cell r="E88" t="str">
            <v>Tier 1A</v>
          </cell>
        </row>
        <row r="89">
          <cell r="A89" t="str">
            <v>Fast Food, expanded menu</v>
          </cell>
          <cell r="E89" t="str">
            <v>Tier 1B</v>
          </cell>
        </row>
        <row r="90">
          <cell r="A90" t="str">
            <v>Pizza</v>
          </cell>
          <cell r="E90" t="str">
            <v>Avg Efficient</v>
          </cell>
        </row>
        <row r="91">
          <cell r="A91" t="str">
            <v>Full Service, limited menu</v>
          </cell>
          <cell r="E91" t="str">
            <v>Avg Most Efficient</v>
          </cell>
        </row>
        <row r="92">
          <cell r="A92" t="str">
            <v>Full Service, expanded menu</v>
          </cell>
        </row>
        <row r="93">
          <cell r="A93" t="str">
            <v>Cafeteria</v>
          </cell>
        </row>
        <row r="94">
          <cell r="A94" t="str">
            <v>Unknown</v>
          </cell>
        </row>
        <row r="95">
          <cell r="A95" t="str">
            <v>Custom</v>
          </cell>
        </row>
      </sheetData>
      <sheetData sheetId="8">
        <row r="50">
          <cell r="A50" t="str">
            <v>Small, quick- service restaurants</v>
          </cell>
        </row>
        <row r="51">
          <cell r="A51" t="str">
            <v>Medium-sized casual dining restaurants</v>
          </cell>
        </row>
        <row r="52">
          <cell r="A52" t="str">
            <v>Large institutional establishments with cafeteria</v>
          </cell>
        </row>
        <row r="63">
          <cell r="A63" t="str">
            <v>TOS</v>
          </cell>
        </row>
        <row r="64">
          <cell r="A64" t="str">
            <v>RF</v>
          </cell>
        </row>
        <row r="65">
          <cell r="A65" t="str">
            <v>DI</v>
          </cell>
        </row>
        <row r="68">
          <cell r="A68" t="str">
            <v>Electric</v>
          </cell>
        </row>
        <row r="69">
          <cell r="A69" t="str">
            <v>Gas</v>
          </cell>
        </row>
      </sheetData>
      <sheetData sheetId="9"/>
      <sheetData sheetId="10">
        <row r="47">
          <cell r="A47">
            <v>0</v>
          </cell>
        </row>
        <row r="48">
          <cell r="A48">
            <v>0</v>
          </cell>
        </row>
        <row r="49">
          <cell r="A49">
            <v>0</v>
          </cell>
        </row>
        <row r="50">
          <cell r="A50">
            <v>0</v>
          </cell>
        </row>
        <row r="51">
          <cell r="A51">
            <v>0</v>
          </cell>
        </row>
        <row r="52">
          <cell r="A52" t="str">
            <v>Custom</v>
          </cell>
        </row>
      </sheetData>
      <sheetData sheetId="11">
        <row r="53">
          <cell r="A53">
            <v>5</v>
          </cell>
        </row>
        <row r="54">
          <cell r="A54">
            <v>10</v>
          </cell>
        </row>
        <row r="55">
          <cell r="A55">
            <v>15</v>
          </cell>
        </row>
        <row r="65">
          <cell r="B65" t="str">
            <v>TOS</v>
          </cell>
        </row>
        <row r="66">
          <cell r="B66" t="str">
            <v>RF</v>
          </cell>
        </row>
        <row r="67">
          <cell r="B67" t="str">
            <v>ER</v>
          </cell>
        </row>
      </sheetData>
      <sheetData sheetId="12"/>
      <sheetData sheetId="13">
        <row r="80">
          <cell r="B80" t="str">
            <v>Air Conditioning</v>
          </cell>
        </row>
        <row r="81">
          <cell r="B81" t="str">
            <v>No Air Conditioning</v>
          </cell>
        </row>
        <row r="82">
          <cell r="B82" t="str">
            <v>Unknown</v>
          </cell>
        </row>
        <row r="120">
          <cell r="B120">
            <v>2012</v>
          </cell>
        </row>
        <row r="121">
          <cell r="B121">
            <v>2013</v>
          </cell>
        </row>
      </sheetData>
      <sheetData sheetId="14"/>
      <sheetData sheetId="15">
        <row r="91">
          <cell r="B91" t="str">
            <v>Commercial Dry Cleaners</v>
          </cell>
        </row>
        <row r="92">
          <cell r="B92" t="str">
            <v>Commercial Heating , (including Multifamily) low pressure steam</v>
          </cell>
        </row>
        <row r="93">
          <cell r="B93" t="str">
            <v xml:space="preserve">Industrial Low Pressure &lt;15 psig </v>
          </cell>
        </row>
        <row r="94">
          <cell r="B94" t="str">
            <v>Industrial Medium Pressure &gt;15 psig &lt; 30 psig</v>
          </cell>
        </row>
        <row r="95">
          <cell r="B95" t="str">
            <v>Industrial Medium Pressure ≥30 &lt;75 psig</v>
          </cell>
        </row>
        <row r="96">
          <cell r="B96" t="str">
            <v>Industrial High Pressure ≥75 &lt;125 psig</v>
          </cell>
        </row>
        <row r="97">
          <cell r="B97" t="str">
            <v>Industrial High Pressure ≥125 &lt;175 psig</v>
          </cell>
        </row>
        <row r="98">
          <cell r="B98" t="str">
            <v>Industrial High Pressure ≥175 &lt;250 psig</v>
          </cell>
        </row>
        <row r="99">
          <cell r="B99" t="str">
            <v>Industrial High Pressure ≥250 psig</v>
          </cell>
        </row>
      </sheetData>
      <sheetData sheetId="16">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7"/>
      <sheetData sheetId="18"/>
      <sheetData sheetId="19"/>
      <sheetData sheetId="20"/>
      <sheetData sheetId="21"/>
      <sheetData sheetId="22">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23">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24">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25">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26">
        <row r="23">
          <cell r="B23" t="str">
            <v>Incandescent</v>
          </cell>
        </row>
        <row r="24">
          <cell r="B24" t="str">
            <v>CFL (dual sided)</v>
          </cell>
        </row>
        <row r="25">
          <cell r="B25" t="str">
            <v>CFL (single sided)</v>
          </cell>
        </row>
        <row r="26">
          <cell r="B26" t="str">
            <v>Unknown</v>
          </cell>
        </row>
        <row r="29">
          <cell r="B29" t="str">
            <v>Office</v>
          </cell>
        </row>
        <row r="30">
          <cell r="B30" t="str">
            <v>Grocery</v>
          </cell>
        </row>
        <row r="31">
          <cell r="B31" t="str">
            <v>Healthcare Clinic</v>
          </cell>
        </row>
        <row r="32">
          <cell r="B32" t="str">
            <v>Hospital</v>
          </cell>
        </row>
        <row r="33">
          <cell r="B33" t="str">
            <v>Heavy Industry</v>
          </cell>
        </row>
        <row r="34">
          <cell r="B34" t="str">
            <v>Light Industry</v>
          </cell>
        </row>
        <row r="35">
          <cell r="B35" t="str">
            <v>Hotel/Motel Common Areas</v>
          </cell>
        </row>
        <row r="36">
          <cell r="B36" t="str">
            <v xml:space="preserve">Hotel/Motel Guest Rooms </v>
          </cell>
        </row>
        <row r="37">
          <cell r="B37" t="str">
            <v>Hotel/Motel Guest Rooms with electric heat</v>
          </cell>
        </row>
        <row r="38">
          <cell r="B38" t="str">
            <v>High School/Middle School</v>
          </cell>
        </row>
        <row r="39">
          <cell r="B39" t="str">
            <v>Elementary School</v>
          </cell>
        </row>
        <row r="40">
          <cell r="B40" t="str">
            <v>Restaurant</v>
          </cell>
        </row>
        <row r="41">
          <cell r="B41" t="str">
            <v>Retail/Service</v>
          </cell>
        </row>
        <row r="42">
          <cell r="B42" t="str">
            <v>College/ University</v>
          </cell>
        </row>
        <row r="43">
          <cell r="B43" t="str">
            <v>Warehouse</v>
          </cell>
        </row>
        <row r="44">
          <cell r="B44" t="str">
            <v>Garage</v>
          </cell>
        </row>
        <row r="45">
          <cell r="B45" t="str">
            <v>Garage, 24/7 lighting</v>
          </cell>
        </row>
        <row r="46">
          <cell r="B46" t="str">
            <v>Exterior</v>
          </cell>
        </row>
        <row r="47">
          <cell r="B47" t="str">
            <v>Multi-family Common Areas</v>
          </cell>
        </row>
        <row r="48">
          <cell r="B48" t="str">
            <v xml:space="preserve">Religious Worship/Church </v>
          </cell>
        </row>
        <row r="49">
          <cell r="B49" t="str">
            <v>Low-Use Small Business  Miscellaneous</v>
          </cell>
        </row>
        <row r="50">
          <cell r="B50" t="str">
            <v>Miscellaneous</v>
          </cell>
        </row>
        <row r="51">
          <cell r="B51" t="str">
            <v>Uncooled Building</v>
          </cell>
        </row>
        <row r="52">
          <cell r="B52" t="str">
            <v>Refrigerated Cases</v>
          </cell>
        </row>
        <row r="53">
          <cell r="B53" t="str">
            <v>Freezer Cases</v>
          </cell>
        </row>
      </sheetData>
      <sheetData sheetId="27">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8">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row>
        <row r="38">
          <cell r="B38" t="str">
            <v>Hospital</v>
          </cell>
          <cell r="G38" t="str">
            <v>Parking areas &amp; drives</v>
          </cell>
        </row>
        <row r="39">
          <cell r="B39" t="str">
            <v>Hotel</v>
          </cell>
          <cell r="G39"/>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row>
        <row r="49">
          <cell r="B49" t="str">
            <v>Performing Arts Theater</v>
          </cell>
          <cell r="G49" t="str">
            <v>Free standing &amp; attached</v>
          </cell>
        </row>
        <row r="50">
          <cell r="B50" t="str">
            <v>Police/Fire Station</v>
          </cell>
          <cell r="G50"/>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9">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30">
        <row r="23">
          <cell r="B23" t="str">
            <v>Wall Switch Occupancy Sensor</v>
          </cell>
          <cell r="G23" t="str">
            <v>Office</v>
          </cell>
        </row>
        <row r="24">
          <cell r="B24" t="str">
            <v>Fixture-Mounted Occupancy Sensor</v>
          </cell>
          <cell r="G24" t="str">
            <v>Grocery</v>
          </cell>
        </row>
        <row r="25">
          <cell r="B25" t="str">
            <v>Remote or Wall-Mounted Occupancy Sensor</v>
          </cell>
          <cell r="G25" t="str">
            <v>Healthcare Clinic</v>
          </cell>
        </row>
        <row r="26">
          <cell r="B26" t="str">
            <v>Fixture-Mounted Daylight Sensor</v>
          </cell>
          <cell r="G26" t="str">
            <v>Hospital</v>
          </cell>
        </row>
        <row r="27">
          <cell r="B27" t="str">
            <v>Remote or Wall-Mounted Daylight Sensor</v>
          </cell>
          <cell r="G27" t="str">
            <v>Heavy Industry</v>
          </cell>
        </row>
        <row r="28">
          <cell r="B28" t="str">
            <v>Integrated Occupancy for LED Interior Fixtures &lt; 10,000 Lumens</v>
          </cell>
          <cell r="G28" t="str">
            <v>Light Industry</v>
          </cell>
        </row>
        <row r="29">
          <cell r="B29" t="str">
            <v>Integrated Occupancy for LED Interior Fixtures &gt;= 10,000 Lumens</v>
          </cell>
          <cell r="G29" t="str">
            <v>Hotel/Motel Common Areas</v>
          </cell>
        </row>
        <row r="30">
          <cell r="B30" t="str">
            <v>Integrated Dual Occupancy &amp; Daylight Sensor for LED Interior Fixtures &lt; 10,000 Lumens</v>
          </cell>
          <cell r="G30" t="str">
            <v>Hotel/ Motel Guest Rooms</v>
          </cell>
        </row>
        <row r="31">
          <cell r="B31" t="str">
            <v>Integrated Dual Occupancy &amp; Daylight Sensor for LED Interior Fixtures &gt;= 10,000 Lumens</v>
          </cell>
          <cell r="G31" t="str">
            <v>Hotel/ Motel Guest Rooms with electric heat</v>
          </cell>
        </row>
        <row r="32">
          <cell r="B32" t="str">
            <v>Fixture-Mounted Dual Occupancy &amp; Daylight Sensor for LED Interior Fixtures &lt; 10,000 Lumens</v>
          </cell>
          <cell r="G32" t="str">
            <v>High School/ Middle School</v>
          </cell>
        </row>
        <row r="33">
          <cell r="B33" t="str">
            <v>Fixture-Mounted Dual Occupancy &amp; Daylight Sensor for LED Interior Fixtures &gt;= 10,000 Lumens</v>
          </cell>
          <cell r="G33" t="str">
            <v>Elementary School</v>
          </cell>
        </row>
        <row r="34">
          <cell r="B34" t="str">
            <v>Exterior Occupancy Sensor</v>
          </cell>
          <cell r="G34" t="str">
            <v>Restaurant</v>
          </cell>
        </row>
        <row r="35">
          <cell r="G35" t="str">
            <v>Retail/ Service</v>
          </cell>
        </row>
        <row r="36">
          <cell r="G36" t="str">
            <v>College/ University</v>
          </cell>
        </row>
        <row r="37">
          <cell r="G37" t="str">
            <v>Warehouse</v>
          </cell>
        </row>
        <row r="38">
          <cell r="B38" t="str">
            <v>C06 - Commercial Indoor Lighting</v>
          </cell>
          <cell r="G38" t="str">
            <v>Garage</v>
          </cell>
        </row>
        <row r="39">
          <cell r="B39" t="str">
            <v>C07 - Grocery/Conv. Store Indoor Lighting</v>
          </cell>
          <cell r="G39" t="str">
            <v>Garage, 24/7 lighting[1]</v>
          </cell>
        </row>
        <row r="40">
          <cell r="B40" t="str">
            <v>C08 - Hospital Indoor Lighting</v>
          </cell>
          <cell r="G40" t="str">
            <v>Exterior</v>
          </cell>
        </row>
        <row r="41">
          <cell r="B41" t="str">
            <v>C09 - Office Indoor Lighting</v>
          </cell>
          <cell r="G41" t="str">
            <v>Multi-family Common Areas</v>
          </cell>
        </row>
        <row r="42">
          <cell r="B42" t="str">
            <v>C10 - Restaurant Indoor Lighting</v>
          </cell>
          <cell r="G42" t="str">
            <v>Miscellaneous</v>
          </cell>
        </row>
        <row r="43">
          <cell r="B43" t="str">
            <v>C11 - Retail Indoor Lighting</v>
          </cell>
          <cell r="G43" t="str">
            <v>Uncooled Building</v>
          </cell>
        </row>
        <row r="44">
          <cell r="B44" t="str">
            <v>C12 - Warehouse Indoor Lighting</v>
          </cell>
          <cell r="G44" t="str">
            <v>Refrigerated Cases</v>
          </cell>
        </row>
        <row r="45">
          <cell r="B45" t="str">
            <v>C13 - K-12 School Indoor Lighting</v>
          </cell>
          <cell r="G45" t="str">
            <v>Freezer Cases</v>
          </cell>
        </row>
        <row r="46">
          <cell r="B46" t="str">
            <v>C14 - Indust. 1-shift (8/5) (e.g., comp. air, lights)</v>
          </cell>
        </row>
        <row r="47">
          <cell r="B47" t="str">
            <v>C15 - Indust. 2-shift (16/5) (e.g., comp. air, lights)</v>
          </cell>
        </row>
        <row r="48">
          <cell r="B48" t="str">
            <v>C16 - Indust. 3-shift (24/5) (e.g., comp. air, lights)</v>
          </cell>
        </row>
        <row r="49">
          <cell r="B49" t="str">
            <v>C17 - Indust. 4-shift (24/7) (e.g., comp. air, lights)</v>
          </cell>
        </row>
        <row r="50">
          <cell r="B50" t="str">
            <v>C18 - Industrial Indoor Lighting</v>
          </cell>
        </row>
        <row r="51">
          <cell r="B51" t="str">
            <v>C19 - Industrial Outdoor Lighting</v>
          </cell>
        </row>
        <row r="52">
          <cell r="B52" t="str">
            <v>C20 - Commercial Outdoor Lighting</v>
          </cell>
        </row>
      </sheetData>
      <sheetData sheetId="31">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32"/>
      <sheetData sheetId="33"/>
      <sheetData sheetId="34"/>
      <sheetData sheetId="35">
        <row r="40">
          <cell r="J40" t="str">
            <v>1 (Rockford)</v>
          </cell>
          <cell r="K40">
            <v>2</v>
          </cell>
        </row>
        <row r="41">
          <cell r="J41" t="str">
            <v>2 (Chicago)</v>
          </cell>
          <cell r="K41">
            <v>3</v>
          </cell>
        </row>
        <row r="42">
          <cell r="J42" t="str">
            <v>3 (Springfield)</v>
          </cell>
          <cell r="K42">
            <v>4</v>
          </cell>
        </row>
        <row r="43">
          <cell r="J43" t="str">
            <v>4 (Belleville)</v>
          </cell>
          <cell r="K43">
            <v>5</v>
          </cell>
        </row>
        <row r="44">
          <cell r="J44" t="str">
            <v>5 (Marion)</v>
          </cell>
          <cell r="K44">
            <v>6</v>
          </cell>
        </row>
        <row r="45">
          <cell r="J45" t="str">
            <v>6 (Nicor Custom)</v>
          </cell>
          <cell r="K45">
            <v>7</v>
          </cell>
        </row>
      </sheetData>
      <sheetData sheetId="36">
        <row r="8">
          <cell r="D8">
            <v>2.3800000000000002E-2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Update Log"/>
      <sheetName val="Teapot Summary"/>
      <sheetName val="Summary"/>
      <sheetName val="Algorithm Components Summary"/>
      <sheetName val="4.2.3"/>
      <sheetName val="4.2.11"/>
      <sheetName val="4.2.16"/>
      <sheetName val="4.4.2"/>
      <sheetName val="4.3.5"/>
      <sheetName val="4.4.4"/>
      <sheetName val="4.4.10"/>
      <sheetName val="4.4.11"/>
      <sheetName val="4.4.14"/>
      <sheetName val="4.4.16"/>
      <sheetName val="4.4.17"/>
      <sheetName val="4.4.24 "/>
      <sheetName val="4.4.40"/>
      <sheetName val="4.4.41"/>
      <sheetName val="4.4.47"/>
      <sheetName val="4.4.48"/>
      <sheetName val="4.5.1"/>
      <sheetName val="4.5.2"/>
      <sheetName val="4.5.3"/>
      <sheetName val="4.5.4"/>
      <sheetName val="4.5.5"/>
      <sheetName val="4.5.6"/>
      <sheetName val="4.5.7"/>
      <sheetName val="4.5.9"/>
      <sheetName val="4.5.10"/>
      <sheetName val="4.5.12"/>
      <sheetName val="4.8.11"/>
      <sheetName val="4.8.12"/>
      <sheetName val="4.8.16"/>
      <sheetName val="List"/>
      <sheetName val="Input_Data"/>
    </sheetNames>
    <sheetDataSet>
      <sheetData sheetId="0"/>
      <sheetData sheetId="1"/>
      <sheetData sheetId="2">
        <row r="289">
          <cell r="C289" t="str">
            <v>Key</v>
          </cell>
          <cell r="D289" t="str">
            <v>Size Key</v>
          </cell>
          <cell r="E289" t="str">
            <v>Pipe Insulation</v>
          </cell>
          <cell r="F289" t="str">
            <v>Steam Traps</v>
          </cell>
          <cell r="G289" t="str">
            <v>Other</v>
          </cell>
        </row>
        <row r="290">
          <cell r="E290" t="str">
            <v>LN FT</v>
          </cell>
          <cell r="F290" t="str">
            <v>Unit</v>
          </cell>
          <cell r="G290" t="str">
            <v>Unit</v>
          </cell>
        </row>
        <row r="291">
          <cell r="C291" t="str">
            <v>Small CommercialAssembly</v>
          </cell>
          <cell r="D291" t="str">
            <v>Small</v>
          </cell>
          <cell r="E291">
            <v>10</v>
          </cell>
          <cell r="F291">
            <v>2</v>
          </cell>
          <cell r="G291">
            <v>1</v>
          </cell>
        </row>
        <row r="292">
          <cell r="C292" t="str">
            <v>Small CommercialAssisted Living</v>
          </cell>
          <cell r="D292" t="str">
            <v>Small</v>
          </cell>
          <cell r="E292">
            <v>10</v>
          </cell>
          <cell r="F292">
            <v>2</v>
          </cell>
          <cell r="G292">
            <v>1</v>
          </cell>
        </row>
        <row r="293">
          <cell r="C293" t="str">
            <v>Small CommercialCollege</v>
          </cell>
          <cell r="D293" t="str">
            <v>Medium</v>
          </cell>
          <cell r="E293">
            <v>20</v>
          </cell>
          <cell r="F293">
            <v>8</v>
          </cell>
          <cell r="G293">
            <v>1</v>
          </cell>
        </row>
        <row r="294">
          <cell r="C294" t="str">
            <v>Small CommercialGrocery</v>
          </cell>
          <cell r="D294" t="str">
            <v>Small</v>
          </cell>
          <cell r="E294">
            <v>10</v>
          </cell>
          <cell r="F294">
            <v>2</v>
          </cell>
          <cell r="G294">
            <v>1</v>
          </cell>
        </row>
        <row r="295">
          <cell r="C295" t="str">
            <v>Small CommercialHealthcare Clinic</v>
          </cell>
          <cell r="D295" t="str">
            <v>Small</v>
          </cell>
          <cell r="E295">
            <v>10</v>
          </cell>
          <cell r="F295">
            <v>2</v>
          </cell>
          <cell r="G295">
            <v>1</v>
          </cell>
        </row>
        <row r="296">
          <cell r="C296" t="str">
            <v>Small CommercialHotel/Motel</v>
          </cell>
          <cell r="D296" t="str">
            <v>Small</v>
          </cell>
          <cell r="E296">
            <v>10</v>
          </cell>
          <cell r="F296">
            <v>2</v>
          </cell>
          <cell r="G296">
            <v>1</v>
          </cell>
        </row>
        <row r="297">
          <cell r="C297" t="str">
            <v>Small CommercialMF - Mid Rise</v>
          </cell>
          <cell r="D297" t="str">
            <v>Medium</v>
          </cell>
          <cell r="E297">
            <v>20</v>
          </cell>
          <cell r="F297">
            <v>8</v>
          </cell>
          <cell r="G297">
            <v>1</v>
          </cell>
        </row>
        <row r="298">
          <cell r="C298" t="str">
            <v>Small CommercialSmall Office</v>
          </cell>
          <cell r="D298" t="str">
            <v>Small</v>
          </cell>
          <cell r="E298">
            <v>10</v>
          </cell>
          <cell r="F298">
            <v>2</v>
          </cell>
          <cell r="G298">
            <v>1</v>
          </cell>
        </row>
        <row r="299">
          <cell r="C299" t="str">
            <v>Small CommercialReligious Building</v>
          </cell>
          <cell r="D299" t="str">
            <v>Small</v>
          </cell>
          <cell r="E299">
            <v>10</v>
          </cell>
          <cell r="F299">
            <v>2</v>
          </cell>
          <cell r="G299">
            <v>1</v>
          </cell>
        </row>
        <row r="300">
          <cell r="C300" t="str">
            <v>Small CommercialRestaurant</v>
          </cell>
          <cell r="D300" t="str">
            <v>Small</v>
          </cell>
          <cell r="E300">
            <v>10</v>
          </cell>
          <cell r="F300">
            <v>2</v>
          </cell>
          <cell r="G300">
            <v>1</v>
          </cell>
        </row>
        <row r="301">
          <cell r="C301" t="str">
            <v>Small CommercialRetail</v>
          </cell>
          <cell r="D301" t="str">
            <v>Small</v>
          </cell>
          <cell r="E301">
            <v>10</v>
          </cell>
          <cell r="F301">
            <v>2</v>
          </cell>
          <cell r="G301">
            <v>1</v>
          </cell>
        </row>
        <row r="302">
          <cell r="C302" t="str">
            <v>Small CommercialWarehouse</v>
          </cell>
          <cell r="D302" t="str">
            <v>Medium</v>
          </cell>
          <cell r="E302">
            <v>20</v>
          </cell>
          <cell r="F302">
            <v>8</v>
          </cell>
          <cell r="G302">
            <v>1</v>
          </cell>
        </row>
        <row r="303">
          <cell r="C303" t="str">
            <v>Small CommercialMisc. Commercial</v>
          </cell>
          <cell r="D303" t="str">
            <v>Small</v>
          </cell>
          <cell r="E303">
            <v>10</v>
          </cell>
          <cell r="F303">
            <v>2</v>
          </cell>
          <cell r="G303">
            <v>1</v>
          </cell>
        </row>
        <row r="304">
          <cell r="C304" t="str">
            <v>Small CommercialPrivate Elementary and High School</v>
          </cell>
          <cell r="D304" t="str">
            <v>Medium</v>
          </cell>
          <cell r="E304">
            <v>20</v>
          </cell>
          <cell r="F304">
            <v>8</v>
          </cell>
          <cell r="G304">
            <v>1</v>
          </cell>
        </row>
        <row r="305">
          <cell r="C305" t="str">
            <v>Large CommercialAssembly</v>
          </cell>
          <cell r="D305" t="str">
            <v>Small</v>
          </cell>
          <cell r="E305">
            <v>10</v>
          </cell>
          <cell r="F305">
            <v>2</v>
          </cell>
          <cell r="G305">
            <v>1</v>
          </cell>
        </row>
        <row r="306">
          <cell r="C306" t="str">
            <v>Large CommercialAssisted Living</v>
          </cell>
          <cell r="D306" t="str">
            <v>Medium</v>
          </cell>
          <cell r="E306">
            <v>20</v>
          </cell>
          <cell r="F306">
            <v>8</v>
          </cell>
          <cell r="G306">
            <v>1</v>
          </cell>
        </row>
        <row r="307">
          <cell r="C307" t="str">
            <v>Large CommercialCollege</v>
          </cell>
          <cell r="D307" t="str">
            <v>Large</v>
          </cell>
          <cell r="E307">
            <v>30</v>
          </cell>
          <cell r="F307">
            <v>15</v>
          </cell>
          <cell r="G307">
            <v>1</v>
          </cell>
        </row>
        <row r="308">
          <cell r="C308" t="str">
            <v>Large CommercialGrocery</v>
          </cell>
          <cell r="D308" t="str">
            <v>Large</v>
          </cell>
          <cell r="E308">
            <v>30</v>
          </cell>
          <cell r="F308">
            <v>15</v>
          </cell>
          <cell r="G308">
            <v>1</v>
          </cell>
        </row>
        <row r="309">
          <cell r="C309" t="str">
            <v>Large CommercialHospital</v>
          </cell>
          <cell r="D309" t="str">
            <v>Large</v>
          </cell>
          <cell r="E309">
            <v>30</v>
          </cell>
          <cell r="F309">
            <v>15</v>
          </cell>
          <cell r="G309">
            <v>1</v>
          </cell>
        </row>
        <row r="310">
          <cell r="C310" t="str">
            <v>Large CommercialHotel/Motel</v>
          </cell>
          <cell r="D310" t="str">
            <v>Large</v>
          </cell>
          <cell r="E310">
            <v>30</v>
          </cell>
          <cell r="F310">
            <v>15</v>
          </cell>
          <cell r="G310">
            <v>1</v>
          </cell>
        </row>
        <row r="311">
          <cell r="C311" t="str">
            <v>Large CommercialMF - High Rise</v>
          </cell>
          <cell r="D311" t="str">
            <v>Large</v>
          </cell>
          <cell r="E311">
            <v>30</v>
          </cell>
          <cell r="F311">
            <v>15</v>
          </cell>
          <cell r="G311">
            <v>1</v>
          </cell>
        </row>
        <row r="312">
          <cell r="C312" t="str">
            <v>Large CommercialLarge Office</v>
          </cell>
          <cell r="D312" t="str">
            <v>Large</v>
          </cell>
          <cell r="E312">
            <v>30</v>
          </cell>
          <cell r="F312">
            <v>15</v>
          </cell>
          <cell r="G312">
            <v>1</v>
          </cell>
        </row>
        <row r="313">
          <cell r="C313" t="str">
            <v>Large CommercialReligious Building</v>
          </cell>
          <cell r="D313" t="str">
            <v>Small</v>
          </cell>
          <cell r="E313">
            <v>10</v>
          </cell>
          <cell r="F313">
            <v>2</v>
          </cell>
          <cell r="G313">
            <v>1</v>
          </cell>
        </row>
        <row r="314">
          <cell r="C314" t="str">
            <v>Large CommercialRestaurant</v>
          </cell>
          <cell r="D314" t="str">
            <v>Small</v>
          </cell>
          <cell r="E314">
            <v>10</v>
          </cell>
          <cell r="F314">
            <v>2</v>
          </cell>
          <cell r="G314">
            <v>1</v>
          </cell>
        </row>
        <row r="315">
          <cell r="C315" t="str">
            <v>Large CommercialRetail</v>
          </cell>
          <cell r="D315" t="str">
            <v>Small</v>
          </cell>
          <cell r="E315">
            <v>10</v>
          </cell>
          <cell r="F315">
            <v>2</v>
          </cell>
          <cell r="G315">
            <v>1</v>
          </cell>
        </row>
        <row r="316">
          <cell r="C316" t="str">
            <v>Large CommercialWarehouse</v>
          </cell>
          <cell r="D316" t="str">
            <v>Large</v>
          </cell>
          <cell r="E316">
            <v>30</v>
          </cell>
          <cell r="F316">
            <v>15</v>
          </cell>
          <cell r="G316">
            <v>1</v>
          </cell>
        </row>
        <row r="317">
          <cell r="C317" t="str">
            <v>Large CommercialMisc. Commercial</v>
          </cell>
          <cell r="D317" t="str">
            <v>Small</v>
          </cell>
          <cell r="E317">
            <v>10</v>
          </cell>
          <cell r="F317">
            <v>2</v>
          </cell>
          <cell r="G317">
            <v>1</v>
          </cell>
        </row>
        <row r="318">
          <cell r="C318" t="str">
            <v>Large CommercialPrivate Elementary and High School</v>
          </cell>
          <cell r="D318" t="str">
            <v>Medium</v>
          </cell>
          <cell r="E318">
            <v>20</v>
          </cell>
          <cell r="F318">
            <v>8</v>
          </cell>
          <cell r="G318">
            <v>1</v>
          </cell>
        </row>
        <row r="319">
          <cell r="C319" t="str">
            <v>Public SectorCollege</v>
          </cell>
          <cell r="D319" t="str">
            <v>Large</v>
          </cell>
          <cell r="E319">
            <v>30</v>
          </cell>
          <cell r="F319">
            <v>15</v>
          </cell>
          <cell r="G319">
            <v>1</v>
          </cell>
        </row>
        <row r="320">
          <cell r="C320" t="str">
            <v>Public SectorPublic Elementary and High School</v>
          </cell>
          <cell r="D320" t="str">
            <v>Medium</v>
          </cell>
          <cell r="E320">
            <v>20</v>
          </cell>
          <cell r="F320">
            <v>8</v>
          </cell>
          <cell r="G320">
            <v>1</v>
          </cell>
        </row>
        <row r="321">
          <cell r="C321" t="str">
            <v>Public SectorHospital</v>
          </cell>
          <cell r="D321" t="str">
            <v>Large</v>
          </cell>
          <cell r="E321">
            <v>30</v>
          </cell>
          <cell r="F321">
            <v>15</v>
          </cell>
          <cell r="G321">
            <v>1</v>
          </cell>
        </row>
        <row r="322">
          <cell r="C322" t="str">
            <v>Public SectorPublic Service/Gov't</v>
          </cell>
          <cell r="D322" t="str">
            <v>Small</v>
          </cell>
          <cell r="E322">
            <v>10</v>
          </cell>
          <cell r="F322">
            <v>2</v>
          </cell>
          <cell r="G322">
            <v>1</v>
          </cell>
        </row>
        <row r="323">
          <cell r="C323" t="str">
            <v>Public SectorMisc. Commercial</v>
          </cell>
          <cell r="D323" t="str">
            <v>Small</v>
          </cell>
          <cell r="E323">
            <v>10</v>
          </cell>
          <cell r="F323">
            <v>2</v>
          </cell>
          <cell r="G323">
            <v>1</v>
          </cell>
        </row>
        <row r="324">
          <cell r="C324" t="str">
            <v>IndustrialSmall Mfg</v>
          </cell>
          <cell r="D324" t="str">
            <v>Small</v>
          </cell>
          <cell r="E324">
            <v>10</v>
          </cell>
          <cell r="F324">
            <v>2</v>
          </cell>
          <cell r="G324">
            <v>1</v>
          </cell>
        </row>
        <row r="325">
          <cell r="C325" t="str">
            <v>IndustrialLarge Mfg</v>
          </cell>
          <cell r="D325" t="str">
            <v>Large</v>
          </cell>
          <cell r="E325">
            <v>30</v>
          </cell>
          <cell r="F325">
            <v>15</v>
          </cell>
          <cell r="G325">
            <v>1</v>
          </cell>
        </row>
        <row r="326">
          <cell r="C326" t="str">
            <v>IndustrialSmall Agriculture</v>
          </cell>
          <cell r="D326" t="str">
            <v>Small</v>
          </cell>
          <cell r="E326">
            <v>10</v>
          </cell>
          <cell r="F326">
            <v>2</v>
          </cell>
          <cell r="G326">
            <v>1</v>
          </cell>
        </row>
        <row r="327">
          <cell r="C327" t="str">
            <v>IndustrialLarge Agriculture</v>
          </cell>
          <cell r="D327" t="str">
            <v>Large</v>
          </cell>
          <cell r="E327">
            <v>30</v>
          </cell>
          <cell r="F327">
            <v>15</v>
          </cell>
          <cell r="G327">
            <v>1</v>
          </cell>
        </row>
        <row r="328">
          <cell r="C328" t="str">
            <v>IndustrialSmall Misc. Industrial</v>
          </cell>
          <cell r="D328" t="str">
            <v>Small</v>
          </cell>
          <cell r="E328">
            <v>10</v>
          </cell>
          <cell r="F328">
            <v>2</v>
          </cell>
          <cell r="G328">
            <v>1</v>
          </cell>
        </row>
        <row r="329">
          <cell r="C329" t="str">
            <v>IndustrialLarge Misc. Industrial</v>
          </cell>
          <cell r="D329" t="str">
            <v>Large</v>
          </cell>
          <cell r="E329">
            <v>30</v>
          </cell>
          <cell r="F329">
            <v>15</v>
          </cell>
          <cell r="G329">
            <v>1</v>
          </cell>
        </row>
        <row r="334">
          <cell r="A334" t="str">
            <v>Measure</v>
          </cell>
          <cell r="B334" t="str">
            <v>Category</v>
          </cell>
          <cell r="C334" t="str">
            <v>Measure Saturation</v>
          </cell>
        </row>
        <row r="335">
          <cell r="A335" t="str">
            <v>Commercial Steamer, E ≥38%</v>
          </cell>
          <cell r="B335" t="str">
            <v>Steamer</v>
          </cell>
          <cell r="C335">
            <v>0.05</v>
          </cell>
        </row>
        <row r="336">
          <cell r="A336" t="str">
            <v>Combination Oven  (10 pans)</v>
          </cell>
          <cell r="B336" t="str">
            <v>Combo Oven</v>
          </cell>
          <cell r="C336">
            <v>0.13333333333333333</v>
          </cell>
        </row>
        <row r="337">
          <cell r="A337" t="str">
            <v>Combination Oven  (16 pans)</v>
          </cell>
          <cell r="B337" t="str">
            <v>Combo Oven</v>
          </cell>
          <cell r="C337">
            <v>0.13333333333333333</v>
          </cell>
        </row>
        <row r="338">
          <cell r="A338" t="str">
            <v>Combination Oven  (31 pans)</v>
          </cell>
          <cell r="B338" t="str">
            <v>Combo Oven</v>
          </cell>
          <cell r="C338">
            <v>0.13333333333333333</v>
          </cell>
        </row>
        <row r="339">
          <cell r="A339" t="str">
            <v>Large Conveyor Oven, &gt;=25 in</v>
          </cell>
          <cell r="B339" t="str">
            <v>Conveyor Oven</v>
          </cell>
          <cell r="C339">
            <v>2.5000000000000001E-2</v>
          </cell>
        </row>
        <row r="340">
          <cell r="A340" t="str">
            <v>Convection Oven, E &gt;44%</v>
          </cell>
          <cell r="B340" t="str">
            <v>Oven Other</v>
          </cell>
          <cell r="C340">
            <v>3.7499999999999999E-2</v>
          </cell>
        </row>
        <row r="341">
          <cell r="A341" t="str">
            <v>Fryer - E &gt;50%</v>
          </cell>
          <cell r="B341" t="str">
            <v>Fryer</v>
          </cell>
          <cell r="C341">
            <v>0.05</v>
          </cell>
        </row>
        <row r="342">
          <cell r="A342" t="str">
            <v>Griddle</v>
          </cell>
          <cell r="B342" t="str">
            <v>Griddle</v>
          </cell>
          <cell r="C342">
            <v>0.05</v>
          </cell>
        </row>
        <row r="343">
          <cell r="A343" t="str">
            <v>Infrared Charbroiler</v>
          </cell>
          <cell r="B343" t="str">
            <v>Broiler</v>
          </cell>
          <cell r="C343">
            <v>4.9999999999999996E-2</v>
          </cell>
        </row>
        <row r="344">
          <cell r="A344" t="str">
            <v>Infrared Rotisserie Oven</v>
          </cell>
          <cell r="B344" t="str">
            <v>Oven Other</v>
          </cell>
          <cell r="C344">
            <v>3.7499999999999999E-2</v>
          </cell>
        </row>
        <row r="345">
          <cell r="A345" t="str">
            <v>Infrared Salamander Broiler</v>
          </cell>
          <cell r="B345" t="str">
            <v>Broiler</v>
          </cell>
          <cell r="C345">
            <v>4.9999999999999996E-2</v>
          </cell>
        </row>
        <row r="346">
          <cell r="A346" t="str">
            <v>Infrared Upright Broiler</v>
          </cell>
          <cell r="B346" t="str">
            <v>Broiler</v>
          </cell>
          <cell r="C346">
            <v>4.9999999999999996E-2</v>
          </cell>
        </row>
        <row r="347">
          <cell r="A347" t="str">
            <v>Pasta Cooker</v>
          </cell>
          <cell r="B347" t="str">
            <v>Other</v>
          </cell>
          <cell r="C347">
            <v>2.5000000000000001E-2</v>
          </cell>
        </row>
        <row r="348">
          <cell r="A348" t="str">
            <v>Rack Oven - Double</v>
          </cell>
          <cell r="B348" t="str">
            <v>Oven Other</v>
          </cell>
          <cell r="C348">
            <v>3.7499999999999999E-2</v>
          </cell>
        </row>
        <row r="349">
          <cell r="A349" t="str">
            <v>Large Conveyor Oven, &lt;25 in</v>
          </cell>
          <cell r="B349" t="str">
            <v>Conveyor Oven</v>
          </cell>
          <cell r="C349">
            <v>2.5000000000000001E-2</v>
          </cell>
        </row>
        <row r="350">
          <cell r="A350" t="str">
            <v>Fryer - Large Vat</v>
          </cell>
          <cell r="B350" t="str">
            <v>Fryer</v>
          </cell>
          <cell r="C350">
            <v>0.05</v>
          </cell>
        </row>
        <row r="351">
          <cell r="A351" t="str">
            <v>Finned-Bottom Stock Pots</v>
          </cell>
          <cell r="B351" t="str">
            <v>Other</v>
          </cell>
          <cell r="C351">
            <v>2.5000000000000001E-2</v>
          </cell>
        </row>
        <row r="352">
          <cell r="A352" t="str">
            <v>Rack Oven - Single</v>
          </cell>
          <cell r="B352" t="str">
            <v>Oven Other</v>
          </cell>
          <cell r="C352">
            <v>3.7499999999999999E-2</v>
          </cell>
        </row>
      </sheetData>
      <sheetData sheetId="3"/>
      <sheetData sheetId="4"/>
      <sheetData sheetId="5"/>
      <sheetData sheetId="6"/>
      <sheetData sheetId="7">
        <row r="76">
          <cell r="B76" t="str">
            <v>Natural Gas Steam Cooker</v>
          </cell>
        </row>
        <row r="77">
          <cell r="B77" t="str">
            <v>Electric Steam Cooker</v>
          </cell>
        </row>
        <row r="81">
          <cell r="A81">
            <v>3</v>
          </cell>
        </row>
        <row r="82">
          <cell r="A82">
            <v>4</v>
          </cell>
        </row>
        <row r="83">
          <cell r="A83">
            <v>5</v>
          </cell>
        </row>
        <row r="84">
          <cell r="A84">
            <v>6</v>
          </cell>
        </row>
        <row r="88">
          <cell r="A88" t="str">
            <v>Fast Food, limited menu</v>
          </cell>
          <cell r="E88" t="str">
            <v>Tier 1A</v>
          </cell>
        </row>
        <row r="89">
          <cell r="A89" t="str">
            <v>Fast Food, expanded menu</v>
          </cell>
          <cell r="E89" t="str">
            <v>Tier 1B</v>
          </cell>
        </row>
        <row r="90">
          <cell r="A90" t="str">
            <v>Pizza</v>
          </cell>
          <cell r="E90" t="str">
            <v>Avg Efficient</v>
          </cell>
        </row>
        <row r="91">
          <cell r="A91" t="str">
            <v>Full Service, limited menu</v>
          </cell>
          <cell r="E91" t="str">
            <v>Avg Most Efficient</v>
          </cell>
        </row>
        <row r="92">
          <cell r="A92" t="str">
            <v>Full Service, expanded menu</v>
          </cell>
        </row>
        <row r="93">
          <cell r="A93" t="str">
            <v>Cafeteria</v>
          </cell>
        </row>
        <row r="94">
          <cell r="A94" t="str">
            <v>Unknown</v>
          </cell>
        </row>
        <row r="95">
          <cell r="A95" t="str">
            <v>Custom</v>
          </cell>
        </row>
      </sheetData>
      <sheetData sheetId="8">
        <row r="50">
          <cell r="A50" t="str">
            <v>Small, quick- service restaurants</v>
          </cell>
        </row>
        <row r="51">
          <cell r="A51" t="str">
            <v>Medium-sized casual dining restaurants</v>
          </cell>
        </row>
        <row r="52">
          <cell r="A52" t="str">
            <v>Large institutional establishments with cafeteria</v>
          </cell>
        </row>
        <row r="63">
          <cell r="A63" t="str">
            <v>TOS</v>
          </cell>
        </row>
        <row r="64">
          <cell r="A64" t="str">
            <v>RF</v>
          </cell>
        </row>
        <row r="65">
          <cell r="A65" t="str">
            <v>DI</v>
          </cell>
        </row>
        <row r="68">
          <cell r="A68" t="str">
            <v>Electric</v>
          </cell>
        </row>
        <row r="69">
          <cell r="A69" t="str">
            <v>Gas</v>
          </cell>
        </row>
      </sheetData>
      <sheetData sheetId="9"/>
      <sheetData sheetId="10">
        <row r="45">
          <cell r="A45">
            <v>0</v>
          </cell>
        </row>
        <row r="46">
          <cell r="A46">
            <v>0</v>
          </cell>
        </row>
        <row r="47">
          <cell r="A47">
            <v>0</v>
          </cell>
        </row>
        <row r="48">
          <cell r="A48">
            <v>0</v>
          </cell>
        </row>
        <row r="49">
          <cell r="A49">
            <v>0</v>
          </cell>
        </row>
        <row r="50">
          <cell r="A50" t="str">
            <v>Custom</v>
          </cell>
        </row>
      </sheetData>
      <sheetData sheetId="11">
        <row r="53">
          <cell r="A53">
            <v>5</v>
          </cell>
        </row>
        <row r="54">
          <cell r="A54">
            <v>10</v>
          </cell>
        </row>
        <row r="55">
          <cell r="A55">
            <v>15</v>
          </cell>
        </row>
        <row r="65">
          <cell r="B65" t="str">
            <v>TOS</v>
          </cell>
        </row>
        <row r="66">
          <cell r="B66" t="str">
            <v>RF</v>
          </cell>
        </row>
        <row r="67">
          <cell r="B67" t="str">
            <v>ER</v>
          </cell>
        </row>
      </sheetData>
      <sheetData sheetId="12"/>
      <sheetData sheetId="13">
        <row r="48">
          <cell r="C48" t="str">
            <v>TOS</v>
          </cell>
        </row>
        <row r="49">
          <cell r="C49" t="str">
            <v>RF</v>
          </cell>
        </row>
        <row r="53">
          <cell r="D53" t="str">
            <v>ENERGY STAR® Minimum</v>
          </cell>
        </row>
        <row r="54">
          <cell r="D54" t="str">
            <v>AFUE 90%</v>
          </cell>
        </row>
        <row r="55">
          <cell r="D55" t="str">
            <v>AFUE 90% Steam</v>
          </cell>
        </row>
        <row r="56">
          <cell r="D56" t="str">
            <v>AFUE 95%</v>
          </cell>
        </row>
        <row r="57">
          <cell r="D57" t="str">
            <v>AFUE ≥ 96%</v>
          </cell>
        </row>
        <row r="58">
          <cell r="D58" t="str">
            <v>Custom</v>
          </cell>
        </row>
        <row r="61">
          <cell r="A61" t="str">
            <v>Hot Water &lt;300,000 Btu/h &lt; June 1, 2013</v>
          </cell>
        </row>
        <row r="62">
          <cell r="A62" t="str">
            <v>Hot Water &lt;300,000 Btu/h  ≥ June 1, 2013</v>
          </cell>
        </row>
        <row r="63">
          <cell r="A63" t="str">
            <v>Hot Water  ≥300,000 &amp; ≤2,500,000 Btu/h</v>
          </cell>
        </row>
        <row r="64">
          <cell r="A64" t="str">
            <v>Hot Water  &gt;2,500,000 Btu/h</v>
          </cell>
        </row>
        <row r="65">
          <cell r="A65" t="str">
            <v>Steam &lt;300,000 Btu/h &lt; June 1, 2013</v>
          </cell>
        </row>
        <row r="66">
          <cell r="A66" t="str">
            <v>Steam &lt;300,000 Btu/h ≥June 1, 2013</v>
          </cell>
        </row>
        <row r="67">
          <cell r="A67" t="str">
            <v>Steam - all except natural draft ≥300,000 &amp; ≤2,500,000 Btu/h</v>
          </cell>
        </row>
        <row r="68">
          <cell r="A68" t="str">
            <v>Steam - natural draft ≥300,000 &amp; ≤2,500,000 Btu/h</v>
          </cell>
        </row>
        <row r="69">
          <cell r="A69" t="str">
            <v>Steam - all except natural draft &gt;2,500,000 Btu/h</v>
          </cell>
        </row>
        <row r="70">
          <cell r="A70" t="str">
            <v>Steam - natural draft &gt;2,500,000 Btu/h</v>
          </cell>
        </row>
      </sheetData>
      <sheetData sheetId="14">
        <row r="80">
          <cell r="B80" t="str">
            <v>Air Conditioning</v>
          </cell>
        </row>
        <row r="81">
          <cell r="B81" t="str">
            <v>No Air Conditioning</v>
          </cell>
        </row>
        <row r="82">
          <cell r="B82" t="str">
            <v>Unknown</v>
          </cell>
        </row>
        <row r="120">
          <cell r="B120">
            <v>2012</v>
          </cell>
        </row>
        <row r="121">
          <cell r="B121">
            <v>2013</v>
          </cell>
        </row>
      </sheetData>
      <sheetData sheetId="15"/>
      <sheetData sheetId="16">
        <row r="76">
          <cell r="B76" t="str">
            <v>Commercial Dry Cleaners</v>
          </cell>
        </row>
        <row r="77">
          <cell r="B77" t="str">
            <v>Commercial Heating , (including Multifamily) low pressure steam</v>
          </cell>
        </row>
        <row r="78">
          <cell r="B78" t="str">
            <v xml:space="preserve">Industrial Low Pressure &lt;15 psig </v>
          </cell>
        </row>
        <row r="79">
          <cell r="B79" t="str">
            <v>Industrial Medium Pressure &gt;15 psig &lt; 30 psig</v>
          </cell>
        </row>
        <row r="80">
          <cell r="B80" t="str">
            <v>Industrial Medium Pressure ≥30 &lt;75 psig</v>
          </cell>
        </row>
        <row r="81">
          <cell r="B81" t="str">
            <v>Industrial High Pressure ≥75 &lt;125 psig</v>
          </cell>
        </row>
        <row r="82">
          <cell r="B82" t="str">
            <v>Industrial High Pressure ≥125 &lt;175 psig</v>
          </cell>
        </row>
        <row r="83">
          <cell r="B83" t="str">
            <v>Industrial High Pressure ≥175 &lt;250 psig</v>
          </cell>
        </row>
        <row r="84">
          <cell r="B84" t="str">
            <v>Industrial High Pressure ≥250 psig</v>
          </cell>
        </row>
      </sheetData>
      <sheetData sheetId="17">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8"/>
      <sheetData sheetId="19"/>
      <sheetData sheetId="20"/>
      <sheetData sheetId="21"/>
      <sheetData sheetId="22"/>
      <sheetData sheetId="23">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24">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25">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26">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27">
        <row r="23">
          <cell r="B23" t="str">
            <v>Incandescent</v>
          </cell>
        </row>
        <row r="24">
          <cell r="B24" t="str">
            <v>CFL (dual sided)</v>
          </cell>
        </row>
        <row r="25">
          <cell r="B25" t="str">
            <v>CFL (single sided)</v>
          </cell>
        </row>
        <row r="26">
          <cell r="B26" t="str">
            <v>Unknown</v>
          </cell>
        </row>
        <row r="29">
          <cell r="B29" t="str">
            <v>Office</v>
          </cell>
        </row>
        <row r="30">
          <cell r="B30" t="str">
            <v>Grocery</v>
          </cell>
        </row>
        <row r="31">
          <cell r="B31" t="str">
            <v>Healthcare Clinic</v>
          </cell>
        </row>
        <row r="32">
          <cell r="B32" t="str">
            <v>Hospital</v>
          </cell>
        </row>
        <row r="33">
          <cell r="B33" t="str">
            <v>Heavy Industry</v>
          </cell>
        </row>
        <row r="34">
          <cell r="B34" t="str">
            <v>Light Industry</v>
          </cell>
        </row>
        <row r="35">
          <cell r="B35" t="str">
            <v>Hotel/Motel Common Areas</v>
          </cell>
        </row>
        <row r="36">
          <cell r="B36" t="str">
            <v xml:space="preserve">Hotel/Motel Guest Rooms </v>
          </cell>
        </row>
        <row r="37">
          <cell r="B37" t="str">
            <v>Hotel/Motel Guest Rooms with electric heat</v>
          </cell>
        </row>
        <row r="38">
          <cell r="B38" t="str">
            <v>High School/Middle School</v>
          </cell>
        </row>
        <row r="39">
          <cell r="B39" t="str">
            <v>Elementary School</v>
          </cell>
        </row>
        <row r="40">
          <cell r="B40" t="str">
            <v>Restaurant</v>
          </cell>
        </row>
        <row r="41">
          <cell r="B41" t="str">
            <v>Retail/Service</v>
          </cell>
        </row>
        <row r="42">
          <cell r="B42" t="str">
            <v>College/ University</v>
          </cell>
        </row>
        <row r="43">
          <cell r="B43" t="str">
            <v>Warehouse</v>
          </cell>
        </row>
        <row r="44">
          <cell r="B44" t="str">
            <v>Garage</v>
          </cell>
        </row>
        <row r="45">
          <cell r="B45" t="str">
            <v>Garage, 24/7 lighting</v>
          </cell>
        </row>
        <row r="46">
          <cell r="B46" t="str">
            <v>Exterior</v>
          </cell>
        </row>
        <row r="47">
          <cell r="B47" t="str">
            <v>Multi-family Common Areas</v>
          </cell>
        </row>
        <row r="48">
          <cell r="B48" t="str">
            <v xml:space="preserve">Religious Worship/Church </v>
          </cell>
        </row>
        <row r="49">
          <cell r="B49" t="str">
            <v>Low-Use Small Business  Miscellaneous</v>
          </cell>
        </row>
        <row r="50">
          <cell r="B50" t="str">
            <v>Miscellaneous</v>
          </cell>
        </row>
        <row r="51">
          <cell r="B51" t="str">
            <v>Uncooled Building</v>
          </cell>
        </row>
        <row r="52">
          <cell r="B52" t="str">
            <v>Refrigerated Cases</v>
          </cell>
        </row>
        <row r="53">
          <cell r="B53" t="str">
            <v>Freezer Cases</v>
          </cell>
        </row>
      </sheetData>
      <sheetData sheetId="28">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9">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row>
        <row r="38">
          <cell r="B38" t="str">
            <v>Hospital</v>
          </cell>
          <cell r="G38" t="str">
            <v>Parking areas &amp; drives</v>
          </cell>
        </row>
        <row r="39">
          <cell r="B39" t="str">
            <v>Hotel</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row>
        <row r="49">
          <cell r="B49" t="str">
            <v>Performing Arts Theater</v>
          </cell>
          <cell r="G49" t="str">
            <v>Free standing &amp; attached</v>
          </cell>
        </row>
        <row r="50">
          <cell r="B50" t="str">
            <v>Police/Fire Station</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30">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31">
        <row r="23">
          <cell r="B23" t="str">
            <v>Wall Switch Occupancy Sensor</v>
          </cell>
          <cell r="G23" t="str">
            <v>Office</v>
          </cell>
        </row>
        <row r="24">
          <cell r="B24" t="str">
            <v>Fixture-Mounted Occupancy Sensor</v>
          </cell>
          <cell r="G24" t="str">
            <v>Grocery</v>
          </cell>
        </row>
        <row r="25">
          <cell r="B25" t="str">
            <v>Remote or Wall-Mounted Occupancy Sensor</v>
          </cell>
          <cell r="G25" t="str">
            <v>Healthcare Clinic</v>
          </cell>
        </row>
        <row r="26">
          <cell r="B26" t="str">
            <v>Fixture-Mounted Daylight Sensor</v>
          </cell>
          <cell r="G26" t="str">
            <v>Hospital</v>
          </cell>
        </row>
        <row r="27">
          <cell r="B27" t="str">
            <v>Remote or Wall-Mounted Daylight Sensor</v>
          </cell>
          <cell r="G27" t="str">
            <v>Heavy Industry</v>
          </cell>
        </row>
        <row r="28">
          <cell r="B28" t="str">
            <v>Integrated Occupancy for LED Interior Fixtures &lt; 10,000 Lumens</v>
          </cell>
          <cell r="G28" t="str">
            <v>Light Industry</v>
          </cell>
        </row>
        <row r="29">
          <cell r="B29" t="str">
            <v>Integrated Occupancy for LED Interior Fixtures &gt;= 10,000 Lumens</v>
          </cell>
          <cell r="G29" t="str">
            <v>Hotel/Motel Common Areas</v>
          </cell>
        </row>
        <row r="30">
          <cell r="B30" t="str">
            <v>Integrated Dual Occupancy &amp; Daylight Sensor for LED Interior Fixtures &lt; 10,000 Lumens</v>
          </cell>
          <cell r="G30" t="str">
            <v>Hotel/ Motel Guest Rooms</v>
          </cell>
        </row>
        <row r="31">
          <cell r="B31" t="str">
            <v>Integrated Dual Occupancy &amp; Daylight Sensor for LED Interior Fixtures &gt;= 10,000 Lumens</v>
          </cell>
          <cell r="G31" t="str">
            <v>Hotel/ Motel Guest Rooms with electric heat</v>
          </cell>
        </row>
        <row r="32">
          <cell r="B32" t="str">
            <v>Fixture-Mounted Dual Occupancy &amp; Daylight Sensor for LED Interior Fixtures &lt; 10,000 Lumens</v>
          </cell>
          <cell r="G32" t="str">
            <v>High School/ Middle School</v>
          </cell>
        </row>
        <row r="33">
          <cell r="B33" t="str">
            <v>Fixture-Mounted Dual Occupancy &amp; Daylight Sensor for LED Interior Fixtures &gt;= 10,000 Lumens</v>
          </cell>
          <cell r="G33" t="str">
            <v>Elementary School</v>
          </cell>
        </row>
        <row r="34">
          <cell r="B34" t="str">
            <v>Exterior Occupancy Sensor</v>
          </cell>
          <cell r="G34" t="str">
            <v>Restaurant</v>
          </cell>
        </row>
        <row r="35">
          <cell r="G35" t="str">
            <v>Retail/ Service</v>
          </cell>
        </row>
        <row r="36">
          <cell r="G36" t="str">
            <v>College/ University</v>
          </cell>
        </row>
        <row r="37">
          <cell r="G37" t="str">
            <v>Warehouse</v>
          </cell>
        </row>
        <row r="38">
          <cell r="B38" t="str">
            <v>C06 - Commercial Indoor Lighting</v>
          </cell>
          <cell r="G38" t="str">
            <v>Garage</v>
          </cell>
        </row>
        <row r="39">
          <cell r="B39" t="str">
            <v>C07 - Grocery/Conv. Store Indoor Lighting</v>
          </cell>
          <cell r="G39" t="str">
            <v>Garage, 24/7 lighting[1]</v>
          </cell>
        </row>
        <row r="40">
          <cell r="B40" t="str">
            <v>C08 - Hospital Indoor Lighting</v>
          </cell>
          <cell r="G40" t="str">
            <v>Exterior</v>
          </cell>
        </row>
        <row r="41">
          <cell r="B41" t="str">
            <v>C09 - Office Indoor Lighting</v>
          </cell>
          <cell r="G41" t="str">
            <v>Multi-family Common Areas</v>
          </cell>
        </row>
        <row r="42">
          <cell r="B42" t="str">
            <v>C10 - Restaurant Indoor Lighting</v>
          </cell>
          <cell r="G42" t="str">
            <v>Miscellaneous</v>
          </cell>
        </row>
        <row r="43">
          <cell r="B43" t="str">
            <v>C11 - Retail Indoor Lighting</v>
          </cell>
          <cell r="G43" t="str">
            <v>Uncooled Building</v>
          </cell>
        </row>
        <row r="44">
          <cell r="B44" t="str">
            <v>C12 - Warehouse Indoor Lighting</v>
          </cell>
          <cell r="G44" t="str">
            <v>Refrigerated Cases</v>
          </cell>
        </row>
        <row r="45">
          <cell r="B45" t="str">
            <v>C13 - K-12 School Indoor Lighting</v>
          </cell>
          <cell r="G45" t="str">
            <v>Freezer Cases</v>
          </cell>
        </row>
        <row r="46">
          <cell r="B46" t="str">
            <v>C14 - Indust. 1-shift (8/5) (e.g., comp. air, lights)</v>
          </cell>
        </row>
        <row r="47">
          <cell r="B47" t="str">
            <v>C15 - Indust. 2-shift (16/5) (e.g., comp. air, lights)</v>
          </cell>
        </row>
        <row r="48">
          <cell r="B48" t="str">
            <v>C16 - Indust. 3-shift (24/5) (e.g., comp. air, lights)</v>
          </cell>
        </row>
        <row r="49">
          <cell r="B49" t="str">
            <v>C17 - Indust. 4-shift (24/7) (e.g., comp. air, lights)</v>
          </cell>
        </row>
        <row r="50">
          <cell r="B50" t="str">
            <v>C18 - Industrial Indoor Lighting</v>
          </cell>
        </row>
        <row r="51">
          <cell r="B51" t="str">
            <v>C19 - Industrial Outdoor Lighting</v>
          </cell>
        </row>
        <row r="52">
          <cell r="B52" t="str">
            <v>C20 - Commercial Outdoor Lighting</v>
          </cell>
        </row>
      </sheetData>
      <sheetData sheetId="32">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33"/>
      <sheetData sheetId="34"/>
      <sheetData sheetId="35"/>
      <sheetData sheetId="36">
        <row r="33">
          <cell r="B33" t="str">
            <v>Assembly</v>
          </cell>
        </row>
      </sheetData>
      <sheetData sheetId="37">
        <row r="8">
          <cell r="D8">
            <v>2.2185999999999987E-2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To Do"/>
      <sheetName val="Budget Summary PY4"/>
      <sheetName val="Budget Summary PY5"/>
      <sheetName val="Budget Summary PY6"/>
      <sheetName val="NSG PY4 Budget Bkdn for Bencost"/>
      <sheetName val="NSG PY5 Budget Bkdn for Bencost"/>
      <sheetName val="NSG PY6 Budget Bkdn for Bencost"/>
      <sheetName val="PG PY4 Budget Bkdn for Bencost"/>
      <sheetName val="PG PY5 Budget Bkdn for Bencost"/>
      <sheetName val="PG PY6 Budget Bkdn for Bencost"/>
      <sheetName val="Overview"/>
      <sheetName val="Inputs"/>
      <sheetName val="Program measure breakdowns"/>
      <sheetName val="Savings Table NSG"/>
      <sheetName val="Savings Table PG"/>
      <sheetName val="PY1 Summary"/>
      <sheetName val="PY2 Summary"/>
      <sheetName val="PY1 PY2 Comparison"/>
      <sheetName val="0 TRM Algorithms"/>
      <sheetName val="1 Boilers"/>
      <sheetName val="2 HE Furnaces"/>
      <sheetName val="3 Reset Controls"/>
      <sheetName val="4 DHW"/>
      <sheetName val="5 Tune-Ups"/>
      <sheetName val="6 Showerheads"/>
      <sheetName val="7 Aerators"/>
      <sheetName val="8 Steam Traps"/>
      <sheetName val="9 T Stats"/>
      <sheetName val="10 Sprayers"/>
      <sheetName val="11 Food Service"/>
      <sheetName val="12 DI Pipe Insulation"/>
      <sheetName val="13 Condensing Unit Heaters"/>
      <sheetName val="14 Retrocommissioning"/>
      <sheetName val="15 Behavioral Change"/>
      <sheetName val="16 Whole Home Retrofit"/>
      <sheetName val="17 C&amp;I Custom"/>
      <sheetName val="18 TRM Infrared Heaters"/>
      <sheetName val="19 TRM Steam Traps"/>
      <sheetName val="20 TRM Food Service"/>
      <sheetName val="20 No TRM Food Service"/>
      <sheetName val="21 TRM Comm DHW"/>
      <sheetName val="22 No TRM DHW"/>
      <sheetName val="23 TRM DHW Pipe Ins"/>
      <sheetName val="24 Boiler Pipe Ins"/>
      <sheetName val="25 Pool Covers"/>
      <sheetName val="26 TRM Ind Burner Tune Ups"/>
      <sheetName val="27 Res WH TRM"/>
      <sheetName val="28 Res Attic Ins TRM"/>
      <sheetName val="29 Res Pro T-Stats"/>
      <sheetName val="Notes-Re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Algorithm Components 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3.19"/>
      <sheetName val="5.4.1"/>
      <sheetName val="5.4.6"/>
      <sheetName val="5.4.7"/>
      <sheetName val="5.4.8"/>
      <sheetName val="5.4.11"/>
      <sheetName val="5.5.3"/>
      <sheetName val="5.5.4"/>
      <sheetName val="5.5.5"/>
      <sheetName val="5.5.7"/>
      <sheetName val="5.6.3"/>
      <sheetName val="5.6.7"/>
      <sheetName val="Lists"/>
      <sheetName val="Input_Data"/>
    </sheetNames>
    <sheetDataSet>
      <sheetData sheetId="0"/>
      <sheetData sheetId="1"/>
      <sheetData sheetId="2"/>
      <sheetData sheetId="3"/>
      <sheetData sheetId="4"/>
      <sheetData sheetId="5"/>
      <sheetData sheetId="6">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7">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8"/>
      <sheetData sheetId="9">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10">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11">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12"/>
      <sheetData sheetId="13">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4"/>
      <sheetData sheetId="15"/>
      <sheetData sheetId="16"/>
      <sheetData sheetId="17">
        <row r="7">
          <cell r="J7" t="str">
            <v>TOS</v>
          </cell>
        </row>
        <row r="8">
          <cell r="J8" t="str">
            <v>NC</v>
          </cell>
        </row>
        <row r="9">
          <cell r="J9" t="str">
            <v>RF</v>
          </cell>
        </row>
      </sheetData>
      <sheetData sheetId="18">
        <row r="7">
          <cell r="M7" t="str">
            <v>Central AC</v>
          </cell>
        </row>
        <row r="8">
          <cell r="M8" t="str">
            <v>Air Source HP</v>
          </cell>
        </row>
      </sheetData>
      <sheetData sheetId="19"/>
      <sheetData sheetId="20"/>
      <sheetData sheetId="21"/>
      <sheetData sheetId="22"/>
      <sheetData sheetId="23"/>
      <sheetData sheetId="24">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5"/>
      <sheetData sheetId="26"/>
      <sheetData sheetId="27">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8">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9">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30"/>
      <sheetData sheetId="31"/>
      <sheetData sheetId="32"/>
      <sheetData sheetId="33">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34">
        <row r="8">
          <cell r="D8">
            <v>2.3800000000000002E-2</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Algorithm Components 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sheetData sheetId="4"/>
      <sheetData sheetId="5"/>
      <sheetData sheetId="6">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7">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8"/>
      <sheetData sheetId="9">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10">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11">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12"/>
      <sheetData sheetId="13">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4"/>
      <sheetData sheetId="15"/>
      <sheetData sheetId="16"/>
      <sheetData sheetId="17">
        <row r="7">
          <cell r="J7" t="str">
            <v>TOS</v>
          </cell>
        </row>
        <row r="8">
          <cell r="J8" t="str">
            <v>NC</v>
          </cell>
        </row>
        <row r="9">
          <cell r="J9" t="str">
            <v>RF</v>
          </cell>
        </row>
      </sheetData>
      <sheetData sheetId="18">
        <row r="7">
          <cell r="M7" t="str">
            <v>Central AC</v>
          </cell>
        </row>
        <row r="8">
          <cell r="M8" t="str">
            <v>Air Source HP</v>
          </cell>
        </row>
      </sheetData>
      <sheetData sheetId="19"/>
      <sheetData sheetId="20"/>
      <sheetData sheetId="21"/>
      <sheetData sheetId="22"/>
      <sheetData sheetId="23">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4"/>
      <sheetData sheetId="25">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6">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7">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8">
        <row r="19">
          <cell r="J19" t="str">
            <v>Incandacent</v>
          </cell>
        </row>
        <row r="20">
          <cell r="J20" t="str">
            <v>Fluorescent</v>
          </cell>
        </row>
        <row r="21">
          <cell r="J21" t="str">
            <v>Unknown</v>
          </cell>
        </row>
      </sheetData>
      <sheetData sheetId="29"/>
      <sheetData sheetId="30">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31">
        <row r="8">
          <cell r="D8">
            <v>2.2185999999999987E-2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Algorithm Components 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7.4399999999999994E-2</v>
          </cell>
        </row>
        <row r="111">
          <cell r="B111" t="str">
            <v>Agriculture</v>
          </cell>
        </row>
        <row r="112">
          <cell r="B112" t="str">
            <v>Food service</v>
          </cell>
        </row>
        <row r="113">
          <cell r="B113" t="str">
            <v>Low-flow fixtures</v>
          </cell>
        </row>
        <row r="114">
          <cell r="B114" t="str">
            <v>Water heater</v>
          </cell>
        </row>
        <row r="115">
          <cell r="B115" t="str">
            <v>Air conditioner</v>
          </cell>
        </row>
        <row r="116">
          <cell r="B116" t="str">
            <v>Boilers</v>
          </cell>
        </row>
        <row r="117">
          <cell r="B117" t="str">
            <v>Furnaces</v>
          </cell>
        </row>
        <row r="118">
          <cell r="B118" t="str">
            <v xml:space="preserve">Heat pumps </v>
          </cell>
        </row>
        <row r="119">
          <cell r="B119" t="str">
            <v xml:space="preserve">Steam traps </v>
          </cell>
        </row>
        <row r="120">
          <cell r="B120" t="str">
            <v>Other HVAC</v>
          </cell>
        </row>
        <row r="121">
          <cell r="B121" t="str">
            <v xml:space="preserve">Lighting </v>
          </cell>
        </row>
        <row r="122">
          <cell r="B122" t="str">
            <v>Refigeration</v>
          </cell>
        </row>
        <row r="123">
          <cell r="B123" t="str">
            <v>Dishwasher</v>
          </cell>
        </row>
        <row r="124">
          <cell r="B124" t="str">
            <v>Clothes washers</v>
          </cell>
        </row>
        <row r="125">
          <cell r="B125" t="str">
            <v>Appliances</v>
          </cell>
        </row>
        <row r="126">
          <cell r="B126" t="str">
            <v>Consumer electronics</v>
          </cell>
        </row>
        <row r="127">
          <cell r="B127" t="str">
            <v>Thermostats</v>
          </cell>
        </row>
        <row r="128">
          <cell r="B128" t="str">
            <v>Duct sealing</v>
          </cell>
        </row>
        <row r="129">
          <cell r="B129" t="str">
            <v>Pipe insulation</v>
          </cell>
        </row>
        <row r="130">
          <cell r="B130" t="str">
            <v>Technical assistance</v>
          </cell>
        </row>
        <row r="131">
          <cell r="B131" t="str">
            <v>Technical assistance - DI</v>
          </cell>
        </row>
        <row r="132">
          <cell r="B132" t="str">
            <v>Shell</v>
          </cell>
        </row>
        <row r="133">
          <cell r="B133" t="str">
            <v>Custom</v>
          </cell>
        </row>
        <row r="134">
          <cell r="B134" t="str">
            <v>Controls</v>
          </cell>
        </row>
        <row r="135">
          <cell r="B135" t="str">
            <v xml:space="preserve">Code-compliance </v>
          </cell>
        </row>
        <row r="136">
          <cell r="B136" t="str">
            <v>RCx</v>
          </cell>
        </row>
        <row r="137">
          <cell r="B137" t="str">
            <v>New Construction</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BoilerData"/>
      <sheetName val="Sheet1"/>
      <sheetName val="AHRIBoiler"/>
      <sheetName val="AHRI Residential Boilers AFUE 9"/>
      <sheetName val="Boiler Input Capacity All Progr"/>
    </sheetNames>
    <definedNames>
      <definedName name="Table1_2"/>
    </defined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lgorithms-Gas PY4"/>
      <sheetName val="Algorithms-Electric PY7"/>
      <sheetName val="Hybrid Components"/>
      <sheetName val="Bonus-Process-Misc Components"/>
      <sheetName val="NSG SF-JS PY4"/>
      <sheetName val="PG SF-JS PY4"/>
      <sheetName val="ComEd SF-JS PY7"/>
      <sheetName val="PG SF-P PY4"/>
      <sheetName val="NSG SF-P PY4"/>
      <sheetName val="PG MF-TA PY4"/>
      <sheetName val="NSG MF-TA PY4"/>
      <sheetName val="PG MF-P PY4"/>
      <sheetName val="NSG MF-P PY4"/>
      <sheetName val="PG MF-JS PY4"/>
      <sheetName val="NSG MF-JS PY4"/>
      <sheetName val="ComEd MF-JS PY7"/>
      <sheetName val="PG SBES-DI PY4"/>
      <sheetName val="NSG SBES-DI PY4"/>
      <sheetName val="PG SBES P PY4"/>
      <sheetName val="NSG SBES P PY4"/>
      <sheetName val="PG SBES TA PY4"/>
      <sheetName val="NSG SBES TA PY4"/>
      <sheetName val="IG Custom-Opt-RXc"/>
      <sheetName val="PG C&amp;IP PY4"/>
      <sheetName val="NSG C&amp;IP PY4"/>
      <sheetName val="Data Validation"/>
      <sheetName val="Prog Names NTG"/>
      <sheetName val="1 - Efficient Hot Water"/>
      <sheetName val="2 - Energy Star Steam Cooker"/>
      <sheetName val="3 - Pipe Insulation"/>
      <sheetName val="4 - ERV"/>
      <sheetName val="5 - Thermostats"/>
      <sheetName val="6 - On-Demand DHW"/>
      <sheetName val="7 - Single-Pipe Steam"/>
      <sheetName val="8 - 88% TE Central WH"/>
      <sheetName val="9- MF - PY7 - DI Savings"/>
      <sheetName val="10 - SF - PY7 - DI Savings"/>
      <sheetName val="ECR 060214"/>
      <sheetName val="ECR 061714"/>
      <sheetName val="ECR 071614"/>
      <sheetName val="ECR 072314"/>
      <sheetName val="ECR 073014"/>
      <sheetName val="ECR 080414"/>
      <sheetName val="ECR 080714"/>
      <sheetName val="ECR 090214"/>
      <sheetName val="ECR 09082014"/>
      <sheetName val="ECR 090914"/>
      <sheetName val="Integrys MMDB PY4"/>
      <sheetName val="ECR 092514"/>
      <sheetName val="ECR 100314"/>
      <sheetName val="ECR 10-03-14"/>
      <sheetName val="ECR 11-03-14"/>
      <sheetName val="ECR 12-9-14"/>
      <sheetName val="ECR 12-30-2014"/>
      <sheetName val="ECR 12-31-2014"/>
      <sheetName val="ECR 01-02-2015"/>
      <sheetName val="Lookup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Mapping List"/>
      <sheetName val="Residential Measures"/>
      <sheetName val="Tech, Saturation, Stock"/>
      <sheetName val="Business Custom Analysis"/>
      <sheetName val="3.1  Participation"/>
      <sheetName val="EEP 3.1 Plan"/>
      <sheetName val="PY6 Participation"/>
      <sheetName val="PY5 Participation"/>
      <sheetName val="PY4 Participatin"/>
      <sheetName val="Sheet1"/>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Mapping List"/>
      <sheetName val="Residential Measures"/>
      <sheetName val="Tech, Saturation, Stock"/>
      <sheetName val="Business Custom Analysis"/>
    </sheetNames>
    <sheetDataSet>
      <sheetData sheetId="0"/>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Validation"/>
      <sheetName val="Program BCRs"/>
      <sheetName val="Data Validation"/>
      <sheetName val="Tool Set-Up"/>
      <sheetName val="MMD Y1"/>
      <sheetName val="Load Shap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L TRM Calculations"/>
      <sheetName val="Summary"/>
      <sheetName val="PY7 Measures summary"/>
      <sheetName val="Space heating boilers"/>
      <sheetName val="Cond. Tank Insulation"/>
      <sheetName val="Heat Rec. Grease Trap Filter"/>
      <sheetName val="Modulating Com. Gas Dryers"/>
      <sheetName val="Industrial air Curtain savings"/>
      <sheetName val="Industrial air Curtain"/>
      <sheetName val="Linkageless Controls"/>
      <sheetName val="O2 Trim"/>
      <sheetName val="Draft Controls"/>
      <sheetName val="FilterWhistle"/>
      <sheetName val="T-stats C&amp;I"/>
      <sheetName val="T-stats SF-MF"/>
      <sheetName val="GREM"/>
      <sheetName val="WH Temp Setback"/>
      <sheetName val="High Efficiency Condensing RTU"/>
      <sheetName val="T-stats general"/>
      <sheetName val="High Efficiency Condensing RTU2"/>
      <sheetName val="Laminar Flow Restrictor"/>
      <sheetName val="Pipe Insul. Large &amp; X-larg"/>
      <sheetName val="Pipe Insul. Fittings"/>
      <sheetName val="Jackets"/>
      <sheetName val="Radiator Reflectors"/>
      <sheetName val="Measure Info"/>
      <sheetName val="General Inputs"/>
      <sheetName val="Inputs"/>
      <sheetName val="DI Measures"/>
      <sheetName val="Kitchen Demand Ventilation Co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 val="TRC Analysis 12.6.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PIVOT"/>
      <sheetName val="Main Input"/>
      <sheetName val="Program Input"/>
      <sheetName val="Forecast Input"/>
      <sheetName val="Energy Intensity Input"/>
      <sheetName val="Adoption Input"/>
      <sheetName val="Load Profile Input"/>
      <sheetName val="Avoided Energy Cost Input"/>
      <sheetName val="Avoided Capacity Cost Input"/>
      <sheetName val="Non Equipment Measures"/>
      <sheetName val="Equipment Measures"/>
      <sheetName val="Stock Forecast"/>
      <sheetName val="Equipment Forecast"/>
      <sheetName val="Baseline Energy Forecast"/>
      <sheetName val="Output"/>
      <sheetName val="Summary Tables"/>
      <sheetName val="Measure Counts"/>
      <sheetName val="Misc2"/>
      <sheetName val="Misc"/>
      <sheetName val="Master"/>
      <sheetName val="MasterTemp"/>
      <sheetName val="Lookups"/>
      <sheetName val="Status"/>
      <sheetName val="MasterTransfer"/>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5.1.1"/>
      <sheetName val="5.1.3"/>
      <sheetName val="5.1.4"/>
      <sheetName val="5.1.5"/>
      <sheetName val="5.1.6"/>
      <sheetName val="5.1.7"/>
      <sheetName val="5.1.9"/>
      <sheetName val="5.2.1"/>
      <sheetName val="5.3.2"/>
      <sheetName val="5.3.4"/>
      <sheetName val="5.3.6"/>
      <sheetName val="5.3.7"/>
      <sheetName val="5.3.8"/>
      <sheetName val="5.4.1"/>
      <sheetName val="5.4.6"/>
      <sheetName val="5.4.7"/>
      <sheetName val="5.5.3"/>
      <sheetName val="5.5.4"/>
      <sheetName val="5.5.5"/>
      <sheetName val="5.5.7"/>
      <sheetName val="5.6.3"/>
      <sheetName val="5.4.1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7.4399999999999994E-2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BoilerData"/>
      <sheetName val="Sheet1"/>
      <sheetName val="AHRIBoiler"/>
      <sheetName val="AHRI Residential Boilers AFUE 9"/>
      <sheetName val="Boiler Input Capacity All Progr"/>
    </sheetNames>
    <definedNames>
      <definedName name="Table1_2"/>
    </defined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Name"/>
      <sheetName val="Measure Data and Calculations"/>
      <sheetName val="Incentive Calcs (prelim)"/>
      <sheetName val="Sheet2"/>
      <sheetName val="Lookup Tables"/>
    </sheetNames>
    <sheetDataSet>
      <sheetData sheetId="0"/>
      <sheetData sheetId="1"/>
      <sheetData sheetId="2"/>
      <sheetData sheetId="3"/>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DualSummary"/>
      <sheetName val="Algorithm Components Summary"/>
      <sheetName val="5.1.2"/>
      <sheetName val="5.1.8"/>
      <sheetName val="5.3.1"/>
      <sheetName val="5.3.3"/>
      <sheetName val="5.3.5"/>
      <sheetName val="5.3.6"/>
      <sheetName val="5.3.7"/>
      <sheetName val="5.3.11"/>
      <sheetName val="5.3.16"/>
      <sheetName val="5.4.2"/>
      <sheetName val="5.4.3"/>
      <sheetName val="5.4.4"/>
      <sheetName val="5.4.5"/>
      <sheetName val="5.4.9"/>
      <sheetName val="5.5.1"/>
      <sheetName val="5.5.2"/>
      <sheetName val="5.5.6"/>
      <sheetName val="5.6.1"/>
      <sheetName val="5.6.2"/>
      <sheetName val="5.6.4"/>
      <sheetName val="List"/>
      <sheetName val="Input_Data"/>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BES DI"/>
      <sheetName val="MF DI"/>
      <sheetName val="SF DI"/>
      <sheetName val="Sheet1"/>
      <sheetName val="C&amp;I DI"/>
      <sheetName val="ELEC &amp; Gas Savings"/>
      <sheetName val="Water Savings"/>
      <sheetName val="Algorithms-Electric PY7"/>
    </sheetNames>
    <sheetDataSet>
      <sheetData sheetId="0"/>
      <sheetData sheetId="1"/>
      <sheetData sheetId="2"/>
      <sheetData sheetId="3"/>
      <sheetData sheetId="4"/>
      <sheetData sheetId="5"/>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Custom_Table TEAPOt"/>
      <sheetName val="Lookups"/>
      <sheetName val="Custom_Table"/>
      <sheetName val="GHP Combi"/>
      <sheetName val="GHPWH"/>
      <sheetName val="GHG"/>
      <sheetName val="CHP"/>
      <sheetName val="Thin Triple Windows"/>
      <sheetName val="Thin Triple Windows2"/>
      <sheetName val="Kit"/>
      <sheetName val="Kit WX"/>
      <sheetName val="Kit HEA"/>
      <sheetName val="Residential Wx"/>
      <sheetName val="Biz - Salon Sprayer"/>
      <sheetName val="Sheet3"/>
      <sheetName val="BEER"/>
      <sheetName val="Dry Cleaner Pipe Insulation"/>
      <sheetName val="MF_Boiler Pipe Ins"/>
      <sheetName val="Tstats"/>
      <sheetName val="Direct Fired"/>
      <sheetName val="Assessments"/>
      <sheetName val="RNC"/>
      <sheetName val="SEM-Old"/>
      <sheetName val="SEM"/>
      <sheetName val="Custom Projects-Old"/>
      <sheetName val="Custom Incremental"/>
      <sheetName val="Custom Public +- 15"/>
      <sheetName val="Custom Private +- 15"/>
      <sheetName val="Custom Projects"/>
      <sheetName val="Bonuses"/>
      <sheetName val="BNC"/>
      <sheetName val="SBES_Furnace"/>
      <sheetName val="SBES_furnace_ER"/>
      <sheetName val="SBES_Traps"/>
      <sheetName val="BEER Assessment"/>
      <sheetName val="Notes for Update"/>
      <sheetName val="New measures"/>
      <sheetName val="CWS"/>
      <sheetName val="Behavior"/>
      <sheetName val="Bundle"/>
      <sheetName val="Old"/>
      <sheetName val="Furnace background"/>
      <sheetName val="Column Headings"/>
      <sheetName val="Sheet1"/>
      <sheetName val="5.4.5"/>
      <sheetName val="Boilers"/>
      <sheetName val="OtherMF"/>
      <sheetName val="Lists"/>
      <sheetName val="Input_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Custom_Table TEAPOt"/>
      <sheetName val="Custom_Table"/>
      <sheetName val="Kit"/>
      <sheetName val="Kit WX"/>
      <sheetName val="Kit HEA"/>
      <sheetName val="Notes for Update"/>
      <sheetName val="New measures"/>
      <sheetName val="Direct Fired"/>
      <sheetName val="CWS"/>
      <sheetName val="Residential Wx"/>
      <sheetName val="Custom Projects"/>
      <sheetName val="Assessments"/>
      <sheetName val="Bonuses"/>
      <sheetName val="Behavior"/>
      <sheetName val="Bundle"/>
      <sheetName val="Old"/>
      <sheetName val="RNC"/>
      <sheetName val="Furnace background"/>
      <sheetName val="Column Headings"/>
      <sheetName val="Sheet1"/>
      <sheetName val="Biz - Salon Sprayer"/>
      <sheetName val="5.4.5"/>
      <sheetName val="BEER"/>
      <sheetName val="SBES_Furnace"/>
      <sheetName val="SBES_furnace_ER"/>
      <sheetName val="SBES_Traps"/>
      <sheetName val="MF_Boiler Pipe Ins"/>
      <sheetName val="Boilers"/>
      <sheetName val="Tstats"/>
      <sheetName val="Dry Cleaner Pipe Insulation"/>
      <sheetName val="BEER Assessment"/>
      <sheetName val="SEM"/>
      <sheetName val="OtherMF"/>
      <sheetName val="Sheet3"/>
      <sheetName val="BNC"/>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Custom_Table TEAPOt"/>
      <sheetName val="Notes for Update"/>
      <sheetName val="New measures"/>
      <sheetName val="Custom_Table"/>
      <sheetName val="Direct Fired"/>
      <sheetName val="Residential Wx"/>
      <sheetName val="Custom Projects"/>
      <sheetName val="Assessments"/>
      <sheetName val="Bonuses"/>
      <sheetName val="Behavior"/>
      <sheetName val="Kit"/>
      <sheetName val="Bundle"/>
      <sheetName val="Old"/>
      <sheetName val="Custom"/>
      <sheetName val="SBEEP"/>
      <sheetName val="RNC"/>
      <sheetName val="Furnace background"/>
      <sheetName val="Column Headings"/>
      <sheetName val="Sheet1"/>
      <sheetName val="Biz - Salon Sprayer"/>
      <sheetName val="5.4.5"/>
      <sheetName val="MF"/>
      <sheetName val="BEER"/>
      <sheetName val="SBES_Furnace"/>
      <sheetName val="SBES_furnace_ER"/>
      <sheetName val="SBES_Traps"/>
      <sheetName val="MF_Boiler Pipe Ins"/>
      <sheetName val="Boilers"/>
      <sheetName val="Tstats"/>
      <sheetName val="Dry Cleaner Pipe Insulation"/>
      <sheetName val="BEER Assessment"/>
      <sheetName val="SEM"/>
      <sheetName val="Sheet2"/>
      <sheetName val="Sheet3"/>
      <sheetName val="Lists"/>
      <sheetName val="OtherMF"/>
      <sheetName val="B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for Update"/>
      <sheetName val="New measures"/>
      <sheetName val="Custom_Table"/>
      <sheetName val="Residential Wx"/>
      <sheetName val="Direct Fired"/>
      <sheetName val="Custom Projects"/>
      <sheetName val="Assessments"/>
      <sheetName val="Bonuses"/>
      <sheetName val="Behavior"/>
      <sheetName val="Kit"/>
      <sheetName val="Bundle"/>
      <sheetName val="Old"/>
      <sheetName val="Custom"/>
      <sheetName val="SBEEP"/>
      <sheetName val="RNC"/>
      <sheetName val="Furnace background"/>
      <sheetName val="Column Headings"/>
      <sheetName val="Sheet1"/>
      <sheetName val="Biz - Salon Sprayer"/>
      <sheetName val="5.4.5"/>
      <sheetName val="MF"/>
      <sheetName val="BEER"/>
      <sheetName val="SBES_Furnace"/>
      <sheetName val="SBES_furnace_ER"/>
      <sheetName val="SBES_Traps"/>
      <sheetName val="MF_Boiler Pipe Ins"/>
      <sheetName val="Boilers"/>
      <sheetName val="Tstats"/>
      <sheetName val="Dry Cleaner Pipe Insulation"/>
      <sheetName val="BEER Assessment"/>
      <sheetName val="SEM"/>
      <sheetName val="Sheet2"/>
      <sheetName val="Sheet3"/>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
          <cell r="F33">
            <v>2</v>
          </cell>
          <cell r="I33" t="str">
            <v>Single-Family</v>
          </cell>
        </row>
        <row r="34">
          <cell r="F34">
            <v>1.75</v>
          </cell>
          <cell r="I34" t="str">
            <v>Multi-Family</v>
          </cell>
        </row>
        <row r="35">
          <cell r="F35">
            <v>1.5</v>
          </cell>
          <cell r="I35" t="str">
            <v>Custom</v>
          </cell>
        </row>
      </sheetData>
      <sheetData sheetId="20"/>
      <sheetData sheetId="21"/>
      <sheetData sheetId="22"/>
      <sheetData sheetId="23"/>
      <sheetData sheetId="24"/>
      <sheetData sheetId="25"/>
      <sheetData sheetId="26">
        <row r="17">
          <cell r="H17" t="str">
            <v>TOS</v>
          </cell>
        </row>
        <row r="29">
          <cell r="B29" t="str">
            <v>Office - High Rise</v>
          </cell>
        </row>
        <row r="30">
          <cell r="B30" t="str">
            <v>Office - Mid Rise</v>
          </cell>
        </row>
        <row r="31">
          <cell r="B31" t="str">
            <v>Office - Low Rise</v>
          </cell>
        </row>
        <row r="32">
          <cell r="B32" t="str">
            <v>Convenience</v>
          </cell>
        </row>
        <row r="33">
          <cell r="B33" t="str">
            <v>Healthcare Clinic</v>
          </cell>
        </row>
        <row r="34">
          <cell r="B34" t="str">
            <v>Manufacturing Facility</v>
          </cell>
        </row>
        <row r="35">
          <cell r="B35" t="str">
            <v>Lodging Hotel/Motel/ Multifamily</v>
          </cell>
        </row>
        <row r="36">
          <cell r="B36" t="str">
            <v>High School</v>
          </cell>
        </row>
        <row r="37">
          <cell r="B37" t="str">
            <v>Hospital</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27"/>
      <sheetData sheetId="28"/>
      <sheetData sheetId="29"/>
      <sheetData sheetId="30"/>
      <sheetData sheetId="31"/>
      <sheetData sheetId="32"/>
      <sheetData sheetId="3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TEAPot Measure Output Equip"/>
      <sheetName val="TEAPot Measure Output NonEquip"/>
      <sheetName val="List for Segments - TEAPOt"/>
      <sheetName val="Teapot Summary"/>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3.10"/>
      <sheetName val="4.3.12"/>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4.38"/>
      <sheetName val="4.4.49"/>
      <sheetName val="4.4.52"/>
      <sheetName val="4.6.1"/>
      <sheetName val="4.6.2"/>
      <sheetName val="4.6.3"/>
      <sheetName val="4.6.4"/>
      <sheetName val="4.6.5"/>
      <sheetName val="4.6.7"/>
      <sheetName val="4.7.1"/>
      <sheetName val="4.7.9"/>
      <sheetName val="4.6.6"/>
      <sheetName val="4.8.2"/>
      <sheetName val="4.8.4"/>
      <sheetName val="4.8.5"/>
      <sheetName val="Lists"/>
      <sheetName val="Input_Data"/>
    </sheetNames>
    <sheetDataSet>
      <sheetData sheetId="0"/>
      <sheetData sheetId="1"/>
      <sheetData sheetId="2"/>
      <sheetData sheetId="3">
        <row r="306">
          <cell r="C306" t="str">
            <v>Key</v>
          </cell>
          <cell r="D306" t="str">
            <v>Size Key</v>
          </cell>
          <cell r="E306" t="str">
            <v>Faucet Aerators - Bath - DI</v>
          </cell>
          <cell r="F306" t="str">
            <v>Faucet Aerators - Kitchen  - DI</v>
          </cell>
          <cell r="G306" t="str">
            <v>Low Flow Shower Heads - DI</v>
          </cell>
          <cell r="H306" t="str">
            <v>Indoor Pool Covers</v>
          </cell>
          <cell r="I306" t="str">
            <v>Outdoor Pool Covers</v>
          </cell>
          <cell r="J306" t="str">
            <v>Other</v>
          </cell>
          <cell r="K306" t="str">
            <v>Laminar flow</v>
          </cell>
        </row>
        <row r="307">
          <cell r="C307">
            <v>1</v>
          </cell>
          <cell r="D307">
            <v>2</v>
          </cell>
          <cell r="E307">
            <v>3</v>
          </cell>
          <cell r="F307">
            <v>4</v>
          </cell>
          <cell r="G307">
            <v>5</v>
          </cell>
          <cell r="H307">
            <v>6</v>
          </cell>
          <cell r="I307">
            <v>7</v>
          </cell>
          <cell r="J307">
            <v>8</v>
          </cell>
          <cell r="K307">
            <v>9</v>
          </cell>
        </row>
        <row r="308">
          <cell r="C308"/>
          <cell r="D308"/>
          <cell r="E308" t="str">
            <v>Unit</v>
          </cell>
          <cell r="F308" t="str">
            <v>Unit</v>
          </cell>
          <cell r="G308" t="str">
            <v>Unit</v>
          </cell>
          <cell r="H308" t="str">
            <v>Savings %</v>
          </cell>
          <cell r="I308" t="str">
            <v>Savings %</v>
          </cell>
          <cell r="J308" t="str">
            <v>Unit</v>
          </cell>
          <cell r="K308" t="str">
            <v>Unit</v>
          </cell>
        </row>
        <row r="309">
          <cell r="C309" t="str">
            <v>Small CommercialAssembly</v>
          </cell>
          <cell r="D309" t="str">
            <v>Small</v>
          </cell>
          <cell r="E309">
            <v>5.35</v>
          </cell>
          <cell r="F309">
            <v>1</v>
          </cell>
          <cell r="G309">
            <v>2.2727272727272729</v>
          </cell>
          <cell r="H309">
            <v>0.02</v>
          </cell>
          <cell r="I309">
            <v>0.02</v>
          </cell>
          <cell r="J309">
            <v>1</v>
          </cell>
          <cell r="K309">
            <v>0</v>
          </cell>
        </row>
        <row r="310">
          <cell r="C310" t="str">
            <v>Small CommercialAssisted Living</v>
          </cell>
          <cell r="D310" t="str">
            <v>Medium</v>
          </cell>
          <cell r="E310">
            <v>14.1</v>
          </cell>
          <cell r="F310">
            <v>1</v>
          </cell>
          <cell r="G310">
            <v>25.543209876543209</v>
          </cell>
          <cell r="H310">
            <v>0.02</v>
          </cell>
          <cell r="I310">
            <v>0.02</v>
          </cell>
          <cell r="J310">
            <v>1</v>
          </cell>
          <cell r="K310">
            <v>5.5049999999999999</v>
          </cell>
        </row>
        <row r="311">
          <cell r="C311" t="str">
            <v>Small CommercialCollege</v>
          </cell>
          <cell r="D311" t="str">
            <v>Medium</v>
          </cell>
          <cell r="E311">
            <v>11</v>
          </cell>
          <cell r="F311">
            <v>2.8571428571428572</v>
          </cell>
          <cell r="G311">
            <v>18.100000000000001</v>
          </cell>
          <cell r="H311">
            <v>0.02</v>
          </cell>
          <cell r="I311">
            <v>0.02</v>
          </cell>
          <cell r="J311">
            <v>1</v>
          </cell>
          <cell r="K311">
            <v>7.3</v>
          </cell>
        </row>
        <row r="312">
          <cell r="C312" t="str">
            <v>Small CommercialGrocery</v>
          </cell>
          <cell r="D312" t="str">
            <v>Medium</v>
          </cell>
          <cell r="E312">
            <v>3</v>
          </cell>
          <cell r="F312">
            <v>2</v>
          </cell>
          <cell r="G312">
            <v>0</v>
          </cell>
          <cell r="H312">
            <v>0.02</v>
          </cell>
          <cell r="I312">
            <v>0.02</v>
          </cell>
          <cell r="J312">
            <v>1</v>
          </cell>
          <cell r="K312">
            <v>0</v>
          </cell>
        </row>
        <row r="313">
          <cell r="C313" t="str">
            <v>Small CommercialHealthcare Clinic</v>
          </cell>
          <cell r="D313" t="str">
            <v>Small</v>
          </cell>
          <cell r="E313">
            <v>3</v>
          </cell>
          <cell r="F313">
            <v>1</v>
          </cell>
          <cell r="G313">
            <v>2.2727272727272729</v>
          </cell>
          <cell r="H313">
            <v>0.02</v>
          </cell>
          <cell r="I313">
            <v>0.02</v>
          </cell>
          <cell r="J313">
            <v>1</v>
          </cell>
          <cell r="K313">
            <v>55.05</v>
          </cell>
        </row>
        <row r="314">
          <cell r="C314" t="str">
            <v>Small CommercialHotel/Motel</v>
          </cell>
          <cell r="D314" t="str">
            <v>Medium</v>
          </cell>
          <cell r="E314">
            <v>14.1</v>
          </cell>
          <cell r="F314">
            <v>36.375</v>
          </cell>
          <cell r="G314">
            <v>51.086419753086417</v>
          </cell>
          <cell r="H314">
            <v>0.02</v>
          </cell>
          <cell r="I314">
            <v>0.02</v>
          </cell>
          <cell r="J314">
            <v>1</v>
          </cell>
          <cell r="K314">
            <v>11.01</v>
          </cell>
        </row>
        <row r="315">
          <cell r="C315" t="str">
            <v>Small CommercialMF - Mid Rise</v>
          </cell>
          <cell r="D315" t="str">
            <v>Medium</v>
          </cell>
          <cell r="E315">
            <v>0</v>
          </cell>
          <cell r="F315">
            <v>0</v>
          </cell>
          <cell r="G315">
            <v>0</v>
          </cell>
          <cell r="H315">
            <v>0.02</v>
          </cell>
          <cell r="I315">
            <v>0.02</v>
          </cell>
          <cell r="J315">
            <v>1</v>
          </cell>
          <cell r="K315">
            <v>0</v>
          </cell>
        </row>
        <row r="316">
          <cell r="C316" t="str">
            <v>Small CommercialSmall Office</v>
          </cell>
          <cell r="D316" t="str">
            <v>Small</v>
          </cell>
          <cell r="E316">
            <v>3.7727272727272729</v>
          </cell>
          <cell r="F316">
            <v>1.9444444444444444</v>
          </cell>
          <cell r="G316">
            <v>2.8571428571428572</v>
          </cell>
          <cell r="H316">
            <v>0.02</v>
          </cell>
          <cell r="I316">
            <v>0.02</v>
          </cell>
          <cell r="J316">
            <v>1</v>
          </cell>
          <cell r="K316">
            <v>1.45</v>
          </cell>
        </row>
        <row r="317">
          <cell r="C317" t="str">
            <v>Small CommercialReligious Building</v>
          </cell>
          <cell r="D317" t="str">
            <v>Small</v>
          </cell>
          <cell r="E317">
            <v>5.4508196721311473</v>
          </cell>
          <cell r="F317">
            <v>2.2096774193548385</v>
          </cell>
          <cell r="G317">
            <v>2.4651162790697674</v>
          </cell>
          <cell r="H317">
            <v>0.02</v>
          </cell>
          <cell r="I317">
            <v>0.02</v>
          </cell>
          <cell r="J317">
            <v>1</v>
          </cell>
          <cell r="K317">
            <v>0</v>
          </cell>
        </row>
        <row r="318">
          <cell r="C318" t="str">
            <v>Small CommercialRestaurant</v>
          </cell>
          <cell r="D318" t="str">
            <v>Small</v>
          </cell>
          <cell r="E318">
            <v>3.3505154639175259</v>
          </cell>
          <cell r="F318">
            <v>2.4714285714285715</v>
          </cell>
          <cell r="G318">
            <v>3.5</v>
          </cell>
          <cell r="H318">
            <v>0.02</v>
          </cell>
          <cell r="I318">
            <v>0.02</v>
          </cell>
          <cell r="J318">
            <v>1</v>
          </cell>
          <cell r="K318">
            <v>0</v>
          </cell>
        </row>
        <row r="319">
          <cell r="C319" t="str">
            <v>Small CommercialRetail</v>
          </cell>
          <cell r="D319" t="str">
            <v>Small</v>
          </cell>
          <cell r="E319">
            <v>1.7758620689655173</v>
          </cell>
          <cell r="F319">
            <v>1</v>
          </cell>
          <cell r="G319">
            <v>1</v>
          </cell>
          <cell r="H319">
            <v>0.02</v>
          </cell>
          <cell r="I319">
            <v>0.02</v>
          </cell>
          <cell r="J319">
            <v>1</v>
          </cell>
          <cell r="K319">
            <v>0</v>
          </cell>
        </row>
        <row r="320">
          <cell r="C320" t="str">
            <v>Small CommercialWarehouse</v>
          </cell>
          <cell r="D320" t="str">
            <v>Medium</v>
          </cell>
          <cell r="E320">
            <v>2.8076923076923075</v>
          </cell>
          <cell r="F320">
            <v>1.5</v>
          </cell>
          <cell r="G320">
            <v>3.2307692307692308</v>
          </cell>
          <cell r="H320">
            <v>0.02</v>
          </cell>
          <cell r="I320">
            <v>0.02</v>
          </cell>
          <cell r="J320">
            <v>1</v>
          </cell>
          <cell r="K320">
            <v>0</v>
          </cell>
        </row>
        <row r="321">
          <cell r="C321" t="str">
            <v>Small CommercialMisc. Commercial</v>
          </cell>
          <cell r="D321" t="str">
            <v>Small</v>
          </cell>
          <cell r="E321">
            <v>1.7758620689655173</v>
          </cell>
          <cell r="F321">
            <v>1</v>
          </cell>
          <cell r="G321">
            <v>1</v>
          </cell>
          <cell r="H321">
            <v>0.02</v>
          </cell>
          <cell r="I321">
            <v>0.02</v>
          </cell>
          <cell r="J321">
            <v>1</v>
          </cell>
          <cell r="K321">
            <v>0</v>
          </cell>
        </row>
        <row r="322">
          <cell r="C322" t="str">
            <v>Small CommercialPrivate Elementary and High School</v>
          </cell>
          <cell r="D322" t="str">
            <v>Medium</v>
          </cell>
          <cell r="E322">
            <v>6.7619047619047619</v>
          </cell>
          <cell r="F322">
            <v>2.8571428571428572</v>
          </cell>
          <cell r="G322">
            <v>4</v>
          </cell>
          <cell r="H322">
            <v>0.02</v>
          </cell>
          <cell r="I322">
            <v>0.02</v>
          </cell>
          <cell r="J322">
            <v>1</v>
          </cell>
          <cell r="K322">
            <v>0</v>
          </cell>
        </row>
        <row r="323">
          <cell r="C323" t="str">
            <v>Large CommercialAssembly</v>
          </cell>
          <cell r="D323" t="str">
            <v>Small</v>
          </cell>
          <cell r="E323">
            <v>17.5</v>
          </cell>
          <cell r="F323">
            <v>2</v>
          </cell>
          <cell r="G323">
            <v>16</v>
          </cell>
          <cell r="H323">
            <v>0.02</v>
          </cell>
          <cell r="I323">
            <v>0.02</v>
          </cell>
          <cell r="J323">
            <v>1</v>
          </cell>
          <cell r="K323">
            <v>0</v>
          </cell>
        </row>
        <row r="324">
          <cell r="C324" t="str">
            <v>Large CommercialAssisted Living</v>
          </cell>
          <cell r="D324" t="str">
            <v>Medium</v>
          </cell>
          <cell r="E324">
            <v>28.2</v>
          </cell>
          <cell r="F324">
            <v>3</v>
          </cell>
          <cell r="G324">
            <v>51.086419753086417</v>
          </cell>
          <cell r="H324">
            <v>0.02</v>
          </cell>
          <cell r="I324">
            <v>0.02</v>
          </cell>
          <cell r="J324">
            <v>1</v>
          </cell>
          <cell r="K324">
            <v>110.1</v>
          </cell>
        </row>
        <row r="325">
          <cell r="C325" t="str">
            <v>Large CommercialCollege</v>
          </cell>
          <cell r="D325" t="str">
            <v>Large</v>
          </cell>
          <cell r="E325">
            <v>22</v>
          </cell>
          <cell r="F325">
            <v>8</v>
          </cell>
          <cell r="G325">
            <v>181</v>
          </cell>
          <cell r="H325">
            <v>0.02</v>
          </cell>
          <cell r="I325">
            <v>0.02</v>
          </cell>
          <cell r="J325">
            <v>1</v>
          </cell>
          <cell r="K325">
            <v>0</v>
          </cell>
        </row>
        <row r="326">
          <cell r="C326" t="str">
            <v>Large CommercialGrocery</v>
          </cell>
          <cell r="D326" t="str">
            <v>Large</v>
          </cell>
          <cell r="E326">
            <v>3.8</v>
          </cell>
          <cell r="F326">
            <v>9</v>
          </cell>
          <cell r="G326">
            <v>0</v>
          </cell>
          <cell r="H326">
            <v>0.02</v>
          </cell>
          <cell r="I326">
            <v>0.02</v>
          </cell>
          <cell r="J326">
            <v>1</v>
          </cell>
          <cell r="K326">
            <v>0</v>
          </cell>
        </row>
        <row r="327">
          <cell r="C327" t="str">
            <v>Large CommercialHospital</v>
          </cell>
          <cell r="D327" t="str">
            <v>Large</v>
          </cell>
          <cell r="E327">
            <v>87</v>
          </cell>
          <cell r="F327">
            <v>8</v>
          </cell>
          <cell r="G327">
            <v>104.83333333333333</v>
          </cell>
          <cell r="H327">
            <v>0.02</v>
          </cell>
          <cell r="I327">
            <v>0.02</v>
          </cell>
          <cell r="J327">
            <v>1</v>
          </cell>
          <cell r="K327">
            <v>233.09090909090909</v>
          </cell>
        </row>
        <row r="328">
          <cell r="C328" t="str">
            <v>Large CommercialHotel/Motel</v>
          </cell>
          <cell r="D328" t="str">
            <v>Large</v>
          </cell>
          <cell r="E328">
            <v>28.2</v>
          </cell>
          <cell r="F328">
            <v>145.5</v>
          </cell>
          <cell r="G328">
            <v>85.2</v>
          </cell>
          <cell r="H328">
            <v>0.02</v>
          </cell>
          <cell r="I328">
            <v>0.02</v>
          </cell>
          <cell r="J328">
            <v>1</v>
          </cell>
          <cell r="K328">
            <v>0</v>
          </cell>
        </row>
        <row r="329">
          <cell r="C329" t="str">
            <v>Large CommercialMF - High Rise</v>
          </cell>
          <cell r="D329" t="str">
            <v>Large</v>
          </cell>
          <cell r="E329">
            <v>0</v>
          </cell>
          <cell r="F329">
            <v>0</v>
          </cell>
          <cell r="G329">
            <v>0</v>
          </cell>
          <cell r="H329">
            <v>0.02</v>
          </cell>
          <cell r="I329">
            <v>0.02</v>
          </cell>
          <cell r="J329">
            <v>1</v>
          </cell>
          <cell r="K329">
            <v>0</v>
          </cell>
        </row>
        <row r="330">
          <cell r="C330" t="str">
            <v>Large CommercialLarge Office</v>
          </cell>
          <cell r="D330" t="str">
            <v>Large</v>
          </cell>
          <cell r="E330">
            <v>492</v>
          </cell>
          <cell r="F330">
            <v>3.3333333333333335</v>
          </cell>
          <cell r="G330">
            <v>25</v>
          </cell>
          <cell r="H330">
            <v>0.02</v>
          </cell>
          <cell r="I330">
            <v>0.02</v>
          </cell>
          <cell r="J330">
            <v>1</v>
          </cell>
          <cell r="K330">
            <v>58</v>
          </cell>
        </row>
        <row r="331">
          <cell r="C331" t="str">
            <v>Large CommercialReligious Building</v>
          </cell>
          <cell r="D331" t="str">
            <v>Small</v>
          </cell>
          <cell r="E331">
            <v>5.4508196721311473</v>
          </cell>
          <cell r="F331">
            <v>2.2096774193548385</v>
          </cell>
          <cell r="G331">
            <v>4.9302325581395348</v>
          </cell>
          <cell r="H331">
            <v>0.02</v>
          </cell>
          <cell r="I331">
            <v>0.02</v>
          </cell>
          <cell r="J331">
            <v>1</v>
          </cell>
          <cell r="K331">
            <v>0</v>
          </cell>
        </row>
        <row r="332">
          <cell r="C332" t="str">
            <v>Large CommercialRestaurant</v>
          </cell>
          <cell r="D332" t="str">
            <v>Small</v>
          </cell>
          <cell r="E332">
            <v>6.7010309278350517</v>
          </cell>
          <cell r="F332">
            <v>4.9428571428571431</v>
          </cell>
          <cell r="G332">
            <v>3.5</v>
          </cell>
          <cell r="H332">
            <v>0.02</v>
          </cell>
          <cell r="I332">
            <v>0.02</v>
          </cell>
          <cell r="J332">
            <v>1</v>
          </cell>
          <cell r="K332">
            <v>0</v>
          </cell>
        </row>
        <row r="333">
          <cell r="C333" t="str">
            <v>Large CommercialRetail</v>
          </cell>
          <cell r="D333" t="str">
            <v>Small</v>
          </cell>
          <cell r="E333">
            <v>4.5</v>
          </cell>
          <cell r="F333">
            <v>2.75</v>
          </cell>
          <cell r="G333">
            <v>2</v>
          </cell>
          <cell r="H333">
            <v>0.02</v>
          </cell>
          <cell r="I333">
            <v>0.02</v>
          </cell>
          <cell r="J333">
            <v>1</v>
          </cell>
          <cell r="K333">
            <v>0</v>
          </cell>
        </row>
        <row r="334">
          <cell r="C334" t="str">
            <v>Large CommercialWarehouse</v>
          </cell>
          <cell r="D334" t="str">
            <v>Large</v>
          </cell>
          <cell r="E334">
            <v>5.615384615384615</v>
          </cell>
          <cell r="F334">
            <v>3</v>
          </cell>
          <cell r="G334">
            <v>6.4615384615384617</v>
          </cell>
          <cell r="H334">
            <v>0.02</v>
          </cell>
          <cell r="I334">
            <v>0.02</v>
          </cell>
          <cell r="J334">
            <v>1</v>
          </cell>
          <cell r="K334">
            <v>0</v>
          </cell>
        </row>
        <row r="335">
          <cell r="C335" t="str">
            <v>Large CommercialMisc. Commercial</v>
          </cell>
          <cell r="D335" t="str">
            <v>Small</v>
          </cell>
          <cell r="E335">
            <v>5.615384615384615</v>
          </cell>
          <cell r="F335">
            <v>1</v>
          </cell>
          <cell r="G335">
            <v>2</v>
          </cell>
          <cell r="H335">
            <v>0.02</v>
          </cell>
          <cell r="I335">
            <v>0.02</v>
          </cell>
          <cell r="J335">
            <v>1</v>
          </cell>
          <cell r="K335">
            <v>0</v>
          </cell>
        </row>
        <row r="336">
          <cell r="C336" t="str">
            <v>Large CommercialPrivate Elementary and High School</v>
          </cell>
          <cell r="D336" t="str">
            <v>Medium</v>
          </cell>
          <cell r="E336">
            <v>13.523809523809524</v>
          </cell>
          <cell r="F336">
            <v>5.7142857142857144</v>
          </cell>
          <cell r="G336">
            <v>8</v>
          </cell>
          <cell r="H336">
            <v>0.02</v>
          </cell>
          <cell r="I336">
            <v>0.02</v>
          </cell>
          <cell r="J336">
            <v>1</v>
          </cell>
          <cell r="K336">
            <v>0</v>
          </cell>
        </row>
        <row r="337">
          <cell r="C337" t="str">
            <v>Public SectorCollege</v>
          </cell>
          <cell r="D337" t="str">
            <v>Large</v>
          </cell>
          <cell r="E337">
            <v>22</v>
          </cell>
          <cell r="F337">
            <v>5</v>
          </cell>
          <cell r="G337">
            <v>18.100000000000001</v>
          </cell>
          <cell r="H337">
            <v>0.02</v>
          </cell>
          <cell r="I337">
            <v>0.02</v>
          </cell>
          <cell r="J337">
            <v>1</v>
          </cell>
          <cell r="K337">
            <v>7.3</v>
          </cell>
        </row>
        <row r="338">
          <cell r="C338" t="str">
            <v>Public SectorPublic Elementary and High School</v>
          </cell>
          <cell r="D338" t="str">
            <v>Medium</v>
          </cell>
          <cell r="E338">
            <v>13.523809523809524</v>
          </cell>
          <cell r="F338">
            <v>2.8571428571428572</v>
          </cell>
          <cell r="G338">
            <v>7.5</v>
          </cell>
          <cell r="H338">
            <v>0.02</v>
          </cell>
          <cell r="I338">
            <v>0.02</v>
          </cell>
          <cell r="J338">
            <v>1</v>
          </cell>
          <cell r="K338">
            <v>0</v>
          </cell>
        </row>
        <row r="339">
          <cell r="C339" t="str">
            <v>Public SectorHospital</v>
          </cell>
          <cell r="D339" t="str">
            <v>Large</v>
          </cell>
          <cell r="E339">
            <v>87</v>
          </cell>
          <cell r="F339">
            <v>8</v>
          </cell>
          <cell r="G339">
            <v>104.83333333333333</v>
          </cell>
          <cell r="H339">
            <v>0.02</v>
          </cell>
          <cell r="I339">
            <v>0.02</v>
          </cell>
          <cell r="J339">
            <v>1</v>
          </cell>
          <cell r="K339">
            <v>233.09090909090909</v>
          </cell>
        </row>
        <row r="340">
          <cell r="C340" t="str">
            <v>Public SectorPublic Service/Gov't</v>
          </cell>
          <cell r="D340" t="str">
            <v>Small</v>
          </cell>
          <cell r="E340">
            <v>1.7758620689655173</v>
          </cell>
          <cell r="F340">
            <v>1</v>
          </cell>
          <cell r="G340">
            <v>1</v>
          </cell>
          <cell r="H340">
            <v>0.02</v>
          </cell>
          <cell r="I340">
            <v>0.02</v>
          </cell>
          <cell r="J340">
            <v>1</v>
          </cell>
          <cell r="K340">
            <v>0</v>
          </cell>
        </row>
        <row r="341">
          <cell r="C341" t="str">
            <v>Public SectorMisc. Commercial</v>
          </cell>
          <cell r="D341" t="str">
            <v>Small</v>
          </cell>
          <cell r="E341">
            <v>1.7758620689655173</v>
          </cell>
          <cell r="F341">
            <v>1</v>
          </cell>
          <cell r="G341">
            <v>1</v>
          </cell>
          <cell r="H341">
            <v>0.02</v>
          </cell>
          <cell r="I341">
            <v>0.02</v>
          </cell>
          <cell r="J341">
            <v>1</v>
          </cell>
          <cell r="K341">
            <v>0</v>
          </cell>
        </row>
        <row r="342">
          <cell r="C342" t="str">
            <v>IndustrialSmall Mfg</v>
          </cell>
          <cell r="D342" t="str">
            <v>Small</v>
          </cell>
          <cell r="E342">
            <v>3.3</v>
          </cell>
          <cell r="F342">
            <v>1.5</v>
          </cell>
          <cell r="G342">
            <v>3.2307692307692308</v>
          </cell>
          <cell r="H342">
            <v>0.02</v>
          </cell>
          <cell r="I342">
            <v>0.02</v>
          </cell>
          <cell r="J342">
            <v>1</v>
          </cell>
          <cell r="K342">
            <v>0</v>
          </cell>
        </row>
        <row r="343">
          <cell r="C343" t="str">
            <v>IndustrialLarge Mfg</v>
          </cell>
          <cell r="D343" t="str">
            <v>Large</v>
          </cell>
          <cell r="E343">
            <v>3.3</v>
          </cell>
          <cell r="F343">
            <v>1.5</v>
          </cell>
          <cell r="G343">
            <v>3.2307692307692308</v>
          </cell>
          <cell r="H343">
            <v>0.02</v>
          </cell>
          <cell r="I343">
            <v>0.02</v>
          </cell>
          <cell r="J343">
            <v>1</v>
          </cell>
          <cell r="K343">
            <v>0</v>
          </cell>
        </row>
        <row r="344">
          <cell r="C344" t="str">
            <v>IndustrialSmall Agriculture</v>
          </cell>
          <cell r="D344" t="str">
            <v>Small</v>
          </cell>
          <cell r="E344">
            <v>3.3</v>
          </cell>
          <cell r="F344">
            <v>1.5</v>
          </cell>
          <cell r="G344">
            <v>1</v>
          </cell>
          <cell r="H344">
            <v>0.02</v>
          </cell>
          <cell r="I344">
            <v>0.02</v>
          </cell>
          <cell r="J344">
            <v>1</v>
          </cell>
          <cell r="K344">
            <v>0</v>
          </cell>
        </row>
        <row r="345">
          <cell r="C345" t="str">
            <v>IndustrialLarge Agriculture</v>
          </cell>
          <cell r="D345" t="str">
            <v>Large</v>
          </cell>
          <cell r="E345">
            <v>3.3</v>
          </cell>
          <cell r="F345">
            <v>1.5</v>
          </cell>
          <cell r="G345">
            <v>3.2307692307692308</v>
          </cell>
          <cell r="H345">
            <v>0.02</v>
          </cell>
          <cell r="I345">
            <v>0.02</v>
          </cell>
          <cell r="J345">
            <v>1</v>
          </cell>
          <cell r="K345">
            <v>0</v>
          </cell>
        </row>
        <row r="346">
          <cell r="C346" t="str">
            <v>IndustrialSmall Misc. Industrial</v>
          </cell>
          <cell r="D346" t="str">
            <v>Small</v>
          </cell>
          <cell r="E346">
            <v>3.3</v>
          </cell>
          <cell r="F346">
            <v>1.5</v>
          </cell>
          <cell r="G346">
            <v>3.2307692307692308</v>
          </cell>
          <cell r="H346">
            <v>0.02</v>
          </cell>
          <cell r="I346">
            <v>0.02</v>
          </cell>
          <cell r="J346">
            <v>1</v>
          </cell>
          <cell r="K346">
            <v>0</v>
          </cell>
        </row>
        <row r="347">
          <cell r="C347" t="str">
            <v>IndustrialLarge Misc. Industrial</v>
          </cell>
          <cell r="D347" t="str">
            <v>Large</v>
          </cell>
          <cell r="E347">
            <v>3.3</v>
          </cell>
          <cell r="F347">
            <v>1.5</v>
          </cell>
          <cell r="G347">
            <v>3.2307692307692308</v>
          </cell>
          <cell r="H347">
            <v>0.02</v>
          </cell>
          <cell r="I347">
            <v>0.02</v>
          </cell>
          <cell r="J347">
            <v>1</v>
          </cell>
          <cell r="K347">
            <v>0</v>
          </cell>
        </row>
      </sheetData>
      <sheetData sheetId="4">
        <row r="3">
          <cell r="A3" t="str">
            <v>4.1.1</v>
          </cell>
          <cell r="B3" t="str">
            <v>TRM1</v>
          </cell>
          <cell r="C3" t="str">
            <v>V8</v>
          </cell>
          <cell r="D3" t="str">
            <v>RS-APL-ESDH-V01-120601</v>
          </cell>
          <cell r="E3" t="str">
            <v>Engine Block Timer for Agricultural Equipment</v>
          </cell>
          <cell r="F3" t="str">
            <v>Engine Block Timer for Agricultural Equipment</v>
          </cell>
          <cell r="G3" t="str">
            <v>Agriculture</v>
          </cell>
          <cell r="H3" t="str">
            <v>Commercial</v>
          </cell>
          <cell r="I3" t="str">
            <v>Project</v>
          </cell>
          <cell r="J3">
            <v>664</v>
          </cell>
          <cell r="K3">
            <v>0</v>
          </cell>
          <cell r="L3">
            <v>0</v>
          </cell>
          <cell r="M3">
            <v>0</v>
          </cell>
          <cell r="N3">
            <v>1992</v>
          </cell>
          <cell r="O3">
            <v>0</v>
          </cell>
          <cell r="P3">
            <v>0</v>
          </cell>
          <cell r="Q3">
            <v>0</v>
          </cell>
          <cell r="R3"/>
          <cell r="S3"/>
          <cell r="T3"/>
          <cell r="U3"/>
          <cell r="V3">
            <v>3</v>
          </cell>
          <cell r="W3">
            <v>10.19</v>
          </cell>
        </row>
        <row r="4">
          <cell r="A4"/>
          <cell r="B4"/>
          <cell r="C4"/>
          <cell r="D4"/>
          <cell r="E4"/>
          <cell r="F4"/>
          <cell r="G4"/>
          <cell r="H4"/>
          <cell r="I4"/>
          <cell r="J4"/>
          <cell r="K4"/>
          <cell r="L4"/>
          <cell r="M4"/>
          <cell r="N4"/>
          <cell r="O4"/>
          <cell r="P4"/>
          <cell r="Q4"/>
          <cell r="R4"/>
          <cell r="S4"/>
          <cell r="T4"/>
          <cell r="U4"/>
          <cell r="V4"/>
          <cell r="W4"/>
        </row>
        <row r="5">
          <cell r="A5" t="str">
            <v>4.1.2</v>
          </cell>
          <cell r="B5" t="str">
            <v>TRM2</v>
          </cell>
          <cell r="C5" t="str">
            <v>V8</v>
          </cell>
          <cell r="D5" t="str">
            <v>CI-AGE-HVSF-V01-120601</v>
          </cell>
          <cell r="E5" t="str">
            <v>High Volume Low Speed Fans</v>
          </cell>
          <cell r="F5" t="str">
            <v>High Volume Low Speed Fans</v>
          </cell>
          <cell r="G5" t="str">
            <v>Other HVAC</v>
          </cell>
          <cell r="H5" t="str">
            <v>Commercial</v>
          </cell>
          <cell r="I5" t="str">
            <v>Unit</v>
          </cell>
          <cell r="J5">
            <v>10018.219999999999</v>
          </cell>
          <cell r="K5">
            <v>3.6680000000000001</v>
          </cell>
          <cell r="L5">
            <v>0</v>
          </cell>
          <cell r="M5">
            <v>0</v>
          </cell>
          <cell r="N5">
            <v>100182.2</v>
          </cell>
          <cell r="O5">
            <v>3.6680000000000001</v>
          </cell>
          <cell r="P5">
            <v>0</v>
          </cell>
          <cell r="Q5">
            <v>0</v>
          </cell>
          <cell r="R5"/>
          <cell r="S5"/>
          <cell r="T5"/>
          <cell r="U5"/>
          <cell r="V5">
            <v>10</v>
          </cell>
          <cell r="W5">
            <v>4225</v>
          </cell>
        </row>
        <row r="6">
          <cell r="A6"/>
          <cell r="B6"/>
          <cell r="C6"/>
          <cell r="D6"/>
          <cell r="E6"/>
          <cell r="F6"/>
          <cell r="G6"/>
          <cell r="H6"/>
          <cell r="I6"/>
          <cell r="J6"/>
          <cell r="K6"/>
          <cell r="L6"/>
          <cell r="M6"/>
          <cell r="N6"/>
          <cell r="O6"/>
          <cell r="P6"/>
          <cell r="Q6"/>
          <cell r="R6"/>
          <cell r="S6"/>
          <cell r="T6"/>
          <cell r="U6"/>
          <cell r="V6"/>
          <cell r="W6"/>
        </row>
        <row r="7">
          <cell r="A7" t="str">
            <v>4.1.3</v>
          </cell>
          <cell r="B7" t="str">
            <v>TRM3</v>
          </cell>
          <cell r="C7" t="str">
            <v>V8</v>
          </cell>
          <cell r="D7" t="str">
            <v>CI-AGE-HSF_-V01-120601</v>
          </cell>
          <cell r="E7" t="str">
            <v>High Speed Fans</v>
          </cell>
          <cell r="F7" t="str">
            <v>High Speed Fans</v>
          </cell>
          <cell r="G7" t="str">
            <v>Other HVAC</v>
          </cell>
          <cell r="H7" t="str">
            <v>Commercial</v>
          </cell>
          <cell r="I7" t="str">
            <v>Unit</v>
          </cell>
          <cell r="J7">
            <v>372.14</v>
          </cell>
          <cell r="K7">
            <v>0.11799999999999999</v>
          </cell>
          <cell r="L7">
            <v>0</v>
          </cell>
          <cell r="M7">
            <v>0</v>
          </cell>
          <cell r="N7">
            <v>2604.98</v>
          </cell>
          <cell r="O7">
            <v>0.11799999999999999</v>
          </cell>
          <cell r="P7">
            <v>0</v>
          </cell>
          <cell r="Q7">
            <v>0</v>
          </cell>
          <cell r="R7"/>
          <cell r="S7"/>
          <cell r="T7"/>
          <cell r="U7"/>
          <cell r="V7">
            <v>7</v>
          </cell>
          <cell r="W7">
            <v>150</v>
          </cell>
        </row>
        <row r="8">
          <cell r="A8"/>
          <cell r="B8"/>
          <cell r="C8"/>
          <cell r="D8"/>
          <cell r="E8"/>
          <cell r="F8"/>
          <cell r="G8"/>
          <cell r="H8"/>
          <cell r="I8"/>
          <cell r="J8"/>
          <cell r="K8"/>
          <cell r="L8"/>
          <cell r="M8"/>
          <cell r="N8"/>
          <cell r="O8"/>
          <cell r="P8"/>
          <cell r="Q8"/>
          <cell r="R8"/>
          <cell r="S8"/>
          <cell r="T8"/>
          <cell r="U8"/>
          <cell r="V8"/>
          <cell r="W8"/>
        </row>
        <row r="9">
          <cell r="A9" t="str">
            <v>4.1.4</v>
          </cell>
          <cell r="B9" t="str">
            <v>TRM4</v>
          </cell>
          <cell r="C9" t="str">
            <v>V8</v>
          </cell>
          <cell r="D9" t="str">
            <v>CI-AGE-LSW1-V01-120601</v>
          </cell>
          <cell r="E9" t="str">
            <v>Live Stock Waterer</v>
          </cell>
          <cell r="F9" t="str">
            <v>Live Stock Waterer</v>
          </cell>
          <cell r="G9" t="str">
            <v>Agriculture</v>
          </cell>
          <cell r="H9" t="str">
            <v>Commercial</v>
          </cell>
          <cell r="I9" t="str">
            <v>Unit</v>
          </cell>
          <cell r="J9">
            <v>1592.85</v>
          </cell>
          <cell r="K9">
            <v>0.52500000000000002</v>
          </cell>
          <cell r="L9">
            <v>0</v>
          </cell>
          <cell r="M9">
            <v>0</v>
          </cell>
          <cell r="N9">
            <v>15928.5</v>
          </cell>
          <cell r="O9">
            <v>0.52500000000000002</v>
          </cell>
          <cell r="P9">
            <v>0</v>
          </cell>
          <cell r="Q9">
            <v>0</v>
          </cell>
          <cell r="R9"/>
          <cell r="S9"/>
          <cell r="T9"/>
          <cell r="U9"/>
          <cell r="V9">
            <v>10</v>
          </cell>
          <cell r="W9">
            <v>787.5</v>
          </cell>
        </row>
        <row r="10">
          <cell r="A10"/>
          <cell r="B10"/>
          <cell r="C10"/>
          <cell r="D10"/>
          <cell r="E10"/>
          <cell r="F10"/>
          <cell r="G10"/>
          <cell r="H10"/>
          <cell r="I10"/>
          <cell r="J10"/>
          <cell r="K10"/>
          <cell r="L10"/>
          <cell r="M10"/>
          <cell r="N10"/>
          <cell r="O10"/>
          <cell r="P10"/>
          <cell r="Q10"/>
          <cell r="R10"/>
          <cell r="S10"/>
          <cell r="T10"/>
          <cell r="U10"/>
          <cell r="V10"/>
          <cell r="W10"/>
        </row>
        <row r="11">
          <cell r="A11" t="str">
            <v>4.2.1.7</v>
          </cell>
          <cell r="B11" t="str">
            <v>TRM5.1</v>
          </cell>
          <cell r="C11" t="str">
            <v>V8</v>
          </cell>
          <cell r="D11" t="str">
            <v>CI-FSE-CBOV-V02-160601</v>
          </cell>
          <cell r="E11" t="str">
            <v>Baseline Combination Oven  (10 pans)</v>
          </cell>
          <cell r="F11" t="str">
            <v>Baseline Combination Oven  (10 pans)</v>
          </cell>
          <cell r="G11" t="str">
            <v>Food service</v>
          </cell>
          <cell r="H11" t="str">
            <v>Commercial</v>
          </cell>
          <cell r="I11" t="str">
            <v>Unit</v>
          </cell>
          <cell r="J11">
            <v>0</v>
          </cell>
          <cell r="K11">
            <v>0</v>
          </cell>
          <cell r="L11">
            <v>0</v>
          </cell>
          <cell r="M11">
            <v>0</v>
          </cell>
          <cell r="N11">
            <v>0</v>
          </cell>
          <cell r="O11">
            <v>0</v>
          </cell>
          <cell r="P11">
            <v>0</v>
          </cell>
          <cell r="Q11">
            <v>0</v>
          </cell>
          <cell r="R11">
            <v>813.41425487179492</v>
          </cell>
          <cell r="S11">
            <v>4300</v>
          </cell>
          <cell r="T11"/>
          <cell r="U11"/>
          <cell r="V11">
            <v>12</v>
          </cell>
          <cell r="W11">
            <v>4300</v>
          </cell>
        </row>
        <row r="12">
          <cell r="A12" t="str">
            <v>4.2.1.8</v>
          </cell>
          <cell r="B12" t="str">
            <v>TRM5.1</v>
          </cell>
          <cell r="C12" t="str">
            <v>V8</v>
          </cell>
          <cell r="D12" t="str">
            <v>CI-FSE-CBOV-V02-160601</v>
          </cell>
          <cell r="E12" t="str">
            <v>Baseline Combination Oven  (16 pans)</v>
          </cell>
          <cell r="F12" t="str">
            <v>Baseline Combination Oven  (16 pans)</v>
          </cell>
          <cell r="G12" t="str">
            <v>Food service</v>
          </cell>
          <cell r="H12" t="str">
            <v>Commercial</v>
          </cell>
          <cell r="I12" t="str">
            <v>Unit</v>
          </cell>
          <cell r="J12">
            <v>0</v>
          </cell>
          <cell r="K12">
            <v>0</v>
          </cell>
          <cell r="L12">
            <v>0</v>
          </cell>
          <cell r="M12">
            <v>0</v>
          </cell>
          <cell r="N12">
            <v>0</v>
          </cell>
          <cell r="O12">
            <v>0</v>
          </cell>
          <cell r="P12">
            <v>0</v>
          </cell>
          <cell r="Q12">
            <v>0</v>
          </cell>
          <cell r="R12">
            <v>1035.2754891479965</v>
          </cell>
          <cell r="S12">
            <v>4300</v>
          </cell>
          <cell r="T12"/>
          <cell r="U12"/>
          <cell r="V12">
            <v>12</v>
          </cell>
          <cell r="W12">
            <v>4300</v>
          </cell>
        </row>
        <row r="13">
          <cell r="A13" t="str">
            <v>4.2.1.9</v>
          </cell>
          <cell r="B13" t="str">
            <v>TRM5.1</v>
          </cell>
          <cell r="C13" t="str">
            <v>V8</v>
          </cell>
          <cell r="D13" t="str">
            <v>CI-FSE-CBOV-V02-160601</v>
          </cell>
          <cell r="E13" t="str">
            <v>Baseline Combination Oven  (31 pans)</v>
          </cell>
          <cell r="F13" t="str">
            <v>Baseline Combination Oven  (31 pans)</v>
          </cell>
          <cell r="G13" t="str">
            <v>Food service</v>
          </cell>
          <cell r="H13" t="str">
            <v>Commercial</v>
          </cell>
          <cell r="I13" t="str">
            <v>Unit</v>
          </cell>
          <cell r="J13">
            <v>0</v>
          </cell>
          <cell r="K13">
            <v>0</v>
          </cell>
          <cell r="L13">
            <v>0</v>
          </cell>
          <cell r="M13">
            <v>0</v>
          </cell>
          <cell r="N13">
            <v>0</v>
          </cell>
          <cell r="O13">
            <v>0</v>
          </cell>
          <cell r="P13">
            <v>0</v>
          </cell>
          <cell r="Q13">
            <v>0</v>
          </cell>
          <cell r="R13">
            <v>1701.6684156356841</v>
          </cell>
          <cell r="S13">
            <v>4300</v>
          </cell>
          <cell r="T13"/>
          <cell r="U13"/>
          <cell r="V13">
            <v>12</v>
          </cell>
          <cell r="W13">
            <v>4300</v>
          </cell>
        </row>
        <row r="14">
          <cell r="A14" t="str">
            <v>4.2.1</v>
          </cell>
          <cell r="B14" t="str">
            <v>TRM5.1</v>
          </cell>
          <cell r="C14" t="str">
            <v>V8</v>
          </cell>
          <cell r="D14" t="str">
            <v>CI-FSE-CBOV-V02-160601</v>
          </cell>
          <cell r="E14" t="str">
            <v>Combination Oven  (10 pans)</v>
          </cell>
          <cell r="F14" t="str">
            <v>Combination Oven  (10 pans)</v>
          </cell>
          <cell r="G14" t="str">
            <v>Food service</v>
          </cell>
          <cell r="H14" t="str">
            <v>Commercial</v>
          </cell>
          <cell r="I14" t="str">
            <v>Unit</v>
          </cell>
          <cell r="J14">
            <v>0</v>
          </cell>
          <cell r="K14">
            <v>0</v>
          </cell>
          <cell r="L14">
            <v>257.38902284584412</v>
          </cell>
          <cell r="M14">
            <v>0</v>
          </cell>
          <cell r="N14">
            <v>0</v>
          </cell>
          <cell r="O14">
            <v>0</v>
          </cell>
          <cell r="P14">
            <v>3088.6682741501295</v>
          </cell>
          <cell r="Q14">
            <v>0</v>
          </cell>
          <cell r="R14">
            <v>813.41425487179492</v>
          </cell>
          <cell r="S14">
            <v>4300</v>
          </cell>
          <cell r="T14"/>
          <cell r="U14"/>
          <cell r="V14">
            <v>12</v>
          </cell>
          <cell r="W14">
            <v>4300</v>
          </cell>
        </row>
        <row r="15">
          <cell r="A15" t="str">
            <v>4.2.1.2</v>
          </cell>
          <cell r="B15" t="str">
            <v>TRM5.2</v>
          </cell>
          <cell r="C15" t="str">
            <v>V8</v>
          </cell>
          <cell r="D15" t="str">
            <v>CI-FSE-CBOV-V02-160601</v>
          </cell>
          <cell r="E15" t="str">
            <v>Combination Oven  (16 pans)</v>
          </cell>
          <cell r="F15" t="str">
            <v>Combination Oven  (16 pans)</v>
          </cell>
          <cell r="G15" t="str">
            <v>Food service</v>
          </cell>
          <cell r="H15" t="str">
            <v>Commercial</v>
          </cell>
          <cell r="I15" t="str">
            <v>Unit</v>
          </cell>
          <cell r="J15">
            <v>0</v>
          </cell>
          <cell r="K15">
            <v>0</v>
          </cell>
          <cell r="L15">
            <v>363.70538907682175</v>
          </cell>
          <cell r="M15">
            <v>0</v>
          </cell>
          <cell r="N15">
            <v>0</v>
          </cell>
          <cell r="O15">
            <v>0</v>
          </cell>
          <cell r="P15">
            <v>4364.4646689218607</v>
          </cell>
          <cell r="Q15">
            <v>0</v>
          </cell>
          <cell r="R15">
            <v>1035.2754891479965</v>
          </cell>
          <cell r="S15">
            <v>4300</v>
          </cell>
          <cell r="T15"/>
          <cell r="U15"/>
          <cell r="V15">
            <v>12</v>
          </cell>
          <cell r="W15">
            <v>4300</v>
          </cell>
        </row>
        <row r="16">
          <cell r="A16" t="str">
            <v>4.2.1.3</v>
          </cell>
          <cell r="B16" t="str">
            <v>TRM5.3</v>
          </cell>
          <cell r="C16" t="str">
            <v>V8</v>
          </cell>
          <cell r="D16" t="str">
            <v>CI-FSE-CBOV-V02-160601</v>
          </cell>
          <cell r="E16" t="str">
            <v>Combination Oven  (31 pans)</v>
          </cell>
          <cell r="F16" t="str">
            <v>Combination Oven  (31 pans)</v>
          </cell>
          <cell r="G16" t="str">
            <v>Food service</v>
          </cell>
          <cell r="H16" t="str">
            <v>Commercial</v>
          </cell>
          <cell r="I16" t="str">
            <v>Unit</v>
          </cell>
          <cell r="J16">
            <v>0</v>
          </cell>
          <cell r="K16">
            <v>0</v>
          </cell>
          <cell r="L16">
            <v>722.97630152822092</v>
          </cell>
          <cell r="M16">
            <v>0</v>
          </cell>
          <cell r="N16">
            <v>0</v>
          </cell>
          <cell r="O16">
            <v>0</v>
          </cell>
          <cell r="P16">
            <v>8675.7156183386505</v>
          </cell>
          <cell r="Q16">
            <v>0</v>
          </cell>
          <cell r="R16">
            <v>1701.6684156356841</v>
          </cell>
          <cell r="S16">
            <v>4300</v>
          </cell>
          <cell r="T16"/>
          <cell r="U16"/>
          <cell r="V16">
            <v>12</v>
          </cell>
          <cell r="W16">
            <v>4300</v>
          </cell>
        </row>
        <row r="17">
          <cell r="A17" t="str">
            <v>4.2.1.10</v>
          </cell>
          <cell r="B17" t="str">
            <v>TRM5.4</v>
          </cell>
          <cell r="C17" t="str">
            <v>V8</v>
          </cell>
          <cell r="D17" t="str">
            <v>CI-FSE-CBOV-V02-160601</v>
          </cell>
          <cell r="E17" t="str">
            <v>Combination Oven  (10 pans) Upstream</v>
          </cell>
          <cell r="F17" t="str">
            <v>Combination Oven  (10 pans) Upstream</v>
          </cell>
          <cell r="G17" t="str">
            <v>Food service</v>
          </cell>
          <cell r="H17" t="str">
            <v>Commercial</v>
          </cell>
          <cell r="I17" t="str">
            <v>Unit</v>
          </cell>
          <cell r="J17">
            <v>0</v>
          </cell>
          <cell r="K17">
            <v>0</v>
          </cell>
          <cell r="L17">
            <v>257.38902284584412</v>
          </cell>
          <cell r="M17">
            <v>0</v>
          </cell>
          <cell r="N17">
            <v>0</v>
          </cell>
          <cell r="O17">
            <v>0</v>
          </cell>
          <cell r="P17">
            <v>3088.6682741501295</v>
          </cell>
          <cell r="Q17">
            <v>0</v>
          </cell>
          <cell r="R17">
            <v>813.41425487179492</v>
          </cell>
          <cell r="S17">
            <v>4300</v>
          </cell>
          <cell r="T17"/>
          <cell r="U17"/>
          <cell r="V17">
            <v>12</v>
          </cell>
          <cell r="W17">
            <v>4300</v>
          </cell>
        </row>
        <row r="18">
          <cell r="A18" t="str">
            <v>4.2.1.11</v>
          </cell>
          <cell r="B18" t="str">
            <v>TRM5.5</v>
          </cell>
          <cell r="C18" t="str">
            <v>V8</v>
          </cell>
          <cell r="D18" t="str">
            <v>CI-FSE-CBOV-V02-160601</v>
          </cell>
          <cell r="E18" t="str">
            <v>Combination Oven  (16 pans) Upstream</v>
          </cell>
          <cell r="F18" t="str">
            <v>Combination Oven  (16 pans) Upstream</v>
          </cell>
          <cell r="G18" t="str">
            <v>Food service</v>
          </cell>
          <cell r="H18" t="str">
            <v>Commercial</v>
          </cell>
          <cell r="I18" t="str">
            <v>Unit</v>
          </cell>
          <cell r="J18">
            <v>0</v>
          </cell>
          <cell r="K18">
            <v>0</v>
          </cell>
          <cell r="L18">
            <v>363.70538907682175</v>
          </cell>
          <cell r="M18">
            <v>0</v>
          </cell>
          <cell r="N18">
            <v>0</v>
          </cell>
          <cell r="O18">
            <v>0</v>
          </cell>
          <cell r="P18">
            <v>4364.4646689218607</v>
          </cell>
          <cell r="Q18">
            <v>0</v>
          </cell>
          <cell r="R18">
            <v>1035.2754891479965</v>
          </cell>
          <cell r="S18">
            <v>4300</v>
          </cell>
          <cell r="T18"/>
          <cell r="U18"/>
          <cell r="V18">
            <v>12</v>
          </cell>
          <cell r="W18">
            <v>4300</v>
          </cell>
        </row>
        <row r="19">
          <cell r="A19" t="str">
            <v>4.2.1.12</v>
          </cell>
          <cell r="B19" t="str">
            <v>TRM5.6</v>
          </cell>
          <cell r="C19" t="str">
            <v>V8</v>
          </cell>
          <cell r="D19" t="str">
            <v>CI-FSE-CBOV-V02-160601</v>
          </cell>
          <cell r="E19" t="str">
            <v>Combination Oven  (31 pans) Upstream</v>
          </cell>
          <cell r="F19" t="str">
            <v>Combination Oven  (31 pans) Upstream</v>
          </cell>
          <cell r="G19" t="str">
            <v>Food service</v>
          </cell>
          <cell r="H19" t="str">
            <v>Commercial</v>
          </cell>
          <cell r="I19" t="str">
            <v>Unit</v>
          </cell>
          <cell r="J19">
            <v>0</v>
          </cell>
          <cell r="K19">
            <v>0</v>
          </cell>
          <cell r="L19">
            <v>722.97630152822092</v>
          </cell>
          <cell r="M19">
            <v>0</v>
          </cell>
          <cell r="N19">
            <v>0</v>
          </cell>
          <cell r="O19">
            <v>0</v>
          </cell>
          <cell r="P19">
            <v>8675.7156183386505</v>
          </cell>
          <cell r="Q19">
            <v>0</v>
          </cell>
          <cell r="R19">
            <v>1701.6684156356841</v>
          </cell>
          <cell r="S19">
            <v>4300</v>
          </cell>
          <cell r="T19"/>
          <cell r="U19"/>
          <cell r="V19">
            <v>12</v>
          </cell>
          <cell r="W19">
            <v>4300</v>
          </cell>
        </row>
        <row r="20">
          <cell r="A20" t="str">
            <v>4.2.1</v>
          </cell>
          <cell r="B20" t="str">
            <v>TRM5.6</v>
          </cell>
          <cell r="C20" t="str">
            <v>V8</v>
          </cell>
          <cell r="D20" t="str">
            <v>CI-FSE-CBOV-V02-160601</v>
          </cell>
          <cell r="E20" t="str">
            <v>Combination Oven  (10 pans) EREP</v>
          </cell>
          <cell r="F20" t="str">
            <v>Combination Oven  (10 pans) EREP</v>
          </cell>
          <cell r="G20" t="str">
            <v>Food service</v>
          </cell>
          <cell r="H20" t="str">
            <v>Commercial</v>
          </cell>
          <cell r="I20" t="str">
            <v>Unit</v>
          </cell>
          <cell r="J20">
            <v>0</v>
          </cell>
          <cell r="K20">
            <v>0</v>
          </cell>
          <cell r="L20">
            <v>257.38902284584412</v>
          </cell>
          <cell r="M20">
            <v>0</v>
          </cell>
          <cell r="N20">
            <v>0</v>
          </cell>
          <cell r="O20">
            <v>0</v>
          </cell>
          <cell r="P20">
            <v>3088.6682741501295</v>
          </cell>
          <cell r="Q20">
            <v>0</v>
          </cell>
          <cell r="R20"/>
          <cell r="S20"/>
          <cell r="T20"/>
          <cell r="U20"/>
          <cell r="V20">
            <v>12</v>
          </cell>
          <cell r="W20">
            <v>4300</v>
          </cell>
        </row>
        <row r="21">
          <cell r="A21" t="str">
            <v>4.2.1</v>
          </cell>
          <cell r="B21" t="str">
            <v>TRM5.6</v>
          </cell>
          <cell r="C21" t="str">
            <v>V8</v>
          </cell>
          <cell r="D21" t="str">
            <v>CI-FSE-CBOV-V02-160601</v>
          </cell>
          <cell r="E21" t="str">
            <v>Combination Oven  (16 pans) EREP</v>
          </cell>
          <cell r="F21" t="str">
            <v>Combination Oven  (16 pans) EREP</v>
          </cell>
          <cell r="G21" t="str">
            <v>Food service</v>
          </cell>
          <cell r="H21" t="str">
            <v>Commercial</v>
          </cell>
          <cell r="I21" t="str">
            <v>Unit</v>
          </cell>
          <cell r="J21">
            <v>0</v>
          </cell>
          <cell r="K21">
            <v>0</v>
          </cell>
          <cell r="L21">
            <v>363.70538907682175</v>
          </cell>
          <cell r="M21">
            <v>0</v>
          </cell>
          <cell r="N21">
            <v>0</v>
          </cell>
          <cell r="O21">
            <v>0</v>
          </cell>
          <cell r="P21">
            <v>4364.4646689218607</v>
          </cell>
          <cell r="Q21">
            <v>0</v>
          </cell>
          <cell r="R21"/>
          <cell r="S21"/>
          <cell r="T21"/>
          <cell r="U21"/>
          <cell r="V21">
            <v>12</v>
          </cell>
          <cell r="W21">
            <v>4300</v>
          </cell>
        </row>
        <row r="22">
          <cell r="A22" t="str">
            <v>4.2.1</v>
          </cell>
          <cell r="B22" t="str">
            <v>TRM5.6</v>
          </cell>
          <cell r="C22" t="str">
            <v>V8</v>
          </cell>
          <cell r="D22" t="str">
            <v>CI-FSE-CBOV-V02-160601</v>
          </cell>
          <cell r="E22" t="str">
            <v>Combination Oven  (31 pans) EREP</v>
          </cell>
          <cell r="F22" t="str">
            <v>Combination Oven  (31 pans) EREP</v>
          </cell>
          <cell r="G22" t="str">
            <v>Food service</v>
          </cell>
          <cell r="H22" t="str">
            <v>Commercial</v>
          </cell>
          <cell r="I22" t="str">
            <v>Unit</v>
          </cell>
          <cell r="J22">
            <v>0</v>
          </cell>
          <cell r="K22">
            <v>0</v>
          </cell>
          <cell r="L22">
            <v>722.97630152822092</v>
          </cell>
          <cell r="M22">
            <v>0</v>
          </cell>
          <cell r="N22">
            <v>0</v>
          </cell>
          <cell r="O22">
            <v>0</v>
          </cell>
          <cell r="P22">
            <v>8675.7156183386505</v>
          </cell>
          <cell r="Q22">
            <v>0</v>
          </cell>
          <cell r="R22"/>
          <cell r="S22"/>
          <cell r="T22"/>
          <cell r="U22"/>
          <cell r="V22">
            <v>12</v>
          </cell>
          <cell r="W22">
            <v>4300</v>
          </cell>
        </row>
        <row r="23">
          <cell r="A23"/>
          <cell r="B23"/>
          <cell r="C23"/>
          <cell r="D23"/>
          <cell r="E23"/>
          <cell r="F23"/>
          <cell r="G23"/>
          <cell r="H23"/>
          <cell r="I23"/>
          <cell r="J23"/>
          <cell r="K23"/>
          <cell r="L23"/>
          <cell r="M23"/>
          <cell r="N23"/>
          <cell r="O23"/>
          <cell r="P23"/>
          <cell r="Q23"/>
          <cell r="R23"/>
          <cell r="S23"/>
          <cell r="T23"/>
          <cell r="U23"/>
          <cell r="V23"/>
          <cell r="W23"/>
        </row>
        <row r="24">
          <cell r="A24" t="str">
            <v>4.2.2</v>
          </cell>
          <cell r="B24" t="str">
            <v>TRM6</v>
          </cell>
          <cell r="C24" t="str">
            <v>V8</v>
          </cell>
          <cell r="D24" t="str">
            <v>CI-FSE-CSDO-V01-120601</v>
          </cell>
          <cell r="E24" t="str">
            <v>Solid &amp; Glass Door Refrigerators &amp; Freezers</v>
          </cell>
          <cell r="F24" t="str">
            <v>Solid &amp; Glass Door Refrigerators &amp; Freezers</v>
          </cell>
          <cell r="G24" t="str">
            <v>Refrigeration</v>
          </cell>
          <cell r="H24" t="str">
            <v>Commercial</v>
          </cell>
          <cell r="I24" t="str">
            <v>Unit</v>
          </cell>
          <cell r="J24">
            <v>1323.6659999999995</v>
          </cell>
          <cell r="K24">
            <v>0.14148699999999995</v>
          </cell>
          <cell r="L24">
            <v>0</v>
          </cell>
          <cell r="M24">
            <v>0</v>
          </cell>
          <cell r="N24">
            <v>15883.991999999995</v>
          </cell>
          <cell r="O24">
            <v>0.14148699999999995</v>
          </cell>
          <cell r="P24">
            <v>0</v>
          </cell>
          <cell r="Q24">
            <v>0</v>
          </cell>
          <cell r="R24"/>
          <cell r="S24"/>
          <cell r="T24"/>
          <cell r="U24"/>
          <cell r="V24">
            <v>12</v>
          </cell>
          <cell r="W24">
            <v>249</v>
          </cell>
        </row>
        <row r="25">
          <cell r="A25"/>
          <cell r="B25"/>
          <cell r="C25"/>
          <cell r="D25"/>
          <cell r="E25"/>
          <cell r="F25"/>
          <cell r="G25"/>
          <cell r="H25"/>
          <cell r="I25"/>
          <cell r="J25"/>
          <cell r="K25"/>
          <cell r="L25"/>
          <cell r="M25"/>
          <cell r="N25"/>
          <cell r="O25"/>
          <cell r="P25"/>
          <cell r="Q25"/>
          <cell r="R25"/>
          <cell r="S25"/>
          <cell r="T25"/>
          <cell r="U25"/>
          <cell r="V25"/>
          <cell r="W25"/>
        </row>
        <row r="26">
          <cell r="A26" t="str">
            <v>4.2.4.b</v>
          </cell>
          <cell r="B26" t="str">
            <v>TRM7.1</v>
          </cell>
          <cell r="C26" t="str">
            <v>V8</v>
          </cell>
          <cell r="D26" t="str">
            <v>CI-FSE-CVOV-V02-180101</v>
          </cell>
          <cell r="E26" t="str">
            <v>Baseline Conveyor Oven</v>
          </cell>
          <cell r="F26" t="str">
            <v>Baseline Large Conveyor Oven, &gt;=25 in</v>
          </cell>
          <cell r="G26" t="str">
            <v>Food service</v>
          </cell>
          <cell r="H26" t="str">
            <v>Commercial</v>
          </cell>
          <cell r="I26" t="str">
            <v>Unit</v>
          </cell>
          <cell r="J26">
            <v>0</v>
          </cell>
          <cell r="K26">
            <v>0</v>
          </cell>
          <cell r="L26">
            <v>0</v>
          </cell>
          <cell r="M26">
            <v>0</v>
          </cell>
          <cell r="N26">
            <v>0</v>
          </cell>
          <cell r="O26">
            <v>0</v>
          </cell>
          <cell r="P26">
            <v>0</v>
          </cell>
          <cell r="Q26">
            <v>0</v>
          </cell>
          <cell r="R26">
            <v>2024</v>
          </cell>
          <cell r="S26">
            <v>0</v>
          </cell>
          <cell r="T26"/>
          <cell r="U26"/>
          <cell r="V26">
            <v>17</v>
          </cell>
          <cell r="W26">
            <v>0</v>
          </cell>
        </row>
        <row r="27">
          <cell r="A27" t="str">
            <v>4.2.4</v>
          </cell>
          <cell r="B27" t="str">
            <v>TRM7.1</v>
          </cell>
          <cell r="C27" t="str">
            <v>V8</v>
          </cell>
          <cell r="D27" t="str">
            <v>CI-FSE-CVOV-V02-180101</v>
          </cell>
          <cell r="E27" t="str">
            <v>Conveyor Oven</v>
          </cell>
          <cell r="F27" t="str">
            <v>Large Conveyor Oven, &gt;=25 in</v>
          </cell>
          <cell r="G27" t="str">
            <v>Food service</v>
          </cell>
          <cell r="H27" t="str">
            <v>Commercial</v>
          </cell>
          <cell r="I27" t="str">
            <v>Unit</v>
          </cell>
          <cell r="J27">
            <v>0</v>
          </cell>
          <cell r="K27">
            <v>0</v>
          </cell>
          <cell r="L27">
            <v>884</v>
          </cell>
          <cell r="M27">
            <v>0</v>
          </cell>
          <cell r="N27">
            <v>0</v>
          </cell>
          <cell r="O27">
            <v>0</v>
          </cell>
          <cell r="P27">
            <v>15028</v>
          </cell>
          <cell r="Q27">
            <v>0</v>
          </cell>
          <cell r="R27">
            <v>2024</v>
          </cell>
          <cell r="S27">
            <v>1800</v>
          </cell>
          <cell r="T27"/>
          <cell r="U27"/>
          <cell r="V27">
            <v>17</v>
          </cell>
          <cell r="W27">
            <v>1800</v>
          </cell>
        </row>
        <row r="28">
          <cell r="A28" t="str">
            <v>4.2.4.3</v>
          </cell>
          <cell r="B28" t="str">
            <v>TRM7.2</v>
          </cell>
          <cell r="C28" t="str">
            <v>V8</v>
          </cell>
          <cell r="D28" t="str">
            <v>CI-FSE-CVOV-V02-180101</v>
          </cell>
          <cell r="E28" t="str">
            <v>Conveyor Oven Upstream</v>
          </cell>
          <cell r="F28" t="str">
            <v>Large Conveyor Oven, &gt;=25 in Upstream</v>
          </cell>
          <cell r="G28" t="str">
            <v>Food service</v>
          </cell>
          <cell r="H28" t="str">
            <v>Commercial</v>
          </cell>
          <cell r="I28" t="str">
            <v>Unit</v>
          </cell>
          <cell r="J28">
            <v>0</v>
          </cell>
          <cell r="K28">
            <v>0</v>
          </cell>
          <cell r="L28">
            <v>884</v>
          </cell>
          <cell r="M28">
            <v>0</v>
          </cell>
          <cell r="N28">
            <v>0</v>
          </cell>
          <cell r="O28">
            <v>0</v>
          </cell>
          <cell r="P28">
            <v>15028</v>
          </cell>
          <cell r="Q28">
            <v>0</v>
          </cell>
          <cell r="R28">
            <v>2024</v>
          </cell>
          <cell r="S28">
            <v>1800</v>
          </cell>
          <cell r="T28"/>
          <cell r="U28"/>
          <cell r="V28">
            <v>17</v>
          </cell>
          <cell r="W28">
            <v>1800</v>
          </cell>
        </row>
        <row r="29">
          <cell r="A29" t="str">
            <v>4.2.4</v>
          </cell>
          <cell r="B29" t="str">
            <v>TRM7.2</v>
          </cell>
          <cell r="C29" t="str">
            <v>V8</v>
          </cell>
          <cell r="D29" t="str">
            <v>CI-FSE-CVOV-V02-180101</v>
          </cell>
          <cell r="E29" t="str">
            <v>Conveyor Oven EREP</v>
          </cell>
          <cell r="F29" t="str">
            <v>Large Conveyor Oven, &gt;=25 in EREP</v>
          </cell>
          <cell r="G29" t="str">
            <v>Food service</v>
          </cell>
          <cell r="H29" t="str">
            <v>Commercial</v>
          </cell>
          <cell r="I29" t="str">
            <v>Unit</v>
          </cell>
          <cell r="J29">
            <v>0</v>
          </cell>
          <cell r="K29">
            <v>0</v>
          </cell>
          <cell r="L29">
            <v>884</v>
          </cell>
          <cell r="M29">
            <v>0</v>
          </cell>
          <cell r="N29">
            <v>0</v>
          </cell>
          <cell r="O29">
            <v>0</v>
          </cell>
          <cell r="P29">
            <v>15028</v>
          </cell>
          <cell r="Q29">
            <v>0</v>
          </cell>
          <cell r="R29"/>
          <cell r="S29"/>
          <cell r="T29"/>
          <cell r="U29"/>
          <cell r="V29">
            <v>17</v>
          </cell>
          <cell r="W29">
            <v>1800</v>
          </cell>
        </row>
        <row r="30">
          <cell r="A30"/>
          <cell r="B30"/>
          <cell r="C30"/>
          <cell r="D30"/>
          <cell r="E30"/>
          <cell r="F30"/>
          <cell r="G30"/>
          <cell r="H30"/>
          <cell r="I30"/>
          <cell r="J30"/>
          <cell r="K30"/>
          <cell r="L30"/>
          <cell r="M30"/>
          <cell r="N30"/>
          <cell r="O30"/>
          <cell r="P30"/>
          <cell r="Q30"/>
          <cell r="R30"/>
          <cell r="S30"/>
          <cell r="T30"/>
          <cell r="U30"/>
          <cell r="V30"/>
          <cell r="W30"/>
        </row>
        <row r="31">
          <cell r="A31" t="str">
            <v>4.2.5.B</v>
          </cell>
          <cell r="B31" t="str">
            <v>TRM8.1</v>
          </cell>
          <cell r="C31" t="str">
            <v>V8</v>
          </cell>
          <cell r="D31" t="str">
            <v>CI-FSE-ESCV-V02-180101</v>
          </cell>
          <cell r="E31" t="str">
            <v>Baseline ENERGY STAR Convection Oven</v>
          </cell>
          <cell r="F31" t="str">
            <v>Baseline Convection Oven, E &gt;46%</v>
          </cell>
          <cell r="G31" t="str">
            <v>Food service</v>
          </cell>
          <cell r="H31" t="str">
            <v>Commercial</v>
          </cell>
          <cell r="I31" t="str">
            <v>Unit</v>
          </cell>
          <cell r="J31">
            <v>0</v>
          </cell>
          <cell r="K31">
            <v>0</v>
          </cell>
          <cell r="L31">
            <v>0</v>
          </cell>
          <cell r="M31">
            <v>0</v>
          </cell>
          <cell r="N31">
            <v>0</v>
          </cell>
          <cell r="O31">
            <v>0</v>
          </cell>
          <cell r="P31">
            <v>0</v>
          </cell>
          <cell r="Q31">
            <v>0</v>
          </cell>
          <cell r="R31">
            <v>1052.3548214285715</v>
          </cell>
          <cell r="S31">
            <v>0</v>
          </cell>
          <cell r="T31"/>
          <cell r="U31"/>
          <cell r="V31">
            <v>12</v>
          </cell>
          <cell r="W31">
            <v>0</v>
          </cell>
        </row>
        <row r="32">
          <cell r="A32" t="str">
            <v>4.2.5</v>
          </cell>
          <cell r="B32" t="str">
            <v>TRM8.1</v>
          </cell>
          <cell r="C32" t="str">
            <v>V8</v>
          </cell>
          <cell r="D32" t="str">
            <v>CI-FSE-ESCV-V02-180101</v>
          </cell>
          <cell r="E32" t="str">
            <v>ENERGY STAR Convection Oven</v>
          </cell>
          <cell r="F32" t="str">
            <v>Convection Oven, E &gt;46%</v>
          </cell>
          <cell r="G32" t="str">
            <v>Food service</v>
          </cell>
          <cell r="H32" t="str">
            <v>Commercial</v>
          </cell>
          <cell r="I32" t="str">
            <v>Unit</v>
          </cell>
          <cell r="J32">
            <v>0</v>
          </cell>
          <cell r="K32">
            <v>0</v>
          </cell>
          <cell r="L32">
            <v>353.45688664596281</v>
          </cell>
          <cell r="M32">
            <v>0</v>
          </cell>
          <cell r="N32">
            <v>0</v>
          </cell>
          <cell r="O32">
            <v>0</v>
          </cell>
          <cell r="P32">
            <v>4241.4826397515535</v>
          </cell>
          <cell r="Q32">
            <v>0</v>
          </cell>
          <cell r="R32">
            <v>1052.3548214285715</v>
          </cell>
          <cell r="S32">
            <v>426</v>
          </cell>
          <cell r="T32"/>
          <cell r="U32"/>
          <cell r="V32">
            <v>12</v>
          </cell>
          <cell r="W32">
            <v>426</v>
          </cell>
        </row>
        <row r="33">
          <cell r="A33" t="str">
            <v>4.2.5.3</v>
          </cell>
          <cell r="B33" t="str">
            <v>TRM8.2</v>
          </cell>
          <cell r="C33" t="str">
            <v>V8</v>
          </cell>
          <cell r="D33" t="str">
            <v>CI-FSE-ESCV-V02-180101</v>
          </cell>
          <cell r="E33" t="str">
            <v>ENERGY STAR Convection Oven Upstream</v>
          </cell>
          <cell r="F33" t="str">
            <v>Convection Oven, E &gt;46% Upstream</v>
          </cell>
          <cell r="G33" t="str">
            <v>Food service</v>
          </cell>
          <cell r="H33" t="str">
            <v>Commercial</v>
          </cell>
          <cell r="I33" t="str">
            <v>Unit</v>
          </cell>
          <cell r="J33">
            <v>0</v>
          </cell>
          <cell r="K33">
            <v>0</v>
          </cell>
          <cell r="L33">
            <v>353.45688664596281</v>
          </cell>
          <cell r="M33">
            <v>0</v>
          </cell>
          <cell r="N33">
            <v>0</v>
          </cell>
          <cell r="O33">
            <v>0</v>
          </cell>
          <cell r="P33">
            <v>4241.4826397515535</v>
          </cell>
          <cell r="Q33">
            <v>0</v>
          </cell>
          <cell r="R33">
            <v>1052.3548214285715</v>
          </cell>
          <cell r="S33">
            <v>426</v>
          </cell>
          <cell r="T33"/>
          <cell r="U33"/>
          <cell r="V33">
            <v>12</v>
          </cell>
          <cell r="W33">
            <v>426</v>
          </cell>
        </row>
        <row r="34">
          <cell r="A34" t="str">
            <v>4.2.5.4</v>
          </cell>
          <cell r="B34" t="str">
            <v>TRM8.2</v>
          </cell>
          <cell r="C34" t="str">
            <v>V8</v>
          </cell>
          <cell r="D34" t="str">
            <v>CI-FSE-ESCV-V02-180101</v>
          </cell>
          <cell r="E34" t="str">
            <v>ENERGY STAR Convection Oven EREP</v>
          </cell>
          <cell r="F34" t="str">
            <v>Convection Oven, E &gt;46% EREP</v>
          </cell>
          <cell r="G34" t="str">
            <v>Food service</v>
          </cell>
          <cell r="H34" t="str">
            <v>Commercial</v>
          </cell>
          <cell r="I34" t="str">
            <v>Unit</v>
          </cell>
          <cell r="J34">
            <v>0</v>
          </cell>
          <cell r="K34">
            <v>0</v>
          </cell>
          <cell r="L34">
            <v>353.45688664596281</v>
          </cell>
          <cell r="M34">
            <v>0</v>
          </cell>
          <cell r="N34">
            <v>0</v>
          </cell>
          <cell r="O34">
            <v>0</v>
          </cell>
          <cell r="P34">
            <v>4241.4826397515535</v>
          </cell>
          <cell r="Q34">
            <v>0</v>
          </cell>
          <cell r="R34"/>
          <cell r="S34"/>
          <cell r="T34"/>
          <cell r="U34"/>
          <cell r="V34">
            <v>12</v>
          </cell>
          <cell r="W34">
            <v>426</v>
          </cell>
        </row>
        <row r="35">
          <cell r="A35"/>
          <cell r="B35"/>
          <cell r="C35"/>
          <cell r="D35"/>
          <cell r="E35"/>
          <cell r="F35"/>
          <cell r="G35"/>
          <cell r="H35"/>
          <cell r="I35"/>
          <cell r="J35"/>
          <cell r="K35"/>
          <cell r="L35"/>
          <cell r="M35"/>
          <cell r="N35"/>
          <cell r="O35"/>
          <cell r="P35"/>
          <cell r="Q35"/>
          <cell r="R35"/>
          <cell r="S35"/>
          <cell r="T35"/>
          <cell r="U35"/>
          <cell r="V35"/>
          <cell r="W35"/>
        </row>
        <row r="36">
          <cell r="A36" t="str">
            <v>4.2.6</v>
          </cell>
          <cell r="B36" t="str">
            <v>TRM9</v>
          </cell>
          <cell r="C36" t="str">
            <v>V8</v>
          </cell>
          <cell r="D36" t="str">
            <v>CI-FSE-ESDW-V04-190101</v>
          </cell>
          <cell r="E36" t="str">
            <v>ENERGY STAR Dishwasher</v>
          </cell>
          <cell r="F36" t="str">
            <v>Dishwasher</v>
          </cell>
          <cell r="G36" t="str">
            <v>Dishwasher</v>
          </cell>
          <cell r="H36" t="str">
            <v>Commercial</v>
          </cell>
          <cell r="I36" t="str">
            <v>Unit</v>
          </cell>
          <cell r="J36">
            <v>24.613333333333333</v>
          </cell>
          <cell r="K36">
            <v>1.5099821701692567E-3</v>
          </cell>
          <cell r="L36">
            <v>459</v>
          </cell>
          <cell r="M36">
            <v>52553.444444444445</v>
          </cell>
          <cell r="N36">
            <v>382.87407407407409</v>
          </cell>
          <cell r="O36">
            <v>1.5099821701692567E-3</v>
          </cell>
          <cell r="P36">
            <v>7140</v>
          </cell>
          <cell r="Q36">
            <v>817498.02469135798</v>
          </cell>
          <cell r="R36"/>
          <cell r="S36"/>
          <cell r="T36"/>
          <cell r="U36"/>
          <cell r="V36">
            <v>15.555555555555555</v>
          </cell>
          <cell r="W36">
            <v>737.77777777777783</v>
          </cell>
        </row>
        <row r="37">
          <cell r="A37"/>
          <cell r="B37"/>
          <cell r="C37"/>
          <cell r="D37"/>
          <cell r="E37"/>
          <cell r="F37"/>
          <cell r="G37"/>
          <cell r="H37"/>
          <cell r="I37"/>
          <cell r="J37"/>
          <cell r="K37"/>
          <cell r="L37"/>
          <cell r="M37"/>
          <cell r="N37"/>
          <cell r="O37"/>
          <cell r="P37"/>
          <cell r="Q37"/>
          <cell r="R37"/>
          <cell r="S37"/>
          <cell r="T37"/>
          <cell r="U37"/>
          <cell r="V37"/>
          <cell r="W37"/>
        </row>
        <row r="38">
          <cell r="A38" t="str">
            <v>4.2.7.b</v>
          </cell>
          <cell r="B38" t="str">
            <v>TRM10.1</v>
          </cell>
          <cell r="C38" t="str">
            <v>V8</v>
          </cell>
          <cell r="D38" t="str">
            <v>CI-FSE-ESFR-V02-190101</v>
          </cell>
          <cell r="E38" t="str">
            <v>Baseline ENERGY STAR Fryer</v>
          </cell>
          <cell r="F38" t="str">
            <v>Baseline Fryer - E &gt;50%</v>
          </cell>
          <cell r="G38" t="str">
            <v>Food service</v>
          </cell>
          <cell r="H38" t="str">
            <v>Commercial</v>
          </cell>
          <cell r="I38" t="str">
            <v>Unit</v>
          </cell>
          <cell r="J38">
            <v>0</v>
          </cell>
          <cell r="K38">
            <v>0</v>
          </cell>
          <cell r="L38">
            <v>0</v>
          </cell>
          <cell r="M38">
            <v>0</v>
          </cell>
          <cell r="N38">
            <v>0</v>
          </cell>
          <cell r="O38">
            <v>0</v>
          </cell>
          <cell r="P38">
            <v>0</v>
          </cell>
          <cell r="Q38">
            <v>0</v>
          </cell>
          <cell r="R38">
            <v>1628.2323214285716</v>
          </cell>
          <cell r="S38">
            <v>0</v>
          </cell>
          <cell r="T38"/>
          <cell r="U38"/>
          <cell r="V38">
            <v>12</v>
          </cell>
          <cell r="W38">
            <v>0</v>
          </cell>
        </row>
        <row r="39">
          <cell r="A39" t="str">
            <v>4.2.7</v>
          </cell>
          <cell r="B39" t="str">
            <v>TRM10.1</v>
          </cell>
          <cell r="C39" t="str">
            <v>V8</v>
          </cell>
          <cell r="D39" t="str">
            <v>CI-FSE-ESFR-V02-190101</v>
          </cell>
          <cell r="E39" t="str">
            <v>ENERGY STAR Fryer</v>
          </cell>
          <cell r="F39" t="str">
            <v>Fryer - E &gt;50%</v>
          </cell>
          <cell r="G39" t="str">
            <v>Food service</v>
          </cell>
          <cell r="H39" t="str">
            <v>Commercial</v>
          </cell>
          <cell r="I39" t="str">
            <v>Unit</v>
          </cell>
          <cell r="J39">
            <v>0</v>
          </cell>
          <cell r="K39">
            <v>0</v>
          </cell>
          <cell r="L39">
            <v>503.33256181318683</v>
          </cell>
          <cell r="M39">
            <v>0</v>
          </cell>
          <cell r="N39">
            <v>0</v>
          </cell>
          <cell r="O39">
            <v>0</v>
          </cell>
          <cell r="P39">
            <v>6039.9907417582417</v>
          </cell>
          <cell r="Q39">
            <v>0</v>
          </cell>
          <cell r="R39">
            <v>1628.2323214285716</v>
          </cell>
          <cell r="S39">
            <v>1200</v>
          </cell>
          <cell r="T39"/>
          <cell r="U39"/>
          <cell r="V39">
            <v>12</v>
          </cell>
          <cell r="W39">
            <v>1200</v>
          </cell>
        </row>
        <row r="40">
          <cell r="A40" t="str">
            <v>4.2.7.3</v>
          </cell>
          <cell r="B40" t="str">
            <v>TRM10.2</v>
          </cell>
          <cell r="C40" t="str">
            <v>V8</v>
          </cell>
          <cell r="D40" t="str">
            <v>CI-FSE-ESFR-V02-190101</v>
          </cell>
          <cell r="E40" t="str">
            <v>ENERGY STAR Fryer Upstream</v>
          </cell>
          <cell r="F40" t="str">
            <v>Fryer - E &gt;50% Upstream</v>
          </cell>
          <cell r="G40" t="str">
            <v>Food service</v>
          </cell>
          <cell r="H40" t="str">
            <v>Commercial</v>
          </cell>
          <cell r="I40" t="str">
            <v>Unit</v>
          </cell>
          <cell r="J40">
            <v>0</v>
          </cell>
          <cell r="K40">
            <v>0</v>
          </cell>
          <cell r="L40">
            <v>503.33256181318683</v>
          </cell>
          <cell r="M40">
            <v>0</v>
          </cell>
          <cell r="N40">
            <v>0</v>
          </cell>
          <cell r="O40">
            <v>0</v>
          </cell>
          <cell r="P40">
            <v>6039.9907417582417</v>
          </cell>
          <cell r="Q40">
            <v>0</v>
          </cell>
          <cell r="R40">
            <v>1628.2323214285716</v>
          </cell>
          <cell r="S40">
            <v>1200</v>
          </cell>
          <cell r="T40"/>
          <cell r="U40"/>
          <cell r="V40">
            <v>12</v>
          </cell>
          <cell r="W40">
            <v>1200</v>
          </cell>
        </row>
        <row r="41">
          <cell r="A41" t="str">
            <v>4.2.7</v>
          </cell>
          <cell r="B41" t="str">
            <v>TRM10.2</v>
          </cell>
          <cell r="C41" t="str">
            <v>V8</v>
          </cell>
          <cell r="D41" t="str">
            <v>CI-FSE-ESFR-V02-190101</v>
          </cell>
          <cell r="E41" t="str">
            <v>ENERGY STAR Fryer EREP</v>
          </cell>
          <cell r="F41" t="str">
            <v>Fryer - E &gt;50% EREP</v>
          </cell>
          <cell r="G41" t="str">
            <v>Food service</v>
          </cell>
          <cell r="H41" t="str">
            <v>Commercial</v>
          </cell>
          <cell r="I41" t="str">
            <v>Unit</v>
          </cell>
          <cell r="J41">
            <v>0</v>
          </cell>
          <cell r="K41">
            <v>0</v>
          </cell>
          <cell r="L41">
            <v>503.33256181318683</v>
          </cell>
          <cell r="M41">
            <v>0</v>
          </cell>
          <cell r="N41">
            <v>0</v>
          </cell>
          <cell r="O41">
            <v>0</v>
          </cell>
          <cell r="P41">
            <v>6039.9907417582417</v>
          </cell>
          <cell r="Q41">
            <v>0</v>
          </cell>
          <cell r="R41"/>
          <cell r="S41"/>
          <cell r="T41"/>
          <cell r="U41"/>
          <cell r="V41">
            <v>12</v>
          </cell>
          <cell r="W41">
            <v>1200</v>
          </cell>
        </row>
        <row r="42">
          <cell r="A42"/>
          <cell r="B42"/>
          <cell r="C42"/>
          <cell r="D42"/>
          <cell r="E42"/>
          <cell r="F42"/>
          <cell r="G42"/>
          <cell r="H42"/>
          <cell r="I42"/>
          <cell r="J42"/>
          <cell r="K42"/>
          <cell r="L42"/>
          <cell r="M42"/>
          <cell r="N42"/>
          <cell r="O42"/>
          <cell r="P42"/>
          <cell r="Q42"/>
          <cell r="R42"/>
          <cell r="S42"/>
          <cell r="T42"/>
          <cell r="U42"/>
          <cell r="V42"/>
          <cell r="W42"/>
        </row>
        <row r="43">
          <cell r="A43" t="str">
            <v>4.2.8.b</v>
          </cell>
          <cell r="B43" t="str">
            <v>TRM11.1</v>
          </cell>
          <cell r="C43" t="str">
            <v>V8</v>
          </cell>
          <cell r="D43" t="str">
            <v>CI-FSE-ESGR-V03-190101</v>
          </cell>
          <cell r="E43" t="str">
            <v>Baseline ENERGY STAR Griddle</v>
          </cell>
          <cell r="F43" t="str">
            <v>Baseline Griddle</v>
          </cell>
          <cell r="G43" t="str">
            <v>Food service</v>
          </cell>
          <cell r="H43" t="str">
            <v>Commercial</v>
          </cell>
          <cell r="I43" t="str">
            <v>Unit</v>
          </cell>
          <cell r="J43">
            <v>0</v>
          </cell>
          <cell r="K43">
            <v>0</v>
          </cell>
          <cell r="L43">
            <v>0</v>
          </cell>
          <cell r="M43">
            <v>0</v>
          </cell>
          <cell r="N43">
            <v>0</v>
          </cell>
          <cell r="O43">
            <v>0</v>
          </cell>
          <cell r="P43">
            <v>0</v>
          </cell>
          <cell r="Q43">
            <v>0</v>
          </cell>
          <cell r="R43">
            <v>1213.3148437499999</v>
          </cell>
          <cell r="S43">
            <v>0</v>
          </cell>
          <cell r="T43"/>
          <cell r="U43"/>
          <cell r="V43">
            <v>12</v>
          </cell>
          <cell r="W43">
            <v>0</v>
          </cell>
        </row>
        <row r="44">
          <cell r="A44" t="str">
            <v>4.2.8</v>
          </cell>
          <cell r="B44" t="str">
            <v>TRM11.1</v>
          </cell>
          <cell r="C44" t="str">
            <v>V8</v>
          </cell>
          <cell r="D44" t="str">
            <v>CI-FSE-ESGR-V03-190101</v>
          </cell>
          <cell r="E44" t="str">
            <v>ENERGY STAR Griddle</v>
          </cell>
          <cell r="F44" t="str">
            <v>Griddle</v>
          </cell>
          <cell r="G44" t="str">
            <v>Food service</v>
          </cell>
          <cell r="H44" t="str">
            <v>Commercial</v>
          </cell>
          <cell r="I44" t="str">
            <v>Unit</v>
          </cell>
          <cell r="J44">
            <v>0</v>
          </cell>
          <cell r="K44">
            <v>0</v>
          </cell>
          <cell r="L44">
            <v>148.64153124999993</v>
          </cell>
          <cell r="M44">
            <v>0</v>
          </cell>
          <cell r="N44">
            <v>0</v>
          </cell>
          <cell r="O44">
            <v>0</v>
          </cell>
          <cell r="P44">
            <v>1783.698374999999</v>
          </cell>
          <cell r="Q44">
            <v>0</v>
          </cell>
          <cell r="R44">
            <v>1213.3148437499999</v>
          </cell>
          <cell r="S44">
            <v>857</v>
          </cell>
          <cell r="T44"/>
          <cell r="U44"/>
          <cell r="V44">
            <v>12</v>
          </cell>
          <cell r="W44">
            <v>857</v>
          </cell>
        </row>
        <row r="45">
          <cell r="A45" t="str">
            <v>4.2.8.3</v>
          </cell>
          <cell r="B45" t="str">
            <v>TRM11.2</v>
          </cell>
          <cell r="C45" t="str">
            <v>V8</v>
          </cell>
          <cell r="D45" t="str">
            <v>CI-FSE-ESGR-V03-190101</v>
          </cell>
          <cell r="E45" t="str">
            <v>ENERGY STAR Griddle Upstream</v>
          </cell>
          <cell r="F45" t="str">
            <v>Griddle Upstream</v>
          </cell>
          <cell r="G45" t="str">
            <v>Food service</v>
          </cell>
          <cell r="H45" t="str">
            <v>Commercial</v>
          </cell>
          <cell r="I45" t="str">
            <v>Unit</v>
          </cell>
          <cell r="J45">
            <v>0</v>
          </cell>
          <cell r="K45">
            <v>0</v>
          </cell>
          <cell r="L45">
            <v>148.64153124999993</v>
          </cell>
          <cell r="M45">
            <v>0</v>
          </cell>
          <cell r="N45">
            <v>0</v>
          </cell>
          <cell r="O45">
            <v>0</v>
          </cell>
          <cell r="P45">
            <v>1783.698374999999</v>
          </cell>
          <cell r="Q45">
            <v>0</v>
          </cell>
          <cell r="R45">
            <v>1213.3148437499999</v>
          </cell>
          <cell r="S45">
            <v>857</v>
          </cell>
          <cell r="T45"/>
          <cell r="U45"/>
          <cell r="V45">
            <v>12</v>
          </cell>
          <cell r="W45">
            <v>857</v>
          </cell>
        </row>
        <row r="46">
          <cell r="A46" t="str">
            <v>4.2.8</v>
          </cell>
          <cell r="B46" t="str">
            <v>TRM11.2</v>
          </cell>
          <cell r="C46" t="str">
            <v>V8</v>
          </cell>
          <cell r="D46" t="str">
            <v>CI-FSE-ESGR-V03-190101</v>
          </cell>
          <cell r="E46" t="str">
            <v>ENERGY STAR Griddle EREP</v>
          </cell>
          <cell r="F46" t="str">
            <v>Griddle EREP</v>
          </cell>
          <cell r="G46" t="str">
            <v>Food service</v>
          </cell>
          <cell r="H46" t="str">
            <v>Commercial</v>
          </cell>
          <cell r="I46" t="str">
            <v>Unit</v>
          </cell>
          <cell r="J46">
            <v>0</v>
          </cell>
          <cell r="K46">
            <v>0</v>
          </cell>
          <cell r="L46">
            <v>148.64153124999993</v>
          </cell>
          <cell r="M46">
            <v>0</v>
          </cell>
          <cell r="N46">
            <v>0</v>
          </cell>
          <cell r="O46">
            <v>0</v>
          </cell>
          <cell r="P46">
            <v>1783.698374999999</v>
          </cell>
          <cell r="Q46">
            <v>0</v>
          </cell>
          <cell r="R46"/>
          <cell r="S46"/>
          <cell r="T46"/>
          <cell r="U46"/>
          <cell r="V46">
            <v>12</v>
          </cell>
          <cell r="W46">
            <v>857</v>
          </cell>
        </row>
        <row r="47">
          <cell r="A47"/>
          <cell r="B47"/>
          <cell r="C47"/>
          <cell r="D47"/>
          <cell r="E47"/>
          <cell r="F47"/>
          <cell r="G47"/>
          <cell r="H47"/>
          <cell r="I47"/>
          <cell r="J47"/>
          <cell r="K47"/>
          <cell r="L47"/>
          <cell r="M47"/>
          <cell r="N47"/>
          <cell r="O47"/>
          <cell r="P47"/>
          <cell r="Q47"/>
          <cell r="R47"/>
          <cell r="S47"/>
          <cell r="T47"/>
          <cell r="U47"/>
          <cell r="V47"/>
          <cell r="W47"/>
        </row>
        <row r="48">
          <cell r="A48" t="str">
            <v>4.2.9</v>
          </cell>
          <cell r="B48" t="str">
            <v>TRM140.1</v>
          </cell>
          <cell r="C48" t="str">
            <v>V8</v>
          </cell>
          <cell r="D48" t="str">
            <v>CI-FSE-ESHH-V03-190101</v>
          </cell>
          <cell r="E48" t="str">
            <v>ENERGY STAR Hot Food Holding Cabinets (HFHC)</v>
          </cell>
          <cell r="F48" t="str">
            <v>Hot Food Holding Cabinets (HFHC)</v>
          </cell>
          <cell r="G48" t="str">
            <v>Food service</v>
          </cell>
          <cell r="H48" t="str">
            <v>Commercial</v>
          </cell>
          <cell r="I48" t="str">
            <v>Unit</v>
          </cell>
          <cell r="J48">
            <v>9313.875</v>
          </cell>
          <cell r="K48">
            <v>0.86699999999999999</v>
          </cell>
          <cell r="L48">
            <v>0</v>
          </cell>
          <cell r="M48">
            <v>0</v>
          </cell>
          <cell r="N48">
            <v>111766.5</v>
          </cell>
          <cell r="O48">
            <v>0.86699999999999999</v>
          </cell>
          <cell r="P48">
            <v>0</v>
          </cell>
          <cell r="Q48">
            <v>0</v>
          </cell>
          <cell r="R48"/>
          <cell r="S48"/>
          <cell r="T48"/>
          <cell r="U48"/>
          <cell r="V48">
            <v>12</v>
          </cell>
          <cell r="W48">
            <v>1200</v>
          </cell>
        </row>
        <row r="49">
          <cell r="A49"/>
          <cell r="B49"/>
          <cell r="C49"/>
          <cell r="D49"/>
          <cell r="E49"/>
          <cell r="F49"/>
          <cell r="G49"/>
          <cell r="H49"/>
          <cell r="I49"/>
          <cell r="J49"/>
          <cell r="K49"/>
          <cell r="L49"/>
          <cell r="M49"/>
          <cell r="N49"/>
          <cell r="O49"/>
          <cell r="P49"/>
          <cell r="Q49"/>
          <cell r="R49"/>
          <cell r="S49"/>
          <cell r="T49"/>
          <cell r="U49"/>
          <cell r="V49"/>
          <cell r="W49"/>
        </row>
        <row r="50">
          <cell r="A50" t="str">
            <v>4.2.10</v>
          </cell>
          <cell r="B50" t="str">
            <v>TRM13</v>
          </cell>
          <cell r="C50" t="str">
            <v>V8</v>
          </cell>
          <cell r="D50" t="str">
            <v>CI-FSE-ESIM-V01-120601</v>
          </cell>
          <cell r="E50" t="str">
            <v>ENERGY STAR Ice Maker</v>
          </cell>
          <cell r="F50" t="str">
            <v>Ice Maker</v>
          </cell>
          <cell r="G50" t="str">
            <v>Refrigeration</v>
          </cell>
          <cell r="H50" t="str">
            <v>Commercial</v>
          </cell>
          <cell r="I50" t="str">
            <v>Unit</v>
          </cell>
          <cell r="J50">
            <v>287.30565000000053</v>
          </cell>
          <cell r="K50">
            <v>5.3877500000000106E-2</v>
          </cell>
          <cell r="L50">
            <v>0</v>
          </cell>
          <cell r="M50">
            <v>0</v>
          </cell>
          <cell r="N50">
            <v>2873.0565000000051</v>
          </cell>
          <cell r="O50">
            <v>5.3877500000000106E-2</v>
          </cell>
          <cell r="P50">
            <v>0</v>
          </cell>
          <cell r="Q50">
            <v>0</v>
          </cell>
          <cell r="R50"/>
          <cell r="S50"/>
          <cell r="T50"/>
          <cell r="U50"/>
          <cell r="V50">
            <v>10</v>
          </cell>
          <cell r="W50">
            <v>296</v>
          </cell>
        </row>
        <row r="51">
          <cell r="A51"/>
          <cell r="B51"/>
          <cell r="C51"/>
          <cell r="D51"/>
          <cell r="E51"/>
          <cell r="F51"/>
          <cell r="G51"/>
          <cell r="H51"/>
          <cell r="I51"/>
          <cell r="J51"/>
          <cell r="K51"/>
          <cell r="L51"/>
          <cell r="M51"/>
          <cell r="N51"/>
          <cell r="O51"/>
          <cell r="P51"/>
          <cell r="Q51"/>
          <cell r="R51"/>
          <cell r="S51"/>
          <cell r="T51"/>
          <cell r="U51"/>
          <cell r="V51"/>
          <cell r="W51"/>
        </row>
        <row r="52">
          <cell r="A52" t="str">
            <v>4.2.12.b</v>
          </cell>
          <cell r="B52" t="str">
            <v>TRM14.1</v>
          </cell>
          <cell r="C52" t="str">
            <v>V8</v>
          </cell>
          <cell r="D52" t="str">
            <v>CI-FSE-IRCB-V02-180101</v>
          </cell>
          <cell r="E52" t="str">
            <v>Baseline Infrared Charbroiler</v>
          </cell>
          <cell r="F52" t="str">
            <v>Baseline Infrared Charbroiler</v>
          </cell>
          <cell r="G52" t="str">
            <v>Food service</v>
          </cell>
          <cell r="H52" t="str">
            <v>Commercial</v>
          </cell>
          <cell r="I52" t="str">
            <v>Unit</v>
          </cell>
          <cell r="J52">
            <v>0</v>
          </cell>
          <cell r="K52">
            <v>0</v>
          </cell>
          <cell r="L52">
            <v>0</v>
          </cell>
          <cell r="M52">
            <v>0</v>
          </cell>
          <cell r="N52">
            <v>0</v>
          </cell>
          <cell r="O52">
            <v>0</v>
          </cell>
          <cell r="P52">
            <v>0</v>
          </cell>
          <cell r="Q52">
            <v>0</v>
          </cell>
          <cell r="R52">
            <v>2845.44</v>
          </cell>
          <cell r="S52">
            <v>2173</v>
          </cell>
          <cell r="T52"/>
          <cell r="U52"/>
          <cell r="V52">
            <v>12</v>
          </cell>
          <cell r="W52">
            <v>2173</v>
          </cell>
        </row>
        <row r="53">
          <cell r="A53" t="str">
            <v>4.2.12</v>
          </cell>
          <cell r="B53" t="str">
            <v>TRM14.1</v>
          </cell>
          <cell r="C53" t="str">
            <v>V8</v>
          </cell>
          <cell r="D53" t="str">
            <v>CI-FSE-IRCB-V02-180101</v>
          </cell>
          <cell r="E53" t="str">
            <v>Infrared Charbroiler</v>
          </cell>
          <cell r="F53" t="str">
            <v>Infrared Charbroiler</v>
          </cell>
          <cell r="G53" t="str">
            <v>Food service</v>
          </cell>
          <cell r="H53" t="str">
            <v>Commercial</v>
          </cell>
          <cell r="I53" t="str">
            <v>Unit</v>
          </cell>
          <cell r="J53">
            <v>0</v>
          </cell>
          <cell r="K53">
            <v>0</v>
          </cell>
          <cell r="L53">
            <v>706.68</v>
          </cell>
          <cell r="M53">
            <v>0</v>
          </cell>
          <cell r="N53">
            <v>0</v>
          </cell>
          <cell r="O53">
            <v>0</v>
          </cell>
          <cell r="P53">
            <v>8480.16</v>
          </cell>
          <cell r="Q53">
            <v>0</v>
          </cell>
          <cell r="R53">
            <v>2845.44</v>
          </cell>
          <cell r="S53">
            <v>2173</v>
          </cell>
          <cell r="T53"/>
          <cell r="U53"/>
          <cell r="V53">
            <v>12</v>
          </cell>
          <cell r="W53">
            <v>2173</v>
          </cell>
        </row>
        <row r="54">
          <cell r="A54" t="str">
            <v>4.2.12.3</v>
          </cell>
          <cell r="B54" t="str">
            <v>TRM14.2</v>
          </cell>
          <cell r="C54" t="str">
            <v>V8</v>
          </cell>
          <cell r="D54" t="str">
            <v>CI-FSE-IRCB-V02-180101</v>
          </cell>
          <cell r="E54" t="str">
            <v>Infrared Charbroiler Upstream</v>
          </cell>
          <cell r="F54" t="str">
            <v>Infrared Charbroiler Upstream</v>
          </cell>
          <cell r="G54" t="str">
            <v>Food service</v>
          </cell>
          <cell r="H54" t="str">
            <v>Commercial</v>
          </cell>
          <cell r="I54" t="str">
            <v>Unit</v>
          </cell>
          <cell r="J54">
            <v>0</v>
          </cell>
          <cell r="K54">
            <v>0</v>
          </cell>
          <cell r="L54">
            <v>706.68</v>
          </cell>
          <cell r="M54">
            <v>0</v>
          </cell>
          <cell r="N54">
            <v>0</v>
          </cell>
          <cell r="O54">
            <v>0</v>
          </cell>
          <cell r="P54">
            <v>8480.16</v>
          </cell>
          <cell r="Q54">
            <v>0</v>
          </cell>
          <cell r="R54">
            <v>2845.44</v>
          </cell>
          <cell r="S54">
            <v>2173</v>
          </cell>
          <cell r="T54"/>
          <cell r="U54"/>
          <cell r="V54">
            <v>12</v>
          </cell>
          <cell r="W54">
            <v>2173</v>
          </cell>
        </row>
        <row r="55">
          <cell r="A55" t="str">
            <v>4.2.12</v>
          </cell>
          <cell r="B55" t="str">
            <v>TRM14.2</v>
          </cell>
          <cell r="C55" t="str">
            <v>V8</v>
          </cell>
          <cell r="D55" t="str">
            <v>CI-FSE-IRCB-V02-180101</v>
          </cell>
          <cell r="E55" t="str">
            <v>Infrared Charbroiler EREP</v>
          </cell>
          <cell r="F55" t="str">
            <v>Infrared Charbroiler EREP</v>
          </cell>
          <cell r="G55" t="str">
            <v>Food service</v>
          </cell>
          <cell r="H55" t="str">
            <v>Commercial</v>
          </cell>
          <cell r="I55" t="str">
            <v>Unit</v>
          </cell>
          <cell r="J55">
            <v>0</v>
          </cell>
          <cell r="K55">
            <v>0</v>
          </cell>
          <cell r="L55">
            <v>706.68</v>
          </cell>
          <cell r="M55">
            <v>0</v>
          </cell>
          <cell r="N55">
            <v>0</v>
          </cell>
          <cell r="O55">
            <v>0</v>
          </cell>
          <cell r="P55">
            <v>8480.16</v>
          </cell>
          <cell r="Q55">
            <v>0</v>
          </cell>
          <cell r="R55"/>
          <cell r="S55"/>
          <cell r="T55"/>
          <cell r="U55"/>
          <cell r="V55">
            <v>12</v>
          </cell>
          <cell r="W55">
            <v>2173</v>
          </cell>
        </row>
        <row r="56">
          <cell r="A56"/>
          <cell r="B56"/>
          <cell r="C56"/>
          <cell r="D56"/>
          <cell r="E56"/>
          <cell r="F56"/>
          <cell r="G56"/>
          <cell r="H56"/>
          <cell r="I56"/>
          <cell r="J56"/>
          <cell r="K56"/>
          <cell r="L56"/>
          <cell r="M56"/>
          <cell r="N56"/>
          <cell r="O56"/>
          <cell r="P56"/>
          <cell r="Q56"/>
          <cell r="R56"/>
          <cell r="S56"/>
          <cell r="T56"/>
          <cell r="U56"/>
          <cell r="V56"/>
          <cell r="W56"/>
        </row>
        <row r="57">
          <cell r="A57" t="str">
            <v>4.2.13.b</v>
          </cell>
          <cell r="B57" t="str">
            <v>TRM15.1</v>
          </cell>
          <cell r="C57" t="str">
            <v>V8</v>
          </cell>
          <cell r="D57" t="str">
            <v>CI-FSE-IROV-V02-180101</v>
          </cell>
          <cell r="E57" t="str">
            <v>Baseline Infrared Rotisserie Oven</v>
          </cell>
          <cell r="F57" t="str">
            <v>Baseline Infrared Rotisserie Oven</v>
          </cell>
          <cell r="G57" t="str">
            <v>Food service</v>
          </cell>
          <cell r="H57" t="str">
            <v>Commercial</v>
          </cell>
          <cell r="I57" t="str">
            <v>Unit</v>
          </cell>
          <cell r="J57">
            <v>0</v>
          </cell>
          <cell r="K57">
            <v>0</v>
          </cell>
          <cell r="L57">
            <v>0</v>
          </cell>
          <cell r="M57">
            <v>0</v>
          </cell>
          <cell r="N57">
            <v>0</v>
          </cell>
          <cell r="O57">
            <v>0</v>
          </cell>
          <cell r="P57">
            <v>0</v>
          </cell>
          <cell r="Q57">
            <v>0</v>
          </cell>
          <cell r="R57">
            <v>1347.84</v>
          </cell>
          <cell r="S57">
            <v>2665</v>
          </cell>
          <cell r="T57"/>
          <cell r="U57"/>
          <cell r="V57">
            <v>12</v>
          </cell>
          <cell r="W57">
            <v>2665</v>
          </cell>
        </row>
        <row r="58">
          <cell r="A58" t="str">
            <v>4.2.13</v>
          </cell>
          <cell r="B58" t="str">
            <v>TRM15.1</v>
          </cell>
          <cell r="C58" t="str">
            <v>V8</v>
          </cell>
          <cell r="D58" t="str">
            <v>CI-FSE-IROV-V02-180101</v>
          </cell>
          <cell r="E58" t="str">
            <v>Infrared Rotisserie Oven</v>
          </cell>
          <cell r="F58" t="str">
            <v>Infrared Rotisserie Oven</v>
          </cell>
          <cell r="G58" t="str">
            <v>Food service</v>
          </cell>
          <cell r="H58" t="str">
            <v>Commercial</v>
          </cell>
          <cell r="I58" t="str">
            <v>Unit</v>
          </cell>
          <cell r="J58">
            <v>0</v>
          </cell>
          <cell r="K58">
            <v>0</v>
          </cell>
          <cell r="L58">
            <v>599.04</v>
          </cell>
          <cell r="M58">
            <v>0</v>
          </cell>
          <cell r="N58">
            <v>0</v>
          </cell>
          <cell r="O58">
            <v>0</v>
          </cell>
          <cell r="P58">
            <v>7188.48</v>
          </cell>
          <cell r="Q58">
            <v>0</v>
          </cell>
          <cell r="R58">
            <v>1347.84</v>
          </cell>
          <cell r="S58">
            <v>2665</v>
          </cell>
          <cell r="T58"/>
          <cell r="U58"/>
          <cell r="V58">
            <v>12</v>
          </cell>
          <cell r="W58">
            <v>2665</v>
          </cell>
        </row>
        <row r="59">
          <cell r="A59" t="str">
            <v>4.2.13.3</v>
          </cell>
          <cell r="B59" t="str">
            <v>TRM15.2</v>
          </cell>
          <cell r="C59" t="str">
            <v>V8</v>
          </cell>
          <cell r="D59" t="str">
            <v>CI-FSE-IROV-V02-180101</v>
          </cell>
          <cell r="E59" t="str">
            <v>Infrared Rotisserie Oven Upstream</v>
          </cell>
          <cell r="F59" t="str">
            <v>Infrared Rotisserie Oven Upstream</v>
          </cell>
          <cell r="G59" t="str">
            <v>Food service</v>
          </cell>
          <cell r="H59" t="str">
            <v>Commercial</v>
          </cell>
          <cell r="I59" t="str">
            <v>Unit</v>
          </cell>
          <cell r="J59">
            <v>0</v>
          </cell>
          <cell r="K59">
            <v>0</v>
          </cell>
          <cell r="L59">
            <v>599.04</v>
          </cell>
          <cell r="M59">
            <v>0</v>
          </cell>
          <cell r="N59">
            <v>0</v>
          </cell>
          <cell r="O59">
            <v>0</v>
          </cell>
          <cell r="P59">
            <v>7188.48</v>
          </cell>
          <cell r="Q59">
            <v>0</v>
          </cell>
          <cell r="R59">
            <v>1347.84</v>
          </cell>
          <cell r="S59">
            <v>2665</v>
          </cell>
          <cell r="T59"/>
          <cell r="U59"/>
          <cell r="V59">
            <v>12</v>
          </cell>
          <cell r="W59">
            <v>2665</v>
          </cell>
        </row>
        <row r="60">
          <cell r="A60" t="str">
            <v>4.2.13</v>
          </cell>
          <cell r="B60" t="str">
            <v>TRM15.2</v>
          </cell>
          <cell r="C60" t="str">
            <v>V8</v>
          </cell>
          <cell r="D60" t="str">
            <v>CI-FSE-IROV-V02-180101</v>
          </cell>
          <cell r="E60" t="str">
            <v>Infrared Rotisserie Oven EREP</v>
          </cell>
          <cell r="F60" t="str">
            <v>Infrared Rotisserie Oven EREP</v>
          </cell>
          <cell r="G60" t="str">
            <v>Food service</v>
          </cell>
          <cell r="H60" t="str">
            <v>Commercial</v>
          </cell>
          <cell r="I60" t="str">
            <v>Unit</v>
          </cell>
          <cell r="J60">
            <v>0</v>
          </cell>
          <cell r="K60">
            <v>0</v>
          </cell>
          <cell r="L60">
            <v>599.04</v>
          </cell>
          <cell r="M60">
            <v>0</v>
          </cell>
          <cell r="N60">
            <v>0</v>
          </cell>
          <cell r="O60">
            <v>0</v>
          </cell>
          <cell r="P60">
            <v>7188.48</v>
          </cell>
          <cell r="Q60">
            <v>0</v>
          </cell>
          <cell r="R60"/>
          <cell r="S60"/>
          <cell r="T60"/>
          <cell r="U60"/>
          <cell r="V60">
            <v>12</v>
          </cell>
          <cell r="W60">
            <v>2665</v>
          </cell>
        </row>
        <row r="61">
          <cell r="A61"/>
          <cell r="B61"/>
          <cell r="C61"/>
          <cell r="D61"/>
          <cell r="E61"/>
          <cell r="F61"/>
          <cell r="G61"/>
          <cell r="H61"/>
          <cell r="I61"/>
          <cell r="J61"/>
          <cell r="K61"/>
          <cell r="L61"/>
          <cell r="M61"/>
          <cell r="N61"/>
          <cell r="O61"/>
          <cell r="P61"/>
          <cell r="Q61"/>
          <cell r="R61"/>
          <cell r="S61"/>
          <cell r="T61"/>
          <cell r="U61"/>
          <cell r="V61"/>
          <cell r="W61"/>
        </row>
        <row r="62">
          <cell r="A62" t="str">
            <v>4.2.14.b</v>
          </cell>
          <cell r="B62" t="str">
            <v>TRM16.1</v>
          </cell>
          <cell r="C62" t="str">
            <v>V8</v>
          </cell>
          <cell r="D62" t="str">
            <v>CI-FSE-IRBL-V02-180101</v>
          </cell>
          <cell r="E62" t="str">
            <v>Baseline Infrared Salamander Broiler</v>
          </cell>
          <cell r="F62" t="str">
            <v>Baseline Infrared Salamander Broiler</v>
          </cell>
          <cell r="G62" t="str">
            <v>Food service</v>
          </cell>
          <cell r="H62" t="str">
            <v>Commercial</v>
          </cell>
          <cell r="I62" t="str">
            <v>Unit</v>
          </cell>
          <cell r="J62">
            <v>0</v>
          </cell>
          <cell r="K62">
            <v>0</v>
          </cell>
          <cell r="L62">
            <v>0</v>
          </cell>
          <cell r="M62">
            <v>0</v>
          </cell>
          <cell r="N62">
            <v>0</v>
          </cell>
          <cell r="O62">
            <v>0</v>
          </cell>
          <cell r="P62">
            <v>0</v>
          </cell>
          <cell r="Q62">
            <v>0</v>
          </cell>
          <cell r="R62">
            <v>672.67200000000003</v>
          </cell>
          <cell r="S62">
            <v>1000</v>
          </cell>
          <cell r="T62"/>
          <cell r="U62"/>
          <cell r="V62">
            <v>12</v>
          </cell>
          <cell r="W62">
            <v>1000</v>
          </cell>
        </row>
        <row r="63">
          <cell r="A63" t="str">
            <v>4.2.14</v>
          </cell>
          <cell r="B63" t="str">
            <v>TRM16.1</v>
          </cell>
          <cell r="C63" t="str">
            <v>V8</v>
          </cell>
          <cell r="D63" t="str">
            <v>CI-FSE-IRBL-V02-180101</v>
          </cell>
          <cell r="E63" t="str">
            <v>Infrared Salamander Broiler</v>
          </cell>
          <cell r="F63" t="str">
            <v>Infrared Salamander Broiler</v>
          </cell>
          <cell r="G63" t="str">
            <v>Food service</v>
          </cell>
          <cell r="H63" t="str">
            <v>Commercial</v>
          </cell>
          <cell r="I63" t="str">
            <v>Unit</v>
          </cell>
          <cell r="J63">
            <v>0</v>
          </cell>
          <cell r="K63">
            <v>0</v>
          </cell>
          <cell r="L63">
            <v>240.23999999999995</v>
          </cell>
          <cell r="M63">
            <v>0</v>
          </cell>
          <cell r="N63">
            <v>0</v>
          </cell>
          <cell r="O63">
            <v>0</v>
          </cell>
          <cell r="P63">
            <v>2882.8799999999992</v>
          </cell>
          <cell r="Q63">
            <v>0</v>
          </cell>
          <cell r="R63">
            <v>672.67200000000003</v>
          </cell>
          <cell r="S63">
            <v>1000</v>
          </cell>
          <cell r="T63"/>
          <cell r="U63"/>
          <cell r="V63">
            <v>12</v>
          </cell>
          <cell r="W63">
            <v>1000</v>
          </cell>
        </row>
        <row r="64">
          <cell r="A64" t="str">
            <v>4.2.14.3</v>
          </cell>
          <cell r="B64" t="str">
            <v>TRM16.2</v>
          </cell>
          <cell r="C64" t="str">
            <v>V8</v>
          </cell>
          <cell r="D64" t="str">
            <v>CI-FSE-IRBL-V02-180101</v>
          </cell>
          <cell r="E64" t="str">
            <v>Infrared Salamander Broiler Upstream</v>
          </cell>
          <cell r="F64" t="str">
            <v>Infrared Salamander Broiler Upstream</v>
          </cell>
          <cell r="G64" t="str">
            <v>Food service</v>
          </cell>
          <cell r="H64" t="str">
            <v>Commercial</v>
          </cell>
          <cell r="I64" t="str">
            <v>Unit</v>
          </cell>
          <cell r="J64">
            <v>0</v>
          </cell>
          <cell r="K64">
            <v>0</v>
          </cell>
          <cell r="L64">
            <v>240.23999999999995</v>
          </cell>
          <cell r="M64">
            <v>0</v>
          </cell>
          <cell r="N64">
            <v>0</v>
          </cell>
          <cell r="O64">
            <v>0</v>
          </cell>
          <cell r="P64">
            <v>2882.8799999999992</v>
          </cell>
          <cell r="Q64">
            <v>0</v>
          </cell>
          <cell r="R64">
            <v>672.67200000000003</v>
          </cell>
          <cell r="S64">
            <v>1000</v>
          </cell>
          <cell r="T64"/>
          <cell r="U64"/>
          <cell r="V64">
            <v>12</v>
          </cell>
          <cell r="W64">
            <v>1000</v>
          </cell>
        </row>
        <row r="65">
          <cell r="A65" t="str">
            <v>4.2.14</v>
          </cell>
          <cell r="B65" t="str">
            <v>TRM16.2</v>
          </cell>
          <cell r="C65" t="str">
            <v>V8</v>
          </cell>
          <cell r="D65" t="str">
            <v>CI-FSE-IRBL-V02-180101</v>
          </cell>
          <cell r="E65" t="str">
            <v>Infrared Salamander Broiler EREP</v>
          </cell>
          <cell r="F65" t="str">
            <v>Infrared Salamander Broiler EREP</v>
          </cell>
          <cell r="G65" t="str">
            <v>Food service</v>
          </cell>
          <cell r="H65" t="str">
            <v>Commercial</v>
          </cell>
          <cell r="I65" t="str">
            <v>Unit</v>
          </cell>
          <cell r="J65">
            <v>0</v>
          </cell>
          <cell r="K65">
            <v>0</v>
          </cell>
          <cell r="L65">
            <v>240.23999999999995</v>
          </cell>
          <cell r="M65">
            <v>0</v>
          </cell>
          <cell r="N65">
            <v>0</v>
          </cell>
          <cell r="O65">
            <v>0</v>
          </cell>
          <cell r="P65">
            <v>2882.8799999999992</v>
          </cell>
          <cell r="Q65">
            <v>0</v>
          </cell>
          <cell r="R65"/>
          <cell r="S65"/>
          <cell r="T65"/>
          <cell r="U65"/>
          <cell r="V65">
            <v>12</v>
          </cell>
          <cell r="W65">
            <v>1000</v>
          </cell>
        </row>
        <row r="66">
          <cell r="A66"/>
          <cell r="B66"/>
          <cell r="C66"/>
          <cell r="D66"/>
          <cell r="E66"/>
          <cell r="F66"/>
          <cell r="G66"/>
          <cell r="H66"/>
          <cell r="I66"/>
          <cell r="J66"/>
          <cell r="K66"/>
          <cell r="L66"/>
          <cell r="M66"/>
          <cell r="N66"/>
          <cell r="O66"/>
          <cell r="P66"/>
          <cell r="Q66"/>
          <cell r="R66"/>
          <cell r="S66"/>
          <cell r="T66"/>
          <cell r="U66"/>
          <cell r="V66"/>
          <cell r="W66"/>
        </row>
        <row r="67">
          <cell r="A67" t="str">
            <v>4.2.15.b</v>
          </cell>
          <cell r="B67" t="str">
            <v>TRM17.1</v>
          </cell>
          <cell r="C67" t="str">
            <v>V8</v>
          </cell>
          <cell r="D67" t="str">
            <v>CI-FSE-IRUB-V02-180101</v>
          </cell>
          <cell r="E67" t="str">
            <v>Baseline Infrared Upright Broiler</v>
          </cell>
          <cell r="F67" t="str">
            <v>Baseline Infrared Upright Broiler</v>
          </cell>
          <cell r="G67" t="str">
            <v>Food service</v>
          </cell>
          <cell r="H67" t="str">
            <v>Commercial</v>
          </cell>
          <cell r="I67" t="str">
            <v>Unit</v>
          </cell>
          <cell r="J67">
            <v>0</v>
          </cell>
          <cell r="K67">
            <v>0</v>
          </cell>
          <cell r="L67">
            <v>0</v>
          </cell>
          <cell r="M67">
            <v>0</v>
          </cell>
          <cell r="N67">
            <v>0</v>
          </cell>
          <cell r="O67">
            <v>0</v>
          </cell>
          <cell r="P67">
            <v>0</v>
          </cell>
          <cell r="Q67">
            <v>0</v>
          </cell>
          <cell r="R67">
            <v>2515.9679999999998</v>
          </cell>
          <cell r="S67">
            <v>4400</v>
          </cell>
          <cell r="T67"/>
          <cell r="U67"/>
          <cell r="V67">
            <v>12</v>
          </cell>
          <cell r="W67">
            <v>4400</v>
          </cell>
        </row>
        <row r="68">
          <cell r="A68" t="str">
            <v>4.2.15</v>
          </cell>
          <cell r="B68" t="str">
            <v>TRM17.1</v>
          </cell>
          <cell r="C68" t="str">
            <v>V8</v>
          </cell>
          <cell r="D68" t="str">
            <v>CI-FSE-IRUB-V02-180101</v>
          </cell>
          <cell r="E68" t="str">
            <v>Infrared Upright Broiler</v>
          </cell>
          <cell r="F68" t="str">
            <v>Infrared Upright Broiler</v>
          </cell>
          <cell r="G68" t="str">
            <v>Food service</v>
          </cell>
          <cell r="H68" t="str">
            <v>Commercial</v>
          </cell>
          <cell r="I68" t="str">
            <v>Unit</v>
          </cell>
          <cell r="J68">
            <v>0</v>
          </cell>
          <cell r="K68">
            <v>0</v>
          </cell>
          <cell r="L68">
            <v>943.48799999999983</v>
          </cell>
          <cell r="M68">
            <v>0</v>
          </cell>
          <cell r="N68">
            <v>0</v>
          </cell>
          <cell r="O68">
            <v>0</v>
          </cell>
          <cell r="P68">
            <v>11321.855999999998</v>
          </cell>
          <cell r="Q68">
            <v>0</v>
          </cell>
          <cell r="R68">
            <v>2515.9679999999998</v>
          </cell>
          <cell r="S68">
            <v>4400</v>
          </cell>
          <cell r="T68"/>
          <cell r="U68"/>
          <cell r="V68">
            <v>12</v>
          </cell>
          <cell r="W68">
            <v>4400</v>
          </cell>
        </row>
        <row r="69">
          <cell r="A69" t="str">
            <v>4.2.15.3</v>
          </cell>
          <cell r="B69" t="str">
            <v>TRM17.2</v>
          </cell>
          <cell r="C69" t="str">
            <v>V8</v>
          </cell>
          <cell r="D69" t="str">
            <v>CI-FSE-IRUB-V02-180101</v>
          </cell>
          <cell r="E69" t="str">
            <v>Infrared Upright Broiler Upstream</v>
          </cell>
          <cell r="F69" t="str">
            <v>Infrared Upright Broiler Upstream</v>
          </cell>
          <cell r="G69" t="str">
            <v>Food service</v>
          </cell>
          <cell r="H69" t="str">
            <v>Commercial</v>
          </cell>
          <cell r="I69" t="str">
            <v>Unit</v>
          </cell>
          <cell r="J69">
            <v>0</v>
          </cell>
          <cell r="K69">
            <v>0</v>
          </cell>
          <cell r="L69">
            <v>943.48799999999983</v>
          </cell>
          <cell r="M69">
            <v>0</v>
          </cell>
          <cell r="N69">
            <v>0</v>
          </cell>
          <cell r="O69">
            <v>0</v>
          </cell>
          <cell r="P69">
            <v>11321.855999999998</v>
          </cell>
          <cell r="Q69">
            <v>0</v>
          </cell>
          <cell r="R69">
            <v>2515.9679999999998</v>
          </cell>
          <cell r="S69">
            <v>4400</v>
          </cell>
          <cell r="T69"/>
          <cell r="U69"/>
          <cell r="V69">
            <v>12</v>
          </cell>
          <cell r="W69">
            <v>4400</v>
          </cell>
        </row>
        <row r="70">
          <cell r="A70" t="str">
            <v>4.2.15.EREP</v>
          </cell>
          <cell r="B70" t="str">
            <v>TRM17.2</v>
          </cell>
          <cell r="C70" t="str">
            <v>V8</v>
          </cell>
          <cell r="D70" t="str">
            <v>CI-FSE-IRUB-V02-180101</v>
          </cell>
          <cell r="E70" t="str">
            <v>Infrared Upright Broiler EREP</v>
          </cell>
          <cell r="F70" t="str">
            <v>Infrared Upright Broiler EREP</v>
          </cell>
          <cell r="G70" t="str">
            <v>Food service</v>
          </cell>
          <cell r="H70" t="str">
            <v>Commercial</v>
          </cell>
          <cell r="I70" t="str">
            <v>Unit</v>
          </cell>
          <cell r="J70">
            <v>0</v>
          </cell>
          <cell r="K70">
            <v>0</v>
          </cell>
          <cell r="L70">
            <v>943.48799999999983</v>
          </cell>
          <cell r="M70">
            <v>0</v>
          </cell>
          <cell r="N70">
            <v>0</v>
          </cell>
          <cell r="O70">
            <v>0</v>
          </cell>
          <cell r="P70">
            <v>11321.855999999998</v>
          </cell>
          <cell r="Q70">
            <v>0</v>
          </cell>
          <cell r="R70"/>
          <cell r="S70"/>
          <cell r="T70"/>
          <cell r="U70"/>
          <cell r="V70">
            <v>12</v>
          </cell>
          <cell r="W70">
            <v>4400</v>
          </cell>
        </row>
        <row r="71">
          <cell r="A71"/>
          <cell r="B71"/>
          <cell r="C71"/>
          <cell r="D71"/>
          <cell r="E71"/>
          <cell r="F71"/>
          <cell r="G71"/>
          <cell r="H71"/>
          <cell r="I71"/>
          <cell r="J71"/>
          <cell r="K71"/>
          <cell r="L71"/>
          <cell r="M71"/>
          <cell r="N71"/>
          <cell r="O71"/>
          <cell r="P71"/>
          <cell r="Q71"/>
          <cell r="R71"/>
          <cell r="S71"/>
          <cell r="T71"/>
          <cell r="U71"/>
          <cell r="V71"/>
          <cell r="W71"/>
        </row>
        <row r="72">
          <cell r="A72" t="str">
            <v>4.2.16</v>
          </cell>
          <cell r="B72" t="str">
            <v>TRM18</v>
          </cell>
          <cell r="C72" t="str">
            <v>V8</v>
          </cell>
          <cell r="D72" t="str">
            <v>CI-FSE-VENT-V03-160601</v>
          </cell>
          <cell r="E72" t="str">
            <v>Kitchen Demand Ventilation Controls</v>
          </cell>
          <cell r="F72" t="str">
            <v>Kitchen Demand Ventilation Controls</v>
          </cell>
          <cell r="G72" t="str">
            <v>Controls</v>
          </cell>
          <cell r="H72" t="str">
            <v>Commercial</v>
          </cell>
          <cell r="I72" t="str">
            <v>Project</v>
          </cell>
          <cell r="J72">
            <v>0</v>
          </cell>
          <cell r="K72">
            <v>0</v>
          </cell>
          <cell r="L72">
            <v>5998.5</v>
          </cell>
          <cell r="M72">
            <v>0</v>
          </cell>
          <cell r="N72">
            <v>0</v>
          </cell>
          <cell r="O72">
            <v>0</v>
          </cell>
          <cell r="P72">
            <v>119970</v>
          </cell>
          <cell r="Q72">
            <v>0</v>
          </cell>
          <cell r="R72"/>
          <cell r="S72"/>
          <cell r="T72"/>
          <cell r="U72"/>
          <cell r="V72">
            <v>20</v>
          </cell>
          <cell r="W72">
            <v>1992</v>
          </cell>
        </row>
        <row r="73">
          <cell r="A73"/>
          <cell r="B73"/>
          <cell r="C73"/>
          <cell r="D73"/>
          <cell r="E73"/>
          <cell r="F73"/>
          <cell r="G73"/>
          <cell r="H73"/>
          <cell r="I73"/>
          <cell r="J73"/>
          <cell r="K73"/>
          <cell r="L73"/>
          <cell r="M73"/>
          <cell r="N73"/>
          <cell r="O73"/>
          <cell r="P73"/>
          <cell r="Q73"/>
          <cell r="R73"/>
          <cell r="S73"/>
          <cell r="T73"/>
          <cell r="U73"/>
          <cell r="V73"/>
          <cell r="W73"/>
        </row>
        <row r="74">
          <cell r="A74" t="str">
            <v>4.2.17.B</v>
          </cell>
          <cell r="B74" t="str">
            <v>TRM19.1</v>
          </cell>
          <cell r="C74" t="str">
            <v>V8</v>
          </cell>
          <cell r="D74" t="str">
            <v>CI-FSE-PCOK-V02-180101</v>
          </cell>
          <cell r="E74" t="str">
            <v>Baseline Pasta Cooker</v>
          </cell>
          <cell r="F74" t="str">
            <v>Baseline Pasta Cooker</v>
          </cell>
          <cell r="G74" t="str">
            <v>Food service</v>
          </cell>
          <cell r="H74" t="str">
            <v>Commercial</v>
          </cell>
          <cell r="I74" t="str">
            <v>Unit</v>
          </cell>
          <cell r="J74">
            <v>0</v>
          </cell>
          <cell r="K74">
            <v>0</v>
          </cell>
          <cell r="L74">
            <v>0</v>
          </cell>
          <cell r="M74">
            <v>0</v>
          </cell>
          <cell r="N74">
            <v>0</v>
          </cell>
          <cell r="O74">
            <v>0</v>
          </cell>
          <cell r="P74">
            <v>0</v>
          </cell>
          <cell r="Q74">
            <v>0</v>
          </cell>
          <cell r="R74">
            <v>2988.8999999999996</v>
          </cell>
          <cell r="S74">
            <v>2400</v>
          </cell>
          <cell r="T74"/>
          <cell r="U74"/>
          <cell r="V74">
            <v>12</v>
          </cell>
          <cell r="W74">
            <v>2400</v>
          </cell>
        </row>
        <row r="75">
          <cell r="A75" t="str">
            <v>4.2.17</v>
          </cell>
          <cell r="B75" t="str">
            <v>TRM19.1</v>
          </cell>
          <cell r="C75" t="str">
            <v>V8</v>
          </cell>
          <cell r="D75" t="str">
            <v>CI-FSE-PCOK-V02-180101</v>
          </cell>
          <cell r="E75" t="str">
            <v>Pasta Cooker</v>
          </cell>
          <cell r="F75" t="str">
            <v>Pasta Cooker</v>
          </cell>
          <cell r="G75" t="str">
            <v>Food service</v>
          </cell>
          <cell r="H75" t="str">
            <v>Commercial</v>
          </cell>
          <cell r="I75" t="str">
            <v>Unit</v>
          </cell>
          <cell r="J75">
            <v>0</v>
          </cell>
          <cell r="K75">
            <v>0</v>
          </cell>
          <cell r="L75">
            <v>1380</v>
          </cell>
          <cell r="M75">
            <v>0</v>
          </cell>
          <cell r="N75">
            <v>0</v>
          </cell>
          <cell r="O75">
            <v>0</v>
          </cell>
          <cell r="P75">
            <v>16560</v>
          </cell>
          <cell r="Q75">
            <v>0</v>
          </cell>
          <cell r="R75">
            <v>2988.8999999999996</v>
          </cell>
          <cell r="S75">
            <v>2400</v>
          </cell>
          <cell r="T75"/>
          <cell r="U75"/>
          <cell r="V75">
            <v>12</v>
          </cell>
          <cell r="W75">
            <v>2400</v>
          </cell>
        </row>
        <row r="76">
          <cell r="A76" t="str">
            <v>4.2.17.3</v>
          </cell>
          <cell r="B76" t="str">
            <v>TRM19.2</v>
          </cell>
          <cell r="C76" t="str">
            <v>V8</v>
          </cell>
          <cell r="D76" t="str">
            <v>CI-FSE-PCOK-V02-180101</v>
          </cell>
          <cell r="E76" t="str">
            <v>Pasta Cooker Upstream</v>
          </cell>
          <cell r="F76" t="str">
            <v>Pasta Cooker Upstream</v>
          </cell>
          <cell r="G76" t="str">
            <v>Food service</v>
          </cell>
          <cell r="H76" t="str">
            <v>Commercial</v>
          </cell>
          <cell r="I76" t="str">
            <v>Unit</v>
          </cell>
          <cell r="J76">
            <v>0</v>
          </cell>
          <cell r="K76">
            <v>0</v>
          </cell>
          <cell r="L76">
            <v>1380</v>
          </cell>
          <cell r="M76">
            <v>0</v>
          </cell>
          <cell r="N76">
            <v>0</v>
          </cell>
          <cell r="O76">
            <v>0</v>
          </cell>
          <cell r="P76">
            <v>16560</v>
          </cell>
          <cell r="Q76">
            <v>0</v>
          </cell>
          <cell r="R76">
            <v>2988.8999999999996</v>
          </cell>
          <cell r="S76">
            <v>2400</v>
          </cell>
          <cell r="T76"/>
          <cell r="U76"/>
          <cell r="V76">
            <v>12</v>
          </cell>
          <cell r="W76">
            <v>2400</v>
          </cell>
        </row>
        <row r="77">
          <cell r="A77" t="str">
            <v>4.2.17.EREP</v>
          </cell>
          <cell r="B77" t="str">
            <v>TRM19.2</v>
          </cell>
          <cell r="C77" t="str">
            <v>V8</v>
          </cell>
          <cell r="D77" t="str">
            <v>CI-FSE-PCOK-V02-180101</v>
          </cell>
          <cell r="E77" t="str">
            <v>Pasta Cooker EREP</v>
          </cell>
          <cell r="F77" t="str">
            <v>Pasta Cooker EREP</v>
          </cell>
          <cell r="G77" t="str">
            <v>Food service</v>
          </cell>
          <cell r="H77" t="str">
            <v>Commercial</v>
          </cell>
          <cell r="I77" t="str">
            <v>Unit</v>
          </cell>
          <cell r="J77">
            <v>0</v>
          </cell>
          <cell r="K77">
            <v>0</v>
          </cell>
          <cell r="L77">
            <v>1380</v>
          </cell>
          <cell r="M77">
            <v>0</v>
          </cell>
          <cell r="N77">
            <v>0</v>
          </cell>
          <cell r="O77">
            <v>0</v>
          </cell>
          <cell r="P77">
            <v>16560</v>
          </cell>
          <cell r="Q77">
            <v>0</v>
          </cell>
          <cell r="R77"/>
          <cell r="S77"/>
          <cell r="T77"/>
          <cell r="U77"/>
          <cell r="V77">
            <v>12</v>
          </cell>
          <cell r="W77">
            <v>2400</v>
          </cell>
        </row>
        <row r="78">
          <cell r="A78"/>
          <cell r="B78"/>
          <cell r="C78"/>
          <cell r="D78"/>
          <cell r="E78"/>
          <cell r="F78"/>
          <cell r="G78"/>
          <cell r="H78"/>
          <cell r="I78"/>
          <cell r="J78"/>
          <cell r="K78"/>
          <cell r="L78"/>
          <cell r="M78"/>
          <cell r="N78"/>
          <cell r="O78"/>
          <cell r="P78"/>
          <cell r="Q78"/>
          <cell r="R78"/>
          <cell r="S78"/>
          <cell r="T78"/>
          <cell r="U78"/>
          <cell r="V78"/>
          <cell r="W78"/>
        </row>
        <row r="79">
          <cell r="A79" t="str">
            <v>4.2.18.B</v>
          </cell>
          <cell r="B79" t="str">
            <v>TRM20.1</v>
          </cell>
          <cell r="C79" t="str">
            <v>V8</v>
          </cell>
          <cell r="D79" t="str">
            <v>CI-FSE-RKOV-VO2-180101</v>
          </cell>
          <cell r="E79" t="str">
            <v>Baseline Rack Oven - Double Oven Rack Oven - Double</v>
          </cell>
          <cell r="F79" t="str">
            <v>Baseline Rack Oven - Double</v>
          </cell>
          <cell r="G79" t="str">
            <v>Food service</v>
          </cell>
          <cell r="H79" t="str">
            <v>Commercial</v>
          </cell>
          <cell r="I79" t="str">
            <v>Unit</v>
          </cell>
          <cell r="J79">
            <v>0</v>
          </cell>
          <cell r="K79">
            <v>0</v>
          </cell>
          <cell r="L79">
            <v>0</v>
          </cell>
          <cell r="M79">
            <v>0</v>
          </cell>
          <cell r="N79">
            <v>0</v>
          </cell>
          <cell r="O79">
            <v>0</v>
          </cell>
          <cell r="P79">
            <v>0</v>
          </cell>
          <cell r="Q79">
            <v>0</v>
          </cell>
          <cell r="R79">
            <v>5425</v>
          </cell>
          <cell r="S79">
            <v>3000</v>
          </cell>
          <cell r="T79"/>
          <cell r="U79"/>
          <cell r="V79">
            <v>12</v>
          </cell>
          <cell r="W79">
            <v>3000</v>
          </cell>
        </row>
        <row r="80">
          <cell r="A80" t="str">
            <v>4.2.18</v>
          </cell>
          <cell r="B80" t="str">
            <v>TRM20.1</v>
          </cell>
          <cell r="C80" t="str">
            <v>V8</v>
          </cell>
          <cell r="D80" t="str">
            <v>CI-FSE-RKOV-VO2-180101</v>
          </cell>
          <cell r="E80" t="str">
            <v>Rack Oven - Double Oven Rack Oven - Double</v>
          </cell>
          <cell r="F80" t="str">
            <v>Rack Oven - Double</v>
          </cell>
          <cell r="G80" t="str">
            <v>Food service</v>
          </cell>
          <cell r="H80" t="str">
            <v>Commercial</v>
          </cell>
          <cell r="I80" t="str">
            <v>Unit</v>
          </cell>
          <cell r="J80">
            <v>0</v>
          </cell>
          <cell r="K80">
            <v>0</v>
          </cell>
          <cell r="L80">
            <v>1930.5000000000007</v>
          </cell>
          <cell r="M80">
            <v>0</v>
          </cell>
          <cell r="N80">
            <v>0</v>
          </cell>
          <cell r="O80">
            <v>0</v>
          </cell>
          <cell r="P80">
            <v>23166.000000000007</v>
          </cell>
          <cell r="Q80">
            <v>0</v>
          </cell>
          <cell r="R80">
            <v>5425</v>
          </cell>
          <cell r="S80">
            <v>3000</v>
          </cell>
          <cell r="T80"/>
          <cell r="U80"/>
          <cell r="V80">
            <v>12</v>
          </cell>
          <cell r="W80">
            <v>3000</v>
          </cell>
        </row>
        <row r="81">
          <cell r="A81" t="str">
            <v>4.2.18.3</v>
          </cell>
          <cell r="B81" t="str">
            <v>TRM20.2</v>
          </cell>
          <cell r="C81" t="str">
            <v>V8</v>
          </cell>
          <cell r="D81" t="str">
            <v>CI-FSE-RKOV-VO2-180101</v>
          </cell>
          <cell r="E81" t="str">
            <v>Rack Oven - Double Oven Rack Oven - Double Upstream</v>
          </cell>
          <cell r="F81" t="str">
            <v>Rack Oven - Double Upstream</v>
          </cell>
          <cell r="G81" t="str">
            <v>Food service</v>
          </cell>
          <cell r="H81" t="str">
            <v>Commercial</v>
          </cell>
          <cell r="I81" t="str">
            <v>Unit</v>
          </cell>
          <cell r="J81">
            <v>0</v>
          </cell>
          <cell r="K81">
            <v>0</v>
          </cell>
          <cell r="L81">
            <v>1930.5000000000007</v>
          </cell>
          <cell r="M81">
            <v>0</v>
          </cell>
          <cell r="N81">
            <v>0</v>
          </cell>
          <cell r="O81">
            <v>0</v>
          </cell>
          <cell r="P81">
            <v>23166.000000000007</v>
          </cell>
          <cell r="Q81">
            <v>0</v>
          </cell>
          <cell r="R81">
            <v>5425</v>
          </cell>
          <cell r="S81">
            <v>3000</v>
          </cell>
          <cell r="T81"/>
          <cell r="U81"/>
          <cell r="V81">
            <v>12</v>
          </cell>
          <cell r="W81">
            <v>3000</v>
          </cell>
        </row>
        <row r="82">
          <cell r="A82" t="str">
            <v>4.2.18.4</v>
          </cell>
          <cell r="B82" t="str">
            <v>TRM20.2</v>
          </cell>
          <cell r="C82" t="str">
            <v>V8</v>
          </cell>
          <cell r="D82" t="str">
            <v>CI-FSE-RKOV-VO2-180101</v>
          </cell>
          <cell r="E82" t="str">
            <v>Rack Oven - Double Oven Rack Oven - Double EREP</v>
          </cell>
          <cell r="F82" t="str">
            <v>Rack Oven - Double EREP</v>
          </cell>
          <cell r="G82" t="str">
            <v>Food service</v>
          </cell>
          <cell r="H82" t="str">
            <v>Commercial</v>
          </cell>
          <cell r="I82" t="str">
            <v>Unit</v>
          </cell>
          <cell r="J82">
            <v>0</v>
          </cell>
          <cell r="K82">
            <v>0</v>
          </cell>
          <cell r="L82">
            <v>1930.5000000000007</v>
          </cell>
          <cell r="M82">
            <v>0</v>
          </cell>
          <cell r="N82">
            <v>0</v>
          </cell>
          <cell r="O82">
            <v>0</v>
          </cell>
          <cell r="P82">
            <v>23166.000000000007</v>
          </cell>
          <cell r="Q82">
            <v>0</v>
          </cell>
          <cell r="R82"/>
          <cell r="S82"/>
          <cell r="T82"/>
          <cell r="U82"/>
          <cell r="V82">
            <v>12</v>
          </cell>
          <cell r="W82">
            <v>3000</v>
          </cell>
        </row>
        <row r="83">
          <cell r="A83"/>
          <cell r="B83"/>
          <cell r="C83"/>
          <cell r="D83"/>
          <cell r="E83"/>
          <cell r="F83"/>
          <cell r="G83"/>
          <cell r="H83"/>
          <cell r="I83"/>
          <cell r="J83"/>
          <cell r="K83"/>
          <cell r="L83"/>
          <cell r="M83"/>
          <cell r="N83"/>
          <cell r="O83"/>
          <cell r="P83"/>
          <cell r="Q83"/>
          <cell r="R83"/>
          <cell r="S83"/>
          <cell r="T83"/>
          <cell r="U83"/>
          <cell r="V83"/>
          <cell r="W83"/>
        </row>
        <row r="84">
          <cell r="A84" t="str">
            <v>4.3.1.7</v>
          </cell>
          <cell r="B84" t="str">
            <v>TRM21.1</v>
          </cell>
          <cell r="C84" t="str">
            <v>V8</v>
          </cell>
          <cell r="D84" t="str">
            <v>CI-HW_-HWE-V03-190101</v>
          </cell>
          <cell r="E84" t="str">
            <v>Baseline Storage Water Heater - Gas, Standard, ≥0.67 EF, Bld Type = Average</v>
          </cell>
          <cell r="F84" t="str">
            <v>Baseline Storage Water Heater, &gt;0.67 EF</v>
          </cell>
          <cell r="G84" t="str">
            <v>Water heater</v>
          </cell>
          <cell r="H84" t="str">
            <v>Commercial</v>
          </cell>
          <cell r="I84" t="str">
            <v>Unit</v>
          </cell>
          <cell r="J84">
            <v>0</v>
          </cell>
          <cell r="K84">
            <v>0</v>
          </cell>
          <cell r="L84">
            <v>0</v>
          </cell>
          <cell r="M84">
            <v>0</v>
          </cell>
          <cell r="N84">
            <v>0</v>
          </cell>
          <cell r="O84">
            <v>0</v>
          </cell>
          <cell r="P84">
            <v>0</v>
          </cell>
          <cell r="Q84">
            <v>0</v>
          </cell>
          <cell r="R84">
            <v>302.79458104029828</v>
          </cell>
          <cell r="S84">
            <v>0</v>
          </cell>
          <cell r="T84"/>
          <cell r="U84"/>
          <cell r="V84">
            <v>15</v>
          </cell>
          <cell r="W84">
            <v>0</v>
          </cell>
        </row>
        <row r="85">
          <cell r="A85" t="str">
            <v>4.3.1.8</v>
          </cell>
          <cell r="B85" t="str">
            <v>TRM21.1</v>
          </cell>
          <cell r="C85" t="str">
            <v>V8</v>
          </cell>
          <cell r="D85" t="str">
            <v>CI-HW_-HWE-V03-190101</v>
          </cell>
          <cell r="E85" t="str">
            <v>Baseline Storage Water Heater - Gas, Standard, ≥0.67 EF, Bld Type = Average</v>
          </cell>
          <cell r="F85" t="str">
            <v>Baseline Storage Water Heater, &gt;0.67 EF, Sml Biz</v>
          </cell>
          <cell r="G85" t="str">
            <v>Water heater</v>
          </cell>
          <cell r="H85" t="str">
            <v>Commercial</v>
          </cell>
          <cell r="I85" t="str">
            <v>Unit</v>
          </cell>
          <cell r="J85">
            <v>0</v>
          </cell>
          <cell r="K85">
            <v>0</v>
          </cell>
          <cell r="L85">
            <v>0</v>
          </cell>
          <cell r="M85">
            <v>0</v>
          </cell>
          <cell r="N85">
            <v>0</v>
          </cell>
          <cell r="O85">
            <v>0</v>
          </cell>
          <cell r="P85">
            <v>0</v>
          </cell>
          <cell r="Q85">
            <v>0</v>
          </cell>
          <cell r="R85">
            <v>302.79458104029828</v>
          </cell>
          <cell r="S85">
            <v>0</v>
          </cell>
          <cell r="T85"/>
          <cell r="U85"/>
          <cell r="V85">
            <v>15</v>
          </cell>
          <cell r="W85">
            <v>0</v>
          </cell>
        </row>
        <row r="86">
          <cell r="A86" t="str">
            <v>4.3.1.9</v>
          </cell>
          <cell r="B86" t="str">
            <v>TRM21.1</v>
          </cell>
          <cell r="C86" t="str">
            <v>V8</v>
          </cell>
          <cell r="D86" t="str">
            <v>CI-HW_-HWE-V03-190101</v>
          </cell>
          <cell r="E86" t="str">
            <v>Baseline Storage Water Heater - Gas,High Efficiency, ≥88% TE, Bld Type = Average</v>
          </cell>
          <cell r="F86" t="str">
            <v>Baseline Storage Water Heater, &gt;88% TE</v>
          </cell>
          <cell r="G86" t="str">
            <v>Water heater</v>
          </cell>
          <cell r="H86" t="str">
            <v>Commercial</v>
          </cell>
          <cell r="I86" t="str">
            <v>Unit</v>
          </cell>
          <cell r="J86">
            <v>0</v>
          </cell>
          <cell r="K86">
            <v>0</v>
          </cell>
          <cell r="L86">
            <v>0</v>
          </cell>
          <cell r="M86">
            <v>0</v>
          </cell>
          <cell r="N86">
            <v>0</v>
          </cell>
          <cell r="O86">
            <v>0</v>
          </cell>
          <cell r="P86">
            <v>0</v>
          </cell>
          <cell r="Q86">
            <v>0</v>
          </cell>
          <cell r="R86">
            <v>695.89631782945753</v>
          </cell>
          <cell r="S86">
            <v>0</v>
          </cell>
          <cell r="T86"/>
          <cell r="U86"/>
          <cell r="V86">
            <v>15</v>
          </cell>
          <cell r="W86">
            <v>0</v>
          </cell>
        </row>
        <row r="87">
          <cell r="A87" t="str">
            <v>4.3.1.1</v>
          </cell>
          <cell r="B87" t="str">
            <v>TRM21.1</v>
          </cell>
          <cell r="C87" t="str">
            <v>V8</v>
          </cell>
          <cell r="D87" t="str">
            <v>CI-HW_-HWE-V03-190101</v>
          </cell>
          <cell r="E87" t="str">
            <v>Water Heater - Gas, Standard, ≥0.67 EF, Bld Type = Average</v>
          </cell>
          <cell r="F87" t="str">
            <v>Storage Water Heater, &gt;0.67 EF</v>
          </cell>
          <cell r="G87" t="str">
            <v>Water heater</v>
          </cell>
          <cell r="H87" t="str">
            <v>Commercial</v>
          </cell>
          <cell r="I87" t="str">
            <v>Unit</v>
          </cell>
          <cell r="J87">
            <v>0</v>
          </cell>
          <cell r="K87">
            <v>0</v>
          </cell>
          <cell r="L87">
            <v>48.22116686119378</v>
          </cell>
          <cell r="M87">
            <v>0</v>
          </cell>
          <cell r="N87">
            <v>0</v>
          </cell>
          <cell r="O87">
            <v>0</v>
          </cell>
          <cell r="P87">
            <v>723.31750291790672</v>
          </cell>
          <cell r="Q87">
            <v>0</v>
          </cell>
          <cell r="R87">
            <v>302.79458104029828</v>
          </cell>
          <cell r="S87">
            <v>440</v>
          </cell>
          <cell r="T87"/>
          <cell r="U87"/>
          <cell r="V87">
            <v>15</v>
          </cell>
          <cell r="W87">
            <v>440</v>
          </cell>
        </row>
        <row r="88">
          <cell r="A88" t="str">
            <v>4.3.1.2</v>
          </cell>
          <cell r="B88" t="str">
            <v>TRM21.2</v>
          </cell>
          <cell r="C88" t="str">
            <v>V8</v>
          </cell>
          <cell r="D88" t="str">
            <v>CI-HW_-HWE-V03-190101</v>
          </cell>
          <cell r="E88" t="str">
            <v>Water Heater - Gas, Standard, ≥0.67 EF, Bld Type = Average</v>
          </cell>
          <cell r="F88" t="str">
            <v>Storage Water Heater, &gt;0.67 EF, Sml Biz</v>
          </cell>
          <cell r="G88" t="str">
            <v>Water heater</v>
          </cell>
          <cell r="H88" t="str">
            <v>Commercial</v>
          </cell>
          <cell r="I88" t="str">
            <v>Unit</v>
          </cell>
          <cell r="J88">
            <v>0</v>
          </cell>
          <cell r="K88">
            <v>0</v>
          </cell>
          <cell r="L88">
            <v>48.22116686119378</v>
          </cell>
          <cell r="M88">
            <v>0</v>
          </cell>
          <cell r="N88">
            <v>0</v>
          </cell>
          <cell r="O88">
            <v>0</v>
          </cell>
          <cell r="P88">
            <v>723.31750291790672</v>
          </cell>
          <cell r="Q88">
            <v>0</v>
          </cell>
          <cell r="R88">
            <v>302.79458104029828</v>
          </cell>
          <cell r="S88">
            <v>440</v>
          </cell>
          <cell r="T88"/>
          <cell r="U88"/>
          <cell r="V88">
            <v>15</v>
          </cell>
          <cell r="W88">
            <v>440</v>
          </cell>
        </row>
        <row r="89">
          <cell r="A89" t="str">
            <v>4.3.1.3</v>
          </cell>
          <cell r="B89" t="str">
            <v>TRM21.3</v>
          </cell>
          <cell r="C89" t="str">
            <v>V8</v>
          </cell>
          <cell r="D89" t="str">
            <v>CI-HW_-HWE-V03-190101</v>
          </cell>
          <cell r="E89" t="str">
            <v>Water Heater - Gas,High Efficiency, ≥88% TE, Bld Type = Average</v>
          </cell>
          <cell r="F89" t="str">
            <v>Storage Water Heater, &gt;88% TE</v>
          </cell>
          <cell r="G89" t="str">
            <v>Water heater</v>
          </cell>
          <cell r="H89" t="str">
            <v>Commercial</v>
          </cell>
          <cell r="I89" t="str">
            <v>Unit</v>
          </cell>
          <cell r="J89">
            <v>0</v>
          </cell>
          <cell r="K89">
            <v>0</v>
          </cell>
          <cell r="L89">
            <v>336.19206214763915</v>
          </cell>
          <cell r="M89">
            <v>0</v>
          </cell>
          <cell r="N89">
            <v>0</v>
          </cell>
          <cell r="O89">
            <v>0</v>
          </cell>
          <cell r="P89">
            <v>5042.8809322145871</v>
          </cell>
          <cell r="Q89">
            <v>0</v>
          </cell>
          <cell r="R89">
            <v>695.89631782945753</v>
          </cell>
          <cell r="S89">
            <v>879</v>
          </cell>
          <cell r="T89"/>
          <cell r="U89"/>
          <cell r="V89">
            <v>15</v>
          </cell>
          <cell r="W89">
            <v>879</v>
          </cell>
        </row>
        <row r="90">
          <cell r="A90" t="str">
            <v>4.3.1 7</v>
          </cell>
          <cell r="B90" t="str">
            <v>TRM21.4</v>
          </cell>
          <cell r="C90" t="str">
            <v>V8</v>
          </cell>
          <cell r="D90" t="str">
            <v>CI-HW_-HWE-V03-190101</v>
          </cell>
          <cell r="E90" t="str">
            <v>Water Heater - Gas, Standard, ≥0.67 EF, Bld Type = Average - Upstream</v>
          </cell>
          <cell r="F90" t="str">
            <v>Storage Water Heater, &gt;0.67 EF Upstream</v>
          </cell>
          <cell r="G90" t="str">
            <v>Water heater</v>
          </cell>
          <cell r="H90" t="str">
            <v>Commercial</v>
          </cell>
          <cell r="I90" t="str">
            <v>Unit</v>
          </cell>
          <cell r="J90">
            <v>0</v>
          </cell>
          <cell r="K90">
            <v>0</v>
          </cell>
          <cell r="L90">
            <v>48.22116686119378</v>
          </cell>
          <cell r="M90">
            <v>0</v>
          </cell>
          <cell r="N90">
            <v>0</v>
          </cell>
          <cell r="O90">
            <v>0</v>
          </cell>
          <cell r="P90">
            <v>723.31750291790672</v>
          </cell>
          <cell r="Q90">
            <v>0</v>
          </cell>
          <cell r="R90">
            <v>302.79458104029828</v>
          </cell>
          <cell r="S90">
            <v>440</v>
          </cell>
          <cell r="T90"/>
          <cell r="U90"/>
          <cell r="V90">
            <v>15</v>
          </cell>
          <cell r="W90">
            <v>440</v>
          </cell>
        </row>
        <row r="91">
          <cell r="A91" t="str">
            <v>4.3.1 8</v>
          </cell>
          <cell r="B91" t="str">
            <v>TRM21.5</v>
          </cell>
          <cell r="C91" t="str">
            <v>V8</v>
          </cell>
          <cell r="D91" t="str">
            <v>CI-HW_-HWE-V03-190101</v>
          </cell>
          <cell r="E91" t="str">
            <v>Water Heater - Gas, Standard, ≥0.67 EF, Bld Type = Average - Upstream</v>
          </cell>
          <cell r="F91" t="str">
            <v>Storage Water Heater, &gt;0.67 EF, Sml Biz upstream</v>
          </cell>
          <cell r="G91" t="str">
            <v>Water heater</v>
          </cell>
          <cell r="H91" t="str">
            <v>Commercial</v>
          </cell>
          <cell r="I91" t="str">
            <v>Unit</v>
          </cell>
          <cell r="J91">
            <v>0</v>
          </cell>
          <cell r="K91">
            <v>0</v>
          </cell>
          <cell r="L91">
            <v>48.22116686119378</v>
          </cell>
          <cell r="M91">
            <v>0</v>
          </cell>
          <cell r="N91">
            <v>0</v>
          </cell>
          <cell r="O91">
            <v>0</v>
          </cell>
          <cell r="P91">
            <v>723.31750291790672</v>
          </cell>
          <cell r="Q91">
            <v>0</v>
          </cell>
          <cell r="R91">
            <v>302.79458104029828</v>
          </cell>
          <cell r="S91">
            <v>440</v>
          </cell>
          <cell r="T91"/>
          <cell r="U91"/>
          <cell r="V91">
            <v>15</v>
          </cell>
          <cell r="W91">
            <v>440</v>
          </cell>
        </row>
        <row r="92">
          <cell r="A92" t="str">
            <v>4.3.1 9</v>
          </cell>
          <cell r="B92" t="str">
            <v>TRM21.6</v>
          </cell>
          <cell r="C92" t="str">
            <v>V8</v>
          </cell>
          <cell r="D92" t="str">
            <v>CI-HW_-HWE-V03-190101</v>
          </cell>
          <cell r="E92" t="str">
            <v>Water Heater - Gas,High Efficiency, ≥88% TE, Bld Type = Average - Upstream</v>
          </cell>
          <cell r="F92" t="str">
            <v>Storage Water Heater, &gt;88% TE Upstream</v>
          </cell>
          <cell r="G92" t="str">
            <v>Water heater</v>
          </cell>
          <cell r="H92" t="str">
            <v>Commercial</v>
          </cell>
          <cell r="I92" t="str">
            <v>Unit</v>
          </cell>
          <cell r="J92">
            <v>0</v>
          </cell>
          <cell r="K92">
            <v>0</v>
          </cell>
          <cell r="L92">
            <v>336.19206214763915</v>
          </cell>
          <cell r="M92">
            <v>0</v>
          </cell>
          <cell r="N92">
            <v>0</v>
          </cell>
          <cell r="O92">
            <v>0</v>
          </cell>
          <cell r="P92">
            <v>5042.8809322145871</v>
          </cell>
          <cell r="Q92">
            <v>0</v>
          </cell>
          <cell r="R92">
            <v>695.89631782945753</v>
          </cell>
          <cell r="S92">
            <v>879</v>
          </cell>
          <cell r="T92"/>
          <cell r="U92"/>
          <cell r="V92">
            <v>15</v>
          </cell>
          <cell r="W92">
            <v>879</v>
          </cell>
        </row>
        <row r="93">
          <cell r="A93" t="str">
            <v>4.3.1 10</v>
          </cell>
          <cell r="B93" t="str">
            <v>TRM21.6</v>
          </cell>
          <cell r="C93" t="str">
            <v>V8</v>
          </cell>
          <cell r="D93" t="str">
            <v>CI-HW_-HWE-V03-190101</v>
          </cell>
          <cell r="E93" t="str">
            <v>Water Heater - Gas, Standard, ≥0.67 EF, Bld Type = Average - EREP</v>
          </cell>
          <cell r="F93" t="str">
            <v>Storage Water Heater, &gt;0.67 EF EREP</v>
          </cell>
          <cell r="G93" t="str">
            <v>Water heater</v>
          </cell>
          <cell r="H93" t="str">
            <v>Commercial</v>
          </cell>
          <cell r="I93" t="str">
            <v>Unit</v>
          </cell>
          <cell r="J93">
            <v>0</v>
          </cell>
          <cell r="K93">
            <v>0</v>
          </cell>
          <cell r="L93">
            <v>113.57721716127971</v>
          </cell>
          <cell r="M93">
            <v>0</v>
          </cell>
          <cell r="N93">
            <v>0</v>
          </cell>
          <cell r="O93">
            <v>0</v>
          </cell>
          <cell r="P93">
            <v>1703.6582574191955</v>
          </cell>
          <cell r="Q93">
            <v>0</v>
          </cell>
          <cell r="R93"/>
          <cell r="S93"/>
          <cell r="T93"/>
          <cell r="U93"/>
          <cell r="V93">
            <v>15</v>
          </cell>
          <cell r="W93">
            <v>1055</v>
          </cell>
        </row>
        <row r="94">
          <cell r="A94" t="str">
            <v>4.3.1 11</v>
          </cell>
          <cell r="B94" t="str">
            <v>TRM21.6</v>
          </cell>
          <cell r="C94" t="str">
            <v>V8</v>
          </cell>
          <cell r="D94" t="str">
            <v>CI-HW_-HWE-V03-190101</v>
          </cell>
          <cell r="E94" t="str">
            <v>Water Heater - Gas, Standard, ≥0.67 EF, Bld Type = Average - EREP</v>
          </cell>
          <cell r="F94" t="str">
            <v>Storage Water Heater, &gt;0.67 EF, Sml Biz EREP</v>
          </cell>
          <cell r="G94" t="str">
            <v>Water heater</v>
          </cell>
          <cell r="H94" t="str">
            <v>Commercial</v>
          </cell>
          <cell r="I94" t="str">
            <v>Unit</v>
          </cell>
          <cell r="J94">
            <v>0</v>
          </cell>
          <cell r="K94">
            <v>0</v>
          </cell>
          <cell r="L94">
            <v>113.57721716127971</v>
          </cell>
          <cell r="M94">
            <v>0</v>
          </cell>
          <cell r="N94">
            <v>0</v>
          </cell>
          <cell r="O94">
            <v>0</v>
          </cell>
          <cell r="P94">
            <v>1703.6582574191955</v>
          </cell>
          <cell r="Q94">
            <v>0</v>
          </cell>
          <cell r="R94"/>
          <cell r="S94"/>
          <cell r="T94"/>
          <cell r="U94"/>
          <cell r="V94">
            <v>15</v>
          </cell>
          <cell r="W94">
            <v>1055</v>
          </cell>
        </row>
        <row r="95">
          <cell r="A95" t="str">
            <v>4.3.1 12</v>
          </cell>
          <cell r="B95" t="str">
            <v>TRM21.6</v>
          </cell>
          <cell r="C95" t="str">
            <v>V8</v>
          </cell>
          <cell r="D95" t="str">
            <v>CI-HW_-HWE-V03-190101</v>
          </cell>
          <cell r="E95" t="str">
            <v>Water Heater - Gas,High Efficiency, ≥88% TE, Bld Type = Average - EREP</v>
          </cell>
          <cell r="F95" t="str">
            <v>Storage Water Heater, &gt;88% TE EREP</v>
          </cell>
          <cell r="G95" t="str">
            <v>Water heater</v>
          </cell>
          <cell r="H95" t="str">
            <v>Commercial</v>
          </cell>
          <cell r="I95" t="str">
            <v>Unit</v>
          </cell>
          <cell r="J95">
            <v>0</v>
          </cell>
          <cell r="K95">
            <v>0</v>
          </cell>
          <cell r="L95">
            <v>514.53555723463501</v>
          </cell>
          <cell r="M95">
            <v>0</v>
          </cell>
          <cell r="N95">
            <v>0</v>
          </cell>
          <cell r="O95">
            <v>0</v>
          </cell>
          <cell r="P95">
            <v>7718.0333585195249</v>
          </cell>
          <cell r="Q95">
            <v>0</v>
          </cell>
          <cell r="R95"/>
          <cell r="S95"/>
          <cell r="T95"/>
          <cell r="U95"/>
          <cell r="V95">
            <v>15</v>
          </cell>
          <cell r="W95">
            <v>5765</v>
          </cell>
        </row>
        <row r="96">
          <cell r="A96"/>
          <cell r="B96"/>
          <cell r="C96"/>
          <cell r="D96"/>
          <cell r="E96"/>
          <cell r="F96"/>
          <cell r="G96"/>
          <cell r="H96"/>
          <cell r="I96"/>
          <cell r="J96"/>
          <cell r="K96"/>
          <cell r="L96"/>
          <cell r="M96"/>
          <cell r="N96"/>
          <cell r="O96"/>
          <cell r="P96"/>
          <cell r="Q96"/>
          <cell r="R96"/>
          <cell r="S96"/>
          <cell r="T96"/>
          <cell r="U96"/>
          <cell r="V96"/>
          <cell r="W96"/>
        </row>
        <row r="97">
          <cell r="A97" t="str">
            <v>4.3.2.1</v>
          </cell>
          <cell r="B97" t="str">
            <v>TRM22.1</v>
          </cell>
          <cell r="C97" t="str">
            <v>V8</v>
          </cell>
          <cell r="D97" t="str">
            <v>CI-HW_-LFFA-V08-190101</v>
          </cell>
          <cell r="E97" t="str">
            <v>Low Flow Faucet Aerators, Custom, DI Bath</v>
          </cell>
          <cell r="F97" t="str">
            <v>Faucet Aerators - Bath - DI</v>
          </cell>
          <cell r="G97" t="str">
            <v>Low-flow fixtures</v>
          </cell>
          <cell r="H97" t="str">
            <v>Commercial</v>
          </cell>
          <cell r="I97" t="str">
            <v>Project</v>
          </cell>
          <cell r="J97">
            <v>0</v>
          </cell>
          <cell r="K97">
            <v>0</v>
          </cell>
          <cell r="L97">
            <v>5.3328738669064739</v>
          </cell>
          <cell r="M97">
            <v>1343.2931654676258</v>
          </cell>
          <cell r="N97">
            <v>0</v>
          </cell>
          <cell r="O97">
            <v>0</v>
          </cell>
          <cell r="P97">
            <v>53.328738669064741</v>
          </cell>
          <cell r="Q97">
            <v>13432.931654676258</v>
          </cell>
          <cell r="R97" t="e">
            <v>#REF!</v>
          </cell>
          <cell r="S97">
            <v>12</v>
          </cell>
          <cell r="T97"/>
          <cell r="U97"/>
          <cell r="V97">
            <v>10</v>
          </cell>
          <cell r="W97">
            <v>12</v>
          </cell>
        </row>
        <row r="98">
          <cell r="A98" t="str">
            <v>4.3.2.2</v>
          </cell>
          <cell r="B98" t="str">
            <v>TRM22.2</v>
          </cell>
          <cell r="C98" t="str">
            <v>V8</v>
          </cell>
          <cell r="D98" t="str">
            <v>CI-HW_-LFFA-V08-190101</v>
          </cell>
          <cell r="E98" t="str">
            <v xml:space="preserve">Low Flow Faucet Aerators, Custom, DI Kitchen </v>
          </cell>
          <cell r="F98" t="str">
            <v>Faucet Aerators - Kitchen  - DI</v>
          </cell>
          <cell r="G98" t="str">
            <v>Low-flow fixtures</v>
          </cell>
          <cell r="H98" t="str">
            <v>Commercial</v>
          </cell>
          <cell r="I98" t="str">
            <v>Project</v>
          </cell>
          <cell r="J98">
            <v>0</v>
          </cell>
          <cell r="K98">
            <v>0</v>
          </cell>
          <cell r="L98">
            <v>6.5015389208633092</v>
          </cell>
          <cell r="M98">
            <v>1343.2931654676258</v>
          </cell>
          <cell r="N98">
            <v>0</v>
          </cell>
          <cell r="O98">
            <v>0</v>
          </cell>
          <cell r="P98">
            <v>65.015389208633096</v>
          </cell>
          <cell r="Q98">
            <v>13432.931654676258</v>
          </cell>
          <cell r="R98" t="e">
            <v>#REF!</v>
          </cell>
          <cell r="S98">
            <v>12</v>
          </cell>
          <cell r="T98"/>
          <cell r="U98"/>
          <cell r="V98">
            <v>10</v>
          </cell>
          <cell r="W98">
            <v>12</v>
          </cell>
        </row>
        <row r="99">
          <cell r="A99" t="str">
            <v>4.3.2.3</v>
          </cell>
          <cell r="B99" t="str">
            <v>TRM22.3</v>
          </cell>
          <cell r="C99" t="str">
            <v>V8</v>
          </cell>
          <cell r="D99" t="str">
            <v>CI-HW_-LFFA-V08-190101</v>
          </cell>
          <cell r="E99" t="str">
            <v>Low Flow Faucet Aerators, Health, DI Laminar Flow</v>
          </cell>
          <cell r="F99" t="str">
            <v>Laminar Flow</v>
          </cell>
          <cell r="G99" t="str">
            <v>Low-flow fixtures</v>
          </cell>
          <cell r="H99" t="str">
            <v>Commercial</v>
          </cell>
          <cell r="I99" t="str">
            <v>Project</v>
          </cell>
          <cell r="J99">
            <v>0</v>
          </cell>
          <cell r="K99">
            <v>0</v>
          </cell>
          <cell r="L99">
            <v>24.761780691313646</v>
          </cell>
          <cell r="M99">
            <v>5083.802419354839</v>
          </cell>
          <cell r="N99">
            <v>0</v>
          </cell>
          <cell r="O99">
            <v>0</v>
          </cell>
          <cell r="P99">
            <v>247.61780691313646</v>
          </cell>
          <cell r="Q99">
            <v>50838.024193548394</v>
          </cell>
          <cell r="R99" t="e">
            <v>#REF!</v>
          </cell>
          <cell r="S99">
            <v>14.27</v>
          </cell>
          <cell r="T99"/>
          <cell r="U99"/>
          <cell r="V99">
            <v>10</v>
          </cell>
          <cell r="W99">
            <v>14.27</v>
          </cell>
        </row>
        <row r="100">
          <cell r="A100"/>
          <cell r="B100"/>
          <cell r="C100"/>
          <cell r="D100"/>
          <cell r="E100"/>
          <cell r="F100"/>
          <cell r="G100"/>
          <cell r="H100"/>
          <cell r="I100"/>
          <cell r="J100"/>
          <cell r="K100"/>
          <cell r="L100"/>
          <cell r="M100"/>
          <cell r="N100"/>
          <cell r="O100"/>
          <cell r="P100"/>
          <cell r="Q100"/>
          <cell r="R100"/>
          <cell r="S100"/>
          <cell r="T100"/>
          <cell r="U100"/>
          <cell r="V100"/>
          <cell r="W100"/>
        </row>
        <row r="101">
          <cell r="A101" t="str">
            <v>4.3.3</v>
          </cell>
          <cell r="B101" t="str">
            <v>TRM23</v>
          </cell>
          <cell r="C101" t="str">
            <v>V8</v>
          </cell>
          <cell r="D101" t="str">
            <v>CI-HW_-HWE-LFSH-V05-190101</v>
          </cell>
          <cell r="E101" t="str">
            <v>Low Flow Showerheads 1.5 GPM - DI</v>
          </cell>
          <cell r="F101" t="str">
            <v>Low Flow Shower Heads - DI</v>
          </cell>
          <cell r="G101" t="str">
            <v>Low-flow fixtures</v>
          </cell>
          <cell r="H101" t="str">
            <v>Commercial</v>
          </cell>
          <cell r="I101" t="str">
            <v>Project</v>
          </cell>
          <cell r="J101">
            <v>0</v>
          </cell>
          <cell r="K101">
            <v>0</v>
          </cell>
          <cell r="L101">
            <v>19.917921113999995</v>
          </cell>
          <cell r="M101">
            <v>3434.1243299999996</v>
          </cell>
          <cell r="N101">
            <v>0</v>
          </cell>
          <cell r="O101">
            <v>0</v>
          </cell>
          <cell r="P101">
            <v>199.17921113999995</v>
          </cell>
          <cell r="Q101">
            <v>34341.243299999995</v>
          </cell>
          <cell r="R101"/>
          <cell r="S101">
            <v>35</v>
          </cell>
          <cell r="T101"/>
          <cell r="U101"/>
          <cell r="V101">
            <v>10</v>
          </cell>
          <cell r="W101">
            <v>35</v>
          </cell>
        </row>
        <row r="102">
          <cell r="A102"/>
          <cell r="B102"/>
          <cell r="C102"/>
          <cell r="D102"/>
          <cell r="E102"/>
          <cell r="F102"/>
          <cell r="G102"/>
          <cell r="H102"/>
          <cell r="I102"/>
          <cell r="J102"/>
          <cell r="K102"/>
          <cell r="L102"/>
          <cell r="M102"/>
          <cell r="N102"/>
          <cell r="O102"/>
          <cell r="P102"/>
          <cell r="Q102"/>
          <cell r="R102"/>
          <cell r="S102"/>
          <cell r="T102"/>
          <cell r="U102"/>
          <cell r="V102"/>
          <cell r="W102"/>
        </row>
        <row r="103">
          <cell r="A103" t="str">
            <v>4.3.4.1</v>
          </cell>
          <cell r="B103" t="str">
            <v>TRM24.1</v>
          </cell>
          <cell r="C103" t="str">
            <v>V8</v>
          </cell>
          <cell r="D103" t="str">
            <v>CI-HW_-HWE-PLCV-V02-190101</v>
          </cell>
          <cell r="E103" t="str">
            <v>Commercial Pool Covers, per 1,000 sf, Indoor</v>
          </cell>
          <cell r="F103" t="str">
            <v>Indoor Pool Covers</v>
          </cell>
          <cell r="G103" t="str">
            <v>Water heater</v>
          </cell>
          <cell r="H103" t="str">
            <v>Commercial</v>
          </cell>
          <cell r="I103" t="str">
            <v>Unit</v>
          </cell>
          <cell r="J103"/>
          <cell r="K103"/>
          <cell r="L103">
            <v>2610</v>
          </cell>
          <cell r="M103">
            <v>15280</v>
          </cell>
          <cell r="N103"/>
          <cell r="O103"/>
          <cell r="P103">
            <v>15660</v>
          </cell>
          <cell r="Q103">
            <v>91680</v>
          </cell>
          <cell r="R103"/>
          <cell r="S103">
            <v>2000</v>
          </cell>
          <cell r="T103"/>
          <cell r="U103"/>
          <cell r="V103">
            <v>6</v>
          </cell>
          <cell r="W103">
            <v>2000</v>
          </cell>
        </row>
        <row r="104">
          <cell r="A104" t="str">
            <v>4.3.4.2</v>
          </cell>
          <cell r="B104" t="str">
            <v>TRM24.2</v>
          </cell>
          <cell r="C104" t="str">
            <v>V8</v>
          </cell>
          <cell r="D104" t="str">
            <v>CI-HW_-HWE-PLCV-V02-190101</v>
          </cell>
          <cell r="E104" t="str">
            <v>Commercial Pool Covers, per 1,000 sf, Outdoor</v>
          </cell>
          <cell r="F104" t="str">
            <v>Outdoor Pool Covers</v>
          </cell>
          <cell r="G104" t="str">
            <v>Water heater</v>
          </cell>
          <cell r="H104" t="str">
            <v>Commercial</v>
          </cell>
          <cell r="I104" t="str">
            <v>Unit</v>
          </cell>
          <cell r="J104"/>
          <cell r="K104"/>
          <cell r="L104">
            <v>1010</v>
          </cell>
          <cell r="M104">
            <v>8940</v>
          </cell>
          <cell r="N104"/>
          <cell r="O104"/>
          <cell r="P104">
            <v>6060</v>
          </cell>
          <cell r="Q104">
            <v>53640</v>
          </cell>
          <cell r="R104"/>
          <cell r="S104">
            <v>2040</v>
          </cell>
          <cell r="T104"/>
          <cell r="U104"/>
          <cell r="V104">
            <v>6</v>
          </cell>
          <cell r="W104">
            <v>2040</v>
          </cell>
        </row>
        <row r="105">
          <cell r="A105"/>
          <cell r="B105"/>
          <cell r="C105"/>
          <cell r="D105"/>
          <cell r="E105"/>
          <cell r="F105"/>
          <cell r="G105"/>
          <cell r="H105"/>
          <cell r="I105"/>
          <cell r="J105"/>
          <cell r="K105"/>
          <cell r="L105"/>
          <cell r="M105"/>
          <cell r="N105"/>
          <cell r="O105"/>
          <cell r="P105"/>
          <cell r="Q105"/>
          <cell r="R105"/>
          <cell r="S105"/>
          <cell r="T105"/>
          <cell r="U105"/>
          <cell r="V105"/>
          <cell r="W105"/>
        </row>
        <row r="106">
          <cell r="A106" t="str">
            <v>4.3.6</v>
          </cell>
          <cell r="B106" t="str">
            <v>TRM102</v>
          </cell>
          <cell r="C106" t="str">
            <v>V8</v>
          </cell>
          <cell r="D106" t="str">
            <v>CI-HW-HWE-OZLD-V02-190101</v>
          </cell>
          <cell r="E106" t="str">
            <v>Ozone Laundry - 150 lbs capacity</v>
          </cell>
          <cell r="F106" t="str">
            <v>Ozone Laundry</v>
          </cell>
          <cell r="G106" t="str">
            <v>Clothes washers</v>
          </cell>
          <cell r="H106" t="str">
            <v>Commercial</v>
          </cell>
          <cell r="I106" t="str">
            <v>Unit</v>
          </cell>
          <cell r="J106">
            <v>2.93</v>
          </cell>
          <cell r="K106">
            <v>0</v>
          </cell>
          <cell r="L106">
            <v>4605</v>
          </cell>
          <cell r="M106">
            <v>274164.31618051731</v>
          </cell>
          <cell r="N106">
            <v>29.3</v>
          </cell>
          <cell r="O106">
            <v>0</v>
          </cell>
          <cell r="P106">
            <v>46050</v>
          </cell>
          <cell r="Q106">
            <v>2741643.1618051734</v>
          </cell>
          <cell r="R106"/>
          <cell r="S106">
            <v>11976</v>
          </cell>
          <cell r="T106"/>
          <cell r="U106"/>
          <cell r="V106">
            <v>10</v>
          </cell>
          <cell r="W106">
            <v>11976</v>
          </cell>
        </row>
        <row r="107">
          <cell r="A107" t="str">
            <v>4.3.6.T.1</v>
          </cell>
          <cell r="B107" t="str">
            <v>TRM102</v>
          </cell>
          <cell r="C107" t="str">
            <v>V8</v>
          </cell>
          <cell r="D107" t="str">
            <v>CI-HW-HWE-OZLD-V02-190101</v>
          </cell>
          <cell r="E107" t="str">
            <v>Ozone Laundry - 25 lbs capacity</v>
          </cell>
          <cell r="F107" t="str">
            <v>Ozone Laundry-25 lbs</v>
          </cell>
          <cell r="G107" t="str">
            <v>Clothes washers</v>
          </cell>
          <cell r="H107" t="str">
            <v>Commercial</v>
          </cell>
          <cell r="I107" t="str">
            <v>Unit</v>
          </cell>
          <cell r="J107">
            <v>2.93</v>
          </cell>
          <cell r="K107">
            <v>0</v>
          </cell>
          <cell r="L107">
            <v>767.5</v>
          </cell>
          <cell r="M107">
            <v>45694.052696752886</v>
          </cell>
          <cell r="N107">
            <v>29.3</v>
          </cell>
          <cell r="O107">
            <v>0</v>
          </cell>
          <cell r="P107">
            <v>7675</v>
          </cell>
          <cell r="Q107">
            <v>456940.52696752886</v>
          </cell>
          <cell r="R107"/>
          <cell r="S107">
            <v>1996</v>
          </cell>
          <cell r="T107"/>
          <cell r="U107"/>
          <cell r="V107">
            <v>10</v>
          </cell>
          <cell r="W107">
            <v>1996</v>
          </cell>
        </row>
        <row r="108">
          <cell r="A108" t="str">
            <v>4.3.6.T.2</v>
          </cell>
          <cell r="B108" t="str">
            <v>TRM102</v>
          </cell>
          <cell r="C108" t="str">
            <v>V8</v>
          </cell>
          <cell r="D108" t="str">
            <v>CI-HW-HWE-OZLD-V02-190101</v>
          </cell>
          <cell r="E108" t="str">
            <v>Ozone Laundry - 50 lbs capacity</v>
          </cell>
          <cell r="F108" t="str">
            <v>Ozone Laundry-50 lbs</v>
          </cell>
          <cell r="G108" t="str">
            <v>Clothes washers</v>
          </cell>
          <cell r="H108" t="str">
            <v>Commercial</v>
          </cell>
          <cell r="I108" t="str">
            <v>Unit</v>
          </cell>
          <cell r="J108">
            <v>2.93</v>
          </cell>
          <cell r="K108">
            <v>0</v>
          </cell>
          <cell r="L108">
            <v>1535</v>
          </cell>
          <cell r="M108">
            <v>91388.105393505772</v>
          </cell>
          <cell r="N108">
            <v>29.3</v>
          </cell>
          <cell r="O108">
            <v>0</v>
          </cell>
          <cell r="P108">
            <v>15350</v>
          </cell>
          <cell r="Q108">
            <v>913881.05393505772</v>
          </cell>
          <cell r="R108"/>
          <cell r="S108">
            <v>3992</v>
          </cell>
          <cell r="T108"/>
          <cell r="U108"/>
          <cell r="V108">
            <v>10</v>
          </cell>
          <cell r="W108">
            <v>3992</v>
          </cell>
        </row>
        <row r="109">
          <cell r="A109" t="str">
            <v>4.3.6.T.3</v>
          </cell>
          <cell r="B109" t="str">
            <v>TRM102</v>
          </cell>
          <cell r="C109" t="str">
            <v>V8</v>
          </cell>
          <cell r="D109" t="str">
            <v>CI-HW-HWE-OZLD-V02-190101</v>
          </cell>
          <cell r="E109" t="str">
            <v>Ozone Laundry - 100 lbs capacity</v>
          </cell>
          <cell r="F109" t="str">
            <v>Ozone Laundry-100 lbs</v>
          </cell>
          <cell r="G109" t="str">
            <v>Clothes washers</v>
          </cell>
          <cell r="H109" t="str">
            <v>Commercial</v>
          </cell>
          <cell r="I109" t="str">
            <v>Unit</v>
          </cell>
          <cell r="J109">
            <v>2.93</v>
          </cell>
          <cell r="K109">
            <v>0</v>
          </cell>
          <cell r="L109">
            <v>3070</v>
          </cell>
          <cell r="M109">
            <v>182776.21078701154</v>
          </cell>
          <cell r="N109">
            <v>29.3</v>
          </cell>
          <cell r="O109">
            <v>0</v>
          </cell>
          <cell r="P109">
            <v>30700</v>
          </cell>
          <cell r="Q109">
            <v>1827762.1078701154</v>
          </cell>
          <cell r="R109"/>
          <cell r="S109">
            <v>7984</v>
          </cell>
          <cell r="T109"/>
          <cell r="U109"/>
          <cell r="V109">
            <v>10</v>
          </cell>
          <cell r="W109">
            <v>7984</v>
          </cell>
        </row>
        <row r="110">
          <cell r="A110"/>
          <cell r="B110"/>
          <cell r="C110"/>
          <cell r="D110"/>
          <cell r="E110"/>
          <cell r="F110"/>
          <cell r="G110"/>
          <cell r="H110"/>
          <cell r="I110"/>
          <cell r="J110"/>
          <cell r="K110"/>
          <cell r="L110"/>
          <cell r="M110"/>
          <cell r="N110"/>
          <cell r="O110"/>
          <cell r="P110"/>
          <cell r="Q110"/>
          <cell r="R110"/>
          <cell r="S110"/>
          <cell r="T110"/>
          <cell r="U110"/>
          <cell r="V110"/>
          <cell r="W110"/>
        </row>
        <row r="111">
          <cell r="A111" t="str">
            <v>4.3.7.1</v>
          </cell>
          <cell r="B111" t="str">
            <v>TRM108</v>
          </cell>
          <cell r="C111" t="str">
            <v>V8</v>
          </cell>
          <cell r="D111" t="str">
            <v>CI-HW_-HWE-MDHW-V03-190101</v>
          </cell>
          <cell r="E111" t="str">
            <v>Central Domestic Hot Water Plants TOS</v>
          </cell>
          <cell r="F111" t="str">
            <v>Central Domestic Hot Water Plants</v>
          </cell>
          <cell r="G111" t="str">
            <v>Water heater</v>
          </cell>
          <cell r="H111" t="str">
            <v>Commercial</v>
          </cell>
          <cell r="I111" t="str">
            <v>Unit</v>
          </cell>
          <cell r="J111">
            <v>0</v>
          </cell>
          <cell r="K111">
            <v>0</v>
          </cell>
          <cell r="L111">
            <v>490.16000889311289</v>
          </cell>
          <cell r="M111"/>
          <cell r="N111">
            <v>0</v>
          </cell>
          <cell r="O111">
            <v>0</v>
          </cell>
          <cell r="P111">
            <v>7352.4001333966935</v>
          </cell>
          <cell r="Q111"/>
          <cell r="R111"/>
          <cell r="S111"/>
          <cell r="T111"/>
          <cell r="U111"/>
          <cell r="V111">
            <v>15</v>
          </cell>
          <cell r="W111">
            <v>0</v>
          </cell>
        </row>
        <row r="112">
          <cell r="A112"/>
          <cell r="B112"/>
          <cell r="C112"/>
          <cell r="D112"/>
          <cell r="E112"/>
          <cell r="F112"/>
          <cell r="G112"/>
          <cell r="H112"/>
          <cell r="I112"/>
          <cell r="J112"/>
          <cell r="K112"/>
          <cell r="L112"/>
          <cell r="M112"/>
          <cell r="N112"/>
          <cell r="O112"/>
          <cell r="P112"/>
          <cell r="Q112"/>
          <cell r="R112"/>
          <cell r="S112"/>
          <cell r="T112"/>
          <cell r="U112"/>
          <cell r="V112"/>
          <cell r="W112"/>
        </row>
        <row r="113">
          <cell r="A113" t="str">
            <v>4.3.8</v>
          </cell>
          <cell r="B113" t="str">
            <v>TRM109</v>
          </cell>
          <cell r="C113" t="str">
            <v>V8</v>
          </cell>
          <cell r="D113" t="str">
            <v>CI-HW_-HWE-CDHW-V02-180101</v>
          </cell>
          <cell r="E113" t="str">
            <v>Demand Controls for Central Domestic Hot Water - MF Buildings</v>
          </cell>
          <cell r="F113" t="str">
            <v>CDHW Controls - MF Buildings</v>
          </cell>
          <cell r="G113" t="str">
            <v>Water heater</v>
          </cell>
          <cell r="H113" t="str">
            <v>Commercial</v>
          </cell>
          <cell r="I113" t="str">
            <v>Project</v>
          </cell>
          <cell r="J113">
            <v>656</v>
          </cell>
          <cell r="K113">
            <v>0</v>
          </cell>
          <cell r="L113">
            <v>2507.4840221599998</v>
          </cell>
          <cell r="M113"/>
          <cell r="N113">
            <v>9840</v>
          </cell>
          <cell r="O113">
            <v>0</v>
          </cell>
          <cell r="P113">
            <v>37612.260332399994</v>
          </cell>
          <cell r="Q113"/>
          <cell r="R113"/>
          <cell r="S113">
            <v>2008</v>
          </cell>
          <cell r="T113"/>
          <cell r="U113"/>
          <cell r="V113">
            <v>15</v>
          </cell>
          <cell r="W113">
            <v>2008</v>
          </cell>
        </row>
        <row r="114">
          <cell r="A114" t="str">
            <v>4.3.8.3</v>
          </cell>
          <cell r="B114" t="str">
            <v>TRM109</v>
          </cell>
          <cell r="C114" t="str">
            <v>V8</v>
          </cell>
          <cell r="D114" t="str">
            <v>CI-HW_-HWE-CDHW-V02-180101</v>
          </cell>
          <cell r="E114" t="str">
            <v>Demand Controls for Central Domestic Hot Water - Dormitories</v>
          </cell>
          <cell r="F114" t="str">
            <v>CDHW Controls - Dormitories</v>
          </cell>
          <cell r="G114" t="str">
            <v>Water heater</v>
          </cell>
          <cell r="H114" t="str">
            <v>Commercial</v>
          </cell>
          <cell r="I114" t="str">
            <v>Project</v>
          </cell>
          <cell r="J114">
            <v>656</v>
          </cell>
          <cell r="K114">
            <v>0</v>
          </cell>
          <cell r="L114">
            <v>1205.96073024</v>
          </cell>
          <cell r="M114"/>
          <cell r="N114">
            <v>9840</v>
          </cell>
          <cell r="O114">
            <v>0</v>
          </cell>
          <cell r="P114">
            <v>18089.4109536</v>
          </cell>
          <cell r="Q114"/>
          <cell r="R114"/>
          <cell r="S114">
            <v>2008</v>
          </cell>
          <cell r="T114"/>
          <cell r="U114"/>
          <cell r="V114">
            <v>15</v>
          </cell>
          <cell r="W114">
            <v>2008</v>
          </cell>
        </row>
        <row r="115">
          <cell r="A115" t="str">
            <v>4.3.8.3.T</v>
          </cell>
          <cell r="B115" t="str">
            <v>TRM109</v>
          </cell>
          <cell r="C115" t="str">
            <v>V8</v>
          </cell>
          <cell r="D115" t="str">
            <v>CI-HW_-HWE-CDHW-V02-180101</v>
          </cell>
          <cell r="E115" t="str">
            <v>Demand Controls for Central Domestic Hot Water - Dormitories Teapot Small</v>
          </cell>
          <cell r="F115" t="str">
            <v>CDHW Controls - Dormitories - Teapot Small</v>
          </cell>
          <cell r="G115" t="str">
            <v>Water heater</v>
          </cell>
          <cell r="H115" t="str">
            <v>Commercial</v>
          </cell>
          <cell r="I115" t="str">
            <v>Project</v>
          </cell>
          <cell r="J115">
            <v>656</v>
          </cell>
          <cell r="K115">
            <v>0</v>
          </cell>
          <cell r="L115">
            <v>301.49018255999999</v>
          </cell>
          <cell r="M115"/>
          <cell r="N115">
            <v>9840</v>
          </cell>
          <cell r="O115">
            <v>0</v>
          </cell>
          <cell r="P115">
            <v>4522.3527383999999</v>
          </cell>
          <cell r="Q115"/>
          <cell r="R115"/>
          <cell r="S115">
            <v>2008</v>
          </cell>
          <cell r="T115"/>
          <cell r="U115"/>
          <cell r="V115">
            <v>15</v>
          </cell>
          <cell r="W115">
            <v>2008</v>
          </cell>
        </row>
        <row r="116">
          <cell r="A116" t="str">
            <v>4.3.8.T</v>
          </cell>
          <cell r="B116" t="str">
            <v>TRM109</v>
          </cell>
          <cell r="C116" t="str">
            <v>V8</v>
          </cell>
          <cell r="D116" t="str">
            <v>CI-HW_-HWE-CDHW-V02-180101</v>
          </cell>
          <cell r="E116" t="str">
            <v>Demand Controls for Central Domestic Hot Water - Dormitories - MF Buildings</v>
          </cell>
          <cell r="F116" t="str">
            <v>CDHW Controls - MF Buildings - Teapot Small</v>
          </cell>
          <cell r="G116" t="str">
            <v>Water heater</v>
          </cell>
          <cell r="H116" t="str">
            <v>Commercial</v>
          </cell>
          <cell r="I116" t="str">
            <v>Project</v>
          </cell>
          <cell r="J116">
            <v>656</v>
          </cell>
          <cell r="K116">
            <v>0</v>
          </cell>
          <cell r="L116">
            <v>626.87100553999994</v>
          </cell>
          <cell r="M116"/>
          <cell r="N116">
            <v>9840</v>
          </cell>
          <cell r="O116">
            <v>0</v>
          </cell>
          <cell r="P116">
            <v>9403.0650830999984</v>
          </cell>
          <cell r="Q116"/>
          <cell r="R116"/>
          <cell r="S116">
            <v>2008</v>
          </cell>
          <cell r="T116"/>
          <cell r="U116"/>
          <cell r="V116">
            <v>15</v>
          </cell>
          <cell r="W116">
            <v>2008</v>
          </cell>
        </row>
        <row r="117">
          <cell r="A117"/>
          <cell r="B117"/>
          <cell r="C117"/>
          <cell r="D117"/>
          <cell r="E117"/>
          <cell r="F117"/>
          <cell r="G117"/>
          <cell r="H117"/>
          <cell r="I117"/>
          <cell r="J117"/>
          <cell r="K117"/>
          <cell r="L117"/>
          <cell r="M117"/>
          <cell r="N117"/>
          <cell r="O117"/>
          <cell r="P117"/>
          <cell r="Q117"/>
          <cell r="R117"/>
          <cell r="S117"/>
          <cell r="T117"/>
          <cell r="U117"/>
          <cell r="V117"/>
          <cell r="W117"/>
        </row>
        <row r="118">
          <cell r="A118" t="str">
            <v>4.4.1</v>
          </cell>
          <cell r="B118" t="str">
            <v>TRM25</v>
          </cell>
          <cell r="C118" t="str">
            <v>V8</v>
          </cell>
          <cell r="D118" t="str">
            <v>CI-HVC-ACTU-V01-120601</v>
          </cell>
          <cell r="E118" t="str">
            <v>Air Conditioner Tune-up</v>
          </cell>
          <cell r="F118" t="str">
            <v>Air Conditioner Tune-up</v>
          </cell>
          <cell r="G118" t="str">
            <v>Air conditioner</v>
          </cell>
          <cell r="H118" t="str">
            <v>Commercial</v>
          </cell>
          <cell r="I118" t="str">
            <v>Project</v>
          </cell>
          <cell r="J118">
            <v>878</v>
          </cell>
          <cell r="K118">
            <v>0.39</v>
          </cell>
          <cell r="L118">
            <v>0</v>
          </cell>
          <cell r="M118">
            <v>0</v>
          </cell>
          <cell r="N118">
            <v>2634</v>
          </cell>
          <cell r="O118">
            <v>0.39</v>
          </cell>
          <cell r="P118">
            <v>0</v>
          </cell>
          <cell r="Q118">
            <v>0</v>
          </cell>
          <cell r="R118"/>
          <cell r="S118"/>
          <cell r="T118"/>
          <cell r="U118"/>
          <cell r="V118">
            <v>3</v>
          </cell>
          <cell r="W118">
            <v>105</v>
          </cell>
        </row>
        <row r="119">
          <cell r="A119"/>
          <cell r="B119"/>
          <cell r="C119"/>
          <cell r="D119"/>
          <cell r="E119"/>
          <cell r="F119"/>
          <cell r="G119"/>
          <cell r="H119"/>
          <cell r="I119"/>
          <cell r="J119"/>
          <cell r="K119"/>
          <cell r="L119"/>
          <cell r="M119"/>
          <cell r="N119"/>
          <cell r="O119"/>
          <cell r="P119"/>
          <cell r="Q119"/>
          <cell r="R119"/>
          <cell r="S119"/>
          <cell r="T119"/>
          <cell r="U119"/>
          <cell r="V119"/>
          <cell r="W119"/>
        </row>
        <row r="120">
          <cell r="A120" t="str">
            <v>4.4.3</v>
          </cell>
          <cell r="B120" t="str">
            <v>TRM26</v>
          </cell>
          <cell r="C120" t="str">
            <v>V8</v>
          </cell>
          <cell r="D120" t="str">
            <v>CI-HVC-PBTU-V05-160601</v>
          </cell>
          <cell r="E120" t="str">
            <v>Process Boiler Tune-up - 800 MBU</v>
          </cell>
          <cell r="F120" t="str">
            <v>Boiler Tune Up, Process</v>
          </cell>
          <cell r="G120" t="str">
            <v>Boilers</v>
          </cell>
          <cell r="H120" t="str">
            <v>Commercial</v>
          </cell>
          <cell r="I120" t="str">
            <v>Project</v>
          </cell>
          <cell r="J120">
            <v>0</v>
          </cell>
          <cell r="K120">
            <v>0</v>
          </cell>
          <cell r="L120">
            <v>818.18830024212616</v>
          </cell>
          <cell r="M120">
            <v>0</v>
          </cell>
          <cell r="N120">
            <v>0</v>
          </cell>
          <cell r="O120">
            <v>0</v>
          </cell>
          <cell r="P120">
            <v>2454.5649007263783</v>
          </cell>
          <cell r="Q120">
            <v>0</v>
          </cell>
          <cell r="R120"/>
          <cell r="S120">
            <v>664</v>
          </cell>
          <cell r="T120"/>
          <cell r="U120"/>
          <cell r="V120">
            <v>3</v>
          </cell>
          <cell r="W120">
            <v>664</v>
          </cell>
        </row>
        <row r="121">
          <cell r="A121"/>
          <cell r="B121"/>
          <cell r="C121"/>
          <cell r="D121"/>
          <cell r="E121"/>
          <cell r="F121"/>
          <cell r="G121"/>
          <cell r="H121"/>
          <cell r="I121"/>
          <cell r="J121"/>
          <cell r="K121"/>
          <cell r="L121"/>
          <cell r="M121"/>
          <cell r="N121"/>
          <cell r="O121"/>
          <cell r="P121"/>
          <cell r="Q121"/>
          <cell r="R121"/>
          <cell r="S121"/>
          <cell r="T121"/>
          <cell r="U121"/>
          <cell r="V121"/>
          <cell r="W121"/>
        </row>
        <row r="122">
          <cell r="A122" t="str">
            <v>4.4.5.B</v>
          </cell>
          <cell r="B122" t="str">
            <v>TRM27</v>
          </cell>
          <cell r="C122" t="str">
            <v>V8</v>
          </cell>
          <cell r="D122" t="str">
            <v>CI-HVC-CUHT-V01-190101</v>
          </cell>
          <cell r="E122" t="str">
            <v>Baseline Condensing Unit Heaters</v>
          </cell>
          <cell r="F122" t="str">
            <v>Baseline Condensing Unit Heaters, &gt;90% &lt;300 MBH</v>
          </cell>
          <cell r="G122" t="str">
            <v>Other HVAC</v>
          </cell>
          <cell r="H122" t="str">
            <v>Commercial</v>
          </cell>
          <cell r="I122" t="str">
            <v>Unit</v>
          </cell>
          <cell r="J122">
            <v>0</v>
          </cell>
          <cell r="K122">
            <v>0</v>
          </cell>
          <cell r="L122">
            <v>0</v>
          </cell>
          <cell r="M122">
            <v>0</v>
          </cell>
          <cell r="N122">
            <v>0</v>
          </cell>
          <cell r="O122">
            <v>0</v>
          </cell>
          <cell r="P122">
            <v>0</v>
          </cell>
          <cell r="Q122">
            <v>0</v>
          </cell>
          <cell r="R122">
            <v>1330</v>
          </cell>
          <cell r="S122">
            <v>676</v>
          </cell>
          <cell r="T122"/>
          <cell r="U122"/>
          <cell r="V122">
            <v>12</v>
          </cell>
          <cell r="W122">
            <v>676</v>
          </cell>
        </row>
        <row r="123">
          <cell r="A123" t="str">
            <v>4.4.5</v>
          </cell>
          <cell r="B123" t="str">
            <v>TRM27</v>
          </cell>
          <cell r="C123" t="str">
            <v>V8</v>
          </cell>
          <cell r="D123" t="str">
            <v>CI-HVC-CUHT-V01-190101</v>
          </cell>
          <cell r="E123" t="str">
            <v>Condensing Unit Heaters</v>
          </cell>
          <cell r="F123" t="str">
            <v>Condensing Unit Heaters, &gt;90% &lt;300 MBH</v>
          </cell>
          <cell r="G123" t="str">
            <v>Other HVAC</v>
          </cell>
          <cell r="H123" t="str">
            <v>Commercial</v>
          </cell>
          <cell r="I123" t="str">
            <v>Unit</v>
          </cell>
          <cell r="J123">
            <v>0</v>
          </cell>
          <cell r="K123">
            <v>0</v>
          </cell>
          <cell r="L123">
            <v>266</v>
          </cell>
          <cell r="M123">
            <v>0</v>
          </cell>
          <cell r="N123">
            <v>0</v>
          </cell>
          <cell r="O123">
            <v>0</v>
          </cell>
          <cell r="P123">
            <v>3192</v>
          </cell>
          <cell r="Q123">
            <v>0</v>
          </cell>
          <cell r="R123">
            <v>1330</v>
          </cell>
          <cell r="S123">
            <v>676</v>
          </cell>
          <cell r="T123"/>
          <cell r="U123"/>
          <cell r="V123">
            <v>12</v>
          </cell>
          <cell r="W123">
            <v>676</v>
          </cell>
        </row>
        <row r="124">
          <cell r="A124"/>
          <cell r="B124"/>
          <cell r="C124"/>
          <cell r="D124"/>
          <cell r="E124"/>
          <cell r="F124"/>
          <cell r="G124"/>
          <cell r="H124"/>
          <cell r="I124"/>
          <cell r="J124"/>
          <cell r="K124"/>
          <cell r="L124"/>
          <cell r="M124"/>
          <cell r="N124"/>
          <cell r="O124"/>
          <cell r="P124"/>
          <cell r="Q124"/>
          <cell r="R124"/>
          <cell r="S124"/>
          <cell r="T124"/>
          <cell r="U124"/>
          <cell r="V124"/>
          <cell r="W124"/>
        </row>
        <row r="125">
          <cell r="A125" t="str">
            <v>4.4.6</v>
          </cell>
          <cell r="B125" t="str">
            <v>TRM28</v>
          </cell>
          <cell r="C125" t="str">
            <v>V8</v>
          </cell>
          <cell r="D125" t="str">
            <v>CI-HVC-CHIL-V01-120601</v>
          </cell>
          <cell r="E125" t="str">
            <v>Electric Chiller</v>
          </cell>
          <cell r="F125" t="str">
            <v>Electric Chiller</v>
          </cell>
          <cell r="G125" t="str">
            <v>Air conditioner</v>
          </cell>
          <cell r="H125" t="str">
            <v>Commercial</v>
          </cell>
          <cell r="I125" t="str">
            <v>Unit</v>
          </cell>
          <cell r="J125">
            <v>8948.5714285714294</v>
          </cell>
          <cell r="K125">
            <v>7.5445423990478346</v>
          </cell>
          <cell r="L125">
            <v>0</v>
          </cell>
          <cell r="M125">
            <v>0</v>
          </cell>
          <cell r="N125">
            <v>178971.42857142858</v>
          </cell>
          <cell r="O125">
            <v>7.5445423990478346</v>
          </cell>
          <cell r="P125">
            <v>0</v>
          </cell>
          <cell r="Q125">
            <v>0</v>
          </cell>
          <cell r="R125"/>
          <cell r="S125"/>
          <cell r="T125"/>
          <cell r="U125"/>
          <cell r="V125">
            <v>20</v>
          </cell>
          <cell r="W125">
            <v>12700</v>
          </cell>
        </row>
        <row r="126">
          <cell r="A126"/>
          <cell r="B126"/>
          <cell r="C126"/>
          <cell r="D126"/>
          <cell r="E126"/>
          <cell r="F126"/>
          <cell r="G126"/>
          <cell r="H126"/>
          <cell r="I126"/>
          <cell r="J126"/>
          <cell r="K126"/>
          <cell r="L126"/>
          <cell r="M126"/>
          <cell r="N126"/>
          <cell r="O126"/>
          <cell r="P126"/>
          <cell r="Q126"/>
          <cell r="R126"/>
          <cell r="S126"/>
          <cell r="T126"/>
          <cell r="U126"/>
          <cell r="V126"/>
          <cell r="W126"/>
        </row>
        <row r="127">
          <cell r="A127" t="str">
            <v>4.4.7</v>
          </cell>
          <cell r="B127" t="str">
            <v>TRM29</v>
          </cell>
          <cell r="C127" t="str">
            <v>V8</v>
          </cell>
          <cell r="D127" t="str">
            <v>CI-HVC-ESRA-V01-120601</v>
          </cell>
          <cell r="E127" t="str">
            <v>ENERGY STAR and CEE Tier 1 Room Air Conditioner</v>
          </cell>
          <cell r="F127" t="str">
            <v>ENERGY STAR and CEE Tier 1 Room Air Conditioner</v>
          </cell>
          <cell r="G127" t="str">
            <v>Air conditioner</v>
          </cell>
          <cell r="H127" t="str">
            <v>Commercial</v>
          </cell>
          <cell r="I127" t="str">
            <v>Unit</v>
          </cell>
          <cell r="J127">
            <v>41.285894888928986</v>
          </cell>
          <cell r="K127">
            <v>0.14840166154957549</v>
          </cell>
          <cell r="L127">
            <v>0</v>
          </cell>
          <cell r="M127">
            <v>0</v>
          </cell>
          <cell r="N127">
            <v>371.57305400036086</v>
          </cell>
          <cell r="O127">
            <v>0.14840166154957549</v>
          </cell>
          <cell r="P127">
            <v>0</v>
          </cell>
          <cell r="Q127">
            <v>0</v>
          </cell>
          <cell r="R127"/>
          <cell r="S127"/>
          <cell r="T127"/>
          <cell r="U127"/>
          <cell r="V127">
            <v>9</v>
          </cell>
          <cell r="W127">
            <v>80</v>
          </cell>
        </row>
        <row r="128">
          <cell r="A128"/>
          <cell r="B128"/>
          <cell r="C128"/>
          <cell r="D128"/>
          <cell r="E128"/>
          <cell r="F128"/>
          <cell r="G128"/>
          <cell r="H128"/>
          <cell r="I128"/>
          <cell r="J128"/>
          <cell r="K128"/>
          <cell r="L128"/>
          <cell r="M128"/>
          <cell r="N128"/>
          <cell r="O128"/>
          <cell r="P128"/>
          <cell r="Q128"/>
          <cell r="R128"/>
          <cell r="S128"/>
          <cell r="T128"/>
          <cell r="U128"/>
          <cell r="V128"/>
          <cell r="W128"/>
        </row>
        <row r="129">
          <cell r="A129" t="str">
            <v>4.4.8.1</v>
          </cell>
          <cell r="B129" t="str">
            <v>TRM30.1</v>
          </cell>
          <cell r="C129" t="str">
            <v>V8</v>
          </cell>
          <cell r="D129" t="str">
            <v>CI-HVC-GREM-V05-150601</v>
          </cell>
          <cell r="E129" t="str">
            <v>Guest Room Energy Management - 3/4 - 1 ton ton Motel with No Housekeeping Setback</v>
          </cell>
          <cell r="F129" t="str">
            <v>Guest Room Energy Management Motel</v>
          </cell>
          <cell r="G129" t="str">
            <v>Controls</v>
          </cell>
          <cell r="H129" t="str">
            <v>Commercial</v>
          </cell>
          <cell r="I129" t="str">
            <v>Project</v>
          </cell>
          <cell r="J129">
            <v>143.58750000000003</v>
          </cell>
          <cell r="K129">
            <v>0</v>
          </cell>
          <cell r="L129">
            <v>55.737500000000004</v>
          </cell>
          <cell r="M129">
            <v>0</v>
          </cell>
          <cell r="N129">
            <v>2153.8125000000005</v>
          </cell>
          <cell r="O129">
            <v>0</v>
          </cell>
          <cell r="P129">
            <v>836.06250000000011</v>
          </cell>
          <cell r="Q129">
            <v>0</v>
          </cell>
          <cell r="R129"/>
          <cell r="S129"/>
          <cell r="T129"/>
          <cell r="U129"/>
          <cell r="V129">
            <v>15</v>
          </cell>
          <cell r="W129">
            <v>260</v>
          </cell>
        </row>
        <row r="130">
          <cell r="A130" t="str">
            <v>4.4.8.2</v>
          </cell>
          <cell r="B130" t="str">
            <v>TRM30.2</v>
          </cell>
          <cell r="C130" t="str">
            <v>V8</v>
          </cell>
          <cell r="D130" t="str">
            <v>CI-HVC-GREM-V05-150601</v>
          </cell>
          <cell r="E130" t="str">
            <v>Guest Room Energy Management - 3/4 - 1 ton ton Hotel with No Housekeeping Setback</v>
          </cell>
          <cell r="F130" t="str">
            <v>Guest Room Energy Management Hotel</v>
          </cell>
          <cell r="G130" t="str">
            <v>Controls</v>
          </cell>
          <cell r="H130" t="str">
            <v>Commercial</v>
          </cell>
          <cell r="I130" t="str">
            <v>Project</v>
          </cell>
          <cell r="J130">
            <v>155.47500000000002</v>
          </cell>
          <cell r="K130">
            <v>4.1250000000000002E-2</v>
          </cell>
          <cell r="L130">
            <v>5.4512499999999999</v>
          </cell>
          <cell r="M130">
            <v>0</v>
          </cell>
          <cell r="N130">
            <v>2332.1250000000005</v>
          </cell>
          <cell r="O130">
            <v>4.1250000000000002E-2</v>
          </cell>
          <cell r="P130">
            <v>81.768749999999997</v>
          </cell>
          <cell r="Q130">
            <v>0</v>
          </cell>
          <cell r="R130"/>
          <cell r="S130"/>
          <cell r="T130"/>
          <cell r="U130"/>
          <cell r="V130">
            <v>15</v>
          </cell>
          <cell r="W130">
            <v>260</v>
          </cell>
        </row>
        <row r="131">
          <cell r="A131"/>
          <cell r="B131"/>
          <cell r="C131"/>
          <cell r="D131"/>
          <cell r="E131"/>
          <cell r="F131"/>
          <cell r="G131"/>
          <cell r="H131"/>
          <cell r="I131"/>
          <cell r="J131"/>
          <cell r="K131"/>
          <cell r="L131"/>
          <cell r="M131"/>
          <cell r="N131"/>
          <cell r="O131"/>
          <cell r="P131"/>
          <cell r="Q131"/>
          <cell r="R131"/>
          <cell r="S131"/>
          <cell r="T131"/>
          <cell r="U131"/>
          <cell r="V131"/>
          <cell r="W131"/>
        </row>
        <row r="132">
          <cell r="A132" t="str">
            <v>4.4.9</v>
          </cell>
          <cell r="B132" t="str">
            <v>TRM31</v>
          </cell>
          <cell r="C132" t="str">
            <v>V8</v>
          </cell>
          <cell r="D132" t="str">
            <v>CI-HVC-HPSY-V01-120601</v>
          </cell>
          <cell r="E132" t="str">
            <v>Heat Pump Systems</v>
          </cell>
          <cell r="F132" t="str">
            <v>Heat Pump Systems</v>
          </cell>
          <cell r="G132" t="str">
            <v>Heat pumps</v>
          </cell>
          <cell r="H132" t="str">
            <v>Commercial</v>
          </cell>
          <cell r="I132" t="str">
            <v>Unit</v>
          </cell>
          <cell r="J132">
            <v>461.42857142857457</v>
          </cell>
          <cell r="K132">
            <v>0.17390476190476356</v>
          </cell>
          <cell r="L132">
            <v>0</v>
          </cell>
          <cell r="M132">
            <v>0</v>
          </cell>
          <cell r="N132">
            <v>6921.4285714286189</v>
          </cell>
          <cell r="O132">
            <v>0.17390476190476356</v>
          </cell>
          <cell r="P132">
            <v>0</v>
          </cell>
          <cell r="Q132">
            <v>0</v>
          </cell>
          <cell r="R132"/>
          <cell r="S132"/>
          <cell r="T132"/>
          <cell r="U132"/>
          <cell r="V132">
            <v>15</v>
          </cell>
          <cell r="W132">
            <v>833.33333333333337</v>
          </cell>
        </row>
        <row r="133">
          <cell r="A133"/>
          <cell r="B133"/>
          <cell r="C133"/>
          <cell r="D133"/>
          <cell r="E133"/>
          <cell r="F133"/>
          <cell r="G133"/>
          <cell r="H133"/>
          <cell r="I133"/>
          <cell r="J133"/>
          <cell r="K133"/>
          <cell r="L133"/>
          <cell r="M133"/>
          <cell r="N133"/>
          <cell r="O133"/>
          <cell r="P133"/>
          <cell r="Q133"/>
          <cell r="R133"/>
          <cell r="S133"/>
          <cell r="T133"/>
          <cell r="U133"/>
          <cell r="V133"/>
          <cell r="W133"/>
        </row>
        <row r="134">
          <cell r="A134" t="str">
            <v>4.4.12</v>
          </cell>
          <cell r="B134" t="str">
            <v>TRM32</v>
          </cell>
          <cell r="C134" t="str">
            <v>V8</v>
          </cell>
          <cell r="D134" t="str">
            <v>CI-HVC-IRHT-V01-190101</v>
          </cell>
          <cell r="E134" t="str">
            <v xml:space="preserve">Baseline Infrared Heaters (all sizes), Low Intensity </v>
          </cell>
          <cell r="F134" t="str">
            <v>Infrared Heaters</v>
          </cell>
          <cell r="G134" t="str">
            <v>Other HVAC</v>
          </cell>
          <cell r="H134" t="str">
            <v>Commercial</v>
          </cell>
          <cell r="I134" t="str">
            <v>Unit</v>
          </cell>
          <cell r="J134">
            <v>0</v>
          </cell>
          <cell r="K134">
            <v>0</v>
          </cell>
          <cell r="L134">
            <v>0</v>
          </cell>
          <cell r="M134">
            <v>0</v>
          </cell>
          <cell r="N134">
            <v>0</v>
          </cell>
          <cell r="O134">
            <v>0</v>
          </cell>
          <cell r="P134">
            <v>0</v>
          </cell>
          <cell r="Q134">
            <v>0</v>
          </cell>
          <cell r="R134">
            <v>2641.5714285714289</v>
          </cell>
          <cell r="S134">
            <v>1716</v>
          </cell>
          <cell r="T134"/>
          <cell r="U134"/>
          <cell r="V134">
            <v>12</v>
          </cell>
          <cell r="W134">
            <v>1716</v>
          </cell>
        </row>
        <row r="135">
          <cell r="A135" t="str">
            <v>4.4.12</v>
          </cell>
          <cell r="B135" t="str">
            <v>TRM32</v>
          </cell>
          <cell r="C135" t="str">
            <v>V8</v>
          </cell>
          <cell r="D135" t="str">
            <v>CI-HVC-IRHT-V01-190101</v>
          </cell>
          <cell r="E135" t="str">
            <v xml:space="preserve">Infrared Heaters (all sizes), Low Intensity </v>
          </cell>
          <cell r="F135" t="str">
            <v>Infrared Heaters</v>
          </cell>
          <cell r="G135" t="str">
            <v>Other HVAC</v>
          </cell>
          <cell r="H135" t="str">
            <v>Commercial</v>
          </cell>
          <cell r="I135" t="str">
            <v>Unit</v>
          </cell>
          <cell r="J135">
            <v>0</v>
          </cell>
          <cell r="K135">
            <v>0</v>
          </cell>
          <cell r="L135">
            <v>451</v>
          </cell>
          <cell r="M135">
            <v>0</v>
          </cell>
          <cell r="N135">
            <v>0</v>
          </cell>
          <cell r="O135">
            <v>0</v>
          </cell>
          <cell r="P135">
            <v>5412</v>
          </cell>
          <cell r="Q135">
            <v>0</v>
          </cell>
          <cell r="R135">
            <v>2641.5714285714289</v>
          </cell>
          <cell r="S135">
            <v>1716</v>
          </cell>
          <cell r="T135"/>
          <cell r="U135"/>
          <cell r="V135">
            <v>12</v>
          </cell>
          <cell r="W135">
            <v>1716</v>
          </cell>
        </row>
        <row r="136">
          <cell r="A136"/>
          <cell r="B136"/>
          <cell r="C136"/>
          <cell r="D136"/>
          <cell r="E136"/>
          <cell r="F136"/>
          <cell r="G136"/>
          <cell r="H136"/>
          <cell r="I136"/>
          <cell r="J136"/>
          <cell r="K136"/>
          <cell r="L136"/>
          <cell r="M136"/>
          <cell r="N136"/>
          <cell r="O136"/>
          <cell r="P136"/>
          <cell r="Q136"/>
          <cell r="R136"/>
          <cell r="S136"/>
          <cell r="T136"/>
          <cell r="U136"/>
          <cell r="V136"/>
          <cell r="W136"/>
        </row>
        <row r="137">
          <cell r="A137" t="str">
            <v>4.4.13</v>
          </cell>
          <cell r="B137" t="str">
            <v>TRM33</v>
          </cell>
          <cell r="C137" t="str">
            <v>V8</v>
          </cell>
          <cell r="D137" t="str">
            <v>CI-HVC-PTAC-V03-130601</v>
          </cell>
          <cell r="E137" t="str">
            <v>Package Terminal Air Conditioner (PTAC) and Package Terminal Heat Pump (PTHP)</v>
          </cell>
          <cell r="F137" t="str">
            <v>Package Terminal AC (PTAC) and Heat Pump (PTHP)</v>
          </cell>
          <cell r="G137" t="str">
            <v>Heat pumps</v>
          </cell>
          <cell r="H137" t="str">
            <v>Commercial</v>
          </cell>
          <cell r="I137" t="str">
            <v>Unit</v>
          </cell>
          <cell r="J137">
            <v>475.85234899328839</v>
          </cell>
          <cell r="K137">
            <v>0.53046788111217624</v>
          </cell>
          <cell r="L137">
            <v>0</v>
          </cell>
          <cell r="M137">
            <v>0</v>
          </cell>
          <cell r="N137">
            <v>7137.7852348993256</v>
          </cell>
          <cell r="O137">
            <v>0.53046788111217624</v>
          </cell>
          <cell r="P137">
            <v>0</v>
          </cell>
          <cell r="Q137">
            <v>0</v>
          </cell>
          <cell r="R137"/>
          <cell r="S137"/>
          <cell r="T137"/>
          <cell r="U137"/>
          <cell r="V137">
            <v>15</v>
          </cell>
          <cell r="W137">
            <v>84</v>
          </cell>
        </row>
        <row r="138">
          <cell r="A138"/>
          <cell r="B138"/>
          <cell r="C138"/>
          <cell r="D138"/>
          <cell r="E138"/>
          <cell r="F138"/>
          <cell r="G138"/>
          <cell r="H138"/>
          <cell r="I138"/>
          <cell r="J138"/>
          <cell r="K138"/>
          <cell r="L138"/>
          <cell r="M138"/>
          <cell r="N138"/>
          <cell r="O138"/>
          <cell r="P138"/>
          <cell r="Q138"/>
          <cell r="R138"/>
          <cell r="S138"/>
          <cell r="T138"/>
          <cell r="U138"/>
          <cell r="V138"/>
          <cell r="W138"/>
        </row>
        <row r="139">
          <cell r="A139" t="str">
            <v>4.4.15</v>
          </cell>
          <cell r="B139" t="str">
            <v>TRM34</v>
          </cell>
          <cell r="C139" t="str">
            <v>V8</v>
          </cell>
          <cell r="D139" t="str">
            <v>CI-HVC-SPUA-V01-120601</v>
          </cell>
          <cell r="E139" t="str">
            <v>Single-Package and Split System Unitary Air Conditioners</v>
          </cell>
          <cell r="F139" t="str">
            <v>Single-Package and Split System Unitary AC</v>
          </cell>
          <cell r="G139" t="str">
            <v>Air conditioner</v>
          </cell>
          <cell r="H139" t="str">
            <v>Commercial</v>
          </cell>
          <cell r="I139" t="str">
            <v>Unit</v>
          </cell>
          <cell r="J139">
            <v>320.54907853449407</v>
          </cell>
          <cell r="K139">
            <v>0.39307379679144377</v>
          </cell>
          <cell r="L139">
            <v>0</v>
          </cell>
          <cell r="M139">
            <v>0</v>
          </cell>
          <cell r="N139">
            <v>4808.2361780174115</v>
          </cell>
          <cell r="O139">
            <v>0.39307379679144377</v>
          </cell>
          <cell r="P139">
            <v>0</v>
          </cell>
          <cell r="Q139">
            <v>0</v>
          </cell>
          <cell r="R139"/>
          <cell r="S139"/>
          <cell r="T139"/>
          <cell r="U139"/>
          <cell r="V139">
            <v>15</v>
          </cell>
          <cell r="W139">
            <v>200</v>
          </cell>
        </row>
        <row r="140">
          <cell r="A140"/>
          <cell r="B140"/>
          <cell r="C140"/>
          <cell r="D140"/>
          <cell r="E140"/>
          <cell r="F140"/>
          <cell r="G140"/>
          <cell r="H140"/>
          <cell r="I140"/>
          <cell r="J140"/>
          <cell r="K140"/>
          <cell r="L140"/>
          <cell r="M140"/>
          <cell r="N140"/>
          <cell r="O140"/>
          <cell r="P140"/>
          <cell r="Q140"/>
          <cell r="R140"/>
          <cell r="S140"/>
          <cell r="T140"/>
          <cell r="U140"/>
          <cell r="V140"/>
          <cell r="W140"/>
        </row>
        <row r="141">
          <cell r="A141" t="str">
            <v>4.4.18.1</v>
          </cell>
          <cell r="B141" t="str">
            <v>TRM103.1</v>
          </cell>
          <cell r="C141" t="str">
            <v>V8</v>
          </cell>
          <cell r="D141" t="str">
            <v>CI-HVC-PROG-V02-190101</v>
          </cell>
          <cell r="E141" t="str">
            <v>Programmable Thermostats - Assembly</v>
          </cell>
          <cell r="F141" t="str">
            <v>Programmable Thermostats - Assembly</v>
          </cell>
          <cell r="G141" t="str">
            <v>Thermostats</v>
          </cell>
          <cell r="H141" t="str">
            <v>Commercial</v>
          </cell>
          <cell r="I141" t="str">
            <v>Unit</v>
          </cell>
          <cell r="J141">
            <v>98</v>
          </cell>
          <cell r="K141">
            <v>5</v>
          </cell>
          <cell r="L141">
            <v>56.13000000000001</v>
          </cell>
          <cell r="M141">
            <v>0</v>
          </cell>
          <cell r="N141">
            <v>150</v>
          </cell>
          <cell r="O141">
            <v>20</v>
          </cell>
          <cell r="P141">
            <v>60</v>
          </cell>
          <cell r="Q141">
            <v>0</v>
          </cell>
          <cell r="R141"/>
          <cell r="S141">
            <v>181</v>
          </cell>
          <cell r="T141"/>
          <cell r="U141"/>
          <cell r="V141">
            <v>4</v>
          </cell>
          <cell r="W141">
            <v>181</v>
          </cell>
        </row>
        <row r="142">
          <cell r="A142" t="str">
            <v>4.4.18.2</v>
          </cell>
          <cell r="B142" t="str">
            <v>TRM103.2</v>
          </cell>
          <cell r="C142" t="str">
            <v>V8</v>
          </cell>
          <cell r="D142" t="str">
            <v>CI-HVC-PROG-V02-190101</v>
          </cell>
          <cell r="E142" t="str">
            <v>Programmable Thermostats - Convenience Store</v>
          </cell>
          <cell r="F142" t="str">
            <v>Programmable Thermostats - Convenience Store</v>
          </cell>
          <cell r="G142" t="str">
            <v>Thermostats</v>
          </cell>
          <cell r="H142" t="str">
            <v>Commercial</v>
          </cell>
          <cell r="I142" t="str">
            <v>Unit</v>
          </cell>
          <cell r="J142">
            <v>108</v>
          </cell>
          <cell r="K142">
            <v>5</v>
          </cell>
          <cell r="L142">
            <v>2.4990000000000179</v>
          </cell>
          <cell r="M142">
            <v>0</v>
          </cell>
          <cell r="N142">
            <v>150</v>
          </cell>
          <cell r="O142">
            <v>20</v>
          </cell>
          <cell r="P142">
            <v>60</v>
          </cell>
          <cell r="Q142">
            <v>0</v>
          </cell>
          <cell r="R142"/>
          <cell r="S142">
            <v>181</v>
          </cell>
          <cell r="T142"/>
          <cell r="U142"/>
          <cell r="V142">
            <v>4</v>
          </cell>
          <cell r="W142">
            <v>181</v>
          </cell>
        </row>
        <row r="143">
          <cell r="A143" t="str">
            <v>4.4.18.3</v>
          </cell>
          <cell r="B143" t="str">
            <v>TRM103.3</v>
          </cell>
          <cell r="C143" t="str">
            <v>V8</v>
          </cell>
          <cell r="D143" t="str">
            <v>CI-HVC-PROG-V02-190101</v>
          </cell>
          <cell r="E143" t="str">
            <v>Programmable Thermostats - Office - Low Rise</v>
          </cell>
          <cell r="F143" t="str">
            <v>Programmable Thermostats - Office - Low Rise</v>
          </cell>
          <cell r="G143" t="str">
            <v>Thermostats</v>
          </cell>
          <cell r="H143" t="str">
            <v>Commercial</v>
          </cell>
          <cell r="I143" t="str">
            <v>Unit</v>
          </cell>
          <cell r="J143">
            <v>55</v>
          </cell>
          <cell r="K143">
            <v>5</v>
          </cell>
          <cell r="L143">
            <v>14.399999999999979</v>
          </cell>
          <cell r="M143">
            <v>0</v>
          </cell>
          <cell r="N143">
            <v>150</v>
          </cell>
          <cell r="O143">
            <v>20</v>
          </cell>
          <cell r="P143">
            <v>60</v>
          </cell>
          <cell r="Q143">
            <v>0</v>
          </cell>
          <cell r="R143"/>
          <cell r="S143">
            <v>181</v>
          </cell>
          <cell r="T143"/>
          <cell r="U143"/>
          <cell r="V143">
            <v>4</v>
          </cell>
          <cell r="W143">
            <v>181</v>
          </cell>
        </row>
        <row r="144">
          <cell r="A144" t="str">
            <v>4.4.18.4</v>
          </cell>
          <cell r="B144" t="str">
            <v>TRM103.4</v>
          </cell>
          <cell r="C144" t="str">
            <v>V8</v>
          </cell>
          <cell r="D144" t="str">
            <v>CI-HVC-PROG-V02-190101</v>
          </cell>
          <cell r="E144" t="str">
            <v>Programmable Thermostats - Religious Facility</v>
          </cell>
          <cell r="F144" t="str">
            <v>Programmable Thermostats - Religious Facility</v>
          </cell>
          <cell r="G144" t="str">
            <v>Thermostats</v>
          </cell>
          <cell r="H144" t="str">
            <v>Commercial</v>
          </cell>
          <cell r="I144" t="str">
            <v>Unit</v>
          </cell>
          <cell r="J144">
            <v>133</v>
          </cell>
          <cell r="K144">
            <v>5</v>
          </cell>
          <cell r="L144">
            <v>47.114999999999974</v>
          </cell>
          <cell r="M144">
            <v>0</v>
          </cell>
          <cell r="N144">
            <v>150</v>
          </cell>
          <cell r="O144">
            <v>20</v>
          </cell>
          <cell r="P144">
            <v>60</v>
          </cell>
          <cell r="Q144">
            <v>0</v>
          </cell>
          <cell r="R144"/>
          <cell r="S144">
            <v>181</v>
          </cell>
          <cell r="T144"/>
          <cell r="U144"/>
          <cell r="V144">
            <v>4</v>
          </cell>
          <cell r="W144">
            <v>181</v>
          </cell>
        </row>
        <row r="145">
          <cell r="A145" t="str">
            <v>4.4.18.5</v>
          </cell>
          <cell r="B145" t="str">
            <v>TRM103.5</v>
          </cell>
          <cell r="C145" t="str">
            <v>V8</v>
          </cell>
          <cell r="D145" t="str">
            <v>CI-HVC-PROG-V02-190101</v>
          </cell>
          <cell r="E145" t="str">
            <v>Programmable Thermostats - Restaurant – Fast Food</v>
          </cell>
          <cell r="F145" t="str">
            <v>Programmable Thermostats - Restaurant – Fast Food</v>
          </cell>
          <cell r="G145" t="str">
            <v>Thermostats</v>
          </cell>
          <cell r="H145" t="str">
            <v>Commercial</v>
          </cell>
          <cell r="I145" t="str">
            <v>Unit</v>
          </cell>
          <cell r="J145">
            <v>108</v>
          </cell>
          <cell r="K145">
            <v>5</v>
          </cell>
          <cell r="L145">
            <v>71.79000000000002</v>
          </cell>
          <cell r="M145">
            <v>0</v>
          </cell>
          <cell r="N145">
            <v>150</v>
          </cell>
          <cell r="O145">
            <v>20</v>
          </cell>
          <cell r="P145">
            <v>60</v>
          </cell>
          <cell r="Q145">
            <v>0</v>
          </cell>
          <cell r="R145"/>
          <cell r="S145">
            <v>181</v>
          </cell>
          <cell r="T145"/>
          <cell r="U145"/>
          <cell r="V145">
            <v>4</v>
          </cell>
          <cell r="W145">
            <v>181</v>
          </cell>
        </row>
        <row r="146">
          <cell r="A146" t="str">
            <v>4.4.18.6</v>
          </cell>
          <cell r="B146" t="str">
            <v>TRM103.6</v>
          </cell>
          <cell r="C146" t="str">
            <v>V8</v>
          </cell>
          <cell r="D146" t="str">
            <v>CI-HVC-PROG-V02-190101</v>
          </cell>
          <cell r="E146" t="str">
            <v>Programmable Thermostats - Restaurant – Full Service</v>
          </cell>
          <cell r="F146" t="str">
            <v>Programmable Thermostats - Restaurant – Full Service</v>
          </cell>
          <cell r="G146" t="str">
            <v>Thermostats</v>
          </cell>
          <cell r="H146" t="str">
            <v>Commercial</v>
          </cell>
          <cell r="I146" t="str">
            <v>Unit</v>
          </cell>
          <cell r="J146">
            <v>117</v>
          </cell>
          <cell r="K146">
            <v>5</v>
          </cell>
          <cell r="L146">
            <v>30.835499999999971</v>
          </cell>
          <cell r="M146">
            <v>0</v>
          </cell>
          <cell r="N146">
            <v>150</v>
          </cell>
          <cell r="O146">
            <v>20</v>
          </cell>
          <cell r="P146">
            <v>60</v>
          </cell>
          <cell r="Q146">
            <v>0</v>
          </cell>
          <cell r="R146"/>
          <cell r="S146">
            <v>181</v>
          </cell>
          <cell r="T146"/>
          <cell r="U146"/>
          <cell r="V146">
            <v>4</v>
          </cell>
          <cell r="W146">
            <v>181</v>
          </cell>
        </row>
        <row r="147">
          <cell r="A147" t="str">
            <v>4.4.18.7</v>
          </cell>
          <cell r="B147" t="str">
            <v>TRM103.7</v>
          </cell>
          <cell r="C147" t="str">
            <v>V8</v>
          </cell>
          <cell r="D147" t="str">
            <v>CI-HVC-PROG-V02-190101</v>
          </cell>
          <cell r="E147" t="str">
            <v>Programmable Thermostats - Retail – Department Store</v>
          </cell>
          <cell r="F147" t="str">
            <v>Programmable Thermostats - Retail – Department Store</v>
          </cell>
          <cell r="G147" t="str">
            <v>Thermostats</v>
          </cell>
          <cell r="H147" t="str">
            <v>Commercial</v>
          </cell>
          <cell r="I147" t="str">
            <v>Unit</v>
          </cell>
          <cell r="J147">
            <v>93</v>
          </cell>
          <cell r="K147">
            <v>5</v>
          </cell>
          <cell r="L147">
            <v>36.310500000000005</v>
          </cell>
          <cell r="M147">
            <v>0</v>
          </cell>
          <cell r="N147">
            <v>150</v>
          </cell>
          <cell r="O147">
            <v>20</v>
          </cell>
          <cell r="P147">
            <v>60</v>
          </cell>
          <cell r="Q147">
            <v>0</v>
          </cell>
          <cell r="R147"/>
          <cell r="S147">
            <v>181</v>
          </cell>
          <cell r="T147"/>
          <cell r="U147"/>
          <cell r="V147">
            <v>4</v>
          </cell>
          <cell r="W147">
            <v>181</v>
          </cell>
        </row>
        <row r="148">
          <cell r="A148" t="str">
            <v>4.4.18.8</v>
          </cell>
          <cell r="B148" t="str">
            <v>TRM103.8</v>
          </cell>
          <cell r="C148" t="str">
            <v>V8</v>
          </cell>
          <cell r="D148" t="str">
            <v>CI-HVC-PROG-V02-190101</v>
          </cell>
          <cell r="E148" t="str">
            <v>Programmable Thermostats - Retail – Strip Mall</v>
          </cell>
          <cell r="F148" t="str">
            <v>Programmable Thermostats - Retail – Strip Mall</v>
          </cell>
          <cell r="G148" t="str">
            <v>Thermostats</v>
          </cell>
          <cell r="H148" t="str">
            <v>Commercial</v>
          </cell>
          <cell r="I148" t="str">
            <v>Unit</v>
          </cell>
          <cell r="J148">
            <v>93</v>
          </cell>
          <cell r="K148">
            <v>5</v>
          </cell>
          <cell r="L148">
            <v>43.762499999999996</v>
          </cell>
          <cell r="M148">
            <v>0</v>
          </cell>
          <cell r="N148">
            <v>150</v>
          </cell>
          <cell r="O148">
            <v>20</v>
          </cell>
          <cell r="P148">
            <v>60</v>
          </cell>
          <cell r="Q148">
            <v>0</v>
          </cell>
          <cell r="R148"/>
          <cell r="S148">
            <v>181</v>
          </cell>
          <cell r="T148"/>
          <cell r="U148"/>
          <cell r="V148">
            <v>4</v>
          </cell>
          <cell r="W148">
            <v>181</v>
          </cell>
        </row>
        <row r="149">
          <cell r="A149"/>
          <cell r="B149"/>
          <cell r="C149"/>
          <cell r="D149"/>
          <cell r="E149"/>
          <cell r="F149"/>
          <cell r="G149"/>
          <cell r="H149"/>
          <cell r="I149"/>
          <cell r="J149"/>
          <cell r="K149"/>
          <cell r="L149"/>
          <cell r="M149"/>
          <cell r="N149"/>
          <cell r="O149"/>
          <cell r="P149"/>
          <cell r="Q149"/>
          <cell r="R149"/>
          <cell r="S149"/>
          <cell r="T149"/>
          <cell r="U149"/>
          <cell r="V149"/>
          <cell r="W149"/>
        </row>
        <row r="150">
          <cell r="A150" t="str">
            <v>4.4.19</v>
          </cell>
          <cell r="B150" t="str">
            <v>TRM104.1</v>
          </cell>
          <cell r="C150" t="str">
            <v>V8</v>
          </cell>
          <cell r="D150" t="str">
            <v>CI-HVC-DCV-V05-190101</v>
          </cell>
          <cell r="E150" t="str">
            <v>Demand Controlled Ventilation - Office Building</v>
          </cell>
          <cell r="F150" t="str">
            <v>DCV - Office Building</v>
          </cell>
          <cell r="G150" t="str">
            <v>Controls</v>
          </cell>
          <cell r="H150" t="str">
            <v>Commercial</v>
          </cell>
          <cell r="I150" t="str">
            <v>Unit</v>
          </cell>
          <cell r="J150">
            <v>52079.78333333334</v>
          </cell>
          <cell r="K150">
            <v>0</v>
          </cell>
          <cell r="L150">
            <v>4625.05</v>
          </cell>
          <cell r="M150">
            <v>0</v>
          </cell>
          <cell r="N150">
            <v>520797.83333333337</v>
          </cell>
          <cell r="O150">
            <v>0</v>
          </cell>
          <cell r="P150">
            <v>46250.5</v>
          </cell>
          <cell r="Q150">
            <v>0</v>
          </cell>
          <cell r="R150"/>
          <cell r="S150">
            <v>20850</v>
          </cell>
          <cell r="T150"/>
          <cell r="U150"/>
          <cell r="V150">
            <v>10</v>
          </cell>
          <cell r="W150">
            <v>20850</v>
          </cell>
        </row>
        <row r="151">
          <cell r="A151" t="str">
            <v>4.4.19.2</v>
          </cell>
          <cell r="B151" t="str">
            <v>TRM104.2</v>
          </cell>
          <cell r="C151" t="str">
            <v>V8</v>
          </cell>
          <cell r="D151" t="str">
            <v>CI-HVC-DCV-V05-190101</v>
          </cell>
          <cell r="E151" t="str">
            <v>Demand Controlled Ventilation - Restaurant</v>
          </cell>
          <cell r="F151" t="str">
            <v>DCV - Restaurant</v>
          </cell>
          <cell r="G151" t="str">
            <v>Controls</v>
          </cell>
          <cell r="H151" t="str">
            <v>Commercial</v>
          </cell>
          <cell r="I151" t="str">
            <v>Unit</v>
          </cell>
          <cell r="J151">
            <v>3845.2499999999991</v>
          </cell>
          <cell r="K151">
            <v>0</v>
          </cell>
          <cell r="L151">
            <v>942</v>
          </cell>
          <cell r="M151">
            <v>0</v>
          </cell>
          <cell r="N151">
            <v>38452.499999999993</v>
          </cell>
          <cell r="O151">
            <v>0</v>
          </cell>
          <cell r="P151">
            <v>9420</v>
          </cell>
          <cell r="Q151">
            <v>0</v>
          </cell>
          <cell r="R151"/>
          <cell r="S151">
            <v>1750</v>
          </cell>
          <cell r="T151"/>
          <cell r="U151"/>
          <cell r="V151">
            <v>10</v>
          </cell>
          <cell r="W151">
            <v>1750</v>
          </cell>
        </row>
        <row r="152">
          <cell r="A152" t="str">
            <v>4.4.19.3</v>
          </cell>
          <cell r="B152" t="str">
            <v>TRM104.3</v>
          </cell>
          <cell r="C152" t="str">
            <v>V8</v>
          </cell>
          <cell r="D152" t="str">
            <v>CI-HVC-DCV-V05-190101</v>
          </cell>
          <cell r="E152" t="str">
            <v>Demand Controlled Ventilation - De-fault</v>
          </cell>
          <cell r="F152" t="str">
            <v>DCV - Default</v>
          </cell>
          <cell r="G152" t="str">
            <v>Controls</v>
          </cell>
          <cell r="H152" t="str">
            <v>Commercial</v>
          </cell>
          <cell r="I152" t="str">
            <v>Unit</v>
          </cell>
          <cell r="J152">
            <v>61567</v>
          </cell>
          <cell r="K152">
            <v>0</v>
          </cell>
          <cell r="L152">
            <v>11212.849999999997</v>
          </cell>
          <cell r="M152">
            <v>0</v>
          </cell>
          <cell r="N152">
            <v>615670</v>
          </cell>
          <cell r="O152">
            <v>0</v>
          </cell>
          <cell r="P152">
            <v>112128.49999999997</v>
          </cell>
          <cell r="Q152">
            <v>0</v>
          </cell>
          <cell r="R152"/>
          <cell r="S152">
            <v>16950</v>
          </cell>
          <cell r="T152"/>
          <cell r="U152"/>
          <cell r="V152">
            <v>10</v>
          </cell>
          <cell r="W152">
            <v>16950</v>
          </cell>
        </row>
        <row r="153">
          <cell r="A153" t="str">
            <v>4.4.19.7</v>
          </cell>
          <cell r="B153" t="str">
            <v>TRM104.3</v>
          </cell>
          <cell r="C153" t="str">
            <v>V8</v>
          </cell>
          <cell r="D153" t="str">
            <v>CI-HVC-DCV-V05-190101</v>
          </cell>
          <cell r="E153" t="str">
            <v>Demand Controlled Ventilation - Religious Building</v>
          </cell>
          <cell r="F153" t="str">
            <v>DCV - Religions Building</v>
          </cell>
          <cell r="G153" t="str">
            <v>Controls</v>
          </cell>
          <cell r="H153" t="str">
            <v>Commercial</v>
          </cell>
          <cell r="I153" t="str">
            <v>Unit</v>
          </cell>
          <cell r="J153">
            <v>23565</v>
          </cell>
          <cell r="K153">
            <v>0</v>
          </cell>
          <cell r="L153">
            <v>5268</v>
          </cell>
          <cell r="M153">
            <v>0</v>
          </cell>
          <cell r="N153">
            <v>235650</v>
          </cell>
          <cell r="O153">
            <v>0</v>
          </cell>
          <cell r="P153">
            <v>52680</v>
          </cell>
          <cell r="Q153">
            <v>0</v>
          </cell>
          <cell r="R153"/>
          <cell r="S153">
            <v>4000</v>
          </cell>
          <cell r="T153"/>
          <cell r="U153"/>
          <cell r="V153">
            <v>10</v>
          </cell>
          <cell r="W153">
            <v>4000</v>
          </cell>
        </row>
        <row r="154">
          <cell r="A154" t="str">
            <v>4.4.19.8</v>
          </cell>
          <cell r="B154" t="str">
            <v>TRM104.3</v>
          </cell>
          <cell r="C154" t="str">
            <v>V8</v>
          </cell>
          <cell r="D154" t="str">
            <v>CI-HVC-DCV-V05-190101</v>
          </cell>
          <cell r="E154" t="str">
            <v>Demand Controlled Ventilation - Retail</v>
          </cell>
          <cell r="F154" t="str">
            <v>DCV - Retail</v>
          </cell>
          <cell r="G154" t="str">
            <v>Controls</v>
          </cell>
          <cell r="H154" t="str">
            <v>Commercial</v>
          </cell>
          <cell r="I154" t="str">
            <v>Unit</v>
          </cell>
          <cell r="J154">
            <v>7987.2</v>
          </cell>
          <cell r="K154">
            <v>0</v>
          </cell>
          <cell r="L154">
            <v>859.20000000000016</v>
          </cell>
          <cell r="M154">
            <v>0</v>
          </cell>
          <cell r="N154">
            <v>79872</v>
          </cell>
          <cell r="O154">
            <v>0</v>
          </cell>
          <cell r="P154">
            <v>8592.0000000000018</v>
          </cell>
          <cell r="Q154">
            <v>0</v>
          </cell>
          <cell r="R154"/>
          <cell r="S154">
            <v>3400</v>
          </cell>
          <cell r="T154"/>
          <cell r="U154"/>
          <cell r="V154">
            <v>10</v>
          </cell>
          <cell r="W154">
            <v>3400</v>
          </cell>
        </row>
        <row r="155">
          <cell r="A155" t="str">
            <v>4.4.19.9</v>
          </cell>
          <cell r="B155" t="str">
            <v>TRM104.3</v>
          </cell>
          <cell r="C155" t="str">
            <v>V8</v>
          </cell>
          <cell r="D155" t="str">
            <v>CI-HVC-DCV-V05-190101</v>
          </cell>
          <cell r="E155" t="str">
            <v>Demand Controlled Ventilation - Convenience Store</v>
          </cell>
          <cell r="F155" t="str">
            <v>DCV - Convenience Store</v>
          </cell>
          <cell r="G155" t="str">
            <v>Controls</v>
          </cell>
          <cell r="H155" t="str">
            <v>Commercial</v>
          </cell>
          <cell r="I155" t="str">
            <v>Unit</v>
          </cell>
          <cell r="J155">
            <v>2145</v>
          </cell>
          <cell r="K155">
            <v>0</v>
          </cell>
          <cell r="L155">
            <v>127.8</v>
          </cell>
          <cell r="M155">
            <v>0</v>
          </cell>
          <cell r="N155">
            <v>21450</v>
          </cell>
          <cell r="O155">
            <v>0</v>
          </cell>
          <cell r="P155">
            <v>1278</v>
          </cell>
          <cell r="Q155">
            <v>0</v>
          </cell>
          <cell r="R155"/>
          <cell r="S155">
            <v>1600</v>
          </cell>
          <cell r="T155"/>
          <cell r="U155"/>
          <cell r="V155">
            <v>10</v>
          </cell>
          <cell r="W155">
            <v>1600</v>
          </cell>
        </row>
        <row r="156">
          <cell r="A156" t="str">
            <v>4.4.19.10</v>
          </cell>
          <cell r="B156" t="str">
            <v>TRM104.3</v>
          </cell>
          <cell r="C156" t="str">
            <v>V8</v>
          </cell>
          <cell r="D156" t="str">
            <v>CI-HVC-DCV-V05-190101</v>
          </cell>
          <cell r="E156" t="str">
            <v>Demand Controlled Ventilation - Elementary and High School</v>
          </cell>
          <cell r="F156" t="str">
            <v>DCV - Elementary and High School</v>
          </cell>
          <cell r="G156" t="str">
            <v>Controls</v>
          </cell>
          <cell r="H156" t="str">
            <v>Commercial</v>
          </cell>
          <cell r="I156" t="str">
            <v>Unit</v>
          </cell>
          <cell r="J156">
            <v>54682.5</v>
          </cell>
          <cell r="K156">
            <v>0</v>
          </cell>
          <cell r="L156">
            <v>11175</v>
          </cell>
          <cell r="M156">
            <v>0</v>
          </cell>
          <cell r="N156">
            <v>546825</v>
          </cell>
          <cell r="O156">
            <v>0</v>
          </cell>
          <cell r="P156">
            <v>111750</v>
          </cell>
          <cell r="Q156">
            <v>0</v>
          </cell>
          <cell r="R156"/>
          <cell r="S156">
            <v>16000</v>
          </cell>
          <cell r="T156"/>
          <cell r="U156"/>
          <cell r="V156">
            <v>10</v>
          </cell>
          <cell r="W156">
            <v>16000</v>
          </cell>
        </row>
        <row r="157">
          <cell r="A157" t="str">
            <v>4.4.19.11</v>
          </cell>
          <cell r="B157" t="str">
            <v>TRM104.3</v>
          </cell>
          <cell r="C157" t="str">
            <v>V8</v>
          </cell>
          <cell r="D157" t="str">
            <v>CI-HVC-DCV-V05-190101</v>
          </cell>
          <cell r="E157" t="str">
            <v xml:space="preserve">Demand Controlled Ventilation - College/University </v>
          </cell>
          <cell r="F157" t="str">
            <v>DCV - College/University</v>
          </cell>
          <cell r="G157" t="str">
            <v>Controls</v>
          </cell>
          <cell r="H157" t="str">
            <v>Commercial</v>
          </cell>
          <cell r="I157" t="str">
            <v>Unit</v>
          </cell>
          <cell r="J157">
            <v>422800</v>
          </cell>
          <cell r="K157">
            <v>0</v>
          </cell>
          <cell r="L157">
            <v>146900</v>
          </cell>
          <cell r="M157">
            <v>0</v>
          </cell>
          <cell r="N157">
            <v>4228000</v>
          </cell>
          <cell r="O157">
            <v>0</v>
          </cell>
          <cell r="P157">
            <v>1469000</v>
          </cell>
          <cell r="Q157">
            <v>0</v>
          </cell>
          <cell r="R157"/>
          <cell r="S157">
            <v>101000</v>
          </cell>
          <cell r="T157"/>
          <cell r="U157"/>
          <cell r="V157">
            <v>10</v>
          </cell>
          <cell r="W157">
            <v>101000</v>
          </cell>
        </row>
        <row r="158">
          <cell r="A158" t="str">
            <v>4.4.19.12</v>
          </cell>
          <cell r="B158" t="str">
            <v>TRM104.3</v>
          </cell>
          <cell r="C158" t="str">
            <v>V8</v>
          </cell>
          <cell r="D158" t="str">
            <v>CI-HVC-DCV-V05-190101</v>
          </cell>
          <cell r="E158" t="str">
            <v>Demand Controlled Ventilation - Healthcare Clinic</v>
          </cell>
          <cell r="F158" t="str">
            <v>DCV - Healthcare Clinic</v>
          </cell>
          <cell r="G158" t="str">
            <v>Controls</v>
          </cell>
          <cell r="H158" t="str">
            <v>Commercial</v>
          </cell>
          <cell r="I158" t="str">
            <v>Unit</v>
          </cell>
          <cell r="J158">
            <v>24030</v>
          </cell>
          <cell r="K158">
            <v>0</v>
          </cell>
          <cell r="L158">
            <v>3523.5</v>
          </cell>
          <cell r="M158">
            <v>0</v>
          </cell>
          <cell r="N158">
            <v>240300</v>
          </cell>
          <cell r="O158">
            <v>0</v>
          </cell>
          <cell r="P158">
            <v>35235</v>
          </cell>
          <cell r="Q158">
            <v>0</v>
          </cell>
          <cell r="R158"/>
          <cell r="S158">
            <v>7750</v>
          </cell>
          <cell r="T158"/>
          <cell r="U158"/>
          <cell r="V158">
            <v>10</v>
          </cell>
          <cell r="W158">
            <v>7750</v>
          </cell>
        </row>
        <row r="159">
          <cell r="A159" t="str">
            <v>4.4.19.13</v>
          </cell>
          <cell r="B159" t="str">
            <v>TRM104.3</v>
          </cell>
          <cell r="C159" t="str">
            <v>V8</v>
          </cell>
          <cell r="D159" t="str">
            <v>CI-HVC-DCV-V05-190101</v>
          </cell>
          <cell r="E159" t="str">
            <v>Demand Controlled Ventilation - lodging</v>
          </cell>
          <cell r="F159" t="str">
            <v>DCV - lodging</v>
          </cell>
          <cell r="G159" t="str">
            <v>Controls</v>
          </cell>
          <cell r="H159" t="str">
            <v>Commercial</v>
          </cell>
          <cell r="I159" t="str">
            <v>Unit</v>
          </cell>
          <cell r="J159">
            <v>22948.799999999999</v>
          </cell>
          <cell r="K159">
            <v>0</v>
          </cell>
          <cell r="L159">
            <v>1321.5999999999997</v>
          </cell>
          <cell r="M159">
            <v>0</v>
          </cell>
          <cell r="N159">
            <v>229488</v>
          </cell>
          <cell r="O159">
            <v>0</v>
          </cell>
          <cell r="P159">
            <v>13215.999999999996</v>
          </cell>
          <cell r="Q159">
            <v>0</v>
          </cell>
          <cell r="R159"/>
          <cell r="S159">
            <v>6600</v>
          </cell>
          <cell r="T159"/>
          <cell r="U159"/>
          <cell r="V159">
            <v>10</v>
          </cell>
          <cell r="W159">
            <v>6600</v>
          </cell>
        </row>
        <row r="160">
          <cell r="A160" t="str">
            <v>4.4.19.14</v>
          </cell>
          <cell r="B160" t="str">
            <v>TRM104.3</v>
          </cell>
          <cell r="C160" t="str">
            <v>V8</v>
          </cell>
          <cell r="D160" t="str">
            <v>CI-HVC-DCV-V05-190101</v>
          </cell>
          <cell r="E160" t="str">
            <v>Demand Controlled Ventilation - Manufacturing</v>
          </cell>
          <cell r="F160" t="str">
            <v>DCV - Manufacturing</v>
          </cell>
          <cell r="G160" t="str">
            <v>Controls</v>
          </cell>
          <cell r="H160" t="str">
            <v>Commercial</v>
          </cell>
          <cell r="I160" t="str">
            <v>Unit</v>
          </cell>
          <cell r="J160">
            <v>44250</v>
          </cell>
          <cell r="K160">
            <v>0</v>
          </cell>
          <cell r="L160">
            <v>3850</v>
          </cell>
          <cell r="M160">
            <v>0</v>
          </cell>
          <cell r="N160">
            <v>442500</v>
          </cell>
          <cell r="O160">
            <v>0</v>
          </cell>
          <cell r="P160">
            <v>38500</v>
          </cell>
          <cell r="Q160">
            <v>0</v>
          </cell>
          <cell r="R160"/>
          <cell r="S160">
            <v>26000</v>
          </cell>
          <cell r="T160"/>
          <cell r="U160"/>
          <cell r="V160">
            <v>10</v>
          </cell>
          <cell r="W160">
            <v>26000</v>
          </cell>
        </row>
        <row r="161">
          <cell r="A161" t="str">
            <v>4.4.19.15</v>
          </cell>
          <cell r="B161" t="str">
            <v>TRM104.3</v>
          </cell>
          <cell r="C161" t="str">
            <v>V8</v>
          </cell>
          <cell r="D161" t="str">
            <v>CI-HVC-DCV-V05-190101</v>
          </cell>
          <cell r="E161" t="str">
            <v>Demand Controlled Ventilation - Special Assembly Auditorium</v>
          </cell>
          <cell r="F161" t="str">
            <v>DCV - Special Assembly Auditorium</v>
          </cell>
          <cell r="G161" t="str">
            <v>Controls</v>
          </cell>
          <cell r="H161" t="str">
            <v>Commercial</v>
          </cell>
          <cell r="I161" t="str">
            <v>Unit</v>
          </cell>
          <cell r="J161">
            <v>20450.5</v>
          </cell>
          <cell r="K161">
            <v>0</v>
          </cell>
          <cell r="L161">
            <v>7217</v>
          </cell>
          <cell r="M161">
            <v>0</v>
          </cell>
          <cell r="N161">
            <v>204505</v>
          </cell>
          <cell r="O161">
            <v>0</v>
          </cell>
          <cell r="P161">
            <v>72170</v>
          </cell>
          <cell r="Q161">
            <v>0</v>
          </cell>
          <cell r="R161"/>
          <cell r="S161">
            <v>4500</v>
          </cell>
          <cell r="T161"/>
          <cell r="U161"/>
          <cell r="V161">
            <v>10</v>
          </cell>
          <cell r="W161">
            <v>4500</v>
          </cell>
        </row>
        <row r="162">
          <cell r="A162" t="str">
            <v>4.4.19.16</v>
          </cell>
          <cell r="B162" t="str">
            <v>TRM104.3</v>
          </cell>
          <cell r="C162" t="str">
            <v>V8</v>
          </cell>
          <cell r="D162" t="str">
            <v>CI-HVC-DCV-V05-190101</v>
          </cell>
          <cell r="E162" t="str">
            <v>Demand Controlled Ventilation - Office - Low-rise</v>
          </cell>
          <cell r="F162" t="str">
            <v>DCV - Office Low Rise</v>
          </cell>
          <cell r="G162" t="str">
            <v>Controls</v>
          </cell>
          <cell r="H162" t="str">
            <v>Commercial</v>
          </cell>
          <cell r="I162" t="str">
            <v>Unit</v>
          </cell>
          <cell r="J162">
            <v>2165.9999999999995</v>
          </cell>
          <cell r="K162">
            <v>0</v>
          </cell>
          <cell r="L162">
            <v>201.75</v>
          </cell>
          <cell r="M162">
            <v>0</v>
          </cell>
          <cell r="N162">
            <v>21659.999999999996</v>
          </cell>
          <cell r="O162">
            <v>0</v>
          </cell>
          <cell r="P162">
            <v>2017.5</v>
          </cell>
          <cell r="Q162">
            <v>0</v>
          </cell>
          <cell r="R162"/>
          <cell r="S162">
            <v>1750</v>
          </cell>
          <cell r="T162"/>
          <cell r="U162"/>
          <cell r="V162">
            <v>10</v>
          </cell>
          <cell r="W162">
            <v>1750</v>
          </cell>
        </row>
        <row r="163">
          <cell r="A163" t="str">
            <v>4.4.19.17</v>
          </cell>
          <cell r="B163" t="str">
            <v>TRM104.3</v>
          </cell>
          <cell r="C163" t="str">
            <v>V8</v>
          </cell>
          <cell r="D163" t="str">
            <v>CI-HVC-DCV-V05-190101</v>
          </cell>
          <cell r="E163" t="str">
            <v>Demand Controlled Ventilation - Small Building (custom)</v>
          </cell>
          <cell r="F163" t="str">
            <v>DCV - Small Building (custom)</v>
          </cell>
          <cell r="G163" t="str">
            <v>Controls</v>
          </cell>
          <cell r="H163" t="str">
            <v>Commercial</v>
          </cell>
          <cell r="I163" t="str">
            <v>Unit</v>
          </cell>
          <cell r="J163">
            <v>2147.0999999999995</v>
          </cell>
          <cell r="K163">
            <v>0</v>
          </cell>
          <cell r="L163">
            <v>303.59999999999997</v>
          </cell>
          <cell r="M163">
            <v>0</v>
          </cell>
          <cell r="N163">
            <v>21470.999999999993</v>
          </cell>
          <cell r="O163">
            <v>0</v>
          </cell>
          <cell r="P163">
            <v>3035.9999999999995</v>
          </cell>
          <cell r="Q163">
            <v>0</v>
          </cell>
          <cell r="R163"/>
          <cell r="S163">
            <v>1600</v>
          </cell>
          <cell r="T163"/>
          <cell r="U163"/>
          <cell r="V163">
            <v>10</v>
          </cell>
          <cell r="W163">
            <v>1600</v>
          </cell>
        </row>
        <row r="164">
          <cell r="A164" t="str">
            <v>4.4.19.18</v>
          </cell>
          <cell r="B164" t="str">
            <v>TRM104.3</v>
          </cell>
          <cell r="C164" t="str">
            <v>V8</v>
          </cell>
          <cell r="D164" t="str">
            <v>CI-HVC-DCV-V05-190101</v>
          </cell>
          <cell r="E164" t="str">
            <v>Demand Controlled Ventilation - Small College (custom)</v>
          </cell>
          <cell r="F164" t="str">
            <v>DCV - Small College (custom)</v>
          </cell>
          <cell r="G164" t="str">
            <v>Controls</v>
          </cell>
          <cell r="H164" t="str">
            <v>Commercial</v>
          </cell>
          <cell r="I164" t="str">
            <v>Unit</v>
          </cell>
          <cell r="J164">
            <v>10570</v>
          </cell>
          <cell r="K164">
            <v>0</v>
          </cell>
          <cell r="L164">
            <v>3672.5</v>
          </cell>
          <cell r="M164">
            <v>0</v>
          </cell>
          <cell r="N164">
            <v>105700</v>
          </cell>
          <cell r="O164">
            <v>0</v>
          </cell>
          <cell r="P164">
            <v>36725</v>
          </cell>
          <cell r="Q164">
            <v>0</v>
          </cell>
          <cell r="R164"/>
          <cell r="S164">
            <v>3500</v>
          </cell>
          <cell r="T164"/>
          <cell r="U164"/>
          <cell r="V164">
            <v>10</v>
          </cell>
          <cell r="W164">
            <v>3500</v>
          </cell>
        </row>
        <row r="165">
          <cell r="A165" t="str">
            <v>4.4.19.19</v>
          </cell>
          <cell r="B165" t="str">
            <v>TRM104.3</v>
          </cell>
          <cell r="C165" t="str">
            <v>V8</v>
          </cell>
          <cell r="D165" t="str">
            <v>CI-HVC-DCV-V05-190101</v>
          </cell>
          <cell r="E165" t="str">
            <v>Demand Controlled Ventilation - Small Elementary and High School (custom)</v>
          </cell>
          <cell r="F165" t="str">
            <v>DCV - Small Elementary and High School (custom)</v>
          </cell>
          <cell r="G165" t="str">
            <v>Controls</v>
          </cell>
          <cell r="H165" t="str">
            <v>Commercial</v>
          </cell>
          <cell r="I165" t="str">
            <v>Unit</v>
          </cell>
          <cell r="J165">
            <v>27341.25</v>
          </cell>
          <cell r="K165">
            <v>0</v>
          </cell>
          <cell r="L165">
            <v>5587.5</v>
          </cell>
          <cell r="M165">
            <v>0</v>
          </cell>
          <cell r="N165">
            <v>273412.5</v>
          </cell>
          <cell r="O165">
            <v>0</v>
          </cell>
          <cell r="P165">
            <v>55875</v>
          </cell>
          <cell r="Q165">
            <v>0</v>
          </cell>
          <cell r="R165"/>
          <cell r="S165">
            <v>8500</v>
          </cell>
          <cell r="T165"/>
          <cell r="U165"/>
          <cell r="V165">
            <v>10</v>
          </cell>
          <cell r="W165">
            <v>8500</v>
          </cell>
        </row>
        <row r="166">
          <cell r="A166"/>
          <cell r="B166"/>
          <cell r="C166"/>
          <cell r="D166"/>
          <cell r="E166"/>
          <cell r="F166"/>
          <cell r="G166"/>
          <cell r="H166"/>
          <cell r="I166"/>
          <cell r="J166"/>
          <cell r="K166"/>
          <cell r="L166"/>
          <cell r="M166"/>
          <cell r="N166"/>
          <cell r="O166"/>
          <cell r="P166"/>
          <cell r="Q166"/>
          <cell r="R166"/>
          <cell r="S166"/>
          <cell r="T166"/>
          <cell r="U166"/>
          <cell r="V166"/>
          <cell r="W166"/>
        </row>
        <row r="167">
          <cell r="A167" t="str">
            <v>4.4.20</v>
          </cell>
          <cell r="B167" t="str">
            <v>TRM114</v>
          </cell>
          <cell r="C167" t="str">
            <v>V8</v>
          </cell>
          <cell r="D167" t="str">
            <v>CI-HVAC-HTBC-V04-140601</v>
          </cell>
          <cell r="E167" t="str">
            <v>High Turndown Burner for Space Heating Boilers</v>
          </cell>
          <cell r="F167" t="str">
            <v>High Turndown Burner</v>
          </cell>
          <cell r="G167" t="str">
            <v>Boilers</v>
          </cell>
          <cell r="H167" t="str">
            <v>Commercial</v>
          </cell>
          <cell r="I167" t="str">
            <v>Project</v>
          </cell>
          <cell r="J167">
            <v>0</v>
          </cell>
          <cell r="K167">
            <v>0</v>
          </cell>
          <cell r="L167">
            <v>294.00000000000006</v>
          </cell>
          <cell r="M167"/>
          <cell r="N167">
            <v>0</v>
          </cell>
          <cell r="O167">
            <v>0</v>
          </cell>
          <cell r="P167">
            <v>6174.0000000000009</v>
          </cell>
          <cell r="Q167"/>
          <cell r="R167"/>
          <cell r="S167"/>
          <cell r="T167"/>
          <cell r="U167"/>
          <cell r="V167">
            <v>21</v>
          </cell>
          <cell r="W167">
            <v>2023.9999999999998</v>
          </cell>
        </row>
        <row r="168">
          <cell r="A168"/>
          <cell r="B168"/>
          <cell r="C168"/>
          <cell r="D168"/>
          <cell r="E168"/>
          <cell r="F168"/>
          <cell r="G168"/>
          <cell r="H168"/>
          <cell r="I168"/>
          <cell r="J168"/>
          <cell r="K168"/>
          <cell r="L168"/>
          <cell r="M168"/>
          <cell r="N168"/>
          <cell r="O168"/>
          <cell r="P168"/>
          <cell r="Q168"/>
          <cell r="R168"/>
          <cell r="S168"/>
          <cell r="T168"/>
          <cell r="U168"/>
          <cell r="V168"/>
          <cell r="W168"/>
        </row>
        <row r="169">
          <cell r="A169" t="str">
            <v>4.4.21.2</v>
          </cell>
          <cell r="B169" t="str">
            <v>TRM105</v>
          </cell>
          <cell r="C169" t="str">
            <v>V8</v>
          </cell>
          <cell r="D169" t="str">
            <v>CI-HVC-LBC-V05-160601</v>
          </cell>
          <cell r="E169" t="str">
            <v>Linkageless Boiler Controls for Space Heating - Public Sector</v>
          </cell>
          <cell r="F169" t="str">
            <v>Linkageless Controls - Public Sector</v>
          </cell>
          <cell r="G169" t="str">
            <v>Boilers</v>
          </cell>
          <cell r="H169" t="str">
            <v>Commercial</v>
          </cell>
          <cell r="I169" t="str">
            <v>Project</v>
          </cell>
          <cell r="J169">
            <v>0</v>
          </cell>
          <cell r="K169">
            <v>0</v>
          </cell>
          <cell r="L169">
            <v>0.52832160000000006</v>
          </cell>
          <cell r="M169">
            <v>0</v>
          </cell>
          <cell r="N169">
            <v>0</v>
          </cell>
          <cell r="O169">
            <v>0</v>
          </cell>
          <cell r="P169">
            <v>8.4531456000000009</v>
          </cell>
          <cell r="Q169">
            <v>0</v>
          </cell>
          <cell r="R169"/>
          <cell r="S169"/>
          <cell r="T169"/>
          <cell r="U169"/>
          <cell r="V169">
            <v>16</v>
          </cell>
          <cell r="W169">
            <v>2.5</v>
          </cell>
        </row>
        <row r="170">
          <cell r="A170"/>
          <cell r="B170"/>
          <cell r="C170"/>
          <cell r="D170"/>
          <cell r="E170"/>
          <cell r="F170"/>
          <cell r="G170"/>
          <cell r="H170"/>
          <cell r="I170"/>
          <cell r="J170"/>
          <cell r="K170"/>
          <cell r="L170"/>
          <cell r="M170"/>
          <cell r="N170"/>
          <cell r="O170"/>
          <cell r="P170"/>
          <cell r="Q170"/>
          <cell r="R170"/>
          <cell r="S170"/>
          <cell r="T170"/>
          <cell r="U170"/>
          <cell r="V170"/>
          <cell r="W170"/>
        </row>
        <row r="171">
          <cell r="A171" t="str">
            <v>4.4.22</v>
          </cell>
          <cell r="B171" t="str">
            <v>TRM106</v>
          </cell>
          <cell r="C171" t="str">
            <v>V8</v>
          </cell>
          <cell r="D171" t="str">
            <v>CI-HVC-O2TC-V01-140601</v>
          </cell>
          <cell r="E171" t="str">
            <v>Oxygen Trim Controls</v>
          </cell>
          <cell r="F171" t="str">
            <v>O2 Trim</v>
          </cell>
          <cell r="G171" t="str">
            <v>Boilers</v>
          </cell>
          <cell r="H171" t="str">
            <v>Commercial</v>
          </cell>
          <cell r="I171" t="str">
            <v>Project</v>
          </cell>
          <cell r="J171">
            <v>0</v>
          </cell>
          <cell r="K171">
            <v>0</v>
          </cell>
          <cell r="L171">
            <v>0.22837499999999999</v>
          </cell>
          <cell r="M171">
            <v>0</v>
          </cell>
          <cell r="N171">
            <v>0</v>
          </cell>
          <cell r="O171">
            <v>0</v>
          </cell>
          <cell r="P171">
            <v>4.1107499999999995</v>
          </cell>
          <cell r="Q171">
            <v>0</v>
          </cell>
          <cell r="R171"/>
          <cell r="S171"/>
          <cell r="T171"/>
          <cell r="U171"/>
          <cell r="V171">
            <v>18</v>
          </cell>
          <cell r="W171">
            <v>23250</v>
          </cell>
        </row>
        <row r="172">
          <cell r="A172"/>
          <cell r="B172"/>
          <cell r="C172"/>
          <cell r="D172"/>
          <cell r="E172"/>
          <cell r="F172"/>
          <cell r="G172"/>
          <cell r="H172"/>
          <cell r="I172"/>
          <cell r="J172"/>
          <cell r="K172"/>
          <cell r="L172"/>
          <cell r="M172"/>
          <cell r="N172"/>
          <cell r="O172"/>
          <cell r="P172"/>
          <cell r="Q172"/>
          <cell r="R172"/>
          <cell r="S172"/>
          <cell r="T172"/>
          <cell r="U172"/>
          <cell r="V172"/>
          <cell r="W172"/>
        </row>
        <row r="173">
          <cell r="A173" t="str">
            <v>4.4.23</v>
          </cell>
          <cell r="B173" t="str">
            <v>TRM107</v>
          </cell>
          <cell r="C173" t="str">
            <v>V8</v>
          </cell>
          <cell r="D173" t="str">
            <v>CI-HVC-SODP-V01-140601</v>
          </cell>
          <cell r="E173" t="str">
            <v>Shut Off Damper for Space Heating Boilers or Furnaces</v>
          </cell>
          <cell r="F173" t="str">
            <v>Shut Off Damper for Space Heating Boilers or Furnaces</v>
          </cell>
          <cell r="G173" t="str">
            <v>Boilers</v>
          </cell>
          <cell r="H173" t="str">
            <v>Commercial</v>
          </cell>
          <cell r="I173" t="str">
            <v>Project</v>
          </cell>
          <cell r="J173">
            <v>0</v>
          </cell>
          <cell r="K173">
            <v>0</v>
          </cell>
          <cell r="L173">
            <v>97.876599999999996</v>
          </cell>
          <cell r="M173">
            <v>0</v>
          </cell>
          <cell r="N173">
            <v>0</v>
          </cell>
          <cell r="O173">
            <v>0</v>
          </cell>
          <cell r="P173">
            <v>1468.1489999999999</v>
          </cell>
          <cell r="Q173">
            <v>0</v>
          </cell>
          <cell r="R173"/>
          <cell r="S173"/>
          <cell r="T173"/>
          <cell r="U173"/>
          <cell r="V173">
            <v>15</v>
          </cell>
          <cell r="W173">
            <v>1500</v>
          </cell>
        </row>
        <row r="174">
          <cell r="A174"/>
          <cell r="B174"/>
          <cell r="C174"/>
          <cell r="D174"/>
          <cell r="E174"/>
          <cell r="F174"/>
          <cell r="G174"/>
          <cell r="H174"/>
          <cell r="I174"/>
          <cell r="J174"/>
          <cell r="K174"/>
          <cell r="L174"/>
          <cell r="M174"/>
          <cell r="N174"/>
          <cell r="O174"/>
          <cell r="P174"/>
          <cell r="Q174"/>
          <cell r="R174"/>
          <cell r="S174"/>
          <cell r="T174"/>
          <cell r="U174"/>
          <cell r="V174"/>
          <cell r="W174"/>
        </row>
        <row r="175">
          <cell r="A175" t="str">
            <v>4.4.25.1</v>
          </cell>
          <cell r="B175" t="str">
            <v>TRM111.1</v>
          </cell>
          <cell r="C175" t="str">
            <v>V8</v>
          </cell>
          <cell r="D175" t="str">
            <v>CI-HVC- PRGA -V03-190101</v>
          </cell>
          <cell r="E175" t="str">
            <v>Programmable Thermostat Adjustments - Assembly</v>
          </cell>
          <cell r="F175" t="str">
            <v>Programmable Thermostat Adjustments - Assembly</v>
          </cell>
          <cell r="G175" t="str">
            <v>Thermostats</v>
          </cell>
          <cell r="H175" t="str">
            <v>Commercial</v>
          </cell>
          <cell r="I175" t="str">
            <v>Project</v>
          </cell>
          <cell r="J175">
            <v>10</v>
          </cell>
          <cell r="K175">
            <v>30</v>
          </cell>
          <cell r="L175">
            <v>56.13000000000001</v>
          </cell>
          <cell r="M175"/>
          <cell r="N175">
            <v>20</v>
          </cell>
          <cell r="O175">
            <v>60</v>
          </cell>
          <cell r="P175">
            <v>112.26000000000002</v>
          </cell>
          <cell r="Q175"/>
          <cell r="R175"/>
          <cell r="S175">
            <v>70.34</v>
          </cell>
          <cell r="T175"/>
          <cell r="U175"/>
          <cell r="V175">
            <v>2</v>
          </cell>
          <cell r="W175">
            <v>70.34</v>
          </cell>
        </row>
        <row r="176">
          <cell r="A176" t="str">
            <v>4.4.25.2</v>
          </cell>
          <cell r="B176" t="str">
            <v>TRM111.2</v>
          </cell>
          <cell r="C176" t="str">
            <v>V8</v>
          </cell>
          <cell r="D176" t="str">
            <v>CI-HVC- PRGA -V03-190101</v>
          </cell>
          <cell r="E176" t="str">
            <v>Programmable Thermostat Adjustments - Convenience Store</v>
          </cell>
          <cell r="F176" t="str">
            <v>Programmable Thermostat Adjustments - Convenience Store</v>
          </cell>
          <cell r="G176" t="str">
            <v>Thermostats</v>
          </cell>
          <cell r="H176" t="str">
            <v>Commercial</v>
          </cell>
          <cell r="I176" t="str">
            <v>Project</v>
          </cell>
          <cell r="J176">
            <v>10</v>
          </cell>
          <cell r="K176">
            <v>30</v>
          </cell>
          <cell r="L176">
            <v>2.4990000000000179</v>
          </cell>
          <cell r="M176"/>
          <cell r="N176">
            <v>20</v>
          </cell>
          <cell r="O176">
            <v>60</v>
          </cell>
          <cell r="P176">
            <v>4.9980000000000357</v>
          </cell>
          <cell r="Q176"/>
          <cell r="R176"/>
          <cell r="S176">
            <v>70.34</v>
          </cell>
          <cell r="T176"/>
          <cell r="U176"/>
          <cell r="V176">
            <v>2</v>
          </cell>
          <cell r="W176">
            <v>70.34</v>
          </cell>
        </row>
        <row r="177">
          <cell r="A177" t="str">
            <v>4.4.25.3</v>
          </cell>
          <cell r="B177" t="str">
            <v>TRM111.3</v>
          </cell>
          <cell r="C177" t="str">
            <v>V8</v>
          </cell>
          <cell r="D177" t="str">
            <v>CI-HVC- PRGA -V03-190101</v>
          </cell>
          <cell r="E177" t="str">
            <v>Programmable Thermostat Adjustments - Office - Low Rise</v>
          </cell>
          <cell r="F177" t="str">
            <v>Programmable Thermostat Adjustments - Office - Low Rise</v>
          </cell>
          <cell r="G177" t="str">
            <v>Thermostats</v>
          </cell>
          <cell r="H177" t="str">
            <v>Commercial</v>
          </cell>
          <cell r="I177" t="str">
            <v>Project</v>
          </cell>
          <cell r="J177">
            <v>10</v>
          </cell>
          <cell r="K177">
            <v>30</v>
          </cell>
          <cell r="L177">
            <v>14.399999999999979</v>
          </cell>
          <cell r="M177"/>
          <cell r="N177">
            <v>20</v>
          </cell>
          <cell r="O177">
            <v>60</v>
          </cell>
          <cell r="P177">
            <v>28.799999999999958</v>
          </cell>
          <cell r="Q177"/>
          <cell r="R177"/>
          <cell r="S177">
            <v>70.34</v>
          </cell>
          <cell r="T177"/>
          <cell r="U177"/>
          <cell r="V177">
            <v>2</v>
          </cell>
          <cell r="W177">
            <v>70.34</v>
          </cell>
        </row>
        <row r="178">
          <cell r="A178" t="str">
            <v>4.4.25.4</v>
          </cell>
          <cell r="B178" t="str">
            <v>TRM111.4</v>
          </cell>
          <cell r="C178" t="str">
            <v>V8</v>
          </cell>
          <cell r="D178" t="str">
            <v>CI-HVC- PRGA -V03-190101</v>
          </cell>
          <cell r="E178" t="str">
            <v>Programmable Thermostat Adjustments - Religious Facility</v>
          </cell>
          <cell r="F178" t="str">
            <v>Programmable Thermostat Adjustments - Religious Facility</v>
          </cell>
          <cell r="G178" t="str">
            <v>Thermostats</v>
          </cell>
          <cell r="H178" t="str">
            <v>Commercial</v>
          </cell>
          <cell r="I178" t="str">
            <v>Project</v>
          </cell>
          <cell r="J178">
            <v>10</v>
          </cell>
          <cell r="K178">
            <v>30</v>
          </cell>
          <cell r="L178">
            <v>47.114999999999974</v>
          </cell>
          <cell r="M178"/>
          <cell r="N178">
            <v>20</v>
          </cell>
          <cell r="O178">
            <v>60</v>
          </cell>
          <cell r="P178">
            <v>94.229999999999947</v>
          </cell>
          <cell r="Q178"/>
          <cell r="R178"/>
          <cell r="S178">
            <v>70.34</v>
          </cell>
          <cell r="T178"/>
          <cell r="U178"/>
          <cell r="V178">
            <v>2</v>
          </cell>
          <cell r="W178">
            <v>70.34</v>
          </cell>
        </row>
        <row r="179">
          <cell r="A179" t="str">
            <v>4.4.25.5</v>
          </cell>
          <cell r="B179" t="str">
            <v>TRM111.5</v>
          </cell>
          <cell r="C179" t="str">
            <v>V8</v>
          </cell>
          <cell r="D179" t="str">
            <v>CI-HVC- PRGA -V03-190101</v>
          </cell>
          <cell r="E179" t="str">
            <v>Programmable Thermostat Adjustments - Restaurant – Fast Food</v>
          </cell>
          <cell r="F179" t="str">
            <v>Programmable Thermostat Adjustments - Restaurant – Fast Food</v>
          </cell>
          <cell r="G179" t="str">
            <v>Thermostats</v>
          </cell>
          <cell r="H179" t="str">
            <v>Commercial</v>
          </cell>
          <cell r="I179" t="str">
            <v>Project</v>
          </cell>
          <cell r="J179">
            <v>10</v>
          </cell>
          <cell r="K179">
            <v>30</v>
          </cell>
          <cell r="L179">
            <v>71.79000000000002</v>
          </cell>
          <cell r="M179"/>
          <cell r="N179">
            <v>20</v>
          </cell>
          <cell r="O179">
            <v>60</v>
          </cell>
          <cell r="P179">
            <v>143.58000000000004</v>
          </cell>
          <cell r="Q179"/>
          <cell r="R179"/>
          <cell r="S179">
            <v>70.34</v>
          </cell>
          <cell r="T179"/>
          <cell r="U179"/>
          <cell r="V179">
            <v>2</v>
          </cell>
          <cell r="W179">
            <v>70.34</v>
          </cell>
        </row>
        <row r="180">
          <cell r="A180" t="str">
            <v>4.4.25.6</v>
          </cell>
          <cell r="B180" t="str">
            <v>TRM111.6</v>
          </cell>
          <cell r="C180" t="str">
            <v>V8</v>
          </cell>
          <cell r="D180" t="str">
            <v>CI-HVC- PRGA -V03-190101</v>
          </cell>
          <cell r="E180" t="str">
            <v>Programmable Thermostat Adjustments - Restaurant – Full Service</v>
          </cell>
          <cell r="F180" t="str">
            <v>Programmable Thermostat Adjustments - Restaurant – Full Service</v>
          </cell>
          <cell r="G180" t="str">
            <v>Thermostats</v>
          </cell>
          <cell r="H180" t="str">
            <v>Commercial</v>
          </cell>
          <cell r="I180" t="str">
            <v>Project</v>
          </cell>
          <cell r="J180">
            <v>10</v>
          </cell>
          <cell r="K180">
            <v>30</v>
          </cell>
          <cell r="L180">
            <v>30.835499999999971</v>
          </cell>
          <cell r="M180"/>
          <cell r="N180">
            <v>20</v>
          </cell>
          <cell r="O180">
            <v>60</v>
          </cell>
          <cell r="P180">
            <v>61.670999999999943</v>
          </cell>
          <cell r="Q180"/>
          <cell r="R180"/>
          <cell r="S180">
            <v>70.34</v>
          </cell>
          <cell r="T180"/>
          <cell r="U180"/>
          <cell r="V180">
            <v>2</v>
          </cell>
          <cell r="W180">
            <v>70.34</v>
          </cell>
        </row>
        <row r="181">
          <cell r="A181" t="str">
            <v>4.4.25.7</v>
          </cell>
          <cell r="B181" t="str">
            <v>TRM111.7</v>
          </cell>
          <cell r="C181" t="str">
            <v>V8</v>
          </cell>
          <cell r="D181" t="str">
            <v>CI-HVC- PRGA -V03-190101</v>
          </cell>
          <cell r="E181" t="str">
            <v>Programmable Thermostat Adjustments - Retail – Department Store</v>
          </cell>
          <cell r="F181" t="str">
            <v>Programmable Thermostat Adjustments - Retail – Department Store</v>
          </cell>
          <cell r="G181" t="str">
            <v>Thermostats</v>
          </cell>
          <cell r="H181" t="str">
            <v>Commercial</v>
          </cell>
          <cell r="I181" t="str">
            <v>Project</v>
          </cell>
          <cell r="J181">
            <v>10</v>
          </cell>
          <cell r="K181">
            <v>30</v>
          </cell>
          <cell r="L181">
            <v>36.310500000000005</v>
          </cell>
          <cell r="M181"/>
          <cell r="N181">
            <v>20</v>
          </cell>
          <cell r="O181">
            <v>60</v>
          </cell>
          <cell r="P181">
            <v>72.621000000000009</v>
          </cell>
          <cell r="Q181"/>
          <cell r="R181"/>
          <cell r="S181">
            <v>70.34</v>
          </cell>
          <cell r="T181"/>
          <cell r="U181"/>
          <cell r="V181">
            <v>2</v>
          </cell>
          <cell r="W181">
            <v>70.34</v>
          </cell>
        </row>
        <row r="182">
          <cell r="A182" t="str">
            <v>4.4.25.8</v>
          </cell>
          <cell r="B182" t="str">
            <v>TRM111.8</v>
          </cell>
          <cell r="C182" t="str">
            <v>V8</v>
          </cell>
          <cell r="D182" t="str">
            <v>CI-HVC- PRGA -V03-190101</v>
          </cell>
          <cell r="E182" t="str">
            <v>Programmable Thermostat Adjustments - Retail – Strip Mall</v>
          </cell>
          <cell r="F182" t="str">
            <v>Programmable Thermostat Adjustments - Retail – Strip Mall</v>
          </cell>
          <cell r="G182" t="str">
            <v>Thermostats</v>
          </cell>
          <cell r="H182" t="str">
            <v>Commercial</v>
          </cell>
          <cell r="I182" t="str">
            <v>Project</v>
          </cell>
          <cell r="J182">
            <v>10</v>
          </cell>
          <cell r="K182">
            <v>30</v>
          </cell>
          <cell r="L182">
            <v>43.762499999999996</v>
          </cell>
          <cell r="M182"/>
          <cell r="N182">
            <v>20</v>
          </cell>
          <cell r="O182">
            <v>60</v>
          </cell>
          <cell r="P182">
            <v>87.524999999999991</v>
          </cell>
          <cell r="Q182"/>
          <cell r="R182"/>
          <cell r="S182">
            <v>70.34</v>
          </cell>
          <cell r="T182"/>
          <cell r="U182"/>
          <cell r="V182">
            <v>2</v>
          </cell>
          <cell r="W182">
            <v>70.34</v>
          </cell>
        </row>
        <row r="183">
          <cell r="A183"/>
          <cell r="B183"/>
          <cell r="C183"/>
          <cell r="D183"/>
          <cell r="E183"/>
          <cell r="F183"/>
          <cell r="G183"/>
          <cell r="H183"/>
          <cell r="I183"/>
          <cell r="J183"/>
          <cell r="K183"/>
          <cell r="L183"/>
          <cell r="M183"/>
          <cell r="N183"/>
          <cell r="O183"/>
          <cell r="P183"/>
          <cell r="Q183"/>
          <cell r="R183"/>
          <cell r="S183"/>
          <cell r="T183"/>
          <cell r="U183"/>
          <cell r="V183"/>
          <cell r="W183"/>
        </row>
        <row r="184">
          <cell r="A184" t="str">
            <v>4.4.28.1</v>
          </cell>
          <cell r="B184" t="str">
            <v>TRM115.1</v>
          </cell>
          <cell r="C184" t="str">
            <v>V8</v>
          </cell>
          <cell r="D184" t="str">
            <v>CI-HVC-BECO-V01-150601</v>
          </cell>
          <cell r="E184" t="str">
            <v>Stack Economizer for HVAC Loads Water (81.9%)Boiler Conventional</v>
          </cell>
          <cell r="F184" t="str">
            <v>HVAC Economizer for Conventional Water Boiler</v>
          </cell>
          <cell r="G184" t="str">
            <v>Boilers</v>
          </cell>
          <cell r="H184" t="str">
            <v>Commercial</v>
          </cell>
          <cell r="I184" t="str">
            <v>Project</v>
          </cell>
          <cell r="J184">
            <v>0</v>
          </cell>
          <cell r="K184">
            <v>0</v>
          </cell>
          <cell r="L184">
            <v>536.99894999999992</v>
          </cell>
          <cell r="M184"/>
          <cell r="N184">
            <v>0</v>
          </cell>
          <cell r="O184">
            <v>0</v>
          </cell>
          <cell r="P184">
            <v>8054.9842499999986</v>
          </cell>
          <cell r="Q184"/>
          <cell r="R184"/>
          <cell r="S184"/>
          <cell r="T184"/>
          <cell r="U184"/>
          <cell r="V184">
            <v>15</v>
          </cell>
          <cell r="W184">
            <v>0</v>
          </cell>
        </row>
        <row r="185">
          <cell r="A185" t="str">
            <v>4.4.28.2</v>
          </cell>
          <cell r="B185" t="str">
            <v>TRM115.2</v>
          </cell>
          <cell r="C185" t="str">
            <v>V8</v>
          </cell>
          <cell r="D185" t="str">
            <v>CI-HVC-BECO-V01-150601</v>
          </cell>
          <cell r="E185" t="str">
            <v>Stack Economizer for HVAC Loads Water (81.9%)Boiler Condensing</v>
          </cell>
          <cell r="F185" t="str">
            <v>HVAC Economizer for Condensing Water Boiler</v>
          </cell>
          <cell r="G185" t="str">
            <v>Boilers</v>
          </cell>
          <cell r="H185" t="str">
            <v>Commercial</v>
          </cell>
          <cell r="I185" t="str">
            <v>Project</v>
          </cell>
          <cell r="J185">
            <v>0</v>
          </cell>
          <cell r="K185">
            <v>0</v>
          </cell>
          <cell r="L185">
            <v>890.09414999999979</v>
          </cell>
          <cell r="M185"/>
          <cell r="N185">
            <v>0</v>
          </cell>
          <cell r="O185">
            <v>0</v>
          </cell>
          <cell r="P185">
            <v>13351.412249999998</v>
          </cell>
          <cell r="Q185"/>
          <cell r="R185"/>
          <cell r="S185"/>
          <cell r="T185"/>
          <cell r="U185"/>
          <cell r="V185">
            <v>15</v>
          </cell>
          <cell r="W185">
            <v>0</v>
          </cell>
        </row>
        <row r="186">
          <cell r="A186" t="str">
            <v>4.4.28.3</v>
          </cell>
          <cell r="B186" t="str">
            <v>TRM115.3</v>
          </cell>
          <cell r="C186" t="str">
            <v>V8</v>
          </cell>
          <cell r="D186" t="str">
            <v>CI-HVC-BECO-V01-150601</v>
          </cell>
          <cell r="E186" t="str">
            <v>Stack Economizer for HVAC Loads Steam (80.7%) Boiler Conventional</v>
          </cell>
          <cell r="F186" t="str">
            <v>HVAC Economizer for Conventional Steam Boiler</v>
          </cell>
          <cell r="G186" t="str">
            <v>Boilers</v>
          </cell>
          <cell r="H186" t="str">
            <v>Commercial</v>
          </cell>
          <cell r="I186" t="str">
            <v>Project</v>
          </cell>
          <cell r="J186">
            <v>0</v>
          </cell>
          <cell r="K186">
            <v>0</v>
          </cell>
          <cell r="L186">
            <v>706.19039999999984</v>
          </cell>
          <cell r="M186"/>
          <cell r="N186">
            <v>0</v>
          </cell>
          <cell r="O186">
            <v>0</v>
          </cell>
          <cell r="P186">
            <v>10592.855999999998</v>
          </cell>
          <cell r="Q186"/>
          <cell r="R186"/>
          <cell r="S186"/>
          <cell r="T186"/>
          <cell r="U186"/>
          <cell r="V186">
            <v>15</v>
          </cell>
          <cell r="W186">
            <v>0</v>
          </cell>
        </row>
        <row r="187">
          <cell r="A187" t="str">
            <v>4.4.28.4</v>
          </cell>
          <cell r="B187" t="str">
            <v>TRM115.4</v>
          </cell>
          <cell r="C187" t="str">
            <v>V8</v>
          </cell>
          <cell r="D187" t="str">
            <v>CI-HVC-BECO-V01-150601</v>
          </cell>
          <cell r="E187" t="str">
            <v>Stack Economizer for HVAC Loads Steam (80.7%) Boiler Condensing</v>
          </cell>
          <cell r="F187" t="str">
            <v>HVAC Economizer for Condensing Steam Boiler</v>
          </cell>
          <cell r="G187" t="str">
            <v>Boilers</v>
          </cell>
          <cell r="H187" t="str">
            <v>Commercial</v>
          </cell>
          <cell r="I187" t="str">
            <v>Project</v>
          </cell>
          <cell r="J187">
            <v>0</v>
          </cell>
          <cell r="K187">
            <v>0</v>
          </cell>
          <cell r="L187">
            <v>1056.8335500000001</v>
          </cell>
          <cell r="M187"/>
          <cell r="N187">
            <v>0</v>
          </cell>
          <cell r="O187">
            <v>0</v>
          </cell>
          <cell r="P187">
            <v>15852.503250000002</v>
          </cell>
          <cell r="Q187"/>
          <cell r="R187"/>
          <cell r="S187"/>
          <cell r="T187"/>
          <cell r="U187"/>
          <cell r="V187">
            <v>15</v>
          </cell>
          <cell r="W187">
            <v>0</v>
          </cell>
        </row>
        <row r="188">
          <cell r="A188"/>
          <cell r="B188"/>
          <cell r="C188"/>
          <cell r="D188"/>
          <cell r="E188"/>
          <cell r="F188"/>
          <cell r="G188"/>
          <cell r="H188"/>
          <cell r="I188"/>
          <cell r="J188"/>
          <cell r="K188"/>
          <cell r="L188"/>
          <cell r="M188"/>
          <cell r="N188"/>
          <cell r="O188"/>
          <cell r="P188"/>
          <cell r="Q188"/>
          <cell r="R188"/>
          <cell r="S188"/>
          <cell r="T188"/>
          <cell r="U188"/>
          <cell r="V188"/>
          <cell r="W188"/>
        </row>
        <row r="189">
          <cell r="A189" t="str">
            <v>4.4.29.1</v>
          </cell>
          <cell r="B189" t="str">
            <v>TRM116.1</v>
          </cell>
          <cell r="C189" t="str">
            <v>V8</v>
          </cell>
          <cell r="D189" t="str">
            <v>CI-HVC-PECO-V01-150601</v>
          </cell>
          <cell r="E189" t="str">
            <v>Stack Economizer for Process Loads Water (81.9%)Boiler Conventional</v>
          </cell>
          <cell r="F189" t="str">
            <v>Process Economizer for Conventional Water Boiler</v>
          </cell>
          <cell r="G189" t="str">
            <v>Boilers</v>
          </cell>
          <cell r="H189" t="str">
            <v>Commercial</v>
          </cell>
          <cell r="I189" t="str">
            <v>Project</v>
          </cell>
          <cell r="J189">
            <v>0</v>
          </cell>
          <cell r="K189">
            <v>0</v>
          </cell>
          <cell r="L189">
            <v>1206.5653890000001</v>
          </cell>
          <cell r="M189"/>
          <cell r="N189">
            <v>0</v>
          </cell>
          <cell r="O189">
            <v>0</v>
          </cell>
          <cell r="P189">
            <v>18098.480835000002</v>
          </cell>
          <cell r="Q189"/>
          <cell r="R189"/>
          <cell r="S189"/>
          <cell r="T189"/>
          <cell r="U189"/>
          <cell r="V189">
            <v>15</v>
          </cell>
          <cell r="W189">
            <v>0</v>
          </cell>
        </row>
        <row r="190">
          <cell r="A190" t="str">
            <v>4.4.29.2</v>
          </cell>
          <cell r="B190" t="str">
            <v>TRM116.2</v>
          </cell>
          <cell r="C190" t="str">
            <v>V8</v>
          </cell>
          <cell r="D190" t="str">
            <v>CI-HVC-PECO-V01-150601</v>
          </cell>
          <cell r="E190" t="str">
            <v>Stack Economizer for Process Loads Water (81.9%)Boiler Condensing</v>
          </cell>
          <cell r="F190" t="str">
            <v>Process Economizer for Condensing Water Boiler</v>
          </cell>
          <cell r="G190" t="str">
            <v>Boilers</v>
          </cell>
          <cell r="H190" t="str">
            <v>Commercial</v>
          </cell>
          <cell r="I190" t="str">
            <v>Project</v>
          </cell>
          <cell r="J190">
            <v>0</v>
          </cell>
          <cell r="K190">
            <v>0</v>
          </cell>
          <cell r="L190">
            <v>1999.9234529999999</v>
          </cell>
          <cell r="M190"/>
          <cell r="N190">
            <v>0</v>
          </cell>
          <cell r="O190">
            <v>0</v>
          </cell>
          <cell r="P190">
            <v>29998.851794999999</v>
          </cell>
          <cell r="Q190"/>
          <cell r="R190"/>
          <cell r="S190"/>
          <cell r="T190"/>
          <cell r="U190"/>
          <cell r="V190">
            <v>15</v>
          </cell>
          <cell r="W190">
            <v>0</v>
          </cell>
        </row>
        <row r="191">
          <cell r="A191" t="str">
            <v>4.4.29.3</v>
          </cell>
          <cell r="B191" t="str">
            <v>TRM116.3</v>
          </cell>
          <cell r="C191" t="str">
            <v>V8</v>
          </cell>
          <cell r="D191" t="str">
            <v>CI-HVC-PECO-V01-150601</v>
          </cell>
          <cell r="E191" t="str">
            <v>Stack Economizer for Process Loads Steam (80.7%) Boiler Conventional</v>
          </cell>
          <cell r="F191" t="str">
            <v>Process Economizer for Conventional Steam</v>
          </cell>
          <cell r="G191" t="str">
            <v>Boilers</v>
          </cell>
          <cell r="H191" t="str">
            <v>Commercial</v>
          </cell>
          <cell r="I191" t="str">
            <v>Project</v>
          </cell>
          <cell r="J191">
            <v>0</v>
          </cell>
          <cell r="K191">
            <v>0</v>
          </cell>
          <cell r="L191">
            <v>1586.7161279999998</v>
          </cell>
          <cell r="M191"/>
          <cell r="N191">
            <v>0</v>
          </cell>
          <cell r="O191">
            <v>0</v>
          </cell>
          <cell r="P191">
            <v>23800.741919999997</v>
          </cell>
          <cell r="Q191"/>
          <cell r="R191"/>
          <cell r="S191"/>
          <cell r="T191"/>
          <cell r="U191"/>
          <cell r="V191">
            <v>15</v>
          </cell>
          <cell r="W191">
            <v>0</v>
          </cell>
        </row>
        <row r="192">
          <cell r="A192" t="str">
            <v>4.4.29.4</v>
          </cell>
          <cell r="B192" t="str">
            <v>TRM116.4</v>
          </cell>
          <cell r="C192" t="str">
            <v>V8</v>
          </cell>
          <cell r="D192" t="str">
            <v>CI-HVC-PECO-V01-150601</v>
          </cell>
          <cell r="E192" t="str">
            <v>Stack Economizer for Process Loads Steam (80.7%) Boiler Condensing</v>
          </cell>
          <cell r="F192" t="str">
            <v>Process Economizer for Condensing Steam Boiler</v>
          </cell>
          <cell r="G192" t="str">
            <v>Boilers</v>
          </cell>
          <cell r="H192" t="str">
            <v>Commercial</v>
          </cell>
          <cell r="I192" t="str">
            <v>Project</v>
          </cell>
          <cell r="J192">
            <v>0</v>
          </cell>
          <cell r="K192">
            <v>0</v>
          </cell>
          <cell r="L192">
            <v>2374.5647610000001</v>
          </cell>
          <cell r="M192"/>
          <cell r="N192">
            <v>0</v>
          </cell>
          <cell r="O192">
            <v>0</v>
          </cell>
          <cell r="P192">
            <v>35618.471415</v>
          </cell>
          <cell r="Q192"/>
          <cell r="R192"/>
          <cell r="S192"/>
          <cell r="T192"/>
          <cell r="U192"/>
          <cell r="V192">
            <v>15</v>
          </cell>
          <cell r="W192">
            <v>0</v>
          </cell>
        </row>
        <row r="193">
          <cell r="A193"/>
          <cell r="B193"/>
          <cell r="C193"/>
          <cell r="D193"/>
          <cell r="E193"/>
          <cell r="F193"/>
          <cell r="G193"/>
          <cell r="H193"/>
          <cell r="I193"/>
          <cell r="J193"/>
          <cell r="K193"/>
          <cell r="L193"/>
          <cell r="M193"/>
          <cell r="N193"/>
          <cell r="O193"/>
          <cell r="P193"/>
          <cell r="Q193"/>
          <cell r="R193"/>
          <cell r="S193"/>
          <cell r="T193"/>
          <cell r="U193"/>
          <cell r="V193"/>
          <cell r="W193"/>
        </row>
        <row r="194">
          <cell r="A194" t="str">
            <v>4.4.31.1</v>
          </cell>
          <cell r="B194" t="str">
            <v>TRM117</v>
          </cell>
          <cell r="C194" t="str">
            <v>V8</v>
          </cell>
          <cell r="D194" t="str">
            <v>CI-HVC-FTUN-V02-160601</v>
          </cell>
          <cell r="E194" t="str">
            <v>Space Heating Furnace Tune-up - 400000</v>
          </cell>
          <cell r="F194" t="str">
            <v>Small Business Furnace Tune Up</v>
          </cell>
          <cell r="G194" t="str">
            <v>Boilers</v>
          </cell>
          <cell r="H194" t="str">
            <v>Commercial</v>
          </cell>
          <cell r="I194" t="str">
            <v>Project</v>
          </cell>
          <cell r="J194">
            <v>0</v>
          </cell>
          <cell r="K194">
            <v>0</v>
          </cell>
          <cell r="L194">
            <v>134.26011477761853</v>
          </cell>
          <cell r="M194"/>
          <cell r="N194">
            <v>0</v>
          </cell>
          <cell r="O194">
            <v>0</v>
          </cell>
          <cell r="P194">
            <v>402.78034433285558</v>
          </cell>
          <cell r="Q194"/>
          <cell r="R194"/>
          <cell r="S194"/>
          <cell r="T194"/>
          <cell r="U194"/>
          <cell r="V194">
            <v>3</v>
          </cell>
          <cell r="W194">
            <v>0</v>
          </cell>
        </row>
        <row r="195">
          <cell r="A195"/>
          <cell r="B195"/>
          <cell r="C195"/>
          <cell r="D195"/>
          <cell r="E195"/>
          <cell r="F195"/>
          <cell r="G195"/>
          <cell r="H195"/>
          <cell r="I195"/>
          <cell r="J195"/>
          <cell r="K195"/>
          <cell r="L195"/>
          <cell r="M195"/>
          <cell r="N195"/>
          <cell r="O195"/>
          <cell r="P195"/>
          <cell r="Q195"/>
          <cell r="R195"/>
          <cell r="S195"/>
          <cell r="T195"/>
          <cell r="U195"/>
          <cell r="V195"/>
          <cell r="W195"/>
        </row>
        <row r="196">
          <cell r="A196" t="str">
            <v>4.6.1</v>
          </cell>
          <cell r="B196" t="str">
            <v>TRM35</v>
          </cell>
          <cell r="C196" t="str">
            <v>V8</v>
          </cell>
          <cell r="D196" t="str">
            <v>CI-RFG-ATDC-V01-120601</v>
          </cell>
          <cell r="E196" t="str">
            <v>Automatic Door Closer for walk-in coolers and freezers</v>
          </cell>
          <cell r="F196" t="str">
            <v>Automatic Door Closer for walk-in coolers and freezers</v>
          </cell>
          <cell r="G196" t="str">
            <v>Refrigeration</v>
          </cell>
          <cell r="H196" t="str">
            <v>Commercial</v>
          </cell>
          <cell r="I196" t="str">
            <v>Project</v>
          </cell>
          <cell r="J196">
            <v>943</v>
          </cell>
          <cell r="K196">
            <v>0.13700000000000001</v>
          </cell>
          <cell r="L196">
            <v>0</v>
          </cell>
          <cell r="M196">
            <v>0</v>
          </cell>
          <cell r="N196">
            <v>7544</v>
          </cell>
          <cell r="O196">
            <v>0.13700000000000001</v>
          </cell>
          <cell r="P196">
            <v>0</v>
          </cell>
          <cell r="Q196">
            <v>0</v>
          </cell>
          <cell r="R196"/>
          <cell r="S196"/>
          <cell r="T196"/>
          <cell r="U196"/>
          <cell r="V196">
            <v>8</v>
          </cell>
          <cell r="W196">
            <v>156.82</v>
          </cell>
        </row>
        <row r="197">
          <cell r="A197"/>
          <cell r="B197"/>
          <cell r="C197"/>
          <cell r="D197"/>
          <cell r="E197"/>
          <cell r="F197"/>
          <cell r="G197"/>
          <cell r="H197"/>
          <cell r="I197"/>
          <cell r="J197"/>
          <cell r="K197"/>
          <cell r="L197"/>
          <cell r="M197"/>
          <cell r="N197"/>
          <cell r="O197"/>
          <cell r="P197"/>
          <cell r="Q197"/>
          <cell r="R197"/>
          <cell r="S197"/>
          <cell r="T197"/>
          <cell r="U197"/>
          <cell r="V197"/>
          <cell r="W197"/>
        </row>
        <row r="198">
          <cell r="A198" t="str">
            <v>4.6.2</v>
          </cell>
          <cell r="B198" t="str">
            <v>TRM36</v>
          </cell>
          <cell r="C198" t="str">
            <v>V8</v>
          </cell>
          <cell r="D198" t="str">
            <v>CI-RFG-BEVM-V01-120601</v>
          </cell>
          <cell r="E198" t="str">
            <v>Beverage and Snack Machine Controls</v>
          </cell>
          <cell r="F198" t="str">
            <v>Beverage and Snack Machine Controls</v>
          </cell>
          <cell r="G198" t="str">
            <v>Controls</v>
          </cell>
          <cell r="H198" t="str">
            <v>Commercial</v>
          </cell>
          <cell r="I198" t="str">
            <v>Project</v>
          </cell>
          <cell r="J198">
            <v>1209.7080000000001</v>
          </cell>
          <cell r="K198">
            <v>0</v>
          </cell>
          <cell r="L198">
            <v>0</v>
          </cell>
          <cell r="M198">
            <v>0</v>
          </cell>
          <cell r="N198">
            <v>6048.5400000000009</v>
          </cell>
          <cell r="O198">
            <v>0</v>
          </cell>
          <cell r="P198">
            <v>0</v>
          </cell>
          <cell r="Q198">
            <v>0</v>
          </cell>
          <cell r="R198"/>
          <cell r="S198"/>
          <cell r="T198"/>
          <cell r="U198"/>
          <cell r="V198">
            <v>5</v>
          </cell>
          <cell r="W198">
            <v>180</v>
          </cell>
        </row>
        <row r="199">
          <cell r="A199"/>
          <cell r="B199"/>
          <cell r="C199"/>
          <cell r="D199"/>
          <cell r="E199"/>
          <cell r="F199"/>
          <cell r="G199"/>
          <cell r="H199"/>
          <cell r="I199"/>
          <cell r="J199"/>
          <cell r="K199"/>
          <cell r="L199"/>
          <cell r="M199"/>
          <cell r="N199"/>
          <cell r="O199"/>
          <cell r="P199"/>
          <cell r="Q199"/>
          <cell r="R199"/>
          <cell r="S199"/>
          <cell r="T199"/>
          <cell r="U199"/>
          <cell r="V199"/>
          <cell r="W199"/>
        </row>
        <row r="200">
          <cell r="A200" t="str">
            <v>4.6.3</v>
          </cell>
          <cell r="B200" t="str">
            <v>TRM37</v>
          </cell>
          <cell r="C200" t="str">
            <v>V8</v>
          </cell>
          <cell r="D200" t="str">
            <v>CI-RFG-DHCT-V01-120601</v>
          </cell>
          <cell r="E200" t="str">
            <v>Door Heater Controls for Cooler and Freezer</v>
          </cell>
          <cell r="F200" t="str">
            <v>Door Heater Controls for Cooler and Freezer</v>
          </cell>
          <cell r="G200" t="str">
            <v>Refrigeration</v>
          </cell>
          <cell r="H200" t="str">
            <v>Commercial</v>
          </cell>
          <cell r="I200" t="str">
            <v>Project</v>
          </cell>
          <cell r="J200">
            <v>5731.0110000000013</v>
          </cell>
          <cell r="K200">
            <v>0</v>
          </cell>
          <cell r="L200">
            <v>0</v>
          </cell>
          <cell r="M200">
            <v>0</v>
          </cell>
          <cell r="N200">
            <v>68772.132000000012</v>
          </cell>
          <cell r="O200">
            <v>0</v>
          </cell>
          <cell r="P200">
            <v>0</v>
          </cell>
          <cell r="Q200">
            <v>0</v>
          </cell>
          <cell r="R200"/>
          <cell r="S200"/>
          <cell r="T200"/>
          <cell r="U200"/>
          <cell r="V200">
            <v>12</v>
          </cell>
          <cell r="W200">
            <v>300</v>
          </cell>
        </row>
        <row r="201">
          <cell r="A201"/>
          <cell r="B201"/>
          <cell r="C201"/>
          <cell r="D201"/>
          <cell r="E201"/>
          <cell r="F201"/>
          <cell r="G201"/>
          <cell r="H201"/>
          <cell r="I201"/>
          <cell r="J201"/>
          <cell r="K201"/>
          <cell r="L201"/>
          <cell r="M201"/>
          <cell r="N201"/>
          <cell r="O201"/>
          <cell r="P201"/>
          <cell r="Q201"/>
          <cell r="R201"/>
          <cell r="S201"/>
          <cell r="T201"/>
          <cell r="U201"/>
          <cell r="V201"/>
          <cell r="W201"/>
        </row>
        <row r="202">
          <cell r="A202" t="str">
            <v>4.6.4</v>
          </cell>
          <cell r="B202" t="str">
            <v>TRM38</v>
          </cell>
          <cell r="C202" t="str">
            <v>V8</v>
          </cell>
          <cell r="D202" t="str">
            <v>CI-RFG-ECMF-V01-120601</v>
          </cell>
          <cell r="E202" t="str">
            <v>Electronically communicated motors (ECM) for walk-in and reach-in coolers/freezers</v>
          </cell>
          <cell r="F202" t="str">
            <v>ECM for walk-in and reach-in coolers/freezers</v>
          </cell>
          <cell r="G202" t="str">
            <v>Refrigeration</v>
          </cell>
          <cell r="H202" t="str">
            <v>Commercial</v>
          </cell>
          <cell r="I202" t="str">
            <v>Unit</v>
          </cell>
          <cell r="J202">
            <v>2005</v>
          </cell>
          <cell r="K202">
            <v>0.21000000000000002</v>
          </cell>
          <cell r="L202">
            <v>0</v>
          </cell>
          <cell r="M202">
            <v>0</v>
          </cell>
          <cell r="N202">
            <v>30075</v>
          </cell>
          <cell r="O202">
            <v>0.21000000000000002</v>
          </cell>
          <cell r="P202">
            <v>0</v>
          </cell>
          <cell r="Q202">
            <v>0</v>
          </cell>
          <cell r="R202"/>
          <cell r="S202"/>
          <cell r="T202"/>
          <cell r="U202"/>
          <cell r="V202">
            <v>15</v>
          </cell>
          <cell r="W202">
            <v>50</v>
          </cell>
        </row>
        <row r="203">
          <cell r="A203"/>
          <cell r="B203"/>
          <cell r="C203"/>
          <cell r="D203"/>
          <cell r="E203"/>
          <cell r="F203"/>
          <cell r="G203"/>
          <cell r="H203"/>
          <cell r="I203"/>
          <cell r="J203"/>
          <cell r="K203"/>
          <cell r="L203"/>
          <cell r="M203"/>
          <cell r="N203"/>
          <cell r="O203"/>
          <cell r="P203"/>
          <cell r="Q203"/>
          <cell r="R203"/>
          <cell r="S203"/>
          <cell r="T203"/>
          <cell r="U203"/>
          <cell r="V203"/>
          <cell r="W203"/>
        </row>
        <row r="204">
          <cell r="A204" t="str">
            <v>4.6.5</v>
          </cell>
          <cell r="B204" t="str">
            <v>TRM39</v>
          </cell>
          <cell r="C204" t="str">
            <v>V8</v>
          </cell>
          <cell r="D204" t="str">
            <v>CI-RFG-ESVE-V01-120601</v>
          </cell>
          <cell r="E204" t="str">
            <v>ENERGY STAR Refrigerated Beverage Vending Machine</v>
          </cell>
          <cell r="F204" t="str">
            <v>Refrigerated Beverage Vending Machine</v>
          </cell>
          <cell r="G204" t="str">
            <v>Refrigeration</v>
          </cell>
          <cell r="H204" t="str">
            <v>Commercial</v>
          </cell>
          <cell r="I204" t="str">
            <v>Unit</v>
          </cell>
          <cell r="J204">
            <v>1310</v>
          </cell>
          <cell r="K204">
            <v>0</v>
          </cell>
          <cell r="L204">
            <v>0</v>
          </cell>
          <cell r="M204">
            <v>0</v>
          </cell>
          <cell r="N204">
            <v>18340</v>
          </cell>
          <cell r="O204">
            <v>0</v>
          </cell>
          <cell r="P204">
            <v>0</v>
          </cell>
          <cell r="Q204">
            <v>0</v>
          </cell>
          <cell r="R204"/>
          <cell r="S204"/>
          <cell r="T204"/>
          <cell r="U204"/>
          <cell r="V204">
            <v>14</v>
          </cell>
          <cell r="W204">
            <v>500</v>
          </cell>
        </row>
        <row r="205">
          <cell r="A205"/>
          <cell r="B205"/>
          <cell r="C205"/>
          <cell r="D205"/>
          <cell r="E205"/>
          <cell r="F205"/>
          <cell r="G205"/>
          <cell r="H205"/>
          <cell r="I205"/>
          <cell r="J205"/>
          <cell r="K205"/>
          <cell r="L205"/>
          <cell r="M205"/>
          <cell r="N205"/>
          <cell r="O205"/>
          <cell r="P205"/>
          <cell r="Q205"/>
          <cell r="R205"/>
          <cell r="S205"/>
          <cell r="T205"/>
          <cell r="U205"/>
          <cell r="V205"/>
          <cell r="W205"/>
        </row>
        <row r="206">
          <cell r="A206" t="str">
            <v>4.6.6</v>
          </cell>
          <cell r="B206" t="str">
            <v>TRM40</v>
          </cell>
          <cell r="C206" t="str">
            <v>V8</v>
          </cell>
          <cell r="D206" t="str">
            <v>CI-RFG-EVPF-V01-120601</v>
          </cell>
          <cell r="E206" t="str">
            <v>Evaporator Fan Control</v>
          </cell>
          <cell r="F206" t="str">
            <v>Evaporator Fan Control</v>
          </cell>
          <cell r="G206" t="str">
            <v>Controls</v>
          </cell>
          <cell r="H206" t="str">
            <v>Commercial</v>
          </cell>
          <cell r="I206" t="str">
            <v>Project</v>
          </cell>
          <cell r="J206">
            <v>2390</v>
          </cell>
          <cell r="K206">
            <v>0.3</v>
          </cell>
          <cell r="L206">
            <v>0</v>
          </cell>
          <cell r="M206">
            <v>0</v>
          </cell>
          <cell r="N206">
            <v>38240</v>
          </cell>
          <cell r="O206">
            <v>0.3</v>
          </cell>
          <cell r="P206">
            <v>0</v>
          </cell>
          <cell r="Q206">
            <v>0</v>
          </cell>
          <cell r="R206"/>
          <cell r="S206"/>
          <cell r="T206"/>
          <cell r="U206"/>
          <cell r="V206">
            <v>16</v>
          </cell>
          <cell r="W206">
            <v>291</v>
          </cell>
        </row>
        <row r="207">
          <cell r="A207" t="str">
            <v xml:space="preserve"> </v>
          </cell>
          <cell r="B207"/>
          <cell r="C207"/>
          <cell r="D207"/>
          <cell r="E207"/>
          <cell r="F207"/>
          <cell r="G207"/>
          <cell r="H207"/>
          <cell r="I207"/>
          <cell r="J207"/>
          <cell r="K207"/>
          <cell r="L207"/>
          <cell r="M207"/>
          <cell r="N207"/>
          <cell r="O207"/>
          <cell r="P207"/>
          <cell r="Q207"/>
          <cell r="R207"/>
          <cell r="S207"/>
          <cell r="T207"/>
          <cell r="U207"/>
          <cell r="V207"/>
          <cell r="W207"/>
        </row>
        <row r="208">
          <cell r="A208" t="str">
            <v>4.6.7</v>
          </cell>
          <cell r="B208" t="str">
            <v>TRM41</v>
          </cell>
          <cell r="C208" t="str">
            <v>V8</v>
          </cell>
          <cell r="D208" t="str">
            <v>CI-RFG-CRTN-V02-130601</v>
          </cell>
          <cell r="E208" t="str">
            <v>Strip Curtain for Walk-in Coolers and Freezers</v>
          </cell>
          <cell r="F208" t="str">
            <v>Strip Curtain for Walk-in Coolers and Freezers</v>
          </cell>
          <cell r="G208" t="str">
            <v>Refrigeration</v>
          </cell>
          <cell r="H208" t="str">
            <v>Commercial</v>
          </cell>
          <cell r="I208" t="str">
            <v>Unit</v>
          </cell>
          <cell r="J208">
            <v>844</v>
          </cell>
          <cell r="K208">
            <v>9.6281086014145562E-2</v>
          </cell>
          <cell r="L208">
            <v>0</v>
          </cell>
          <cell r="M208">
            <v>0</v>
          </cell>
          <cell r="N208">
            <v>5064</v>
          </cell>
          <cell r="O208">
            <v>9.6281086014145562E-2</v>
          </cell>
          <cell r="P208">
            <v>0</v>
          </cell>
          <cell r="Q208">
            <v>0</v>
          </cell>
          <cell r="R208"/>
          <cell r="S208"/>
          <cell r="T208"/>
          <cell r="U208"/>
          <cell r="V208">
            <v>6</v>
          </cell>
          <cell r="W208">
            <v>286.16000000000003</v>
          </cell>
        </row>
        <row r="209">
          <cell r="A209"/>
          <cell r="B209"/>
          <cell r="C209"/>
          <cell r="D209"/>
          <cell r="E209"/>
          <cell r="F209"/>
          <cell r="G209"/>
          <cell r="H209"/>
          <cell r="I209"/>
          <cell r="J209"/>
          <cell r="K209"/>
          <cell r="L209"/>
          <cell r="M209"/>
          <cell r="N209"/>
          <cell r="O209"/>
          <cell r="P209"/>
          <cell r="Q209"/>
          <cell r="R209"/>
          <cell r="S209"/>
          <cell r="T209"/>
          <cell r="U209"/>
          <cell r="V209"/>
          <cell r="W209"/>
        </row>
        <row r="210">
          <cell r="A210" t="str">
            <v>4.7.1</v>
          </cell>
          <cell r="B210" t="str">
            <v>TRM42</v>
          </cell>
          <cell r="C210" t="str">
            <v>V8</v>
          </cell>
          <cell r="D210" t="str">
            <v>CI-MSC-VSDA-V01-120601</v>
          </cell>
          <cell r="E210" t="str">
            <v>VSD Air Compressor</v>
          </cell>
          <cell r="F210" t="str">
            <v>VSD Air Compressor</v>
          </cell>
          <cell r="G210" t="str">
            <v>Consumer electronics</v>
          </cell>
          <cell r="H210" t="str">
            <v>Commercial</v>
          </cell>
          <cell r="I210" t="str">
            <v>Unit</v>
          </cell>
          <cell r="J210">
            <v>13852.800000000005</v>
          </cell>
          <cell r="K210">
            <v>1.5817500000000004</v>
          </cell>
          <cell r="L210">
            <v>0</v>
          </cell>
          <cell r="M210">
            <v>0</v>
          </cell>
          <cell r="N210">
            <v>138528.00000000006</v>
          </cell>
          <cell r="O210">
            <v>1.5817500000000004</v>
          </cell>
          <cell r="P210">
            <v>0</v>
          </cell>
          <cell r="Q210">
            <v>0</v>
          </cell>
          <cell r="R210"/>
          <cell r="S210"/>
          <cell r="T210"/>
          <cell r="U210"/>
          <cell r="V210">
            <v>10</v>
          </cell>
          <cell r="W210">
            <v>2716</v>
          </cell>
        </row>
        <row r="211">
          <cell r="A211"/>
          <cell r="B211"/>
          <cell r="C211"/>
          <cell r="D211"/>
          <cell r="E211"/>
          <cell r="F211"/>
          <cell r="G211"/>
          <cell r="H211"/>
          <cell r="I211"/>
          <cell r="J211"/>
          <cell r="K211"/>
          <cell r="L211"/>
          <cell r="M211"/>
          <cell r="N211"/>
          <cell r="O211"/>
          <cell r="P211"/>
          <cell r="Q211"/>
          <cell r="R211"/>
          <cell r="S211"/>
          <cell r="T211"/>
          <cell r="U211"/>
          <cell r="V211"/>
          <cell r="W211"/>
        </row>
        <row r="212">
          <cell r="A212" t="str">
            <v>4.8.2.1</v>
          </cell>
          <cell r="B212" t="str">
            <v>TRM110.1</v>
          </cell>
          <cell r="C212" t="str">
            <v>V8</v>
          </cell>
          <cell r="D212" t="str">
            <v>CI-HVC-RINS-V03-190101</v>
          </cell>
          <cell r="E212" t="str">
            <v>Roof Insulation Insulation Entirely Above Deck Nonresidential Continuous Insulation Joint</v>
          </cell>
          <cell r="F212" t="str">
            <v>C&amp;I Roof Insulation</v>
          </cell>
          <cell r="G212" t="str">
            <v>Shell</v>
          </cell>
          <cell r="H212" t="str">
            <v>Commercial</v>
          </cell>
          <cell r="I212" t="str">
            <v>Project</v>
          </cell>
          <cell r="J212">
            <v>33.965090286294242</v>
          </cell>
          <cell r="K212">
            <v>0</v>
          </cell>
          <cell r="L212">
            <v>16.395626016023208</v>
          </cell>
          <cell r="M212">
            <v>0</v>
          </cell>
          <cell r="N212">
            <v>679.30180572588483</v>
          </cell>
          <cell r="O212">
            <v>0</v>
          </cell>
          <cell r="P212">
            <v>327.91252032046418</v>
          </cell>
          <cell r="Q212">
            <v>0</v>
          </cell>
          <cell r="R212"/>
          <cell r="S212"/>
          <cell r="T212"/>
          <cell r="U212"/>
          <cell r="V212">
            <v>20</v>
          </cell>
          <cell r="W212">
            <v>1360</v>
          </cell>
        </row>
        <row r="213">
          <cell r="A213" t="str">
            <v>4.8.2.2</v>
          </cell>
          <cell r="B213" t="str">
            <v>TRM110.2</v>
          </cell>
          <cell r="C213" t="str">
            <v>V8</v>
          </cell>
          <cell r="D213" t="str">
            <v>CI-HVC-RINS-V03-190101</v>
          </cell>
          <cell r="E213" t="str">
            <v>Roof Insulation Insulation Entirely Above Deck Semiheated Continuous Insulation Joint</v>
          </cell>
          <cell r="F213" t="str">
            <v>C&amp;I Roof Insulation</v>
          </cell>
          <cell r="G213" t="str">
            <v>Shell</v>
          </cell>
          <cell r="H213" t="str">
            <v>Commercial</v>
          </cell>
          <cell r="I213" t="str">
            <v>Project</v>
          </cell>
          <cell r="J213">
            <v>17.556569543705329</v>
          </cell>
          <cell r="K213">
            <v>0</v>
          </cell>
          <cell r="L213">
            <v>3.4724762145322869</v>
          </cell>
          <cell r="M213">
            <v>0</v>
          </cell>
          <cell r="N213">
            <v>351.13139087410661</v>
          </cell>
          <cell r="O213">
            <v>0</v>
          </cell>
          <cell r="P213">
            <v>72.922000505178019</v>
          </cell>
          <cell r="Q213">
            <v>0</v>
          </cell>
          <cell r="R213"/>
          <cell r="S213"/>
          <cell r="T213"/>
          <cell r="U213"/>
          <cell r="V213">
            <v>21</v>
          </cell>
          <cell r="W213">
            <v>1360</v>
          </cell>
        </row>
        <row r="214">
          <cell r="A214" t="str">
            <v>4.8.2.3</v>
          </cell>
          <cell r="B214" t="str">
            <v>TRM110.3</v>
          </cell>
          <cell r="C214" t="str">
            <v>V8</v>
          </cell>
          <cell r="D214" t="str">
            <v>CI-HVC-RINS-V03-190101</v>
          </cell>
          <cell r="E214" t="str">
            <v>Roof Insulation Metal Building (Roof) Nonresidential Continuous Insulation Joint</v>
          </cell>
          <cell r="F214" t="str">
            <v>C&amp;I Roof Insulation</v>
          </cell>
          <cell r="G214" t="str">
            <v>Shell</v>
          </cell>
          <cell r="H214" t="str">
            <v>Commercial</v>
          </cell>
          <cell r="I214" t="str">
            <v>Project</v>
          </cell>
          <cell r="J214">
            <v>35.498422248449735</v>
          </cell>
          <cell r="K214">
            <v>0</v>
          </cell>
          <cell r="L214">
            <v>17.594759292656487</v>
          </cell>
          <cell r="M214">
            <v>0</v>
          </cell>
          <cell r="N214">
            <v>709.96844496899473</v>
          </cell>
          <cell r="O214">
            <v>0</v>
          </cell>
          <cell r="P214">
            <v>387.08470443844271</v>
          </cell>
          <cell r="Q214">
            <v>0</v>
          </cell>
          <cell r="R214"/>
          <cell r="S214"/>
          <cell r="T214"/>
          <cell r="U214"/>
          <cell r="V214">
            <v>22</v>
          </cell>
          <cell r="W214">
            <v>1360</v>
          </cell>
        </row>
        <row r="215">
          <cell r="A215" t="str">
            <v>4.8.2.4</v>
          </cell>
          <cell r="B215" t="str">
            <v>TRM110.4</v>
          </cell>
          <cell r="C215" t="str">
            <v>V8</v>
          </cell>
          <cell r="D215" t="str">
            <v>CI-HVC-RINS-V03-190101</v>
          </cell>
          <cell r="E215" t="str">
            <v>Roof Insulation Metal Building (Roof) Nonresidential Linear System Joint</v>
          </cell>
          <cell r="F215" t="str">
            <v>C&amp;I Roof Insulation</v>
          </cell>
          <cell r="G215" t="str">
            <v>Shell</v>
          </cell>
          <cell r="H215" t="str">
            <v>Commercial</v>
          </cell>
          <cell r="I215" t="str">
            <v>Project</v>
          </cell>
          <cell r="J215">
            <v>33.965090286294242</v>
          </cell>
          <cell r="K215">
            <v>0</v>
          </cell>
          <cell r="L215">
            <v>16.395626016023208</v>
          </cell>
          <cell r="M215">
            <v>0</v>
          </cell>
          <cell r="N215">
            <v>679.30180572588483</v>
          </cell>
          <cell r="O215">
            <v>0</v>
          </cell>
          <cell r="P215">
            <v>377.0993983685338</v>
          </cell>
          <cell r="Q215">
            <v>0</v>
          </cell>
          <cell r="R215"/>
          <cell r="S215"/>
          <cell r="T215"/>
          <cell r="U215"/>
          <cell r="V215">
            <v>23</v>
          </cell>
          <cell r="W215">
            <v>1360</v>
          </cell>
        </row>
        <row r="216">
          <cell r="A216" t="str">
            <v>4.8.2.5</v>
          </cell>
          <cell r="B216" t="str">
            <v>TRM110.5</v>
          </cell>
          <cell r="C216" t="str">
            <v>V8</v>
          </cell>
          <cell r="D216" t="str">
            <v>CI-HVC-RINS-V03-190101</v>
          </cell>
          <cell r="E216" t="str">
            <v>Roof Insulation Metal Building (Roof) Semiheated NA Joint</v>
          </cell>
          <cell r="F216" t="str">
            <v>C&amp;I Roof Insulation</v>
          </cell>
          <cell r="G216" t="str">
            <v>Shell</v>
          </cell>
          <cell r="H216" t="str">
            <v>Commercial</v>
          </cell>
          <cell r="I216" t="str">
            <v>Project</v>
          </cell>
          <cell r="J216">
            <v>24.200186737830322</v>
          </cell>
          <cell r="K216">
            <v>0</v>
          </cell>
          <cell r="L216">
            <v>8.7590404122007648</v>
          </cell>
          <cell r="M216">
            <v>0</v>
          </cell>
          <cell r="N216">
            <v>484.00373475660643</v>
          </cell>
          <cell r="O216">
            <v>0</v>
          </cell>
          <cell r="P216">
            <v>210.21696989281835</v>
          </cell>
          <cell r="Q216">
            <v>0</v>
          </cell>
          <cell r="R216"/>
          <cell r="S216"/>
          <cell r="T216"/>
          <cell r="U216"/>
          <cell r="V216">
            <v>24</v>
          </cell>
          <cell r="W216">
            <v>1360</v>
          </cell>
        </row>
        <row r="217">
          <cell r="A217" t="str">
            <v>4.8.2.6</v>
          </cell>
          <cell r="B217" t="str">
            <v>TRM110.6</v>
          </cell>
          <cell r="C217" t="str">
            <v>V8</v>
          </cell>
          <cell r="D217" t="str">
            <v>CI-HVC-RINS-V03-190101</v>
          </cell>
          <cell r="E217" t="str">
            <v>Roof Insulation Attic and Other Nonresidential NA Joint</v>
          </cell>
          <cell r="F217" t="str">
            <v>C&amp;I Roof Insulation</v>
          </cell>
          <cell r="G217" t="str">
            <v>Shell</v>
          </cell>
          <cell r="H217" t="str">
            <v>Commercial</v>
          </cell>
          <cell r="I217" t="str">
            <v>Project</v>
          </cell>
          <cell r="J217">
            <v>40.505220492222769</v>
          </cell>
          <cell r="K217">
            <v>0</v>
          </cell>
          <cell r="L217">
            <v>21.510296522479429</v>
          </cell>
          <cell r="M217">
            <v>0</v>
          </cell>
          <cell r="N217">
            <v>810.1044098444554</v>
          </cell>
          <cell r="O217">
            <v>0</v>
          </cell>
          <cell r="P217">
            <v>516.24711653950635</v>
          </cell>
          <cell r="Q217">
            <v>0</v>
          </cell>
          <cell r="R217"/>
          <cell r="S217"/>
          <cell r="T217"/>
          <cell r="U217"/>
          <cell r="V217">
            <v>24</v>
          </cell>
          <cell r="W217">
            <v>1360</v>
          </cell>
        </row>
        <row r="218">
          <cell r="A218" t="str">
            <v>4.8.2.7</v>
          </cell>
          <cell r="B218" t="str">
            <v>TRM110.7</v>
          </cell>
          <cell r="C218" t="str">
            <v>V8</v>
          </cell>
          <cell r="D218" t="str">
            <v>CI-HVC-RINS-V03-190101</v>
          </cell>
          <cell r="E218" t="str">
            <v>Roof Insulation Attic and Other Semiheated NA Joint</v>
          </cell>
          <cell r="F218" t="str">
            <v>C&amp;I Roof Insulation</v>
          </cell>
          <cell r="G218" t="str">
            <v>Shell</v>
          </cell>
          <cell r="H218" t="str">
            <v>Commercial</v>
          </cell>
          <cell r="I218" t="str">
            <v>Project</v>
          </cell>
          <cell r="J218">
            <v>33.965090286294242</v>
          </cell>
          <cell r="K218">
            <v>0</v>
          </cell>
          <cell r="L218">
            <v>16.395626016023208</v>
          </cell>
          <cell r="M218">
            <v>0</v>
          </cell>
          <cell r="N218">
            <v>679.30180572588483</v>
          </cell>
          <cell r="O218">
            <v>0</v>
          </cell>
          <cell r="P218">
            <v>409.89065040058017</v>
          </cell>
          <cell r="Q218">
            <v>0</v>
          </cell>
          <cell r="R218"/>
          <cell r="S218"/>
          <cell r="T218"/>
          <cell r="U218"/>
          <cell r="V218">
            <v>25</v>
          </cell>
          <cell r="W218">
            <v>1360</v>
          </cell>
        </row>
        <row r="219">
          <cell r="A219"/>
          <cell r="B219"/>
          <cell r="C219"/>
          <cell r="D219"/>
          <cell r="E219"/>
          <cell r="F219"/>
          <cell r="G219"/>
          <cell r="H219"/>
          <cell r="I219"/>
          <cell r="J219"/>
          <cell r="K219"/>
          <cell r="L219"/>
          <cell r="M219"/>
          <cell r="N219"/>
          <cell r="O219"/>
          <cell r="P219"/>
          <cell r="Q219"/>
          <cell r="R219"/>
          <cell r="S219"/>
          <cell r="T219"/>
          <cell r="U219"/>
          <cell r="V219"/>
          <cell r="W219"/>
        </row>
        <row r="220">
          <cell r="A220" t="str">
            <v>4.3.9.1</v>
          </cell>
          <cell r="B220" t="str">
            <v>TRM112.1</v>
          </cell>
          <cell r="C220" t="str">
            <v>V8</v>
          </cell>
          <cell r="D220" t="str">
            <v>CI-HW_-GRTF-V01-160601</v>
          </cell>
          <cell r="E220" t="str">
            <v>4.3.9 Heat Recovery Grease Trap Filter Average - All Buildings</v>
          </cell>
          <cell r="F220" t="str">
            <v>Heat Recovery Grease Trap Filter - All Buildings</v>
          </cell>
          <cell r="G220" t="str">
            <v>Food Service</v>
          </cell>
          <cell r="H220" t="str">
            <v>Commercial</v>
          </cell>
          <cell r="I220" t="str">
            <v>Project</v>
          </cell>
          <cell r="J220">
            <v>0</v>
          </cell>
          <cell r="K220">
            <v>0</v>
          </cell>
          <cell r="L220">
            <v>1504.6053244444445</v>
          </cell>
          <cell r="M220">
            <v>0</v>
          </cell>
          <cell r="N220">
            <v>0</v>
          </cell>
          <cell r="O220">
            <v>0</v>
          </cell>
          <cell r="P220">
            <v>22569.079866666667</v>
          </cell>
          <cell r="Q220">
            <v>0</v>
          </cell>
          <cell r="R220"/>
          <cell r="S220">
            <v>8957.3333333333321</v>
          </cell>
          <cell r="T220"/>
          <cell r="U220"/>
          <cell r="V220">
            <v>15</v>
          </cell>
          <cell r="W220">
            <v>8957.3333333333321</v>
          </cell>
        </row>
        <row r="221">
          <cell r="A221" t="str">
            <v>4.3.9.2</v>
          </cell>
          <cell r="B221" t="str">
            <v>TRM112.2</v>
          </cell>
          <cell r="C221" t="str">
            <v>V8</v>
          </cell>
          <cell r="D221" t="str">
            <v>CI-HW_-GRTF-V01-160601</v>
          </cell>
          <cell r="E221" t="str">
            <v>4.3.9 Heat Recovery Grease Trap Filter School - Average</v>
          </cell>
          <cell r="F221" t="str">
            <v>Heat Recovery Grease Trap Filter - School</v>
          </cell>
          <cell r="G221" t="str">
            <v>Food Service</v>
          </cell>
          <cell r="H221" t="str">
            <v>Commercial</v>
          </cell>
          <cell r="I221" t="str">
            <v>Project</v>
          </cell>
          <cell r="J221">
            <v>0</v>
          </cell>
          <cell r="K221">
            <v>0</v>
          </cell>
          <cell r="L221">
            <v>706.59225000000004</v>
          </cell>
          <cell r="M221">
            <v>0</v>
          </cell>
          <cell r="N221">
            <v>0</v>
          </cell>
          <cell r="O221">
            <v>0</v>
          </cell>
          <cell r="P221">
            <v>10598.883750000001</v>
          </cell>
          <cell r="Q221">
            <v>0</v>
          </cell>
          <cell r="R221"/>
          <cell r="S221">
            <v>7467.5</v>
          </cell>
          <cell r="T221"/>
          <cell r="U221"/>
          <cell r="V221">
            <v>15</v>
          </cell>
          <cell r="W221">
            <v>7467.5</v>
          </cell>
        </row>
        <row r="222">
          <cell r="A222" t="str">
            <v>4.3.9.3</v>
          </cell>
          <cell r="B222" t="str">
            <v>TRM112.3</v>
          </cell>
          <cell r="C222" t="str">
            <v>V8</v>
          </cell>
          <cell r="D222" t="str">
            <v>CI-HW_-GRTF-V01-160601</v>
          </cell>
          <cell r="E222" t="str">
            <v>4.3.9 Heat Recovery Grease Trap Filter Food/Hotel/Hospital - excluding School</v>
          </cell>
          <cell r="F222" t="str">
            <v>Heat Recovery Grease Trap Filter - Food/Hotel/Hospital - excluding School</v>
          </cell>
          <cell r="G222" t="str">
            <v>Food Service</v>
          </cell>
          <cell r="H222" t="str">
            <v>Commercial</v>
          </cell>
          <cell r="I222" t="str">
            <v>Project</v>
          </cell>
          <cell r="J222">
            <v>0</v>
          </cell>
          <cell r="K222">
            <v>0</v>
          </cell>
          <cell r="L222">
            <v>2031.7335438749999</v>
          </cell>
          <cell r="M222">
            <v>0</v>
          </cell>
          <cell r="N222">
            <v>0</v>
          </cell>
          <cell r="O222">
            <v>0</v>
          </cell>
          <cell r="P222">
            <v>30476.003158124997</v>
          </cell>
          <cell r="Q222">
            <v>0</v>
          </cell>
          <cell r="R222"/>
          <cell r="S222">
            <v>9702.25</v>
          </cell>
          <cell r="T222"/>
          <cell r="U222"/>
          <cell r="V222">
            <v>15</v>
          </cell>
          <cell r="W222">
            <v>9702.25</v>
          </cell>
        </row>
        <row r="223">
          <cell r="A223" t="str">
            <v>4.3.9.5</v>
          </cell>
          <cell r="B223" t="str">
            <v>TRM112.3</v>
          </cell>
          <cell r="C223" t="str">
            <v>V8</v>
          </cell>
          <cell r="D223" t="str">
            <v>CI-HW_-GRTF-V01-160601</v>
          </cell>
          <cell r="E223" t="str">
            <v>4.3.9 Heat Recovery Grease Trap Filter Primary School</v>
          </cell>
          <cell r="F223" t="str">
            <v>Heat Recovery Grease Trap Filter - Small School</v>
          </cell>
          <cell r="G223" t="str">
            <v>Food Service</v>
          </cell>
          <cell r="H223" t="str">
            <v>Commercial</v>
          </cell>
          <cell r="I223" t="str">
            <v>Project</v>
          </cell>
          <cell r="J223">
            <v>0</v>
          </cell>
          <cell r="K223">
            <v>0</v>
          </cell>
          <cell r="L223">
            <v>452.21903999999995</v>
          </cell>
          <cell r="M223">
            <v>0</v>
          </cell>
          <cell r="N223">
            <v>0</v>
          </cell>
          <cell r="O223">
            <v>0</v>
          </cell>
          <cell r="P223">
            <v>6783.2855999999992</v>
          </cell>
          <cell r="Q223">
            <v>0</v>
          </cell>
          <cell r="R223"/>
          <cell r="S223">
            <v>6829</v>
          </cell>
          <cell r="T223"/>
          <cell r="U223"/>
          <cell r="V223">
            <v>15</v>
          </cell>
          <cell r="W223">
            <v>6829</v>
          </cell>
        </row>
        <row r="224">
          <cell r="A224" t="str">
            <v>4.3.9.6</v>
          </cell>
          <cell r="B224" t="str">
            <v>TRM112.3</v>
          </cell>
          <cell r="C224" t="str">
            <v>V8</v>
          </cell>
          <cell r="D224" t="str">
            <v>CI-HW_-GRTF-V01-160601</v>
          </cell>
          <cell r="E224" t="str">
            <v>4.3.9 Heat Recovery Grease Trap Filter Custom Small</v>
          </cell>
          <cell r="F224" t="str">
            <v>Heat Recovery Grease Trap Filter - Custom Small</v>
          </cell>
          <cell r="G224" t="str">
            <v>Food Service</v>
          </cell>
          <cell r="H224" t="str">
            <v>Commercial</v>
          </cell>
          <cell r="I224" t="str">
            <v>Project</v>
          </cell>
          <cell r="J224">
            <v>0</v>
          </cell>
          <cell r="K224">
            <v>0</v>
          </cell>
          <cell r="L224">
            <v>452.21903999999995</v>
          </cell>
          <cell r="M224">
            <v>0</v>
          </cell>
          <cell r="N224">
            <v>0</v>
          </cell>
          <cell r="O224">
            <v>0</v>
          </cell>
          <cell r="P224">
            <v>6783.2855999999992</v>
          </cell>
          <cell r="Q224">
            <v>0</v>
          </cell>
          <cell r="R224"/>
          <cell r="S224">
            <v>6829</v>
          </cell>
          <cell r="T224"/>
          <cell r="U224"/>
          <cell r="V224">
            <v>15</v>
          </cell>
          <cell r="W224">
            <v>6829</v>
          </cell>
        </row>
        <row r="225">
          <cell r="A225"/>
          <cell r="B225"/>
          <cell r="C225"/>
          <cell r="D225"/>
          <cell r="E225"/>
          <cell r="F225"/>
          <cell r="G225"/>
          <cell r="H225"/>
          <cell r="I225"/>
          <cell r="J225"/>
          <cell r="K225"/>
          <cell r="L225"/>
          <cell r="M225"/>
          <cell r="N225"/>
          <cell r="O225"/>
          <cell r="P225"/>
          <cell r="Q225"/>
          <cell r="R225"/>
          <cell r="S225"/>
          <cell r="T225"/>
          <cell r="U225"/>
          <cell r="V225"/>
          <cell r="W225"/>
        </row>
        <row r="226">
          <cell r="A226" t="str">
            <v>4.4.36</v>
          </cell>
          <cell r="B226" t="str">
            <v>TRM113</v>
          </cell>
          <cell r="C226" t="str">
            <v>V8</v>
          </cell>
          <cell r="D226" t="str">
            <v>CI-HVC-SBAC-V02-190101</v>
          </cell>
          <cell r="E226" t="str">
            <v>Multi-Family Space Heating Steam Boiler Averaging Controls - 300000</v>
          </cell>
          <cell r="F226" t="str">
            <v>Multi-Family Space Heating Steam Boiler Averaging Controls</v>
          </cell>
          <cell r="G226" t="str">
            <v>Boilers</v>
          </cell>
          <cell r="H226" t="str">
            <v>Commercial</v>
          </cell>
          <cell r="I226" t="str">
            <v>Unit</v>
          </cell>
          <cell r="J226">
            <v>0</v>
          </cell>
          <cell r="K226">
            <v>0</v>
          </cell>
          <cell r="L226">
            <v>380.71755000000002</v>
          </cell>
          <cell r="M226">
            <v>0</v>
          </cell>
          <cell r="N226">
            <v>0</v>
          </cell>
          <cell r="O226">
            <v>0</v>
          </cell>
          <cell r="P226">
            <v>7614.3510000000006</v>
          </cell>
          <cell r="Q226">
            <v>0</v>
          </cell>
          <cell r="R226"/>
          <cell r="S226"/>
          <cell r="T226"/>
          <cell r="U226"/>
          <cell r="V226">
            <v>20</v>
          </cell>
          <cell r="W226">
            <v>0</v>
          </cell>
        </row>
        <row r="227">
          <cell r="A227"/>
          <cell r="B227"/>
          <cell r="C227"/>
          <cell r="D227"/>
          <cell r="E227"/>
          <cell r="F227"/>
          <cell r="G227"/>
          <cell r="H227"/>
          <cell r="I227"/>
          <cell r="J227"/>
          <cell r="K227"/>
          <cell r="L227"/>
          <cell r="M227"/>
          <cell r="N227"/>
          <cell r="O227"/>
          <cell r="P227"/>
          <cell r="Q227"/>
          <cell r="R227"/>
          <cell r="S227"/>
          <cell r="T227"/>
          <cell r="U227"/>
          <cell r="V227"/>
          <cell r="W227"/>
        </row>
        <row r="228">
          <cell r="A228" t="str">
            <v>4.4.37</v>
          </cell>
          <cell r="B228" t="str">
            <v>TRM114</v>
          </cell>
          <cell r="C228" t="str">
            <v>V8</v>
          </cell>
          <cell r="D228" t="str">
            <v>CI-HVC-DSFN-V01-160601</v>
          </cell>
          <cell r="E228" t="str">
            <v>Unitary HVAC Condensing Furnace</v>
          </cell>
          <cell r="F228" t="str">
            <v>Unitary HVAC Condensing Furnace</v>
          </cell>
          <cell r="G228" t="str">
            <v>Furnaces</v>
          </cell>
          <cell r="H228" t="str">
            <v>Commercial</v>
          </cell>
          <cell r="I228" t="str">
            <v>Unit</v>
          </cell>
          <cell r="J228">
            <v>0</v>
          </cell>
          <cell r="K228">
            <v>0</v>
          </cell>
          <cell r="L228">
            <v>2106.0277777777769</v>
          </cell>
          <cell r="M228">
            <v>0</v>
          </cell>
          <cell r="N228">
            <v>0</v>
          </cell>
          <cell r="O228">
            <v>0</v>
          </cell>
          <cell r="P228">
            <v>31590.416666666653</v>
          </cell>
          <cell r="Q228">
            <v>0</v>
          </cell>
          <cell r="R228"/>
          <cell r="S228"/>
          <cell r="T228"/>
          <cell r="U228"/>
          <cell r="V228">
            <v>15</v>
          </cell>
          <cell r="W228">
            <v>542</v>
          </cell>
        </row>
        <row r="229">
          <cell r="A229"/>
          <cell r="B229"/>
          <cell r="C229"/>
          <cell r="D229"/>
          <cell r="E229"/>
          <cell r="F229"/>
          <cell r="G229"/>
          <cell r="H229"/>
          <cell r="I229"/>
          <cell r="J229"/>
          <cell r="K229"/>
          <cell r="L229"/>
          <cell r="M229"/>
          <cell r="N229"/>
          <cell r="O229"/>
          <cell r="P229"/>
          <cell r="Q229"/>
          <cell r="R229"/>
          <cell r="S229"/>
          <cell r="T229"/>
          <cell r="U229"/>
          <cell r="V229"/>
          <cell r="W229"/>
        </row>
        <row r="230">
          <cell r="A230" t="str">
            <v>4.8.4.1</v>
          </cell>
          <cell r="B230" t="str">
            <v>TRM115.1</v>
          </cell>
          <cell r="C230" t="str">
            <v>V8</v>
          </cell>
          <cell r="D230" t="str">
            <v>CI-MSC-MODD-V01-160601</v>
          </cell>
          <cell r="E230" t="str">
            <v xml:space="preserve">Modulating Commercial Gas Clothes Dryer - Coin- Operated Laundromats </v>
          </cell>
          <cell r="F230" t="str">
            <v>Modulating Commercial Gas Clothes Dryer - Coin Operaed Laundromat</v>
          </cell>
          <cell r="G230" t="str">
            <v>Clothes washers</v>
          </cell>
          <cell r="H230" t="str">
            <v>Commercial</v>
          </cell>
          <cell r="I230" t="str">
            <v>Unit</v>
          </cell>
          <cell r="J230">
            <v>0</v>
          </cell>
          <cell r="K230">
            <v>0</v>
          </cell>
          <cell r="L230">
            <v>266.94</v>
          </cell>
          <cell r="M230">
            <v>0</v>
          </cell>
          <cell r="N230">
            <v>0</v>
          </cell>
          <cell r="O230">
            <v>0</v>
          </cell>
          <cell r="P230">
            <v>3737.16</v>
          </cell>
          <cell r="Q230">
            <v>0</v>
          </cell>
          <cell r="R230"/>
          <cell r="S230">
            <v>700</v>
          </cell>
          <cell r="T230"/>
          <cell r="U230"/>
          <cell r="V230">
            <v>14</v>
          </cell>
          <cell r="W230">
            <v>700</v>
          </cell>
        </row>
        <row r="231">
          <cell r="A231" t="str">
            <v>4.8.4.2</v>
          </cell>
          <cell r="B231" t="str">
            <v>TRM115.2</v>
          </cell>
          <cell r="C231" t="str">
            <v>V8</v>
          </cell>
          <cell r="D231" t="str">
            <v>CI-MSC-MODD-V01-160601</v>
          </cell>
          <cell r="E231" t="str">
            <v xml:space="preserve">Modulating Commercial Gas Clothes Dryer - Multi-family Dryers </v>
          </cell>
          <cell r="F231" t="str">
            <v>Modulating Commercial Gas Clothes Dryer - Multi-family Dryers</v>
          </cell>
          <cell r="G231" t="str">
            <v>Clothes washers</v>
          </cell>
          <cell r="H231" t="str">
            <v>Commercial</v>
          </cell>
          <cell r="I231" t="str">
            <v>Unit</v>
          </cell>
          <cell r="J231">
            <v>0</v>
          </cell>
          <cell r="K231">
            <v>0</v>
          </cell>
          <cell r="L231">
            <v>193.32</v>
          </cell>
          <cell r="M231">
            <v>0</v>
          </cell>
          <cell r="N231">
            <v>0</v>
          </cell>
          <cell r="O231">
            <v>0</v>
          </cell>
          <cell r="P231">
            <v>2706.48</v>
          </cell>
          <cell r="Q231">
            <v>0</v>
          </cell>
          <cell r="R231"/>
          <cell r="S231">
            <v>700</v>
          </cell>
          <cell r="T231"/>
          <cell r="U231"/>
          <cell r="V231">
            <v>14</v>
          </cell>
          <cell r="W231">
            <v>700</v>
          </cell>
        </row>
        <row r="232">
          <cell r="A232" t="str">
            <v>4.8.4.3</v>
          </cell>
          <cell r="B232" t="str">
            <v>TRM115.3</v>
          </cell>
          <cell r="C232" t="str">
            <v>V8</v>
          </cell>
          <cell r="D232" t="str">
            <v>CI-MSC-MODD-V01-160601</v>
          </cell>
          <cell r="E232" t="str">
            <v xml:space="preserve">Modulating Commercial Gas Clothes Dryer - On-Premise Laundromats  </v>
          </cell>
          <cell r="F232" t="str">
            <v>Modulating Commercial Gas Clothes Dryer - On Premise Laundromat</v>
          </cell>
          <cell r="G232" t="str">
            <v>Clothes washers</v>
          </cell>
          <cell r="H232" t="str">
            <v>Commercial</v>
          </cell>
          <cell r="I232" t="str">
            <v>Unit</v>
          </cell>
          <cell r="J232">
            <v>0</v>
          </cell>
          <cell r="K232">
            <v>0</v>
          </cell>
          <cell r="L232">
            <v>649.26</v>
          </cell>
          <cell r="M232">
            <v>0</v>
          </cell>
          <cell r="N232">
            <v>0</v>
          </cell>
          <cell r="O232">
            <v>0</v>
          </cell>
          <cell r="P232">
            <v>9089.64</v>
          </cell>
          <cell r="Q232">
            <v>0</v>
          </cell>
          <cell r="R232"/>
          <cell r="S232">
            <v>700</v>
          </cell>
          <cell r="T232"/>
          <cell r="U232"/>
          <cell r="V232">
            <v>14</v>
          </cell>
          <cell r="W232">
            <v>700</v>
          </cell>
        </row>
        <row r="233">
          <cell r="A233"/>
          <cell r="B233"/>
          <cell r="C233"/>
          <cell r="D233"/>
          <cell r="E233"/>
          <cell r="F233"/>
          <cell r="G233"/>
          <cell r="H233"/>
          <cell r="I233"/>
          <cell r="J233"/>
          <cell r="K233"/>
          <cell r="L233"/>
          <cell r="M233"/>
          <cell r="N233"/>
          <cell r="O233"/>
          <cell r="P233"/>
          <cell r="Q233"/>
          <cell r="R233"/>
          <cell r="S233"/>
          <cell r="T233"/>
          <cell r="U233"/>
          <cell r="V233"/>
          <cell r="W233"/>
        </row>
        <row r="234">
          <cell r="A234" t="str">
            <v>4.3.10.1</v>
          </cell>
          <cell r="B234" t="str">
            <v>TRM123.1</v>
          </cell>
          <cell r="C234" t="str">
            <v>V8</v>
          </cell>
          <cell r="D234" t="str">
            <v>CI-HWE-DBTU-V01-170601</v>
          </cell>
          <cell r="E234" t="str">
            <v>DHW Boiler Tune-up - Multi-Family</v>
          </cell>
          <cell r="F234" t="str">
            <v>DHW Boiler Tune-up - Multi-Family, Multi-Family, 1000 Mbh</v>
          </cell>
          <cell r="G234" t="str">
            <v>Water heater</v>
          </cell>
          <cell r="H234" t="str">
            <v>Commercial</v>
          </cell>
          <cell r="I234" t="str">
            <v>Project</v>
          </cell>
          <cell r="J234">
            <v>0</v>
          </cell>
          <cell r="K234">
            <v>0</v>
          </cell>
          <cell r="L234">
            <v>12.959275000000073</v>
          </cell>
          <cell r="M234"/>
          <cell r="N234">
            <v>0</v>
          </cell>
          <cell r="O234">
            <v>0</v>
          </cell>
          <cell r="P234">
            <v>38.877825000000215</v>
          </cell>
          <cell r="Q234"/>
          <cell r="R234"/>
          <cell r="S234">
            <v>830</v>
          </cell>
          <cell r="T234"/>
          <cell r="U234"/>
          <cell r="V234">
            <v>3</v>
          </cell>
          <cell r="W234">
            <v>830</v>
          </cell>
        </row>
        <row r="235">
          <cell r="A235" t="str">
            <v>4.3.10.2</v>
          </cell>
          <cell r="B235" t="str">
            <v>TRM123.2</v>
          </cell>
          <cell r="C235" t="str">
            <v>V8</v>
          </cell>
          <cell r="D235" t="str">
            <v>CI-HWE-DBTU-V01-170601</v>
          </cell>
          <cell r="E235" t="str">
            <v>DHW Boiler Tune-up - Other Commercial</v>
          </cell>
          <cell r="F235" t="str">
            <v>DHW Boiler Tune-up - Other Commercial, Other Commercial, 1000 Mbh</v>
          </cell>
          <cell r="G235" t="str">
            <v>Water heater</v>
          </cell>
          <cell r="H235" t="str">
            <v>Commercial</v>
          </cell>
          <cell r="I235" t="str">
            <v>Project</v>
          </cell>
          <cell r="J235">
            <v>0</v>
          </cell>
          <cell r="K235">
            <v>0</v>
          </cell>
          <cell r="L235">
            <v>4.9430791666666938</v>
          </cell>
          <cell r="M235"/>
          <cell r="N235">
            <v>0</v>
          </cell>
          <cell r="O235">
            <v>0</v>
          </cell>
          <cell r="P235">
            <v>14.829237500000081</v>
          </cell>
          <cell r="Q235"/>
          <cell r="R235"/>
          <cell r="S235">
            <v>830</v>
          </cell>
          <cell r="T235"/>
          <cell r="U235"/>
          <cell r="V235">
            <v>3</v>
          </cell>
          <cell r="W235">
            <v>830</v>
          </cell>
        </row>
        <row r="236">
          <cell r="A236"/>
          <cell r="B236"/>
          <cell r="C236"/>
          <cell r="D236"/>
          <cell r="E236"/>
          <cell r="F236"/>
          <cell r="G236"/>
          <cell r="H236"/>
          <cell r="I236"/>
          <cell r="J236"/>
          <cell r="K236"/>
          <cell r="L236"/>
          <cell r="M236"/>
          <cell r="N236"/>
          <cell r="O236"/>
          <cell r="P236"/>
          <cell r="Q236"/>
          <cell r="R236"/>
          <cell r="S236"/>
          <cell r="T236"/>
          <cell r="U236"/>
          <cell r="V236"/>
          <cell r="W236"/>
        </row>
        <row r="237">
          <cell r="A237" t="str">
            <v>4.4.38.1</v>
          </cell>
          <cell r="B237" t="str">
            <v>TRM124.1</v>
          </cell>
          <cell r="C237" t="str">
            <v>V8</v>
          </cell>
          <cell r="D237" t="str">
            <v>CI-HVC-CRAC-V01-170601</v>
          </cell>
          <cell r="E237" t="str">
            <v>Covers and Gap Sealers for Room Air Conditioners</v>
          </cell>
          <cell r="F237" t="str">
            <v>Covers and Gap Sealers for Room Air Conditioners, MF - Mid Rise, 5 Stories</v>
          </cell>
          <cell r="G237" t="str">
            <v>Other HVAC</v>
          </cell>
          <cell r="H237" t="str">
            <v>Commercial</v>
          </cell>
          <cell r="I237" t="str">
            <v>Project</v>
          </cell>
          <cell r="J237">
            <v>2655.9359999999997</v>
          </cell>
          <cell r="K237">
            <v>0</v>
          </cell>
          <cell r="L237">
            <v>294.55200000000002</v>
          </cell>
          <cell r="M237"/>
          <cell r="N237">
            <v>13279.679999999998</v>
          </cell>
          <cell r="O237">
            <v>0</v>
          </cell>
          <cell r="P237">
            <v>1472.7600000000002</v>
          </cell>
          <cell r="Q237"/>
          <cell r="R237"/>
          <cell r="S237">
            <v>2780</v>
          </cell>
          <cell r="T237"/>
          <cell r="U237" t="str">
            <v/>
          </cell>
          <cell r="V237">
            <v>5</v>
          </cell>
          <cell r="W237">
            <v>2780</v>
          </cell>
        </row>
        <row r="238">
          <cell r="A238"/>
          <cell r="B238"/>
          <cell r="C238"/>
          <cell r="D238"/>
          <cell r="E238"/>
          <cell r="F238"/>
          <cell r="G238"/>
          <cell r="H238"/>
          <cell r="I238"/>
          <cell r="J238"/>
          <cell r="K238"/>
          <cell r="L238"/>
          <cell r="M238"/>
          <cell r="N238"/>
          <cell r="O238"/>
          <cell r="P238"/>
          <cell r="Q238"/>
          <cell r="R238"/>
          <cell r="S238"/>
          <cell r="T238"/>
          <cell r="U238"/>
          <cell r="V238"/>
          <cell r="W238"/>
        </row>
      </sheetData>
      <sheetData sheetId="5"/>
      <sheetData sheetId="6"/>
      <sheetData sheetId="7"/>
      <sheetData sheetId="8">
        <row r="11">
          <cell r="B11">
            <v>20</v>
          </cell>
        </row>
        <row r="12">
          <cell r="B12">
            <v>22</v>
          </cell>
        </row>
        <row r="13">
          <cell r="B13">
            <v>24</v>
          </cell>
        </row>
      </sheetData>
      <sheetData sheetId="9">
        <row r="11">
          <cell r="B11" t="str">
            <v>24 through 35</v>
          </cell>
        </row>
        <row r="12">
          <cell r="B12" t="str">
            <v>36 through 47</v>
          </cell>
        </row>
        <row r="13">
          <cell r="B13" t="str">
            <v>48 through 71</v>
          </cell>
        </row>
      </sheetData>
      <sheetData sheetId="10"/>
      <sheetData sheetId="11"/>
      <sheetData sheetId="12">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13"/>
      <sheetData sheetId="14"/>
      <sheetData sheetId="15"/>
      <sheetData sheetId="16"/>
      <sheetData sheetId="17">
        <row r="76">
          <cell r="B76" t="str">
            <v>Fast Food Limited Menu</v>
          </cell>
        </row>
        <row r="77">
          <cell r="B77" t="str">
            <v>Fast Food Expanded Menu</v>
          </cell>
        </row>
        <row r="78">
          <cell r="B78" t="str">
            <v>Pizza</v>
          </cell>
        </row>
        <row r="79">
          <cell r="B79" t="str">
            <v>Full Service Limited Menu</v>
          </cell>
        </row>
        <row r="80">
          <cell r="B80" t="str">
            <v>Full Service Expanded Menu</v>
          </cell>
        </row>
        <row r="81">
          <cell r="B81" t="str">
            <v>Cafeteria</v>
          </cell>
        </row>
      </sheetData>
      <sheetData sheetId="18">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9">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20"/>
      <sheetData sheetId="21"/>
      <sheetData sheetId="22"/>
      <sheetData sheetId="23"/>
      <sheetData sheetId="24">
        <row r="12">
          <cell r="B12" t="str">
            <v>DVC Control Retrofit</v>
          </cell>
        </row>
        <row r="13">
          <cell r="B13" t="str">
            <v>DVC Control New</v>
          </cell>
        </row>
      </sheetData>
      <sheetData sheetId="25"/>
      <sheetData sheetId="26"/>
      <sheetData sheetId="27">
        <row r="72">
          <cell r="A72" t="str">
            <v>TOS</v>
          </cell>
        </row>
        <row r="73">
          <cell r="A73" t="str">
            <v>RF</v>
          </cell>
        </row>
        <row r="74">
          <cell r="A74" t="str">
            <v>EREP</v>
          </cell>
        </row>
        <row r="77">
          <cell r="A77" t="str">
            <v>Gas,High Efficiency, ≥88% TE</v>
          </cell>
        </row>
        <row r="78">
          <cell r="A78" t="str">
            <v>Gas, Standard, ≥0.67 EF</v>
          </cell>
        </row>
        <row r="79">
          <cell r="A79" t="str">
            <v>Electric</v>
          </cell>
        </row>
        <row r="83">
          <cell r="A83" t="str">
            <v>50 gallons</v>
          </cell>
        </row>
        <row r="84">
          <cell r="A84" t="str">
            <v>80 gallons</v>
          </cell>
        </row>
        <row r="85">
          <cell r="A85" t="str">
            <v>100 gallons</v>
          </cell>
        </row>
      </sheetData>
      <sheetData sheetId="28">
        <row r="62">
          <cell r="B62" t="str">
            <v>Electric</v>
          </cell>
        </row>
        <row r="63">
          <cell r="B63" t="str">
            <v>Fossil Fuel</v>
          </cell>
        </row>
      </sheetData>
      <sheetData sheetId="29">
        <row r="63">
          <cell r="B63" t="str">
            <v>Electric</v>
          </cell>
          <cell r="E63">
            <v>2</v>
          </cell>
        </row>
        <row r="64">
          <cell r="B64" t="str">
            <v>Fossil Fuel</v>
          </cell>
          <cell r="E64">
            <v>1.75</v>
          </cell>
        </row>
        <row r="65">
          <cell r="B65" t="str">
            <v>Unknown</v>
          </cell>
          <cell r="E65">
            <v>1.5</v>
          </cell>
        </row>
        <row r="66">
          <cell r="E66" t="str">
            <v>Custom or Actual</v>
          </cell>
        </row>
      </sheetData>
      <sheetData sheetId="30">
        <row r="43">
          <cell r="B43" t="str">
            <v>Indoor</v>
          </cell>
        </row>
        <row r="44">
          <cell r="B44" t="str">
            <v>Outdoor</v>
          </cell>
        </row>
      </sheetData>
      <sheetData sheetId="31"/>
      <sheetData sheetId="32"/>
      <sheetData sheetId="33"/>
      <sheetData sheetId="34"/>
      <sheetData sheetId="35"/>
      <sheetData sheetId="36"/>
      <sheetData sheetId="37"/>
      <sheetData sheetId="38"/>
      <sheetData sheetId="39"/>
      <sheetData sheetId="40">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41">
        <row r="11">
          <cell r="J11" t="str">
            <v>Energy Star</v>
          </cell>
        </row>
        <row r="12">
          <cell r="J12" t="str">
            <v>CEE Tier 1</v>
          </cell>
        </row>
        <row r="13">
          <cell r="J13" t="b">
            <v>1</v>
          </cell>
        </row>
        <row r="14">
          <cell r="J14" t="b">
            <v>0</v>
          </cell>
        </row>
      </sheetData>
      <sheetData sheetId="42"/>
      <sheetData sheetId="43">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44"/>
      <sheetData sheetId="45">
        <row r="32">
          <cell r="J32" t="str">
            <v>PTAC (cooling mode)</v>
          </cell>
        </row>
        <row r="33">
          <cell r="J33" t="str">
            <v>PTHP (cooling mode)</v>
          </cell>
        </row>
        <row r="34">
          <cell r="J34" t="str">
            <v>PTHP (Heating mode)</v>
          </cell>
        </row>
      </sheetData>
      <sheetData sheetId="46">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ow r="11">
          <cell r="B11" t="str">
            <v>Walk in Cooler</v>
          </cell>
        </row>
        <row r="12">
          <cell r="B12" t="str">
            <v>Walk in Freezer</v>
          </cell>
        </row>
      </sheetData>
      <sheetData sheetId="64">
        <row r="18">
          <cell r="B18" t="str">
            <v>Refrigerated Beverage Vending Machines</v>
          </cell>
        </row>
        <row r="19">
          <cell r="B19" t="str">
            <v>Non-Refrigerated Snack Vending Machines</v>
          </cell>
        </row>
        <row r="20">
          <cell r="B20" t="str">
            <v>Glass Front Refrigerated Coolers</v>
          </cell>
        </row>
      </sheetData>
      <sheetData sheetId="65">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66">
        <row r="11">
          <cell r="F11" t="str">
            <v>Restaurant</v>
          </cell>
        </row>
        <row r="12">
          <cell r="F12" t="str">
            <v>Grocery</v>
          </cell>
        </row>
        <row r="13">
          <cell r="F13" t="str">
            <v>Average</v>
          </cell>
        </row>
      </sheetData>
      <sheetData sheetId="67">
        <row r="14">
          <cell r="F14" t="str">
            <v>&lt;500</v>
          </cell>
        </row>
        <row r="15">
          <cell r="F15">
            <v>500</v>
          </cell>
        </row>
        <row r="16">
          <cell r="F16">
            <v>699</v>
          </cell>
        </row>
        <row r="17">
          <cell r="F17">
            <v>799</v>
          </cell>
        </row>
        <row r="18">
          <cell r="F18" t="str">
            <v>800+</v>
          </cell>
        </row>
        <row r="19">
          <cell r="F19" t="str">
            <v>Average</v>
          </cell>
        </row>
      </sheetData>
      <sheetData sheetId="68">
        <row r="8">
          <cell r="F8" t="str">
            <v>Freezer</v>
          </cell>
        </row>
        <row r="9">
          <cell r="F9" t="str">
            <v>Cooler</v>
          </cell>
        </row>
      </sheetData>
      <sheetData sheetId="69">
        <row r="20">
          <cell r="E20" t="str">
            <v>Single shift (8/5)</v>
          </cell>
        </row>
        <row r="21">
          <cell r="E21" t="str">
            <v>2-shift (16/5)</v>
          </cell>
        </row>
        <row r="22">
          <cell r="E22" t="str">
            <v>3-shift (24/5)</v>
          </cell>
        </row>
        <row r="23">
          <cell r="E23" t="str">
            <v>4-shift (24/7)</v>
          </cell>
        </row>
      </sheetData>
      <sheetData sheetId="70"/>
      <sheetData sheetId="71"/>
      <sheetData sheetId="72"/>
      <sheetData sheetId="73"/>
      <sheetData sheetId="74"/>
      <sheetData sheetId="75">
        <row r="3">
          <cell r="B3" t="str">
            <v>Agriculture</v>
          </cell>
        </row>
        <row r="4">
          <cell r="B4" t="str">
            <v>Food service</v>
          </cell>
          <cell r="D4" t="str">
            <v>Assembly</v>
          </cell>
          <cell r="E4">
            <v>1787</v>
          </cell>
          <cell r="F4">
            <v>1831</v>
          </cell>
          <cell r="G4">
            <v>1635</v>
          </cell>
          <cell r="H4">
            <v>1089</v>
          </cell>
          <cell r="I4">
            <v>1669</v>
          </cell>
          <cell r="J4">
            <v>1634.6999999999998</v>
          </cell>
          <cell r="M4">
            <v>0.3</v>
          </cell>
        </row>
        <row r="5">
          <cell r="B5" t="str">
            <v>Low-flow fixtures</v>
          </cell>
          <cell r="D5" t="str">
            <v>Assisted Living</v>
          </cell>
          <cell r="E5">
            <v>1683</v>
          </cell>
          <cell r="F5">
            <v>1646</v>
          </cell>
          <cell r="G5">
            <v>1446</v>
          </cell>
          <cell r="H5">
            <v>1063</v>
          </cell>
          <cell r="I5">
            <v>1277</v>
          </cell>
          <cell r="J5">
            <v>1492.5</v>
          </cell>
          <cell r="M5">
            <v>0.6</v>
          </cell>
        </row>
        <row r="6">
          <cell r="B6"/>
          <cell r="D6" t="str">
            <v>Auto Dealership</v>
          </cell>
          <cell r="E6">
            <v>2981</v>
          </cell>
          <cell r="F6">
            <v>2950</v>
          </cell>
          <cell r="G6">
            <v>2694</v>
          </cell>
          <cell r="H6">
            <v>2368</v>
          </cell>
          <cell r="I6">
            <v>2437</v>
          </cell>
          <cell r="J6">
            <v>2664.3</v>
          </cell>
        </row>
        <row r="7">
          <cell r="B7" t="str">
            <v>Water heater</v>
          </cell>
          <cell r="D7" t="str">
            <v>College</v>
          </cell>
          <cell r="E7">
            <v>1256</v>
          </cell>
          <cell r="F7">
            <v>1293</v>
          </cell>
          <cell r="G7">
            <v>1138</v>
          </cell>
          <cell r="H7">
            <v>1116</v>
          </cell>
          <cell r="I7">
            <v>1131</v>
          </cell>
          <cell r="J7">
            <v>1152.5999999999999</v>
          </cell>
          <cell r="M7"/>
        </row>
        <row r="8">
          <cell r="B8" t="str">
            <v>Air conditioner</v>
          </cell>
          <cell r="D8" t="str">
            <v>Convenience Store</v>
          </cell>
          <cell r="E8">
            <v>1481</v>
          </cell>
          <cell r="F8">
            <v>1368</v>
          </cell>
          <cell r="G8">
            <v>1214</v>
          </cell>
          <cell r="H8">
            <v>871</v>
          </cell>
          <cell r="I8">
            <v>973</v>
          </cell>
          <cell r="J8">
            <v>1265.0999999999999</v>
          </cell>
        </row>
        <row r="9">
          <cell r="B9"/>
          <cell r="D9" t="str">
            <v>Drug Store</v>
          </cell>
          <cell r="E9">
            <v>2848</v>
          </cell>
          <cell r="F9">
            <v>2947</v>
          </cell>
          <cell r="G9">
            <v>2568</v>
          </cell>
          <cell r="H9">
            <v>2362</v>
          </cell>
          <cell r="I9">
            <v>2516</v>
          </cell>
          <cell r="J9">
            <v>2622.6</v>
          </cell>
        </row>
        <row r="10">
          <cell r="B10" t="str">
            <v>Boilers</v>
          </cell>
          <cell r="D10" t="str">
            <v>Elementary School</v>
          </cell>
          <cell r="E10">
            <v>1614</v>
          </cell>
          <cell r="F10">
            <v>1603</v>
          </cell>
          <cell r="G10">
            <v>1409</v>
          </cell>
          <cell r="H10">
            <v>1209</v>
          </cell>
          <cell r="I10">
            <v>1269</v>
          </cell>
          <cell r="J10">
            <v>1446</v>
          </cell>
        </row>
        <row r="11">
          <cell r="B11" t="str">
            <v>Furnaces</v>
          </cell>
          <cell r="D11" t="str">
            <v>Garage</v>
          </cell>
          <cell r="E11">
            <v>985</v>
          </cell>
          <cell r="F11">
            <v>969</v>
          </cell>
          <cell r="G11">
            <v>852</v>
          </cell>
          <cell r="H11">
            <v>680</v>
          </cell>
          <cell r="I11">
            <v>752</v>
          </cell>
          <cell r="J11">
            <v>876.9</v>
          </cell>
          <cell r="L11" t="str">
            <v>1 (Rockford)</v>
          </cell>
          <cell r="M11">
            <v>2</v>
          </cell>
        </row>
        <row r="12">
          <cell r="B12" t="str">
            <v>Heat pumps</v>
          </cell>
          <cell r="D12" t="str">
            <v>Grocery</v>
          </cell>
          <cell r="E12">
            <v>1467</v>
          </cell>
          <cell r="F12">
            <v>1551</v>
          </cell>
          <cell r="G12">
            <v>1364</v>
          </cell>
          <cell r="H12">
            <v>1367</v>
          </cell>
          <cell r="I12">
            <v>1375</v>
          </cell>
          <cell r="J12">
            <v>1370.6999999999998</v>
          </cell>
          <cell r="L12" t="str">
            <v>2 (Chicago)</v>
          </cell>
          <cell r="M12">
            <v>3</v>
          </cell>
        </row>
        <row r="13">
          <cell r="B13" t="str">
            <v>Steam traps</v>
          </cell>
          <cell r="D13" t="str">
            <v>Healthcare Clinic</v>
          </cell>
          <cell r="E13">
            <v>1446</v>
          </cell>
          <cell r="F13">
            <v>1526</v>
          </cell>
          <cell r="G13">
            <v>1452</v>
          </cell>
          <cell r="H13">
            <v>1553</v>
          </cell>
          <cell r="I13">
            <v>1574</v>
          </cell>
          <cell r="J13">
            <v>1349.4</v>
          </cell>
          <cell r="L13" t="str">
            <v>3 (Springfield)</v>
          </cell>
          <cell r="M13">
            <v>4</v>
          </cell>
        </row>
        <row r="14">
          <cell r="B14" t="str">
            <v>Other HVAC</v>
          </cell>
          <cell r="D14" t="str">
            <v>High School</v>
          </cell>
          <cell r="E14">
            <v>1807</v>
          </cell>
          <cell r="F14">
            <v>1855</v>
          </cell>
          <cell r="G14">
            <v>1649</v>
          </cell>
          <cell r="H14">
            <v>1591</v>
          </cell>
          <cell r="I14">
            <v>1622</v>
          </cell>
          <cell r="J14">
            <v>1655.1</v>
          </cell>
          <cell r="L14" t="str">
            <v>4 (Belleville)</v>
          </cell>
          <cell r="M14">
            <v>5</v>
          </cell>
        </row>
        <row r="15">
          <cell r="B15" t="str">
            <v>Lighting</v>
          </cell>
          <cell r="D15" t="str">
            <v>Hospital - CAV no econ</v>
          </cell>
          <cell r="E15">
            <v>1216</v>
          </cell>
          <cell r="F15">
            <v>1220</v>
          </cell>
          <cell r="G15">
            <v>1072</v>
          </cell>
          <cell r="H15">
            <v>1001</v>
          </cell>
          <cell r="I15">
            <v>1028</v>
          </cell>
          <cell r="J15">
            <v>1096.8</v>
          </cell>
          <cell r="L15" t="str">
            <v>5 (Marion)</v>
          </cell>
          <cell r="M15">
            <v>6</v>
          </cell>
        </row>
        <row r="16">
          <cell r="B16" t="str">
            <v>Refrigeration</v>
          </cell>
          <cell r="D16" t="str">
            <v>Hospital - CAV econ</v>
          </cell>
          <cell r="E16">
            <v>1387</v>
          </cell>
          <cell r="F16">
            <v>1398</v>
          </cell>
          <cell r="G16">
            <v>1252</v>
          </cell>
          <cell r="H16">
            <v>1222</v>
          </cell>
          <cell r="I16">
            <v>1269</v>
          </cell>
          <cell r="J16">
            <v>1254.8999999999999</v>
          </cell>
          <cell r="L16" t="str">
            <v>6 (Nicor Custom)</v>
          </cell>
          <cell r="M16">
            <v>7</v>
          </cell>
        </row>
        <row r="17">
          <cell r="B17" t="str">
            <v>Dishwasher</v>
          </cell>
          <cell r="D17" t="str">
            <v>Hospital - VAV econ</v>
          </cell>
          <cell r="E17">
            <v>665</v>
          </cell>
          <cell r="F17">
            <v>697</v>
          </cell>
          <cell r="G17">
            <v>628</v>
          </cell>
          <cell r="H17">
            <v>646</v>
          </cell>
          <cell r="I17">
            <v>615</v>
          </cell>
          <cell r="J17">
            <v>617.70000000000005</v>
          </cell>
        </row>
        <row r="18">
          <cell r="B18" t="str">
            <v>Clothes washers</v>
          </cell>
          <cell r="D18" t="str">
            <v>Hospital - FCU</v>
          </cell>
          <cell r="E18">
            <v>1622</v>
          </cell>
          <cell r="F18">
            <v>1571</v>
          </cell>
          <cell r="G18">
            <v>1374</v>
          </cell>
          <cell r="H18">
            <v>1220</v>
          </cell>
          <cell r="I18">
            <v>1281</v>
          </cell>
          <cell r="J18">
            <v>1429.1999999999998</v>
          </cell>
        </row>
        <row r="19">
          <cell r="B19" t="str">
            <v>Appliances</v>
          </cell>
          <cell r="D19" t="str">
            <v>Hotel/Motel</v>
          </cell>
          <cell r="E19">
            <v>1597</v>
          </cell>
          <cell r="F19">
            <v>1634</v>
          </cell>
          <cell r="G19">
            <v>1468</v>
          </cell>
          <cell r="H19">
            <v>1376</v>
          </cell>
          <cell r="I19">
            <v>1451</v>
          </cell>
          <cell r="J19">
            <v>1459.5</v>
          </cell>
        </row>
        <row r="20">
          <cell r="B20" t="str">
            <v>Consumer electronics</v>
          </cell>
          <cell r="D20" t="str">
            <v>Hotel/Motel - Common</v>
          </cell>
          <cell r="E20">
            <v>1670</v>
          </cell>
          <cell r="F20">
            <v>1733</v>
          </cell>
          <cell r="G20">
            <v>1549</v>
          </cell>
          <cell r="H20">
            <v>1496</v>
          </cell>
          <cell r="I20">
            <v>1557</v>
          </cell>
          <cell r="J20">
            <v>1540.8</v>
          </cell>
        </row>
        <row r="21">
          <cell r="B21" t="str">
            <v>Thermostats</v>
          </cell>
          <cell r="D21" t="str">
            <v>Hotel/Motel - Guest</v>
          </cell>
          <cell r="E21">
            <v>1555</v>
          </cell>
          <cell r="F21">
            <v>1597</v>
          </cell>
          <cell r="G21">
            <v>1433</v>
          </cell>
          <cell r="H21">
            <v>1316</v>
          </cell>
          <cell r="I21">
            <v>1400</v>
          </cell>
          <cell r="J21">
            <v>1424.6999999999998</v>
          </cell>
        </row>
        <row r="22">
          <cell r="B22" t="str">
            <v>Duct sealing</v>
          </cell>
          <cell r="D22" t="str">
            <v>Manufacturing Facility</v>
          </cell>
          <cell r="E22">
            <v>1048</v>
          </cell>
          <cell r="F22">
            <v>1013</v>
          </cell>
          <cell r="G22">
            <v>939</v>
          </cell>
          <cell r="H22">
            <v>567</v>
          </cell>
          <cell r="I22">
            <v>634</v>
          </cell>
          <cell r="J22">
            <v>922.19999999999993</v>
          </cell>
        </row>
        <row r="23">
          <cell r="B23" t="str">
            <v>Pipe insulation</v>
          </cell>
          <cell r="D23" t="str">
            <v>MF - High Rise</v>
          </cell>
          <cell r="E23">
            <v>1565</v>
          </cell>
          <cell r="F23">
            <v>1540</v>
          </cell>
          <cell r="G23">
            <v>1448</v>
          </cell>
          <cell r="H23">
            <v>1089</v>
          </cell>
          <cell r="I23">
            <v>1125</v>
          </cell>
          <cell r="J23">
            <v>1393.5</v>
          </cell>
        </row>
        <row r="24">
          <cell r="B24" t="str">
            <v>Technical assistance</v>
          </cell>
          <cell r="D24" t="str">
            <v>MF - High Rise - Common</v>
          </cell>
          <cell r="E24">
            <v>537</v>
          </cell>
          <cell r="F24">
            <v>558</v>
          </cell>
          <cell r="G24">
            <v>501</v>
          </cell>
          <cell r="H24">
            <v>480</v>
          </cell>
          <cell r="I24">
            <v>499</v>
          </cell>
          <cell r="J24">
            <v>495.9</v>
          </cell>
        </row>
        <row r="25">
          <cell r="B25" t="str">
            <v>Shell</v>
          </cell>
          <cell r="D25" t="str">
            <v>MF - High Rise - Residential</v>
          </cell>
          <cell r="E25">
            <v>1665</v>
          </cell>
          <cell r="F25">
            <v>1666</v>
          </cell>
          <cell r="G25">
            <v>1512</v>
          </cell>
          <cell r="H25">
            <v>1145</v>
          </cell>
          <cell r="I25">
            <v>1207</v>
          </cell>
          <cell r="J25">
            <v>1499.1</v>
          </cell>
        </row>
        <row r="26">
          <cell r="B26" t="str">
            <v>Custom</v>
          </cell>
          <cell r="D26" t="str">
            <v>MF - Mid Rise</v>
          </cell>
          <cell r="E26">
            <v>1730</v>
          </cell>
          <cell r="F26">
            <v>1782</v>
          </cell>
          <cell r="G26">
            <v>1589</v>
          </cell>
          <cell r="H26">
            <v>1538</v>
          </cell>
          <cell r="I26">
            <v>1560</v>
          </cell>
          <cell r="J26">
            <v>1588.2</v>
          </cell>
        </row>
        <row r="27">
          <cell r="B27" t="str">
            <v>Controls</v>
          </cell>
          <cell r="D27" t="str">
            <v>Movie Theater</v>
          </cell>
          <cell r="E27">
            <v>1916</v>
          </cell>
          <cell r="F27">
            <v>1905</v>
          </cell>
          <cell r="G27">
            <v>1718</v>
          </cell>
          <cell r="H27">
            <v>1288</v>
          </cell>
          <cell r="I27">
            <v>1538</v>
          </cell>
          <cell r="J27">
            <v>1717.8</v>
          </cell>
        </row>
        <row r="28">
          <cell r="D28" t="str">
            <v>Office - High Rise - CAV no econ</v>
          </cell>
          <cell r="E28">
            <v>995</v>
          </cell>
          <cell r="F28">
            <v>1036</v>
          </cell>
          <cell r="G28">
            <v>933</v>
          </cell>
          <cell r="H28">
            <v>786</v>
          </cell>
          <cell r="I28">
            <v>832</v>
          </cell>
          <cell r="J28">
            <v>920.1</v>
          </cell>
        </row>
        <row r="29">
          <cell r="D29" t="str">
            <v>Office - High Rise - CAV econ</v>
          </cell>
          <cell r="E29">
            <v>2244</v>
          </cell>
          <cell r="F29">
            <v>2237</v>
          </cell>
          <cell r="G29">
            <v>2024</v>
          </cell>
          <cell r="H29">
            <v>1553</v>
          </cell>
          <cell r="I29">
            <v>1608</v>
          </cell>
          <cell r="J29">
            <v>2015.4</v>
          </cell>
        </row>
        <row r="30">
          <cell r="D30" t="str">
            <v>Office - High Rise - VAV econ</v>
          </cell>
          <cell r="E30">
            <v>1552</v>
          </cell>
          <cell r="F30">
            <v>1432</v>
          </cell>
          <cell r="G30">
            <v>1239</v>
          </cell>
          <cell r="H30">
            <v>1077</v>
          </cell>
          <cell r="I30">
            <v>1098</v>
          </cell>
          <cell r="J30">
            <v>1324.8</v>
          </cell>
        </row>
        <row r="31">
          <cell r="D31" t="str">
            <v>Office - High Rise - FCU</v>
          </cell>
          <cell r="E31">
            <v>1015</v>
          </cell>
          <cell r="F31">
            <v>993</v>
          </cell>
          <cell r="G31">
            <v>899</v>
          </cell>
          <cell r="H31">
            <v>773</v>
          </cell>
          <cell r="I31">
            <v>809</v>
          </cell>
          <cell r="J31">
            <v>900.3</v>
          </cell>
        </row>
        <row r="32">
          <cell r="D32" t="str">
            <v>Office - Low Rise</v>
          </cell>
          <cell r="E32">
            <v>2825</v>
          </cell>
          <cell r="F32">
            <v>2625</v>
          </cell>
          <cell r="G32">
            <v>2365</v>
          </cell>
          <cell r="H32">
            <v>2007</v>
          </cell>
          <cell r="I32">
            <v>2040</v>
          </cell>
          <cell r="J32">
            <v>2422.5</v>
          </cell>
        </row>
        <row r="33">
          <cell r="D33" t="str">
            <v>Office - Mid Rise</v>
          </cell>
          <cell r="E33">
            <v>1672</v>
          </cell>
          <cell r="F33">
            <v>1629</v>
          </cell>
          <cell r="G33">
            <v>1454</v>
          </cell>
          <cell r="H33">
            <v>1356</v>
          </cell>
          <cell r="I33">
            <v>1399</v>
          </cell>
          <cell r="J33">
            <v>1479</v>
          </cell>
        </row>
        <row r="34">
          <cell r="D34" t="str">
            <v>Public Sector</v>
          </cell>
          <cell r="E34">
            <v>2757</v>
          </cell>
          <cell r="F34">
            <v>2670</v>
          </cell>
          <cell r="G34">
            <v>2383</v>
          </cell>
          <cell r="H34">
            <v>2149</v>
          </cell>
          <cell r="I34">
            <v>2186</v>
          </cell>
          <cell r="J34">
            <v>2429.1</v>
          </cell>
        </row>
        <row r="35">
          <cell r="D35" t="str">
            <v>Religious Building</v>
          </cell>
          <cell r="E35">
            <v>1603</v>
          </cell>
          <cell r="F35">
            <v>1504</v>
          </cell>
          <cell r="G35">
            <v>1440</v>
          </cell>
          <cell r="H35">
            <v>1054</v>
          </cell>
          <cell r="I35">
            <v>1205</v>
          </cell>
          <cell r="J35">
            <v>1383.3</v>
          </cell>
        </row>
        <row r="36">
          <cell r="D36" t="str">
            <v>Restaurant</v>
          </cell>
          <cell r="E36">
            <v>1326</v>
          </cell>
          <cell r="F36">
            <v>1328</v>
          </cell>
          <cell r="G36">
            <v>1179</v>
          </cell>
          <cell r="H36">
            <v>1091</v>
          </cell>
          <cell r="I36">
            <v>1122</v>
          </cell>
          <cell r="J36">
            <v>1194.5999999999999</v>
          </cell>
        </row>
        <row r="37">
          <cell r="D37" t="str">
            <v>Retail - Department Store</v>
          </cell>
          <cell r="E37">
            <v>1365</v>
          </cell>
          <cell r="F37">
            <v>1322</v>
          </cell>
          <cell r="G37">
            <v>1193</v>
          </cell>
          <cell r="H37">
            <v>1034</v>
          </cell>
          <cell r="I37">
            <v>1088</v>
          </cell>
          <cell r="J37">
            <v>1202.6999999999998</v>
          </cell>
        </row>
        <row r="38">
          <cell r="D38" t="str">
            <v>Retail - Strip Mall</v>
          </cell>
          <cell r="E38">
            <v>1347</v>
          </cell>
          <cell r="F38">
            <v>1325</v>
          </cell>
          <cell r="G38">
            <v>1183</v>
          </cell>
          <cell r="H38">
            <v>1064</v>
          </cell>
          <cell r="I38">
            <v>1096</v>
          </cell>
          <cell r="J38">
            <v>1199.0999999999999</v>
          </cell>
        </row>
        <row r="39">
          <cell r="D39" t="str">
            <v>Warehouse</v>
          </cell>
          <cell r="E39">
            <v>1285</v>
          </cell>
          <cell r="F39">
            <v>1286</v>
          </cell>
          <cell r="G39">
            <v>1180</v>
          </cell>
          <cell r="H39">
            <v>1147</v>
          </cell>
          <cell r="I39">
            <v>1224</v>
          </cell>
          <cell r="J39">
            <v>1157.0999999999999</v>
          </cell>
        </row>
        <row r="40">
          <cell r="D40" t="str">
            <v>Unknown</v>
          </cell>
          <cell r="E40">
            <v>1709</v>
          </cell>
          <cell r="F40">
            <v>1678</v>
          </cell>
          <cell r="G40">
            <v>1508</v>
          </cell>
          <cell r="H40">
            <v>1287</v>
          </cell>
          <cell r="I40">
            <v>1411</v>
          </cell>
          <cell r="J40">
            <v>1519.5</v>
          </cell>
        </row>
        <row r="41">
          <cell r="D41" t="str">
            <v>Average</v>
          </cell>
          <cell r="E41">
            <v>1600.6216216216217</v>
          </cell>
          <cell r="F41">
            <v>1592.3783783783783</v>
          </cell>
          <cell r="G41">
            <v>1429.2972972972973</v>
          </cell>
          <cell r="H41">
            <v>1244.081081081081</v>
          </cell>
          <cell r="I41">
            <v>1321</v>
          </cell>
          <cell r="J41">
            <v>1435.6135135135135</v>
          </cell>
        </row>
      </sheetData>
      <sheetData sheetId="76">
        <row r="8">
          <cell r="D8">
            <v>2.3800000000000002E-2</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ool Set-Up"/>
      <sheetName val="Program Budgets"/>
      <sheetName val="Measure Build"/>
      <sheetName val="Data Validation"/>
      <sheetName val="Economic Inputs"/>
      <sheetName val="Program Summary Work"/>
      <sheetName val="Sheet1"/>
      <sheetName val="BRD Table"/>
    </sheetNames>
    <sheetDataSet>
      <sheetData sheetId="0"/>
      <sheetData sheetId="1"/>
      <sheetData sheetId="2"/>
      <sheetData sheetId="3"/>
      <sheetData sheetId="4"/>
      <sheetData sheetId="5"/>
      <sheetData sheetId="6"/>
      <sheetData sheetId="7"/>
      <sheetData sheetId="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sheetData sheetId="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 Savings Summary"/>
      <sheetName val="Lighting"/>
      <sheetName val="Fan Coils"/>
      <sheetName val="HVAC"/>
      <sheetName val="Package units"/>
      <sheetName val="Raising Setpoint Temp"/>
      <sheetName val="Motors"/>
      <sheetName val="Chargers"/>
      <sheetName val="Motor Efficiencies"/>
      <sheetName val="Office equipment"/>
      <sheetName val="Lighting Wattage Tables "/>
      <sheetName val="Input"/>
      <sheetName val="Output"/>
      <sheetName val="Load %"/>
      <sheetName val="BIN"/>
      <sheetName val="facility 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I"/>
      <sheetName val="Gas Assessment"/>
      <sheetName val="Algorithms-Gas PY4 noISR"/>
      <sheetName val="Data Validation "/>
      <sheetName val="Program Incentives"/>
      <sheetName val="1 - Efficient Hot Water noISR"/>
      <sheetName val="1 - Efficient Hot Water (2)"/>
      <sheetName val="MF PTA"/>
      <sheetName val="MF DI"/>
      <sheetName val="MF P"/>
      <sheetName val="C&amp;I P"/>
      <sheetName val="C&amp;I DI"/>
      <sheetName val="SF DI"/>
      <sheetName val="SF P"/>
      <sheetName val="SBES P"/>
      <sheetName val="SBES DI"/>
      <sheetName val="SBES PTA"/>
      <sheetName val="Hybrid Component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ER Adv Thermostat Data"/>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TEAPot Measure Output Equip"/>
      <sheetName val="TEAPot Measure Output NonEquip"/>
      <sheetName val="List for Segments - TEAPOt"/>
      <sheetName val="Teapot Summary"/>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3.10"/>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4.38"/>
      <sheetName val="4.6.1"/>
      <sheetName val="4.6.2"/>
      <sheetName val="4.6.3"/>
      <sheetName val="4.6.4"/>
      <sheetName val="4.6.5"/>
      <sheetName val="4.6.7"/>
      <sheetName val="4.7.1"/>
      <sheetName val="4.6.6"/>
      <sheetName val="4.8.2"/>
      <sheetName val="4.8.4"/>
      <sheetName val="4.8.5"/>
      <sheetName val="Lists"/>
      <sheetName val="Input_Data"/>
    </sheetNames>
    <sheetDataSet>
      <sheetData sheetId="0"/>
      <sheetData sheetId="1"/>
      <sheetData sheetId="2"/>
      <sheetData sheetId="3">
        <row r="317">
          <cell r="C317" t="str">
            <v>Small CommercialReligious Building</v>
          </cell>
          <cell r="D317" t="str">
            <v>Small</v>
          </cell>
          <cell r="E317">
            <v>5.4508196721311473</v>
          </cell>
          <cell r="F317">
            <v>2.2096774193548385</v>
          </cell>
          <cell r="G317">
            <v>2.4651162790697674</v>
          </cell>
          <cell r="H317">
            <v>0.02</v>
          </cell>
          <cell r="I317">
            <v>0.02</v>
          </cell>
          <cell r="J317">
            <v>1</v>
          </cell>
        </row>
        <row r="318">
          <cell r="C318" t="str">
            <v>Small CommercialRestaurant</v>
          </cell>
          <cell r="D318" t="str">
            <v>Small</v>
          </cell>
          <cell r="E318">
            <v>3.3505154639175259</v>
          </cell>
          <cell r="F318">
            <v>2.4714285714285715</v>
          </cell>
          <cell r="G318">
            <v>3.5</v>
          </cell>
          <cell r="H318">
            <v>0.02</v>
          </cell>
          <cell r="I318">
            <v>0.02</v>
          </cell>
          <cell r="J318">
            <v>1</v>
          </cell>
        </row>
        <row r="319">
          <cell r="C319" t="str">
            <v>Small CommercialRetail</v>
          </cell>
          <cell r="D319" t="str">
            <v>Small</v>
          </cell>
          <cell r="E319">
            <v>1.7758620689655173</v>
          </cell>
          <cell r="F319">
            <v>1</v>
          </cell>
          <cell r="G319">
            <v>1</v>
          </cell>
          <cell r="H319">
            <v>0.02</v>
          </cell>
          <cell r="I319">
            <v>0.02</v>
          </cell>
          <cell r="J319">
            <v>1</v>
          </cell>
        </row>
        <row r="320">
          <cell r="C320" t="str">
            <v>Small CommercialWarehouse</v>
          </cell>
          <cell r="D320" t="str">
            <v>Medium</v>
          </cell>
          <cell r="E320">
            <v>2.8076923076923075</v>
          </cell>
          <cell r="F320">
            <v>1.5</v>
          </cell>
          <cell r="G320">
            <v>3.2307692307692308</v>
          </cell>
          <cell r="H320">
            <v>0.02</v>
          </cell>
          <cell r="I320">
            <v>0.02</v>
          </cell>
          <cell r="J320">
            <v>1</v>
          </cell>
        </row>
        <row r="321">
          <cell r="C321" t="str">
            <v>Small CommercialMisc. Commercial</v>
          </cell>
          <cell r="D321" t="str">
            <v>Small</v>
          </cell>
          <cell r="E321">
            <v>1.7758620689655173</v>
          </cell>
          <cell r="F321">
            <v>1</v>
          </cell>
          <cell r="G321">
            <v>1</v>
          </cell>
          <cell r="H321">
            <v>0.02</v>
          </cell>
          <cell r="I321">
            <v>0.02</v>
          </cell>
          <cell r="J321">
            <v>1</v>
          </cell>
        </row>
        <row r="322">
          <cell r="C322" t="str">
            <v>Small CommercialPrivate Elementary and High School</v>
          </cell>
          <cell r="D322" t="str">
            <v>Medium</v>
          </cell>
          <cell r="E322">
            <v>6.7619047619047619</v>
          </cell>
          <cell r="F322">
            <v>2.8571428571428572</v>
          </cell>
          <cell r="G322">
            <v>4</v>
          </cell>
          <cell r="H322">
            <v>0.02</v>
          </cell>
          <cell r="I322">
            <v>0.02</v>
          </cell>
          <cell r="J322">
            <v>1</v>
          </cell>
        </row>
        <row r="323">
          <cell r="C323" t="str">
            <v>Large CommercialAssembly</v>
          </cell>
          <cell r="D323" t="str">
            <v>Small</v>
          </cell>
          <cell r="E323">
            <v>17.5</v>
          </cell>
          <cell r="F323">
            <v>2</v>
          </cell>
          <cell r="G323">
            <v>16</v>
          </cell>
          <cell r="H323">
            <v>0.02</v>
          </cell>
          <cell r="I323">
            <v>0.02</v>
          </cell>
          <cell r="J323">
            <v>1</v>
          </cell>
        </row>
        <row r="324">
          <cell r="C324" t="str">
            <v>Large CommercialAssisted Living</v>
          </cell>
          <cell r="D324" t="str">
            <v>Medium</v>
          </cell>
          <cell r="E324">
            <v>28.2</v>
          </cell>
          <cell r="F324">
            <v>3</v>
          </cell>
          <cell r="G324">
            <v>51.086419753086417</v>
          </cell>
          <cell r="H324">
            <v>0.02</v>
          </cell>
          <cell r="I324">
            <v>0.02</v>
          </cell>
          <cell r="J324">
            <v>1</v>
          </cell>
        </row>
        <row r="325">
          <cell r="C325" t="str">
            <v>Large CommercialCollege</v>
          </cell>
          <cell r="D325" t="str">
            <v>Large</v>
          </cell>
          <cell r="E325">
            <v>22</v>
          </cell>
          <cell r="F325">
            <v>8</v>
          </cell>
          <cell r="G325">
            <v>181</v>
          </cell>
          <cell r="H325">
            <v>0.02</v>
          </cell>
          <cell r="I325">
            <v>0.02</v>
          </cell>
          <cell r="J325">
            <v>1</v>
          </cell>
        </row>
        <row r="326">
          <cell r="C326" t="str">
            <v>Large CommercialGrocery</v>
          </cell>
          <cell r="D326" t="str">
            <v>Large</v>
          </cell>
          <cell r="E326">
            <v>3.8</v>
          </cell>
          <cell r="F326">
            <v>9</v>
          </cell>
          <cell r="G326">
            <v>0</v>
          </cell>
          <cell r="H326">
            <v>0.02</v>
          </cell>
          <cell r="I326">
            <v>0.02</v>
          </cell>
          <cell r="J326">
            <v>1</v>
          </cell>
        </row>
        <row r="327">
          <cell r="C327" t="str">
            <v>Large CommercialHospital</v>
          </cell>
          <cell r="D327" t="str">
            <v>Large</v>
          </cell>
          <cell r="E327">
            <v>87</v>
          </cell>
          <cell r="F327">
            <v>8</v>
          </cell>
          <cell r="G327">
            <v>104.83333333333333</v>
          </cell>
          <cell r="H327">
            <v>0.02</v>
          </cell>
          <cell r="I327">
            <v>0.02</v>
          </cell>
          <cell r="J327">
            <v>1</v>
          </cell>
        </row>
        <row r="328">
          <cell r="C328" t="str">
            <v>Large CommercialHotel/Motel</v>
          </cell>
          <cell r="D328" t="str">
            <v>Large</v>
          </cell>
          <cell r="E328">
            <v>28.2</v>
          </cell>
          <cell r="F328">
            <v>145.5</v>
          </cell>
          <cell r="G328">
            <v>85.2</v>
          </cell>
          <cell r="H328">
            <v>0.02</v>
          </cell>
          <cell r="I328">
            <v>0.02</v>
          </cell>
          <cell r="J328">
            <v>1</v>
          </cell>
        </row>
        <row r="329">
          <cell r="C329" t="str">
            <v>Large CommercialMF - High Rise</v>
          </cell>
          <cell r="D329" t="str">
            <v>Large</v>
          </cell>
          <cell r="E329">
            <v>0</v>
          </cell>
          <cell r="F329">
            <v>0</v>
          </cell>
          <cell r="G329">
            <v>0</v>
          </cell>
          <cell r="H329">
            <v>0.02</v>
          </cell>
          <cell r="I329">
            <v>0.02</v>
          </cell>
          <cell r="J329">
            <v>1</v>
          </cell>
        </row>
        <row r="330">
          <cell r="C330" t="str">
            <v>Large CommercialLarge Office</v>
          </cell>
          <cell r="D330" t="str">
            <v>Large</v>
          </cell>
          <cell r="E330">
            <v>492</v>
          </cell>
          <cell r="F330">
            <v>3.3333333333333335</v>
          </cell>
          <cell r="G330">
            <v>25</v>
          </cell>
          <cell r="H330">
            <v>0.02</v>
          </cell>
          <cell r="I330">
            <v>0.02</v>
          </cell>
          <cell r="J330">
            <v>1</v>
          </cell>
        </row>
        <row r="331">
          <cell r="C331" t="str">
            <v>Large CommercialReligious Building</v>
          </cell>
          <cell r="D331" t="str">
            <v>Small</v>
          </cell>
          <cell r="E331">
            <v>5.4508196721311473</v>
          </cell>
          <cell r="F331">
            <v>2.2096774193548385</v>
          </cell>
          <cell r="G331">
            <v>4.9302325581395348</v>
          </cell>
          <cell r="H331">
            <v>0.02</v>
          </cell>
          <cell r="I331">
            <v>0.02</v>
          </cell>
          <cell r="J331">
            <v>1</v>
          </cell>
        </row>
        <row r="332">
          <cell r="C332" t="str">
            <v>Large CommercialRestaurant</v>
          </cell>
          <cell r="D332" t="str">
            <v>Small</v>
          </cell>
          <cell r="E332">
            <v>6.7010309278350517</v>
          </cell>
          <cell r="F332">
            <v>4.9428571428571431</v>
          </cell>
          <cell r="G332">
            <v>3.5</v>
          </cell>
          <cell r="H332">
            <v>0.02</v>
          </cell>
          <cell r="I332">
            <v>0.02</v>
          </cell>
          <cell r="J332">
            <v>1</v>
          </cell>
        </row>
        <row r="333">
          <cell r="C333" t="str">
            <v>Large CommercialRetail</v>
          </cell>
          <cell r="D333" t="str">
            <v>Small</v>
          </cell>
          <cell r="E333">
            <v>4.5</v>
          </cell>
          <cell r="F333">
            <v>2.75</v>
          </cell>
          <cell r="G333">
            <v>2</v>
          </cell>
          <cell r="H333">
            <v>0.02</v>
          </cell>
          <cell r="I333">
            <v>0.02</v>
          </cell>
          <cell r="J333">
            <v>1</v>
          </cell>
        </row>
        <row r="334">
          <cell r="C334" t="str">
            <v>Large CommercialWarehouse</v>
          </cell>
          <cell r="D334" t="str">
            <v>Large</v>
          </cell>
          <cell r="E334">
            <v>5.615384615384615</v>
          </cell>
          <cell r="F334">
            <v>3</v>
          </cell>
          <cell r="G334">
            <v>6.4615384615384617</v>
          </cell>
          <cell r="H334">
            <v>0.02</v>
          </cell>
          <cell r="I334">
            <v>0.02</v>
          </cell>
          <cell r="J334">
            <v>1</v>
          </cell>
        </row>
        <row r="335">
          <cell r="C335" t="str">
            <v>Large CommercialMisc. Commercial</v>
          </cell>
          <cell r="D335" t="str">
            <v>Small</v>
          </cell>
          <cell r="E335">
            <v>5.615384615384615</v>
          </cell>
          <cell r="F335">
            <v>1</v>
          </cell>
          <cell r="G335">
            <v>2</v>
          </cell>
          <cell r="H335">
            <v>0.02</v>
          </cell>
          <cell r="I335">
            <v>0.02</v>
          </cell>
          <cell r="J335">
            <v>1</v>
          </cell>
        </row>
        <row r="336">
          <cell r="C336" t="str">
            <v>Large CommercialPrivate Elementary and High School</v>
          </cell>
          <cell r="D336" t="str">
            <v>Medium</v>
          </cell>
          <cell r="E336">
            <v>13.523809523809524</v>
          </cell>
          <cell r="F336">
            <v>5.7142857142857144</v>
          </cell>
          <cell r="G336">
            <v>8</v>
          </cell>
          <cell r="H336">
            <v>0.02</v>
          </cell>
          <cell r="I336">
            <v>0.02</v>
          </cell>
          <cell r="J336">
            <v>1</v>
          </cell>
        </row>
        <row r="337">
          <cell r="C337" t="str">
            <v>Public SectorCollege</v>
          </cell>
          <cell r="D337" t="str">
            <v>Large</v>
          </cell>
          <cell r="E337">
            <v>22</v>
          </cell>
          <cell r="F337">
            <v>5</v>
          </cell>
          <cell r="G337">
            <v>18.100000000000001</v>
          </cell>
          <cell r="H337">
            <v>0.02</v>
          </cell>
          <cell r="I337">
            <v>0.02</v>
          </cell>
          <cell r="J337">
            <v>1</v>
          </cell>
        </row>
        <row r="338">
          <cell r="C338" t="str">
            <v>Public SectorPublic Elementary and High School</v>
          </cell>
          <cell r="D338" t="str">
            <v>Medium</v>
          </cell>
          <cell r="E338">
            <v>13.523809523809524</v>
          </cell>
          <cell r="F338">
            <v>2.8571428571428572</v>
          </cell>
          <cell r="G338">
            <v>7.5</v>
          </cell>
          <cell r="H338">
            <v>0.02</v>
          </cell>
          <cell r="I338">
            <v>0.02</v>
          </cell>
          <cell r="J338">
            <v>1</v>
          </cell>
        </row>
        <row r="339">
          <cell r="C339" t="str">
            <v>Public SectorHospital</v>
          </cell>
          <cell r="D339" t="str">
            <v>Large</v>
          </cell>
          <cell r="E339">
            <v>87</v>
          </cell>
          <cell r="F339">
            <v>8</v>
          </cell>
          <cell r="G339">
            <v>104.83333333333333</v>
          </cell>
          <cell r="H339">
            <v>0.02</v>
          </cell>
          <cell r="I339">
            <v>0.02</v>
          </cell>
          <cell r="J339">
            <v>1</v>
          </cell>
        </row>
        <row r="340">
          <cell r="C340" t="str">
            <v>Public SectorPublic Service/Gov't</v>
          </cell>
          <cell r="D340" t="str">
            <v>Small</v>
          </cell>
          <cell r="E340">
            <v>1.7758620689655173</v>
          </cell>
          <cell r="F340">
            <v>1</v>
          </cell>
          <cell r="G340">
            <v>1</v>
          </cell>
          <cell r="H340">
            <v>0.02</v>
          </cell>
          <cell r="I340">
            <v>0.02</v>
          </cell>
          <cell r="J340">
            <v>1</v>
          </cell>
        </row>
        <row r="341">
          <cell r="C341" t="str">
            <v>Public SectorMisc. Commercial</v>
          </cell>
          <cell r="D341" t="str">
            <v>Small</v>
          </cell>
          <cell r="E341">
            <v>1.7758620689655173</v>
          </cell>
          <cell r="F341">
            <v>1</v>
          </cell>
          <cell r="G341">
            <v>1</v>
          </cell>
          <cell r="H341">
            <v>0.02</v>
          </cell>
          <cell r="I341">
            <v>0.02</v>
          </cell>
          <cell r="J341">
            <v>1</v>
          </cell>
        </row>
        <row r="342">
          <cell r="C342" t="str">
            <v>IndustrialSmall Mfg</v>
          </cell>
          <cell r="D342" t="str">
            <v>Small</v>
          </cell>
          <cell r="E342">
            <v>3.3</v>
          </cell>
          <cell r="F342">
            <v>1.5</v>
          </cell>
          <cell r="G342">
            <v>3.2307692307692308</v>
          </cell>
          <cell r="H342">
            <v>0.02</v>
          </cell>
          <cell r="I342">
            <v>0.02</v>
          </cell>
          <cell r="J342">
            <v>1</v>
          </cell>
        </row>
        <row r="343">
          <cell r="C343" t="str">
            <v>IndustrialLarge Mfg</v>
          </cell>
          <cell r="D343" t="str">
            <v>Large</v>
          </cell>
          <cell r="E343">
            <v>3.3</v>
          </cell>
          <cell r="F343">
            <v>1.5</v>
          </cell>
          <cell r="G343">
            <v>3.2307692307692308</v>
          </cell>
          <cell r="H343">
            <v>0.02</v>
          </cell>
          <cell r="I343">
            <v>0.02</v>
          </cell>
          <cell r="J343">
            <v>1</v>
          </cell>
        </row>
        <row r="344">
          <cell r="C344" t="str">
            <v>IndustrialSmall Agriculture</v>
          </cell>
          <cell r="D344" t="str">
            <v>Small</v>
          </cell>
          <cell r="E344">
            <v>3.3</v>
          </cell>
          <cell r="F344">
            <v>1.5</v>
          </cell>
          <cell r="G344">
            <v>1</v>
          </cell>
          <cell r="H344">
            <v>0.02</v>
          </cell>
          <cell r="I344">
            <v>0.02</v>
          </cell>
          <cell r="J344">
            <v>1</v>
          </cell>
        </row>
        <row r="345">
          <cell r="C345" t="str">
            <v>IndustrialLarge Agriculture</v>
          </cell>
          <cell r="D345" t="str">
            <v>Large</v>
          </cell>
          <cell r="E345">
            <v>3.3</v>
          </cell>
          <cell r="F345">
            <v>1.5</v>
          </cell>
          <cell r="G345">
            <v>3.2307692307692308</v>
          </cell>
          <cell r="H345">
            <v>0.02</v>
          </cell>
          <cell r="I345">
            <v>0.02</v>
          </cell>
          <cell r="J345">
            <v>1</v>
          </cell>
        </row>
        <row r="346">
          <cell r="C346" t="str">
            <v>IndustrialSmall Misc. Industrial</v>
          </cell>
          <cell r="D346" t="str">
            <v>Small</v>
          </cell>
          <cell r="E346">
            <v>3.3</v>
          </cell>
          <cell r="F346">
            <v>1.5</v>
          </cell>
          <cell r="G346">
            <v>3.2307692307692308</v>
          </cell>
          <cell r="H346">
            <v>0.02</v>
          </cell>
          <cell r="I346">
            <v>0.02</v>
          </cell>
          <cell r="J346">
            <v>1</v>
          </cell>
        </row>
        <row r="347">
          <cell r="C347" t="str">
            <v>IndustrialLarge Misc. Industrial</v>
          </cell>
          <cell r="D347" t="str">
            <v>Large</v>
          </cell>
          <cell r="E347">
            <v>3.3</v>
          </cell>
          <cell r="F347">
            <v>1.5</v>
          </cell>
          <cell r="G347">
            <v>3.2307692307692308</v>
          </cell>
          <cell r="H347">
            <v>0.02</v>
          </cell>
          <cell r="I347">
            <v>0.02</v>
          </cell>
          <cell r="J347">
            <v>1</v>
          </cell>
        </row>
        <row r="348">
          <cell r="C348" t="str">
            <v>Public SectorCollege</v>
          </cell>
          <cell r="D348" t="str">
            <v>Large</v>
          </cell>
          <cell r="E348">
            <v>100</v>
          </cell>
          <cell r="F348">
            <v>5</v>
          </cell>
          <cell r="G348">
            <v>15</v>
          </cell>
          <cell r="H348">
            <v>0.02</v>
          </cell>
          <cell r="I348">
            <v>0.02</v>
          </cell>
          <cell r="J348">
            <v>1</v>
          </cell>
        </row>
        <row r="349">
          <cell r="C349" t="str">
            <v>Public SectorPublic Elementary and High School</v>
          </cell>
          <cell r="D349" t="str">
            <v>Medium</v>
          </cell>
          <cell r="E349">
            <v>15</v>
          </cell>
          <cell r="F349">
            <v>2</v>
          </cell>
          <cell r="G349">
            <v>5</v>
          </cell>
          <cell r="H349">
            <v>0.02</v>
          </cell>
          <cell r="I349">
            <v>0.02</v>
          </cell>
          <cell r="J349">
            <v>1</v>
          </cell>
        </row>
        <row r="350">
          <cell r="C350" t="str">
            <v>Public SectorHospital</v>
          </cell>
          <cell r="D350" t="str">
            <v>Large</v>
          </cell>
          <cell r="E350">
            <v>20</v>
          </cell>
          <cell r="F350">
            <v>2</v>
          </cell>
          <cell r="G350">
            <v>10</v>
          </cell>
          <cell r="H350">
            <v>0.02</v>
          </cell>
          <cell r="I350">
            <v>0.02</v>
          </cell>
          <cell r="J350">
            <v>1</v>
          </cell>
        </row>
        <row r="351">
          <cell r="C351" t="str">
            <v>Public SectorPublic Service/Gov't</v>
          </cell>
          <cell r="D351" t="str">
            <v>Small</v>
          </cell>
          <cell r="E351">
            <v>5</v>
          </cell>
          <cell r="F351">
            <v>1</v>
          </cell>
          <cell r="G351">
            <v>0</v>
          </cell>
          <cell r="H351">
            <v>0.02</v>
          </cell>
          <cell r="I351">
            <v>0.02</v>
          </cell>
          <cell r="J351">
            <v>1</v>
          </cell>
        </row>
        <row r="352">
          <cell r="C352" t="str">
            <v>Public SectorMisc. Commercial</v>
          </cell>
          <cell r="D352" t="str">
            <v>Small</v>
          </cell>
          <cell r="E352">
            <v>5</v>
          </cell>
          <cell r="F352">
            <v>1</v>
          </cell>
          <cell r="G352">
            <v>0</v>
          </cell>
          <cell r="H352">
            <v>0.02</v>
          </cell>
          <cell r="I352">
            <v>0.02</v>
          </cell>
          <cell r="J352">
            <v>1</v>
          </cell>
        </row>
        <row r="353">
          <cell r="C353" t="str">
            <v>Measure Saturation</v>
          </cell>
          <cell r="D353" t="str">
            <v>Small</v>
          </cell>
          <cell r="E353" t="str">
            <v>Cooking Category</v>
          </cell>
          <cell r="F353" t="str">
            <v>Est. Load Share</v>
          </cell>
          <cell r="G353">
            <v>0</v>
          </cell>
          <cell r="H353">
            <v>0.02</v>
          </cell>
          <cell r="I353">
            <v>0.02</v>
          </cell>
          <cell r="J353">
            <v>1</v>
          </cell>
        </row>
        <row r="354">
          <cell r="C354">
            <v>0.05</v>
          </cell>
          <cell r="D354" t="str">
            <v>Large</v>
          </cell>
          <cell r="E354" t="str">
            <v>Steamer</v>
          </cell>
          <cell r="F354">
            <v>0.05</v>
          </cell>
          <cell r="G354">
            <v>0</v>
          </cell>
          <cell r="H354">
            <v>0.02</v>
          </cell>
          <cell r="I354">
            <v>0.02</v>
          </cell>
          <cell r="J354">
            <v>1</v>
          </cell>
        </row>
        <row r="355">
          <cell r="C355">
            <v>0.13333333333333333</v>
          </cell>
          <cell r="D355" t="str">
            <v>Small</v>
          </cell>
          <cell r="E355" t="str">
            <v>Combo Oven</v>
          </cell>
          <cell r="F355">
            <v>0.4</v>
          </cell>
          <cell r="G355">
            <v>0</v>
          </cell>
          <cell r="H355">
            <v>0.02</v>
          </cell>
          <cell r="I355">
            <v>0.02</v>
          </cell>
          <cell r="J355">
            <v>1</v>
          </cell>
        </row>
        <row r="356">
          <cell r="C356">
            <v>0.13333333333333333</v>
          </cell>
          <cell r="D356" t="str">
            <v>Large</v>
          </cell>
          <cell r="E356" t="str">
            <v>Fryer</v>
          </cell>
          <cell r="F356">
            <v>0.1</v>
          </cell>
          <cell r="G356">
            <v>0</v>
          </cell>
          <cell r="H356">
            <v>0.02</v>
          </cell>
          <cell r="I356">
            <v>0.02</v>
          </cell>
          <cell r="J356">
            <v>1</v>
          </cell>
        </row>
        <row r="357">
          <cell r="C357">
            <v>0.13333333333333333</v>
          </cell>
          <cell r="D357" t="str">
            <v>Small</v>
          </cell>
          <cell r="E357" t="str">
            <v>Griddle</v>
          </cell>
          <cell r="F357">
            <v>0.05</v>
          </cell>
          <cell r="G357">
            <v>0</v>
          </cell>
          <cell r="H357">
            <v>0.02</v>
          </cell>
          <cell r="I357">
            <v>0.02</v>
          </cell>
          <cell r="J357">
            <v>1</v>
          </cell>
        </row>
        <row r="358">
          <cell r="C358">
            <v>2.5000000000000001E-2</v>
          </cell>
          <cell r="D358" t="str">
            <v>Large</v>
          </cell>
          <cell r="E358" t="str">
            <v>Broiler</v>
          </cell>
          <cell r="F358">
            <v>0.15</v>
          </cell>
          <cell r="G358">
            <v>0</v>
          </cell>
          <cell r="H358">
            <v>0.02</v>
          </cell>
          <cell r="I358">
            <v>0.02</v>
          </cell>
          <cell r="J358">
            <v>1</v>
          </cell>
        </row>
      </sheetData>
      <sheetData sheetId="4">
        <row r="3">
          <cell r="A3" t="str">
            <v>4.1.1</v>
          </cell>
          <cell r="B3" t="str">
            <v>TRM1</v>
          </cell>
          <cell r="C3" t="str">
            <v>V5</v>
          </cell>
          <cell r="D3" t="str">
            <v>RS-APL-ESDH-V01-120601</v>
          </cell>
          <cell r="E3" t="str">
            <v>Engine Block Timer for Agricultural Equipment</v>
          </cell>
          <cell r="F3" t="str">
            <v>Engine Block Timer for Agricultural Equipment</v>
          </cell>
          <cell r="G3" t="str">
            <v>Agriculture</v>
          </cell>
          <cell r="H3" t="str">
            <v>Commercial</v>
          </cell>
          <cell r="I3" t="str">
            <v>Project</v>
          </cell>
          <cell r="J3">
            <v>664</v>
          </cell>
          <cell r="K3">
            <v>0</v>
          </cell>
          <cell r="L3">
            <v>0</v>
          </cell>
          <cell r="M3">
            <v>0</v>
          </cell>
          <cell r="N3">
            <v>1992</v>
          </cell>
          <cell r="O3">
            <v>0</v>
          </cell>
          <cell r="P3">
            <v>0</v>
          </cell>
          <cell r="Q3">
            <v>0</v>
          </cell>
          <cell r="R3"/>
          <cell r="S3"/>
          <cell r="T3"/>
          <cell r="U3"/>
          <cell r="V3">
            <v>3</v>
          </cell>
          <cell r="W3">
            <v>10.19</v>
          </cell>
        </row>
        <row r="4">
          <cell r="A4"/>
          <cell r="B4"/>
          <cell r="C4"/>
          <cell r="D4"/>
          <cell r="E4"/>
          <cell r="F4"/>
          <cell r="G4"/>
          <cell r="H4"/>
          <cell r="I4"/>
          <cell r="J4"/>
          <cell r="K4"/>
          <cell r="L4"/>
          <cell r="M4"/>
          <cell r="N4"/>
          <cell r="O4"/>
          <cell r="P4"/>
          <cell r="Q4"/>
          <cell r="R4"/>
          <cell r="S4"/>
          <cell r="T4"/>
          <cell r="U4"/>
          <cell r="V4"/>
          <cell r="W4"/>
        </row>
        <row r="5">
          <cell r="A5" t="str">
            <v>4.1.2</v>
          </cell>
          <cell r="B5" t="str">
            <v>TRM2</v>
          </cell>
          <cell r="C5" t="str">
            <v>V5</v>
          </cell>
          <cell r="D5" t="str">
            <v>CI-AGE-HVSF-V01-120601</v>
          </cell>
          <cell r="E5" t="str">
            <v>High Volume Low Speed Fans</v>
          </cell>
          <cell r="F5" t="str">
            <v>High Volume Low Speed Fans</v>
          </cell>
          <cell r="G5" t="str">
            <v>Other HVAC</v>
          </cell>
          <cell r="H5" t="str">
            <v>Commercial</v>
          </cell>
          <cell r="I5" t="str">
            <v>Unit</v>
          </cell>
          <cell r="J5">
            <v>10018.219999999999</v>
          </cell>
          <cell r="K5">
            <v>3.6680000000000001</v>
          </cell>
          <cell r="L5">
            <v>0</v>
          </cell>
          <cell r="M5">
            <v>0</v>
          </cell>
          <cell r="N5">
            <v>100182.2</v>
          </cell>
          <cell r="O5">
            <v>3.6680000000000001</v>
          </cell>
          <cell r="P5">
            <v>0</v>
          </cell>
          <cell r="Q5">
            <v>0</v>
          </cell>
          <cell r="R5"/>
          <cell r="S5"/>
          <cell r="T5"/>
          <cell r="U5"/>
          <cell r="V5">
            <v>10</v>
          </cell>
          <cell r="W5">
            <v>4225</v>
          </cell>
        </row>
        <row r="6">
          <cell r="A6"/>
          <cell r="B6"/>
          <cell r="C6"/>
          <cell r="D6"/>
          <cell r="E6"/>
          <cell r="F6"/>
          <cell r="G6"/>
          <cell r="H6"/>
          <cell r="I6"/>
          <cell r="J6"/>
          <cell r="K6"/>
          <cell r="L6"/>
          <cell r="M6"/>
          <cell r="N6"/>
          <cell r="O6"/>
          <cell r="P6"/>
          <cell r="Q6"/>
          <cell r="R6"/>
          <cell r="S6"/>
          <cell r="T6"/>
          <cell r="U6"/>
          <cell r="V6"/>
          <cell r="W6"/>
        </row>
        <row r="7">
          <cell r="A7" t="str">
            <v>4.1.3</v>
          </cell>
          <cell r="B7" t="str">
            <v>TRM3</v>
          </cell>
          <cell r="C7" t="str">
            <v>V5</v>
          </cell>
          <cell r="D7" t="str">
            <v>CI-AGE-HSF_-V01-120601</v>
          </cell>
          <cell r="E7" t="str">
            <v>High Speed Fans</v>
          </cell>
          <cell r="F7" t="str">
            <v>High Speed Fans</v>
          </cell>
          <cell r="G7" t="str">
            <v>Other HVAC</v>
          </cell>
          <cell r="H7" t="str">
            <v>Commercial</v>
          </cell>
          <cell r="I7" t="str">
            <v>Unit</v>
          </cell>
          <cell r="J7">
            <v>372.14</v>
          </cell>
          <cell r="K7">
            <v>0.11799999999999999</v>
          </cell>
          <cell r="L7">
            <v>0</v>
          </cell>
          <cell r="M7">
            <v>0</v>
          </cell>
          <cell r="N7">
            <v>2604.98</v>
          </cell>
          <cell r="O7">
            <v>0.11799999999999999</v>
          </cell>
          <cell r="P7">
            <v>0</v>
          </cell>
          <cell r="Q7">
            <v>0</v>
          </cell>
          <cell r="R7"/>
          <cell r="S7"/>
          <cell r="T7"/>
          <cell r="U7"/>
          <cell r="V7">
            <v>7</v>
          </cell>
          <cell r="W7">
            <v>150</v>
          </cell>
        </row>
        <row r="8">
          <cell r="A8"/>
          <cell r="B8"/>
          <cell r="C8"/>
          <cell r="D8"/>
          <cell r="E8"/>
          <cell r="F8"/>
          <cell r="G8"/>
          <cell r="H8"/>
          <cell r="I8"/>
          <cell r="J8"/>
          <cell r="K8"/>
          <cell r="L8"/>
          <cell r="M8"/>
          <cell r="N8"/>
          <cell r="O8"/>
          <cell r="P8"/>
          <cell r="Q8"/>
          <cell r="R8"/>
          <cell r="S8"/>
          <cell r="T8"/>
          <cell r="U8"/>
          <cell r="V8"/>
          <cell r="W8"/>
        </row>
        <row r="9">
          <cell r="A9" t="str">
            <v>4.1.4</v>
          </cell>
          <cell r="B9" t="str">
            <v>TRM4</v>
          </cell>
          <cell r="C9" t="str">
            <v>V5</v>
          </cell>
          <cell r="D9" t="str">
            <v>CI-AGE-LSW1-V01-120601</v>
          </cell>
          <cell r="E9" t="str">
            <v>Live Stock Waterer</v>
          </cell>
          <cell r="F9" t="str">
            <v>Live Stock Waterer</v>
          </cell>
          <cell r="G9" t="str">
            <v>Agriculture</v>
          </cell>
          <cell r="H9" t="str">
            <v>Commercial</v>
          </cell>
          <cell r="I9" t="str">
            <v>Unit</v>
          </cell>
          <cell r="J9">
            <v>1592.85</v>
          </cell>
          <cell r="K9">
            <v>0.52500000000000002</v>
          </cell>
          <cell r="L9">
            <v>0</v>
          </cell>
          <cell r="M9">
            <v>0</v>
          </cell>
          <cell r="N9">
            <v>15928.5</v>
          </cell>
          <cell r="O9">
            <v>0.52500000000000002</v>
          </cell>
          <cell r="P9">
            <v>0</v>
          </cell>
          <cell r="Q9">
            <v>0</v>
          </cell>
          <cell r="R9"/>
          <cell r="S9"/>
          <cell r="T9"/>
          <cell r="U9"/>
          <cell r="V9">
            <v>10</v>
          </cell>
          <cell r="W9">
            <v>787.5</v>
          </cell>
        </row>
        <row r="10">
          <cell r="A10"/>
          <cell r="B10"/>
          <cell r="C10"/>
          <cell r="D10"/>
          <cell r="E10"/>
          <cell r="F10"/>
          <cell r="G10"/>
          <cell r="H10"/>
          <cell r="I10"/>
          <cell r="J10"/>
          <cell r="K10"/>
          <cell r="L10"/>
          <cell r="M10"/>
          <cell r="N10"/>
          <cell r="O10"/>
          <cell r="P10"/>
          <cell r="Q10"/>
          <cell r="R10"/>
          <cell r="S10"/>
          <cell r="T10"/>
          <cell r="U10"/>
          <cell r="V10"/>
          <cell r="W10"/>
        </row>
        <row r="11">
          <cell r="A11" t="str">
            <v>4.2.1.7</v>
          </cell>
          <cell r="B11" t="str">
            <v>TRM5.1</v>
          </cell>
          <cell r="C11" t="str">
            <v>V5</v>
          </cell>
          <cell r="D11" t="str">
            <v>CI-FSE-CBOV-V01-120601</v>
          </cell>
          <cell r="E11" t="str">
            <v>Baseline Combination Oven  (10 pans)</v>
          </cell>
          <cell r="F11" t="str">
            <v>Baseline Combination Oven  (10 pans)</v>
          </cell>
          <cell r="G11" t="str">
            <v>Food service</v>
          </cell>
          <cell r="H11" t="str">
            <v>Commercial</v>
          </cell>
          <cell r="I11" t="str">
            <v>Unit</v>
          </cell>
          <cell r="J11">
            <v>0</v>
          </cell>
          <cell r="K11">
            <v>0</v>
          </cell>
          <cell r="L11">
            <v>0</v>
          </cell>
          <cell r="M11">
            <v>0</v>
          </cell>
          <cell r="N11">
            <v>0</v>
          </cell>
          <cell r="O11">
            <v>0</v>
          </cell>
          <cell r="P11">
            <v>0</v>
          </cell>
          <cell r="Q11">
            <v>0</v>
          </cell>
          <cell r="R11">
            <v>813.41425487179492</v>
          </cell>
          <cell r="S11">
            <v>4300</v>
          </cell>
          <cell r="T11"/>
          <cell r="U11"/>
          <cell r="V11">
            <v>12</v>
          </cell>
          <cell r="W11">
            <v>4300</v>
          </cell>
        </row>
        <row r="12">
          <cell r="A12" t="str">
            <v>4.2.1.8</v>
          </cell>
          <cell r="B12" t="str">
            <v>TRM5.1</v>
          </cell>
          <cell r="C12" t="str">
            <v>V5</v>
          </cell>
          <cell r="D12" t="str">
            <v>CI-FSE-CBOV-V01-120601</v>
          </cell>
          <cell r="E12" t="str">
            <v>Baseline Combination Oven  (16 pans)</v>
          </cell>
          <cell r="F12" t="str">
            <v>Baseline Combination Oven  (16 pans)</v>
          </cell>
          <cell r="G12" t="str">
            <v>Food service</v>
          </cell>
          <cell r="H12" t="str">
            <v>Commercial</v>
          </cell>
          <cell r="I12" t="str">
            <v>Unit</v>
          </cell>
          <cell r="J12">
            <v>0</v>
          </cell>
          <cell r="K12">
            <v>0</v>
          </cell>
          <cell r="L12">
            <v>0</v>
          </cell>
          <cell r="M12">
            <v>0</v>
          </cell>
          <cell r="N12">
            <v>0</v>
          </cell>
          <cell r="O12">
            <v>0</v>
          </cell>
          <cell r="P12">
            <v>0</v>
          </cell>
          <cell r="Q12">
            <v>0</v>
          </cell>
          <cell r="R12">
            <v>1035.2754891479965</v>
          </cell>
          <cell r="S12">
            <v>4300</v>
          </cell>
          <cell r="T12"/>
          <cell r="U12"/>
          <cell r="V12">
            <v>12</v>
          </cell>
          <cell r="W12">
            <v>4300</v>
          </cell>
        </row>
        <row r="13">
          <cell r="A13" t="str">
            <v>4.2.1.9</v>
          </cell>
          <cell r="B13" t="str">
            <v>TRM5.1</v>
          </cell>
          <cell r="C13" t="str">
            <v>V5</v>
          </cell>
          <cell r="D13" t="str">
            <v>CI-FSE-CBOV-V01-120601</v>
          </cell>
          <cell r="E13" t="str">
            <v>Baseline Combination Oven  (31 pans)</v>
          </cell>
          <cell r="F13" t="str">
            <v>Baseline Combination Oven  (31 pans)</v>
          </cell>
          <cell r="G13" t="str">
            <v>Food service</v>
          </cell>
          <cell r="H13" t="str">
            <v>Commercial</v>
          </cell>
          <cell r="I13" t="str">
            <v>Unit</v>
          </cell>
          <cell r="J13">
            <v>0</v>
          </cell>
          <cell r="K13">
            <v>0</v>
          </cell>
          <cell r="L13">
            <v>0</v>
          </cell>
          <cell r="M13">
            <v>0</v>
          </cell>
          <cell r="N13">
            <v>0</v>
          </cell>
          <cell r="O13">
            <v>0</v>
          </cell>
          <cell r="P13">
            <v>0</v>
          </cell>
          <cell r="Q13">
            <v>0</v>
          </cell>
          <cell r="R13">
            <v>1701.6684156356841</v>
          </cell>
          <cell r="S13">
            <v>4300</v>
          </cell>
          <cell r="T13"/>
          <cell r="U13"/>
          <cell r="V13">
            <v>12</v>
          </cell>
          <cell r="W13">
            <v>4300</v>
          </cell>
        </row>
        <row r="14">
          <cell r="A14" t="str">
            <v>4.2.1</v>
          </cell>
          <cell r="B14" t="str">
            <v>TRM5.1</v>
          </cell>
          <cell r="C14" t="str">
            <v>V5</v>
          </cell>
          <cell r="D14" t="str">
            <v>CI-FSE-CBOV-V01-120601</v>
          </cell>
          <cell r="E14" t="str">
            <v>Combination Oven  (10 pans)</v>
          </cell>
          <cell r="F14" t="str">
            <v>Combination Oven  (10 pans)</v>
          </cell>
          <cell r="G14" t="str">
            <v>Food service</v>
          </cell>
          <cell r="H14" t="str">
            <v>Commercial</v>
          </cell>
          <cell r="I14" t="str">
            <v>Unit</v>
          </cell>
          <cell r="J14">
            <v>0</v>
          </cell>
          <cell r="K14">
            <v>0</v>
          </cell>
          <cell r="L14">
            <v>257.38902284584412</v>
          </cell>
          <cell r="M14">
            <v>0</v>
          </cell>
          <cell r="N14">
            <v>0</v>
          </cell>
          <cell r="O14">
            <v>0</v>
          </cell>
          <cell r="P14">
            <v>3088.6682741501295</v>
          </cell>
          <cell r="Q14">
            <v>0</v>
          </cell>
          <cell r="R14">
            <v>813.41425487179492</v>
          </cell>
          <cell r="S14">
            <v>4300</v>
          </cell>
          <cell r="T14"/>
          <cell r="U14"/>
          <cell r="V14">
            <v>12</v>
          </cell>
          <cell r="W14">
            <v>4300</v>
          </cell>
        </row>
        <row r="15">
          <cell r="A15" t="str">
            <v>4.2.1.2</v>
          </cell>
          <cell r="B15" t="str">
            <v>TRM5.2</v>
          </cell>
          <cell r="C15" t="str">
            <v>V5</v>
          </cell>
          <cell r="D15" t="str">
            <v>CI-FSE-CBOV-V01-120601</v>
          </cell>
          <cell r="E15" t="str">
            <v>Combination Oven  (16 pans)</v>
          </cell>
          <cell r="F15" t="str">
            <v>Combination Oven  (16 pans)</v>
          </cell>
          <cell r="G15" t="str">
            <v>Food service</v>
          </cell>
          <cell r="H15" t="str">
            <v>Commercial</v>
          </cell>
          <cell r="I15" t="str">
            <v>Unit</v>
          </cell>
          <cell r="J15">
            <v>0</v>
          </cell>
          <cell r="K15">
            <v>0</v>
          </cell>
          <cell r="L15">
            <v>363.70538907682175</v>
          </cell>
          <cell r="M15">
            <v>0</v>
          </cell>
          <cell r="N15">
            <v>0</v>
          </cell>
          <cell r="O15">
            <v>0</v>
          </cell>
          <cell r="P15">
            <v>4364.4646689218607</v>
          </cell>
          <cell r="Q15">
            <v>0</v>
          </cell>
          <cell r="R15">
            <v>1035.2754891479965</v>
          </cell>
          <cell r="S15">
            <v>4300</v>
          </cell>
          <cell r="T15"/>
          <cell r="U15"/>
          <cell r="V15">
            <v>12</v>
          </cell>
          <cell r="W15">
            <v>4300</v>
          </cell>
        </row>
        <row r="16">
          <cell r="A16" t="str">
            <v>4.2.1.3</v>
          </cell>
          <cell r="B16" t="str">
            <v>TRM5.3</v>
          </cell>
          <cell r="C16" t="str">
            <v>V5</v>
          </cell>
          <cell r="D16" t="str">
            <v>CI-FSE-CBOV-V01-120601</v>
          </cell>
          <cell r="E16" t="str">
            <v>Combination Oven  (31 pans)</v>
          </cell>
          <cell r="F16" t="str">
            <v>Combination Oven  (31 pans)</v>
          </cell>
          <cell r="G16" t="str">
            <v>Food service</v>
          </cell>
          <cell r="H16" t="str">
            <v>Commercial</v>
          </cell>
          <cell r="I16" t="str">
            <v>Unit</v>
          </cell>
          <cell r="J16">
            <v>0</v>
          </cell>
          <cell r="K16">
            <v>0</v>
          </cell>
          <cell r="L16">
            <v>722.97630152822092</v>
          </cell>
          <cell r="M16">
            <v>0</v>
          </cell>
          <cell r="N16">
            <v>0</v>
          </cell>
          <cell r="O16">
            <v>0</v>
          </cell>
          <cell r="P16">
            <v>8675.7156183386505</v>
          </cell>
          <cell r="Q16">
            <v>0</v>
          </cell>
          <cell r="R16">
            <v>1701.6684156356841</v>
          </cell>
          <cell r="S16">
            <v>4300</v>
          </cell>
          <cell r="T16"/>
          <cell r="U16"/>
          <cell r="V16">
            <v>12</v>
          </cell>
          <cell r="W16">
            <v>4300</v>
          </cell>
        </row>
        <row r="17">
          <cell r="A17" t="str">
            <v>4.2.1.10</v>
          </cell>
          <cell r="B17" t="str">
            <v>TRM5.4</v>
          </cell>
          <cell r="C17" t="str">
            <v>V5</v>
          </cell>
          <cell r="D17" t="str">
            <v>CI-FSE-CBOV-V01-120601</v>
          </cell>
          <cell r="E17" t="str">
            <v>Combination Oven  (10 pans) Upstream</v>
          </cell>
          <cell r="F17" t="str">
            <v>Combination Oven  (10 pans) Upstream</v>
          </cell>
          <cell r="G17" t="str">
            <v>Food service</v>
          </cell>
          <cell r="H17" t="str">
            <v>Commercial</v>
          </cell>
          <cell r="I17" t="str">
            <v>Unit</v>
          </cell>
          <cell r="J17">
            <v>0</v>
          </cell>
          <cell r="K17">
            <v>0</v>
          </cell>
          <cell r="L17">
            <v>257.38902284584412</v>
          </cell>
          <cell r="M17">
            <v>0</v>
          </cell>
          <cell r="N17">
            <v>0</v>
          </cell>
          <cell r="O17">
            <v>0</v>
          </cell>
          <cell r="P17">
            <v>3088.6682741501295</v>
          </cell>
          <cell r="Q17">
            <v>0</v>
          </cell>
          <cell r="R17">
            <v>813.41425487179492</v>
          </cell>
          <cell r="S17">
            <v>4300</v>
          </cell>
          <cell r="T17"/>
          <cell r="U17"/>
          <cell r="V17">
            <v>12</v>
          </cell>
          <cell r="W17">
            <v>4300</v>
          </cell>
        </row>
        <row r="18">
          <cell r="A18" t="str">
            <v>4.2.1.11</v>
          </cell>
          <cell r="B18" t="str">
            <v>TRM5.5</v>
          </cell>
          <cell r="C18" t="str">
            <v>V5</v>
          </cell>
          <cell r="D18" t="str">
            <v>CI-FSE-CBOV-V01-120601</v>
          </cell>
          <cell r="E18" t="str">
            <v>Combination Oven  (16 pans) Upstream</v>
          </cell>
          <cell r="F18" t="str">
            <v>Combination Oven  (16 pans) Upstream</v>
          </cell>
          <cell r="G18" t="str">
            <v>Food service</v>
          </cell>
          <cell r="H18" t="str">
            <v>Commercial</v>
          </cell>
          <cell r="I18" t="str">
            <v>Unit</v>
          </cell>
          <cell r="J18">
            <v>0</v>
          </cell>
          <cell r="K18">
            <v>0</v>
          </cell>
          <cell r="L18">
            <v>363.70538907682175</v>
          </cell>
          <cell r="M18">
            <v>0</v>
          </cell>
          <cell r="N18">
            <v>0</v>
          </cell>
          <cell r="O18">
            <v>0</v>
          </cell>
          <cell r="P18">
            <v>4364.4646689218607</v>
          </cell>
          <cell r="Q18">
            <v>0</v>
          </cell>
          <cell r="R18">
            <v>1035.2754891479965</v>
          </cell>
          <cell r="S18">
            <v>4300</v>
          </cell>
          <cell r="T18"/>
          <cell r="U18"/>
          <cell r="V18">
            <v>12</v>
          </cell>
          <cell r="W18">
            <v>4300</v>
          </cell>
        </row>
        <row r="19">
          <cell r="A19" t="str">
            <v>4.2.1.12</v>
          </cell>
          <cell r="B19" t="str">
            <v>TRM5.6</v>
          </cell>
          <cell r="C19" t="str">
            <v>V5</v>
          </cell>
          <cell r="D19" t="str">
            <v>CI-FSE-CBOV-V01-120601</v>
          </cell>
          <cell r="E19" t="str">
            <v>Combination Oven  (31 pans) Upstream</v>
          </cell>
          <cell r="F19" t="str">
            <v>Combination Oven  (31 pans) Upstream</v>
          </cell>
          <cell r="G19" t="str">
            <v>Food service</v>
          </cell>
          <cell r="H19" t="str">
            <v>Commercial</v>
          </cell>
          <cell r="I19" t="str">
            <v>Unit</v>
          </cell>
          <cell r="J19">
            <v>0</v>
          </cell>
          <cell r="K19">
            <v>0</v>
          </cell>
          <cell r="L19">
            <v>722.97630152822092</v>
          </cell>
          <cell r="M19">
            <v>0</v>
          </cell>
          <cell r="N19">
            <v>0</v>
          </cell>
          <cell r="O19">
            <v>0</v>
          </cell>
          <cell r="P19">
            <v>8675.7156183386505</v>
          </cell>
          <cell r="Q19">
            <v>0</v>
          </cell>
          <cell r="R19">
            <v>1701.6684156356841</v>
          </cell>
          <cell r="S19">
            <v>4300</v>
          </cell>
          <cell r="T19"/>
          <cell r="U19"/>
          <cell r="V19">
            <v>12</v>
          </cell>
          <cell r="W19">
            <v>4300</v>
          </cell>
        </row>
        <row r="20">
          <cell r="A20" t="str">
            <v>4.2.1</v>
          </cell>
          <cell r="B20" t="str">
            <v>TRM5.6</v>
          </cell>
          <cell r="C20" t="str">
            <v>V5</v>
          </cell>
          <cell r="D20" t="str">
            <v>CI-FSE-CBOV-V01-120601</v>
          </cell>
          <cell r="E20" t="str">
            <v>Combination Oven  (10 pans) EREP</v>
          </cell>
          <cell r="F20" t="str">
            <v>Combination Oven  (10 pans) EREP</v>
          </cell>
          <cell r="G20" t="str">
            <v>Food service</v>
          </cell>
          <cell r="H20" t="str">
            <v>Commercial</v>
          </cell>
          <cell r="I20" t="str">
            <v>Unit</v>
          </cell>
          <cell r="J20">
            <v>0</v>
          </cell>
          <cell r="K20">
            <v>0</v>
          </cell>
          <cell r="L20">
            <v>257.38902284584412</v>
          </cell>
          <cell r="M20">
            <v>0</v>
          </cell>
          <cell r="N20">
            <v>0</v>
          </cell>
          <cell r="O20">
            <v>0</v>
          </cell>
          <cell r="P20">
            <v>3088.6682741501295</v>
          </cell>
          <cell r="Q20">
            <v>0</v>
          </cell>
          <cell r="R20"/>
          <cell r="S20"/>
          <cell r="T20"/>
          <cell r="U20"/>
          <cell r="V20">
            <v>12</v>
          </cell>
          <cell r="W20">
            <v>4300</v>
          </cell>
        </row>
        <row r="21">
          <cell r="A21" t="str">
            <v>4.2.1</v>
          </cell>
          <cell r="B21" t="str">
            <v>TRM5.6</v>
          </cell>
          <cell r="C21" t="str">
            <v>V5</v>
          </cell>
          <cell r="D21" t="str">
            <v>CI-FSE-CBOV-V01-120601</v>
          </cell>
          <cell r="E21" t="str">
            <v>Combination Oven  (16 pans) EREP</v>
          </cell>
          <cell r="F21" t="str">
            <v>Combination Oven  (16 pans) EREP</v>
          </cell>
          <cell r="G21" t="str">
            <v>Food service</v>
          </cell>
          <cell r="H21" t="str">
            <v>Commercial</v>
          </cell>
          <cell r="I21" t="str">
            <v>Unit</v>
          </cell>
          <cell r="J21">
            <v>0</v>
          </cell>
          <cell r="K21">
            <v>0</v>
          </cell>
          <cell r="L21">
            <v>363.70538907682175</v>
          </cell>
          <cell r="M21">
            <v>0</v>
          </cell>
          <cell r="N21">
            <v>0</v>
          </cell>
          <cell r="O21">
            <v>0</v>
          </cell>
          <cell r="P21">
            <v>4364.4646689218607</v>
          </cell>
          <cell r="Q21">
            <v>0</v>
          </cell>
          <cell r="R21"/>
          <cell r="S21"/>
          <cell r="T21"/>
          <cell r="U21"/>
          <cell r="V21">
            <v>12</v>
          </cell>
          <cell r="W21">
            <v>4300</v>
          </cell>
        </row>
        <row r="22">
          <cell r="A22" t="str">
            <v>4.2.1</v>
          </cell>
          <cell r="B22" t="str">
            <v>TRM5.6</v>
          </cell>
          <cell r="C22" t="str">
            <v>V5</v>
          </cell>
          <cell r="D22" t="str">
            <v>CI-FSE-CBOV-V01-120601</v>
          </cell>
          <cell r="E22" t="str">
            <v>Combination Oven  (31 pans) EREP</v>
          </cell>
          <cell r="F22" t="str">
            <v>Combination Oven  (31 pans) EREP</v>
          </cell>
          <cell r="G22" t="str">
            <v>Food service</v>
          </cell>
          <cell r="H22" t="str">
            <v>Commercial</v>
          </cell>
          <cell r="I22" t="str">
            <v>Unit</v>
          </cell>
          <cell r="J22">
            <v>0</v>
          </cell>
          <cell r="K22">
            <v>0</v>
          </cell>
          <cell r="L22">
            <v>722.97630152822092</v>
          </cell>
          <cell r="M22">
            <v>0</v>
          </cell>
          <cell r="N22">
            <v>0</v>
          </cell>
          <cell r="O22">
            <v>0</v>
          </cell>
          <cell r="P22">
            <v>8675.7156183386505</v>
          </cell>
          <cell r="Q22">
            <v>0</v>
          </cell>
          <cell r="R22"/>
          <cell r="S22"/>
          <cell r="T22"/>
          <cell r="U22"/>
          <cell r="V22">
            <v>12</v>
          </cell>
          <cell r="W22">
            <v>4300</v>
          </cell>
        </row>
        <row r="23">
          <cell r="A23"/>
          <cell r="B23"/>
          <cell r="C23"/>
          <cell r="D23"/>
          <cell r="E23"/>
          <cell r="F23"/>
          <cell r="G23"/>
          <cell r="H23"/>
          <cell r="I23"/>
          <cell r="J23"/>
          <cell r="K23"/>
          <cell r="L23"/>
          <cell r="M23"/>
          <cell r="N23"/>
          <cell r="O23"/>
          <cell r="P23"/>
          <cell r="Q23"/>
          <cell r="R23"/>
          <cell r="S23"/>
          <cell r="T23"/>
          <cell r="U23"/>
          <cell r="V23"/>
          <cell r="W23"/>
        </row>
        <row r="24">
          <cell r="A24" t="str">
            <v>4.2.2</v>
          </cell>
          <cell r="B24" t="str">
            <v>TRM6</v>
          </cell>
          <cell r="C24" t="str">
            <v>V5</v>
          </cell>
          <cell r="D24" t="str">
            <v>CI-FSE-CSDO-V01-120601</v>
          </cell>
          <cell r="E24" t="str">
            <v>Solid &amp; Glass Door Refrigerators &amp; Freezers</v>
          </cell>
          <cell r="F24" t="str">
            <v>Solid &amp; Glass Door Refrigerators &amp; Freezers</v>
          </cell>
          <cell r="G24" t="str">
            <v>Refrigeration</v>
          </cell>
          <cell r="H24" t="str">
            <v>Commercial</v>
          </cell>
          <cell r="I24" t="str">
            <v>Unit</v>
          </cell>
          <cell r="J24">
            <v>1323.6659999999995</v>
          </cell>
          <cell r="K24">
            <v>0.14148699999999995</v>
          </cell>
          <cell r="L24">
            <v>0</v>
          </cell>
          <cell r="M24">
            <v>0</v>
          </cell>
          <cell r="N24">
            <v>15883.991999999995</v>
          </cell>
          <cell r="O24">
            <v>0.14148699999999995</v>
          </cell>
          <cell r="P24">
            <v>0</v>
          </cell>
          <cell r="Q24">
            <v>0</v>
          </cell>
          <cell r="R24"/>
          <cell r="S24"/>
          <cell r="T24"/>
          <cell r="U24"/>
          <cell r="V24">
            <v>12</v>
          </cell>
          <cell r="W24">
            <v>249</v>
          </cell>
        </row>
        <row r="25">
          <cell r="A25"/>
          <cell r="B25"/>
          <cell r="C25"/>
          <cell r="D25"/>
          <cell r="E25"/>
          <cell r="F25"/>
          <cell r="G25"/>
          <cell r="H25"/>
          <cell r="I25"/>
          <cell r="J25"/>
          <cell r="K25"/>
          <cell r="L25"/>
          <cell r="M25"/>
          <cell r="N25"/>
          <cell r="O25"/>
          <cell r="P25"/>
          <cell r="Q25"/>
          <cell r="R25"/>
          <cell r="S25"/>
          <cell r="T25"/>
          <cell r="U25"/>
          <cell r="V25"/>
          <cell r="W25"/>
        </row>
        <row r="26">
          <cell r="A26" t="str">
            <v>4.2.4.b</v>
          </cell>
          <cell r="B26" t="str">
            <v>TRM7.1</v>
          </cell>
          <cell r="C26" t="str">
            <v>V5</v>
          </cell>
          <cell r="D26" t="str">
            <v>CI-FSE-CVOV-V01-120601</v>
          </cell>
          <cell r="E26" t="str">
            <v>Baseline Conveyor Oven</v>
          </cell>
          <cell r="F26" t="str">
            <v>Baseline Large Conveyor Oven, &gt;=25 in</v>
          </cell>
          <cell r="G26" t="str">
            <v>Food service</v>
          </cell>
          <cell r="H26" t="str">
            <v>Commercial</v>
          </cell>
          <cell r="I26" t="str">
            <v>Unit</v>
          </cell>
          <cell r="J26">
            <v>0</v>
          </cell>
          <cell r="K26">
            <v>0</v>
          </cell>
          <cell r="L26">
            <v>0</v>
          </cell>
          <cell r="M26">
            <v>0</v>
          </cell>
          <cell r="N26">
            <v>0</v>
          </cell>
          <cell r="O26">
            <v>0</v>
          </cell>
          <cell r="P26">
            <v>0</v>
          </cell>
          <cell r="Q26">
            <v>0</v>
          </cell>
          <cell r="R26">
            <v>2024</v>
          </cell>
          <cell r="S26">
            <v>0</v>
          </cell>
          <cell r="T26"/>
          <cell r="U26"/>
          <cell r="V26">
            <v>17</v>
          </cell>
          <cell r="W26">
            <v>0</v>
          </cell>
        </row>
        <row r="27">
          <cell r="A27" t="str">
            <v>4.2.4</v>
          </cell>
          <cell r="B27" t="str">
            <v>TRM7.1</v>
          </cell>
          <cell r="C27" t="str">
            <v>V5</v>
          </cell>
          <cell r="D27" t="str">
            <v>CI-FSE-CVOV-V01-120601</v>
          </cell>
          <cell r="E27" t="str">
            <v>Conveyor Oven</v>
          </cell>
          <cell r="F27" t="str">
            <v>Large Conveyor Oven, &gt;=25 in</v>
          </cell>
          <cell r="G27" t="str">
            <v>Food service</v>
          </cell>
          <cell r="H27" t="str">
            <v>Commercial</v>
          </cell>
          <cell r="I27" t="str">
            <v>Unit</v>
          </cell>
          <cell r="J27">
            <v>0</v>
          </cell>
          <cell r="K27">
            <v>0</v>
          </cell>
          <cell r="L27">
            <v>884</v>
          </cell>
          <cell r="M27">
            <v>0</v>
          </cell>
          <cell r="N27">
            <v>0</v>
          </cell>
          <cell r="O27">
            <v>0</v>
          </cell>
          <cell r="P27">
            <v>15028</v>
          </cell>
          <cell r="Q27">
            <v>0</v>
          </cell>
          <cell r="R27">
            <v>2024</v>
          </cell>
          <cell r="S27">
            <v>1800</v>
          </cell>
          <cell r="T27"/>
          <cell r="U27"/>
          <cell r="V27">
            <v>17</v>
          </cell>
          <cell r="W27">
            <v>1800</v>
          </cell>
        </row>
        <row r="28">
          <cell r="A28" t="str">
            <v>4.2.4.3</v>
          </cell>
          <cell r="B28" t="str">
            <v>TRM7.2</v>
          </cell>
          <cell r="C28" t="str">
            <v>V5</v>
          </cell>
          <cell r="D28" t="str">
            <v>CI-FSE-CVOV-V01-120601</v>
          </cell>
          <cell r="E28" t="str">
            <v>Conveyor Oven Upstream</v>
          </cell>
          <cell r="F28" t="str">
            <v>Large Conveyor Oven, &gt;=25 in Upstream</v>
          </cell>
          <cell r="G28" t="str">
            <v>Food service</v>
          </cell>
          <cell r="H28" t="str">
            <v>Commercial</v>
          </cell>
          <cell r="I28" t="str">
            <v>Unit</v>
          </cell>
          <cell r="J28">
            <v>0</v>
          </cell>
          <cell r="K28">
            <v>0</v>
          </cell>
          <cell r="L28">
            <v>884</v>
          </cell>
          <cell r="M28">
            <v>0</v>
          </cell>
          <cell r="N28">
            <v>0</v>
          </cell>
          <cell r="O28">
            <v>0</v>
          </cell>
          <cell r="P28">
            <v>15028</v>
          </cell>
          <cell r="Q28">
            <v>0</v>
          </cell>
          <cell r="R28">
            <v>2024</v>
          </cell>
          <cell r="S28">
            <v>1800</v>
          </cell>
          <cell r="T28"/>
          <cell r="U28"/>
          <cell r="V28">
            <v>17</v>
          </cell>
          <cell r="W28">
            <v>1800</v>
          </cell>
        </row>
        <row r="29">
          <cell r="A29" t="str">
            <v>4.2.4</v>
          </cell>
          <cell r="B29" t="str">
            <v>TRM7.2</v>
          </cell>
          <cell r="C29" t="str">
            <v>V5</v>
          </cell>
          <cell r="D29" t="str">
            <v>CI-FSE-CVOV-V01-120601</v>
          </cell>
          <cell r="E29" t="str">
            <v>Conveyor Oven EREP</v>
          </cell>
          <cell r="F29" t="str">
            <v>Large Conveyor Oven, &gt;=25 in EREP</v>
          </cell>
          <cell r="G29" t="str">
            <v>Food service</v>
          </cell>
          <cell r="H29" t="str">
            <v>Commercial</v>
          </cell>
          <cell r="I29" t="str">
            <v>Unit</v>
          </cell>
          <cell r="J29">
            <v>0</v>
          </cell>
          <cell r="K29">
            <v>0</v>
          </cell>
          <cell r="L29">
            <v>884</v>
          </cell>
          <cell r="M29">
            <v>0</v>
          </cell>
          <cell r="N29">
            <v>0</v>
          </cell>
          <cell r="O29">
            <v>0</v>
          </cell>
          <cell r="P29">
            <v>15028</v>
          </cell>
          <cell r="Q29">
            <v>0</v>
          </cell>
          <cell r="R29"/>
          <cell r="S29"/>
          <cell r="T29"/>
          <cell r="U29"/>
          <cell r="V29">
            <v>17</v>
          </cell>
          <cell r="W29">
            <v>1800</v>
          </cell>
        </row>
        <row r="30">
          <cell r="A30"/>
          <cell r="B30"/>
          <cell r="C30"/>
          <cell r="D30"/>
          <cell r="E30"/>
          <cell r="F30"/>
          <cell r="G30"/>
          <cell r="H30"/>
          <cell r="I30"/>
          <cell r="J30"/>
          <cell r="K30"/>
          <cell r="L30"/>
          <cell r="M30"/>
          <cell r="N30"/>
          <cell r="O30"/>
          <cell r="P30"/>
          <cell r="Q30"/>
          <cell r="R30"/>
          <cell r="S30"/>
          <cell r="T30"/>
          <cell r="U30"/>
          <cell r="V30"/>
          <cell r="W30"/>
        </row>
        <row r="31">
          <cell r="A31" t="str">
            <v>4.2.5.B</v>
          </cell>
          <cell r="B31" t="str">
            <v>TRM8.1</v>
          </cell>
          <cell r="C31" t="str">
            <v>V5</v>
          </cell>
          <cell r="D31" t="str">
            <v>CI-FSE-ESCV-V01-120601</v>
          </cell>
          <cell r="E31" t="str">
            <v>Baseline ENERGY STAR Convection Oven</v>
          </cell>
          <cell r="F31" t="str">
            <v>Baseline Convection Oven, E &gt;46%</v>
          </cell>
          <cell r="G31" t="str">
            <v>Food service</v>
          </cell>
          <cell r="H31" t="str">
            <v>Commercial</v>
          </cell>
          <cell r="I31" t="str">
            <v>Unit</v>
          </cell>
          <cell r="J31">
            <v>0</v>
          </cell>
          <cell r="K31">
            <v>0</v>
          </cell>
          <cell r="L31">
            <v>0</v>
          </cell>
          <cell r="M31">
            <v>0</v>
          </cell>
          <cell r="N31">
            <v>0</v>
          </cell>
          <cell r="O31">
            <v>0</v>
          </cell>
          <cell r="P31">
            <v>0</v>
          </cell>
          <cell r="Q31">
            <v>0</v>
          </cell>
          <cell r="R31">
            <v>1052.3548214285715</v>
          </cell>
          <cell r="S31">
            <v>0</v>
          </cell>
          <cell r="T31"/>
          <cell r="U31"/>
          <cell r="V31">
            <v>12</v>
          </cell>
          <cell r="W31">
            <v>0</v>
          </cell>
        </row>
        <row r="32">
          <cell r="A32" t="str">
            <v>4.2.5</v>
          </cell>
          <cell r="B32" t="str">
            <v>TRM8.1</v>
          </cell>
          <cell r="C32" t="str">
            <v>V5</v>
          </cell>
          <cell r="D32" t="str">
            <v>CI-FSE-ESCV-V01-120601</v>
          </cell>
          <cell r="E32" t="str">
            <v>ENERGY STAR Convection Oven</v>
          </cell>
          <cell r="F32" t="str">
            <v>Convection Oven, E &gt;46%</v>
          </cell>
          <cell r="G32" t="str">
            <v>Food service</v>
          </cell>
          <cell r="H32" t="str">
            <v>Commercial</v>
          </cell>
          <cell r="I32" t="str">
            <v>Unit</v>
          </cell>
          <cell r="J32">
            <v>0</v>
          </cell>
          <cell r="K32">
            <v>0</v>
          </cell>
          <cell r="L32">
            <v>353.45688664596281</v>
          </cell>
          <cell r="M32">
            <v>0</v>
          </cell>
          <cell r="N32">
            <v>0</v>
          </cell>
          <cell r="O32">
            <v>0</v>
          </cell>
          <cell r="P32">
            <v>4241.4826397515535</v>
          </cell>
          <cell r="Q32">
            <v>0</v>
          </cell>
          <cell r="R32">
            <v>1052.3548214285715</v>
          </cell>
          <cell r="S32">
            <v>426</v>
          </cell>
          <cell r="T32"/>
          <cell r="U32"/>
          <cell r="V32">
            <v>12</v>
          </cell>
          <cell r="W32">
            <v>426</v>
          </cell>
        </row>
        <row r="33">
          <cell r="A33" t="str">
            <v>4.2.5.3</v>
          </cell>
          <cell r="B33" t="str">
            <v>TRM8.2</v>
          </cell>
          <cell r="C33" t="str">
            <v>V5</v>
          </cell>
          <cell r="D33" t="str">
            <v>CI-FSE-ESCV-V01-120601</v>
          </cell>
          <cell r="E33" t="str">
            <v>ENERGY STAR Convection Oven Upstream</v>
          </cell>
          <cell r="F33" t="str">
            <v>Convection Oven, E &gt;46% Upstream</v>
          </cell>
          <cell r="G33" t="str">
            <v>Food service</v>
          </cell>
          <cell r="H33" t="str">
            <v>Commercial</v>
          </cell>
          <cell r="I33" t="str">
            <v>Unit</v>
          </cell>
          <cell r="J33">
            <v>0</v>
          </cell>
          <cell r="K33">
            <v>0</v>
          </cell>
          <cell r="L33">
            <v>353.45688664596281</v>
          </cell>
          <cell r="M33">
            <v>0</v>
          </cell>
          <cell r="N33">
            <v>0</v>
          </cell>
          <cell r="O33">
            <v>0</v>
          </cell>
          <cell r="P33">
            <v>4241.4826397515535</v>
          </cell>
          <cell r="Q33">
            <v>0</v>
          </cell>
          <cell r="R33">
            <v>1052.3548214285715</v>
          </cell>
          <cell r="S33">
            <v>426</v>
          </cell>
          <cell r="T33"/>
          <cell r="U33"/>
          <cell r="V33">
            <v>12</v>
          </cell>
          <cell r="W33">
            <v>426</v>
          </cell>
        </row>
        <row r="34">
          <cell r="A34" t="str">
            <v>4.2.5.4</v>
          </cell>
          <cell r="B34" t="str">
            <v>TRM8.2</v>
          </cell>
          <cell r="C34" t="str">
            <v>V5</v>
          </cell>
          <cell r="D34" t="str">
            <v>CI-FSE-ESCV-V01-120601</v>
          </cell>
          <cell r="E34" t="str">
            <v>ENERGY STAR Convection Oven EREP</v>
          </cell>
          <cell r="F34" t="str">
            <v>Convection Oven, E &gt;46% EREP</v>
          </cell>
          <cell r="G34" t="str">
            <v>Food service</v>
          </cell>
          <cell r="H34" t="str">
            <v>Commercial</v>
          </cell>
          <cell r="I34" t="str">
            <v>Unit</v>
          </cell>
          <cell r="J34">
            <v>0</v>
          </cell>
          <cell r="K34">
            <v>0</v>
          </cell>
          <cell r="L34">
            <v>353.45688664596281</v>
          </cell>
          <cell r="M34">
            <v>0</v>
          </cell>
          <cell r="N34">
            <v>0</v>
          </cell>
          <cell r="O34">
            <v>0</v>
          </cell>
          <cell r="P34">
            <v>4241.4826397515535</v>
          </cell>
          <cell r="Q34">
            <v>0</v>
          </cell>
          <cell r="R34"/>
          <cell r="S34"/>
          <cell r="T34"/>
          <cell r="U34"/>
          <cell r="V34">
            <v>12</v>
          </cell>
          <cell r="W34">
            <v>426</v>
          </cell>
        </row>
        <row r="35">
          <cell r="A35"/>
          <cell r="B35"/>
          <cell r="C35"/>
          <cell r="D35"/>
          <cell r="E35"/>
          <cell r="F35"/>
          <cell r="G35"/>
          <cell r="H35"/>
          <cell r="I35"/>
          <cell r="J35"/>
          <cell r="K35"/>
          <cell r="L35"/>
          <cell r="M35"/>
          <cell r="N35"/>
          <cell r="O35"/>
          <cell r="P35"/>
          <cell r="Q35"/>
          <cell r="R35"/>
          <cell r="S35"/>
          <cell r="T35"/>
          <cell r="U35"/>
          <cell r="V35"/>
          <cell r="W35"/>
        </row>
        <row r="36">
          <cell r="A36" t="str">
            <v>4.2.6</v>
          </cell>
          <cell r="B36" t="str">
            <v>TRM9</v>
          </cell>
          <cell r="C36" t="str">
            <v>V5</v>
          </cell>
          <cell r="D36" t="str">
            <v>CI-FSE-ESDW-V01-120601</v>
          </cell>
          <cell r="E36" t="str">
            <v>ENERGY STAR Dishwasher</v>
          </cell>
          <cell r="F36" t="str">
            <v>Dishwasher</v>
          </cell>
          <cell r="G36" t="str">
            <v>Dishwasher</v>
          </cell>
          <cell r="H36" t="str">
            <v>Commercial</v>
          </cell>
          <cell r="I36" t="str">
            <v>Unit</v>
          </cell>
          <cell r="J36">
            <v>820.44444444444446</v>
          </cell>
          <cell r="K36">
            <v>5.0332739005641891E-2</v>
          </cell>
          <cell r="L36">
            <v>459</v>
          </cell>
          <cell r="M36">
            <v>52553.444444444445</v>
          </cell>
          <cell r="N36">
            <v>12762.469135802468</v>
          </cell>
          <cell r="O36">
            <v>5.0332739005641891E-2</v>
          </cell>
          <cell r="P36">
            <v>7140</v>
          </cell>
          <cell r="Q36">
            <v>817498.02469135798</v>
          </cell>
          <cell r="R36"/>
          <cell r="S36"/>
          <cell r="T36"/>
          <cell r="U36"/>
          <cell r="V36">
            <v>15.555555555555555</v>
          </cell>
          <cell r="W36">
            <v>737.77777777777783</v>
          </cell>
        </row>
        <row r="37">
          <cell r="A37"/>
          <cell r="B37"/>
          <cell r="C37"/>
          <cell r="D37"/>
          <cell r="E37"/>
          <cell r="F37"/>
          <cell r="G37"/>
          <cell r="H37"/>
          <cell r="I37"/>
          <cell r="J37"/>
          <cell r="K37"/>
          <cell r="L37"/>
          <cell r="M37"/>
          <cell r="N37"/>
          <cell r="O37"/>
          <cell r="P37"/>
          <cell r="Q37"/>
          <cell r="R37"/>
          <cell r="S37"/>
          <cell r="T37"/>
          <cell r="U37"/>
          <cell r="V37"/>
          <cell r="W37"/>
        </row>
        <row r="38">
          <cell r="A38" t="str">
            <v>4.2.7.b</v>
          </cell>
          <cell r="B38" t="str">
            <v>TRM10.1</v>
          </cell>
          <cell r="C38" t="str">
            <v>V5</v>
          </cell>
          <cell r="D38" t="str">
            <v>CI-FSE-ESFR-V01-120601</v>
          </cell>
          <cell r="E38" t="str">
            <v>Baseline ENERGY STAR Fryer</v>
          </cell>
          <cell r="F38" t="str">
            <v>Baseline Fryer - E &gt;50%</v>
          </cell>
          <cell r="G38" t="str">
            <v>Food service</v>
          </cell>
          <cell r="H38" t="str">
            <v>Commercial</v>
          </cell>
          <cell r="I38" t="str">
            <v>Unit</v>
          </cell>
          <cell r="J38">
            <v>0</v>
          </cell>
          <cell r="K38">
            <v>0</v>
          </cell>
          <cell r="L38">
            <v>0</v>
          </cell>
          <cell r="M38">
            <v>0</v>
          </cell>
          <cell r="N38">
            <v>0</v>
          </cell>
          <cell r="O38">
            <v>0</v>
          </cell>
          <cell r="P38">
            <v>0</v>
          </cell>
          <cell r="Q38">
            <v>0</v>
          </cell>
          <cell r="R38">
            <v>1628.2323214285716</v>
          </cell>
          <cell r="S38">
            <v>0</v>
          </cell>
          <cell r="T38"/>
          <cell r="U38"/>
          <cell r="V38">
            <v>15</v>
          </cell>
          <cell r="W38">
            <v>0</v>
          </cell>
        </row>
        <row r="39">
          <cell r="A39" t="str">
            <v>4.2.7</v>
          </cell>
          <cell r="B39" t="str">
            <v>TRM10.1</v>
          </cell>
          <cell r="C39" t="str">
            <v>V5</v>
          </cell>
          <cell r="D39" t="str">
            <v>CI-FSE-ESFR-V01-120601</v>
          </cell>
          <cell r="E39" t="str">
            <v>ENERGY STAR Fryer</v>
          </cell>
          <cell r="F39" t="str">
            <v>Fryer - E &gt;50%</v>
          </cell>
          <cell r="G39" t="str">
            <v>Food service</v>
          </cell>
          <cell r="H39" t="str">
            <v>Commercial</v>
          </cell>
          <cell r="I39" t="str">
            <v>Unit</v>
          </cell>
          <cell r="J39">
            <v>0</v>
          </cell>
          <cell r="K39">
            <v>0</v>
          </cell>
          <cell r="L39">
            <v>505.15881181318684</v>
          </cell>
          <cell r="M39">
            <v>0</v>
          </cell>
          <cell r="N39">
            <v>0</v>
          </cell>
          <cell r="O39">
            <v>0</v>
          </cell>
          <cell r="P39">
            <v>7577.3821771978028</v>
          </cell>
          <cell r="Q39">
            <v>0</v>
          </cell>
          <cell r="R39">
            <v>1628.2323214285716</v>
          </cell>
          <cell r="S39">
            <v>1200</v>
          </cell>
          <cell r="T39"/>
          <cell r="U39"/>
          <cell r="V39">
            <v>15</v>
          </cell>
          <cell r="W39">
            <v>1200</v>
          </cell>
        </row>
        <row r="40">
          <cell r="A40" t="str">
            <v>4.2.7.3</v>
          </cell>
          <cell r="B40" t="str">
            <v>TRM10.2</v>
          </cell>
          <cell r="C40" t="str">
            <v>V5</v>
          </cell>
          <cell r="D40" t="str">
            <v>CI-FSE-ESFR-V01-120601</v>
          </cell>
          <cell r="E40" t="str">
            <v>ENERGY STAR Fryer Upstream</v>
          </cell>
          <cell r="F40" t="str">
            <v>Fryer - E &gt;50% Upstream</v>
          </cell>
          <cell r="G40" t="str">
            <v>Food service</v>
          </cell>
          <cell r="H40" t="str">
            <v>Commercial</v>
          </cell>
          <cell r="I40" t="str">
            <v>Unit</v>
          </cell>
          <cell r="J40">
            <v>0</v>
          </cell>
          <cell r="K40">
            <v>0</v>
          </cell>
          <cell r="L40">
            <v>505.15881181318684</v>
          </cell>
          <cell r="M40">
            <v>0</v>
          </cell>
          <cell r="N40">
            <v>0</v>
          </cell>
          <cell r="O40">
            <v>0</v>
          </cell>
          <cell r="P40">
            <v>7577.3821771978028</v>
          </cell>
          <cell r="Q40">
            <v>0</v>
          </cell>
          <cell r="R40">
            <v>1628.2323214285716</v>
          </cell>
          <cell r="S40">
            <v>1200</v>
          </cell>
          <cell r="T40"/>
          <cell r="U40"/>
          <cell r="V40">
            <v>15</v>
          </cell>
          <cell r="W40">
            <v>1200</v>
          </cell>
        </row>
        <row r="41">
          <cell r="A41" t="str">
            <v>4.2.7</v>
          </cell>
          <cell r="B41" t="str">
            <v>TRM10.2</v>
          </cell>
          <cell r="C41" t="str">
            <v>V5</v>
          </cell>
          <cell r="D41" t="str">
            <v>CI-FSE-ESFR-V01-120601</v>
          </cell>
          <cell r="E41" t="str">
            <v>ENERGY STAR Fryer EREP</v>
          </cell>
          <cell r="F41" t="str">
            <v>Fryer - E &gt;50% EREP</v>
          </cell>
          <cell r="G41" t="str">
            <v>Food service</v>
          </cell>
          <cell r="H41" t="str">
            <v>Commercial</v>
          </cell>
          <cell r="I41" t="str">
            <v>Unit</v>
          </cell>
          <cell r="J41">
            <v>0</v>
          </cell>
          <cell r="K41">
            <v>0</v>
          </cell>
          <cell r="L41">
            <v>505.15881181318684</v>
          </cell>
          <cell r="M41">
            <v>0</v>
          </cell>
          <cell r="N41">
            <v>0</v>
          </cell>
          <cell r="O41">
            <v>0</v>
          </cell>
          <cell r="P41">
            <v>7577.3821771978028</v>
          </cell>
          <cell r="Q41">
            <v>0</v>
          </cell>
          <cell r="R41"/>
          <cell r="S41"/>
          <cell r="T41"/>
          <cell r="U41"/>
          <cell r="V41">
            <v>15</v>
          </cell>
          <cell r="W41">
            <v>1200</v>
          </cell>
        </row>
        <row r="42">
          <cell r="A42"/>
          <cell r="B42"/>
          <cell r="C42"/>
          <cell r="D42"/>
          <cell r="E42"/>
          <cell r="F42"/>
          <cell r="G42"/>
          <cell r="H42"/>
          <cell r="I42"/>
          <cell r="J42"/>
          <cell r="K42"/>
          <cell r="L42"/>
          <cell r="M42"/>
          <cell r="N42"/>
          <cell r="O42"/>
          <cell r="P42"/>
          <cell r="Q42"/>
          <cell r="R42"/>
          <cell r="S42"/>
          <cell r="T42"/>
          <cell r="U42"/>
          <cell r="V42"/>
          <cell r="W42"/>
        </row>
        <row r="43">
          <cell r="A43" t="str">
            <v>4.2.8.b</v>
          </cell>
          <cell r="B43" t="str">
            <v>TRM11.1</v>
          </cell>
          <cell r="C43" t="str">
            <v>V5</v>
          </cell>
          <cell r="D43" t="str">
            <v>CI-FSE-ESGR-V01-120601</v>
          </cell>
          <cell r="E43" t="str">
            <v>Baseline ENERGY STAR Griddle</v>
          </cell>
          <cell r="F43" t="str">
            <v>Baseline Griddle</v>
          </cell>
          <cell r="G43" t="str">
            <v>Food service</v>
          </cell>
          <cell r="H43" t="str">
            <v>Commercial</v>
          </cell>
          <cell r="I43" t="str">
            <v>Unit</v>
          </cell>
          <cell r="J43">
            <v>0</v>
          </cell>
          <cell r="K43">
            <v>0</v>
          </cell>
          <cell r="L43">
            <v>0</v>
          </cell>
          <cell r="M43">
            <v>0</v>
          </cell>
          <cell r="N43">
            <v>0</v>
          </cell>
          <cell r="O43">
            <v>0</v>
          </cell>
          <cell r="P43">
            <v>0</v>
          </cell>
          <cell r="Q43">
            <v>0</v>
          </cell>
          <cell r="R43">
            <v>1213.3148437499999</v>
          </cell>
          <cell r="S43">
            <v>0</v>
          </cell>
          <cell r="T43"/>
          <cell r="U43"/>
          <cell r="V43">
            <v>12</v>
          </cell>
          <cell r="W43">
            <v>0</v>
          </cell>
        </row>
        <row r="44">
          <cell r="A44" t="str">
            <v>4.2.8</v>
          </cell>
          <cell r="B44" t="str">
            <v>TRM11.1</v>
          </cell>
          <cell r="C44" t="str">
            <v>V5</v>
          </cell>
          <cell r="D44" t="str">
            <v>CI-FSE-ESGR-V01-120601</v>
          </cell>
          <cell r="E44" t="str">
            <v>ENERGY STAR Griddle</v>
          </cell>
          <cell r="F44" t="str">
            <v>Griddle</v>
          </cell>
          <cell r="G44" t="str">
            <v>Food service</v>
          </cell>
          <cell r="H44" t="str">
            <v>Commercial</v>
          </cell>
          <cell r="I44" t="str">
            <v>Unit</v>
          </cell>
          <cell r="J44">
            <v>0</v>
          </cell>
          <cell r="K44">
            <v>0</v>
          </cell>
          <cell r="L44">
            <v>148.64153124999993</v>
          </cell>
          <cell r="M44">
            <v>0</v>
          </cell>
          <cell r="N44">
            <v>0</v>
          </cell>
          <cell r="O44">
            <v>0</v>
          </cell>
          <cell r="P44">
            <v>1783.698374999999</v>
          </cell>
          <cell r="Q44">
            <v>0</v>
          </cell>
          <cell r="R44">
            <v>1213.3148437499999</v>
          </cell>
          <cell r="S44">
            <v>857</v>
          </cell>
          <cell r="T44"/>
          <cell r="U44"/>
          <cell r="V44">
            <v>12</v>
          </cell>
          <cell r="W44">
            <v>857</v>
          </cell>
        </row>
        <row r="45">
          <cell r="A45" t="str">
            <v>4.2.8.3</v>
          </cell>
          <cell r="B45" t="str">
            <v>TRM11.2</v>
          </cell>
          <cell r="C45" t="str">
            <v>V5</v>
          </cell>
          <cell r="D45" t="str">
            <v>CI-FSE-ESGR-V01-120601</v>
          </cell>
          <cell r="E45" t="str">
            <v>ENERGY STAR Griddle Upstream</v>
          </cell>
          <cell r="F45" t="str">
            <v>Griddle Upstream</v>
          </cell>
          <cell r="G45" t="str">
            <v>Food service</v>
          </cell>
          <cell r="H45" t="str">
            <v>Commercial</v>
          </cell>
          <cell r="I45" t="str">
            <v>Unit</v>
          </cell>
          <cell r="J45">
            <v>0</v>
          </cell>
          <cell r="K45">
            <v>0</v>
          </cell>
          <cell r="L45">
            <v>148.64153124999993</v>
          </cell>
          <cell r="M45">
            <v>0</v>
          </cell>
          <cell r="N45">
            <v>0</v>
          </cell>
          <cell r="O45">
            <v>0</v>
          </cell>
          <cell r="P45">
            <v>1783.698374999999</v>
          </cell>
          <cell r="Q45">
            <v>0</v>
          </cell>
          <cell r="R45">
            <v>1213.3148437499999</v>
          </cell>
          <cell r="S45">
            <v>857</v>
          </cell>
          <cell r="T45"/>
          <cell r="U45"/>
          <cell r="V45">
            <v>12</v>
          </cell>
          <cell r="W45">
            <v>857</v>
          </cell>
        </row>
        <row r="46">
          <cell r="A46" t="str">
            <v>4.2.8</v>
          </cell>
          <cell r="B46" t="str">
            <v>TRM11.2</v>
          </cell>
          <cell r="C46" t="str">
            <v>V5</v>
          </cell>
          <cell r="D46" t="str">
            <v>CI-FSE-ESGR-V01-120601</v>
          </cell>
          <cell r="E46" t="str">
            <v>ENERGY STAR Griddle EREP</v>
          </cell>
          <cell r="F46" t="str">
            <v>Griddle EREP</v>
          </cell>
          <cell r="G46" t="str">
            <v>Food service</v>
          </cell>
          <cell r="H46" t="str">
            <v>Commercial</v>
          </cell>
          <cell r="I46" t="str">
            <v>Unit</v>
          </cell>
          <cell r="J46">
            <v>0</v>
          </cell>
          <cell r="K46">
            <v>0</v>
          </cell>
          <cell r="L46">
            <v>148.64153124999993</v>
          </cell>
          <cell r="M46">
            <v>0</v>
          </cell>
          <cell r="N46">
            <v>0</v>
          </cell>
          <cell r="O46">
            <v>0</v>
          </cell>
          <cell r="P46">
            <v>1783.698374999999</v>
          </cell>
          <cell r="Q46">
            <v>0</v>
          </cell>
          <cell r="R46"/>
          <cell r="S46"/>
          <cell r="T46"/>
          <cell r="U46"/>
          <cell r="V46">
            <v>12</v>
          </cell>
          <cell r="W46">
            <v>857</v>
          </cell>
        </row>
        <row r="47">
          <cell r="A47"/>
          <cell r="B47"/>
          <cell r="C47"/>
          <cell r="D47"/>
          <cell r="E47"/>
          <cell r="F47"/>
          <cell r="G47"/>
          <cell r="H47"/>
          <cell r="I47"/>
          <cell r="J47"/>
          <cell r="K47"/>
          <cell r="L47"/>
          <cell r="M47"/>
          <cell r="N47"/>
          <cell r="O47"/>
          <cell r="P47"/>
          <cell r="Q47"/>
          <cell r="R47"/>
          <cell r="S47"/>
          <cell r="T47"/>
          <cell r="U47"/>
          <cell r="V47"/>
          <cell r="W47"/>
        </row>
        <row r="48">
          <cell r="A48" t="str">
            <v>4.2.9</v>
          </cell>
          <cell r="B48" t="str">
            <v>TRM12</v>
          </cell>
          <cell r="C48" t="str">
            <v>V5</v>
          </cell>
          <cell r="D48" t="str">
            <v>CI-FSE-ESHH-V01-120601</v>
          </cell>
          <cell r="E48" t="str">
            <v>ENERGY STAR Hot Food Holding Cabinets (HFHC)</v>
          </cell>
          <cell r="F48" t="str">
            <v>Hot Food Holding Cabinets (HFHC)</v>
          </cell>
          <cell r="G48" t="str">
            <v>Food service</v>
          </cell>
          <cell r="H48" t="str">
            <v>Commercial</v>
          </cell>
          <cell r="I48" t="str">
            <v>Unit</v>
          </cell>
          <cell r="J48">
            <v>9313.875</v>
          </cell>
          <cell r="K48">
            <v>0.86699999999999999</v>
          </cell>
          <cell r="L48">
            <v>0</v>
          </cell>
          <cell r="M48">
            <v>0</v>
          </cell>
          <cell r="N48">
            <v>111766.5</v>
          </cell>
          <cell r="O48">
            <v>0.86699999999999999</v>
          </cell>
          <cell r="P48">
            <v>0</v>
          </cell>
          <cell r="Q48">
            <v>0</v>
          </cell>
          <cell r="R48"/>
          <cell r="S48"/>
          <cell r="T48"/>
          <cell r="U48"/>
          <cell r="V48">
            <v>12</v>
          </cell>
          <cell r="W48">
            <v>1200</v>
          </cell>
        </row>
        <row r="49">
          <cell r="A49"/>
          <cell r="B49"/>
          <cell r="C49"/>
          <cell r="D49"/>
          <cell r="E49"/>
          <cell r="F49"/>
          <cell r="G49"/>
          <cell r="H49"/>
          <cell r="I49"/>
          <cell r="J49"/>
          <cell r="K49"/>
          <cell r="L49"/>
          <cell r="M49"/>
          <cell r="N49"/>
          <cell r="O49"/>
          <cell r="P49"/>
          <cell r="Q49"/>
          <cell r="R49"/>
          <cell r="S49"/>
          <cell r="T49"/>
          <cell r="U49"/>
          <cell r="V49"/>
          <cell r="W49"/>
        </row>
        <row r="50">
          <cell r="A50" t="str">
            <v>4.2.10</v>
          </cell>
          <cell r="B50" t="str">
            <v>TRM13</v>
          </cell>
          <cell r="C50" t="str">
            <v>V5</v>
          </cell>
          <cell r="D50" t="str">
            <v>CI-FSE-ESIM-V01-120601</v>
          </cell>
          <cell r="E50" t="str">
            <v>ENERGY STAR Ice Maker</v>
          </cell>
          <cell r="F50" t="str">
            <v>Ice Maker</v>
          </cell>
          <cell r="G50" t="str">
            <v>Refrigeration</v>
          </cell>
          <cell r="H50" t="str">
            <v>Commercial</v>
          </cell>
          <cell r="I50" t="str">
            <v>Unit</v>
          </cell>
          <cell r="J50">
            <v>287.30565000000053</v>
          </cell>
          <cell r="K50">
            <v>5.3877500000000106E-2</v>
          </cell>
          <cell r="L50">
            <v>0</v>
          </cell>
          <cell r="M50">
            <v>0</v>
          </cell>
          <cell r="N50">
            <v>2873.0565000000051</v>
          </cell>
          <cell r="O50">
            <v>5.3877500000000106E-2</v>
          </cell>
          <cell r="P50">
            <v>0</v>
          </cell>
          <cell r="Q50">
            <v>0</v>
          </cell>
          <cell r="R50"/>
          <cell r="S50"/>
          <cell r="T50"/>
          <cell r="U50"/>
          <cell r="V50">
            <v>10</v>
          </cell>
          <cell r="W50">
            <v>296</v>
          </cell>
        </row>
        <row r="51">
          <cell r="A51"/>
          <cell r="B51"/>
          <cell r="C51"/>
          <cell r="D51"/>
          <cell r="E51"/>
          <cell r="F51"/>
          <cell r="G51"/>
          <cell r="H51"/>
          <cell r="I51"/>
          <cell r="J51"/>
          <cell r="K51"/>
          <cell r="L51"/>
          <cell r="M51"/>
          <cell r="N51"/>
          <cell r="O51"/>
          <cell r="P51"/>
          <cell r="Q51"/>
          <cell r="R51"/>
          <cell r="S51"/>
          <cell r="T51"/>
          <cell r="U51"/>
          <cell r="V51"/>
          <cell r="W51"/>
        </row>
        <row r="52">
          <cell r="A52" t="str">
            <v>4.2.12.b</v>
          </cell>
          <cell r="B52" t="str">
            <v>TRM14.1</v>
          </cell>
          <cell r="C52" t="str">
            <v>V5</v>
          </cell>
          <cell r="D52" t="str">
            <v>CI-FSE-IRCB-V01-120601</v>
          </cell>
          <cell r="E52" t="str">
            <v>Baseline Infrared Charbroiler</v>
          </cell>
          <cell r="F52" t="str">
            <v>Baseline Infrared Charbroiler</v>
          </cell>
          <cell r="G52" t="str">
            <v>Food service</v>
          </cell>
          <cell r="H52" t="str">
            <v>Commercial</v>
          </cell>
          <cell r="I52" t="str">
            <v>Unit</v>
          </cell>
          <cell r="J52">
            <v>0</v>
          </cell>
          <cell r="K52">
            <v>0</v>
          </cell>
          <cell r="L52">
            <v>0</v>
          </cell>
          <cell r="M52">
            <v>0</v>
          </cell>
          <cell r="N52">
            <v>0</v>
          </cell>
          <cell r="O52">
            <v>0</v>
          </cell>
          <cell r="P52">
            <v>0</v>
          </cell>
          <cell r="Q52">
            <v>0</v>
          </cell>
          <cell r="R52">
            <v>2845.44</v>
          </cell>
          <cell r="S52">
            <v>2173</v>
          </cell>
          <cell r="T52"/>
          <cell r="U52"/>
          <cell r="V52">
            <v>12</v>
          </cell>
          <cell r="W52">
            <v>2173</v>
          </cell>
        </row>
        <row r="53">
          <cell r="A53" t="str">
            <v>4.2.12</v>
          </cell>
          <cell r="B53" t="str">
            <v>TRM14.1</v>
          </cell>
          <cell r="C53" t="str">
            <v>V5</v>
          </cell>
          <cell r="D53" t="str">
            <v>CI-FSE-IRCB-V01-120601</v>
          </cell>
          <cell r="E53" t="str">
            <v>Infrared Charbroiler</v>
          </cell>
          <cell r="F53" t="str">
            <v>Infrared Charbroiler</v>
          </cell>
          <cell r="G53" t="str">
            <v>Food service</v>
          </cell>
          <cell r="H53" t="str">
            <v>Commercial</v>
          </cell>
          <cell r="I53" t="str">
            <v>Unit</v>
          </cell>
          <cell r="J53">
            <v>0</v>
          </cell>
          <cell r="K53">
            <v>0</v>
          </cell>
          <cell r="L53">
            <v>706.68</v>
          </cell>
          <cell r="M53">
            <v>0</v>
          </cell>
          <cell r="N53">
            <v>0</v>
          </cell>
          <cell r="O53">
            <v>0</v>
          </cell>
          <cell r="P53">
            <v>8480.16</v>
          </cell>
          <cell r="Q53">
            <v>0</v>
          </cell>
          <cell r="R53">
            <v>2845.44</v>
          </cell>
          <cell r="S53">
            <v>2173</v>
          </cell>
          <cell r="T53"/>
          <cell r="U53"/>
          <cell r="V53">
            <v>12</v>
          </cell>
          <cell r="W53">
            <v>2173</v>
          </cell>
        </row>
        <row r="54">
          <cell r="A54" t="str">
            <v>4.2.12.3</v>
          </cell>
          <cell r="B54" t="str">
            <v>TRM14.2</v>
          </cell>
          <cell r="C54" t="str">
            <v>V5</v>
          </cell>
          <cell r="D54" t="str">
            <v>CI-FSE-IRCB-V01-120601</v>
          </cell>
          <cell r="E54" t="str">
            <v>Infrared Charbroiler Upstream</v>
          </cell>
          <cell r="F54" t="str">
            <v>Infrared Charbroiler Upstream</v>
          </cell>
          <cell r="G54" t="str">
            <v>Food service</v>
          </cell>
          <cell r="H54" t="str">
            <v>Commercial</v>
          </cell>
          <cell r="I54" t="str">
            <v>Unit</v>
          </cell>
          <cell r="J54">
            <v>0</v>
          </cell>
          <cell r="K54">
            <v>0</v>
          </cell>
          <cell r="L54">
            <v>706.68</v>
          </cell>
          <cell r="M54">
            <v>0</v>
          </cell>
          <cell r="N54">
            <v>0</v>
          </cell>
          <cell r="O54">
            <v>0</v>
          </cell>
          <cell r="P54">
            <v>8480.16</v>
          </cell>
          <cell r="Q54">
            <v>0</v>
          </cell>
          <cell r="R54">
            <v>2845.44</v>
          </cell>
          <cell r="S54">
            <v>2173</v>
          </cell>
          <cell r="T54"/>
          <cell r="U54"/>
          <cell r="V54">
            <v>12</v>
          </cell>
          <cell r="W54">
            <v>2173</v>
          </cell>
        </row>
        <row r="55">
          <cell r="A55" t="str">
            <v>4.2.12</v>
          </cell>
          <cell r="B55" t="str">
            <v>TRM14.2</v>
          </cell>
          <cell r="C55" t="str">
            <v>V5</v>
          </cell>
          <cell r="D55" t="str">
            <v>CI-FSE-IRCB-V01-120601</v>
          </cell>
          <cell r="E55" t="str">
            <v>Infrared Charbroiler EREP</v>
          </cell>
          <cell r="F55" t="str">
            <v>Infrared Charbroiler EREP</v>
          </cell>
          <cell r="G55" t="str">
            <v>Food service</v>
          </cell>
          <cell r="H55" t="str">
            <v>Commercial</v>
          </cell>
          <cell r="I55" t="str">
            <v>Unit</v>
          </cell>
          <cell r="J55">
            <v>0</v>
          </cell>
          <cell r="K55">
            <v>0</v>
          </cell>
          <cell r="L55">
            <v>706.68</v>
          </cell>
          <cell r="M55">
            <v>0</v>
          </cell>
          <cell r="N55">
            <v>0</v>
          </cell>
          <cell r="O55">
            <v>0</v>
          </cell>
          <cell r="P55">
            <v>8480.16</v>
          </cell>
          <cell r="Q55">
            <v>0</v>
          </cell>
          <cell r="R55"/>
          <cell r="S55"/>
          <cell r="T55"/>
          <cell r="U55"/>
          <cell r="V55">
            <v>12</v>
          </cell>
          <cell r="W55">
            <v>2173</v>
          </cell>
        </row>
        <row r="56">
          <cell r="A56"/>
          <cell r="B56"/>
          <cell r="C56"/>
          <cell r="D56"/>
          <cell r="E56"/>
          <cell r="F56"/>
          <cell r="G56"/>
          <cell r="H56"/>
          <cell r="I56"/>
          <cell r="J56"/>
          <cell r="K56"/>
          <cell r="L56"/>
          <cell r="M56"/>
          <cell r="N56"/>
          <cell r="O56"/>
          <cell r="P56"/>
          <cell r="Q56"/>
          <cell r="R56"/>
          <cell r="S56"/>
          <cell r="T56"/>
          <cell r="U56"/>
          <cell r="V56"/>
          <cell r="W56"/>
        </row>
        <row r="57">
          <cell r="A57" t="str">
            <v>4.2.13.b</v>
          </cell>
          <cell r="B57" t="str">
            <v>TRM15.1</v>
          </cell>
          <cell r="C57" t="str">
            <v>V5</v>
          </cell>
          <cell r="D57" t="str">
            <v>CI-FSE-IROV-V01-120601</v>
          </cell>
          <cell r="E57" t="str">
            <v>Baseline Infrared Rotisserie Oven</v>
          </cell>
          <cell r="F57" t="str">
            <v>Baseline Infrared Rotisserie Oven</v>
          </cell>
          <cell r="G57" t="str">
            <v>Food service</v>
          </cell>
          <cell r="H57" t="str">
            <v>Commercial</v>
          </cell>
          <cell r="I57" t="str">
            <v>Unit</v>
          </cell>
          <cell r="J57">
            <v>0</v>
          </cell>
          <cell r="K57">
            <v>0</v>
          </cell>
          <cell r="L57">
            <v>0</v>
          </cell>
          <cell r="M57">
            <v>0</v>
          </cell>
          <cell r="N57">
            <v>0</v>
          </cell>
          <cell r="O57">
            <v>0</v>
          </cell>
          <cell r="P57">
            <v>0</v>
          </cell>
          <cell r="Q57">
            <v>0</v>
          </cell>
          <cell r="R57">
            <v>1347.84</v>
          </cell>
          <cell r="S57">
            <v>2665</v>
          </cell>
          <cell r="T57"/>
          <cell r="U57"/>
          <cell r="V57">
            <v>12</v>
          </cell>
          <cell r="W57">
            <v>2665</v>
          </cell>
        </row>
        <row r="58">
          <cell r="A58" t="str">
            <v>4.2.13</v>
          </cell>
          <cell r="B58" t="str">
            <v>TRM15.1</v>
          </cell>
          <cell r="C58" t="str">
            <v>V5</v>
          </cell>
          <cell r="D58" t="str">
            <v>CI-FSE-IROV-V01-120601</v>
          </cell>
          <cell r="E58" t="str">
            <v>Infrared Rotisserie Oven</v>
          </cell>
          <cell r="F58" t="str">
            <v>Infrared Rotisserie Oven</v>
          </cell>
          <cell r="G58" t="str">
            <v>Food service</v>
          </cell>
          <cell r="H58" t="str">
            <v>Commercial</v>
          </cell>
          <cell r="I58" t="str">
            <v>Unit</v>
          </cell>
          <cell r="J58">
            <v>0</v>
          </cell>
          <cell r="K58">
            <v>0</v>
          </cell>
          <cell r="L58">
            <v>599.04</v>
          </cell>
          <cell r="M58">
            <v>0</v>
          </cell>
          <cell r="N58">
            <v>0</v>
          </cell>
          <cell r="O58">
            <v>0</v>
          </cell>
          <cell r="P58">
            <v>7188.48</v>
          </cell>
          <cell r="Q58">
            <v>0</v>
          </cell>
          <cell r="R58">
            <v>1347.84</v>
          </cell>
          <cell r="S58">
            <v>2665</v>
          </cell>
          <cell r="T58"/>
          <cell r="U58"/>
          <cell r="V58">
            <v>12</v>
          </cell>
          <cell r="W58">
            <v>2665</v>
          </cell>
        </row>
        <row r="59">
          <cell r="A59" t="str">
            <v>4.2.13.3</v>
          </cell>
          <cell r="B59" t="str">
            <v>TRM15.2</v>
          </cell>
          <cell r="C59" t="str">
            <v>V5</v>
          </cell>
          <cell r="D59" t="str">
            <v>CI-FSE-IROV-V01-120601</v>
          </cell>
          <cell r="E59" t="str">
            <v>Infrared Rotisserie Oven Upstream</v>
          </cell>
          <cell r="F59" t="str">
            <v>Infrared Rotisserie Oven Upstream</v>
          </cell>
          <cell r="G59" t="str">
            <v>Food service</v>
          </cell>
          <cell r="H59" t="str">
            <v>Commercial</v>
          </cell>
          <cell r="I59" t="str">
            <v>Unit</v>
          </cell>
          <cell r="J59">
            <v>0</v>
          </cell>
          <cell r="K59">
            <v>0</v>
          </cell>
          <cell r="L59">
            <v>599.04</v>
          </cell>
          <cell r="M59">
            <v>0</v>
          </cell>
          <cell r="N59">
            <v>0</v>
          </cell>
          <cell r="O59">
            <v>0</v>
          </cell>
          <cell r="P59">
            <v>7188.48</v>
          </cell>
          <cell r="Q59">
            <v>0</v>
          </cell>
          <cell r="R59">
            <v>1347.84</v>
          </cell>
          <cell r="S59">
            <v>2665</v>
          </cell>
          <cell r="T59"/>
          <cell r="U59"/>
          <cell r="V59">
            <v>12</v>
          </cell>
          <cell r="W59">
            <v>2665</v>
          </cell>
        </row>
        <row r="60">
          <cell r="A60" t="str">
            <v>4.2.13</v>
          </cell>
          <cell r="B60" t="str">
            <v>TRM15.2</v>
          </cell>
          <cell r="C60" t="str">
            <v>V5</v>
          </cell>
          <cell r="D60" t="str">
            <v>CI-FSE-IROV-V01-120601</v>
          </cell>
          <cell r="E60" t="str">
            <v>Infrared Rotisserie Oven EREP</v>
          </cell>
          <cell r="F60" t="str">
            <v>Infrared Rotisserie Oven EREP</v>
          </cell>
          <cell r="G60" t="str">
            <v>Food service</v>
          </cell>
          <cell r="H60" t="str">
            <v>Commercial</v>
          </cell>
          <cell r="I60" t="str">
            <v>Unit</v>
          </cell>
          <cell r="J60">
            <v>0</v>
          </cell>
          <cell r="K60">
            <v>0</v>
          </cell>
          <cell r="L60">
            <v>599.04</v>
          </cell>
          <cell r="M60">
            <v>0</v>
          </cell>
          <cell r="N60">
            <v>0</v>
          </cell>
          <cell r="O60">
            <v>0</v>
          </cell>
          <cell r="P60">
            <v>7188.48</v>
          </cell>
          <cell r="Q60">
            <v>0</v>
          </cell>
          <cell r="R60"/>
          <cell r="S60"/>
          <cell r="T60"/>
          <cell r="U60"/>
          <cell r="V60">
            <v>12</v>
          </cell>
          <cell r="W60">
            <v>2665</v>
          </cell>
        </row>
        <row r="61">
          <cell r="A61"/>
          <cell r="B61"/>
          <cell r="C61"/>
          <cell r="D61"/>
          <cell r="E61"/>
          <cell r="F61"/>
          <cell r="G61"/>
          <cell r="H61"/>
          <cell r="I61"/>
          <cell r="J61"/>
          <cell r="K61"/>
          <cell r="L61"/>
          <cell r="M61"/>
          <cell r="N61"/>
          <cell r="O61"/>
          <cell r="P61"/>
          <cell r="Q61"/>
          <cell r="R61"/>
          <cell r="S61"/>
          <cell r="T61"/>
          <cell r="U61"/>
          <cell r="V61"/>
          <cell r="W61"/>
        </row>
        <row r="62">
          <cell r="A62" t="str">
            <v>4.2.14.b</v>
          </cell>
          <cell r="B62" t="str">
            <v>TRM16.1</v>
          </cell>
          <cell r="C62" t="str">
            <v>V5</v>
          </cell>
          <cell r="D62" t="str">
            <v>CI-FSE-IRBL-V01-120601</v>
          </cell>
          <cell r="E62" t="str">
            <v>Baseline Infrared Salamander Broiler</v>
          </cell>
          <cell r="F62" t="str">
            <v>Baseline Infrared Salamander Broiler</v>
          </cell>
          <cell r="G62" t="str">
            <v>Food service</v>
          </cell>
          <cell r="H62" t="str">
            <v>Commercial</v>
          </cell>
          <cell r="I62" t="str">
            <v>Unit</v>
          </cell>
          <cell r="J62">
            <v>0</v>
          </cell>
          <cell r="K62">
            <v>0</v>
          </cell>
          <cell r="L62">
            <v>0</v>
          </cell>
          <cell r="M62">
            <v>0</v>
          </cell>
          <cell r="N62">
            <v>0</v>
          </cell>
          <cell r="O62">
            <v>0</v>
          </cell>
          <cell r="P62">
            <v>0</v>
          </cell>
          <cell r="Q62">
            <v>0</v>
          </cell>
          <cell r="R62">
            <v>672.67200000000003</v>
          </cell>
          <cell r="S62">
            <v>1000</v>
          </cell>
          <cell r="T62"/>
          <cell r="U62"/>
          <cell r="V62">
            <v>12</v>
          </cell>
          <cell r="W62">
            <v>1000</v>
          </cell>
        </row>
        <row r="63">
          <cell r="A63" t="str">
            <v>4.2.14</v>
          </cell>
          <cell r="B63" t="str">
            <v>TRM16.1</v>
          </cell>
          <cell r="C63" t="str">
            <v>V5</v>
          </cell>
          <cell r="D63" t="str">
            <v>CI-FSE-IRBL-V01-120601</v>
          </cell>
          <cell r="E63" t="str">
            <v>Infrared Salamander Broiler</v>
          </cell>
          <cell r="F63" t="str">
            <v>Infrared Salamander Broiler</v>
          </cell>
          <cell r="G63" t="str">
            <v>Food service</v>
          </cell>
          <cell r="H63" t="str">
            <v>Commercial</v>
          </cell>
          <cell r="I63" t="str">
            <v>Unit</v>
          </cell>
          <cell r="J63">
            <v>0</v>
          </cell>
          <cell r="K63">
            <v>0</v>
          </cell>
          <cell r="L63">
            <v>240.23999999999995</v>
          </cell>
          <cell r="M63">
            <v>0</v>
          </cell>
          <cell r="N63">
            <v>0</v>
          </cell>
          <cell r="O63">
            <v>0</v>
          </cell>
          <cell r="P63">
            <v>2882.8799999999992</v>
          </cell>
          <cell r="Q63">
            <v>0</v>
          </cell>
          <cell r="R63">
            <v>672.67200000000003</v>
          </cell>
          <cell r="S63">
            <v>1000</v>
          </cell>
          <cell r="T63"/>
          <cell r="U63"/>
          <cell r="V63">
            <v>12</v>
          </cell>
          <cell r="W63">
            <v>1000</v>
          </cell>
        </row>
        <row r="64">
          <cell r="A64" t="str">
            <v>4.2.14.3</v>
          </cell>
          <cell r="B64" t="str">
            <v>TRM16.2</v>
          </cell>
          <cell r="C64" t="str">
            <v>V5</v>
          </cell>
          <cell r="D64" t="str">
            <v>CI-FSE-IRBL-V01-120601</v>
          </cell>
          <cell r="E64" t="str">
            <v>Infrared Salamander Broiler Upstream</v>
          </cell>
          <cell r="F64" t="str">
            <v>Infrared Salamander Broiler Upstream</v>
          </cell>
          <cell r="G64" t="str">
            <v>Food service</v>
          </cell>
          <cell r="H64" t="str">
            <v>Commercial</v>
          </cell>
          <cell r="I64" t="str">
            <v>Unit</v>
          </cell>
          <cell r="J64">
            <v>0</v>
          </cell>
          <cell r="K64">
            <v>0</v>
          </cell>
          <cell r="L64">
            <v>240.23999999999995</v>
          </cell>
          <cell r="M64">
            <v>0</v>
          </cell>
          <cell r="N64">
            <v>0</v>
          </cell>
          <cell r="O64">
            <v>0</v>
          </cell>
          <cell r="P64">
            <v>2882.8799999999992</v>
          </cell>
          <cell r="Q64">
            <v>0</v>
          </cell>
          <cell r="R64">
            <v>672.67200000000003</v>
          </cell>
          <cell r="S64">
            <v>1000</v>
          </cell>
          <cell r="T64"/>
          <cell r="U64"/>
          <cell r="V64">
            <v>12</v>
          </cell>
          <cell r="W64">
            <v>1000</v>
          </cell>
        </row>
        <row r="65">
          <cell r="A65" t="str">
            <v>4.2.14</v>
          </cell>
          <cell r="B65" t="str">
            <v>TRM16.2</v>
          </cell>
          <cell r="C65" t="str">
            <v>V5</v>
          </cell>
          <cell r="D65" t="str">
            <v>CI-FSE-IRBL-V01-120601</v>
          </cell>
          <cell r="E65" t="str">
            <v>Infrared Salamander Broiler EREP</v>
          </cell>
          <cell r="F65" t="str">
            <v>Infrared Salamander Broiler EREP</v>
          </cell>
          <cell r="G65" t="str">
            <v>Food service</v>
          </cell>
          <cell r="H65" t="str">
            <v>Commercial</v>
          </cell>
          <cell r="I65" t="str">
            <v>Unit</v>
          </cell>
          <cell r="J65">
            <v>0</v>
          </cell>
          <cell r="K65">
            <v>0</v>
          </cell>
          <cell r="L65">
            <v>240.23999999999995</v>
          </cell>
          <cell r="M65">
            <v>0</v>
          </cell>
          <cell r="N65">
            <v>0</v>
          </cell>
          <cell r="O65">
            <v>0</v>
          </cell>
          <cell r="P65">
            <v>2882.8799999999992</v>
          </cell>
          <cell r="Q65">
            <v>0</v>
          </cell>
          <cell r="R65"/>
          <cell r="S65"/>
          <cell r="T65"/>
          <cell r="U65"/>
          <cell r="V65">
            <v>12</v>
          </cell>
          <cell r="W65">
            <v>1000</v>
          </cell>
        </row>
        <row r="66">
          <cell r="A66"/>
          <cell r="B66"/>
          <cell r="C66"/>
          <cell r="D66"/>
          <cell r="E66"/>
          <cell r="F66"/>
          <cell r="G66"/>
          <cell r="H66"/>
          <cell r="I66"/>
          <cell r="J66"/>
          <cell r="K66"/>
          <cell r="L66"/>
          <cell r="M66"/>
          <cell r="N66"/>
          <cell r="O66"/>
          <cell r="P66"/>
          <cell r="Q66"/>
          <cell r="R66"/>
          <cell r="S66"/>
          <cell r="T66"/>
          <cell r="U66"/>
          <cell r="V66"/>
          <cell r="W66"/>
        </row>
        <row r="67">
          <cell r="A67" t="str">
            <v>4.2.15.b</v>
          </cell>
          <cell r="B67" t="str">
            <v>TRM17.1</v>
          </cell>
          <cell r="C67" t="str">
            <v>V5</v>
          </cell>
          <cell r="D67" t="str">
            <v>CI-FSE-IRUB-V01-120601</v>
          </cell>
          <cell r="E67" t="str">
            <v>Baseline Infrared Upright Broiler</v>
          </cell>
          <cell r="F67" t="str">
            <v>Baseline Infrared Upright Broiler</v>
          </cell>
          <cell r="G67" t="str">
            <v>Food service</v>
          </cell>
          <cell r="H67" t="str">
            <v>Commercial</v>
          </cell>
          <cell r="I67" t="str">
            <v>Unit</v>
          </cell>
          <cell r="J67">
            <v>0</v>
          </cell>
          <cell r="K67">
            <v>0</v>
          </cell>
          <cell r="L67">
            <v>0</v>
          </cell>
          <cell r="M67">
            <v>0</v>
          </cell>
          <cell r="N67">
            <v>0</v>
          </cell>
          <cell r="O67">
            <v>0</v>
          </cell>
          <cell r="P67">
            <v>0</v>
          </cell>
          <cell r="Q67">
            <v>0</v>
          </cell>
          <cell r="R67">
            <v>2515.9679999999998</v>
          </cell>
          <cell r="S67">
            <v>4400</v>
          </cell>
          <cell r="T67"/>
          <cell r="U67"/>
          <cell r="V67">
            <v>12</v>
          </cell>
          <cell r="W67">
            <v>4400</v>
          </cell>
        </row>
        <row r="68">
          <cell r="A68" t="str">
            <v>4.2.15</v>
          </cell>
          <cell r="B68" t="str">
            <v>TRM17.1</v>
          </cell>
          <cell r="C68" t="str">
            <v>V5</v>
          </cell>
          <cell r="D68" t="str">
            <v>CI-FSE-IRUB-V01-120601</v>
          </cell>
          <cell r="E68" t="str">
            <v>Infrared Upright Broiler</v>
          </cell>
          <cell r="F68" t="str">
            <v>Infrared Upright Broiler</v>
          </cell>
          <cell r="G68" t="str">
            <v>Food service</v>
          </cell>
          <cell r="H68" t="str">
            <v>Commercial</v>
          </cell>
          <cell r="I68" t="str">
            <v>Unit</v>
          </cell>
          <cell r="J68">
            <v>0</v>
          </cell>
          <cell r="K68">
            <v>0</v>
          </cell>
          <cell r="L68">
            <v>943.48799999999983</v>
          </cell>
          <cell r="M68">
            <v>0</v>
          </cell>
          <cell r="N68">
            <v>0</v>
          </cell>
          <cell r="O68">
            <v>0</v>
          </cell>
          <cell r="P68">
            <v>11321.855999999998</v>
          </cell>
          <cell r="Q68">
            <v>0</v>
          </cell>
          <cell r="R68">
            <v>2515.9679999999998</v>
          </cell>
          <cell r="S68">
            <v>4400</v>
          </cell>
          <cell r="T68"/>
          <cell r="U68"/>
          <cell r="V68">
            <v>12</v>
          </cell>
          <cell r="W68">
            <v>4400</v>
          </cell>
        </row>
        <row r="69">
          <cell r="A69" t="str">
            <v>4.2.15.3</v>
          </cell>
          <cell r="B69" t="str">
            <v>TRM17.2</v>
          </cell>
          <cell r="C69" t="str">
            <v>V5</v>
          </cell>
          <cell r="D69" t="str">
            <v>CI-FSE-IRUB-V01-120601</v>
          </cell>
          <cell r="E69" t="str">
            <v>Infrared Upright Broiler Upstream</v>
          </cell>
          <cell r="F69" t="str">
            <v>Infrared Upright Broiler Upstream</v>
          </cell>
          <cell r="G69" t="str">
            <v>Food service</v>
          </cell>
          <cell r="H69" t="str">
            <v>Commercial</v>
          </cell>
          <cell r="I69" t="str">
            <v>Unit</v>
          </cell>
          <cell r="J69">
            <v>0</v>
          </cell>
          <cell r="K69">
            <v>0</v>
          </cell>
          <cell r="L69">
            <v>943.48799999999983</v>
          </cell>
          <cell r="M69">
            <v>0</v>
          </cell>
          <cell r="N69">
            <v>0</v>
          </cell>
          <cell r="O69">
            <v>0</v>
          </cell>
          <cell r="P69">
            <v>11321.855999999998</v>
          </cell>
          <cell r="Q69">
            <v>0</v>
          </cell>
          <cell r="R69">
            <v>2515.9679999999998</v>
          </cell>
          <cell r="S69">
            <v>4400</v>
          </cell>
          <cell r="T69"/>
          <cell r="U69"/>
          <cell r="V69">
            <v>12</v>
          </cell>
          <cell r="W69">
            <v>4400</v>
          </cell>
        </row>
        <row r="70">
          <cell r="A70" t="str">
            <v>4.2.15.EREP</v>
          </cell>
          <cell r="B70" t="str">
            <v>TRM17.2</v>
          </cell>
          <cell r="C70" t="str">
            <v>V5</v>
          </cell>
          <cell r="D70" t="str">
            <v>CI-FSE-IRUB-V01-120601</v>
          </cell>
          <cell r="E70" t="str">
            <v>Infrared Upright Broiler EREP</v>
          </cell>
          <cell r="F70" t="str">
            <v>Infrared Upright Broiler EREP</v>
          </cell>
          <cell r="G70" t="str">
            <v>Food service</v>
          </cell>
          <cell r="H70" t="str">
            <v>Commercial</v>
          </cell>
          <cell r="I70" t="str">
            <v>Unit</v>
          </cell>
          <cell r="J70">
            <v>0</v>
          </cell>
          <cell r="K70">
            <v>0</v>
          </cell>
          <cell r="L70">
            <v>943.48799999999983</v>
          </cell>
          <cell r="M70">
            <v>0</v>
          </cell>
          <cell r="N70">
            <v>0</v>
          </cell>
          <cell r="O70">
            <v>0</v>
          </cell>
          <cell r="P70">
            <v>11321.855999999998</v>
          </cell>
          <cell r="Q70">
            <v>0</v>
          </cell>
          <cell r="R70"/>
          <cell r="S70"/>
          <cell r="T70"/>
          <cell r="U70"/>
          <cell r="V70">
            <v>12</v>
          </cell>
          <cell r="W70">
            <v>4400</v>
          </cell>
        </row>
        <row r="71">
          <cell r="A71"/>
          <cell r="B71"/>
          <cell r="C71"/>
          <cell r="D71"/>
          <cell r="E71"/>
          <cell r="F71"/>
          <cell r="G71"/>
          <cell r="H71"/>
          <cell r="I71"/>
          <cell r="J71"/>
          <cell r="K71"/>
          <cell r="L71"/>
          <cell r="M71"/>
          <cell r="N71"/>
          <cell r="O71"/>
          <cell r="P71"/>
          <cell r="Q71"/>
          <cell r="R71"/>
          <cell r="S71"/>
          <cell r="T71"/>
          <cell r="U71"/>
          <cell r="V71"/>
          <cell r="W71"/>
        </row>
        <row r="72">
          <cell r="A72" t="str">
            <v>4.2.16</v>
          </cell>
          <cell r="B72" t="str">
            <v>TRM18</v>
          </cell>
          <cell r="C72" t="str">
            <v>V5</v>
          </cell>
          <cell r="D72" t="str">
            <v>CI-FSE-VENT-V01-120601</v>
          </cell>
          <cell r="E72" t="str">
            <v>Kitchen Demand Ventilation Controls</v>
          </cell>
          <cell r="F72" t="str">
            <v>Kitchen Demand Ventilation Controls</v>
          </cell>
          <cell r="G72" t="str">
            <v>Controls</v>
          </cell>
          <cell r="H72" t="str">
            <v>Commercial</v>
          </cell>
          <cell r="I72" t="str">
            <v>Project</v>
          </cell>
          <cell r="J72">
            <v>4966</v>
          </cell>
          <cell r="K72">
            <v>0.68</v>
          </cell>
          <cell r="L72">
            <v>5998.5</v>
          </cell>
          <cell r="M72">
            <v>0</v>
          </cell>
          <cell r="N72">
            <v>74490</v>
          </cell>
          <cell r="O72">
            <v>0.68</v>
          </cell>
          <cell r="P72">
            <v>89977.5</v>
          </cell>
          <cell r="Q72">
            <v>0</v>
          </cell>
          <cell r="R72"/>
          <cell r="S72"/>
          <cell r="T72"/>
          <cell r="U72"/>
          <cell r="V72">
            <v>15</v>
          </cell>
          <cell r="W72">
            <v>1000</v>
          </cell>
        </row>
        <row r="73">
          <cell r="A73"/>
          <cell r="B73"/>
          <cell r="C73"/>
          <cell r="D73"/>
          <cell r="E73"/>
          <cell r="F73"/>
          <cell r="G73"/>
          <cell r="H73"/>
          <cell r="I73"/>
          <cell r="J73"/>
          <cell r="K73"/>
          <cell r="L73"/>
          <cell r="M73"/>
          <cell r="N73"/>
          <cell r="O73"/>
          <cell r="P73"/>
          <cell r="Q73"/>
          <cell r="R73"/>
          <cell r="S73"/>
          <cell r="T73"/>
          <cell r="U73"/>
          <cell r="V73"/>
          <cell r="W73"/>
        </row>
        <row r="74">
          <cell r="A74" t="str">
            <v>4.2.17.B</v>
          </cell>
          <cell r="B74" t="str">
            <v>TRM19.1</v>
          </cell>
          <cell r="C74" t="str">
            <v>V5</v>
          </cell>
          <cell r="D74" t="str">
            <v>CI-FSE-PCOK-V01-120601</v>
          </cell>
          <cell r="E74" t="str">
            <v>Baseline Pasta Cooker</v>
          </cell>
          <cell r="F74" t="str">
            <v>Baseline Pasta Cooker</v>
          </cell>
          <cell r="G74" t="str">
            <v>Food service</v>
          </cell>
          <cell r="H74" t="str">
            <v>Commercial</v>
          </cell>
          <cell r="I74" t="str">
            <v>Unit</v>
          </cell>
          <cell r="J74">
            <v>0</v>
          </cell>
          <cell r="K74">
            <v>0</v>
          </cell>
          <cell r="L74">
            <v>0</v>
          </cell>
          <cell r="M74">
            <v>0</v>
          </cell>
          <cell r="N74">
            <v>0</v>
          </cell>
          <cell r="O74">
            <v>0</v>
          </cell>
          <cell r="P74">
            <v>0</v>
          </cell>
          <cell r="Q74">
            <v>0</v>
          </cell>
          <cell r="R74">
            <v>2988.8999999999996</v>
          </cell>
          <cell r="S74">
            <v>2400</v>
          </cell>
          <cell r="T74"/>
          <cell r="U74"/>
          <cell r="V74">
            <v>12</v>
          </cell>
          <cell r="W74">
            <v>2400</v>
          </cell>
        </row>
        <row r="75">
          <cell r="A75" t="str">
            <v>4.2.17</v>
          </cell>
          <cell r="B75" t="str">
            <v>TRM19.1</v>
          </cell>
          <cell r="C75" t="str">
            <v>V5</v>
          </cell>
          <cell r="D75" t="str">
            <v>CI-FSE-PCOK-V01-120601</v>
          </cell>
          <cell r="E75" t="str">
            <v>Pasta Cooker</v>
          </cell>
          <cell r="F75" t="str">
            <v>Pasta Cooker</v>
          </cell>
          <cell r="G75" t="str">
            <v>Food service</v>
          </cell>
          <cell r="H75" t="str">
            <v>Commercial</v>
          </cell>
          <cell r="I75" t="str">
            <v>Unit</v>
          </cell>
          <cell r="J75">
            <v>0</v>
          </cell>
          <cell r="K75">
            <v>0</v>
          </cell>
          <cell r="L75">
            <v>1380</v>
          </cell>
          <cell r="M75">
            <v>0</v>
          </cell>
          <cell r="N75">
            <v>0</v>
          </cell>
          <cell r="O75">
            <v>0</v>
          </cell>
          <cell r="P75">
            <v>16560</v>
          </cell>
          <cell r="Q75">
            <v>0</v>
          </cell>
          <cell r="R75">
            <v>2988.8999999999996</v>
          </cell>
          <cell r="S75">
            <v>2400</v>
          </cell>
          <cell r="T75"/>
          <cell r="U75"/>
          <cell r="V75">
            <v>12</v>
          </cell>
          <cell r="W75">
            <v>2400</v>
          </cell>
        </row>
        <row r="76">
          <cell r="A76" t="str">
            <v>4.2.17.3</v>
          </cell>
          <cell r="B76" t="str">
            <v>TRM19.2</v>
          </cell>
          <cell r="C76" t="str">
            <v>V5</v>
          </cell>
          <cell r="D76" t="str">
            <v>CI-FSE-PCOK-V01-120601</v>
          </cell>
          <cell r="E76" t="str">
            <v>Pasta Cooker Upstream</v>
          </cell>
          <cell r="F76" t="str">
            <v>Pasta Cooker Upstream</v>
          </cell>
          <cell r="G76" t="str">
            <v>Food service</v>
          </cell>
          <cell r="H76" t="str">
            <v>Commercial</v>
          </cell>
          <cell r="I76" t="str">
            <v>Unit</v>
          </cell>
          <cell r="J76">
            <v>0</v>
          </cell>
          <cell r="K76">
            <v>0</v>
          </cell>
          <cell r="L76">
            <v>1380</v>
          </cell>
          <cell r="M76">
            <v>0</v>
          </cell>
          <cell r="N76">
            <v>0</v>
          </cell>
          <cell r="O76">
            <v>0</v>
          </cell>
          <cell r="P76">
            <v>16560</v>
          </cell>
          <cell r="Q76">
            <v>0</v>
          </cell>
          <cell r="R76">
            <v>2988.8999999999996</v>
          </cell>
          <cell r="S76">
            <v>2400</v>
          </cell>
          <cell r="T76"/>
          <cell r="U76"/>
          <cell r="V76">
            <v>12</v>
          </cell>
          <cell r="W76">
            <v>2400</v>
          </cell>
        </row>
        <row r="77">
          <cell r="A77" t="str">
            <v>4.2.17.EREP</v>
          </cell>
          <cell r="B77" t="str">
            <v>TRM19.2</v>
          </cell>
          <cell r="C77" t="str">
            <v>V5</v>
          </cell>
          <cell r="D77" t="str">
            <v>CI-FSE-PCOK-V01-120601</v>
          </cell>
          <cell r="E77" t="str">
            <v>Pasta Cooker EREP</v>
          </cell>
          <cell r="F77" t="str">
            <v>Pasta Cooker EREP</v>
          </cell>
          <cell r="G77" t="str">
            <v>Food service</v>
          </cell>
          <cell r="H77" t="str">
            <v>Commercial</v>
          </cell>
          <cell r="I77" t="str">
            <v>Unit</v>
          </cell>
          <cell r="J77">
            <v>0</v>
          </cell>
          <cell r="K77">
            <v>0</v>
          </cell>
          <cell r="L77">
            <v>1380</v>
          </cell>
          <cell r="M77">
            <v>0</v>
          </cell>
          <cell r="N77">
            <v>0</v>
          </cell>
          <cell r="O77">
            <v>0</v>
          </cell>
          <cell r="P77">
            <v>16560</v>
          </cell>
          <cell r="Q77">
            <v>0</v>
          </cell>
          <cell r="R77"/>
          <cell r="S77"/>
          <cell r="T77"/>
          <cell r="U77"/>
          <cell r="V77">
            <v>12</v>
          </cell>
          <cell r="W77">
            <v>2400</v>
          </cell>
        </row>
        <row r="78">
          <cell r="A78"/>
          <cell r="B78"/>
          <cell r="C78"/>
          <cell r="D78"/>
          <cell r="E78"/>
          <cell r="F78"/>
          <cell r="G78"/>
          <cell r="H78"/>
          <cell r="I78"/>
          <cell r="J78"/>
          <cell r="K78"/>
          <cell r="L78"/>
          <cell r="M78"/>
          <cell r="N78"/>
          <cell r="O78"/>
          <cell r="P78"/>
          <cell r="Q78"/>
          <cell r="R78"/>
          <cell r="S78"/>
          <cell r="T78"/>
          <cell r="U78"/>
          <cell r="V78"/>
          <cell r="W78"/>
        </row>
        <row r="79">
          <cell r="A79" t="str">
            <v>4.2.18.B</v>
          </cell>
          <cell r="B79" t="str">
            <v>TRM20.1</v>
          </cell>
          <cell r="C79" t="str">
            <v>V5</v>
          </cell>
          <cell r="D79" t="str">
            <v>CI-FSE-RKOV-V01-120601</v>
          </cell>
          <cell r="E79" t="str">
            <v>Baseline Rack Oven - Double Oven Rack Oven - Double</v>
          </cell>
          <cell r="F79" t="str">
            <v>Baseline Rack Oven - Double</v>
          </cell>
          <cell r="G79" t="str">
            <v>Food service</v>
          </cell>
          <cell r="H79" t="str">
            <v>Commercial</v>
          </cell>
          <cell r="I79" t="str">
            <v>Unit</v>
          </cell>
          <cell r="J79">
            <v>0</v>
          </cell>
          <cell r="K79">
            <v>0</v>
          </cell>
          <cell r="L79">
            <v>0</v>
          </cell>
          <cell r="M79">
            <v>0</v>
          </cell>
          <cell r="N79">
            <v>0</v>
          </cell>
          <cell r="O79">
            <v>0</v>
          </cell>
          <cell r="P79">
            <v>0</v>
          </cell>
          <cell r="Q79">
            <v>0</v>
          </cell>
          <cell r="R79">
            <v>5425</v>
          </cell>
          <cell r="S79">
            <v>3000</v>
          </cell>
          <cell r="T79"/>
          <cell r="U79"/>
          <cell r="V79">
            <v>12</v>
          </cell>
          <cell r="W79">
            <v>3000</v>
          </cell>
        </row>
        <row r="80">
          <cell r="A80" t="str">
            <v>4.2.18</v>
          </cell>
          <cell r="B80" t="str">
            <v>TRM20.1</v>
          </cell>
          <cell r="C80" t="str">
            <v>V5</v>
          </cell>
          <cell r="D80" t="str">
            <v>CI-FSE-RKOV-V01-120601</v>
          </cell>
          <cell r="E80" t="str">
            <v>Rack Oven - Double Oven Rack Oven - Double</v>
          </cell>
          <cell r="F80" t="str">
            <v>Rack Oven - Double</v>
          </cell>
          <cell r="G80" t="str">
            <v>Food service</v>
          </cell>
          <cell r="H80" t="str">
            <v>Commercial</v>
          </cell>
          <cell r="I80" t="str">
            <v>Unit</v>
          </cell>
          <cell r="J80">
            <v>0</v>
          </cell>
          <cell r="K80">
            <v>0</v>
          </cell>
          <cell r="L80">
            <v>1930.5000000000007</v>
          </cell>
          <cell r="M80">
            <v>0</v>
          </cell>
          <cell r="N80">
            <v>0</v>
          </cell>
          <cell r="O80">
            <v>0</v>
          </cell>
          <cell r="P80">
            <v>23166.000000000007</v>
          </cell>
          <cell r="Q80">
            <v>0</v>
          </cell>
          <cell r="R80">
            <v>5425</v>
          </cell>
          <cell r="S80">
            <v>3000</v>
          </cell>
          <cell r="T80"/>
          <cell r="U80"/>
          <cell r="V80">
            <v>12</v>
          </cell>
          <cell r="W80">
            <v>3000</v>
          </cell>
        </row>
        <row r="81">
          <cell r="A81" t="str">
            <v>4.2.18.3</v>
          </cell>
          <cell r="B81" t="str">
            <v>TRM20.2</v>
          </cell>
          <cell r="C81" t="str">
            <v>V5</v>
          </cell>
          <cell r="D81" t="str">
            <v>CI-FSE-RKOV-V01-120601</v>
          </cell>
          <cell r="E81" t="str">
            <v>Rack Oven - Double Oven Rack Oven - Double Upstream</v>
          </cell>
          <cell r="F81" t="str">
            <v>Rack Oven - Double Upstream</v>
          </cell>
          <cell r="G81" t="str">
            <v>Food service</v>
          </cell>
          <cell r="H81" t="str">
            <v>Commercial</v>
          </cell>
          <cell r="I81" t="str">
            <v>Unit</v>
          </cell>
          <cell r="J81">
            <v>0</v>
          </cell>
          <cell r="K81">
            <v>0</v>
          </cell>
          <cell r="L81">
            <v>1930.5000000000007</v>
          </cell>
          <cell r="M81">
            <v>0</v>
          </cell>
          <cell r="N81">
            <v>0</v>
          </cell>
          <cell r="O81">
            <v>0</v>
          </cell>
          <cell r="P81">
            <v>23166.000000000007</v>
          </cell>
          <cell r="Q81">
            <v>0</v>
          </cell>
          <cell r="R81">
            <v>5425</v>
          </cell>
          <cell r="S81">
            <v>3000</v>
          </cell>
          <cell r="T81"/>
          <cell r="U81"/>
          <cell r="V81">
            <v>12</v>
          </cell>
          <cell r="W81">
            <v>3000</v>
          </cell>
        </row>
        <row r="82">
          <cell r="A82" t="str">
            <v>4.2.18.4</v>
          </cell>
          <cell r="B82" t="str">
            <v>TRM20.2</v>
          </cell>
          <cell r="C82" t="str">
            <v>V5</v>
          </cell>
          <cell r="D82" t="str">
            <v>CI-FSE-RKOV-V01-120601</v>
          </cell>
          <cell r="E82" t="str">
            <v>Rack Oven - Double Oven Rack Oven - Double EREP</v>
          </cell>
          <cell r="F82" t="str">
            <v>Rack Oven - Double EREP</v>
          </cell>
          <cell r="G82" t="str">
            <v>Food service</v>
          </cell>
          <cell r="H82" t="str">
            <v>Commercial</v>
          </cell>
          <cell r="I82" t="str">
            <v>Unit</v>
          </cell>
          <cell r="J82">
            <v>0</v>
          </cell>
          <cell r="K82">
            <v>0</v>
          </cell>
          <cell r="L82">
            <v>1930.5000000000007</v>
          </cell>
          <cell r="M82">
            <v>0</v>
          </cell>
          <cell r="N82">
            <v>0</v>
          </cell>
          <cell r="O82">
            <v>0</v>
          </cell>
          <cell r="P82">
            <v>23166.000000000007</v>
          </cell>
          <cell r="Q82">
            <v>0</v>
          </cell>
          <cell r="R82"/>
          <cell r="S82"/>
          <cell r="T82"/>
          <cell r="U82"/>
          <cell r="V82">
            <v>12</v>
          </cell>
          <cell r="W82">
            <v>3000</v>
          </cell>
        </row>
        <row r="83">
          <cell r="A83"/>
          <cell r="B83"/>
          <cell r="C83"/>
          <cell r="D83"/>
          <cell r="E83"/>
          <cell r="F83"/>
          <cell r="G83"/>
          <cell r="H83"/>
          <cell r="I83"/>
          <cell r="J83"/>
          <cell r="K83"/>
          <cell r="L83"/>
          <cell r="M83"/>
          <cell r="N83"/>
          <cell r="O83"/>
          <cell r="P83"/>
          <cell r="Q83"/>
          <cell r="R83"/>
          <cell r="S83"/>
          <cell r="T83"/>
          <cell r="U83"/>
          <cell r="V83"/>
          <cell r="W83"/>
        </row>
        <row r="84">
          <cell r="A84" t="str">
            <v>4.3.1.7</v>
          </cell>
          <cell r="B84" t="str">
            <v>TRM21.1</v>
          </cell>
          <cell r="C84" t="str">
            <v>V5</v>
          </cell>
          <cell r="D84" t="str">
            <v>CI-HW_-STWH-V01-120601</v>
          </cell>
          <cell r="E84" t="str">
            <v>Baseline Storage Water Heater - Gas, Standard, ≥0.67 EF, Bld Type = Average</v>
          </cell>
          <cell r="F84" t="str">
            <v>Baseline Storage Water Heater, &gt;0.67 EF</v>
          </cell>
          <cell r="G84" t="str">
            <v>Water heater</v>
          </cell>
          <cell r="H84" t="str">
            <v>Commercial</v>
          </cell>
          <cell r="I84" t="str">
            <v>Unit</v>
          </cell>
          <cell r="J84">
            <v>0</v>
          </cell>
          <cell r="K84">
            <v>0</v>
          </cell>
          <cell r="L84">
            <v>0</v>
          </cell>
          <cell r="M84">
            <v>0</v>
          </cell>
          <cell r="N84">
            <v>0</v>
          </cell>
          <cell r="O84">
            <v>0</v>
          </cell>
          <cell r="P84">
            <v>0</v>
          </cell>
          <cell r="Q84">
            <v>0</v>
          </cell>
          <cell r="R84">
            <v>284.27364583333338</v>
          </cell>
          <cell r="S84">
            <v>0</v>
          </cell>
          <cell r="T84"/>
          <cell r="U84"/>
          <cell r="V84">
            <v>15</v>
          </cell>
          <cell r="W84">
            <v>0</v>
          </cell>
        </row>
        <row r="85">
          <cell r="A85" t="str">
            <v>4.3.1.8</v>
          </cell>
          <cell r="B85" t="str">
            <v>TRM21.1</v>
          </cell>
          <cell r="C85" t="str">
            <v>V5</v>
          </cell>
          <cell r="D85" t="str">
            <v>CI-HW_-STWH-V01-120601</v>
          </cell>
          <cell r="E85" t="str">
            <v>Baseline Storage Water Heater - Gas, Standard, ≥0.67 EF, Bld Type = Average</v>
          </cell>
          <cell r="F85" t="str">
            <v>Baseline Storage Water Heater, &gt;0.67 EF, Sml Biz</v>
          </cell>
          <cell r="G85" t="str">
            <v>Water heater</v>
          </cell>
          <cell r="H85" t="str">
            <v>Commercial</v>
          </cell>
          <cell r="I85" t="str">
            <v>Unit</v>
          </cell>
          <cell r="J85">
            <v>0</v>
          </cell>
          <cell r="K85">
            <v>0</v>
          </cell>
          <cell r="L85">
            <v>0</v>
          </cell>
          <cell r="M85">
            <v>0</v>
          </cell>
          <cell r="N85">
            <v>0</v>
          </cell>
          <cell r="O85">
            <v>0</v>
          </cell>
          <cell r="P85">
            <v>0</v>
          </cell>
          <cell r="Q85">
            <v>0</v>
          </cell>
          <cell r="R85">
            <v>284.27364583333338</v>
          </cell>
          <cell r="S85">
            <v>0</v>
          </cell>
          <cell r="T85"/>
          <cell r="U85"/>
          <cell r="V85">
            <v>15</v>
          </cell>
          <cell r="W85">
            <v>0</v>
          </cell>
        </row>
        <row r="86">
          <cell r="A86" t="str">
            <v>4.3.1.9</v>
          </cell>
          <cell r="B86" t="str">
            <v>TRM21.1</v>
          </cell>
          <cell r="C86" t="str">
            <v>V5</v>
          </cell>
          <cell r="D86" t="str">
            <v>CI-HW_-STWH-V01-120601</v>
          </cell>
          <cell r="E86" t="str">
            <v>Baseline Storage Water Heater - Gas,High Efficiency, ≥88% TE, Bld Type = Average</v>
          </cell>
          <cell r="F86" t="str">
            <v>Baseline Storage Water Heater, &gt;88% TE</v>
          </cell>
          <cell r="G86" t="str">
            <v>Water heater</v>
          </cell>
          <cell r="H86" t="str">
            <v>Commercial</v>
          </cell>
          <cell r="I86" t="str">
            <v>Unit</v>
          </cell>
          <cell r="J86">
            <v>0</v>
          </cell>
          <cell r="K86">
            <v>0</v>
          </cell>
          <cell r="L86">
            <v>0</v>
          </cell>
          <cell r="M86">
            <v>0</v>
          </cell>
          <cell r="N86">
            <v>0</v>
          </cell>
          <cell r="O86">
            <v>0</v>
          </cell>
          <cell r="P86">
            <v>0</v>
          </cell>
          <cell r="Q86">
            <v>0</v>
          </cell>
          <cell r="R86">
            <v>426.41046875000006</v>
          </cell>
          <cell r="S86">
            <v>0</v>
          </cell>
          <cell r="T86"/>
          <cell r="U86"/>
          <cell r="V86">
            <v>15</v>
          </cell>
          <cell r="W86">
            <v>0</v>
          </cell>
        </row>
        <row r="87">
          <cell r="A87" t="str">
            <v>4.3.1.1</v>
          </cell>
          <cell r="B87" t="str">
            <v>TRM21.1</v>
          </cell>
          <cell r="C87" t="str">
            <v>V5</v>
          </cell>
          <cell r="D87" t="str">
            <v>CI-HW_-STWH-V01-120601</v>
          </cell>
          <cell r="E87" t="str">
            <v>Storage Water Heater - Gas, Standard, ≥0.67 EF, Bld Type = Average</v>
          </cell>
          <cell r="F87" t="str">
            <v>Storage Water Heater, &gt;0.67 EF</v>
          </cell>
          <cell r="G87" t="str">
            <v>Water heater</v>
          </cell>
          <cell r="H87" t="str">
            <v>Commercial</v>
          </cell>
          <cell r="I87" t="str">
            <v>Unit</v>
          </cell>
          <cell r="J87">
            <v>0</v>
          </cell>
          <cell r="K87">
            <v>0</v>
          </cell>
          <cell r="L87">
            <v>29.700231654228862</v>
          </cell>
          <cell r="M87">
            <v>0</v>
          </cell>
          <cell r="N87">
            <v>0</v>
          </cell>
          <cell r="O87">
            <v>0</v>
          </cell>
          <cell r="P87">
            <v>445.50347481343294</v>
          </cell>
          <cell r="Q87">
            <v>0</v>
          </cell>
          <cell r="R87">
            <v>284.27364583333338</v>
          </cell>
          <cell r="S87">
            <v>440</v>
          </cell>
          <cell r="T87"/>
          <cell r="U87"/>
          <cell r="V87">
            <v>15</v>
          </cell>
          <cell r="W87">
            <v>440</v>
          </cell>
        </row>
        <row r="88">
          <cell r="A88" t="str">
            <v>4.3.1.2</v>
          </cell>
          <cell r="B88" t="str">
            <v>TRM21.2</v>
          </cell>
          <cell r="C88" t="str">
            <v>V5</v>
          </cell>
          <cell r="D88" t="str">
            <v>CI-HW_-STWH-V01-120601</v>
          </cell>
          <cell r="E88" t="str">
            <v>Storage Water Heater - Gas, Standard, ≥0.67 EF, Bld Type = Average</v>
          </cell>
          <cell r="F88" t="str">
            <v>Storage Water Heater, &gt;0.67 EF, Sml Biz</v>
          </cell>
          <cell r="G88" t="str">
            <v>Water heater</v>
          </cell>
          <cell r="H88" t="str">
            <v>Commercial</v>
          </cell>
          <cell r="I88" t="str">
            <v>Unit</v>
          </cell>
          <cell r="J88">
            <v>0</v>
          </cell>
          <cell r="K88">
            <v>0</v>
          </cell>
          <cell r="L88">
            <v>29.700231654228862</v>
          </cell>
          <cell r="M88">
            <v>0</v>
          </cell>
          <cell r="N88">
            <v>0</v>
          </cell>
          <cell r="O88">
            <v>0</v>
          </cell>
          <cell r="P88">
            <v>445.50347481343294</v>
          </cell>
          <cell r="Q88">
            <v>0</v>
          </cell>
          <cell r="R88">
            <v>284.27364583333338</v>
          </cell>
          <cell r="S88">
            <v>440</v>
          </cell>
          <cell r="T88"/>
          <cell r="U88"/>
          <cell r="V88">
            <v>15</v>
          </cell>
          <cell r="W88">
            <v>440</v>
          </cell>
        </row>
        <row r="89">
          <cell r="A89" t="str">
            <v>4.3.1.3</v>
          </cell>
          <cell r="B89" t="str">
            <v>TRM21.3</v>
          </cell>
          <cell r="C89" t="str">
            <v>V5</v>
          </cell>
          <cell r="D89" t="str">
            <v>CI-HW_-STWH-V01-120602</v>
          </cell>
          <cell r="E89" t="str">
            <v>Storage Water Heater - Gas,High Efficiency, ≥88% TE, Bld Type = Average</v>
          </cell>
          <cell r="F89" t="str">
            <v>Storage Water Heater, &gt;88% TE</v>
          </cell>
          <cell r="G89" t="str">
            <v>Water heater</v>
          </cell>
          <cell r="H89" t="str">
            <v>Commercial</v>
          </cell>
          <cell r="I89" t="str">
            <v>Unit</v>
          </cell>
          <cell r="J89">
            <v>0</v>
          </cell>
          <cell r="K89">
            <v>0</v>
          </cell>
          <cell r="L89">
            <v>66.706213068181796</v>
          </cell>
          <cell r="M89">
            <v>0</v>
          </cell>
          <cell r="N89">
            <v>0</v>
          </cell>
          <cell r="O89">
            <v>0</v>
          </cell>
          <cell r="P89">
            <v>1000.5931960227269</v>
          </cell>
          <cell r="Q89">
            <v>0</v>
          </cell>
          <cell r="R89">
            <v>426.41046875000006</v>
          </cell>
          <cell r="S89">
            <v>879</v>
          </cell>
          <cell r="T89"/>
          <cell r="U89"/>
          <cell r="V89">
            <v>15</v>
          </cell>
          <cell r="W89">
            <v>879</v>
          </cell>
        </row>
        <row r="90">
          <cell r="A90" t="str">
            <v>4.3.1 7</v>
          </cell>
          <cell r="B90" t="str">
            <v>TRM21.4</v>
          </cell>
          <cell r="C90" t="str">
            <v>V5</v>
          </cell>
          <cell r="D90" t="str">
            <v>CI-HW_-STWH-V01-120602</v>
          </cell>
          <cell r="E90" t="str">
            <v>Storage Water Heater - Gas, Standard, ≥0.67 EF, Bld Type = Average - Upstream</v>
          </cell>
          <cell r="F90" t="str">
            <v>Storage Water Heater, &gt;0.67 EF Upstream</v>
          </cell>
          <cell r="G90" t="str">
            <v>Water heater</v>
          </cell>
          <cell r="H90" t="str">
            <v>Commercial</v>
          </cell>
          <cell r="I90" t="str">
            <v>Unit</v>
          </cell>
          <cell r="J90">
            <v>0</v>
          </cell>
          <cell r="K90">
            <v>0</v>
          </cell>
          <cell r="L90">
            <v>29.700231654228862</v>
          </cell>
          <cell r="M90">
            <v>0</v>
          </cell>
          <cell r="N90">
            <v>0</v>
          </cell>
          <cell r="O90">
            <v>0</v>
          </cell>
          <cell r="P90">
            <v>445.50347481343294</v>
          </cell>
          <cell r="Q90">
            <v>0</v>
          </cell>
          <cell r="R90">
            <v>284.27364583333338</v>
          </cell>
          <cell r="S90">
            <v>440</v>
          </cell>
          <cell r="T90"/>
          <cell r="U90"/>
          <cell r="V90">
            <v>15</v>
          </cell>
          <cell r="W90">
            <v>440</v>
          </cell>
        </row>
        <row r="91">
          <cell r="A91" t="str">
            <v>4.3.1 8</v>
          </cell>
          <cell r="B91" t="str">
            <v>TRM21.5</v>
          </cell>
          <cell r="C91" t="str">
            <v>V5</v>
          </cell>
          <cell r="D91" t="str">
            <v>CI-HW_-STWH-V01-120602</v>
          </cell>
          <cell r="E91" t="str">
            <v>Storage Water Heater - Gas, Standard, ≥0.67 EF, Bld Type = Average - Upstream</v>
          </cell>
          <cell r="F91" t="str">
            <v>Storage Water Heater, &gt;0.67 EF, Sml Biz upstream</v>
          </cell>
          <cell r="G91" t="str">
            <v>Water heater</v>
          </cell>
          <cell r="H91" t="str">
            <v>Commercial</v>
          </cell>
          <cell r="I91" t="str">
            <v>Unit</v>
          </cell>
          <cell r="J91">
            <v>0</v>
          </cell>
          <cell r="K91">
            <v>0</v>
          </cell>
          <cell r="L91">
            <v>29.700231654228862</v>
          </cell>
          <cell r="M91">
            <v>0</v>
          </cell>
          <cell r="N91">
            <v>0</v>
          </cell>
          <cell r="O91">
            <v>0</v>
          </cell>
          <cell r="P91">
            <v>445.50347481343294</v>
          </cell>
          <cell r="Q91">
            <v>0</v>
          </cell>
          <cell r="R91">
            <v>284.27364583333338</v>
          </cell>
          <cell r="S91">
            <v>440</v>
          </cell>
          <cell r="T91"/>
          <cell r="U91"/>
          <cell r="V91">
            <v>15</v>
          </cell>
          <cell r="W91">
            <v>440</v>
          </cell>
        </row>
        <row r="92">
          <cell r="A92" t="str">
            <v>4.3.1 9</v>
          </cell>
          <cell r="B92" t="str">
            <v>TRM21.6</v>
          </cell>
          <cell r="C92" t="str">
            <v>V5</v>
          </cell>
          <cell r="D92" t="str">
            <v>CI-HW_-STWH-V01-120602</v>
          </cell>
          <cell r="E92" t="str">
            <v>Storage Water Heater - Gas,High Efficiency, ≥88% TE, Bld Type = Average - Upstream</v>
          </cell>
          <cell r="F92" t="str">
            <v>Storage Water Heater, &gt;88% TE Upstream</v>
          </cell>
          <cell r="G92" t="str">
            <v>Water heater</v>
          </cell>
          <cell r="H92" t="str">
            <v>Commercial</v>
          </cell>
          <cell r="I92" t="str">
            <v>Unit</v>
          </cell>
          <cell r="J92">
            <v>0</v>
          </cell>
          <cell r="K92">
            <v>0</v>
          </cell>
          <cell r="L92">
            <v>66.706213068181796</v>
          </cell>
          <cell r="M92">
            <v>0</v>
          </cell>
          <cell r="N92">
            <v>0</v>
          </cell>
          <cell r="O92">
            <v>0</v>
          </cell>
          <cell r="P92">
            <v>1000.5931960227269</v>
          </cell>
          <cell r="Q92">
            <v>0</v>
          </cell>
          <cell r="R92">
            <v>426.41046875000006</v>
          </cell>
          <cell r="S92">
            <v>879</v>
          </cell>
          <cell r="T92"/>
          <cell r="U92"/>
          <cell r="V92">
            <v>15</v>
          </cell>
          <cell r="W92">
            <v>879</v>
          </cell>
        </row>
        <row r="93">
          <cell r="A93" t="str">
            <v>4.3.1 10</v>
          </cell>
          <cell r="B93" t="str">
            <v>TRM21.6</v>
          </cell>
          <cell r="C93" t="str">
            <v>V5</v>
          </cell>
          <cell r="D93" t="str">
            <v>CI-HW_-STWH-V01-120602</v>
          </cell>
          <cell r="E93" t="str">
            <v>Storage Water Heater - Gas, Standard, ≥0.67 EF, Bld Type = Average - EREP</v>
          </cell>
          <cell r="F93" t="str">
            <v>Storage Water Heater, &gt;0.67 EF EREP</v>
          </cell>
          <cell r="G93" t="str">
            <v>Water heater</v>
          </cell>
          <cell r="H93" t="str">
            <v>Commercial</v>
          </cell>
          <cell r="I93" t="str">
            <v>Unit</v>
          </cell>
          <cell r="J93">
            <v>0</v>
          </cell>
          <cell r="K93">
            <v>0</v>
          </cell>
          <cell r="L93">
            <v>86.554960820895488</v>
          </cell>
          <cell r="M93">
            <v>0</v>
          </cell>
          <cell r="N93">
            <v>0</v>
          </cell>
          <cell r="O93">
            <v>0</v>
          </cell>
          <cell r="P93">
            <v>1298.3244123134323</v>
          </cell>
          <cell r="Q93">
            <v>0</v>
          </cell>
          <cell r="R93"/>
          <cell r="S93"/>
          <cell r="T93"/>
          <cell r="U93"/>
          <cell r="V93">
            <v>15</v>
          </cell>
          <cell r="W93">
            <v>1055</v>
          </cell>
        </row>
        <row r="94">
          <cell r="A94" t="str">
            <v>4.3.1 11</v>
          </cell>
          <cell r="B94" t="str">
            <v>TRM21.6</v>
          </cell>
          <cell r="C94" t="str">
            <v>V5</v>
          </cell>
          <cell r="D94" t="str">
            <v>CI-HW_-STWH-V01-120602</v>
          </cell>
          <cell r="E94" t="str">
            <v>Storage Water Heater - Gas, Standard, ≥0.67 EF, Bld Type = Average - EREP</v>
          </cell>
          <cell r="F94" t="str">
            <v>Storage Water Heater, &gt;0.67 EF, Sml Biz EREP</v>
          </cell>
          <cell r="G94" t="str">
            <v>Water heater</v>
          </cell>
          <cell r="H94" t="str">
            <v>Commercial</v>
          </cell>
          <cell r="I94" t="str">
            <v>Unit</v>
          </cell>
          <cell r="J94">
            <v>0</v>
          </cell>
          <cell r="K94">
            <v>0</v>
          </cell>
          <cell r="L94">
            <v>86.554960820895488</v>
          </cell>
          <cell r="M94">
            <v>0</v>
          </cell>
          <cell r="N94">
            <v>0</v>
          </cell>
          <cell r="O94">
            <v>0</v>
          </cell>
          <cell r="P94">
            <v>1298.3244123134323</v>
          </cell>
          <cell r="Q94">
            <v>0</v>
          </cell>
          <cell r="R94"/>
          <cell r="S94"/>
          <cell r="T94"/>
          <cell r="U94"/>
          <cell r="V94">
            <v>15</v>
          </cell>
          <cell r="W94">
            <v>1055</v>
          </cell>
        </row>
        <row r="95">
          <cell r="A95" t="str">
            <v>4.3.1 12</v>
          </cell>
          <cell r="B95" t="str">
            <v>TRM21.6</v>
          </cell>
          <cell r="C95" t="str">
            <v>V5</v>
          </cell>
          <cell r="D95" t="str">
            <v>CI-HW_-STWH-V01-120602</v>
          </cell>
          <cell r="E95" t="str">
            <v>Storage Water Heater - Gas,High Efficiency, ≥88% TE, Bld Type = Average - EREP</v>
          </cell>
          <cell r="F95" t="str">
            <v>Storage Water Heater, &gt;88% TE EREP</v>
          </cell>
          <cell r="G95" t="str">
            <v>Water heater</v>
          </cell>
          <cell r="H95" t="str">
            <v>Commercial</v>
          </cell>
          <cell r="I95" t="str">
            <v>Unit</v>
          </cell>
          <cell r="J95">
            <v>0</v>
          </cell>
          <cell r="K95">
            <v>0</v>
          </cell>
          <cell r="L95">
            <v>127.62199431818175</v>
          </cell>
          <cell r="M95">
            <v>0</v>
          </cell>
          <cell r="N95">
            <v>0</v>
          </cell>
          <cell r="O95">
            <v>0</v>
          </cell>
          <cell r="P95">
            <v>1914.3299147727262</v>
          </cell>
          <cell r="Q95">
            <v>0</v>
          </cell>
          <cell r="R95"/>
          <cell r="S95"/>
          <cell r="T95"/>
          <cell r="U95"/>
          <cell r="V95">
            <v>15</v>
          </cell>
          <cell r="W95">
            <v>5765</v>
          </cell>
        </row>
        <row r="96">
          <cell r="A96"/>
          <cell r="B96"/>
          <cell r="C96"/>
          <cell r="D96"/>
          <cell r="E96"/>
          <cell r="F96"/>
          <cell r="G96"/>
          <cell r="H96"/>
          <cell r="I96"/>
          <cell r="J96"/>
          <cell r="K96"/>
          <cell r="L96"/>
          <cell r="M96"/>
          <cell r="N96"/>
          <cell r="O96"/>
          <cell r="P96"/>
          <cell r="Q96"/>
          <cell r="R96"/>
          <cell r="S96"/>
          <cell r="T96"/>
          <cell r="U96"/>
          <cell r="V96"/>
          <cell r="W96"/>
        </row>
        <row r="97">
          <cell r="A97" t="str">
            <v>4.3.2.1</v>
          </cell>
          <cell r="B97" t="str">
            <v>TRM22.1</v>
          </cell>
          <cell r="C97" t="str">
            <v>V5</v>
          </cell>
          <cell r="D97" t="str">
            <v>CI-HW_-LFFA-V03-130601</v>
          </cell>
          <cell r="E97" t="str">
            <v>Low Flow Faucet Aerators, Custom, DI Bath</v>
          </cell>
          <cell r="F97" t="str">
            <v>Faucet Aerators - Bath - DI</v>
          </cell>
          <cell r="G97" t="str">
            <v>Low-flow fixtures</v>
          </cell>
          <cell r="H97" t="str">
            <v>Commercial</v>
          </cell>
          <cell r="I97" t="str">
            <v>Project</v>
          </cell>
          <cell r="J97">
            <v>0</v>
          </cell>
          <cell r="K97">
            <v>0</v>
          </cell>
          <cell r="L97">
            <v>5.3328738669064739</v>
          </cell>
          <cell r="M97">
            <v>1343.2931654676258</v>
          </cell>
          <cell r="N97">
            <v>0</v>
          </cell>
          <cell r="O97">
            <v>0</v>
          </cell>
          <cell r="P97">
            <v>47.995864802158266</v>
          </cell>
          <cell r="Q97">
            <v>12089.638489208632</v>
          </cell>
          <cell r="R97" t="e">
            <v>#REF!</v>
          </cell>
          <cell r="S97">
            <v>12</v>
          </cell>
          <cell r="T97"/>
          <cell r="U97"/>
          <cell r="V97">
            <v>9</v>
          </cell>
          <cell r="W97">
            <v>12</v>
          </cell>
        </row>
        <row r="98">
          <cell r="A98" t="str">
            <v>4.3.2.2</v>
          </cell>
          <cell r="B98" t="str">
            <v>TRM22.2</v>
          </cell>
          <cell r="C98" t="str">
            <v>V5</v>
          </cell>
          <cell r="D98" t="str">
            <v>CI-HW_-LFFA-V03-130602</v>
          </cell>
          <cell r="E98" t="str">
            <v xml:space="preserve">Low Flow Faucet Aerators, Custom, DI Kitchen </v>
          </cell>
          <cell r="F98" t="str">
            <v>Faucet Aerators - Kitchen  - DI</v>
          </cell>
          <cell r="G98" t="str">
            <v>Low-flow fixtures</v>
          </cell>
          <cell r="H98" t="str">
            <v>Commercial</v>
          </cell>
          <cell r="I98" t="str">
            <v>Project</v>
          </cell>
          <cell r="J98">
            <v>0</v>
          </cell>
          <cell r="K98">
            <v>0</v>
          </cell>
          <cell r="L98">
            <v>6.5015389208633092</v>
          </cell>
          <cell r="M98">
            <v>1343.2931654676258</v>
          </cell>
          <cell r="N98">
            <v>0</v>
          </cell>
          <cell r="O98">
            <v>0</v>
          </cell>
          <cell r="P98">
            <v>58.513850287769785</v>
          </cell>
          <cell r="Q98">
            <v>12089.638489208632</v>
          </cell>
          <cell r="R98" t="e">
            <v>#REF!</v>
          </cell>
          <cell r="S98">
            <v>12</v>
          </cell>
          <cell r="T98"/>
          <cell r="U98"/>
          <cell r="V98">
            <v>9</v>
          </cell>
          <cell r="W98">
            <v>12</v>
          </cell>
        </row>
        <row r="99">
          <cell r="A99" t="str">
            <v>4.3.2.3</v>
          </cell>
          <cell r="B99" t="str">
            <v>TRM22.3</v>
          </cell>
          <cell r="C99" t="str">
            <v>V5</v>
          </cell>
          <cell r="D99" t="str">
            <v>CI-HW_-LFFA-V03-130602</v>
          </cell>
          <cell r="E99" t="str">
            <v>Low Flow Faucet Aerators, Health, DI Laminar Flow</v>
          </cell>
          <cell r="F99" t="str">
            <v>Laminar Flow</v>
          </cell>
          <cell r="G99" t="str">
            <v>Low-flow fixtures</v>
          </cell>
          <cell r="H99" t="str">
            <v>Commercial</v>
          </cell>
          <cell r="I99" t="str">
            <v>Project</v>
          </cell>
          <cell r="J99">
            <v>0</v>
          </cell>
          <cell r="K99">
            <v>0</v>
          </cell>
          <cell r="L99">
            <v>35.43134997342311</v>
          </cell>
          <cell r="M99">
            <v>6425.073529411764</v>
          </cell>
          <cell r="N99">
            <v>0</v>
          </cell>
          <cell r="O99">
            <v>0</v>
          </cell>
          <cell r="P99">
            <v>318.88214976080798</v>
          </cell>
          <cell r="Q99">
            <v>57825.661764705874</v>
          </cell>
          <cell r="R99" t="e">
            <v>#REF!</v>
          </cell>
          <cell r="S99">
            <v>14.27</v>
          </cell>
          <cell r="T99"/>
          <cell r="U99"/>
          <cell r="V99">
            <v>9</v>
          </cell>
          <cell r="W99">
            <v>14.27</v>
          </cell>
        </row>
        <row r="100">
          <cell r="A100"/>
          <cell r="B100"/>
          <cell r="C100"/>
          <cell r="D100"/>
          <cell r="E100"/>
          <cell r="F100"/>
          <cell r="G100"/>
          <cell r="H100"/>
          <cell r="I100"/>
          <cell r="J100"/>
          <cell r="K100"/>
          <cell r="L100"/>
          <cell r="M100"/>
          <cell r="N100"/>
          <cell r="O100"/>
          <cell r="P100"/>
          <cell r="Q100"/>
          <cell r="R100"/>
          <cell r="S100"/>
          <cell r="T100"/>
          <cell r="U100"/>
          <cell r="V100"/>
          <cell r="W100"/>
        </row>
        <row r="101">
          <cell r="A101" t="str">
            <v>4.3.3</v>
          </cell>
          <cell r="B101" t="str">
            <v>TRM23</v>
          </cell>
          <cell r="C101" t="str">
            <v>V5</v>
          </cell>
          <cell r="D101" t="str">
            <v>CI-HW_-LFSH-V02-120601</v>
          </cell>
          <cell r="E101" t="str">
            <v>Low Flow Showerheads 1.5 GPM - DI</v>
          </cell>
          <cell r="F101" t="str">
            <v>Low Flow Shower Heads - DI</v>
          </cell>
          <cell r="G101" t="str">
            <v>Low-flow fixtures</v>
          </cell>
          <cell r="H101" t="str">
            <v>Commercial</v>
          </cell>
          <cell r="I101" t="str">
            <v>Project</v>
          </cell>
          <cell r="J101">
            <v>0</v>
          </cell>
          <cell r="K101">
            <v>0</v>
          </cell>
          <cell r="L101">
            <v>21.634983278999997</v>
          </cell>
          <cell r="M101">
            <v>3434.1243299999996</v>
          </cell>
          <cell r="N101">
            <v>0</v>
          </cell>
          <cell r="O101">
            <v>0</v>
          </cell>
          <cell r="P101">
            <v>216.34983278999997</v>
          </cell>
          <cell r="Q101">
            <v>34341.243299999995</v>
          </cell>
          <cell r="R101"/>
          <cell r="S101">
            <v>35</v>
          </cell>
          <cell r="T101"/>
          <cell r="U101"/>
          <cell r="V101">
            <v>10</v>
          </cell>
          <cell r="W101">
            <v>35</v>
          </cell>
        </row>
        <row r="102">
          <cell r="A102"/>
          <cell r="B102"/>
          <cell r="C102"/>
          <cell r="D102"/>
          <cell r="E102"/>
          <cell r="F102"/>
          <cell r="G102"/>
          <cell r="H102"/>
          <cell r="I102"/>
          <cell r="J102"/>
          <cell r="K102"/>
          <cell r="L102"/>
          <cell r="M102"/>
          <cell r="N102"/>
          <cell r="O102"/>
          <cell r="P102"/>
          <cell r="Q102"/>
          <cell r="R102"/>
          <cell r="S102"/>
          <cell r="T102"/>
          <cell r="U102"/>
          <cell r="V102"/>
          <cell r="W102"/>
        </row>
        <row r="103">
          <cell r="A103" t="str">
            <v>4.3.4.1</v>
          </cell>
          <cell r="B103" t="str">
            <v>TRM24.1</v>
          </cell>
          <cell r="C103" t="str">
            <v>V5</v>
          </cell>
          <cell r="D103" t="str">
            <v>CI-HW_-PLCV-V01-130601</v>
          </cell>
          <cell r="E103" t="str">
            <v>Commercial Pool Covers, per 1,000 sf, Indoor</v>
          </cell>
          <cell r="F103" t="str">
            <v>Indoor Pool Covers</v>
          </cell>
          <cell r="G103" t="str">
            <v>Water heater</v>
          </cell>
          <cell r="H103" t="str">
            <v>Commercial</v>
          </cell>
          <cell r="I103" t="str">
            <v>Unit</v>
          </cell>
          <cell r="J103"/>
          <cell r="K103"/>
          <cell r="L103">
            <v>2610</v>
          </cell>
          <cell r="M103">
            <v>15280</v>
          </cell>
          <cell r="N103"/>
          <cell r="O103"/>
          <cell r="P103">
            <v>15660</v>
          </cell>
          <cell r="Q103">
            <v>91680</v>
          </cell>
          <cell r="R103"/>
          <cell r="S103">
            <v>2000</v>
          </cell>
          <cell r="T103"/>
          <cell r="U103"/>
          <cell r="V103">
            <v>6</v>
          </cell>
          <cell r="W103">
            <v>2000</v>
          </cell>
        </row>
        <row r="104">
          <cell r="A104" t="str">
            <v>4.3.4.2</v>
          </cell>
          <cell r="B104" t="str">
            <v>TRM24.2</v>
          </cell>
          <cell r="C104" t="str">
            <v>V5</v>
          </cell>
          <cell r="D104" t="str">
            <v>CI-HW_-PLCV-V01-130601</v>
          </cell>
          <cell r="E104" t="str">
            <v>Commercial Pool Covers, per 1,000 sf, Outdoor</v>
          </cell>
          <cell r="F104" t="str">
            <v>Outdoor Pool Covers</v>
          </cell>
          <cell r="G104" t="str">
            <v>Water heater</v>
          </cell>
          <cell r="H104" t="str">
            <v>Commercial</v>
          </cell>
          <cell r="I104" t="str">
            <v>Unit</v>
          </cell>
          <cell r="J104"/>
          <cell r="K104"/>
          <cell r="L104">
            <v>1010</v>
          </cell>
          <cell r="M104">
            <v>8940</v>
          </cell>
          <cell r="N104"/>
          <cell r="O104"/>
          <cell r="P104">
            <v>6060</v>
          </cell>
          <cell r="Q104">
            <v>53640</v>
          </cell>
          <cell r="R104"/>
          <cell r="S104">
            <v>2040</v>
          </cell>
          <cell r="T104"/>
          <cell r="U104"/>
          <cell r="V104">
            <v>6</v>
          </cell>
          <cell r="W104">
            <v>2040</v>
          </cell>
        </row>
        <row r="105">
          <cell r="A105"/>
          <cell r="B105"/>
          <cell r="C105"/>
          <cell r="D105"/>
          <cell r="E105"/>
          <cell r="F105"/>
          <cell r="G105"/>
          <cell r="H105"/>
          <cell r="I105"/>
          <cell r="J105"/>
          <cell r="K105"/>
          <cell r="L105"/>
          <cell r="M105"/>
          <cell r="N105"/>
          <cell r="O105"/>
          <cell r="P105"/>
          <cell r="Q105"/>
          <cell r="R105"/>
          <cell r="S105"/>
          <cell r="T105"/>
          <cell r="U105"/>
          <cell r="V105"/>
          <cell r="W105"/>
        </row>
        <row r="106">
          <cell r="A106" t="str">
            <v>4.3.6</v>
          </cell>
          <cell r="B106" t="str">
            <v>TRM102</v>
          </cell>
          <cell r="C106" t="str">
            <v>V5</v>
          </cell>
          <cell r="D106" t="str">
            <v>CI-HW-OZLD-V01-140601</v>
          </cell>
          <cell r="E106" t="str">
            <v>Ozone Laundry - 150 lbs capacity</v>
          </cell>
          <cell r="F106" t="str">
            <v>Ozone Laundry</v>
          </cell>
          <cell r="G106" t="str">
            <v>Clothes washers</v>
          </cell>
          <cell r="H106" t="str">
            <v>Commercial</v>
          </cell>
          <cell r="I106" t="str">
            <v>Unit</v>
          </cell>
          <cell r="J106">
            <v>2.93</v>
          </cell>
          <cell r="K106">
            <v>0</v>
          </cell>
          <cell r="L106">
            <v>4605</v>
          </cell>
          <cell r="M106">
            <v>274164.31618051731</v>
          </cell>
          <cell r="N106">
            <v>29.3</v>
          </cell>
          <cell r="O106">
            <v>0</v>
          </cell>
          <cell r="P106">
            <v>46050</v>
          </cell>
          <cell r="Q106">
            <v>2741643.1618051734</v>
          </cell>
          <cell r="R106"/>
          <cell r="S106">
            <v>11976</v>
          </cell>
          <cell r="T106"/>
          <cell r="U106"/>
          <cell r="V106">
            <v>10</v>
          </cell>
          <cell r="W106">
            <v>11976</v>
          </cell>
        </row>
        <row r="107">
          <cell r="A107" t="str">
            <v>4.3.6.T.1</v>
          </cell>
          <cell r="B107" t="str">
            <v>TRM102</v>
          </cell>
          <cell r="C107" t="str">
            <v>V5</v>
          </cell>
          <cell r="D107" t="str">
            <v>CI-HW-OZLD-V01-140601</v>
          </cell>
          <cell r="E107" t="str">
            <v>Ozone Laundry - 25 lbs capacity</v>
          </cell>
          <cell r="F107" t="str">
            <v>Ozone Laundry-25 lbs</v>
          </cell>
          <cell r="G107" t="str">
            <v>Clothes washers</v>
          </cell>
          <cell r="H107" t="str">
            <v>Commercial</v>
          </cell>
          <cell r="I107" t="str">
            <v>Unit</v>
          </cell>
          <cell r="J107">
            <v>2.93</v>
          </cell>
          <cell r="K107">
            <v>0</v>
          </cell>
          <cell r="L107">
            <v>767.5</v>
          </cell>
          <cell r="M107">
            <v>45694.052696752886</v>
          </cell>
          <cell r="N107">
            <v>29.3</v>
          </cell>
          <cell r="O107">
            <v>0</v>
          </cell>
          <cell r="P107">
            <v>7675</v>
          </cell>
          <cell r="Q107">
            <v>456940.52696752886</v>
          </cell>
          <cell r="R107"/>
          <cell r="S107">
            <v>1996</v>
          </cell>
          <cell r="T107"/>
          <cell r="U107"/>
          <cell r="V107">
            <v>10</v>
          </cell>
          <cell r="W107">
            <v>1996</v>
          </cell>
        </row>
        <row r="108">
          <cell r="A108" t="str">
            <v>4.3.6.T.2</v>
          </cell>
          <cell r="B108" t="str">
            <v>TRM102</v>
          </cell>
          <cell r="C108" t="str">
            <v>V5</v>
          </cell>
          <cell r="D108" t="str">
            <v>CI-HW-OZLD-V01-140601</v>
          </cell>
          <cell r="E108" t="str">
            <v>Ozone Laundry - 50 lbs capacity</v>
          </cell>
          <cell r="F108" t="str">
            <v>Ozone Laundry-50 lbs</v>
          </cell>
          <cell r="G108" t="str">
            <v>Clothes washers</v>
          </cell>
          <cell r="H108" t="str">
            <v>Commercial</v>
          </cell>
          <cell r="I108" t="str">
            <v>Unit</v>
          </cell>
          <cell r="J108">
            <v>2.93</v>
          </cell>
          <cell r="K108">
            <v>0</v>
          </cell>
          <cell r="L108">
            <v>1535</v>
          </cell>
          <cell r="M108">
            <v>91388.105393505772</v>
          </cell>
          <cell r="N108">
            <v>29.3</v>
          </cell>
          <cell r="O108">
            <v>0</v>
          </cell>
          <cell r="P108">
            <v>15350</v>
          </cell>
          <cell r="Q108">
            <v>913881.05393505772</v>
          </cell>
          <cell r="R108"/>
          <cell r="S108">
            <v>3992</v>
          </cell>
          <cell r="T108"/>
          <cell r="U108"/>
          <cell r="V108">
            <v>10</v>
          </cell>
          <cell r="W108">
            <v>3992</v>
          </cell>
        </row>
        <row r="109">
          <cell r="A109" t="str">
            <v>4.3.6.T.3</v>
          </cell>
          <cell r="B109" t="str">
            <v>TRM102</v>
          </cell>
          <cell r="C109" t="str">
            <v>V5</v>
          </cell>
          <cell r="D109" t="str">
            <v>CI-HW-OZLD-V01-140601</v>
          </cell>
          <cell r="E109" t="str">
            <v>Ozone Laundry - 100 lbs capacity</v>
          </cell>
          <cell r="F109" t="str">
            <v>Ozone Laundry-100 lbs</v>
          </cell>
          <cell r="G109" t="str">
            <v>Clothes washers</v>
          </cell>
          <cell r="H109" t="str">
            <v>Commercial</v>
          </cell>
          <cell r="I109" t="str">
            <v>Unit</v>
          </cell>
          <cell r="J109">
            <v>2.93</v>
          </cell>
          <cell r="K109">
            <v>0</v>
          </cell>
          <cell r="L109">
            <v>3070</v>
          </cell>
          <cell r="M109">
            <v>182776.21078701154</v>
          </cell>
          <cell r="N109">
            <v>29.3</v>
          </cell>
          <cell r="O109">
            <v>0</v>
          </cell>
          <cell r="P109">
            <v>30700</v>
          </cell>
          <cell r="Q109">
            <v>1827762.1078701154</v>
          </cell>
          <cell r="R109"/>
          <cell r="S109">
            <v>7984</v>
          </cell>
          <cell r="T109"/>
          <cell r="U109"/>
          <cell r="V109">
            <v>10</v>
          </cell>
          <cell r="W109">
            <v>7984</v>
          </cell>
        </row>
        <row r="110">
          <cell r="A110"/>
          <cell r="B110"/>
          <cell r="C110"/>
          <cell r="D110"/>
          <cell r="E110"/>
          <cell r="F110"/>
          <cell r="G110"/>
          <cell r="H110"/>
          <cell r="I110"/>
          <cell r="J110"/>
          <cell r="K110"/>
          <cell r="L110"/>
          <cell r="M110"/>
          <cell r="N110"/>
          <cell r="O110"/>
          <cell r="P110"/>
          <cell r="Q110"/>
          <cell r="R110"/>
          <cell r="S110"/>
          <cell r="T110"/>
          <cell r="U110"/>
          <cell r="V110"/>
          <cell r="W110"/>
        </row>
        <row r="111">
          <cell r="A111" t="str">
            <v>4.3.7.1</v>
          </cell>
          <cell r="B111" t="str">
            <v>TRM108</v>
          </cell>
          <cell r="C111" t="str">
            <v>V5</v>
          </cell>
          <cell r="D111" t="str">
            <v>CI-HW_-MDHW-V01-150601</v>
          </cell>
          <cell r="E111" t="str">
            <v>Central Domestic Hot Water Plants TOS</v>
          </cell>
          <cell r="F111" t="str">
            <v>Central Domestic Hot Water Plants</v>
          </cell>
          <cell r="G111" t="str">
            <v>Water heater</v>
          </cell>
          <cell r="H111" t="str">
            <v>Commercial</v>
          </cell>
          <cell r="I111" t="str">
            <v>Unit</v>
          </cell>
          <cell r="J111">
            <v>0</v>
          </cell>
          <cell r="K111">
            <v>0</v>
          </cell>
          <cell r="L111">
            <v>490.16000889311289</v>
          </cell>
          <cell r="M111"/>
          <cell r="N111">
            <v>0</v>
          </cell>
          <cell r="O111">
            <v>0</v>
          </cell>
          <cell r="P111">
            <v>7352.4001333966935</v>
          </cell>
          <cell r="Q111"/>
          <cell r="R111"/>
          <cell r="S111"/>
          <cell r="T111"/>
          <cell r="U111"/>
          <cell r="V111">
            <v>15</v>
          </cell>
          <cell r="W111">
            <v>0</v>
          </cell>
        </row>
        <row r="112">
          <cell r="A112"/>
          <cell r="B112"/>
          <cell r="C112"/>
          <cell r="D112"/>
          <cell r="E112"/>
          <cell r="F112"/>
          <cell r="G112"/>
          <cell r="H112"/>
          <cell r="I112"/>
          <cell r="J112"/>
          <cell r="K112"/>
          <cell r="L112"/>
          <cell r="M112"/>
          <cell r="N112"/>
          <cell r="O112"/>
          <cell r="P112"/>
          <cell r="Q112"/>
          <cell r="R112"/>
          <cell r="S112"/>
          <cell r="T112"/>
          <cell r="U112"/>
          <cell r="V112"/>
          <cell r="W112"/>
        </row>
        <row r="113">
          <cell r="A113" t="str">
            <v>4.3.8</v>
          </cell>
          <cell r="B113" t="str">
            <v>TRM109</v>
          </cell>
          <cell r="C113" t="str">
            <v>V5</v>
          </cell>
          <cell r="D113" t="str">
            <v>CI-HW_-CDHW-V01-150601</v>
          </cell>
          <cell r="E113" t="str">
            <v>Demand Controls for Central Domestic Hot Water - MF Buildings</v>
          </cell>
          <cell r="F113" t="str">
            <v>CDHW Controls - MF Buildings</v>
          </cell>
          <cell r="G113" t="str">
            <v>Water heater</v>
          </cell>
          <cell r="H113" t="str">
            <v>Commercial</v>
          </cell>
          <cell r="I113" t="str">
            <v>Project</v>
          </cell>
          <cell r="J113">
            <v>656</v>
          </cell>
          <cell r="K113">
            <v>0</v>
          </cell>
          <cell r="L113">
            <v>2507.4840221599998</v>
          </cell>
          <cell r="M113"/>
          <cell r="N113">
            <v>9840</v>
          </cell>
          <cell r="O113">
            <v>0</v>
          </cell>
          <cell r="P113">
            <v>37612.260332399994</v>
          </cell>
          <cell r="Q113"/>
          <cell r="R113"/>
          <cell r="S113">
            <v>2008</v>
          </cell>
          <cell r="T113"/>
          <cell r="U113"/>
          <cell r="V113">
            <v>15</v>
          </cell>
          <cell r="W113">
            <v>2008</v>
          </cell>
        </row>
        <row r="114">
          <cell r="A114" t="str">
            <v>4.3.8.3</v>
          </cell>
          <cell r="B114" t="str">
            <v>TRM109</v>
          </cell>
          <cell r="C114" t="str">
            <v>V5</v>
          </cell>
          <cell r="D114" t="str">
            <v>CI-HW_-CDHW-V01-150601</v>
          </cell>
          <cell r="E114" t="str">
            <v>Demand Controls for Central Domestic Hot Water - Dormitories</v>
          </cell>
          <cell r="F114" t="str">
            <v>CDHW Controls - Dormitories</v>
          </cell>
          <cell r="G114" t="str">
            <v>Water heater</v>
          </cell>
          <cell r="H114" t="str">
            <v>Commercial</v>
          </cell>
          <cell r="I114" t="str">
            <v>Project</v>
          </cell>
          <cell r="J114">
            <v>656</v>
          </cell>
          <cell r="K114">
            <v>0</v>
          </cell>
          <cell r="L114">
            <v>1205.96073024</v>
          </cell>
          <cell r="M114"/>
          <cell r="N114">
            <v>9840</v>
          </cell>
          <cell r="O114">
            <v>0</v>
          </cell>
          <cell r="P114">
            <v>18089.4109536</v>
          </cell>
          <cell r="Q114"/>
          <cell r="R114"/>
          <cell r="S114">
            <v>2008</v>
          </cell>
          <cell r="T114"/>
          <cell r="U114"/>
          <cell r="V114">
            <v>15</v>
          </cell>
          <cell r="W114">
            <v>2008</v>
          </cell>
        </row>
        <row r="115">
          <cell r="A115" t="str">
            <v>4.3.8.3.T</v>
          </cell>
          <cell r="B115" t="str">
            <v>TRM109</v>
          </cell>
          <cell r="C115" t="str">
            <v>V5</v>
          </cell>
          <cell r="D115" t="str">
            <v>CI-HW_-CDHW-V01-150601</v>
          </cell>
          <cell r="E115" t="str">
            <v>Demand Controls for Central Domestic Hot Water - Dormitories Teapot Small</v>
          </cell>
          <cell r="F115" t="str">
            <v>CDHW Controls - Dormitories - Teapot Small</v>
          </cell>
          <cell r="G115" t="str">
            <v>Water heater</v>
          </cell>
          <cell r="H115" t="str">
            <v>Commercial</v>
          </cell>
          <cell r="I115" t="str">
            <v>Project</v>
          </cell>
          <cell r="J115">
            <v>656</v>
          </cell>
          <cell r="K115">
            <v>0</v>
          </cell>
          <cell r="L115">
            <v>301.49018255999999</v>
          </cell>
          <cell r="M115"/>
          <cell r="N115">
            <v>9840</v>
          </cell>
          <cell r="O115">
            <v>0</v>
          </cell>
          <cell r="P115">
            <v>4522.3527383999999</v>
          </cell>
          <cell r="Q115"/>
          <cell r="R115"/>
          <cell r="S115">
            <v>2008</v>
          </cell>
          <cell r="T115"/>
          <cell r="U115"/>
          <cell r="V115">
            <v>15</v>
          </cell>
          <cell r="W115">
            <v>2008</v>
          </cell>
        </row>
        <row r="116">
          <cell r="A116" t="str">
            <v>4.3.8.T</v>
          </cell>
          <cell r="B116" t="str">
            <v>TRM109</v>
          </cell>
          <cell r="C116" t="str">
            <v>V5</v>
          </cell>
          <cell r="D116" t="str">
            <v>CI-HW_-CDHW-V01-150601</v>
          </cell>
          <cell r="E116" t="str">
            <v>Demand Controls for Central Domestic Hot Water - Dormitories - MF Buildings</v>
          </cell>
          <cell r="F116" t="str">
            <v>CDHW Controls - MF Buildings - Teapot Small</v>
          </cell>
          <cell r="G116" t="str">
            <v>Water heater</v>
          </cell>
          <cell r="H116" t="str">
            <v>Commercial</v>
          </cell>
          <cell r="I116" t="str">
            <v>Project</v>
          </cell>
          <cell r="J116">
            <v>656</v>
          </cell>
          <cell r="K116">
            <v>0</v>
          </cell>
          <cell r="L116">
            <v>626.87100553999994</v>
          </cell>
          <cell r="M116"/>
          <cell r="N116">
            <v>9840</v>
          </cell>
          <cell r="O116">
            <v>0</v>
          </cell>
          <cell r="P116">
            <v>9403.0650830999984</v>
          </cell>
          <cell r="Q116"/>
          <cell r="R116"/>
          <cell r="S116">
            <v>2008</v>
          </cell>
          <cell r="T116"/>
          <cell r="U116"/>
          <cell r="V116">
            <v>15</v>
          </cell>
          <cell r="W116">
            <v>2008</v>
          </cell>
        </row>
        <row r="117">
          <cell r="A117"/>
          <cell r="B117"/>
          <cell r="C117"/>
          <cell r="D117"/>
          <cell r="E117"/>
          <cell r="F117"/>
          <cell r="G117"/>
          <cell r="H117"/>
          <cell r="I117"/>
          <cell r="J117"/>
          <cell r="K117"/>
          <cell r="L117"/>
          <cell r="M117"/>
          <cell r="N117"/>
          <cell r="O117"/>
          <cell r="P117"/>
          <cell r="Q117"/>
          <cell r="R117"/>
          <cell r="S117"/>
          <cell r="T117"/>
          <cell r="U117"/>
          <cell r="V117"/>
          <cell r="W117"/>
        </row>
        <row r="118">
          <cell r="A118" t="str">
            <v>4.4.1</v>
          </cell>
          <cell r="B118" t="str">
            <v>TRM25</v>
          </cell>
          <cell r="C118" t="str">
            <v>V5</v>
          </cell>
          <cell r="D118" t="str">
            <v>CI-HVC-ACTU-V01-120601</v>
          </cell>
          <cell r="E118" t="str">
            <v>Air Conditioner Tune-up</v>
          </cell>
          <cell r="F118" t="str">
            <v>Air Conditioner Tune-up</v>
          </cell>
          <cell r="G118" t="str">
            <v>Air conditioner</v>
          </cell>
          <cell r="H118" t="str">
            <v>Commercial</v>
          </cell>
          <cell r="I118" t="str">
            <v>Project</v>
          </cell>
          <cell r="J118">
            <v>878</v>
          </cell>
          <cell r="K118">
            <v>0.39</v>
          </cell>
          <cell r="L118">
            <v>0</v>
          </cell>
          <cell r="M118">
            <v>0</v>
          </cell>
          <cell r="N118">
            <v>2634</v>
          </cell>
          <cell r="O118">
            <v>0.39</v>
          </cell>
          <cell r="P118">
            <v>0</v>
          </cell>
          <cell r="Q118">
            <v>0</v>
          </cell>
          <cell r="R118"/>
          <cell r="S118"/>
          <cell r="T118"/>
          <cell r="U118"/>
          <cell r="V118">
            <v>3</v>
          </cell>
          <cell r="W118">
            <v>105</v>
          </cell>
        </row>
        <row r="119">
          <cell r="A119"/>
          <cell r="B119"/>
          <cell r="C119"/>
          <cell r="D119"/>
          <cell r="E119"/>
          <cell r="F119"/>
          <cell r="G119"/>
          <cell r="H119"/>
          <cell r="I119"/>
          <cell r="J119"/>
          <cell r="K119"/>
          <cell r="L119"/>
          <cell r="M119"/>
          <cell r="N119"/>
          <cell r="O119"/>
          <cell r="P119"/>
          <cell r="Q119"/>
          <cell r="R119"/>
          <cell r="S119"/>
          <cell r="T119"/>
          <cell r="U119"/>
          <cell r="V119"/>
          <cell r="W119"/>
        </row>
        <row r="120">
          <cell r="A120" t="str">
            <v>4.4.3</v>
          </cell>
          <cell r="B120" t="str">
            <v>TRM26</v>
          </cell>
          <cell r="C120" t="str">
            <v>V5</v>
          </cell>
          <cell r="D120" t="str">
            <v>CI-HVC-PBTU-V02-130601</v>
          </cell>
          <cell r="E120" t="str">
            <v>Process Boiler Tune-up - 800 MBU</v>
          </cell>
          <cell r="F120" t="str">
            <v>Boiler Tune Up, Process</v>
          </cell>
          <cell r="G120" t="str">
            <v>Boilers</v>
          </cell>
          <cell r="H120" t="str">
            <v>Commercial</v>
          </cell>
          <cell r="I120" t="str">
            <v>Project</v>
          </cell>
          <cell r="J120">
            <v>0</v>
          </cell>
          <cell r="K120">
            <v>0</v>
          </cell>
          <cell r="L120">
            <v>469.84897416973854</v>
          </cell>
          <cell r="M120">
            <v>0</v>
          </cell>
          <cell r="N120">
            <v>0</v>
          </cell>
          <cell r="O120">
            <v>0</v>
          </cell>
          <cell r="P120">
            <v>1409.5469225092156</v>
          </cell>
          <cell r="Q120">
            <v>0</v>
          </cell>
          <cell r="R120"/>
          <cell r="S120">
            <v>664</v>
          </cell>
          <cell r="T120"/>
          <cell r="U120"/>
          <cell r="V120">
            <v>3</v>
          </cell>
          <cell r="W120">
            <v>664</v>
          </cell>
        </row>
        <row r="121">
          <cell r="A121"/>
          <cell r="B121"/>
          <cell r="C121"/>
          <cell r="D121"/>
          <cell r="E121"/>
          <cell r="F121"/>
          <cell r="G121"/>
          <cell r="H121"/>
          <cell r="I121"/>
          <cell r="J121"/>
          <cell r="K121"/>
          <cell r="L121"/>
          <cell r="M121"/>
          <cell r="N121"/>
          <cell r="O121"/>
          <cell r="P121"/>
          <cell r="Q121"/>
          <cell r="R121"/>
          <cell r="S121"/>
          <cell r="T121"/>
          <cell r="U121"/>
          <cell r="V121"/>
          <cell r="W121"/>
        </row>
        <row r="122">
          <cell r="A122" t="str">
            <v>4.4.5.B</v>
          </cell>
          <cell r="B122" t="str">
            <v>TRM27</v>
          </cell>
          <cell r="C122" t="str">
            <v>V5</v>
          </cell>
          <cell r="D122" t="str">
            <v>CI-HVC-CUHT-V01-120601</v>
          </cell>
          <cell r="E122" t="str">
            <v>Baseline Condensing Unit Heaters</v>
          </cell>
          <cell r="F122" t="str">
            <v>Baseline Condensing Unit Heaters, &gt;90% &lt;300 MBH</v>
          </cell>
          <cell r="G122" t="str">
            <v>Other HVAC</v>
          </cell>
          <cell r="H122" t="str">
            <v>Commercial</v>
          </cell>
          <cell r="I122" t="str">
            <v>Unit</v>
          </cell>
          <cell r="J122">
            <v>0</v>
          </cell>
          <cell r="K122">
            <v>0</v>
          </cell>
          <cell r="L122">
            <v>0</v>
          </cell>
          <cell r="M122">
            <v>0</v>
          </cell>
          <cell r="N122">
            <v>0</v>
          </cell>
          <cell r="O122">
            <v>0</v>
          </cell>
          <cell r="P122">
            <v>0</v>
          </cell>
          <cell r="Q122">
            <v>0</v>
          </cell>
          <cell r="R122">
            <v>1330</v>
          </cell>
          <cell r="S122">
            <v>676</v>
          </cell>
          <cell r="T122"/>
          <cell r="U122"/>
          <cell r="V122">
            <v>12</v>
          </cell>
          <cell r="W122">
            <v>676</v>
          </cell>
        </row>
        <row r="123">
          <cell r="A123" t="str">
            <v>4.4.5</v>
          </cell>
          <cell r="B123" t="str">
            <v>TRM27</v>
          </cell>
          <cell r="C123" t="str">
            <v>V5</v>
          </cell>
          <cell r="D123" t="str">
            <v>CI-HVC-CUHT-V01-120601</v>
          </cell>
          <cell r="E123" t="str">
            <v>Condensing Unit Heaters</v>
          </cell>
          <cell r="F123" t="str">
            <v>Condensing Unit Heaters, &gt;90% &lt;300 MBH</v>
          </cell>
          <cell r="G123" t="str">
            <v>Other HVAC</v>
          </cell>
          <cell r="H123" t="str">
            <v>Commercial</v>
          </cell>
          <cell r="I123" t="str">
            <v>Unit</v>
          </cell>
          <cell r="J123">
            <v>0</v>
          </cell>
          <cell r="K123">
            <v>0</v>
          </cell>
          <cell r="L123">
            <v>266</v>
          </cell>
          <cell r="M123">
            <v>0</v>
          </cell>
          <cell r="N123">
            <v>0</v>
          </cell>
          <cell r="O123">
            <v>0</v>
          </cell>
          <cell r="P123">
            <v>3192</v>
          </cell>
          <cell r="Q123">
            <v>0</v>
          </cell>
          <cell r="R123">
            <v>1330</v>
          </cell>
          <cell r="S123">
            <v>676</v>
          </cell>
          <cell r="T123"/>
          <cell r="U123"/>
          <cell r="V123">
            <v>12</v>
          </cell>
          <cell r="W123">
            <v>676</v>
          </cell>
        </row>
        <row r="124">
          <cell r="A124"/>
          <cell r="B124"/>
          <cell r="C124"/>
          <cell r="D124"/>
          <cell r="E124"/>
          <cell r="F124"/>
          <cell r="G124"/>
          <cell r="H124"/>
          <cell r="I124"/>
          <cell r="J124"/>
          <cell r="K124"/>
          <cell r="L124"/>
          <cell r="M124"/>
          <cell r="N124"/>
          <cell r="O124"/>
          <cell r="P124"/>
          <cell r="Q124"/>
          <cell r="R124"/>
          <cell r="S124"/>
          <cell r="T124"/>
          <cell r="U124"/>
          <cell r="V124"/>
          <cell r="W124"/>
        </row>
        <row r="125">
          <cell r="A125" t="str">
            <v>4.4.6</v>
          </cell>
          <cell r="B125" t="str">
            <v>TRM28</v>
          </cell>
          <cell r="C125" t="str">
            <v>V5</v>
          </cell>
          <cell r="D125" t="str">
            <v>CI-HVC-CHIL-V01-120601</v>
          </cell>
          <cell r="E125" t="str">
            <v>Electric Chiller</v>
          </cell>
          <cell r="F125" t="str">
            <v>Electric Chiller</v>
          </cell>
          <cell r="G125" t="str">
            <v>Air conditioner</v>
          </cell>
          <cell r="H125" t="str">
            <v>Commercial</v>
          </cell>
          <cell r="I125" t="str">
            <v>Unit</v>
          </cell>
          <cell r="J125">
            <v>8948.5714285714294</v>
          </cell>
          <cell r="K125">
            <v>7.5445423990478346</v>
          </cell>
          <cell r="L125">
            <v>0</v>
          </cell>
          <cell r="M125">
            <v>0</v>
          </cell>
          <cell r="N125">
            <v>178971.42857142858</v>
          </cell>
          <cell r="O125">
            <v>7.5445423990478346</v>
          </cell>
          <cell r="P125">
            <v>0</v>
          </cell>
          <cell r="Q125">
            <v>0</v>
          </cell>
          <cell r="R125"/>
          <cell r="S125"/>
          <cell r="T125"/>
          <cell r="U125"/>
          <cell r="V125">
            <v>20</v>
          </cell>
          <cell r="W125">
            <v>12700</v>
          </cell>
        </row>
        <row r="126">
          <cell r="A126"/>
          <cell r="B126"/>
          <cell r="C126"/>
          <cell r="D126"/>
          <cell r="E126"/>
          <cell r="F126"/>
          <cell r="G126"/>
          <cell r="H126"/>
          <cell r="I126"/>
          <cell r="J126"/>
          <cell r="K126"/>
          <cell r="L126"/>
          <cell r="M126"/>
          <cell r="N126"/>
          <cell r="O126"/>
          <cell r="P126"/>
          <cell r="Q126"/>
          <cell r="R126"/>
          <cell r="S126"/>
          <cell r="T126"/>
          <cell r="U126"/>
          <cell r="V126"/>
          <cell r="W126"/>
        </row>
        <row r="127">
          <cell r="A127" t="str">
            <v>4.4.7</v>
          </cell>
          <cell r="B127" t="str">
            <v>TRM29</v>
          </cell>
          <cell r="C127" t="str">
            <v>V5</v>
          </cell>
          <cell r="D127" t="str">
            <v>CI-HVC-ESRA-V01-120601</v>
          </cell>
          <cell r="E127" t="str">
            <v>ENERGY STAR and CEE Tier 1 Room Air Conditioner</v>
          </cell>
          <cell r="F127" t="str">
            <v>ENERGY STAR and CEE Tier 1 Room Air Conditioner</v>
          </cell>
          <cell r="G127" t="str">
            <v>Air conditioner</v>
          </cell>
          <cell r="H127" t="str">
            <v>Commercial</v>
          </cell>
          <cell r="I127" t="str">
            <v>Unit</v>
          </cell>
          <cell r="J127">
            <v>41.285894888928986</v>
          </cell>
          <cell r="K127">
            <v>0.14840166154957549</v>
          </cell>
          <cell r="L127">
            <v>0</v>
          </cell>
          <cell r="M127">
            <v>0</v>
          </cell>
          <cell r="N127">
            <v>371.57305400036086</v>
          </cell>
          <cell r="O127">
            <v>0.14840166154957549</v>
          </cell>
          <cell r="P127">
            <v>0</v>
          </cell>
          <cell r="Q127">
            <v>0</v>
          </cell>
          <cell r="R127"/>
          <cell r="S127"/>
          <cell r="T127"/>
          <cell r="U127"/>
          <cell r="V127">
            <v>9</v>
          </cell>
          <cell r="W127">
            <v>80</v>
          </cell>
        </row>
        <row r="128">
          <cell r="A128"/>
          <cell r="B128"/>
          <cell r="C128"/>
          <cell r="D128"/>
          <cell r="E128"/>
          <cell r="F128"/>
          <cell r="G128"/>
          <cell r="H128"/>
          <cell r="I128"/>
          <cell r="J128"/>
          <cell r="K128"/>
          <cell r="L128"/>
          <cell r="M128"/>
          <cell r="N128"/>
          <cell r="O128"/>
          <cell r="P128"/>
          <cell r="Q128"/>
          <cell r="R128"/>
          <cell r="S128"/>
          <cell r="T128"/>
          <cell r="U128"/>
          <cell r="V128"/>
          <cell r="W128"/>
        </row>
        <row r="129">
          <cell r="A129" t="str">
            <v>4.4.8.1</v>
          </cell>
          <cell r="B129" t="str">
            <v>TRM30.1</v>
          </cell>
          <cell r="C129" t="str">
            <v>V5</v>
          </cell>
          <cell r="D129" t="str">
            <v>CI-HVC-GREM-V01-120601</v>
          </cell>
          <cell r="E129" t="str">
            <v>Guest Room Energy Management - 3/4 - 1 ton ton Motel with No Housekeeping Setback</v>
          </cell>
          <cell r="F129" t="str">
            <v>Guest Room Energy Management Motel</v>
          </cell>
          <cell r="G129" t="str">
            <v>Controls</v>
          </cell>
          <cell r="H129" t="str">
            <v>Commercial</v>
          </cell>
          <cell r="I129" t="str">
            <v>Project</v>
          </cell>
          <cell r="J129">
            <v>143.58750000000003</v>
          </cell>
          <cell r="K129">
            <v>0</v>
          </cell>
          <cell r="L129">
            <v>55.737500000000004</v>
          </cell>
          <cell r="M129">
            <v>0</v>
          </cell>
          <cell r="N129">
            <v>2153.8125000000005</v>
          </cell>
          <cell r="O129">
            <v>0</v>
          </cell>
          <cell r="P129">
            <v>836.06250000000011</v>
          </cell>
          <cell r="Q129">
            <v>0</v>
          </cell>
          <cell r="R129"/>
          <cell r="S129"/>
          <cell r="T129"/>
          <cell r="U129"/>
          <cell r="V129">
            <v>15</v>
          </cell>
          <cell r="W129">
            <v>260</v>
          </cell>
        </row>
        <row r="130">
          <cell r="A130" t="str">
            <v>4.4.8.2</v>
          </cell>
          <cell r="B130" t="str">
            <v>TRM30.2</v>
          </cell>
          <cell r="C130" t="str">
            <v>V5</v>
          </cell>
          <cell r="D130" t="str">
            <v>CI-HVC-GREM-V01-120601</v>
          </cell>
          <cell r="E130" t="str">
            <v>Guest Room Energy Management - 3/4 - 1 ton ton Hotel with No Housekeeping Setback</v>
          </cell>
          <cell r="F130" t="str">
            <v>Guest Room Energy Management Hotel</v>
          </cell>
          <cell r="G130" t="str">
            <v>Controls</v>
          </cell>
          <cell r="H130" t="str">
            <v>Commercial</v>
          </cell>
          <cell r="I130" t="str">
            <v>Project</v>
          </cell>
          <cell r="J130">
            <v>155.47500000000002</v>
          </cell>
          <cell r="K130">
            <v>4.1250000000000002E-2</v>
          </cell>
          <cell r="L130">
            <v>5.4512499999999999</v>
          </cell>
          <cell r="M130">
            <v>0</v>
          </cell>
          <cell r="N130">
            <v>2332.1250000000005</v>
          </cell>
          <cell r="O130">
            <v>4.1250000000000002E-2</v>
          </cell>
          <cell r="P130">
            <v>81.768749999999997</v>
          </cell>
          <cell r="Q130">
            <v>0</v>
          </cell>
          <cell r="R130"/>
          <cell r="S130"/>
          <cell r="T130"/>
          <cell r="U130"/>
          <cell r="V130">
            <v>15</v>
          </cell>
          <cell r="W130">
            <v>260</v>
          </cell>
        </row>
        <row r="131">
          <cell r="A131"/>
          <cell r="B131"/>
          <cell r="C131"/>
          <cell r="D131"/>
          <cell r="E131"/>
          <cell r="F131"/>
          <cell r="G131"/>
          <cell r="H131"/>
          <cell r="I131"/>
          <cell r="J131"/>
          <cell r="K131"/>
          <cell r="L131"/>
          <cell r="M131"/>
          <cell r="N131"/>
          <cell r="O131"/>
          <cell r="P131"/>
          <cell r="Q131"/>
          <cell r="R131"/>
          <cell r="S131"/>
          <cell r="T131"/>
          <cell r="U131"/>
          <cell r="V131"/>
          <cell r="W131"/>
        </row>
        <row r="132">
          <cell r="A132" t="str">
            <v>4.4.9</v>
          </cell>
          <cell r="B132" t="str">
            <v>TRM31</v>
          </cell>
          <cell r="C132" t="str">
            <v>V5</v>
          </cell>
          <cell r="D132" t="str">
            <v>CI-HVC-HPSY-V01-120601</v>
          </cell>
          <cell r="E132" t="str">
            <v>Heat Pump Systems</v>
          </cell>
          <cell r="F132" t="str">
            <v>Heat Pump Systems</v>
          </cell>
          <cell r="G132" t="str">
            <v>Heat pumps</v>
          </cell>
          <cell r="H132" t="str">
            <v>Commercial</v>
          </cell>
          <cell r="I132" t="str">
            <v>Unit</v>
          </cell>
          <cell r="J132">
            <v>461.42857142857457</v>
          </cell>
          <cell r="K132">
            <v>0.17390476190476356</v>
          </cell>
          <cell r="L132">
            <v>0</v>
          </cell>
          <cell r="M132">
            <v>0</v>
          </cell>
          <cell r="N132">
            <v>6921.4285714286189</v>
          </cell>
          <cell r="O132">
            <v>0.17390476190476356</v>
          </cell>
          <cell r="P132">
            <v>0</v>
          </cell>
          <cell r="Q132">
            <v>0</v>
          </cell>
          <cell r="R132"/>
          <cell r="S132"/>
          <cell r="T132"/>
          <cell r="U132"/>
          <cell r="V132">
            <v>15</v>
          </cell>
          <cell r="W132">
            <v>833.33333333333337</v>
          </cell>
        </row>
        <row r="133">
          <cell r="A133"/>
          <cell r="B133"/>
          <cell r="C133"/>
          <cell r="D133"/>
          <cell r="E133"/>
          <cell r="F133"/>
          <cell r="G133"/>
          <cell r="H133"/>
          <cell r="I133"/>
          <cell r="J133"/>
          <cell r="K133"/>
          <cell r="L133"/>
          <cell r="M133"/>
          <cell r="N133"/>
          <cell r="O133"/>
          <cell r="P133"/>
          <cell r="Q133"/>
          <cell r="R133"/>
          <cell r="S133"/>
          <cell r="T133"/>
          <cell r="U133"/>
          <cell r="V133"/>
          <cell r="W133"/>
        </row>
        <row r="134">
          <cell r="A134" t="str">
            <v>4.4.12</v>
          </cell>
          <cell r="B134" t="str">
            <v>TRM32</v>
          </cell>
          <cell r="C134" t="str">
            <v>V5</v>
          </cell>
          <cell r="D134" t="str">
            <v>CI-HVC-IRHT-V01-120601</v>
          </cell>
          <cell r="E134" t="str">
            <v xml:space="preserve">Baseline Infrared Heaters (all sizes), Low Intensity </v>
          </cell>
          <cell r="F134" t="str">
            <v>Infrared Heaters</v>
          </cell>
          <cell r="G134" t="str">
            <v>Other HVAC</v>
          </cell>
          <cell r="H134" t="str">
            <v>Commercial</v>
          </cell>
          <cell r="I134" t="str">
            <v>Unit</v>
          </cell>
          <cell r="J134">
            <v>0</v>
          </cell>
          <cell r="K134">
            <v>0</v>
          </cell>
          <cell r="L134">
            <v>0</v>
          </cell>
          <cell r="M134">
            <v>0</v>
          </cell>
          <cell r="N134">
            <v>0</v>
          </cell>
          <cell r="O134">
            <v>0</v>
          </cell>
          <cell r="P134">
            <v>0</v>
          </cell>
          <cell r="Q134">
            <v>0</v>
          </cell>
          <cell r="R134">
            <v>2641.5714285714289</v>
          </cell>
          <cell r="S134">
            <v>1716</v>
          </cell>
          <cell r="T134"/>
          <cell r="U134"/>
          <cell r="V134">
            <v>12</v>
          </cell>
          <cell r="W134">
            <v>1716</v>
          </cell>
        </row>
        <row r="135">
          <cell r="A135" t="str">
            <v>4.4.12</v>
          </cell>
          <cell r="B135" t="str">
            <v>TRM32</v>
          </cell>
          <cell r="C135" t="str">
            <v>V5</v>
          </cell>
          <cell r="D135" t="str">
            <v>CI-HVC-IRHT-V01-120601</v>
          </cell>
          <cell r="E135" t="str">
            <v xml:space="preserve">Infrared Heaters (all sizes), Low Intensity </v>
          </cell>
          <cell r="F135" t="str">
            <v>Infrared Heaters</v>
          </cell>
          <cell r="G135" t="str">
            <v>Other HVAC</v>
          </cell>
          <cell r="H135" t="str">
            <v>Commercial</v>
          </cell>
          <cell r="I135" t="str">
            <v>Unit</v>
          </cell>
          <cell r="J135">
            <v>0</v>
          </cell>
          <cell r="K135">
            <v>0</v>
          </cell>
          <cell r="L135">
            <v>451</v>
          </cell>
          <cell r="M135">
            <v>0</v>
          </cell>
          <cell r="N135">
            <v>0</v>
          </cell>
          <cell r="O135">
            <v>0</v>
          </cell>
          <cell r="P135">
            <v>5412</v>
          </cell>
          <cell r="Q135">
            <v>0</v>
          </cell>
          <cell r="R135">
            <v>2641.5714285714289</v>
          </cell>
          <cell r="S135">
            <v>1716</v>
          </cell>
          <cell r="T135"/>
          <cell r="U135"/>
          <cell r="V135">
            <v>12</v>
          </cell>
          <cell r="W135">
            <v>1716</v>
          </cell>
        </row>
        <row r="136">
          <cell r="A136"/>
          <cell r="B136"/>
          <cell r="C136"/>
          <cell r="D136"/>
          <cell r="E136"/>
          <cell r="F136"/>
          <cell r="G136"/>
          <cell r="H136"/>
          <cell r="I136"/>
          <cell r="J136"/>
          <cell r="K136"/>
          <cell r="L136"/>
          <cell r="M136"/>
          <cell r="N136"/>
          <cell r="O136"/>
          <cell r="P136"/>
          <cell r="Q136"/>
          <cell r="R136"/>
          <cell r="S136"/>
          <cell r="T136"/>
          <cell r="U136"/>
          <cell r="V136"/>
          <cell r="W136"/>
        </row>
        <row r="137">
          <cell r="A137" t="str">
            <v>4.4.13</v>
          </cell>
          <cell r="B137" t="str">
            <v>TRM33</v>
          </cell>
          <cell r="C137" t="str">
            <v>V5</v>
          </cell>
          <cell r="D137" t="str">
            <v>CI-HVC-PTAC-V03-130601</v>
          </cell>
          <cell r="E137" t="str">
            <v>Package Terminal Air Conditioner (PTAC) and Package Terminal Heat Pump (PTHP)</v>
          </cell>
          <cell r="F137" t="str">
            <v>Package Terminal AC (PTAC) and Heat Pump (PTHP)</v>
          </cell>
          <cell r="G137" t="str">
            <v>Heat pumps</v>
          </cell>
          <cell r="H137" t="str">
            <v>Commercial</v>
          </cell>
          <cell r="I137" t="str">
            <v>Unit</v>
          </cell>
          <cell r="J137">
            <v>475.85234899328839</v>
          </cell>
          <cell r="K137">
            <v>0.53046788111217624</v>
          </cell>
          <cell r="L137">
            <v>0</v>
          </cell>
          <cell r="M137">
            <v>0</v>
          </cell>
          <cell r="N137">
            <v>7137.7852348993256</v>
          </cell>
          <cell r="O137">
            <v>0.53046788111217624</v>
          </cell>
          <cell r="P137">
            <v>0</v>
          </cell>
          <cell r="Q137">
            <v>0</v>
          </cell>
          <cell r="R137"/>
          <cell r="S137"/>
          <cell r="T137"/>
          <cell r="U137"/>
          <cell r="V137">
            <v>15</v>
          </cell>
          <cell r="W137">
            <v>84</v>
          </cell>
        </row>
        <row r="138">
          <cell r="A138"/>
          <cell r="B138"/>
          <cell r="C138"/>
          <cell r="D138"/>
          <cell r="E138"/>
          <cell r="F138"/>
          <cell r="G138"/>
          <cell r="H138"/>
          <cell r="I138"/>
          <cell r="J138"/>
          <cell r="K138"/>
          <cell r="L138"/>
          <cell r="M138"/>
          <cell r="N138"/>
          <cell r="O138"/>
          <cell r="P138"/>
          <cell r="Q138"/>
          <cell r="R138"/>
          <cell r="S138"/>
          <cell r="T138"/>
          <cell r="U138"/>
          <cell r="V138"/>
          <cell r="W138"/>
        </row>
        <row r="139">
          <cell r="A139" t="str">
            <v>4.4.15</v>
          </cell>
          <cell r="B139" t="str">
            <v>TRM34</v>
          </cell>
          <cell r="C139" t="str">
            <v>V5</v>
          </cell>
          <cell r="D139" t="str">
            <v>CI-HVC-SPUA-V01-120601</v>
          </cell>
          <cell r="E139" t="str">
            <v>Single-Package and Split System Unitary Air Conditioners</v>
          </cell>
          <cell r="F139" t="str">
            <v>Single-Package and Split System Unitary AC</v>
          </cell>
          <cell r="G139" t="str">
            <v>Air conditioner</v>
          </cell>
          <cell r="H139" t="str">
            <v>Commercial</v>
          </cell>
          <cell r="I139" t="str">
            <v>Unit</v>
          </cell>
          <cell r="J139">
            <v>320.54907853449407</v>
          </cell>
          <cell r="K139">
            <v>0.39307379679144377</v>
          </cell>
          <cell r="L139">
            <v>0</v>
          </cell>
          <cell r="M139">
            <v>0</v>
          </cell>
          <cell r="N139">
            <v>4808.2361780174115</v>
          </cell>
          <cell r="O139">
            <v>0.39307379679144377</v>
          </cell>
          <cell r="P139">
            <v>0</v>
          </cell>
          <cell r="Q139">
            <v>0</v>
          </cell>
          <cell r="R139"/>
          <cell r="S139"/>
          <cell r="T139"/>
          <cell r="U139"/>
          <cell r="V139">
            <v>15</v>
          </cell>
          <cell r="W139">
            <v>200</v>
          </cell>
        </row>
        <row r="140">
          <cell r="A140"/>
          <cell r="B140"/>
          <cell r="C140"/>
          <cell r="D140"/>
          <cell r="E140"/>
          <cell r="F140"/>
          <cell r="G140"/>
          <cell r="H140"/>
          <cell r="I140"/>
          <cell r="J140"/>
          <cell r="K140"/>
          <cell r="L140"/>
          <cell r="M140"/>
          <cell r="N140"/>
          <cell r="O140"/>
          <cell r="P140"/>
          <cell r="Q140"/>
          <cell r="R140"/>
          <cell r="S140"/>
          <cell r="T140"/>
          <cell r="U140"/>
          <cell r="V140"/>
          <cell r="W140"/>
        </row>
        <row r="141">
          <cell r="A141" t="str">
            <v>4.4.18.1</v>
          </cell>
          <cell r="B141" t="str">
            <v>TRM103.1</v>
          </cell>
          <cell r="C141" t="str">
            <v>V5</v>
          </cell>
          <cell r="D141" t="str">
            <v>CI-HVC-PROG-V01-140601</v>
          </cell>
          <cell r="E141" t="str">
            <v>Programmable Thermostats - Assembly</v>
          </cell>
          <cell r="F141" t="str">
            <v>Programmable Thermostats - Assembly</v>
          </cell>
          <cell r="G141" t="str">
            <v>Thermostats</v>
          </cell>
          <cell r="H141" t="str">
            <v>Commercial</v>
          </cell>
          <cell r="I141" t="str">
            <v>Unit</v>
          </cell>
          <cell r="J141">
            <v>98</v>
          </cell>
          <cell r="K141">
            <v>5</v>
          </cell>
          <cell r="L141">
            <v>56.13000000000001</v>
          </cell>
          <cell r="M141">
            <v>0</v>
          </cell>
          <cell r="N141">
            <v>150</v>
          </cell>
          <cell r="O141">
            <v>20</v>
          </cell>
          <cell r="P141">
            <v>60</v>
          </cell>
          <cell r="Q141">
            <v>0</v>
          </cell>
          <cell r="R141"/>
          <cell r="S141">
            <v>181</v>
          </cell>
          <cell r="T141"/>
          <cell r="U141"/>
          <cell r="V141">
            <v>4</v>
          </cell>
          <cell r="W141">
            <v>181</v>
          </cell>
        </row>
        <row r="142">
          <cell r="A142" t="str">
            <v>4.4.18.2</v>
          </cell>
          <cell r="B142" t="str">
            <v>TRM103.2</v>
          </cell>
          <cell r="C142" t="str">
            <v>V5</v>
          </cell>
          <cell r="D142" t="str">
            <v>CI-HVC-PROG-V01-140601</v>
          </cell>
          <cell r="E142" t="str">
            <v>Programmable Thermostats - Convenience Store</v>
          </cell>
          <cell r="F142" t="str">
            <v>Programmable Thermostats - Convenience Store</v>
          </cell>
          <cell r="G142" t="str">
            <v>Thermostats</v>
          </cell>
          <cell r="H142" t="str">
            <v>Commercial</v>
          </cell>
          <cell r="I142" t="str">
            <v>Unit</v>
          </cell>
          <cell r="J142">
            <v>108</v>
          </cell>
          <cell r="K142">
            <v>5</v>
          </cell>
          <cell r="L142">
            <v>2.4990000000000179</v>
          </cell>
          <cell r="M142">
            <v>0</v>
          </cell>
          <cell r="N142">
            <v>150</v>
          </cell>
          <cell r="O142">
            <v>20</v>
          </cell>
          <cell r="P142">
            <v>60</v>
          </cell>
          <cell r="Q142">
            <v>0</v>
          </cell>
          <cell r="R142"/>
          <cell r="S142">
            <v>181</v>
          </cell>
          <cell r="T142"/>
          <cell r="U142"/>
          <cell r="V142">
            <v>4</v>
          </cell>
          <cell r="W142">
            <v>181</v>
          </cell>
        </row>
        <row r="143">
          <cell r="A143" t="str">
            <v>4.4.18.3</v>
          </cell>
          <cell r="B143" t="str">
            <v>TRM103.3</v>
          </cell>
          <cell r="C143" t="str">
            <v>V5</v>
          </cell>
          <cell r="D143" t="str">
            <v>CI-HVC-PROG-V01-140601</v>
          </cell>
          <cell r="E143" t="str">
            <v>Programmable Thermostats - Office - Low Rise</v>
          </cell>
          <cell r="F143" t="str">
            <v>Programmable Thermostats - Office - Low Rise</v>
          </cell>
          <cell r="G143" t="str">
            <v>Thermostats</v>
          </cell>
          <cell r="H143" t="str">
            <v>Commercial</v>
          </cell>
          <cell r="I143" t="str">
            <v>Unit</v>
          </cell>
          <cell r="J143">
            <v>55</v>
          </cell>
          <cell r="K143">
            <v>5</v>
          </cell>
          <cell r="L143">
            <v>14.399999999999979</v>
          </cell>
          <cell r="M143">
            <v>0</v>
          </cell>
          <cell r="N143">
            <v>150</v>
          </cell>
          <cell r="O143">
            <v>20</v>
          </cell>
          <cell r="P143">
            <v>60</v>
          </cell>
          <cell r="Q143">
            <v>0</v>
          </cell>
          <cell r="R143"/>
          <cell r="S143">
            <v>181</v>
          </cell>
          <cell r="T143"/>
          <cell r="U143"/>
          <cell r="V143">
            <v>4</v>
          </cell>
          <cell r="W143">
            <v>181</v>
          </cell>
        </row>
        <row r="144">
          <cell r="A144" t="str">
            <v>4.4.18.4</v>
          </cell>
          <cell r="B144" t="str">
            <v>TRM103.4</v>
          </cell>
          <cell r="C144" t="str">
            <v>V5</v>
          </cell>
          <cell r="D144" t="str">
            <v>CI-HVC-PROG-V01-140601</v>
          </cell>
          <cell r="E144" t="str">
            <v>Programmable Thermostats - Religious Facility</v>
          </cell>
          <cell r="F144" t="str">
            <v>Programmable Thermostats - Religious Facility</v>
          </cell>
          <cell r="G144" t="str">
            <v>Thermostats</v>
          </cell>
          <cell r="H144" t="str">
            <v>Commercial</v>
          </cell>
          <cell r="I144" t="str">
            <v>Unit</v>
          </cell>
          <cell r="J144">
            <v>133</v>
          </cell>
          <cell r="K144">
            <v>5</v>
          </cell>
          <cell r="L144">
            <v>47.114999999999974</v>
          </cell>
          <cell r="M144">
            <v>0</v>
          </cell>
          <cell r="N144">
            <v>150</v>
          </cell>
          <cell r="O144">
            <v>20</v>
          </cell>
          <cell r="P144">
            <v>60</v>
          </cell>
          <cell r="Q144">
            <v>0</v>
          </cell>
          <cell r="R144"/>
          <cell r="S144">
            <v>181</v>
          </cell>
          <cell r="T144"/>
          <cell r="U144"/>
          <cell r="V144">
            <v>4</v>
          </cell>
          <cell r="W144">
            <v>181</v>
          </cell>
        </row>
        <row r="145">
          <cell r="A145" t="str">
            <v>4.4.18.5</v>
          </cell>
          <cell r="B145" t="str">
            <v>TRM103.5</v>
          </cell>
          <cell r="C145" t="str">
            <v>V5</v>
          </cell>
          <cell r="D145" t="str">
            <v>CI-HVC-PROG-V01-140601</v>
          </cell>
          <cell r="E145" t="str">
            <v>Programmable Thermostats - Restaurant – Fast Food</v>
          </cell>
          <cell r="F145" t="str">
            <v>Programmable Thermostats - Restaurant – Fast Food</v>
          </cell>
          <cell r="G145" t="str">
            <v>Thermostats</v>
          </cell>
          <cell r="H145" t="str">
            <v>Commercial</v>
          </cell>
          <cell r="I145" t="str">
            <v>Unit</v>
          </cell>
          <cell r="J145">
            <v>108</v>
          </cell>
          <cell r="K145">
            <v>5</v>
          </cell>
          <cell r="L145">
            <v>71.79000000000002</v>
          </cell>
          <cell r="M145">
            <v>0</v>
          </cell>
          <cell r="N145">
            <v>150</v>
          </cell>
          <cell r="O145">
            <v>20</v>
          </cell>
          <cell r="P145">
            <v>60</v>
          </cell>
          <cell r="Q145">
            <v>0</v>
          </cell>
          <cell r="R145"/>
          <cell r="S145">
            <v>181</v>
          </cell>
          <cell r="T145"/>
          <cell r="U145"/>
          <cell r="V145">
            <v>4</v>
          </cell>
          <cell r="W145">
            <v>181</v>
          </cell>
        </row>
        <row r="146">
          <cell r="A146" t="str">
            <v>4.4.18.6</v>
          </cell>
          <cell r="B146" t="str">
            <v>TRM103.6</v>
          </cell>
          <cell r="C146" t="str">
            <v>V5</v>
          </cell>
          <cell r="D146" t="str">
            <v>CI-HVC-PROG-V01-140601</v>
          </cell>
          <cell r="E146" t="str">
            <v>Programmable Thermostats - Restaurant – Full Service</v>
          </cell>
          <cell r="F146" t="str">
            <v>Programmable Thermostats - Restaurant – Full Service</v>
          </cell>
          <cell r="G146" t="str">
            <v>Thermostats</v>
          </cell>
          <cell r="H146" t="str">
            <v>Commercial</v>
          </cell>
          <cell r="I146" t="str">
            <v>Unit</v>
          </cell>
          <cell r="J146">
            <v>117</v>
          </cell>
          <cell r="K146">
            <v>5</v>
          </cell>
          <cell r="L146">
            <v>30.835499999999971</v>
          </cell>
          <cell r="M146">
            <v>0</v>
          </cell>
          <cell r="N146">
            <v>150</v>
          </cell>
          <cell r="O146">
            <v>20</v>
          </cell>
          <cell r="P146">
            <v>60</v>
          </cell>
          <cell r="Q146">
            <v>0</v>
          </cell>
          <cell r="R146"/>
          <cell r="S146">
            <v>181</v>
          </cell>
          <cell r="T146"/>
          <cell r="U146"/>
          <cell r="V146">
            <v>4</v>
          </cell>
          <cell r="W146">
            <v>181</v>
          </cell>
        </row>
        <row r="147">
          <cell r="A147" t="str">
            <v>4.4.18.7</v>
          </cell>
          <cell r="B147" t="str">
            <v>TRM103.7</v>
          </cell>
          <cell r="C147" t="str">
            <v>V5</v>
          </cell>
          <cell r="D147" t="str">
            <v>CI-HVC-PROG-V01-140601</v>
          </cell>
          <cell r="E147" t="str">
            <v>Programmable Thermostats - Retail – Department Store</v>
          </cell>
          <cell r="F147" t="str">
            <v>Programmable Thermostats - Retail – Department Store</v>
          </cell>
          <cell r="G147" t="str">
            <v>Thermostats</v>
          </cell>
          <cell r="H147" t="str">
            <v>Commercial</v>
          </cell>
          <cell r="I147" t="str">
            <v>Unit</v>
          </cell>
          <cell r="J147">
            <v>93</v>
          </cell>
          <cell r="K147">
            <v>5</v>
          </cell>
          <cell r="L147">
            <v>36.310500000000005</v>
          </cell>
          <cell r="M147">
            <v>0</v>
          </cell>
          <cell r="N147">
            <v>150</v>
          </cell>
          <cell r="O147">
            <v>20</v>
          </cell>
          <cell r="P147">
            <v>60</v>
          </cell>
          <cell r="Q147">
            <v>0</v>
          </cell>
          <cell r="R147"/>
          <cell r="S147">
            <v>181</v>
          </cell>
          <cell r="T147"/>
          <cell r="U147"/>
          <cell r="V147">
            <v>4</v>
          </cell>
          <cell r="W147">
            <v>181</v>
          </cell>
        </row>
        <row r="148">
          <cell r="A148" t="str">
            <v>4.4.18.8</v>
          </cell>
          <cell r="B148" t="str">
            <v>TRM103.8</v>
          </cell>
          <cell r="C148" t="str">
            <v>V5</v>
          </cell>
          <cell r="D148" t="str">
            <v>CI-HVC-PROG-V01-140601</v>
          </cell>
          <cell r="E148" t="str">
            <v>Programmable Thermostats - Retail – Strip Mall</v>
          </cell>
          <cell r="F148" t="str">
            <v>Programmable Thermostats - Retail – Strip Mall</v>
          </cell>
          <cell r="G148" t="str">
            <v>Thermostats</v>
          </cell>
          <cell r="H148" t="str">
            <v>Commercial</v>
          </cell>
          <cell r="I148" t="str">
            <v>Unit</v>
          </cell>
          <cell r="J148">
            <v>93</v>
          </cell>
          <cell r="K148">
            <v>5</v>
          </cell>
          <cell r="L148">
            <v>43.762499999999996</v>
          </cell>
          <cell r="M148">
            <v>0</v>
          </cell>
          <cell r="N148">
            <v>150</v>
          </cell>
          <cell r="O148">
            <v>20</v>
          </cell>
          <cell r="P148">
            <v>60</v>
          </cell>
          <cell r="Q148">
            <v>0</v>
          </cell>
          <cell r="R148"/>
          <cell r="S148">
            <v>181</v>
          </cell>
          <cell r="T148"/>
          <cell r="U148"/>
          <cell r="V148">
            <v>4</v>
          </cell>
          <cell r="W148">
            <v>181</v>
          </cell>
        </row>
        <row r="149">
          <cell r="A149"/>
          <cell r="B149"/>
          <cell r="C149"/>
          <cell r="D149"/>
          <cell r="E149"/>
          <cell r="F149"/>
          <cell r="G149"/>
          <cell r="H149"/>
          <cell r="I149"/>
          <cell r="J149"/>
          <cell r="K149"/>
          <cell r="L149"/>
          <cell r="M149"/>
          <cell r="N149"/>
          <cell r="O149"/>
          <cell r="P149"/>
          <cell r="Q149"/>
          <cell r="R149"/>
          <cell r="S149"/>
          <cell r="T149"/>
          <cell r="U149"/>
          <cell r="V149"/>
          <cell r="W149"/>
        </row>
        <row r="150">
          <cell r="A150" t="str">
            <v>4.4.19</v>
          </cell>
          <cell r="B150" t="str">
            <v>TRM104.1</v>
          </cell>
          <cell r="C150" t="str">
            <v>V5</v>
          </cell>
          <cell r="D150" t="str">
            <v>CI-HVC-DCV-V01-14060</v>
          </cell>
          <cell r="E150" t="str">
            <v>Demand Controlled Ventilation - Office Building</v>
          </cell>
          <cell r="F150" t="str">
            <v>DCV - Office Building</v>
          </cell>
          <cell r="G150" t="str">
            <v>Controls</v>
          </cell>
          <cell r="H150" t="str">
            <v>Commercial</v>
          </cell>
          <cell r="I150" t="str">
            <v>Unit</v>
          </cell>
          <cell r="J150">
            <v>2227</v>
          </cell>
          <cell r="K150">
            <v>0</v>
          </cell>
          <cell r="L150">
            <v>4539.0333333333338</v>
          </cell>
          <cell r="M150">
            <v>0</v>
          </cell>
          <cell r="N150">
            <v>22270</v>
          </cell>
          <cell r="O150">
            <v>0</v>
          </cell>
          <cell r="P150">
            <v>45390.333333333336</v>
          </cell>
          <cell r="Q150">
            <v>0</v>
          </cell>
          <cell r="R150"/>
          <cell r="S150">
            <v>20850</v>
          </cell>
          <cell r="T150"/>
          <cell r="U150"/>
          <cell r="V150">
            <v>10</v>
          </cell>
          <cell r="W150">
            <v>20850</v>
          </cell>
        </row>
        <row r="151">
          <cell r="A151" t="str">
            <v>4.4.19.2</v>
          </cell>
          <cell r="B151" t="str">
            <v>TRM104.2</v>
          </cell>
          <cell r="C151" t="str">
            <v>V5</v>
          </cell>
          <cell r="D151" t="str">
            <v>CI-HVC-DCV-V01-14060</v>
          </cell>
          <cell r="E151" t="str">
            <v>Demand Controlled Ventilation - Restaurant</v>
          </cell>
          <cell r="F151" t="str">
            <v>DCV - Restaurant</v>
          </cell>
          <cell r="G151" t="str">
            <v>Controls</v>
          </cell>
          <cell r="H151" t="str">
            <v>Commercial</v>
          </cell>
          <cell r="I151" t="str">
            <v>Unit</v>
          </cell>
          <cell r="J151">
            <v>2579</v>
          </cell>
          <cell r="K151">
            <v>0</v>
          </cell>
          <cell r="L151">
            <v>932.25</v>
          </cell>
          <cell r="M151">
            <v>0</v>
          </cell>
          <cell r="N151">
            <v>25790</v>
          </cell>
          <cell r="O151">
            <v>0</v>
          </cell>
          <cell r="P151">
            <v>9322.5</v>
          </cell>
          <cell r="Q151">
            <v>0</v>
          </cell>
          <cell r="R151"/>
          <cell r="S151">
            <v>1750</v>
          </cell>
          <cell r="T151"/>
          <cell r="U151"/>
          <cell r="V151">
            <v>10</v>
          </cell>
          <cell r="W151">
            <v>1750</v>
          </cell>
        </row>
        <row r="152">
          <cell r="A152" t="str">
            <v>4.4.19.3</v>
          </cell>
          <cell r="B152" t="str">
            <v>TRM104.3</v>
          </cell>
          <cell r="C152" t="str">
            <v>V5</v>
          </cell>
          <cell r="D152" t="str">
            <v>CI-HVC-DCV-V01-14060</v>
          </cell>
          <cell r="E152" t="str">
            <v>Demand Controlled Ventilation - De-fault</v>
          </cell>
          <cell r="F152" t="str">
            <v>DCV - Default</v>
          </cell>
          <cell r="G152" t="str">
            <v>Controls</v>
          </cell>
          <cell r="H152" t="str">
            <v>Commercial</v>
          </cell>
          <cell r="I152" t="str">
            <v>Unit</v>
          </cell>
          <cell r="J152">
            <v>2288</v>
          </cell>
          <cell r="K152">
            <v>0</v>
          </cell>
          <cell r="L152">
            <v>11149.049999999997</v>
          </cell>
          <cell r="M152">
            <v>0</v>
          </cell>
          <cell r="N152">
            <v>22880</v>
          </cell>
          <cell r="O152">
            <v>0</v>
          </cell>
          <cell r="P152">
            <v>111490.49999999997</v>
          </cell>
          <cell r="Q152">
            <v>0</v>
          </cell>
          <cell r="R152"/>
          <cell r="S152">
            <v>16950</v>
          </cell>
          <cell r="T152"/>
          <cell r="U152"/>
          <cell r="V152">
            <v>10</v>
          </cell>
          <cell r="W152">
            <v>16950</v>
          </cell>
        </row>
        <row r="153">
          <cell r="A153" t="str">
            <v>4.4.19.7</v>
          </cell>
          <cell r="B153" t="str">
            <v>TRM104.3</v>
          </cell>
          <cell r="C153" t="str">
            <v>V5</v>
          </cell>
          <cell r="D153" t="str">
            <v>CI-HVC-DCV-V01-14060</v>
          </cell>
          <cell r="E153" t="str">
            <v>Demand Controlled Ventilation - Religious Building</v>
          </cell>
          <cell r="F153" t="str">
            <v>DCV - Religions Building</v>
          </cell>
          <cell r="G153" t="str">
            <v>Controls</v>
          </cell>
          <cell r="H153" t="str">
            <v>Commercial</v>
          </cell>
          <cell r="I153" t="str">
            <v>Unit</v>
          </cell>
          <cell r="J153">
            <v>2553</v>
          </cell>
          <cell r="K153">
            <v>0</v>
          </cell>
          <cell r="L153">
            <v>5211</v>
          </cell>
          <cell r="M153">
            <v>0</v>
          </cell>
          <cell r="N153">
            <v>25530</v>
          </cell>
          <cell r="O153">
            <v>0</v>
          </cell>
          <cell r="P153">
            <v>52110</v>
          </cell>
          <cell r="Q153">
            <v>0</v>
          </cell>
          <cell r="R153"/>
          <cell r="S153">
            <v>4000</v>
          </cell>
          <cell r="T153"/>
          <cell r="U153"/>
          <cell r="V153">
            <v>10</v>
          </cell>
          <cell r="W153">
            <v>4000</v>
          </cell>
        </row>
        <row r="154">
          <cell r="A154" t="str">
            <v>4.4.19.8</v>
          </cell>
          <cell r="B154" t="str">
            <v>TRM104.3</v>
          </cell>
          <cell r="C154" t="str">
            <v>V5</v>
          </cell>
          <cell r="D154" t="str">
            <v>CI-HVC-DCV-V01-14060</v>
          </cell>
          <cell r="E154" t="str">
            <v>Demand Controlled Ventilation - Retail</v>
          </cell>
          <cell r="F154" t="str">
            <v>DCV - Retail</v>
          </cell>
          <cell r="G154" t="str">
            <v>Controls</v>
          </cell>
          <cell r="H154" t="str">
            <v>Commercial</v>
          </cell>
          <cell r="I154" t="str">
            <v>Unit</v>
          </cell>
          <cell r="J154">
            <v>2498</v>
          </cell>
          <cell r="K154">
            <v>0</v>
          </cell>
          <cell r="L154">
            <v>852</v>
          </cell>
          <cell r="M154">
            <v>0</v>
          </cell>
          <cell r="N154">
            <v>24980</v>
          </cell>
          <cell r="O154">
            <v>0</v>
          </cell>
          <cell r="P154">
            <v>8520</v>
          </cell>
          <cell r="Q154">
            <v>0</v>
          </cell>
          <cell r="R154"/>
          <cell r="S154">
            <v>3400</v>
          </cell>
          <cell r="T154"/>
          <cell r="U154"/>
          <cell r="V154">
            <v>10</v>
          </cell>
          <cell r="W154">
            <v>3400</v>
          </cell>
        </row>
        <row r="155">
          <cell r="A155" t="str">
            <v>4.4.19.9</v>
          </cell>
          <cell r="B155" t="str">
            <v>TRM104.3</v>
          </cell>
          <cell r="C155" t="str">
            <v>V5</v>
          </cell>
          <cell r="D155" t="str">
            <v>CI-HVC-DCV-V01-14060</v>
          </cell>
          <cell r="E155" t="str">
            <v>Demand Controlled Ventilation - Convenience Store</v>
          </cell>
          <cell r="F155" t="str">
            <v>DCV - Convenience Store</v>
          </cell>
          <cell r="G155" t="str">
            <v>Controls</v>
          </cell>
          <cell r="H155" t="str">
            <v>Commercial</v>
          </cell>
          <cell r="I155" t="str">
            <v>Unit</v>
          </cell>
          <cell r="J155">
            <v>3017</v>
          </cell>
          <cell r="K155">
            <v>0</v>
          </cell>
          <cell r="L155">
            <v>127.8</v>
          </cell>
          <cell r="M155">
            <v>0</v>
          </cell>
          <cell r="N155">
            <v>30170</v>
          </cell>
          <cell r="O155">
            <v>0</v>
          </cell>
          <cell r="P155">
            <v>1278</v>
          </cell>
          <cell r="Q155">
            <v>0</v>
          </cell>
          <cell r="R155"/>
          <cell r="S155">
            <v>1600</v>
          </cell>
          <cell r="T155"/>
          <cell r="U155"/>
          <cell r="V155">
            <v>10</v>
          </cell>
          <cell r="W155">
            <v>1600</v>
          </cell>
        </row>
        <row r="156">
          <cell r="A156" t="str">
            <v>4.4.19.10</v>
          </cell>
          <cell r="B156" t="str">
            <v>TRM104.3</v>
          </cell>
          <cell r="C156" t="str">
            <v>V5</v>
          </cell>
          <cell r="D156" t="str">
            <v>CI-HVC-DCV-V01-14060</v>
          </cell>
          <cell r="E156" t="str">
            <v>Demand Controlled Ventilation - Elementary and High School</v>
          </cell>
          <cell r="F156" t="str">
            <v>DCV - Elementary and High School</v>
          </cell>
          <cell r="G156" t="str">
            <v>Controls</v>
          </cell>
          <cell r="H156" t="str">
            <v>Commercial</v>
          </cell>
          <cell r="I156" t="str">
            <v>Unit</v>
          </cell>
          <cell r="J156">
            <v>1604</v>
          </cell>
          <cell r="K156">
            <v>0</v>
          </cell>
          <cell r="L156">
            <v>11122.499999999998</v>
          </cell>
          <cell r="M156">
            <v>0</v>
          </cell>
          <cell r="N156">
            <v>16040</v>
          </cell>
          <cell r="O156">
            <v>0</v>
          </cell>
          <cell r="P156">
            <v>111224.99999999999</v>
          </cell>
          <cell r="Q156">
            <v>0</v>
          </cell>
          <cell r="R156"/>
          <cell r="S156">
            <v>16000</v>
          </cell>
          <cell r="T156"/>
          <cell r="U156"/>
          <cell r="V156">
            <v>10</v>
          </cell>
          <cell r="W156">
            <v>16000</v>
          </cell>
        </row>
        <row r="157">
          <cell r="A157" t="str">
            <v>4.4.19.11</v>
          </cell>
          <cell r="B157" t="str">
            <v>TRM104.3</v>
          </cell>
          <cell r="C157" t="str">
            <v>V5</v>
          </cell>
          <cell r="D157" t="str">
            <v>CI-HVC-DCV-V01-14060</v>
          </cell>
          <cell r="E157" t="str">
            <v xml:space="preserve">Demand Controlled Ventilation - College/University </v>
          </cell>
          <cell r="F157" t="str">
            <v>DCV - College/University</v>
          </cell>
          <cell r="G157" t="str">
            <v>Controls</v>
          </cell>
          <cell r="H157" t="str">
            <v>Commercial</v>
          </cell>
          <cell r="I157" t="str">
            <v>Unit</v>
          </cell>
          <cell r="J157">
            <v>2035</v>
          </cell>
          <cell r="K157">
            <v>0</v>
          </cell>
          <cell r="L157">
            <v>145299.99999999997</v>
          </cell>
          <cell r="M157">
            <v>0</v>
          </cell>
          <cell r="N157">
            <v>20350</v>
          </cell>
          <cell r="O157">
            <v>0</v>
          </cell>
          <cell r="P157">
            <v>1452999.9999999998</v>
          </cell>
          <cell r="Q157">
            <v>0</v>
          </cell>
          <cell r="R157"/>
          <cell r="S157">
            <v>101000</v>
          </cell>
          <cell r="T157"/>
          <cell r="U157"/>
          <cell r="V157">
            <v>10</v>
          </cell>
          <cell r="W157">
            <v>101000</v>
          </cell>
        </row>
        <row r="158">
          <cell r="A158" t="str">
            <v>4.4.19.12</v>
          </cell>
          <cell r="B158" t="str">
            <v>TRM104.3</v>
          </cell>
          <cell r="C158" t="str">
            <v>V5</v>
          </cell>
          <cell r="D158" t="str">
            <v>CI-HVC-DCV-V01-14060</v>
          </cell>
          <cell r="E158" t="str">
            <v>Demand Controlled Ventilation - Healthcare Clinic</v>
          </cell>
          <cell r="F158" t="str">
            <v>DCV - Healthcare Clinic</v>
          </cell>
          <cell r="G158" t="str">
            <v>Controls</v>
          </cell>
          <cell r="H158" t="str">
            <v>Commercial</v>
          </cell>
          <cell r="I158" t="str">
            <v>Unit</v>
          </cell>
          <cell r="J158">
            <v>1792.9999999999998</v>
          </cell>
          <cell r="K158">
            <v>0</v>
          </cell>
          <cell r="L158">
            <v>3476.2499999999991</v>
          </cell>
          <cell r="M158">
            <v>0</v>
          </cell>
          <cell r="N158">
            <v>17929.999999999996</v>
          </cell>
          <cell r="O158">
            <v>0</v>
          </cell>
          <cell r="P158">
            <v>34762.499999999993</v>
          </cell>
          <cell r="Q158">
            <v>0</v>
          </cell>
          <cell r="R158"/>
          <cell r="S158">
            <v>7750</v>
          </cell>
          <cell r="T158"/>
          <cell r="U158"/>
          <cell r="V158">
            <v>10</v>
          </cell>
          <cell r="W158">
            <v>7750</v>
          </cell>
        </row>
        <row r="159">
          <cell r="A159" t="str">
            <v>4.4.19.13</v>
          </cell>
          <cell r="B159" t="str">
            <v>TRM104.3</v>
          </cell>
          <cell r="C159" t="str">
            <v>V5</v>
          </cell>
          <cell r="D159" t="str">
            <v>CI-HVC-DCV-V01-14060</v>
          </cell>
          <cell r="E159" t="str">
            <v>Demand Controlled Ventilation - lodging</v>
          </cell>
          <cell r="F159" t="str">
            <v>DCV - lodging</v>
          </cell>
          <cell r="G159" t="str">
            <v>Controls</v>
          </cell>
          <cell r="H159" t="str">
            <v>Commercial</v>
          </cell>
          <cell r="I159" t="str">
            <v>Unit</v>
          </cell>
          <cell r="J159">
            <v>2891</v>
          </cell>
          <cell r="K159">
            <v>0</v>
          </cell>
          <cell r="L159">
            <v>1321.5999999999997</v>
          </cell>
          <cell r="M159">
            <v>0</v>
          </cell>
          <cell r="N159">
            <v>28910</v>
          </cell>
          <cell r="O159">
            <v>0</v>
          </cell>
          <cell r="P159">
            <v>13215.999999999996</v>
          </cell>
          <cell r="Q159">
            <v>0</v>
          </cell>
          <cell r="R159"/>
          <cell r="S159">
            <v>6600</v>
          </cell>
          <cell r="T159"/>
          <cell r="U159"/>
          <cell r="V159">
            <v>10</v>
          </cell>
          <cell r="W159">
            <v>6600</v>
          </cell>
        </row>
        <row r="160">
          <cell r="A160" t="str">
            <v>4.4.19.14</v>
          </cell>
          <cell r="B160" t="str">
            <v>TRM104.3</v>
          </cell>
          <cell r="C160" t="str">
            <v>V5</v>
          </cell>
          <cell r="D160" t="str">
            <v>CI-HVC-DCV-V01-14060</v>
          </cell>
          <cell r="E160" t="str">
            <v>Demand Controlled Ventilation - Manufacturing</v>
          </cell>
          <cell r="F160" t="str">
            <v>DCV - Manufacturing</v>
          </cell>
          <cell r="G160" t="str">
            <v>Controls</v>
          </cell>
          <cell r="H160" t="str">
            <v>Commercial</v>
          </cell>
          <cell r="I160" t="str">
            <v>Unit</v>
          </cell>
          <cell r="J160">
            <v>2408.5</v>
          </cell>
          <cell r="K160">
            <v>0</v>
          </cell>
          <cell r="L160">
            <v>4825</v>
          </cell>
          <cell r="M160">
            <v>0</v>
          </cell>
          <cell r="N160">
            <v>24085</v>
          </cell>
          <cell r="O160">
            <v>0</v>
          </cell>
          <cell r="P160">
            <v>48250</v>
          </cell>
          <cell r="Q160">
            <v>0</v>
          </cell>
          <cell r="R160"/>
          <cell r="S160">
            <v>26000</v>
          </cell>
          <cell r="T160"/>
          <cell r="U160"/>
          <cell r="V160">
            <v>10</v>
          </cell>
          <cell r="W160">
            <v>26000</v>
          </cell>
        </row>
        <row r="161">
          <cell r="A161" t="str">
            <v>4.4.19.15</v>
          </cell>
          <cell r="B161" t="str">
            <v>TRM104.3</v>
          </cell>
          <cell r="C161" t="str">
            <v>V5</v>
          </cell>
          <cell r="D161" t="str">
            <v>CI-HVC-DCV-V01-14060</v>
          </cell>
          <cell r="E161" t="str">
            <v>Demand Controlled Ventilation - Special Assembly Auditorium</v>
          </cell>
          <cell r="F161" t="str">
            <v>DCV - Special Assembly Auditorium</v>
          </cell>
          <cell r="G161" t="str">
            <v>Controls</v>
          </cell>
          <cell r="H161" t="str">
            <v>Commercial</v>
          </cell>
          <cell r="I161" t="str">
            <v>Unit</v>
          </cell>
          <cell r="J161">
            <v>2135.5</v>
          </cell>
          <cell r="K161">
            <v>0</v>
          </cell>
          <cell r="L161">
            <v>7147.0000000000009</v>
          </cell>
          <cell r="M161">
            <v>0</v>
          </cell>
          <cell r="N161">
            <v>21355</v>
          </cell>
          <cell r="O161">
            <v>0</v>
          </cell>
          <cell r="P161">
            <v>71470.000000000015</v>
          </cell>
          <cell r="Q161">
            <v>0</v>
          </cell>
          <cell r="R161"/>
          <cell r="S161">
            <v>4500</v>
          </cell>
          <cell r="T161"/>
          <cell r="U161"/>
          <cell r="V161">
            <v>10</v>
          </cell>
          <cell r="W161">
            <v>4500</v>
          </cell>
        </row>
        <row r="162">
          <cell r="A162" t="str">
            <v>4.4.19.16</v>
          </cell>
          <cell r="B162" t="str">
            <v>TRM104.3</v>
          </cell>
          <cell r="C162" t="str">
            <v>V5</v>
          </cell>
          <cell r="D162" t="str">
            <v>CI-HVC-DCV-V01-14060</v>
          </cell>
          <cell r="E162" t="str">
            <v>Demand Controlled Ventilation - Office - Low-rise</v>
          </cell>
          <cell r="F162" t="str">
            <v>DCV - Office Low Rise</v>
          </cell>
          <cell r="G162" t="str">
            <v>Controls</v>
          </cell>
          <cell r="H162" t="str">
            <v>Commercial</v>
          </cell>
          <cell r="I162" t="str">
            <v>Unit</v>
          </cell>
          <cell r="J162">
            <v>2279</v>
          </cell>
          <cell r="K162">
            <v>0</v>
          </cell>
          <cell r="L162">
            <v>201.75</v>
          </cell>
          <cell r="M162">
            <v>0</v>
          </cell>
          <cell r="N162">
            <v>22790</v>
          </cell>
          <cell r="O162">
            <v>0</v>
          </cell>
          <cell r="P162">
            <v>2017.5</v>
          </cell>
          <cell r="Q162">
            <v>0</v>
          </cell>
          <cell r="R162"/>
          <cell r="S162">
            <v>1750</v>
          </cell>
          <cell r="T162"/>
          <cell r="U162"/>
          <cell r="V162">
            <v>10</v>
          </cell>
          <cell r="W162">
            <v>1750</v>
          </cell>
        </row>
        <row r="163">
          <cell r="A163" t="str">
            <v>4.4.19.17</v>
          </cell>
          <cell r="B163" t="str">
            <v>TRM104.3</v>
          </cell>
          <cell r="C163" t="str">
            <v>V5</v>
          </cell>
          <cell r="D163" t="str">
            <v>CI-HVC-DCV-V01-14060</v>
          </cell>
          <cell r="E163" t="str">
            <v>Demand Controlled Ventilation - Small Building (custom)</v>
          </cell>
          <cell r="F163" t="str">
            <v>DCV - Small Building (custom)</v>
          </cell>
          <cell r="G163" t="str">
            <v>Controls</v>
          </cell>
          <cell r="H163" t="str">
            <v>Commercial</v>
          </cell>
          <cell r="I163" t="str">
            <v>Unit</v>
          </cell>
          <cell r="J163">
            <v>2437.75</v>
          </cell>
          <cell r="K163">
            <v>0</v>
          </cell>
          <cell r="L163">
            <v>300.75</v>
          </cell>
          <cell r="M163">
            <v>0</v>
          </cell>
          <cell r="N163">
            <v>24377.5</v>
          </cell>
          <cell r="O163">
            <v>0</v>
          </cell>
          <cell r="P163">
            <v>3007.5</v>
          </cell>
          <cell r="Q163">
            <v>0</v>
          </cell>
          <cell r="R163"/>
          <cell r="S163">
            <v>1600</v>
          </cell>
          <cell r="T163"/>
          <cell r="U163"/>
          <cell r="V163">
            <v>10</v>
          </cell>
          <cell r="W163">
            <v>1600</v>
          </cell>
        </row>
        <row r="164">
          <cell r="A164" t="str">
            <v>4.4.19.18</v>
          </cell>
          <cell r="B164" t="str">
            <v>TRM104.3</v>
          </cell>
          <cell r="C164" t="str">
            <v>V5</v>
          </cell>
          <cell r="D164" t="str">
            <v>CI-HVC-DCV-V01-14060</v>
          </cell>
          <cell r="E164" t="str">
            <v>Demand Controlled Ventilation - Small College (custom)</v>
          </cell>
          <cell r="F164" t="str">
            <v>DCV - Small College (custom)</v>
          </cell>
          <cell r="G164" t="str">
            <v>Controls</v>
          </cell>
          <cell r="H164" t="str">
            <v>Commercial</v>
          </cell>
          <cell r="I164" t="str">
            <v>Unit</v>
          </cell>
          <cell r="J164">
            <v>2035</v>
          </cell>
          <cell r="K164">
            <v>0</v>
          </cell>
          <cell r="L164">
            <v>3632.4999999999995</v>
          </cell>
          <cell r="M164">
            <v>0</v>
          </cell>
          <cell r="N164">
            <v>20350</v>
          </cell>
          <cell r="O164">
            <v>0</v>
          </cell>
          <cell r="P164">
            <v>36324.999999999993</v>
          </cell>
          <cell r="Q164">
            <v>0</v>
          </cell>
          <cell r="R164"/>
          <cell r="S164">
            <v>3500</v>
          </cell>
          <cell r="T164"/>
          <cell r="U164"/>
          <cell r="V164">
            <v>10</v>
          </cell>
          <cell r="W164">
            <v>3500</v>
          </cell>
        </row>
        <row r="165">
          <cell r="A165" t="str">
            <v>4.4.19.19</v>
          </cell>
          <cell r="B165" t="str">
            <v>TRM104.3</v>
          </cell>
          <cell r="C165" t="str">
            <v>V5</v>
          </cell>
          <cell r="D165" t="str">
            <v>CI-HVC-DCV-V01-14060</v>
          </cell>
          <cell r="E165" t="str">
            <v>Demand Controlled Ventilation - Small Elementary and High School (custom)</v>
          </cell>
          <cell r="F165" t="str">
            <v>DCV - Small Elementary and High School (custom)</v>
          </cell>
          <cell r="G165" t="str">
            <v>Controls</v>
          </cell>
          <cell r="H165" t="str">
            <v>Commercial</v>
          </cell>
          <cell r="I165" t="str">
            <v>Unit</v>
          </cell>
          <cell r="J165">
            <v>1604</v>
          </cell>
          <cell r="K165">
            <v>0</v>
          </cell>
          <cell r="L165">
            <v>5561.2499999999991</v>
          </cell>
          <cell r="M165">
            <v>0</v>
          </cell>
          <cell r="N165">
            <v>16040</v>
          </cell>
          <cell r="O165">
            <v>0</v>
          </cell>
          <cell r="P165">
            <v>55612.499999999993</v>
          </cell>
          <cell r="Q165">
            <v>0</v>
          </cell>
          <cell r="R165"/>
          <cell r="S165">
            <v>8500</v>
          </cell>
          <cell r="T165"/>
          <cell r="U165"/>
          <cell r="V165">
            <v>10</v>
          </cell>
          <cell r="W165">
            <v>8500</v>
          </cell>
        </row>
        <row r="166">
          <cell r="A166"/>
          <cell r="B166"/>
          <cell r="C166"/>
          <cell r="D166"/>
          <cell r="E166"/>
          <cell r="F166"/>
          <cell r="G166"/>
          <cell r="H166"/>
          <cell r="I166"/>
          <cell r="J166"/>
          <cell r="K166"/>
          <cell r="L166"/>
          <cell r="M166"/>
          <cell r="N166"/>
          <cell r="O166"/>
          <cell r="P166"/>
          <cell r="Q166"/>
          <cell r="R166"/>
          <cell r="S166"/>
          <cell r="T166"/>
          <cell r="U166"/>
          <cell r="V166"/>
          <cell r="W166"/>
        </row>
        <row r="167">
          <cell r="A167" t="str">
            <v>4.4.20</v>
          </cell>
          <cell r="B167" t="str">
            <v>TRM114</v>
          </cell>
          <cell r="C167" t="str">
            <v>V5</v>
          </cell>
          <cell r="D167" t="str">
            <v>CI-HVAC-HTBC-V04-140601</v>
          </cell>
          <cell r="E167" t="str">
            <v>High Turndown Burner for Space Heating Boilers</v>
          </cell>
          <cell r="F167" t="str">
            <v>High Turndown Burner</v>
          </cell>
          <cell r="G167" t="str">
            <v>Boilers</v>
          </cell>
          <cell r="H167" t="str">
            <v>Commercial</v>
          </cell>
          <cell r="I167" t="str">
            <v>Project</v>
          </cell>
          <cell r="J167">
            <v>0</v>
          </cell>
          <cell r="K167">
            <v>0</v>
          </cell>
          <cell r="L167">
            <v>159.60000000000002</v>
          </cell>
          <cell r="M167"/>
          <cell r="N167">
            <v>0</v>
          </cell>
          <cell r="O167">
            <v>0</v>
          </cell>
          <cell r="P167">
            <v>3351.6000000000004</v>
          </cell>
          <cell r="Q167"/>
          <cell r="R167"/>
          <cell r="S167"/>
          <cell r="T167"/>
          <cell r="U167"/>
          <cell r="V167">
            <v>21</v>
          </cell>
          <cell r="W167">
            <v>2023.9999999999998</v>
          </cell>
        </row>
        <row r="168">
          <cell r="A168"/>
          <cell r="B168"/>
          <cell r="C168"/>
          <cell r="D168"/>
          <cell r="E168"/>
          <cell r="F168"/>
          <cell r="G168"/>
          <cell r="H168"/>
          <cell r="I168"/>
          <cell r="J168"/>
          <cell r="K168"/>
          <cell r="L168"/>
          <cell r="M168"/>
          <cell r="N168"/>
          <cell r="O168"/>
          <cell r="P168"/>
          <cell r="Q168"/>
          <cell r="R168"/>
          <cell r="S168"/>
          <cell r="T168"/>
          <cell r="U168"/>
          <cell r="V168"/>
          <cell r="W168"/>
        </row>
        <row r="169">
          <cell r="A169" t="str">
            <v>4.4.21.2</v>
          </cell>
          <cell r="B169" t="str">
            <v>TRM105</v>
          </cell>
          <cell r="C169" t="str">
            <v>V5</v>
          </cell>
          <cell r="D169" t="str">
            <v>CI-HVC-LBC-V04-140601</v>
          </cell>
          <cell r="E169" t="str">
            <v>Linkageless Boiler Controls for Space Heating - Public Sector</v>
          </cell>
          <cell r="F169" t="str">
            <v>Linkageless Controls - Public Sector</v>
          </cell>
          <cell r="G169" t="str">
            <v>Boilers</v>
          </cell>
          <cell r="H169" t="str">
            <v>Commercial</v>
          </cell>
          <cell r="I169" t="str">
            <v>Project</v>
          </cell>
          <cell r="J169">
            <v>0</v>
          </cell>
          <cell r="K169">
            <v>0</v>
          </cell>
          <cell r="L169">
            <v>0.57953799999999989</v>
          </cell>
          <cell r="M169">
            <v>0</v>
          </cell>
          <cell r="N169">
            <v>0</v>
          </cell>
          <cell r="O169">
            <v>0</v>
          </cell>
          <cell r="P169">
            <v>9.2726079999999982</v>
          </cell>
          <cell r="Q169">
            <v>0</v>
          </cell>
          <cell r="R169"/>
          <cell r="S169"/>
          <cell r="T169"/>
          <cell r="U169"/>
          <cell r="V169">
            <v>16</v>
          </cell>
          <cell r="W169">
            <v>2.5</v>
          </cell>
        </row>
        <row r="170">
          <cell r="A170"/>
          <cell r="B170"/>
          <cell r="C170"/>
          <cell r="D170"/>
          <cell r="E170"/>
          <cell r="F170"/>
          <cell r="G170"/>
          <cell r="H170"/>
          <cell r="I170"/>
          <cell r="J170"/>
          <cell r="K170"/>
          <cell r="L170"/>
          <cell r="M170"/>
          <cell r="N170"/>
          <cell r="O170"/>
          <cell r="P170"/>
          <cell r="Q170"/>
          <cell r="R170"/>
          <cell r="S170"/>
          <cell r="T170"/>
          <cell r="U170"/>
          <cell r="V170"/>
          <cell r="W170"/>
        </row>
        <row r="171">
          <cell r="A171" t="str">
            <v>4.4.22</v>
          </cell>
          <cell r="B171" t="str">
            <v>TRM106</v>
          </cell>
          <cell r="C171" t="str">
            <v>V5</v>
          </cell>
          <cell r="D171" t="str">
            <v>CI-HVC-O2TC-V01-140601</v>
          </cell>
          <cell r="E171" t="str">
            <v>Oxygen Trim Controls</v>
          </cell>
          <cell r="F171" t="str">
            <v>O2 Trim</v>
          </cell>
          <cell r="G171" t="str">
            <v>Boilers</v>
          </cell>
          <cell r="H171" t="str">
            <v>Commercial</v>
          </cell>
          <cell r="I171" t="str">
            <v>Project</v>
          </cell>
          <cell r="J171">
            <v>0</v>
          </cell>
          <cell r="K171">
            <v>0</v>
          </cell>
          <cell r="L171">
            <v>0.12397499999999999</v>
          </cell>
          <cell r="M171">
            <v>0</v>
          </cell>
          <cell r="N171">
            <v>0</v>
          </cell>
          <cell r="O171">
            <v>0</v>
          </cell>
          <cell r="P171">
            <v>2.2315499999999999</v>
          </cell>
          <cell r="Q171">
            <v>0</v>
          </cell>
          <cell r="R171"/>
          <cell r="S171"/>
          <cell r="T171"/>
          <cell r="U171"/>
          <cell r="V171">
            <v>18</v>
          </cell>
          <cell r="W171">
            <v>23250</v>
          </cell>
        </row>
        <row r="172">
          <cell r="A172"/>
          <cell r="B172"/>
          <cell r="C172"/>
          <cell r="D172"/>
          <cell r="E172"/>
          <cell r="F172"/>
          <cell r="G172"/>
          <cell r="H172"/>
          <cell r="I172"/>
          <cell r="J172"/>
          <cell r="K172"/>
          <cell r="L172"/>
          <cell r="M172"/>
          <cell r="N172"/>
          <cell r="O172"/>
          <cell r="P172"/>
          <cell r="Q172"/>
          <cell r="R172"/>
          <cell r="S172"/>
          <cell r="T172"/>
          <cell r="U172"/>
          <cell r="V172"/>
          <cell r="W172"/>
        </row>
        <row r="173">
          <cell r="A173" t="str">
            <v>4.4.23</v>
          </cell>
          <cell r="B173" t="str">
            <v>TRM107</v>
          </cell>
          <cell r="C173" t="str">
            <v>V5</v>
          </cell>
          <cell r="D173" t="str">
            <v>CI-HVC-SODP-V01-140601</v>
          </cell>
          <cell r="E173" t="str">
            <v>Shut Off Damper for Space Heating Boilers or Furnaces</v>
          </cell>
          <cell r="F173" t="str">
            <v>Shut Off Damper for Space Heating Boilers or Furnaces</v>
          </cell>
          <cell r="G173" t="str">
            <v>Boilers</v>
          </cell>
          <cell r="H173" t="str">
            <v>Commercial</v>
          </cell>
          <cell r="I173" t="str">
            <v>Project</v>
          </cell>
          <cell r="J173">
            <v>0</v>
          </cell>
          <cell r="K173">
            <v>0</v>
          </cell>
          <cell r="L173">
            <v>102.54880000000001</v>
          </cell>
          <cell r="M173">
            <v>0</v>
          </cell>
          <cell r="N173">
            <v>0</v>
          </cell>
          <cell r="O173">
            <v>0</v>
          </cell>
          <cell r="P173">
            <v>1538.2320000000002</v>
          </cell>
          <cell r="Q173">
            <v>0</v>
          </cell>
          <cell r="R173"/>
          <cell r="S173"/>
          <cell r="T173"/>
          <cell r="U173"/>
          <cell r="V173">
            <v>15</v>
          </cell>
          <cell r="W173">
            <v>1500</v>
          </cell>
        </row>
        <row r="174">
          <cell r="A174"/>
          <cell r="B174"/>
          <cell r="C174"/>
          <cell r="D174"/>
          <cell r="E174"/>
          <cell r="F174"/>
          <cell r="G174"/>
          <cell r="H174"/>
          <cell r="I174"/>
          <cell r="J174"/>
          <cell r="K174"/>
          <cell r="L174"/>
          <cell r="M174"/>
          <cell r="N174"/>
          <cell r="O174"/>
          <cell r="P174"/>
          <cell r="Q174"/>
          <cell r="R174"/>
          <cell r="S174"/>
          <cell r="T174"/>
          <cell r="U174"/>
          <cell r="V174"/>
          <cell r="W174"/>
        </row>
        <row r="175">
          <cell r="A175" t="str">
            <v>4.4.25.1</v>
          </cell>
          <cell r="B175" t="str">
            <v>TRM111.1</v>
          </cell>
          <cell r="C175" t="str">
            <v>V5</v>
          </cell>
          <cell r="D175" t="str">
            <v>CI-HVC- PRGA -V01-150601</v>
          </cell>
          <cell r="E175" t="str">
            <v>Programmable Thermostat Adjustments - Assembly</v>
          </cell>
          <cell r="F175" t="str">
            <v>Programmable Thermostat Adjustments - Assembly</v>
          </cell>
          <cell r="G175" t="str">
            <v>Thermostats</v>
          </cell>
          <cell r="H175" t="str">
            <v>Commercial</v>
          </cell>
          <cell r="I175" t="str">
            <v>Project</v>
          </cell>
          <cell r="J175">
            <v>10</v>
          </cell>
          <cell r="K175">
            <v>30</v>
          </cell>
          <cell r="L175">
            <v>56.13000000000001</v>
          </cell>
          <cell r="M175"/>
          <cell r="N175">
            <v>20</v>
          </cell>
          <cell r="O175">
            <v>60</v>
          </cell>
          <cell r="P175">
            <v>112.26000000000002</v>
          </cell>
          <cell r="Q175"/>
          <cell r="R175"/>
          <cell r="S175">
            <v>70.34</v>
          </cell>
          <cell r="T175"/>
          <cell r="U175"/>
          <cell r="V175">
            <v>2</v>
          </cell>
          <cell r="W175">
            <v>70.34</v>
          </cell>
        </row>
        <row r="176">
          <cell r="A176" t="str">
            <v>4.4.25.2</v>
          </cell>
          <cell r="B176" t="str">
            <v>TRM111.2</v>
          </cell>
          <cell r="C176" t="str">
            <v>V5</v>
          </cell>
          <cell r="D176" t="str">
            <v>CI-HVC- PRGA -V01-150601</v>
          </cell>
          <cell r="E176" t="str">
            <v>Programmable Thermostat Adjustments - Convenience Store</v>
          </cell>
          <cell r="F176" t="str">
            <v>Programmable Thermostat Adjustments - Convenience Store</v>
          </cell>
          <cell r="G176" t="str">
            <v>Thermostats</v>
          </cell>
          <cell r="H176" t="str">
            <v>Commercial</v>
          </cell>
          <cell r="I176" t="str">
            <v>Project</v>
          </cell>
          <cell r="J176">
            <v>10</v>
          </cell>
          <cell r="K176">
            <v>30</v>
          </cell>
          <cell r="L176">
            <v>2.4990000000000179</v>
          </cell>
          <cell r="M176"/>
          <cell r="N176">
            <v>20</v>
          </cell>
          <cell r="O176">
            <v>60</v>
          </cell>
          <cell r="P176">
            <v>4.9980000000000357</v>
          </cell>
          <cell r="Q176"/>
          <cell r="R176"/>
          <cell r="S176">
            <v>70.34</v>
          </cell>
          <cell r="T176"/>
          <cell r="U176"/>
          <cell r="V176">
            <v>2</v>
          </cell>
          <cell r="W176">
            <v>70.34</v>
          </cell>
        </row>
        <row r="177">
          <cell r="A177" t="str">
            <v>4.4.25.3</v>
          </cell>
          <cell r="B177" t="str">
            <v>TRM111.3</v>
          </cell>
          <cell r="C177" t="str">
            <v>V5</v>
          </cell>
          <cell r="D177" t="str">
            <v>CI-HVC- PRGA -V01-150601</v>
          </cell>
          <cell r="E177" t="str">
            <v>Programmable Thermostat Adjustments - Office - Low Rise</v>
          </cell>
          <cell r="F177" t="str">
            <v>Programmable Thermostat Adjustments - Office - Low Rise</v>
          </cell>
          <cell r="G177" t="str">
            <v>Thermostats</v>
          </cell>
          <cell r="H177" t="str">
            <v>Commercial</v>
          </cell>
          <cell r="I177" t="str">
            <v>Project</v>
          </cell>
          <cell r="J177">
            <v>10</v>
          </cell>
          <cell r="K177">
            <v>30</v>
          </cell>
          <cell r="L177">
            <v>14.399999999999979</v>
          </cell>
          <cell r="M177"/>
          <cell r="N177">
            <v>20</v>
          </cell>
          <cell r="O177">
            <v>60</v>
          </cell>
          <cell r="P177">
            <v>28.799999999999958</v>
          </cell>
          <cell r="Q177"/>
          <cell r="R177"/>
          <cell r="S177">
            <v>70.34</v>
          </cell>
          <cell r="T177"/>
          <cell r="U177"/>
          <cell r="V177">
            <v>2</v>
          </cell>
          <cell r="W177">
            <v>70.34</v>
          </cell>
        </row>
        <row r="178">
          <cell r="A178" t="str">
            <v>4.4.25.4</v>
          </cell>
          <cell r="B178" t="str">
            <v>TRM111.4</v>
          </cell>
          <cell r="C178" t="str">
            <v>V5</v>
          </cell>
          <cell r="D178" t="str">
            <v>CI-HVC- PRGA -V01-150601</v>
          </cell>
          <cell r="E178" t="str">
            <v>Programmable Thermostat Adjustments - Religious Facility</v>
          </cell>
          <cell r="F178" t="str">
            <v>Programmable Thermostat Adjustments - Religious Facility</v>
          </cell>
          <cell r="G178" t="str">
            <v>Thermostats</v>
          </cell>
          <cell r="H178" t="str">
            <v>Commercial</v>
          </cell>
          <cell r="I178" t="str">
            <v>Project</v>
          </cell>
          <cell r="J178">
            <v>10</v>
          </cell>
          <cell r="K178">
            <v>30</v>
          </cell>
          <cell r="L178">
            <v>47.114999999999974</v>
          </cell>
          <cell r="M178"/>
          <cell r="N178">
            <v>20</v>
          </cell>
          <cell r="O178">
            <v>60</v>
          </cell>
          <cell r="P178">
            <v>94.229999999999947</v>
          </cell>
          <cell r="Q178"/>
          <cell r="R178"/>
          <cell r="S178">
            <v>70.34</v>
          </cell>
          <cell r="T178"/>
          <cell r="U178"/>
          <cell r="V178">
            <v>2</v>
          </cell>
          <cell r="W178">
            <v>70.34</v>
          </cell>
        </row>
        <row r="179">
          <cell r="A179" t="str">
            <v>4.4.25.5</v>
          </cell>
          <cell r="B179" t="str">
            <v>TRM111.5</v>
          </cell>
          <cell r="C179" t="str">
            <v>V5</v>
          </cell>
          <cell r="D179" t="str">
            <v>CI-HVC- PRGA -V01-150601</v>
          </cell>
          <cell r="E179" t="str">
            <v>Programmable Thermostat Adjustments - Restaurant – Fast Food</v>
          </cell>
          <cell r="F179" t="str">
            <v>Programmable Thermostat Adjustments - Restaurant – Fast Food</v>
          </cell>
          <cell r="G179" t="str">
            <v>Thermostats</v>
          </cell>
          <cell r="H179" t="str">
            <v>Commercial</v>
          </cell>
          <cell r="I179" t="str">
            <v>Project</v>
          </cell>
          <cell r="J179">
            <v>10</v>
          </cell>
          <cell r="K179">
            <v>30</v>
          </cell>
          <cell r="L179">
            <v>71.79000000000002</v>
          </cell>
          <cell r="M179"/>
          <cell r="N179">
            <v>20</v>
          </cell>
          <cell r="O179">
            <v>60</v>
          </cell>
          <cell r="P179">
            <v>143.58000000000004</v>
          </cell>
          <cell r="Q179"/>
          <cell r="R179"/>
          <cell r="S179">
            <v>70.34</v>
          </cell>
          <cell r="T179"/>
          <cell r="U179"/>
          <cell r="V179">
            <v>2</v>
          </cell>
          <cell r="W179">
            <v>70.34</v>
          </cell>
        </row>
        <row r="180">
          <cell r="A180" t="str">
            <v>4.4.25.6</v>
          </cell>
          <cell r="B180" t="str">
            <v>TRM111.6</v>
          </cell>
          <cell r="C180" t="str">
            <v>V5</v>
          </cell>
          <cell r="D180" t="str">
            <v>CI-HVC- PRGA -V01-150601</v>
          </cell>
          <cell r="E180" t="str">
            <v>Programmable Thermostat Adjustments - Restaurant – Full Service</v>
          </cell>
          <cell r="F180" t="str">
            <v>Programmable Thermostat Adjustments - Restaurant – Full Service</v>
          </cell>
          <cell r="G180" t="str">
            <v>Thermostats</v>
          </cell>
          <cell r="H180" t="str">
            <v>Commercial</v>
          </cell>
          <cell r="I180" t="str">
            <v>Project</v>
          </cell>
          <cell r="J180">
            <v>10</v>
          </cell>
          <cell r="K180">
            <v>30</v>
          </cell>
          <cell r="L180">
            <v>30.835499999999971</v>
          </cell>
          <cell r="M180"/>
          <cell r="N180">
            <v>20</v>
          </cell>
          <cell r="O180">
            <v>60</v>
          </cell>
          <cell r="P180">
            <v>61.670999999999943</v>
          </cell>
          <cell r="Q180"/>
          <cell r="R180"/>
          <cell r="S180">
            <v>70.34</v>
          </cell>
          <cell r="T180"/>
          <cell r="U180"/>
          <cell r="V180">
            <v>2</v>
          </cell>
          <cell r="W180">
            <v>70.34</v>
          </cell>
        </row>
        <row r="181">
          <cell r="A181" t="str">
            <v>4.4.25.7</v>
          </cell>
          <cell r="B181" t="str">
            <v>TRM111.7</v>
          </cell>
          <cell r="C181" t="str">
            <v>V5</v>
          </cell>
          <cell r="D181" t="str">
            <v>CI-HVC- PRGA -V01-150601</v>
          </cell>
          <cell r="E181" t="str">
            <v>Programmable Thermostat Adjustments - Retail – Department Store</v>
          </cell>
          <cell r="F181" t="str">
            <v>Programmable Thermostat Adjustments - Retail – Department Store</v>
          </cell>
          <cell r="G181" t="str">
            <v>Thermostats</v>
          </cell>
          <cell r="H181" t="str">
            <v>Commercial</v>
          </cell>
          <cell r="I181" t="str">
            <v>Project</v>
          </cell>
          <cell r="J181">
            <v>10</v>
          </cell>
          <cell r="K181">
            <v>30</v>
          </cell>
          <cell r="L181">
            <v>36.310500000000005</v>
          </cell>
          <cell r="M181"/>
          <cell r="N181">
            <v>20</v>
          </cell>
          <cell r="O181">
            <v>60</v>
          </cell>
          <cell r="P181">
            <v>72.621000000000009</v>
          </cell>
          <cell r="Q181"/>
          <cell r="R181"/>
          <cell r="S181">
            <v>70.34</v>
          </cell>
          <cell r="T181"/>
          <cell r="U181"/>
          <cell r="V181">
            <v>2</v>
          </cell>
          <cell r="W181">
            <v>70.34</v>
          </cell>
        </row>
        <row r="182">
          <cell r="A182" t="str">
            <v>4.4.25.8</v>
          </cell>
          <cell r="B182" t="str">
            <v>TRM111.8</v>
          </cell>
          <cell r="C182" t="str">
            <v>V5</v>
          </cell>
          <cell r="D182" t="str">
            <v>CI-HVC- PRGA -V01-150601</v>
          </cell>
          <cell r="E182" t="str">
            <v>Programmable Thermostat Adjustments - Retail – Strip Mall</v>
          </cell>
          <cell r="F182" t="str">
            <v>Programmable Thermostat Adjustments - Retail – Strip Mall</v>
          </cell>
          <cell r="G182" t="str">
            <v>Thermostats</v>
          </cell>
          <cell r="H182" t="str">
            <v>Commercial</v>
          </cell>
          <cell r="I182" t="str">
            <v>Project</v>
          </cell>
          <cell r="J182">
            <v>10</v>
          </cell>
          <cell r="K182">
            <v>30</v>
          </cell>
          <cell r="L182">
            <v>43.762499999999996</v>
          </cell>
          <cell r="M182"/>
          <cell r="N182">
            <v>20</v>
          </cell>
          <cell r="O182">
            <v>60</v>
          </cell>
          <cell r="P182">
            <v>87.524999999999991</v>
          </cell>
          <cell r="Q182"/>
          <cell r="R182"/>
          <cell r="S182">
            <v>70.34</v>
          </cell>
          <cell r="T182"/>
          <cell r="U182"/>
          <cell r="V182">
            <v>2</v>
          </cell>
          <cell r="W182">
            <v>70.34</v>
          </cell>
        </row>
        <row r="183">
          <cell r="A183"/>
          <cell r="B183"/>
          <cell r="C183"/>
          <cell r="D183"/>
          <cell r="E183"/>
          <cell r="F183"/>
          <cell r="G183"/>
          <cell r="H183"/>
          <cell r="I183"/>
          <cell r="J183"/>
          <cell r="K183"/>
          <cell r="L183"/>
          <cell r="M183"/>
          <cell r="N183"/>
          <cell r="O183"/>
          <cell r="P183"/>
          <cell r="Q183"/>
          <cell r="R183"/>
          <cell r="S183"/>
          <cell r="T183"/>
          <cell r="U183"/>
          <cell r="V183"/>
          <cell r="W183"/>
        </row>
        <row r="184">
          <cell r="A184" t="str">
            <v>4.4.28.1</v>
          </cell>
          <cell r="B184" t="str">
            <v>TRM115.1</v>
          </cell>
          <cell r="C184" t="str">
            <v>V5</v>
          </cell>
          <cell r="D184" t="str">
            <v>CI-HVC-BECO-V01-150601</v>
          </cell>
          <cell r="E184" t="str">
            <v>Stack Economizer for HVAC Loads Water (81.9%)Boiler Conventional</v>
          </cell>
          <cell r="F184" t="str">
            <v>HVAC Economizer for Conventional Water Boiler</v>
          </cell>
          <cell r="G184" t="str">
            <v>Boilers</v>
          </cell>
          <cell r="H184" t="str">
            <v>Commercial</v>
          </cell>
          <cell r="I184" t="str">
            <v>Project</v>
          </cell>
          <cell r="J184">
            <v>0</v>
          </cell>
          <cell r="K184">
            <v>0</v>
          </cell>
          <cell r="L184">
            <v>590.70869999999991</v>
          </cell>
          <cell r="M184"/>
          <cell r="N184">
            <v>0</v>
          </cell>
          <cell r="O184">
            <v>0</v>
          </cell>
          <cell r="P184">
            <v>8860.6304999999993</v>
          </cell>
          <cell r="Q184"/>
          <cell r="R184"/>
          <cell r="S184"/>
          <cell r="T184"/>
          <cell r="U184"/>
          <cell r="V184">
            <v>15</v>
          </cell>
          <cell r="W184">
            <v>0</v>
          </cell>
        </row>
        <row r="185">
          <cell r="A185" t="str">
            <v>4.4.28.2</v>
          </cell>
          <cell r="B185" t="str">
            <v>TRM115.2</v>
          </cell>
          <cell r="C185" t="str">
            <v>V5</v>
          </cell>
          <cell r="D185" t="str">
            <v>CI-HVC-BECO-V01-150601</v>
          </cell>
          <cell r="E185" t="str">
            <v>Stack Economizer for HVAC Loads Water (81.9%)Boiler Condensing</v>
          </cell>
          <cell r="F185" t="str">
            <v>HVAC Economizer for Condensing Water Boiler</v>
          </cell>
          <cell r="G185" t="str">
            <v>Boilers</v>
          </cell>
          <cell r="H185" t="str">
            <v>Commercial</v>
          </cell>
          <cell r="I185" t="str">
            <v>Project</v>
          </cell>
          <cell r="J185">
            <v>0</v>
          </cell>
          <cell r="K185">
            <v>0</v>
          </cell>
          <cell r="L185">
            <v>979.1198999999998</v>
          </cell>
          <cell r="M185"/>
          <cell r="N185">
            <v>0</v>
          </cell>
          <cell r="O185">
            <v>0</v>
          </cell>
          <cell r="P185">
            <v>14686.798499999997</v>
          </cell>
          <cell r="Q185"/>
          <cell r="R185"/>
          <cell r="S185"/>
          <cell r="T185"/>
          <cell r="U185"/>
          <cell r="V185">
            <v>15</v>
          </cell>
          <cell r="W185">
            <v>0</v>
          </cell>
        </row>
        <row r="186">
          <cell r="A186" t="str">
            <v>4.4.28.3</v>
          </cell>
          <cell r="B186" t="str">
            <v>TRM115.3</v>
          </cell>
          <cell r="C186" t="str">
            <v>V5</v>
          </cell>
          <cell r="D186" t="str">
            <v>CI-HVC-BECO-V01-150601</v>
          </cell>
          <cell r="E186" t="str">
            <v>Stack Economizer for HVAC Loads Steam (80.7%) Boiler Conventional</v>
          </cell>
          <cell r="F186" t="str">
            <v>HVAC Economizer for Conventional Steam Boiler</v>
          </cell>
          <cell r="G186" t="str">
            <v>Boilers</v>
          </cell>
          <cell r="H186" t="str">
            <v>Commercial</v>
          </cell>
          <cell r="I186" t="str">
            <v>Project</v>
          </cell>
          <cell r="J186">
            <v>0</v>
          </cell>
          <cell r="K186">
            <v>0</v>
          </cell>
          <cell r="L186">
            <v>776.8223999999999</v>
          </cell>
          <cell r="M186"/>
          <cell r="N186">
            <v>0</v>
          </cell>
          <cell r="O186">
            <v>0</v>
          </cell>
          <cell r="P186">
            <v>11652.335999999999</v>
          </cell>
          <cell r="Q186"/>
          <cell r="R186"/>
          <cell r="S186"/>
          <cell r="T186"/>
          <cell r="U186"/>
          <cell r="V186">
            <v>15</v>
          </cell>
          <cell r="W186">
            <v>0</v>
          </cell>
        </row>
        <row r="187">
          <cell r="A187" t="str">
            <v>4.4.28.4</v>
          </cell>
          <cell r="B187" t="str">
            <v>TRM115.4</v>
          </cell>
          <cell r="C187" t="str">
            <v>V5</v>
          </cell>
          <cell r="D187" t="str">
            <v>CI-HVC-BECO-V01-150601</v>
          </cell>
          <cell r="E187" t="str">
            <v>Stack Economizer for HVAC Loads Steam (80.7%) Boiler Condensing</v>
          </cell>
          <cell r="F187" t="str">
            <v>HVAC Economizer for Condensing Steam Boiler</v>
          </cell>
          <cell r="G187" t="str">
            <v>Boilers</v>
          </cell>
          <cell r="H187" t="str">
            <v>Commercial</v>
          </cell>
          <cell r="I187" t="str">
            <v>Project</v>
          </cell>
          <cell r="J187">
            <v>0</v>
          </cell>
          <cell r="K187">
            <v>0</v>
          </cell>
          <cell r="L187">
            <v>1162.5363</v>
          </cell>
          <cell r="M187"/>
          <cell r="N187">
            <v>0</v>
          </cell>
          <cell r="O187">
            <v>0</v>
          </cell>
          <cell r="P187">
            <v>17438.0445</v>
          </cell>
          <cell r="Q187"/>
          <cell r="R187"/>
          <cell r="S187"/>
          <cell r="T187"/>
          <cell r="U187"/>
          <cell r="V187">
            <v>15</v>
          </cell>
          <cell r="W187">
            <v>0</v>
          </cell>
        </row>
        <row r="188">
          <cell r="A188"/>
          <cell r="B188"/>
          <cell r="C188"/>
          <cell r="D188"/>
          <cell r="E188"/>
          <cell r="F188"/>
          <cell r="G188"/>
          <cell r="H188"/>
          <cell r="I188"/>
          <cell r="J188"/>
          <cell r="K188"/>
          <cell r="L188"/>
          <cell r="M188"/>
          <cell r="N188"/>
          <cell r="O188"/>
          <cell r="P188"/>
          <cell r="Q188"/>
          <cell r="R188"/>
          <cell r="S188"/>
          <cell r="T188"/>
          <cell r="U188"/>
          <cell r="V188"/>
          <cell r="W188"/>
        </row>
        <row r="189">
          <cell r="A189" t="str">
            <v>4.4.29.1</v>
          </cell>
          <cell r="B189" t="str">
            <v>TRM116.1</v>
          </cell>
          <cell r="C189" t="str">
            <v>V5</v>
          </cell>
          <cell r="D189" t="str">
            <v>CI-HVC-PECO-V01-150601</v>
          </cell>
          <cell r="E189" t="str">
            <v>Stack Economizer for Process Loads Water (81.9%)Boiler Conventional</v>
          </cell>
          <cell r="F189" t="str">
            <v>Process Economizer for Conventional Water Boiler</v>
          </cell>
          <cell r="G189" t="str">
            <v>Boilers</v>
          </cell>
          <cell r="H189" t="str">
            <v>Commercial</v>
          </cell>
          <cell r="I189" t="str">
            <v>Project</v>
          </cell>
          <cell r="J189">
            <v>0</v>
          </cell>
          <cell r="K189">
            <v>0</v>
          </cell>
          <cell r="L189">
            <v>1206.5653890000001</v>
          </cell>
          <cell r="M189"/>
          <cell r="N189">
            <v>0</v>
          </cell>
          <cell r="O189">
            <v>0</v>
          </cell>
          <cell r="P189">
            <v>18098.480835000002</v>
          </cell>
          <cell r="Q189"/>
          <cell r="R189"/>
          <cell r="S189"/>
          <cell r="T189"/>
          <cell r="U189"/>
          <cell r="V189">
            <v>15</v>
          </cell>
          <cell r="W189">
            <v>0</v>
          </cell>
        </row>
        <row r="190">
          <cell r="A190" t="str">
            <v>4.4.29.2</v>
          </cell>
          <cell r="B190" t="str">
            <v>TRM116.2</v>
          </cell>
          <cell r="C190" t="str">
            <v>V5</v>
          </cell>
          <cell r="D190" t="str">
            <v>CI-HVC-PECO-V01-150601</v>
          </cell>
          <cell r="E190" t="str">
            <v>Stack Economizer for Process Loads Water (81.9%)Boiler Condensing</v>
          </cell>
          <cell r="F190" t="str">
            <v>Process Economizer for Condensing Water Boiler</v>
          </cell>
          <cell r="G190" t="str">
            <v>Boilers</v>
          </cell>
          <cell r="H190" t="str">
            <v>Commercial</v>
          </cell>
          <cell r="I190" t="str">
            <v>Project</v>
          </cell>
          <cell r="J190">
            <v>0</v>
          </cell>
          <cell r="K190">
            <v>0</v>
          </cell>
          <cell r="L190">
            <v>1999.9234529999999</v>
          </cell>
          <cell r="M190"/>
          <cell r="N190">
            <v>0</v>
          </cell>
          <cell r="O190">
            <v>0</v>
          </cell>
          <cell r="P190">
            <v>29998.851794999999</v>
          </cell>
          <cell r="Q190"/>
          <cell r="R190"/>
          <cell r="S190"/>
          <cell r="T190"/>
          <cell r="U190"/>
          <cell r="V190">
            <v>15</v>
          </cell>
          <cell r="W190">
            <v>0</v>
          </cell>
        </row>
        <row r="191">
          <cell r="A191" t="str">
            <v>4.4.29.3</v>
          </cell>
          <cell r="B191" t="str">
            <v>TRM116.3</v>
          </cell>
          <cell r="C191" t="str">
            <v>V5</v>
          </cell>
          <cell r="D191" t="str">
            <v>CI-HVC-PECO-V01-150601</v>
          </cell>
          <cell r="E191" t="str">
            <v>Stack Economizer for Process Loads Steam (80.7%) Boiler Conventional</v>
          </cell>
          <cell r="F191" t="str">
            <v>Process Economizer for Conventional Steam</v>
          </cell>
          <cell r="G191" t="str">
            <v>Boilers</v>
          </cell>
          <cell r="H191" t="str">
            <v>Commercial</v>
          </cell>
          <cell r="I191" t="str">
            <v>Project</v>
          </cell>
          <cell r="J191">
            <v>0</v>
          </cell>
          <cell r="K191">
            <v>0</v>
          </cell>
          <cell r="L191">
            <v>1586.7161279999998</v>
          </cell>
          <cell r="M191"/>
          <cell r="N191">
            <v>0</v>
          </cell>
          <cell r="O191">
            <v>0</v>
          </cell>
          <cell r="P191">
            <v>23800.741919999997</v>
          </cell>
          <cell r="Q191"/>
          <cell r="R191"/>
          <cell r="S191"/>
          <cell r="T191"/>
          <cell r="U191"/>
          <cell r="V191">
            <v>15</v>
          </cell>
          <cell r="W191">
            <v>0</v>
          </cell>
        </row>
        <row r="192">
          <cell r="A192" t="str">
            <v>4.4.29.4</v>
          </cell>
          <cell r="B192" t="str">
            <v>TRM116.4</v>
          </cell>
          <cell r="C192" t="str">
            <v>V5</v>
          </cell>
          <cell r="D192" t="str">
            <v>CI-HVC-PECO-V01-150601</v>
          </cell>
          <cell r="E192" t="str">
            <v>Stack Economizer for Process Loads Steam (80.7%) Boiler Condensing</v>
          </cell>
          <cell r="F192" t="str">
            <v>Process Economizer for Condensing Steam Boiler</v>
          </cell>
          <cell r="G192" t="str">
            <v>Boilers</v>
          </cell>
          <cell r="H192" t="str">
            <v>Commercial</v>
          </cell>
          <cell r="I192" t="str">
            <v>Project</v>
          </cell>
          <cell r="J192">
            <v>0</v>
          </cell>
          <cell r="K192">
            <v>0</v>
          </cell>
          <cell r="L192">
            <v>2374.5647610000001</v>
          </cell>
          <cell r="M192"/>
          <cell r="N192">
            <v>0</v>
          </cell>
          <cell r="O192">
            <v>0</v>
          </cell>
          <cell r="P192">
            <v>35618.471415</v>
          </cell>
          <cell r="Q192"/>
          <cell r="R192"/>
          <cell r="S192"/>
          <cell r="T192"/>
          <cell r="U192"/>
          <cell r="V192">
            <v>15</v>
          </cell>
          <cell r="W192">
            <v>0</v>
          </cell>
        </row>
        <row r="193">
          <cell r="A193"/>
          <cell r="B193"/>
          <cell r="C193"/>
          <cell r="D193"/>
          <cell r="E193"/>
          <cell r="F193"/>
          <cell r="G193"/>
          <cell r="H193"/>
          <cell r="I193"/>
          <cell r="J193"/>
          <cell r="K193"/>
          <cell r="L193"/>
          <cell r="M193"/>
          <cell r="N193"/>
          <cell r="O193"/>
          <cell r="P193"/>
          <cell r="Q193"/>
          <cell r="R193"/>
          <cell r="S193"/>
          <cell r="T193"/>
          <cell r="U193"/>
          <cell r="V193"/>
          <cell r="W193"/>
        </row>
        <row r="194">
          <cell r="A194" t="str">
            <v>4.4.31.1</v>
          </cell>
          <cell r="B194" t="str">
            <v>TRM117</v>
          </cell>
          <cell r="C194" t="str">
            <v>V5</v>
          </cell>
          <cell r="D194" t="str">
            <v>CI-HVC-FTUN-V01-150601</v>
          </cell>
          <cell r="E194" t="str">
            <v>Space Heating Furnace Tune-up - 400000</v>
          </cell>
          <cell r="F194" t="str">
            <v>Small Business Furnace Tune Up</v>
          </cell>
          <cell r="G194" t="str">
            <v>Boilers</v>
          </cell>
          <cell r="H194" t="str">
            <v>Commercial</v>
          </cell>
          <cell r="I194" t="str">
            <v>Project</v>
          </cell>
          <cell r="J194">
            <v>0</v>
          </cell>
          <cell r="K194">
            <v>0</v>
          </cell>
          <cell r="L194">
            <v>134.26011477761853</v>
          </cell>
          <cell r="M194"/>
          <cell r="N194">
            <v>0</v>
          </cell>
          <cell r="O194">
            <v>0</v>
          </cell>
          <cell r="P194">
            <v>268.52022955523705</v>
          </cell>
          <cell r="Q194"/>
          <cell r="R194"/>
          <cell r="S194"/>
          <cell r="T194"/>
          <cell r="U194"/>
          <cell r="V194">
            <v>2</v>
          </cell>
          <cell r="W194">
            <v>0</v>
          </cell>
        </row>
        <row r="195">
          <cell r="A195"/>
          <cell r="B195"/>
          <cell r="C195"/>
          <cell r="D195"/>
          <cell r="E195"/>
          <cell r="F195"/>
          <cell r="G195"/>
          <cell r="H195"/>
          <cell r="I195"/>
          <cell r="J195"/>
          <cell r="K195"/>
          <cell r="L195"/>
          <cell r="M195"/>
          <cell r="N195"/>
          <cell r="O195"/>
          <cell r="P195"/>
          <cell r="Q195"/>
          <cell r="R195"/>
          <cell r="S195"/>
          <cell r="T195"/>
          <cell r="U195"/>
          <cell r="V195"/>
          <cell r="W195"/>
        </row>
        <row r="196">
          <cell r="A196" t="str">
            <v>4.6.1</v>
          </cell>
          <cell r="B196" t="str">
            <v>TRM35</v>
          </cell>
          <cell r="C196" t="str">
            <v>V5</v>
          </cell>
          <cell r="D196" t="str">
            <v>CI-RFG-ATDC-V01-120601</v>
          </cell>
          <cell r="E196" t="str">
            <v>Automatic Door Closer for walk-in coolers and freezers</v>
          </cell>
          <cell r="F196" t="str">
            <v>Automatic Door Closer for walk-in coolers and freezers</v>
          </cell>
          <cell r="G196" t="str">
            <v>Refrigeration</v>
          </cell>
          <cell r="H196" t="str">
            <v>Commercial</v>
          </cell>
          <cell r="I196" t="str">
            <v>Project</v>
          </cell>
          <cell r="J196">
            <v>943</v>
          </cell>
          <cell r="K196">
            <v>0.13700000000000001</v>
          </cell>
          <cell r="L196">
            <v>0</v>
          </cell>
          <cell r="M196">
            <v>0</v>
          </cell>
          <cell r="N196">
            <v>7544</v>
          </cell>
          <cell r="O196">
            <v>0.13700000000000001</v>
          </cell>
          <cell r="P196">
            <v>0</v>
          </cell>
          <cell r="Q196">
            <v>0</v>
          </cell>
          <cell r="R196"/>
          <cell r="S196"/>
          <cell r="T196"/>
          <cell r="U196"/>
          <cell r="V196">
            <v>8</v>
          </cell>
          <cell r="W196">
            <v>156.82</v>
          </cell>
        </row>
        <row r="197">
          <cell r="A197"/>
          <cell r="B197"/>
          <cell r="C197"/>
          <cell r="D197"/>
          <cell r="E197"/>
          <cell r="F197"/>
          <cell r="G197"/>
          <cell r="H197"/>
          <cell r="I197"/>
          <cell r="J197"/>
          <cell r="K197"/>
          <cell r="L197"/>
          <cell r="M197"/>
          <cell r="N197"/>
          <cell r="O197"/>
          <cell r="P197"/>
          <cell r="Q197"/>
          <cell r="R197"/>
          <cell r="S197"/>
          <cell r="T197"/>
          <cell r="U197"/>
          <cell r="V197"/>
          <cell r="W197"/>
        </row>
        <row r="198">
          <cell r="A198" t="str">
            <v>4.6.2</v>
          </cell>
          <cell r="B198" t="str">
            <v>TRM36</v>
          </cell>
          <cell r="C198" t="str">
            <v>V5</v>
          </cell>
          <cell r="D198" t="str">
            <v>CI-RFG-BEVM-V01-120601</v>
          </cell>
          <cell r="E198" t="str">
            <v>Beverage and Snack Machine Controls</v>
          </cell>
          <cell r="F198" t="str">
            <v>Beverage and Snack Machine Controls</v>
          </cell>
          <cell r="G198" t="str">
            <v>Controls</v>
          </cell>
          <cell r="H198" t="str">
            <v>Commercial</v>
          </cell>
          <cell r="I198" t="str">
            <v>Project</v>
          </cell>
          <cell r="J198">
            <v>1209.7080000000001</v>
          </cell>
          <cell r="K198">
            <v>0</v>
          </cell>
          <cell r="L198">
            <v>0</v>
          </cell>
          <cell r="M198">
            <v>0</v>
          </cell>
          <cell r="N198">
            <v>6048.5400000000009</v>
          </cell>
          <cell r="O198">
            <v>0</v>
          </cell>
          <cell r="P198">
            <v>0</v>
          </cell>
          <cell r="Q198">
            <v>0</v>
          </cell>
          <cell r="R198"/>
          <cell r="S198"/>
          <cell r="T198"/>
          <cell r="U198"/>
          <cell r="V198">
            <v>5</v>
          </cell>
          <cell r="W198">
            <v>180</v>
          </cell>
        </row>
        <row r="199">
          <cell r="A199"/>
          <cell r="B199"/>
          <cell r="C199"/>
          <cell r="D199"/>
          <cell r="E199"/>
          <cell r="F199"/>
          <cell r="G199"/>
          <cell r="H199"/>
          <cell r="I199"/>
          <cell r="J199"/>
          <cell r="K199"/>
          <cell r="L199"/>
          <cell r="M199"/>
          <cell r="N199"/>
          <cell r="O199"/>
          <cell r="P199"/>
          <cell r="Q199"/>
          <cell r="R199"/>
          <cell r="S199"/>
          <cell r="T199"/>
          <cell r="U199"/>
          <cell r="V199"/>
          <cell r="W199"/>
        </row>
        <row r="200">
          <cell r="A200" t="str">
            <v>4.6.3</v>
          </cell>
          <cell r="B200" t="str">
            <v>TRM37</v>
          </cell>
          <cell r="C200" t="str">
            <v>V5</v>
          </cell>
          <cell r="D200" t="str">
            <v>CI-RFG-DHCT-V01-120601</v>
          </cell>
          <cell r="E200" t="str">
            <v>Door Heater Controls for Cooler and Freezer</v>
          </cell>
          <cell r="F200" t="str">
            <v>Door Heater Controls for Cooler and Freezer</v>
          </cell>
          <cell r="G200" t="str">
            <v>Refrigeration</v>
          </cell>
          <cell r="H200" t="str">
            <v>Commercial</v>
          </cell>
          <cell r="I200" t="str">
            <v>Project</v>
          </cell>
          <cell r="J200">
            <v>5731.0110000000013</v>
          </cell>
          <cell r="K200">
            <v>0</v>
          </cell>
          <cell r="L200">
            <v>0</v>
          </cell>
          <cell r="M200">
            <v>0</v>
          </cell>
          <cell r="N200">
            <v>68772.132000000012</v>
          </cell>
          <cell r="O200">
            <v>0</v>
          </cell>
          <cell r="P200">
            <v>0</v>
          </cell>
          <cell r="Q200">
            <v>0</v>
          </cell>
          <cell r="R200"/>
          <cell r="S200"/>
          <cell r="T200"/>
          <cell r="U200"/>
          <cell r="V200">
            <v>12</v>
          </cell>
          <cell r="W200">
            <v>300</v>
          </cell>
        </row>
        <row r="201">
          <cell r="A201"/>
          <cell r="B201"/>
          <cell r="C201"/>
          <cell r="D201"/>
          <cell r="E201"/>
          <cell r="F201"/>
          <cell r="G201"/>
          <cell r="H201"/>
          <cell r="I201"/>
          <cell r="J201"/>
          <cell r="K201"/>
          <cell r="L201"/>
          <cell r="M201"/>
          <cell r="N201"/>
          <cell r="O201"/>
          <cell r="P201"/>
          <cell r="Q201"/>
          <cell r="R201"/>
          <cell r="S201"/>
          <cell r="T201"/>
          <cell r="U201"/>
          <cell r="V201"/>
          <cell r="W201"/>
        </row>
        <row r="202">
          <cell r="A202" t="str">
            <v>4.6.4</v>
          </cell>
          <cell r="B202" t="str">
            <v>TRM38</v>
          </cell>
          <cell r="C202" t="str">
            <v>V5</v>
          </cell>
          <cell r="D202" t="str">
            <v>CI-RFG-ECMF-V01-120601</v>
          </cell>
          <cell r="E202" t="str">
            <v>Electronically communicated motors (ECM) for walk-in and reach-in coolers/freezers</v>
          </cell>
          <cell r="F202" t="str">
            <v>ECM for walk-in and reach-in coolers/freezers</v>
          </cell>
          <cell r="G202" t="str">
            <v>Refrigeration</v>
          </cell>
          <cell r="H202" t="str">
            <v>Commercial</v>
          </cell>
          <cell r="I202" t="str">
            <v>Unit</v>
          </cell>
          <cell r="J202">
            <v>2005</v>
          </cell>
          <cell r="K202">
            <v>0.21000000000000002</v>
          </cell>
          <cell r="L202">
            <v>0</v>
          </cell>
          <cell r="M202">
            <v>0</v>
          </cell>
          <cell r="N202">
            <v>30075</v>
          </cell>
          <cell r="O202">
            <v>0.21000000000000002</v>
          </cell>
          <cell r="P202">
            <v>0</v>
          </cell>
          <cell r="Q202">
            <v>0</v>
          </cell>
          <cell r="R202"/>
          <cell r="S202"/>
          <cell r="T202"/>
          <cell r="U202"/>
          <cell r="V202">
            <v>15</v>
          </cell>
          <cell r="W202">
            <v>50</v>
          </cell>
        </row>
        <row r="203">
          <cell r="A203"/>
          <cell r="B203"/>
          <cell r="C203"/>
          <cell r="D203"/>
          <cell r="E203"/>
          <cell r="F203"/>
          <cell r="G203"/>
          <cell r="H203"/>
          <cell r="I203"/>
          <cell r="J203"/>
          <cell r="K203"/>
          <cell r="L203"/>
          <cell r="M203"/>
          <cell r="N203"/>
          <cell r="O203"/>
          <cell r="P203"/>
          <cell r="Q203"/>
          <cell r="R203"/>
          <cell r="S203"/>
          <cell r="T203"/>
          <cell r="U203"/>
          <cell r="V203"/>
          <cell r="W203"/>
        </row>
        <row r="204">
          <cell r="A204" t="str">
            <v>4.6.5</v>
          </cell>
          <cell r="B204" t="str">
            <v>TRM39</v>
          </cell>
          <cell r="C204" t="str">
            <v>V5</v>
          </cell>
          <cell r="D204" t="str">
            <v>CI-RFG-ESVE-V01-120601</v>
          </cell>
          <cell r="E204" t="str">
            <v>ENERGY STAR Refrigerated Beverage Vending Machine</v>
          </cell>
          <cell r="F204" t="str">
            <v>Refrigerated Beverage Vending Machine</v>
          </cell>
          <cell r="G204" t="str">
            <v>Refrigeration</v>
          </cell>
          <cell r="H204" t="str">
            <v>Commercial</v>
          </cell>
          <cell r="I204" t="str">
            <v>Unit</v>
          </cell>
          <cell r="J204">
            <v>1310</v>
          </cell>
          <cell r="K204">
            <v>0</v>
          </cell>
          <cell r="L204">
            <v>0</v>
          </cell>
          <cell r="M204">
            <v>0</v>
          </cell>
          <cell r="N204">
            <v>18340</v>
          </cell>
          <cell r="O204">
            <v>0</v>
          </cell>
          <cell r="P204">
            <v>0</v>
          </cell>
          <cell r="Q204">
            <v>0</v>
          </cell>
          <cell r="R204"/>
          <cell r="S204"/>
          <cell r="T204"/>
          <cell r="U204"/>
          <cell r="V204">
            <v>14</v>
          </cell>
          <cell r="W204">
            <v>500</v>
          </cell>
        </row>
        <row r="205">
          <cell r="A205"/>
          <cell r="B205"/>
          <cell r="C205"/>
          <cell r="D205"/>
          <cell r="E205"/>
          <cell r="F205"/>
          <cell r="G205"/>
          <cell r="H205"/>
          <cell r="I205"/>
          <cell r="J205"/>
          <cell r="K205"/>
          <cell r="L205"/>
          <cell r="M205"/>
          <cell r="N205"/>
          <cell r="O205"/>
          <cell r="P205"/>
          <cell r="Q205"/>
          <cell r="R205"/>
          <cell r="S205"/>
          <cell r="T205"/>
          <cell r="U205"/>
          <cell r="V205"/>
          <cell r="W205"/>
        </row>
        <row r="206">
          <cell r="A206" t="str">
            <v>4.6.6</v>
          </cell>
          <cell r="B206" t="str">
            <v>TRM40</v>
          </cell>
          <cell r="C206" t="str">
            <v>V5</v>
          </cell>
          <cell r="D206" t="str">
            <v>CI-RFG-EVPF-V01-120601</v>
          </cell>
          <cell r="E206" t="str">
            <v>Evaporator Fan Control</v>
          </cell>
          <cell r="F206" t="str">
            <v>Evaporator Fan Control</v>
          </cell>
          <cell r="G206" t="str">
            <v>Controls</v>
          </cell>
          <cell r="H206" t="str">
            <v>Commercial</v>
          </cell>
          <cell r="I206" t="str">
            <v>Project</v>
          </cell>
          <cell r="J206">
            <v>2390</v>
          </cell>
          <cell r="K206">
            <v>0.3</v>
          </cell>
          <cell r="L206">
            <v>0</v>
          </cell>
          <cell r="M206">
            <v>0</v>
          </cell>
          <cell r="N206">
            <v>38240</v>
          </cell>
          <cell r="O206">
            <v>0.3</v>
          </cell>
          <cell r="P206">
            <v>0</v>
          </cell>
          <cell r="Q206">
            <v>0</v>
          </cell>
          <cell r="R206"/>
          <cell r="S206"/>
          <cell r="T206"/>
          <cell r="U206"/>
          <cell r="V206">
            <v>16</v>
          </cell>
          <cell r="W206">
            <v>291</v>
          </cell>
        </row>
        <row r="207">
          <cell r="A207" t="str">
            <v xml:space="preserve"> </v>
          </cell>
          <cell r="B207"/>
          <cell r="C207"/>
          <cell r="D207"/>
          <cell r="E207"/>
          <cell r="F207"/>
          <cell r="G207"/>
          <cell r="H207"/>
          <cell r="I207"/>
          <cell r="J207"/>
          <cell r="K207"/>
          <cell r="L207"/>
          <cell r="M207"/>
          <cell r="N207"/>
          <cell r="O207"/>
          <cell r="P207"/>
          <cell r="Q207"/>
          <cell r="R207"/>
          <cell r="S207"/>
          <cell r="T207"/>
          <cell r="U207"/>
          <cell r="V207"/>
          <cell r="W207"/>
        </row>
        <row r="208">
          <cell r="A208" t="str">
            <v>4.6.7</v>
          </cell>
          <cell r="B208" t="str">
            <v>TRM41</v>
          </cell>
          <cell r="C208" t="str">
            <v>V5</v>
          </cell>
          <cell r="D208" t="str">
            <v>CI-RFG-CRTN-V02-130601</v>
          </cell>
          <cell r="E208" t="str">
            <v>Strip Curtain for Walk-in Coolers and Freezers</v>
          </cell>
          <cell r="F208" t="str">
            <v>Strip Curtain for Walk-in Coolers and Freezers</v>
          </cell>
          <cell r="G208" t="str">
            <v>Refrigeration</v>
          </cell>
          <cell r="H208" t="str">
            <v>Commercial</v>
          </cell>
          <cell r="I208" t="str">
            <v>Unit</v>
          </cell>
          <cell r="J208">
            <v>844</v>
          </cell>
          <cell r="K208">
            <v>9.6281086014145562E-2</v>
          </cell>
          <cell r="L208">
            <v>0</v>
          </cell>
          <cell r="M208">
            <v>0</v>
          </cell>
          <cell r="N208">
            <v>5064</v>
          </cell>
          <cell r="O208">
            <v>9.6281086014145562E-2</v>
          </cell>
          <cell r="P208">
            <v>0</v>
          </cell>
          <cell r="Q208">
            <v>0</v>
          </cell>
          <cell r="R208"/>
          <cell r="S208"/>
          <cell r="T208"/>
          <cell r="U208"/>
          <cell r="V208">
            <v>6</v>
          </cell>
          <cell r="W208">
            <v>286.16000000000003</v>
          </cell>
        </row>
        <row r="209">
          <cell r="A209"/>
          <cell r="B209"/>
          <cell r="C209"/>
          <cell r="D209"/>
          <cell r="E209"/>
          <cell r="F209"/>
          <cell r="G209"/>
          <cell r="H209"/>
          <cell r="I209"/>
          <cell r="J209"/>
          <cell r="K209"/>
          <cell r="L209"/>
          <cell r="M209"/>
          <cell r="N209"/>
          <cell r="O209"/>
          <cell r="P209"/>
          <cell r="Q209"/>
          <cell r="R209"/>
          <cell r="S209"/>
          <cell r="T209"/>
          <cell r="U209"/>
          <cell r="V209"/>
          <cell r="W209"/>
        </row>
        <row r="210">
          <cell r="A210" t="str">
            <v>4.7.1</v>
          </cell>
          <cell r="B210" t="str">
            <v>TRM42</v>
          </cell>
          <cell r="C210" t="str">
            <v>V5</v>
          </cell>
          <cell r="D210" t="str">
            <v>CI-MSC-VSDA-V01-120601</v>
          </cell>
          <cell r="E210" t="str">
            <v>VSD Air Compressor</v>
          </cell>
          <cell r="F210" t="str">
            <v>VSD Air Compressor</v>
          </cell>
          <cell r="G210" t="str">
            <v>Consumer electronics</v>
          </cell>
          <cell r="H210" t="str">
            <v>Commercial</v>
          </cell>
          <cell r="I210" t="str">
            <v>Unit</v>
          </cell>
          <cell r="J210">
            <v>13852.800000000005</v>
          </cell>
          <cell r="K210">
            <v>1.5817500000000004</v>
          </cell>
          <cell r="L210">
            <v>0</v>
          </cell>
          <cell r="M210">
            <v>0</v>
          </cell>
          <cell r="N210">
            <v>138528.00000000006</v>
          </cell>
          <cell r="O210">
            <v>1.5817500000000004</v>
          </cell>
          <cell r="P210">
            <v>0</v>
          </cell>
          <cell r="Q210">
            <v>0</v>
          </cell>
          <cell r="R210"/>
          <cell r="S210"/>
          <cell r="T210"/>
          <cell r="U210"/>
          <cell r="V210">
            <v>10</v>
          </cell>
          <cell r="W210">
            <v>2716</v>
          </cell>
        </row>
        <row r="211">
          <cell r="A211"/>
          <cell r="B211"/>
          <cell r="C211"/>
          <cell r="D211"/>
          <cell r="E211"/>
          <cell r="F211"/>
          <cell r="G211"/>
          <cell r="H211"/>
          <cell r="I211"/>
          <cell r="J211"/>
          <cell r="K211"/>
          <cell r="L211"/>
          <cell r="M211"/>
          <cell r="N211"/>
          <cell r="O211"/>
          <cell r="P211"/>
          <cell r="Q211"/>
          <cell r="R211"/>
          <cell r="S211"/>
          <cell r="T211"/>
          <cell r="U211"/>
          <cell r="V211"/>
          <cell r="W211"/>
        </row>
        <row r="212">
          <cell r="A212" t="str">
            <v>4.8.2.1</v>
          </cell>
          <cell r="B212" t="str">
            <v>TRM110.1</v>
          </cell>
          <cell r="C212" t="str">
            <v>V5</v>
          </cell>
          <cell r="D212" t="str">
            <v>CI-HVC-RINS-V01-150601</v>
          </cell>
          <cell r="E212" t="str">
            <v>Roof Insulation Insulation Entirely Above Deck Nonresidential Continuous Insulation Joint</v>
          </cell>
          <cell r="F212" t="str">
            <v>C&amp;I Roof Insulation</v>
          </cell>
          <cell r="G212" t="str">
            <v>Shell</v>
          </cell>
          <cell r="H212" t="str">
            <v>Commercial</v>
          </cell>
          <cell r="I212" t="str">
            <v>Project</v>
          </cell>
          <cell r="J212">
            <v>36.659624053791177</v>
          </cell>
          <cell r="K212">
            <v>0</v>
          </cell>
          <cell r="L212">
            <v>17.462999270520566</v>
          </cell>
          <cell r="M212">
            <v>0</v>
          </cell>
          <cell r="N212">
            <v>733.19248107582348</v>
          </cell>
          <cell r="O212">
            <v>0</v>
          </cell>
          <cell r="P212">
            <v>349.25998541041133</v>
          </cell>
          <cell r="Q212">
            <v>0</v>
          </cell>
          <cell r="R212"/>
          <cell r="S212"/>
          <cell r="T212"/>
          <cell r="U212"/>
          <cell r="V212">
            <v>20</v>
          </cell>
          <cell r="W212">
            <v>1360</v>
          </cell>
        </row>
        <row r="213">
          <cell r="A213" t="str">
            <v>4.8.2.2</v>
          </cell>
          <cell r="B213" t="str">
            <v>TRM110.2</v>
          </cell>
          <cell r="C213" t="str">
            <v>V5</v>
          </cell>
          <cell r="D213" t="str">
            <v>CI-HVC-RINS-V01-150601</v>
          </cell>
          <cell r="E213" t="str">
            <v>Roof Insulation Insulation Entirely Above Deck Semiheated Continuous Insulation Joint</v>
          </cell>
          <cell r="F213" t="str">
            <v>C&amp;I Roof Insulation</v>
          </cell>
          <cell r="G213" t="str">
            <v>Shell</v>
          </cell>
          <cell r="H213" t="str">
            <v>Commercial</v>
          </cell>
          <cell r="I213" t="str">
            <v>Project</v>
          </cell>
          <cell r="J213">
            <v>17.556569543705329</v>
          </cell>
          <cell r="K213">
            <v>0</v>
          </cell>
          <cell r="L213">
            <v>3.3628092358438675</v>
          </cell>
          <cell r="M213">
            <v>0</v>
          </cell>
          <cell r="N213">
            <v>351.13139087410661</v>
          </cell>
          <cell r="O213">
            <v>0</v>
          </cell>
          <cell r="P213">
            <v>70.618993952721212</v>
          </cell>
          <cell r="Q213">
            <v>0</v>
          </cell>
          <cell r="R213"/>
          <cell r="S213"/>
          <cell r="T213"/>
          <cell r="U213"/>
          <cell r="V213">
            <v>21</v>
          </cell>
          <cell r="W213">
            <v>1360</v>
          </cell>
        </row>
        <row r="214">
          <cell r="A214" t="str">
            <v>4.8.2.3</v>
          </cell>
          <cell r="B214" t="str">
            <v>TRM110.3</v>
          </cell>
          <cell r="C214" t="str">
            <v>V5</v>
          </cell>
          <cell r="D214" t="str">
            <v>CI-HVC-RINS-V01-150601</v>
          </cell>
          <cell r="E214" t="str">
            <v>Roof Insulation Metal Building (Roof) Nonresidential Continuous Insulation Joint</v>
          </cell>
          <cell r="F214" t="str">
            <v>C&amp;I Roof Insulation</v>
          </cell>
          <cell r="G214" t="str">
            <v>Shell</v>
          </cell>
          <cell r="H214" t="str">
            <v>Commercial</v>
          </cell>
          <cell r="I214" t="str">
            <v>Project</v>
          </cell>
          <cell r="J214">
            <v>38.390027180076657</v>
          </cell>
          <cell r="K214">
            <v>0</v>
          </cell>
          <cell r="L214">
            <v>18.740197439998148</v>
          </cell>
          <cell r="M214">
            <v>0</v>
          </cell>
          <cell r="N214">
            <v>767.80054360153315</v>
          </cell>
          <cell r="O214">
            <v>0</v>
          </cell>
          <cell r="P214">
            <v>412.28434367995925</v>
          </cell>
          <cell r="Q214">
            <v>0</v>
          </cell>
          <cell r="R214"/>
          <cell r="S214"/>
          <cell r="T214"/>
          <cell r="U214"/>
          <cell r="V214">
            <v>22</v>
          </cell>
          <cell r="W214">
            <v>1360</v>
          </cell>
        </row>
        <row r="215">
          <cell r="A215" t="str">
            <v>4.8.2.4</v>
          </cell>
          <cell r="B215" t="str">
            <v>TRM110.4</v>
          </cell>
          <cell r="C215" t="str">
            <v>V5</v>
          </cell>
          <cell r="D215" t="str">
            <v>CI-HVC-RINS-V01-150601</v>
          </cell>
          <cell r="E215" t="str">
            <v>Roof Insulation Metal Building (Roof) Nonresidential Linear System Joint</v>
          </cell>
          <cell r="F215" t="str">
            <v>C&amp;I Roof Insulation</v>
          </cell>
          <cell r="G215" t="str">
            <v>Shell</v>
          </cell>
          <cell r="H215" t="str">
            <v>Commercial</v>
          </cell>
          <cell r="I215" t="str">
            <v>Project</v>
          </cell>
          <cell r="J215">
            <v>36.659624053791177</v>
          </cell>
          <cell r="K215">
            <v>0</v>
          </cell>
          <cell r="L215">
            <v>17.462999270520566</v>
          </cell>
          <cell r="M215">
            <v>0</v>
          </cell>
          <cell r="N215">
            <v>733.19248107582348</v>
          </cell>
          <cell r="O215">
            <v>0</v>
          </cell>
          <cell r="P215">
            <v>401.64898322197303</v>
          </cell>
          <cell r="Q215">
            <v>0</v>
          </cell>
          <cell r="R215"/>
          <cell r="S215"/>
          <cell r="T215"/>
          <cell r="U215"/>
          <cell r="V215">
            <v>23</v>
          </cell>
          <cell r="W215">
            <v>1360</v>
          </cell>
        </row>
        <row r="216">
          <cell r="A216" t="str">
            <v>4.8.2.5</v>
          </cell>
          <cell r="B216" t="str">
            <v>TRM110.5</v>
          </cell>
          <cell r="C216" t="str">
            <v>V5</v>
          </cell>
          <cell r="D216" t="str">
            <v>CI-HVC-RINS-V01-150601</v>
          </cell>
          <cell r="E216" t="str">
            <v>Roof Insulation Metal Building (Roof) Semiheated NA Joint</v>
          </cell>
          <cell r="F216" t="str">
            <v>C&amp;I Roof Insulation</v>
          </cell>
          <cell r="G216" t="str">
            <v>Shell</v>
          </cell>
          <cell r="H216" t="str">
            <v>Commercial</v>
          </cell>
          <cell r="I216" t="str">
            <v>Project</v>
          </cell>
          <cell r="J216">
            <v>25.639688354815231</v>
          </cell>
          <cell r="K216">
            <v>0</v>
          </cell>
          <cell r="L216">
            <v>9.3292635596370275</v>
          </cell>
          <cell r="M216">
            <v>0</v>
          </cell>
          <cell r="N216">
            <v>512.79376709630458</v>
          </cell>
          <cell r="O216">
            <v>0</v>
          </cell>
          <cell r="P216">
            <v>223.90232543128866</v>
          </cell>
          <cell r="Q216">
            <v>0</v>
          </cell>
          <cell r="R216"/>
          <cell r="S216"/>
          <cell r="T216"/>
          <cell r="U216"/>
          <cell r="V216">
            <v>24</v>
          </cell>
          <cell r="W216">
            <v>1360</v>
          </cell>
        </row>
        <row r="217">
          <cell r="A217" t="str">
            <v>4.8.2.6</v>
          </cell>
          <cell r="B217" t="str">
            <v>TRM110.6</v>
          </cell>
          <cell r="C217" t="str">
            <v>V5</v>
          </cell>
          <cell r="D217" t="str">
            <v>CI-HVC-RINS-V01-150601</v>
          </cell>
          <cell r="E217" t="str">
            <v>Roof Insulation Attic and Other Nonresidential NA Joint</v>
          </cell>
          <cell r="F217" t="str">
            <v>C&amp;I Roof Insulation</v>
          </cell>
          <cell r="G217" t="str">
            <v>Shell</v>
          </cell>
          <cell r="H217" t="str">
            <v>Commercial</v>
          </cell>
          <cell r="I217" t="str">
            <v>Project</v>
          </cell>
          <cell r="J217">
            <v>44.04032310264148</v>
          </cell>
          <cell r="K217">
            <v>0</v>
          </cell>
          <cell r="L217">
            <v>22.910640442373925</v>
          </cell>
          <cell r="M217">
            <v>0</v>
          </cell>
          <cell r="N217">
            <v>880.8064620528296</v>
          </cell>
          <cell r="O217">
            <v>0</v>
          </cell>
          <cell r="P217">
            <v>549.85537061697414</v>
          </cell>
          <cell r="Q217">
            <v>0</v>
          </cell>
          <cell r="R217"/>
          <cell r="S217"/>
          <cell r="T217"/>
          <cell r="U217"/>
          <cell r="V217">
            <v>24</v>
          </cell>
          <cell r="W217">
            <v>1360</v>
          </cell>
        </row>
        <row r="218">
          <cell r="A218" t="str">
            <v>4.8.2.7</v>
          </cell>
          <cell r="B218" t="str">
            <v>TRM110.7</v>
          </cell>
          <cell r="C218" t="str">
            <v>V5</v>
          </cell>
          <cell r="D218" t="str">
            <v>CI-HVC-RINS-V01-150601</v>
          </cell>
          <cell r="E218" t="str">
            <v>Roof Insulation Attic and Other Semiheated NA Joint</v>
          </cell>
          <cell r="F218" t="str">
            <v>C&amp;I Roof Insulation</v>
          </cell>
          <cell r="G218" t="str">
            <v>Shell</v>
          </cell>
          <cell r="H218" t="str">
            <v>Commercial</v>
          </cell>
          <cell r="I218" t="str">
            <v>Project</v>
          </cell>
          <cell r="J218">
            <v>36.659624053791177</v>
          </cell>
          <cell r="K218">
            <v>0</v>
          </cell>
          <cell r="L218">
            <v>17.462999270520566</v>
          </cell>
          <cell r="M218">
            <v>0</v>
          </cell>
          <cell r="N218">
            <v>733.19248107582348</v>
          </cell>
          <cell r="O218">
            <v>0</v>
          </cell>
          <cell r="P218">
            <v>436.57498176301414</v>
          </cell>
          <cell r="Q218">
            <v>0</v>
          </cell>
          <cell r="R218"/>
          <cell r="S218"/>
          <cell r="T218"/>
          <cell r="U218"/>
          <cell r="V218">
            <v>25</v>
          </cell>
          <cell r="W218">
            <v>1360</v>
          </cell>
        </row>
        <row r="219">
          <cell r="A219"/>
          <cell r="B219"/>
          <cell r="C219"/>
          <cell r="D219"/>
          <cell r="E219"/>
          <cell r="F219"/>
          <cell r="G219"/>
          <cell r="H219"/>
          <cell r="I219"/>
          <cell r="J219"/>
          <cell r="K219"/>
          <cell r="L219"/>
          <cell r="M219"/>
          <cell r="N219"/>
          <cell r="O219"/>
          <cell r="P219"/>
          <cell r="Q219"/>
          <cell r="R219"/>
          <cell r="S219"/>
          <cell r="T219"/>
          <cell r="U219"/>
          <cell r="V219"/>
          <cell r="W219"/>
        </row>
        <row r="220">
          <cell r="A220" t="str">
            <v>4.3.9.1</v>
          </cell>
          <cell r="B220" t="str">
            <v>TRM112.1</v>
          </cell>
          <cell r="C220" t="str">
            <v>V5</v>
          </cell>
          <cell r="D220" t="str">
            <v>CI-HW_-GRTF-V01-160601</v>
          </cell>
          <cell r="E220" t="str">
            <v>4.3.9 Heat Recovery Grease Trap Filter Average - All Buildings</v>
          </cell>
          <cell r="F220" t="str">
            <v>Heat Recovery Grease Trap Filter - All Buildings</v>
          </cell>
          <cell r="G220" t="str">
            <v>Food Service</v>
          </cell>
          <cell r="H220" t="str">
            <v>Commercial</v>
          </cell>
          <cell r="I220" t="str">
            <v>Project</v>
          </cell>
          <cell r="J220">
            <v>0</v>
          </cell>
          <cell r="K220">
            <v>0</v>
          </cell>
          <cell r="L220">
            <v>1504.6053244444445</v>
          </cell>
          <cell r="M220">
            <v>0</v>
          </cell>
          <cell r="N220">
            <v>0</v>
          </cell>
          <cell r="O220">
            <v>0</v>
          </cell>
          <cell r="P220">
            <v>22569.079866666667</v>
          </cell>
          <cell r="Q220">
            <v>0</v>
          </cell>
          <cell r="R220"/>
          <cell r="S220">
            <v>8957.3333333333321</v>
          </cell>
          <cell r="T220"/>
          <cell r="U220"/>
          <cell r="V220">
            <v>15</v>
          </cell>
          <cell r="W220">
            <v>8957.3333333333321</v>
          </cell>
        </row>
        <row r="221">
          <cell r="A221" t="str">
            <v>4.3.9.2</v>
          </cell>
          <cell r="B221" t="str">
            <v>TRM112.2</v>
          </cell>
          <cell r="C221" t="str">
            <v>V5</v>
          </cell>
          <cell r="D221" t="str">
            <v>CI-HW_-GRTF-V01-160601</v>
          </cell>
          <cell r="E221" t="str">
            <v>4.3.9 Heat Recovery Grease Trap Filter School - Average</v>
          </cell>
          <cell r="F221" t="str">
            <v>Heat Recovery Grease Trap Filter - School</v>
          </cell>
          <cell r="G221" t="str">
            <v>Food Service</v>
          </cell>
          <cell r="H221" t="str">
            <v>Commercial</v>
          </cell>
          <cell r="I221" t="str">
            <v>Project</v>
          </cell>
          <cell r="J221">
            <v>0</v>
          </cell>
          <cell r="K221">
            <v>0</v>
          </cell>
          <cell r="L221">
            <v>706.59225000000004</v>
          </cell>
          <cell r="M221">
            <v>0</v>
          </cell>
          <cell r="N221">
            <v>0</v>
          </cell>
          <cell r="O221">
            <v>0</v>
          </cell>
          <cell r="P221">
            <v>10598.883750000001</v>
          </cell>
          <cell r="Q221">
            <v>0</v>
          </cell>
          <cell r="R221"/>
          <cell r="S221">
            <v>7467.5</v>
          </cell>
          <cell r="T221"/>
          <cell r="U221"/>
          <cell r="V221">
            <v>15</v>
          </cell>
          <cell r="W221">
            <v>7467.5</v>
          </cell>
        </row>
        <row r="222">
          <cell r="A222" t="str">
            <v>4.3.9.3</v>
          </cell>
          <cell r="B222" t="str">
            <v>TRM112.3</v>
          </cell>
          <cell r="C222" t="str">
            <v>V5</v>
          </cell>
          <cell r="D222" t="str">
            <v>CI-HW_-GRTF-V01-160601</v>
          </cell>
          <cell r="E222" t="str">
            <v>4.3.9 Heat Recovery Grease Trap Filter Food/Hotel/Hospital - excluding School</v>
          </cell>
          <cell r="F222" t="str">
            <v>Heat Recovery Grease Trap Filter - Food/Hotel/Hospital - excluding School</v>
          </cell>
          <cell r="G222" t="str">
            <v>Food Service</v>
          </cell>
          <cell r="H222" t="str">
            <v>Commercial</v>
          </cell>
          <cell r="I222" t="str">
            <v>Project</v>
          </cell>
          <cell r="J222">
            <v>0</v>
          </cell>
          <cell r="K222">
            <v>0</v>
          </cell>
          <cell r="L222">
            <v>2031.7335438749999</v>
          </cell>
          <cell r="M222">
            <v>0</v>
          </cell>
          <cell r="N222">
            <v>0</v>
          </cell>
          <cell r="O222">
            <v>0</v>
          </cell>
          <cell r="P222">
            <v>30476.003158124997</v>
          </cell>
          <cell r="Q222">
            <v>0</v>
          </cell>
          <cell r="R222"/>
          <cell r="S222">
            <v>9702.25</v>
          </cell>
          <cell r="T222"/>
          <cell r="U222"/>
          <cell r="V222">
            <v>15</v>
          </cell>
          <cell r="W222">
            <v>9702.25</v>
          </cell>
        </row>
        <row r="223">
          <cell r="A223" t="str">
            <v>4.3.9.5</v>
          </cell>
          <cell r="B223" t="str">
            <v>TRM112.3</v>
          </cell>
          <cell r="C223" t="str">
            <v>V5</v>
          </cell>
          <cell r="D223" t="str">
            <v>CI-HW_-GRTF-V01-160601</v>
          </cell>
          <cell r="E223" t="str">
            <v>4.3.9 Heat Recovery Grease Trap Filter Primary School</v>
          </cell>
          <cell r="F223" t="str">
            <v>Heat Recovery Grease Trap Filter - Small School</v>
          </cell>
          <cell r="G223" t="str">
            <v>Food Service</v>
          </cell>
          <cell r="H223" t="str">
            <v>Commercial</v>
          </cell>
          <cell r="I223" t="str">
            <v>Project</v>
          </cell>
          <cell r="J223">
            <v>0</v>
          </cell>
          <cell r="K223">
            <v>0</v>
          </cell>
          <cell r="L223">
            <v>452.21903999999995</v>
          </cell>
          <cell r="M223">
            <v>0</v>
          </cell>
          <cell r="N223">
            <v>0</v>
          </cell>
          <cell r="O223">
            <v>0</v>
          </cell>
          <cell r="P223">
            <v>6783.2855999999992</v>
          </cell>
          <cell r="Q223">
            <v>0</v>
          </cell>
          <cell r="R223"/>
          <cell r="S223">
            <v>6829</v>
          </cell>
          <cell r="T223"/>
          <cell r="U223"/>
          <cell r="V223">
            <v>15</v>
          </cell>
          <cell r="W223">
            <v>6829</v>
          </cell>
        </row>
        <row r="224">
          <cell r="A224" t="str">
            <v>4.3.9.6</v>
          </cell>
          <cell r="B224" t="str">
            <v>TRM112.3</v>
          </cell>
          <cell r="C224" t="str">
            <v>V5</v>
          </cell>
          <cell r="D224" t="str">
            <v>CI-HW_-GRTF-V01-160601</v>
          </cell>
          <cell r="E224" t="str">
            <v>4.3.9 Heat Recovery Grease Trap Filter Custom Small</v>
          </cell>
          <cell r="F224" t="str">
            <v>Heat Recovery Grease Trap Filter - Custom Small</v>
          </cell>
          <cell r="G224" t="str">
            <v>Food Service</v>
          </cell>
          <cell r="H224" t="str">
            <v>Commercial</v>
          </cell>
          <cell r="I224" t="str">
            <v>Project</v>
          </cell>
          <cell r="J224">
            <v>0</v>
          </cell>
          <cell r="K224">
            <v>0</v>
          </cell>
          <cell r="L224">
            <v>452.21903999999995</v>
          </cell>
          <cell r="M224">
            <v>0</v>
          </cell>
          <cell r="N224">
            <v>0</v>
          </cell>
          <cell r="O224">
            <v>0</v>
          </cell>
          <cell r="P224">
            <v>6783.2855999999992</v>
          </cell>
          <cell r="Q224">
            <v>0</v>
          </cell>
          <cell r="R224"/>
          <cell r="S224">
            <v>6829</v>
          </cell>
          <cell r="T224"/>
          <cell r="U224"/>
          <cell r="V224">
            <v>15</v>
          </cell>
          <cell r="W224">
            <v>6829</v>
          </cell>
        </row>
        <row r="225">
          <cell r="A225"/>
          <cell r="B225"/>
          <cell r="C225"/>
          <cell r="D225"/>
          <cell r="E225"/>
          <cell r="F225"/>
          <cell r="G225"/>
          <cell r="H225"/>
          <cell r="I225"/>
          <cell r="J225"/>
          <cell r="K225"/>
          <cell r="L225"/>
          <cell r="M225"/>
          <cell r="N225"/>
          <cell r="O225"/>
          <cell r="P225"/>
          <cell r="Q225"/>
          <cell r="R225"/>
          <cell r="S225"/>
          <cell r="T225"/>
          <cell r="U225"/>
          <cell r="V225"/>
          <cell r="W225"/>
        </row>
        <row r="226">
          <cell r="A226" t="str">
            <v>4.4.36</v>
          </cell>
          <cell r="B226" t="str">
            <v>TRM113</v>
          </cell>
          <cell r="C226" t="str">
            <v>V5</v>
          </cell>
          <cell r="D226" t="str">
            <v>CI-HVC-SBAC-V01-160601</v>
          </cell>
          <cell r="E226" t="str">
            <v>Multi-Family Space Heating Steam Boiler Averaging Controls - 300000</v>
          </cell>
          <cell r="F226" t="str">
            <v>Multi-Family Space Heating Steam Boiler Averaging Controls</v>
          </cell>
          <cell r="G226" t="str">
            <v>Boilers</v>
          </cell>
          <cell r="H226" t="str">
            <v>Commercial</v>
          </cell>
          <cell r="I226" t="str">
            <v>Unit</v>
          </cell>
          <cell r="J226">
            <v>0</v>
          </cell>
          <cell r="K226">
            <v>0</v>
          </cell>
          <cell r="L226">
            <v>238.80375000000001</v>
          </cell>
          <cell r="M226">
            <v>0</v>
          </cell>
          <cell r="N226">
            <v>0</v>
          </cell>
          <cell r="O226">
            <v>0</v>
          </cell>
          <cell r="P226">
            <v>4776.0749999999998</v>
          </cell>
          <cell r="Q226">
            <v>0</v>
          </cell>
          <cell r="R226"/>
          <cell r="S226"/>
          <cell r="T226"/>
          <cell r="U226"/>
          <cell r="V226">
            <v>20</v>
          </cell>
          <cell r="W226">
            <v>0</v>
          </cell>
        </row>
        <row r="227">
          <cell r="A227"/>
          <cell r="B227"/>
          <cell r="C227"/>
          <cell r="D227"/>
          <cell r="E227"/>
          <cell r="F227"/>
          <cell r="G227"/>
          <cell r="H227"/>
          <cell r="I227"/>
          <cell r="J227"/>
          <cell r="K227"/>
          <cell r="L227"/>
          <cell r="M227"/>
          <cell r="N227"/>
          <cell r="O227"/>
          <cell r="P227"/>
          <cell r="Q227"/>
          <cell r="R227"/>
          <cell r="S227"/>
          <cell r="T227"/>
          <cell r="U227"/>
          <cell r="V227"/>
          <cell r="W227"/>
        </row>
        <row r="228">
          <cell r="A228" t="str">
            <v>4.4.37</v>
          </cell>
          <cell r="B228" t="str">
            <v>TRM114</v>
          </cell>
          <cell r="C228" t="str">
            <v>V5</v>
          </cell>
          <cell r="D228" t="str">
            <v>CI-HVC-DSFN-V01-160601</v>
          </cell>
          <cell r="E228" t="str">
            <v>Unitary HVAC Condensing Furnace</v>
          </cell>
          <cell r="F228" t="str">
            <v>Unitary HVAC Condensing Furnace</v>
          </cell>
          <cell r="G228" t="str">
            <v>Furnaces</v>
          </cell>
          <cell r="H228" t="str">
            <v>Commercial</v>
          </cell>
          <cell r="I228" t="str">
            <v>Unit</v>
          </cell>
          <cell r="J228">
            <v>0</v>
          </cell>
          <cell r="K228">
            <v>0</v>
          </cell>
          <cell r="L228">
            <v>2106.0277777777769</v>
          </cell>
          <cell r="M228">
            <v>0</v>
          </cell>
          <cell r="N228">
            <v>0</v>
          </cell>
          <cell r="O228">
            <v>0</v>
          </cell>
          <cell r="P228">
            <v>31590.416666666653</v>
          </cell>
          <cell r="Q228">
            <v>0</v>
          </cell>
          <cell r="R228"/>
          <cell r="S228"/>
          <cell r="T228"/>
          <cell r="U228"/>
          <cell r="V228">
            <v>15</v>
          </cell>
          <cell r="W228">
            <v>542</v>
          </cell>
        </row>
        <row r="229">
          <cell r="A229"/>
          <cell r="B229"/>
          <cell r="C229"/>
          <cell r="D229"/>
          <cell r="E229"/>
          <cell r="F229"/>
          <cell r="G229"/>
          <cell r="H229"/>
          <cell r="I229"/>
          <cell r="J229"/>
          <cell r="K229"/>
          <cell r="L229"/>
          <cell r="M229"/>
          <cell r="N229"/>
          <cell r="O229"/>
          <cell r="P229"/>
          <cell r="Q229"/>
          <cell r="R229"/>
          <cell r="S229"/>
          <cell r="T229"/>
          <cell r="U229"/>
          <cell r="V229"/>
          <cell r="W229"/>
        </row>
        <row r="230">
          <cell r="A230" t="str">
            <v>4.8.4.1</v>
          </cell>
          <cell r="B230" t="str">
            <v>TRM115.1</v>
          </cell>
          <cell r="C230" t="str">
            <v>V5</v>
          </cell>
          <cell r="D230" t="str">
            <v>CI-MSC-MODD-V01-160601</v>
          </cell>
          <cell r="E230" t="str">
            <v xml:space="preserve">Modulating Commercial Gas Clothes Dryer - Coin- Operated Laundromats </v>
          </cell>
          <cell r="F230" t="str">
            <v>Modulating Commercial Gas Clothes Dryer - Coin Operaed Laundromat</v>
          </cell>
          <cell r="G230" t="str">
            <v>Clothes washers</v>
          </cell>
          <cell r="H230" t="str">
            <v>Commercial</v>
          </cell>
          <cell r="I230" t="str">
            <v>Unit</v>
          </cell>
          <cell r="J230">
            <v>0</v>
          </cell>
          <cell r="K230">
            <v>0</v>
          </cell>
          <cell r="L230">
            <v>266.94</v>
          </cell>
          <cell r="M230">
            <v>0</v>
          </cell>
          <cell r="N230">
            <v>0</v>
          </cell>
          <cell r="O230">
            <v>0</v>
          </cell>
          <cell r="P230">
            <v>3737.16</v>
          </cell>
          <cell r="Q230">
            <v>0</v>
          </cell>
          <cell r="R230"/>
          <cell r="S230">
            <v>700</v>
          </cell>
          <cell r="T230"/>
          <cell r="U230"/>
          <cell r="V230">
            <v>14</v>
          </cell>
          <cell r="W230">
            <v>700</v>
          </cell>
        </row>
        <row r="231">
          <cell r="A231" t="str">
            <v>4.8.4.2</v>
          </cell>
          <cell r="B231" t="str">
            <v>TRM115.2</v>
          </cell>
          <cell r="C231" t="str">
            <v>V5</v>
          </cell>
          <cell r="D231" t="str">
            <v>CI-MSC-MODD-V01-160601</v>
          </cell>
          <cell r="E231" t="str">
            <v xml:space="preserve">Modulating Commercial Gas Clothes Dryer - Multi-family Dryers </v>
          </cell>
          <cell r="F231" t="str">
            <v>Modulating Commercial Gas Clothes Dryer - Multi-family Dryers</v>
          </cell>
          <cell r="G231" t="str">
            <v>Clothes washers</v>
          </cell>
          <cell r="H231" t="str">
            <v>Commercial</v>
          </cell>
          <cell r="I231" t="str">
            <v>Unit</v>
          </cell>
          <cell r="J231">
            <v>0</v>
          </cell>
          <cell r="K231">
            <v>0</v>
          </cell>
          <cell r="L231">
            <v>193.32</v>
          </cell>
          <cell r="M231">
            <v>0</v>
          </cell>
          <cell r="N231">
            <v>0</v>
          </cell>
          <cell r="O231">
            <v>0</v>
          </cell>
          <cell r="P231">
            <v>2706.48</v>
          </cell>
          <cell r="Q231">
            <v>0</v>
          </cell>
          <cell r="R231"/>
          <cell r="S231">
            <v>700</v>
          </cell>
          <cell r="T231"/>
          <cell r="U231"/>
          <cell r="V231">
            <v>14</v>
          </cell>
          <cell r="W231">
            <v>700</v>
          </cell>
        </row>
        <row r="232">
          <cell r="A232" t="str">
            <v>4.8.4.3</v>
          </cell>
          <cell r="B232" t="str">
            <v>TRM115.3</v>
          </cell>
          <cell r="C232" t="str">
            <v>V5</v>
          </cell>
          <cell r="D232" t="str">
            <v>CI-MSC-MODD-V01-160601</v>
          </cell>
          <cell r="E232" t="str">
            <v xml:space="preserve">Modulating Commercial Gas Clothes Dryer - On-Premise Laundromats  </v>
          </cell>
          <cell r="F232" t="str">
            <v>Modulating Commercial Gas Clothes Dryer - On Premise Laundromat</v>
          </cell>
          <cell r="G232" t="str">
            <v>Clothes washers</v>
          </cell>
          <cell r="H232" t="str">
            <v>Commercial</v>
          </cell>
          <cell r="I232" t="str">
            <v>Unit</v>
          </cell>
          <cell r="J232">
            <v>0</v>
          </cell>
          <cell r="K232">
            <v>0</v>
          </cell>
          <cell r="L232">
            <v>649.26</v>
          </cell>
          <cell r="M232">
            <v>0</v>
          </cell>
          <cell r="N232">
            <v>0</v>
          </cell>
          <cell r="O232">
            <v>0</v>
          </cell>
          <cell r="P232">
            <v>9089.64</v>
          </cell>
          <cell r="Q232">
            <v>0</v>
          </cell>
          <cell r="R232"/>
          <cell r="S232">
            <v>700</v>
          </cell>
          <cell r="T232"/>
          <cell r="U232"/>
          <cell r="V232">
            <v>14</v>
          </cell>
          <cell r="W232">
            <v>700</v>
          </cell>
        </row>
        <row r="233">
          <cell r="A233"/>
          <cell r="B233"/>
          <cell r="C233"/>
          <cell r="D233"/>
          <cell r="E233"/>
          <cell r="F233"/>
          <cell r="G233"/>
          <cell r="H233"/>
          <cell r="I233"/>
          <cell r="J233"/>
          <cell r="K233"/>
          <cell r="L233"/>
          <cell r="M233"/>
          <cell r="N233"/>
          <cell r="O233"/>
          <cell r="P233"/>
          <cell r="Q233"/>
          <cell r="R233"/>
          <cell r="S233"/>
          <cell r="T233"/>
          <cell r="U233"/>
          <cell r="V233"/>
          <cell r="W233"/>
        </row>
        <row r="234">
          <cell r="A234" t="str">
            <v>4.3.10.1</v>
          </cell>
          <cell r="B234"/>
          <cell r="C234" t="str">
            <v>V5</v>
          </cell>
          <cell r="D234" t="str">
            <v>CI-HWE-DBTU-V01-170601</v>
          </cell>
          <cell r="E234" t="str">
            <v>DHW Boiler Tune-up - Multi-Family</v>
          </cell>
          <cell r="F234" t="str">
            <v>DHW Boiler Tune-up - Multi-Family, Multi-Family, 1000 Mbh</v>
          </cell>
          <cell r="G234" t="str">
            <v>Water heater</v>
          </cell>
          <cell r="H234" t="str">
            <v>Commercial</v>
          </cell>
          <cell r="I234" t="str">
            <v>Project</v>
          </cell>
          <cell r="J234">
            <v>0</v>
          </cell>
          <cell r="K234">
            <v>0</v>
          </cell>
          <cell r="L234">
            <v>12.959275000000073</v>
          </cell>
          <cell r="M234"/>
          <cell r="N234">
            <v>0</v>
          </cell>
          <cell r="O234">
            <v>0</v>
          </cell>
          <cell r="P234">
            <v>38.877825000000215</v>
          </cell>
          <cell r="Q234"/>
          <cell r="R234"/>
          <cell r="S234">
            <v>830</v>
          </cell>
          <cell r="T234"/>
          <cell r="U234"/>
          <cell r="V234">
            <v>3</v>
          </cell>
          <cell r="W234">
            <v>830</v>
          </cell>
        </row>
        <row r="235">
          <cell r="A235" t="str">
            <v>4.3.10.2</v>
          </cell>
          <cell r="B235"/>
          <cell r="C235" t="str">
            <v>V5</v>
          </cell>
          <cell r="D235" t="str">
            <v>CI-HWE-DBTU-V01-170601</v>
          </cell>
          <cell r="E235" t="str">
            <v>DHW Boiler Tune-up - Other Commercial</v>
          </cell>
          <cell r="F235" t="str">
            <v>DHW Boiler Tune-up - Other Commercial, Other Commercial, 1000 Mbh</v>
          </cell>
          <cell r="G235" t="str">
            <v>Water heater</v>
          </cell>
          <cell r="H235" t="str">
            <v>Commercial</v>
          </cell>
          <cell r="I235" t="str">
            <v>Project</v>
          </cell>
          <cell r="J235">
            <v>0</v>
          </cell>
          <cell r="K235">
            <v>0</v>
          </cell>
          <cell r="L235">
            <v>4.9430791666666938</v>
          </cell>
          <cell r="M235"/>
          <cell r="N235">
            <v>0</v>
          </cell>
          <cell r="O235">
            <v>0</v>
          </cell>
          <cell r="P235">
            <v>14.829237500000081</v>
          </cell>
          <cell r="Q235"/>
          <cell r="R235"/>
          <cell r="S235">
            <v>830</v>
          </cell>
          <cell r="T235"/>
          <cell r="U235"/>
          <cell r="V235">
            <v>3</v>
          </cell>
          <cell r="W235">
            <v>830</v>
          </cell>
        </row>
        <row r="236">
          <cell r="A236"/>
          <cell r="B236"/>
          <cell r="C236"/>
          <cell r="D236"/>
          <cell r="E236"/>
          <cell r="F236"/>
          <cell r="G236"/>
          <cell r="H236"/>
          <cell r="I236"/>
          <cell r="J236"/>
          <cell r="K236"/>
          <cell r="L236"/>
          <cell r="M236"/>
          <cell r="N236"/>
          <cell r="O236"/>
          <cell r="P236"/>
          <cell r="Q236"/>
          <cell r="R236"/>
          <cell r="S236"/>
          <cell r="T236"/>
          <cell r="U236"/>
          <cell r="V236"/>
          <cell r="W236"/>
        </row>
        <row r="237">
          <cell r="A237" t="str">
            <v>4.4.38.1</v>
          </cell>
          <cell r="B237"/>
          <cell r="C237" t="str">
            <v>V5</v>
          </cell>
          <cell r="D237" t="str">
            <v>CI-HVC-CRAC-V01-170601</v>
          </cell>
          <cell r="E237" t="str">
            <v>Covers and Gap Sealers for Room Air Conditioners</v>
          </cell>
          <cell r="F237" t="str">
            <v>Covers and Gap Sealers for Room Air Conditioners, MF - Mid Rise, 5 Stories</v>
          </cell>
          <cell r="G237" t="str">
            <v>Other HVAC</v>
          </cell>
          <cell r="H237" t="str">
            <v>Commercial</v>
          </cell>
          <cell r="I237" t="str">
            <v>Project</v>
          </cell>
          <cell r="J237">
            <v>2905.84</v>
          </cell>
          <cell r="K237">
            <v>0</v>
          </cell>
          <cell r="L237">
            <v>322.26400000000001</v>
          </cell>
          <cell r="M237"/>
          <cell r="N237">
            <v>14529.2</v>
          </cell>
          <cell r="O237">
            <v>0</v>
          </cell>
          <cell r="P237">
            <v>1611.3200000000002</v>
          </cell>
          <cell r="Q237"/>
          <cell r="R237"/>
          <cell r="S237">
            <v>2780</v>
          </cell>
          <cell r="T237"/>
          <cell r="U237" t="str">
            <v/>
          </cell>
          <cell r="V237">
            <v>5</v>
          </cell>
          <cell r="W237">
            <v>2780</v>
          </cell>
        </row>
      </sheetData>
      <sheetData sheetId="5"/>
      <sheetData sheetId="6"/>
      <sheetData sheetId="7"/>
      <sheetData sheetId="8">
        <row r="11">
          <cell r="B11">
            <v>20</v>
          </cell>
        </row>
        <row r="12">
          <cell r="B12">
            <v>22</v>
          </cell>
        </row>
        <row r="13">
          <cell r="B13">
            <v>24</v>
          </cell>
        </row>
      </sheetData>
      <sheetData sheetId="9">
        <row r="11">
          <cell r="B11" t="str">
            <v>24 through 35</v>
          </cell>
        </row>
        <row r="12">
          <cell r="B12" t="str">
            <v>36 through 47</v>
          </cell>
        </row>
        <row r="13">
          <cell r="B13" t="str">
            <v>48 through 71</v>
          </cell>
        </row>
      </sheetData>
      <sheetData sheetId="10"/>
      <sheetData sheetId="11"/>
      <sheetData sheetId="12">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13"/>
      <sheetData sheetId="14"/>
      <sheetData sheetId="15"/>
      <sheetData sheetId="16"/>
      <sheetData sheetId="17">
        <row r="76">
          <cell r="B76" t="str">
            <v>Fast Food Limited Menu</v>
          </cell>
        </row>
        <row r="77">
          <cell r="B77" t="str">
            <v>Fast Food Expanded Menu</v>
          </cell>
        </row>
        <row r="78">
          <cell r="B78" t="str">
            <v>Pizza</v>
          </cell>
        </row>
        <row r="79">
          <cell r="B79" t="str">
            <v>Full Service Limited Menu</v>
          </cell>
        </row>
        <row r="80">
          <cell r="B80" t="str">
            <v>Full Service Expanded Menu</v>
          </cell>
        </row>
        <row r="81">
          <cell r="B81" t="str">
            <v>Cafeteria</v>
          </cell>
        </row>
      </sheetData>
      <sheetData sheetId="18">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9">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20"/>
      <sheetData sheetId="21"/>
      <sheetData sheetId="22"/>
      <sheetData sheetId="23"/>
      <sheetData sheetId="24">
        <row r="12">
          <cell r="B12" t="str">
            <v>DVC Control Retrofit</v>
          </cell>
        </row>
        <row r="13">
          <cell r="B13" t="str">
            <v>DVC Control New</v>
          </cell>
        </row>
      </sheetData>
      <sheetData sheetId="25"/>
      <sheetData sheetId="26"/>
      <sheetData sheetId="27">
        <row r="72">
          <cell r="A72" t="str">
            <v>TOS</v>
          </cell>
        </row>
        <row r="73">
          <cell r="A73" t="str">
            <v>RF</v>
          </cell>
        </row>
        <row r="74">
          <cell r="A74" t="str">
            <v>EREP</v>
          </cell>
        </row>
        <row r="77">
          <cell r="A77" t="str">
            <v>Gas,High Efficiency, ≥88% TE</v>
          </cell>
        </row>
        <row r="78">
          <cell r="A78" t="str">
            <v>Gas, Standard, ≥0.67 EF</v>
          </cell>
        </row>
        <row r="79">
          <cell r="A79" t="str">
            <v>Electric</v>
          </cell>
        </row>
        <row r="83">
          <cell r="A83" t="str">
            <v>50 gallons</v>
          </cell>
        </row>
        <row r="84">
          <cell r="A84" t="str">
            <v>80 gallons</v>
          </cell>
        </row>
        <row r="85">
          <cell r="A85" t="str">
            <v>100 gallons</v>
          </cell>
        </row>
      </sheetData>
      <sheetData sheetId="28">
        <row r="62">
          <cell r="B62" t="str">
            <v>Electric</v>
          </cell>
        </row>
        <row r="63">
          <cell r="B63" t="str">
            <v>Fossil Fuel</v>
          </cell>
        </row>
      </sheetData>
      <sheetData sheetId="29">
        <row r="63">
          <cell r="B63" t="str">
            <v>Electric</v>
          </cell>
          <cell r="E63">
            <v>2</v>
          </cell>
        </row>
        <row r="64">
          <cell r="B64" t="str">
            <v>Fossil Fuel</v>
          </cell>
          <cell r="E64">
            <v>1.75</v>
          </cell>
        </row>
        <row r="65">
          <cell r="B65" t="str">
            <v>Unknown</v>
          </cell>
          <cell r="E65">
            <v>1.5</v>
          </cell>
        </row>
        <row r="66">
          <cell r="E66" t="str">
            <v>Custom or Actual</v>
          </cell>
        </row>
      </sheetData>
      <sheetData sheetId="30">
        <row r="43">
          <cell r="B43" t="str">
            <v>Indoor</v>
          </cell>
        </row>
        <row r="44">
          <cell r="B44" t="str">
            <v>Outdoor</v>
          </cell>
        </row>
      </sheetData>
      <sheetData sheetId="31"/>
      <sheetData sheetId="32"/>
      <sheetData sheetId="33"/>
      <sheetData sheetId="34"/>
      <sheetData sheetId="35"/>
      <sheetData sheetId="36"/>
      <sheetData sheetId="37"/>
      <sheetData sheetId="38"/>
      <sheetData sheetId="39">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40">
        <row r="11">
          <cell r="J11" t="str">
            <v>Energy Star</v>
          </cell>
        </row>
        <row r="12">
          <cell r="J12" t="str">
            <v>CEE Tier 1</v>
          </cell>
        </row>
        <row r="13">
          <cell r="J13" t="b">
            <v>1</v>
          </cell>
        </row>
        <row r="14">
          <cell r="J14" t="b">
            <v>0</v>
          </cell>
        </row>
      </sheetData>
      <sheetData sheetId="41"/>
      <sheetData sheetId="42">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43"/>
      <sheetData sheetId="44">
        <row r="32">
          <cell r="J32" t="str">
            <v>PTAC (cooling mode)</v>
          </cell>
        </row>
        <row r="33">
          <cell r="J33" t="str">
            <v>PTHP (cooling mode)</v>
          </cell>
        </row>
        <row r="34">
          <cell r="J34" t="str">
            <v>PTHP (Heating mode)</v>
          </cell>
        </row>
      </sheetData>
      <sheetData sheetId="45">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B11" t="str">
            <v>Walk in Cooler</v>
          </cell>
        </row>
        <row r="12">
          <cell r="B12" t="str">
            <v>Walk in Freezer</v>
          </cell>
        </row>
      </sheetData>
      <sheetData sheetId="61">
        <row r="18">
          <cell r="B18" t="str">
            <v>Refrigerated Beverage Vending Machines</v>
          </cell>
        </row>
        <row r="19">
          <cell r="B19" t="str">
            <v>Non-Refrigerated Snack Vending Machines</v>
          </cell>
        </row>
        <row r="20">
          <cell r="B20" t="str">
            <v>Glass Front Refrigerated Coolers</v>
          </cell>
        </row>
      </sheetData>
      <sheetData sheetId="62">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63">
        <row r="11">
          <cell r="F11" t="str">
            <v>Restaurant</v>
          </cell>
        </row>
        <row r="12">
          <cell r="F12" t="str">
            <v>Grocery</v>
          </cell>
        </row>
        <row r="13">
          <cell r="F13" t="str">
            <v>Average</v>
          </cell>
        </row>
      </sheetData>
      <sheetData sheetId="64">
        <row r="14">
          <cell r="F14" t="str">
            <v>&lt;500</v>
          </cell>
        </row>
        <row r="15">
          <cell r="F15">
            <v>500</v>
          </cell>
        </row>
        <row r="16">
          <cell r="F16">
            <v>699</v>
          </cell>
        </row>
        <row r="17">
          <cell r="F17">
            <v>799</v>
          </cell>
        </row>
        <row r="18">
          <cell r="F18" t="str">
            <v>800+</v>
          </cell>
        </row>
        <row r="19">
          <cell r="F19" t="str">
            <v>Average</v>
          </cell>
        </row>
      </sheetData>
      <sheetData sheetId="65">
        <row r="8">
          <cell r="F8" t="str">
            <v>Freezer</v>
          </cell>
        </row>
        <row r="9">
          <cell r="F9" t="str">
            <v>Cooler</v>
          </cell>
        </row>
      </sheetData>
      <sheetData sheetId="66">
        <row r="20">
          <cell r="E20" t="str">
            <v>Single shift (8/5)</v>
          </cell>
        </row>
        <row r="21">
          <cell r="E21" t="str">
            <v>2-shift (16/5)</v>
          </cell>
        </row>
        <row r="22">
          <cell r="E22" t="str">
            <v>3-shift (24/5)</v>
          </cell>
        </row>
        <row r="23">
          <cell r="E23" t="str">
            <v>4-shift (24/7)</v>
          </cell>
        </row>
      </sheetData>
      <sheetData sheetId="67"/>
      <sheetData sheetId="68"/>
      <sheetData sheetId="69"/>
      <sheetData sheetId="70"/>
      <sheetData sheetId="71">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cell r="L9" t="str">
            <v>1 (Rockford)</v>
          </cell>
          <cell r="M9">
            <v>2</v>
          </cell>
        </row>
        <row r="10">
          <cell r="B10" t="str">
            <v>Heat pumps</v>
          </cell>
          <cell r="L10" t="str">
            <v>2 (Chicago)</v>
          </cell>
          <cell r="M10">
            <v>3</v>
          </cell>
        </row>
        <row r="11">
          <cell r="B11" t="str">
            <v>Steam traps</v>
          </cell>
          <cell r="L11" t="str">
            <v>3 (Springfield)</v>
          </cell>
          <cell r="M11">
            <v>4</v>
          </cell>
        </row>
        <row r="12">
          <cell r="B12" t="str">
            <v>Other HVAC</v>
          </cell>
          <cell r="L12" t="str">
            <v>4 (Belleville)</v>
          </cell>
          <cell r="M12">
            <v>5</v>
          </cell>
        </row>
        <row r="13">
          <cell r="B13" t="str">
            <v>Lighting</v>
          </cell>
          <cell r="L13" t="str">
            <v>5 (Marion)</v>
          </cell>
          <cell r="M13">
            <v>6</v>
          </cell>
        </row>
        <row r="14">
          <cell r="B14" t="str">
            <v>Refrigeration</v>
          </cell>
          <cell r="L14" t="str">
            <v>6 (Nicor Custom)</v>
          </cell>
          <cell r="M14">
            <v>7</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72">
        <row r="8">
          <cell r="D8">
            <v>2.2185999999999987E-2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6.1"/>
      <sheetName val="4.6.2"/>
      <sheetName val="4.6.3"/>
      <sheetName val="4.6.4"/>
      <sheetName val="4.6.5"/>
      <sheetName val="4.6.7"/>
      <sheetName val="4.7.1"/>
      <sheetName val="4.6.6"/>
      <sheetName val="4.8.2"/>
      <sheetName val="4.8.4"/>
      <sheetName val="Lists"/>
      <sheetName val="Input_Data"/>
    </sheetNames>
    <sheetDataSet>
      <sheetData sheetId="0"/>
      <sheetData sheetId="1"/>
      <sheetData sheetId="2"/>
      <sheetData sheetId="3"/>
      <sheetData sheetId="4">
        <row r="11">
          <cell r="B11">
            <v>20</v>
          </cell>
        </row>
        <row r="12">
          <cell r="B12">
            <v>22</v>
          </cell>
        </row>
        <row r="13">
          <cell r="B13">
            <v>24</v>
          </cell>
        </row>
      </sheetData>
      <sheetData sheetId="5">
        <row r="11">
          <cell r="B11" t="str">
            <v>24 through 35</v>
          </cell>
        </row>
        <row r="12">
          <cell r="B12" t="str">
            <v>36 through 47</v>
          </cell>
        </row>
        <row r="13">
          <cell r="B13" t="str">
            <v>48 through 71</v>
          </cell>
        </row>
      </sheetData>
      <sheetData sheetId="6"/>
      <sheetData sheetId="7"/>
      <sheetData sheetId="8">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9"/>
      <sheetData sheetId="10"/>
      <sheetData sheetId="11"/>
      <sheetData sheetId="12"/>
      <sheetData sheetId="13">
        <row r="70">
          <cell r="B70" t="str">
            <v>Fast Food Limited Menu</v>
          </cell>
        </row>
      </sheetData>
      <sheetData sheetId="14">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5">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16"/>
      <sheetData sheetId="17"/>
      <sheetData sheetId="18"/>
      <sheetData sheetId="19"/>
      <sheetData sheetId="20">
        <row r="11">
          <cell r="B11" t="str">
            <v>DVC Control Retrofit</v>
          </cell>
        </row>
        <row r="12">
          <cell r="B12" t="str">
            <v>DVC Control New</v>
          </cell>
        </row>
      </sheetData>
      <sheetData sheetId="21"/>
      <sheetData sheetId="22"/>
      <sheetData sheetId="23">
        <row r="59">
          <cell r="A59" t="str">
            <v>TOS</v>
          </cell>
        </row>
      </sheetData>
      <sheetData sheetId="24"/>
      <sheetData sheetId="25"/>
      <sheetData sheetId="26">
        <row r="40">
          <cell r="B40" t="str">
            <v>Indoor</v>
          </cell>
        </row>
      </sheetData>
      <sheetData sheetId="27"/>
      <sheetData sheetId="28"/>
      <sheetData sheetId="29"/>
      <sheetData sheetId="30"/>
      <sheetData sheetId="31"/>
      <sheetData sheetId="32"/>
      <sheetData sheetId="33"/>
      <sheetData sheetId="34">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35">
        <row r="11">
          <cell r="J11" t="str">
            <v>Energy Star</v>
          </cell>
        </row>
        <row r="12">
          <cell r="J12" t="str">
            <v>CEE Tier 1</v>
          </cell>
        </row>
        <row r="13">
          <cell r="J13" t="b">
            <v>1</v>
          </cell>
        </row>
        <row r="14">
          <cell r="J14" t="b">
            <v>0</v>
          </cell>
        </row>
      </sheetData>
      <sheetData sheetId="36"/>
      <sheetData sheetId="37">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38"/>
      <sheetData sheetId="39">
        <row r="32">
          <cell r="J32" t="str">
            <v>PTAC (cooling mode)</v>
          </cell>
        </row>
        <row r="33">
          <cell r="J33" t="str">
            <v>PTHP (cooling mode)</v>
          </cell>
        </row>
        <row r="34">
          <cell r="J34" t="str">
            <v>PTHP (Heating mode)</v>
          </cell>
        </row>
      </sheetData>
      <sheetData sheetId="40">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1">
          <cell r="B11" t="str">
            <v>Walk in Cooler</v>
          </cell>
        </row>
        <row r="12">
          <cell r="B12" t="str">
            <v>Walk in Freezer</v>
          </cell>
        </row>
      </sheetData>
      <sheetData sheetId="55">
        <row r="18">
          <cell r="B18" t="str">
            <v>Refrigerated Beverage Vending Machines</v>
          </cell>
        </row>
        <row r="19">
          <cell r="B19" t="str">
            <v>Non-Refrigerated Snack Vending Machines</v>
          </cell>
        </row>
        <row r="20">
          <cell r="B20" t="str">
            <v>Glass Front Refrigerated Coolers</v>
          </cell>
        </row>
      </sheetData>
      <sheetData sheetId="56">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57">
        <row r="11">
          <cell r="F11" t="str">
            <v>Restaurant</v>
          </cell>
        </row>
        <row r="12">
          <cell r="F12" t="str">
            <v>Grocery</v>
          </cell>
        </row>
        <row r="13">
          <cell r="F13" t="str">
            <v>Average</v>
          </cell>
        </row>
      </sheetData>
      <sheetData sheetId="58">
        <row r="14">
          <cell r="F14" t="str">
            <v>&lt;500</v>
          </cell>
        </row>
        <row r="15">
          <cell r="F15">
            <v>500</v>
          </cell>
        </row>
        <row r="16">
          <cell r="F16">
            <v>699</v>
          </cell>
        </row>
        <row r="17">
          <cell r="F17">
            <v>799</v>
          </cell>
        </row>
        <row r="18">
          <cell r="F18" t="str">
            <v>800+</v>
          </cell>
        </row>
        <row r="19">
          <cell r="F19" t="str">
            <v>Average</v>
          </cell>
        </row>
      </sheetData>
      <sheetData sheetId="59">
        <row r="8">
          <cell r="F8" t="str">
            <v>Freezer</v>
          </cell>
        </row>
        <row r="9">
          <cell r="F9" t="str">
            <v>Cooler</v>
          </cell>
        </row>
      </sheetData>
      <sheetData sheetId="60">
        <row r="20">
          <cell r="E20" t="str">
            <v>Single shift (8/5)</v>
          </cell>
        </row>
        <row r="21">
          <cell r="E21" t="str">
            <v>2-shift (16/5)</v>
          </cell>
        </row>
        <row r="22">
          <cell r="E22" t="str">
            <v>3-shift (24/5)</v>
          </cell>
        </row>
        <row r="23">
          <cell r="E23" t="str">
            <v>4-shift (24/7)</v>
          </cell>
        </row>
      </sheetData>
      <sheetData sheetId="61"/>
      <sheetData sheetId="62"/>
      <sheetData sheetId="63"/>
      <sheetData sheetId="64"/>
      <sheetData sheetId="6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BCRs"/>
      <sheetName val="Measures Yr 1"/>
      <sheetName val="Measures Yr 2"/>
      <sheetName val="Measures Yr 3"/>
      <sheetName val="Measures Yr 4"/>
      <sheetName val="Measures Yr 5"/>
      <sheetName val="Discounting Tables"/>
      <sheetName val="Track Changes"/>
      <sheetName val="Client Goal and Costs"/>
      <sheetName val="Shared Meaure IMC"/>
      <sheetName val="Program Budget Allocation"/>
      <sheetName val="BRD Table"/>
      <sheetName val="Budget Tables"/>
      <sheetName val="Sheet1"/>
      <sheetName val="Sheet2"/>
      <sheetName val="Before &amp; After"/>
      <sheetName val="2013 v. 2014 Cost Comp"/>
      <sheetName val="NIPSCO Budget Summary"/>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ow r="3">
          <cell r="R3">
            <v>0</v>
          </cell>
        </row>
      </sheetData>
      <sheetData sheetId="1">
        <row r="9">
          <cell r="C9" t="str">
            <v>TOS</v>
          </cell>
        </row>
        <row r="10">
          <cell r="C10" t="str">
            <v>NC</v>
          </cell>
        </row>
        <row r="15">
          <cell r="H15" t="str">
            <v xml:space="preserve">Energy Star </v>
          </cell>
        </row>
        <row r="16">
          <cell r="H16" t="str">
            <v>CEE 2</v>
          </cell>
        </row>
        <row r="17">
          <cell r="H17" t="str">
            <v>CEE 3</v>
          </cell>
        </row>
        <row r="35">
          <cell r="I35" t="str">
            <v>Electric</v>
          </cell>
        </row>
        <row r="36">
          <cell r="I36" t="str">
            <v>Natural Gas</v>
          </cell>
        </row>
        <row r="37">
          <cell r="I37" t="str">
            <v>Unknown</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row r="19">
          <cell r="I19" t="str">
            <v>TOS</v>
          </cell>
        </row>
        <row r="20">
          <cell r="I20" t="str">
            <v>NC</v>
          </cell>
        </row>
        <row r="21">
          <cell r="I21" t="str">
            <v>EREP</v>
          </cell>
        </row>
        <row r="29">
          <cell r="A29" t="str">
            <v>AFUE 90%</v>
          </cell>
        </row>
        <row r="30">
          <cell r="A30" t="str">
            <v>AFUE 91%</v>
          </cell>
        </row>
        <row r="31">
          <cell r="A31" t="str">
            <v>AFUE 92%</v>
          </cell>
        </row>
        <row r="32">
          <cell r="A32" t="str">
            <v>AFUE 93%</v>
          </cell>
        </row>
        <row r="33">
          <cell r="A33" t="str">
            <v>AFUE 94%</v>
          </cell>
        </row>
        <row r="34">
          <cell r="A34" t="str">
            <v>AFUE 95%</v>
          </cell>
        </row>
        <row r="35">
          <cell r="A35" t="str">
            <v>AFUE 96%</v>
          </cell>
        </row>
        <row r="36">
          <cell r="A36" t="str">
            <v>Unknown</v>
          </cell>
        </row>
        <row r="42">
          <cell r="A42" t="str">
            <v>AFUE ≥92%</v>
          </cell>
        </row>
        <row r="128">
          <cell r="B128" t="str">
            <v>AFUE ≥92%</v>
          </cell>
        </row>
        <row r="129">
          <cell r="B129" t="str">
            <v>AFUE ≥95%</v>
          </cell>
        </row>
        <row r="130">
          <cell r="B130" t="str">
            <v>AFUE ≥97%</v>
          </cell>
        </row>
      </sheetData>
      <sheetData sheetId="8">
        <row r="12">
          <cell r="L12" t="str">
            <v>TOS</v>
          </cell>
        </row>
        <row r="13">
          <cell r="L13" t="str">
            <v>NC</v>
          </cell>
        </row>
        <row r="14">
          <cell r="L14" t="str">
            <v>RF</v>
          </cell>
        </row>
        <row r="15">
          <cell r="L15" t="str">
            <v>DI</v>
          </cell>
        </row>
        <row r="18">
          <cell r="L18" t="str">
            <v>New Programmable thermostat</v>
          </cell>
        </row>
        <row r="19">
          <cell r="L19" t="str">
            <v>Reprogramming existing thermostat</v>
          </cell>
        </row>
        <row r="23">
          <cell r="I23" t="str">
            <v>Electric Resistance</v>
          </cell>
          <cell r="J23" t="str">
            <v>Electric Heat Pump</v>
          </cell>
          <cell r="K23" t="str">
            <v>Unknown</v>
          </cell>
        </row>
      </sheetData>
      <sheetData sheetId="9">
        <row r="11">
          <cell r="H11">
            <v>0</v>
          </cell>
        </row>
        <row r="14">
          <cell r="I14" t="str">
            <v>TOS</v>
          </cell>
        </row>
        <row r="15">
          <cell r="I15" t="str">
            <v>NC</v>
          </cell>
        </row>
        <row r="23">
          <cell r="B23" t="str">
            <v>Gas Storage</v>
          </cell>
        </row>
        <row r="24">
          <cell r="B24" t="str">
            <v>Condensing gas storage</v>
          </cell>
        </row>
        <row r="25">
          <cell r="B25"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v>0</v>
          </cell>
          <cell r="G35" t="str">
            <v>After 2006</v>
          </cell>
        </row>
        <row r="36">
          <cell r="F36" t="str">
            <v>Resistance</v>
          </cell>
        </row>
      </sheetData>
      <sheetData sheetId="11"/>
      <sheetData sheetId="12">
        <row r="32">
          <cell r="I32" t="str">
            <v>Household Unit Type</v>
          </cell>
        </row>
      </sheetData>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Non-central cooling</v>
          </cell>
        </row>
        <row r="36">
          <cell r="I36" t="str">
            <v>Single Family</v>
          </cell>
          <cell r="J36" t="str">
            <v>Multifamily</v>
          </cell>
        </row>
        <row r="47">
          <cell r="J47">
            <v>1</v>
          </cell>
          <cell r="K47">
            <v>1.5</v>
          </cell>
          <cell r="L47">
            <v>2</v>
          </cell>
          <cell r="M47">
            <v>3</v>
          </cell>
        </row>
        <row r="48">
          <cell r="H48" t="str">
            <v>Well Shielded</v>
          </cell>
        </row>
        <row r="49">
          <cell r="H49" t="str">
            <v>Normal</v>
          </cell>
        </row>
        <row r="50">
          <cell r="H50" t="str">
            <v>Exposed</v>
          </cell>
        </row>
      </sheetData>
      <sheetData sheetId="17">
        <row r="11">
          <cell r="O11" t="str">
            <v>Spray Foam</v>
          </cell>
        </row>
        <row r="12">
          <cell r="O12" t="str">
            <v>External Rigid Foam</v>
          </cell>
        </row>
        <row r="13">
          <cell r="O13" t="str">
            <v>Cavity Insulation</v>
          </cell>
        </row>
      </sheetData>
      <sheetData sheetId="18"/>
      <sheetData sheetId="19"/>
      <sheetData sheetId="20">
        <row r="15">
          <cell r="C15">
            <v>7</v>
          </cell>
        </row>
      </sheetData>
      <sheetData sheetId="21"/>
    </sheetDataSet>
  </externalBook>
</externalLink>
</file>

<file path=xl/persons/person.xml><?xml version="1.0" encoding="utf-8"?>
<personList xmlns="http://schemas.microsoft.com/office/spreadsheetml/2018/threadedcomments" xmlns:x="http://schemas.openxmlformats.org/spreadsheetml/2006/main">
  <person displayName="Shraddha" id="{C0AC00F1-DB68-419F-920B-D0E961E2FFAC}" userId="Shraddha" providerId="None"/>
  <person displayName="Liu, Bruce" id="{3CA68B2A-CFB6-4D76-8B94-D5D34B59C16F}" userId="Liu, Bruce" providerId="None"/>
  <person displayName="Bridgid Lutz" id="{4DB91E4F-505F-4B3C-96F0-DCC5D9A869CD}" userId="Bridgid Lutz" providerId="None"/>
  <person displayName="Rohith Mannam" id="{89780F47-0001-482C-B985-C056024FEA05}" userId="Rohith Mannam" providerId="None"/>
  <person displayName="Kristi Simkins" id="{9BD296EA-B556-498B-87F3-AEA4E7B66B41}" userId="Kristi Simkins" providerId="None"/>
  <person displayName="Mannam, Rohith" id="{E3AE3ED0-2564-40F6-832F-9555D42DA854}" userId="S::romannam@southernco.com::af24cf2a-9918-4e43-9b2d-ed3c70ff1044" providerId="AD"/>
  <person displayName="Cassandra Wright(Migrated)" id="{3E924319-7148-4681-95A1-DA04D6820A32}" userId="S::cassandra.wright@navigant.com::74565cef-907a-4abf-b45c-936fafaf0d9f"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ndy Opdyke" refreshedDate="44034.473080902775" backgroundQuery="1" createdVersion="6" refreshedVersion="6" minRefreshableVersion="3" recordCount="0" supportSubquery="1" supportAdvancedDrill="1" xr:uid="{47455A78-0054-4E7E-ABAE-2A1942E2A86C}">
  <cacheSource type="external" connectionId="1"/>
  <cacheFields count="15">
    <cacheField name="[DimScenario].[Scenario Name].[Scenario Name]" caption="Scenario Name" numFmtId="0" hierarchy="626" level="1">
      <sharedItems containsSemiMixedTypes="0" containsString="0"/>
    </cacheField>
    <cacheField name="[DimMeasureGroup].[ProgramYear].[ProgramYear]" caption="ProgramYear" numFmtId="0" hierarchy="313" level="1">
      <sharedItems containsSemiMixedTypes="0" containsString="0"/>
    </cacheField>
    <cacheField name="[FactEEPData].[VariableCostIdentifier].[VariableCostIdentifier]" caption="VariableCostIdentifier" numFmtId="0" hierarchy="918" level="1">
      <sharedItems containsSemiMixedTypes="0" containsString="0"/>
    </cacheField>
    <cacheField name="[DimPMTProgram].[Program Acronym].[Program Acronym]" caption="Program Acronym" numFmtId="0" hierarchy="344" level="1">
      <sharedItems containsSemiMixedTypes="0" containsString="0"/>
    </cacheField>
    <cacheField name="[DimMeasureGroup].[MeasureGroupName].[MeasureGroupName]" caption="MeasureGroupName" numFmtId="0" hierarchy="311" level="1">
      <sharedItems count="10">
        <s v="[DimMeasureGroup].[MeasureGroupName].&amp;[Air Sealing]" c="Air Sealing"/>
        <s v="[DimMeasureGroup].[MeasureGroupName].&amp;[Attic Insulation]" c="Attic Insulation"/>
        <s v="[DimMeasureGroup].[MeasureGroupName].&amp;[Basement/Sidewall Insulation]" c="Basement/Sidewall Insulation"/>
        <s v="[DimMeasureGroup].[MeasureGroupName].&amp;[Duct Sealing]" c="Duct Sealing"/>
        <s v="[DimMeasureGroup].[MeasureGroupName].&amp;[Floor Insulation Above Crawlspace]" c="Floor Insulation Above Crawlspace"/>
        <s v="[DimMeasureGroup].[MeasureGroupName].&amp;[Rim/Band Joist Insulation]" c="Rim/Band Joist Insulation"/>
        <s v="[DimMeasureGroup].[MeasureGroupName].&amp;[Wall Insulation SF]" c="Wall Insulation SF"/>
        <s v="[DimMeasureGroup].[MeasureGroupName].&amp;[Pipe Insulation, Indoor Hot Water DHW]" u="1" c="Pipe Insulation, Indoor Hot Water DHW"/>
        <s v="[DimMeasureGroup].[MeasureGroupName].&amp;[Pipe Insulation, Indoor HW Space Heat]" u="1" c="Pipe Insulation, Indoor HW Space Heat"/>
        <s v="[DimMeasureGroup].[MeasureGroupName].&amp;[Pipe Insulation, Indoor LPS Space Heat]" u="1" c="Pipe Insulation, Indoor LPS Space Heat"/>
      </sharedItems>
    </cacheField>
    <cacheField name="[Measures].[Count of Project]" caption="Count of Project" numFmtId="0" hierarchy="1990" level="32767"/>
    <cacheField name="[Measures].[Sum of Quantity]" caption="Sum of Quantity" numFmtId="0" hierarchy="1974" level="32767"/>
    <cacheField name="[DimPMTProject].[Project Type].[Project Type]" caption="Project Type" numFmtId="0" hierarchy="448" level="1">
      <sharedItems count="3">
        <s v="[DimPMTProject].[Project Type].&amp;[Contractor Channel SF]" c="Contractor Channel SF"/>
        <s v="[DimPMTProject].[Project Type].&amp;[SF]" c="SF"/>
        <s v="[DimPMTProject].[Project Type].&amp;[Weatherization - SF]" u="1" c="Weatherization - SF"/>
      </sharedItems>
    </cacheField>
    <cacheField name="[DimDate].[CalendarYear].[CalendarYear]" caption="CalendarYear" numFmtId="0" hierarchy="291" level="1">
      <sharedItems count="4">
        <s v="[DimDate].[CalendarYear].&amp;[2018]" c="2018"/>
        <s v="[DimDate].[CalendarYear].&amp;[2019]" c="2019"/>
        <s v="[DimDate].[CalendarYear].&amp;[2020]" c="2020"/>
        <s v="[DimDate].[CalendarYear].&amp;[2017]" u="1" c="2017"/>
      </sharedItems>
    </cacheField>
    <cacheField name="[DimPMTProject].[Program Year].[Program Year]" caption="Program Year" numFmtId="0" hierarchy="441" level="1">
      <sharedItems containsSemiMixedTypes="0" containsString="0"/>
    </cacheField>
    <cacheField name="[DimPMTProject].[PropertySector].[PropertySector]" caption="PropertySector" numFmtId="0" hierarchy="453" level="1">
      <sharedItems containsSemiMixedTypes="0" containsString="0"/>
    </cacheField>
    <cacheField name="[Measures].[Sum of ActualProgramDollarCost]" caption="Sum of ActualProgramDollarCost" numFmtId="0" hierarchy="1979" level="32767"/>
    <cacheField name="[DimPMTProject].[JointProject].[JointProject]" caption="JointProject" numFmtId="0" hierarchy="402" level="1">
      <sharedItems containsSemiMixedTypes="0" containsString="0"/>
    </cacheField>
    <cacheField name="[Measures].[Sum of GrossAnnualThermSavings]" caption="Sum of GrossAnnualThermSavings" numFmtId="0" hierarchy="1981" level="32767"/>
    <cacheField name="[Measures].[Sum of IncrementalCost]" caption="Sum of IncrementalCost" numFmtId="0" hierarchy="1983" level="32767"/>
  </cacheFields>
  <cacheHierarchies count="2019">
    <cacheHierarchy uniqueName="[Account_Contact].[Account Contact  Bday Date]" caption="Account Contact  Bday Date" attribute="1" defaultMemberUniqueName="[Account_Contact].[Account Contact  Bday Date].[All]" allUniqueName="[Account_Contact].[Account Contact  Bday Date].[All]" dimensionUniqueName="[Account_Contact]" displayFolder="Customer Account" count="0" unbalanced="0"/>
    <cacheHierarchy uniqueName="[Account_Contact].[Account Contact A44 Contact Indicator]" caption="Account Contact A44 Contact Indicator" attribute="1" defaultMemberUniqueName="[Account_Contact].[Account Contact A44 Contact Indicator].[All]" allUniqueName="[Account_Contact].[Account Contact A44 Contact Indicator].[All]" dimensionUniqueName="[Account_Contact]" displayFolder="Customer Account" count="0" unbalanced="0"/>
    <cacheHierarchy uniqueName="[Account_Contact].[Account Contact Address1]" caption="Account Contact Address1" attribute="1" defaultMemberUniqueName="[Account_Contact].[Account Contact Address1].[All]" allUniqueName="[Account_Contact].[Account Contact Address1].[All]" dimensionUniqueName="[Account_Contact]" displayFolder="Customer Account" count="0" unbalanced="0"/>
    <cacheHierarchy uniqueName="[Account_Contact].[Account Contact Address2]" caption="Account Contact Address2" attribute="1" defaultMemberUniqueName="[Account_Contact].[Account Contact Address2].[All]" allUniqueName="[Account_Contact].[Account Contact Address2].[All]" dimensionUniqueName="[Account_Contact]" displayFolder="Customer Account" count="0" unbalanced="0"/>
    <cacheHierarchy uniqueName="[Account_Contact].[Account Contact Cell Phone IsPrimary Code]" caption="Account Contact Cell Phone IsPrimary Code" attribute="1" defaultMemberUniqueName="[Account_Contact].[Account Contact Cell Phone IsPrimary Code].[All]" allUniqueName="[Account_Contact].[Account Contact Cell Phone IsPrimary Code].[All]" dimensionUniqueName="[Account_Contact]" displayFolder="" count="0" unbalanced="0"/>
    <cacheHierarchy uniqueName="[Account_Contact].[Account Contact Cell Phone Number]" caption="Account Contact Cell Phone Number" attribute="1" defaultMemberUniqueName="[Account_Contact].[Account Contact Cell Phone Number].[All]" allUniqueName="[Account_Contact].[Account Contact Cell Phone Number].[All]" dimensionUniqueName="[Account_Contact]" displayFolder="" count="0" unbalanced="0"/>
    <cacheHierarchy uniqueName="[Account_Contact].[Account Contact Cell Phone Verif Code]" caption="Account Contact Cell Phone Verif Code" attribute="1" defaultMemberUniqueName="[Account_Contact].[Account Contact Cell Phone Verif Code].[All]" allUniqueName="[Account_Contact].[Account Contact Cell Phone Verif Code].[All]" dimensionUniqueName="[Account_Contact]" displayFolder="" count="0" unbalanced="0"/>
    <cacheHierarchy uniqueName="[Account_Contact].[Account Contact City Name]" caption="Account Contact City Name" attribute="1" defaultMemberUniqueName="[Account_Contact].[Account Contact City Name].[All]" allUniqueName="[Account_Contact].[Account Contact City Name].[All]" dimensionUniqueName="[Account_Contact]" displayFolder="" count="0" unbalanced="0"/>
    <cacheHierarchy uniqueName="[Account_Contact].[Account Contact Company Code]" caption="Account Contact Company Code" attribute="1" defaultMemberUniqueName="[Account_Contact].[Account Contact Company Code].[All]" allUniqueName="[Account_Contact].[Account Contact Company Code].[All]" dimensionUniqueName="[Account_Contact]" displayFolder="" count="0" unbalanced="0"/>
    <cacheHierarchy uniqueName="[Account_Contact].[Account Contact Company Description]" caption="Account Contact Company Description" attribute="1" defaultMemberUniqueName="[Account_Contact].[Account Contact Company Description].[All]" allUniqueName="[Account_Contact].[Account Contact Company Description].[All]" dimensionUniqueName="[Account_Contact]" displayFolder="" count="0" unbalanced="0"/>
    <cacheHierarchy uniqueName="[Account_Contact].[Account Contact Contact LastService Wk Date]" caption="Account Contact Contact LastService Wk Date" attribute="1" defaultMemberUniqueName="[Account_Contact].[Account Contact Contact LastService Wk Date].[All]" allUniqueName="[Account_Contact].[Account Contact Contact LastService Wk Date].[All]" dimensionUniqueName="[Account_Contact]" displayFolder="" count="0" unbalanced="0"/>
    <cacheHierarchy uniqueName="[Account_Contact].[Account Contact Contact Type Code]" caption="Account Contact Contact Type Code" attribute="1" defaultMemberUniqueName="[Account_Contact].[Account Contact Contact Type Code].[All]" allUniqueName="[Account_Contact].[Account Contact Contact Type Code].[All]" dimensionUniqueName="[Account_Contact]" displayFolder="" count="0" unbalanced="0"/>
    <cacheHierarchy uniqueName="[Account_Contact].[Account Contact Contact Type Description]" caption="Account Contact Contact Type Description" attribute="1" defaultMemberUniqueName="[Account_Contact].[Account Contact Contact Type Description].[All]" allUniqueName="[Account_Contact].[Account Contact Contact Type Description].[All]" dimensionUniqueName="[Account_Contact]" displayFolder="" count="0" unbalanced="0"/>
    <cacheHierarchy uniqueName="[Account_Contact].[Account Contact Do Not Email Indicator]" caption="Account Contact Do Not Email Indicator" attribute="1" defaultMemberUniqueName="[Account_Contact].[Account Contact Do Not Email Indicator].[All]" allUniqueName="[Account_Contact].[Account Contact Do Not Email Indicator].[All]" dimensionUniqueName="[Account_Contact]" displayFolder="" count="0" unbalanced="0"/>
    <cacheHierarchy uniqueName="[Account_Contact].[Account Contact Do Not Mail Indicator]" caption="Account Contact Do Not Mail Indicator" attribute="1" defaultMemberUniqueName="[Account_Contact].[Account Contact Do Not Mail Indicator].[All]" allUniqueName="[Account_Contact].[Account Contact Do Not Mail Indicator].[All]" dimensionUniqueName="[Account_Contact]" displayFolder="" count="0" unbalanced="0"/>
    <cacheHierarchy uniqueName="[Account_Contact].[Account Contact Email Address]" caption="Account Contact Email Address" attribute="1" defaultMemberUniqueName="[Account_Contact].[Account Contact Email Address].[All]" allUniqueName="[Account_Contact].[Account Contact Email Address].[All]" dimensionUniqueName="[Account_Contact]" displayFolder="" count="0" unbalanced="0"/>
    <cacheHierarchy uniqueName="[Account_Contact].[Account Contact Email OptOut Code]" caption="Account Contact Email OptOut Code" attribute="1" defaultMemberUniqueName="[Account_Contact].[Account Contact Email OptOut Code].[All]" allUniqueName="[Account_Contact].[Account Contact Email OptOut Code].[All]" dimensionUniqueName="[Account_Contact]" displayFolder="" count="0" unbalanced="0"/>
    <cacheHierarchy uniqueName="[Account_Contact].[Account Contact Email OptOut Description]" caption="Account Contact Email OptOut Description" attribute="1" defaultMemberUniqueName="[Account_Contact].[Account Contact Email OptOut Description].[All]" allUniqueName="[Account_Contact].[Account Contact Email OptOut Description].[All]" dimensionUniqueName="[Account_Contact]" displayFolder="" count="0" unbalanced="0"/>
    <cacheHierarchy uniqueName="[Account_Contact].[Account Contact FAX Number]" caption="Account Contact FAX Number" attribute="1" defaultMemberUniqueName="[Account_Contact].[Account Contact FAX Number].[All]" allUniqueName="[Account_Contact].[Account Contact FAX Number].[All]" dimensionUniqueName="[Account_Contact]" displayFolder="" count="0" unbalanced="0"/>
    <cacheHierarchy uniqueName="[Account_Contact].[Account Contact Home Phone IsPrimary Code]" caption="Account Contact Home Phone IsPrimary Code" attribute="1" defaultMemberUniqueName="[Account_Contact].[Account Contact Home Phone IsPrimary Code].[All]" allUniqueName="[Account_Contact].[Account Contact Home Phone IsPrimary Code].[All]" dimensionUniqueName="[Account_Contact]" displayFolder="" count="0" unbalanced="0"/>
    <cacheHierarchy uniqueName="[Account_Contact].[Account Contact Home Phone Number]" caption="Account Contact Home Phone Number" attribute="1" defaultMemberUniqueName="[Account_Contact].[Account Contact Home Phone Number].[All]" allUniqueName="[Account_Contact].[Account Contact Home Phone Number].[All]" dimensionUniqueName="[Account_Contact]" displayFolder="" count="0" unbalanced="0"/>
    <cacheHierarchy uniqueName="[Account_Contact].[Account Contact Home Phone Number Ext]" caption="Account Contact Home Phone Number Ext" attribute="1" defaultMemberUniqueName="[Account_Contact].[Account Contact Home Phone Number Ext].[All]" allUniqueName="[Account_Contact].[Account Contact Home Phone Number Ext].[All]" dimensionUniqueName="[Account_Contact]" displayFolder="" count="0" unbalanced="0"/>
    <cacheHierarchy uniqueName="[Account_Contact].[Account Contact Home Phone Verif Code]" caption="Account Contact Home Phone Verif Code" attribute="1" defaultMemberUniqueName="[Account_Contact].[Account Contact Home Phone Verif Code].[All]" allUniqueName="[Account_Contact].[Account Contact Home Phone Verif Code].[All]" dimensionUniqueName="[Account_Contact]" displayFolder="" count="0" unbalanced="0"/>
    <cacheHierarchy uniqueName="[Account_Contact].[Account Contact Invalid Email Code]" caption="Account Contact Invalid Email Code" attribute="1" defaultMemberUniqueName="[Account_Contact].[Account Contact Invalid Email Code].[All]" allUniqueName="[Account_Contact].[Account Contact Invalid Email Code].[All]" dimensionUniqueName="[Account_Contact]" displayFolder="" count="0" unbalanced="0"/>
    <cacheHierarchy uniqueName="[Account_Contact].[Account Contact Other Phone IsPrimary Code]" caption="Account Contact Other Phone IsPrimary Code" attribute="1" defaultMemberUniqueName="[Account_Contact].[Account Contact Other Phone IsPrimary Code].[All]" allUniqueName="[Account_Contact].[Account Contact Other Phone IsPrimary Code].[All]" dimensionUniqueName="[Account_Contact]" displayFolder="" count="0" unbalanced="0"/>
    <cacheHierarchy uniqueName="[Account_Contact].[Account Contact Other Phone Number]" caption="Account Contact Other Phone Number" attribute="1" defaultMemberUniqueName="[Account_Contact].[Account Contact Other Phone Number].[All]" allUniqueName="[Account_Contact].[Account Contact Other Phone Number].[All]" dimensionUniqueName="[Account_Contact]" displayFolder="" count="0" unbalanced="0"/>
    <cacheHierarchy uniqueName="[Account_Contact].[Account Contact Other Phone Verif Code]" caption="Account Contact Other Phone Verif Code" attribute="1" defaultMemberUniqueName="[Account_Contact].[Account Contact Other Phone Verif Code].[All]" allUniqueName="[Account_Contact].[Account Contact Other Phone Verif Code].[All]" dimensionUniqueName="[Account_Contact]" displayFolder="" count="0" unbalanced="0"/>
    <cacheHierarchy uniqueName="[Account_Contact].[Account Contact Person Or Business Code]" caption="Account Contact Person Or Business Code" attribute="1" defaultMemberUniqueName="[Account_Contact].[Account Contact Person Or Business Code].[All]" allUniqueName="[Account_Contact].[Account Contact Person Or Business Code].[All]" dimensionUniqueName="[Account_Contact]" displayFolder="" count="0" unbalanced="0"/>
    <cacheHierarchy uniqueName="[Account_Contact].[Account Contact Person Or Business First Name]" caption="Account Contact Person Or Business First Name" attribute="1" defaultMemberUniqueName="[Account_Contact].[Account Contact Person Or Business First Name].[All]" allUniqueName="[Account_Contact].[Account Contact Person Or Business First Name].[All]" dimensionUniqueName="[Account_Contact]" displayFolder="" count="0" unbalanced="0"/>
    <cacheHierarchy uniqueName="[Account_Contact].[Account Contact Person Or Business Last Name]" caption="Account Contact Person Or Business Last Name" attribute="1" defaultMemberUniqueName="[Account_Contact].[Account Contact Person Or Business Last Name].[All]" allUniqueName="[Account_Contact].[Account Contact Person Or Business Last Name].[All]" dimensionUniqueName="[Account_Contact]" displayFolder="" count="0" unbalanced="0"/>
    <cacheHierarchy uniqueName="[Account_Contact].[Account Contact PersonID]" caption="Account Contact PersonID" attribute="1" defaultMemberUniqueName="[Account_Contact].[Account Contact PersonID].[All]" allUniqueName="[Account_Contact].[Account Contact PersonID].[All]" dimensionUniqueName="[Account_Contact]" displayFolder="" count="0" unbalanced="0"/>
    <cacheHierarchy uniqueName="[Account_Contact].[Account Contact Position Code]" caption="Account Contact Position Code" attribute="1" defaultMemberUniqueName="[Account_Contact].[Account Contact Position Code].[All]" allUniqueName="[Account_Contact].[Account Contact Position Code].[All]" dimensionUniqueName="[Account_Contact]" displayFolder="" count="0" unbalanced="0"/>
    <cacheHierarchy uniqueName="[Account_Contact].[Account Contact Position Description]" caption="Account Contact Position Description" attribute="1" defaultMemberUniqueName="[Account_Contact].[Account Contact Position Description].[All]" allUniqueName="[Account_Contact].[Account Contact Position Description].[All]" dimensionUniqueName="[Account_Contact]" displayFolder="" count="0" unbalanced="0"/>
    <cacheHierarchy uniqueName="[Account_Contact].[Account Contact Postal Code]" caption="Account Contact Postal Code" attribute="1" defaultMemberUniqueName="[Account_Contact].[Account Contact Postal Code].[All]" allUniqueName="[Account_Contact].[Account Contact Postal Code].[All]" dimensionUniqueName="[Account_Contact]" displayFolder="" count="0" unbalanced="0"/>
    <cacheHierarchy uniqueName="[Account_Contact].[Account Contact Priority Code]" caption="Account Contact Priority Code" attribute="1" defaultMemberUniqueName="[Account_Contact].[Account Contact Priority Code].[All]" allUniqueName="[Account_Contact].[Account Contact Priority Code].[All]" dimensionUniqueName="[Account_Contact]" displayFolder="" count="0" unbalanced="0"/>
    <cacheHierarchy uniqueName="[Account_Contact].[Account Contact Priority Description]" caption="Account Contact Priority Description" attribute="1" defaultMemberUniqueName="[Account_Contact].[Account Contact Priority Description].[All]" allUniqueName="[Account_Contact].[Account Contact Priority Description].[All]" dimensionUniqueName="[Account_Contact]" displayFolder="" count="0" unbalanced="0"/>
    <cacheHierarchy uniqueName="[Account_Contact].[Account Contact Referred By]" caption="Account Contact Referred By" attribute="1" defaultMemberUniqueName="[Account_Contact].[Account Contact Referred By].[All]" allUniqueName="[Account_Contact].[Account Contact Referred By].[All]" dimensionUniqueName="[Account_Contact]" displayFolder="" count="0" unbalanced="0"/>
    <cacheHierarchy uniqueName="[Account_Contact].[Account Contact Salesforce MOC ContactID]" caption="Account Contact Salesforce MOC ContactID" attribute="1" defaultMemberUniqueName="[Account_Contact].[Account Contact Salesforce MOC ContactID].[All]" allUniqueName="[Account_Contact].[Account Contact Salesforce MOC ContactID].[All]" dimensionUniqueName="[Account_Contact]" displayFolder="" count="0" unbalanced="0"/>
    <cacheHierarchy uniqueName="[Account_Contact].[Account Contact Source System]" caption="Account Contact Source System" attribute="1" defaultMemberUniqueName="[Account_Contact].[Account Contact Source System].[All]" allUniqueName="[Account_Contact].[Account Contact Source System].[All]" dimensionUniqueName="[Account_Contact]" displayFolder="" count="0" unbalanced="0"/>
    <cacheHierarchy uniqueName="[Account_Contact].[Account Contact State Code]" caption="Account Contact State Code" attribute="1" defaultMemberUniqueName="[Account_Contact].[Account Contact State Code].[All]" allUniqueName="[Account_Contact].[Account Contact State Code].[All]" dimensionUniqueName="[Account_Contact]" displayFolder="" count="0" unbalanced="0"/>
    <cacheHierarchy uniqueName="[Account_Contact].[Account Contact Title]" caption="Account Contact Title" attribute="1" defaultMemberUniqueName="[Account_Contact].[Account Contact Title].[All]" allUniqueName="[Account_Contact].[Account Contact Title].[All]" dimensionUniqueName="[Account_Contact]" displayFolder="" count="0" unbalanced="0"/>
    <cacheHierarchy uniqueName="[Account_Contact].[Account Contact Unique Business Key]" caption="Account Contact Unique Business Key" attribute="1" defaultMemberUniqueName="[Account_Contact].[Account Contact Unique Business Key].[All]" allUniqueName="[Account_Contact].[Account Contact Unique Business Key].[All]" dimensionUniqueName="[Account_Contact]" displayFolder="" count="0" unbalanced="0"/>
    <cacheHierarchy uniqueName="[Account_Contact].[Account Contact Unique Contact Key]" caption="Account Contact Unique Contact Key" attribute="1" defaultMemberUniqueName="[Account_Contact].[Account Contact Unique Contact Key].[All]" allUniqueName="[Account_Contact].[Account Contact Unique Contact Key].[All]" dimensionUniqueName="[Account_Contact]" displayFolder="" count="0" unbalanced="0"/>
    <cacheHierarchy uniqueName="[Account_Contact].[Account Contact Work Phone Extension]" caption="Account Contact Work Phone Extension" attribute="1" defaultMemberUniqueName="[Account_Contact].[Account Contact Work Phone Extension].[All]" allUniqueName="[Account_Contact].[Account Contact Work Phone Extension].[All]" dimensionUniqueName="[Account_Contact]" displayFolder="" count="0" unbalanced="0"/>
    <cacheHierarchy uniqueName="[Account_Contact].[Account Contact Work Phone IsPrimary Code]" caption="Account Contact Work Phone IsPrimary Code" attribute="1" defaultMemberUniqueName="[Account_Contact].[Account Contact Work Phone IsPrimary Code].[All]" allUniqueName="[Account_Contact].[Account Contact Work Phone IsPrimary Code].[All]" dimensionUniqueName="[Account_Contact]" displayFolder="" count="0" unbalanced="0"/>
    <cacheHierarchy uniqueName="[Account_Contact].[Account Contact Work Phone Number]" caption="Account Contact Work Phone Number" attribute="1" defaultMemberUniqueName="[Account_Contact].[Account Contact Work Phone Number].[All]" allUniqueName="[Account_Contact].[Account Contact Work Phone Number].[All]" dimensionUniqueName="[Account_Contact]" displayFolder="" count="0" unbalanced="0"/>
    <cacheHierarchy uniqueName="[Account_Contact].[Account Contact Work Phone Verif Code]" caption="Account Contact Work Phone Verif Code" attribute="1" defaultMemberUniqueName="[Account_Contact].[Account Contact Work Phone Verif Code].[All]" allUniqueName="[Account_Contact].[Account Contact Work Phone Verif Code].[All]" dimensionUniqueName="[Account_Contact]" displayFolder="" count="0" unbalanced="0"/>
    <cacheHierarchy uniqueName="[Account_Contact].[Account Unique Contact Type Code]" caption="Account Unique Contact Type Code" attribute="1" defaultMemberUniqueName="[Account_Contact].[Account Unique Contact Type Code].[All]" allUniqueName="[Account_Contact].[Account Unique Contact Type Code].[All]" dimensionUniqueName="[Account_Contact]" displayFolder="" count="0" unbalanced="0"/>
    <cacheHierarchy uniqueName="[Account_Contact].[Account Unique Contact Type Description]" caption="Account Unique Contact Type Description" attribute="1" defaultMemberUniqueName="[Account_Contact].[Account Unique Contact Type Description].[All]" allUniqueName="[Account_Contact].[Account Unique Contact Type Description].[All]" dimensionUniqueName="[Account_Contact]" displayFolder="" count="0" unbalanced="0"/>
    <cacheHierarchy uniqueName="[Account_Contact].[AccountKey]" caption="AccountKey" attribute="1" defaultMemberUniqueName="[Account_Contact].[AccountKey].[All]" allUniqueName="[Account_Contact].[AccountKey].[All]" dimensionUniqueName="[Account_Contact]" displayFolder="" count="0" unbalanced="0"/>
    <cacheHierarchy uniqueName="[Account_Contact].[ContactKey]" caption="ContactKey" attribute="1" defaultMemberUniqueName="[Account_Contact].[ContactKey].[All]" allUniqueName="[Account_Contact].[ContactKey].[All]" dimensionUniqueName="[Account_Contact]" displayFolder="" count="0" unbalanced="0"/>
    <cacheHierarchy uniqueName="[AccountCountyHierArchy].[AccountCountyCityZip]" caption="AccountCountyCityZip" defaultMemberUniqueName="[AccountCountyHierArchy].[AccountCountyCityZip].[All]" allUniqueName="[AccountCountyHierArchy].[AccountCountyCityZip].[All]" dimensionUniqueName="[AccountCountyHierArchy]" displayFolder="" count="4" unbalanced="0"/>
    <cacheHierarchy uniqueName="[AccountCountyHierArchy].[Service City]" caption="Service City" attribute="1" defaultMemberUniqueName="[AccountCountyHierArchy].[Service City].[All]" allUniqueName="[AccountCountyHierArchy].[Service City].[All]" dimensionUniqueName="[AccountCountyHierArchy]" displayFolder="" count="0" unbalanced="0"/>
    <cacheHierarchy uniqueName="[AccountCountyHierArchy].[Service County]" caption="Service County" attribute="1" defaultMemberUniqueName="[AccountCountyHierArchy].[Service County].[All]" allUniqueName="[AccountCountyHierArchy].[Service County].[All]" dimensionUniqueName="[AccountCountyHierArchy]" displayFolder="" count="0" unbalanced="0"/>
    <cacheHierarchy uniqueName="[AccountCountyHierArchy].[Service Postal Code]" caption="Service Postal Code" attribute="1" defaultMemberUniqueName="[AccountCountyHierArchy].[Service Postal Code].[All]" allUniqueName="[AccountCountyHierArchy].[Service Postal Code].[All]" dimensionUniqueName="[AccountCountyHierArchy]" displayFolder="" count="0" unbalanced="0"/>
    <cacheHierarchy uniqueName="[AcctA44Ranking].[A44 Ranking]" caption="A44 Ranking" attribute="1" defaultMemberUniqueName="[AcctA44Ranking].[A44 Ranking].[All]" allUniqueName="[AcctA44Ranking].[A44 Ranking].[All]" dimensionUniqueName="[AcctA44Ranking]" displayFolder="" count="0" unbalanced="0"/>
    <cacheHierarchy uniqueName="[AcctA44Ranking].[A44 Ranking Description]" caption="A44 Ranking Description" attribute="1" defaultMemberUniqueName="[AcctA44Ranking].[A44 Ranking Description].[All]" allUniqueName="[AcctA44Ranking].[A44 Ranking Description].[All]" dimensionUniqueName="[AcctA44Ranking]" displayFolder="" count="0" unbalanced="0"/>
    <cacheHierarchy uniqueName="[AcctContactRules].[Contact Rules Code]" caption="Contact Rules Code" attribute="1" defaultMemberUniqueName="[AcctContactRules].[Contact Rules Code].[All]" allUniqueName="[AcctContactRules].[Contact Rules Code].[All]" dimensionUniqueName="[AcctContactRules]" displayFolder="" count="0" unbalanced="0"/>
    <cacheHierarchy uniqueName="[AcctContactRules].[Contact Rules Desc]" caption="Contact Rules Desc" attribute="1" defaultMemberUniqueName="[AcctContactRules].[Contact Rules Desc].[All]" allUniqueName="[AcctContactRules].[Contact Rules Desc].[All]" dimensionUniqueName="[AcctContactRules]" displayFolder="" count="0" unbalanced="0"/>
    <cacheHierarchy uniqueName="[AcctDualFuelType].[Dual Fuel Type Code]" caption="Dual Fuel Type Code" attribute="1" defaultMemberUniqueName="[AcctDualFuelType].[Dual Fuel Type Code].[All]" allUniqueName="[AcctDualFuelType].[Dual Fuel Type Code].[All]" dimensionUniqueName="[AcctDualFuelType]" displayFolder="" count="0" unbalanced="0"/>
    <cacheHierarchy uniqueName="[AcctDualFuelType].[Dual Fuel Type Desc]" caption="Dual Fuel Type Desc" attribute="1" defaultMemberUniqueName="[AcctDualFuelType].[Dual Fuel Type Desc].[All]" allUniqueName="[AcctDualFuelType].[Dual Fuel Type Desc].[All]" dimensionUniqueName="[AcctDualFuelType]" displayFolder="" count="0" unbalanced="0"/>
    <cacheHierarchy uniqueName="[AcctGasLDC].[Gas LDC Code]" caption="Gas LDC Code" attribute="1" defaultMemberUniqueName="[AcctGasLDC].[Gas LDC Code].[All]" allUniqueName="[AcctGasLDC].[Gas LDC Code].[All]" dimensionUniqueName="[AcctGasLDC]" displayFolder="" count="0" unbalanced="0"/>
    <cacheHierarchy uniqueName="[AcctGasLDC].[Gas LDC Desc]" caption="Gas LDC Desc" attribute="1" defaultMemberUniqueName="[AcctGasLDC].[Gas LDC Desc].[All]" allUniqueName="[AcctGasLDC].[Gas LDC Desc].[All]" dimensionUniqueName="[AcctGasLDC]" displayFolder="" count="0" unbalanced="0"/>
    <cacheHierarchy uniqueName="[AcctMarketCode].[Acct Market Code]" caption="Acct Market Code" attribute="1" defaultMemberUniqueName="[AcctMarketCode].[Acct Market Code].[All]" allUniqueName="[AcctMarketCode].[Acct Market Code].[All]" dimensionUniqueName="[AcctMarketCode]" displayFolder="" count="0" unbalanced="0"/>
    <cacheHierarchy uniqueName="[AcctMarketCode].[Acct Market Desc]" caption="Acct Market Desc" attribute="1" defaultMemberUniqueName="[AcctMarketCode].[Acct Market Desc].[All]" allUniqueName="[AcctMarketCode].[Acct Market Desc].[All]" dimensionUniqueName="[AcctMarketCode]" displayFolder="" count="0" unbalanced="0"/>
    <cacheHierarchy uniqueName="[AcctNAICSVerificationDate].[HierNAICSVerificationDatePY]" caption="HierNAICSVerificationDatePY" defaultMemberUniqueName="[AcctNAICSVerificationDate].[HierNAICSVerificationDatePY].[All]" allUniqueName="[AcctNAICSVerificationDate].[HierNAICSVerificationDatePY].[All]" dimensionUniqueName="[AcctNAICSVerificationDate]" displayFolder="" count="4" unbalanced="0"/>
    <cacheHierarchy uniqueName="[AcctNAICSVerificationDate].[HierNAICSVerificationDateYear]" caption="HierNAICSVerificationDateYear" defaultMemberUniqueName="[AcctNAICSVerificationDate].[HierNAICSVerificationDateYear].[All]" allUniqueName="[AcctNAICSVerificationDate].[HierNAICSVerificationDateYear].[All]" dimensionUniqueName="[AcctNAICSVerificationDate]" displayFolder="" count="4" unbalanced="0"/>
    <cacheHierarchy uniqueName="[AcctNAICSVerificationDate].[NAICS Date]" caption="NAICS Date" attribute="1" defaultMemberUniqueName="[AcctNAICSVerificationDate].[NAICS Date].[All]" allUniqueName="[AcctNAICSVerificationDate].[NAICS Date].[All]" dimensionUniqueName="[AcctNAICSVerificationDate]" displayFolder="" count="0" unbalanced="0"/>
    <cacheHierarchy uniqueName="[AcctNAICSVerificationDate].[NAICS Day Of Month]" caption="NAICS Day Of Month" attribute="1" defaultMemberUniqueName="[AcctNAICSVerificationDate].[NAICS Day Of Month].[All]" allUniqueName="[AcctNAICSVerificationDate].[NAICS Day Of Month].[All]" dimensionUniqueName="[AcctNAICSVerificationDate]" displayFolder="" count="0" unbalanced="0"/>
    <cacheHierarchy uniqueName="[AcctNAICSVerificationDate].[NAICS Day Of Week]" caption="NAICS Day Of Week" attribute="1" defaultMemberUniqueName="[AcctNAICSVerificationDate].[NAICS Day Of Week].[All]" allUniqueName="[AcctNAICSVerificationDate].[NAICS Day Of Week].[All]" dimensionUniqueName="[AcctNAICSVerificationDate]" displayFolder="" count="0" unbalanced="0"/>
    <cacheHierarchy uniqueName="[AcctNAICSVerificationDate].[NAICS Day Of Week Name]" caption="NAICS Day Of Week Name" attribute="1" defaultMemberUniqueName="[AcctNAICSVerificationDate].[NAICS Day Of Week Name].[All]" allUniqueName="[AcctNAICSVerificationDate].[NAICS Day Of Week Name].[All]" dimensionUniqueName="[AcctNAICSVerificationDate]" displayFolder="" count="0" unbalanced="0"/>
    <cacheHierarchy uniqueName="[AcctNAICSVerificationDate].[NAICS Day Of Year]" caption="NAICS Day Of Year" attribute="1" defaultMemberUniqueName="[AcctNAICSVerificationDate].[NAICS Day Of Year].[All]" allUniqueName="[AcctNAICSVerificationDate].[NAICS Day Of Year].[All]" dimensionUniqueName="[AcctNAICSVerificationDate]" displayFolder="" count="0" unbalanced="0"/>
    <cacheHierarchy uniqueName="[AcctNAICSVerificationDate].[NAICS Holiday Ind]" caption="NAICS Holiday Ind" attribute="1" defaultMemberUniqueName="[AcctNAICSVerificationDate].[NAICS Holiday Ind].[All]" allUniqueName="[AcctNAICSVerificationDate].[NAICS Holiday Ind].[All]" dimensionUniqueName="[AcctNAICSVerificationDate]" displayFolder="" count="0" unbalanced="0"/>
    <cacheHierarchy uniqueName="[AcctNAICSVerificationDate].[NAICS Holiday Name]" caption="NAICS Holiday Name" attribute="1" defaultMemberUniqueName="[AcctNAICSVerificationDate].[NAICS Holiday Name].[All]" allUniqueName="[AcctNAICSVerificationDate].[NAICS Holiday Name].[All]" dimensionUniqueName="[AcctNAICSVerificationDate]" displayFolder="" count="0" unbalanced="0"/>
    <cacheHierarchy uniqueName="[AcctNAICSVerificationDate].[NAICS Last Date Of Month]" caption="NAICS Last Date Of Month" attribute="1" defaultMemberUniqueName="[AcctNAICSVerificationDate].[NAICS Last Date Of Month].[All]" allUniqueName="[AcctNAICSVerificationDate].[NAICS Last Date Of Month].[All]" dimensionUniqueName="[AcctNAICSVerificationDate]" displayFolder="" count="0" unbalanced="0"/>
    <cacheHierarchy uniqueName="[AcctNAICSVerificationDate].[NAICS Last Day Of Month Indicator]" caption="NAICS Last Day Of Month Indicator" attribute="1" defaultMemberUniqueName="[AcctNAICSVerificationDate].[NAICS Last Day Of Month Indicator].[All]" allUniqueName="[AcctNAICSVerificationDate].[NAICS Last Day Of Month Indicator].[All]" dimensionUniqueName="[AcctNAICSVerificationDate]" displayFolder="" count="0" unbalanced="0"/>
    <cacheHierarchy uniqueName="[AcctNAICSVerificationDate].[NAICS Month]" caption="NAICS Month" attribute="1" defaultMemberUniqueName="[AcctNAICSVerificationDate].[NAICS Month].[All]" allUniqueName="[AcctNAICSVerificationDate].[NAICS Month].[All]" dimensionUniqueName="[AcctNAICSVerificationDate]" displayFolder="" count="0" unbalanced="0"/>
    <cacheHierarchy uniqueName="[AcctNAICSVerificationDate].[NAICS Month Nbr]" caption="NAICS Month Nbr" attribute="1" defaultMemberUniqueName="[AcctNAICSVerificationDate].[NAICS Month Nbr].[All]" allUniqueName="[AcctNAICSVerificationDate].[NAICS Month Nbr].[All]" dimensionUniqueName="[AcctNAICSVerificationDate]" displayFolder="" count="0" unbalanced="0"/>
    <cacheHierarchy uniqueName="[AcctNAICSVerificationDate].[NAICS Plan Month and Year]" caption="NAICS Plan Month and Year" attribute="1" defaultMemberUniqueName="[AcctNAICSVerificationDate].[NAICS Plan Month and Year].[All]" allUniqueName="[AcctNAICSVerificationDate].[NAICS Plan Month and Year].[All]" dimensionUniqueName="[AcctNAICSVerificationDate]" displayFolder="" count="0" unbalanced="0"/>
    <cacheHierarchy uniqueName="[AcctNAICSVerificationDate].[NAICS Plan Month Number]" caption="NAICS Plan Month Number" attribute="1" defaultMemberUniqueName="[AcctNAICSVerificationDate].[NAICS Plan Month Number].[All]" allUniqueName="[AcctNAICSVerificationDate].[NAICS Plan Month Number].[All]" dimensionUniqueName="[AcctNAICSVerificationDate]" displayFolder="" count="0" unbalanced="0"/>
    <cacheHierarchy uniqueName="[AcctNAICSVerificationDate].[NAICS Plan Quarter Number]" caption="NAICS Plan Quarter Number" attribute="1" defaultMemberUniqueName="[AcctNAICSVerificationDate].[NAICS Plan Quarter Number].[All]" allUniqueName="[AcctNAICSVerificationDate].[NAICS Plan Quarter Number].[All]" dimensionUniqueName="[AcctNAICSVerificationDate]" displayFolder="" count="0" unbalanced="0"/>
    <cacheHierarchy uniqueName="[AcctNAICSVerificationDate].[NAICS PY]" caption="NAICS PY" attribute="1" defaultMemberUniqueName="[AcctNAICSVerificationDate].[NAICS PY].[All]" allUniqueName="[AcctNAICSVerificationDate].[NAICS PY].[All]" dimensionUniqueName="[AcctNAICSVerificationDate]" displayFolder="" count="0" unbalanced="0"/>
    <cacheHierarchy uniqueName="[AcctNAICSVerificationDate].[NAICS Qtr]" caption="NAICS Qtr" attribute="1" defaultMemberUniqueName="[AcctNAICSVerificationDate].[NAICS Qtr].[All]" allUniqueName="[AcctNAICSVerificationDate].[NAICS Qtr].[All]" dimensionUniqueName="[AcctNAICSVerificationDate]" displayFolder="" count="0" unbalanced="0"/>
    <cacheHierarchy uniqueName="[AcctNAICSVerificationDate].[NAICS Semester]" caption="NAICS Semester" attribute="1" defaultMemberUniqueName="[AcctNAICSVerificationDate].[NAICS Semester].[All]" allUniqueName="[AcctNAICSVerificationDate].[NAICS Semester].[All]" dimensionUniqueName="[AcctNAICSVerificationDate]" displayFolder="" count="0" unbalanced="0"/>
    <cacheHierarchy uniqueName="[AcctNAICSVerificationDate].[NAICS Week Of Month]" caption="NAICS Week Of Month" attribute="1" defaultMemberUniqueName="[AcctNAICSVerificationDate].[NAICS Week Of Month].[All]" allUniqueName="[AcctNAICSVerificationDate].[NAICS Week Of Month].[All]" dimensionUniqueName="[AcctNAICSVerificationDate]" displayFolder="" count="0" unbalanced="0"/>
    <cacheHierarchy uniqueName="[AcctNAICSVerificationDate].[NAICS Weekday Weekend]" caption="NAICS Weekday Weekend" attribute="1" defaultMemberUniqueName="[AcctNAICSVerificationDate].[NAICS Weekday Weekend].[All]" allUniqueName="[AcctNAICSVerificationDate].[NAICS Weekday Weekend].[All]" dimensionUniqueName="[AcctNAICSVerificationDate]" displayFolder="" count="0" unbalanced="0"/>
    <cacheHierarchy uniqueName="[AcctNAICSVerificationDate].[NAICS WeekOfYear]" caption="NAICS WeekOfYear" attribute="1" defaultMemberUniqueName="[AcctNAICSVerificationDate].[NAICS WeekOfYear].[All]" allUniqueName="[AcctNAICSVerificationDate].[NAICS WeekOfYear].[All]" dimensionUniqueName="[AcctNAICSVerificationDate]" displayFolder="" count="0" unbalanced="0"/>
    <cacheHierarchy uniqueName="[AcctNAICSVerificationDate].[NAICS Working Day Ind]" caption="NAICS Working Day Ind" attribute="1" defaultMemberUniqueName="[AcctNAICSVerificationDate].[NAICS Working Day Ind].[All]" allUniqueName="[AcctNAICSVerificationDate].[NAICS Working Day Ind].[All]" dimensionUniqueName="[AcctNAICSVerificationDate]" displayFolder="" count="0" unbalanced="0"/>
    <cacheHierarchy uniqueName="[AcctNAICSVerificationDate].[NAICS Year]" caption="NAICS Year" attribute="1" defaultMemberUniqueName="[AcctNAICSVerificationDate].[NAICS Year].[All]" allUniqueName="[AcctNAICSVerificationDate].[NAICS Year].[All]" dimensionUniqueName="[AcctNAICSVerificationDate]" displayFolder="" count="0" unbalanced="0"/>
    <cacheHierarchy uniqueName="[AcctNAICSVerificationDate].[NAICS Year Month As Integer]" caption="NAICS Year Month As Integer" attribute="1" defaultMemberUniqueName="[AcctNAICSVerificationDate].[NAICS Year Month As Integer].[All]" allUniqueName="[AcctNAICSVerificationDate].[NAICS Year Month As Integer].[All]" dimensionUniqueName="[AcctNAICSVerificationDate]" displayFolder="" count="0" unbalanced="0"/>
    <cacheHierarchy uniqueName="[AcctNAICSVerificationDate].[NAICS Year Quarter As Integer]" caption="NAICS Year Quarter As Integer" attribute="1" defaultMemberUniqueName="[AcctNAICSVerificationDate].[NAICS Year Quarter As Integer].[All]" allUniqueName="[AcctNAICSVerificationDate].[NAICS Year Quarter As Integer].[All]" dimensionUniqueName="[AcctNAICSVerificationDate]" displayFolder="" count="0" unbalanced="0"/>
    <cacheHierarchy uniqueName="[AcctNAICSVerificationDate].[NAICS Year Semester As Integer]" caption="NAICS Year Semester As Integer" attribute="1" defaultMemberUniqueName="[AcctNAICSVerificationDate].[NAICS Year Semester As Integer].[All]" allUniqueName="[AcctNAICSVerificationDate].[NAICS Year Semester As Integer].[All]" dimensionUniqueName="[AcctNAICSVerificationDate]" displayFolder="" count="0" unbalanced="0"/>
    <cacheHierarchy uniqueName="[AcctUsageLevelFilter].[Usage Tier]" caption="Usage Tier" attribute="1" defaultMemberUniqueName="[AcctUsageLevelFilter].[Usage Tier].[All]" allUniqueName="[AcctUsageLevelFilter].[Usage Tier].[All]" dimensionUniqueName="[AcctUsageLevelFilter]" displayFolder="" count="0" unbalanced="0"/>
    <cacheHierarchy uniqueName="[Budget ProgramYear].[Budget Date]" caption="Budget Date" attribute="1" defaultMemberUniqueName="[Budget ProgramYear].[Budget Date].[All]" allUniqueName="[Budget ProgramYear].[Budget Date].[All]" dimensionUniqueName="[Budget ProgramYear]" displayFolder="" count="0" unbalanced="0"/>
    <cacheHierarchy uniqueName="[Budget ProgramYear].[Budget DayOfMonth]" caption="Budget DayOfMonth" attribute="1" defaultMemberUniqueName="[Budget ProgramYear].[Budget DayOfMonth].[All]" allUniqueName="[Budget ProgramYear].[Budget DayOfMonth].[All]" dimensionUniqueName="[Budget ProgramYear]" displayFolder="" count="0" unbalanced="0"/>
    <cacheHierarchy uniqueName="[Budget ProgramYear].[Budget DayOfWeek]" caption="Budget DayOfWeek" attribute="1" defaultMemberUniqueName="[Budget ProgramYear].[Budget DayOfWeek].[All]" allUniqueName="[Budget ProgramYear].[Budget DayOfWeek].[All]" dimensionUniqueName="[Budget ProgramYear]" displayFolder="" count="0" unbalanced="0"/>
    <cacheHierarchy uniqueName="[Budget ProgramYear].[Budget DayOfWeekName]" caption="Budget DayOfWeekName" attribute="1" defaultMemberUniqueName="[Budget ProgramYear].[Budget DayOfWeekName].[All]" allUniqueName="[Budget ProgramYear].[Budget DayOfWeekName].[All]" dimensionUniqueName="[Budget ProgramYear]" displayFolder="" count="0" unbalanced="0"/>
    <cacheHierarchy uniqueName="[Budget ProgramYear].[Budget DayOfYear]" caption="Budget DayOfYear" attribute="1" defaultMemberUniqueName="[Budget ProgramYear].[Budget DayOfYear].[All]" allUniqueName="[Budget ProgramYear].[Budget DayOfYear].[All]" dimensionUniqueName="[Budget ProgramYear]" displayFolder="" count="0" unbalanced="0"/>
    <cacheHierarchy uniqueName="[Budget ProgramYear].[Budget HolidayInd]" caption="Budget HolidayInd" attribute="1" defaultMemberUniqueName="[Budget ProgramYear].[Budget HolidayInd].[All]" allUniqueName="[Budget ProgramYear].[Budget HolidayInd].[All]" dimensionUniqueName="[Budget ProgramYear]" displayFolder="" count="0" unbalanced="0"/>
    <cacheHierarchy uniqueName="[Budget ProgramYear].[Budget HolidayName]" caption="Budget HolidayName" attribute="1" defaultMemberUniqueName="[Budget ProgramYear].[Budget HolidayName].[All]" allUniqueName="[Budget ProgramYear].[Budget HolidayName].[All]" dimensionUniqueName="[Budget ProgramYear]" displayFolder="" count="0" unbalanced="0"/>
    <cacheHierarchy uniqueName="[Budget ProgramYear].[Budget LastDateOfMonth]" caption="Budget LastDateOfMonth" attribute="1" defaultMemberUniqueName="[Budget ProgramYear].[Budget LastDateOfMonth].[All]" allUniqueName="[Budget ProgramYear].[Budget LastDateOfMonth].[All]" dimensionUniqueName="[Budget ProgramYear]" displayFolder="" count="0" unbalanced="0"/>
    <cacheHierarchy uniqueName="[Budget ProgramYear].[Budget LastDayOfMonthIndicator]" caption="Budget LastDayOfMonthIndicator" attribute="1" defaultMemberUniqueName="[Budget ProgramYear].[Budget LastDayOfMonthIndicator].[All]" allUniqueName="[Budget ProgramYear].[Budget LastDayOfMonthIndicator].[All]" dimensionUniqueName="[Budget ProgramYear]" displayFolder="" count="0" unbalanced="0"/>
    <cacheHierarchy uniqueName="[Budget ProgramYear].[Budget Month]" caption="Budget Month" attribute="1" defaultMemberUniqueName="[Budget ProgramYear].[Budget Month].[All]" allUniqueName="[Budget ProgramYear].[Budget Month].[All]" dimensionUniqueName="[Budget ProgramYear]" displayFolder="" count="0" unbalanced="0"/>
    <cacheHierarchy uniqueName="[Budget ProgramYear].[Budget MonthNbr]" caption="Budget MonthNbr" attribute="1" defaultMemberUniqueName="[Budget ProgramYear].[Budget MonthNbr].[All]" allUniqueName="[Budget ProgramYear].[Budget MonthNbr].[All]" dimensionUniqueName="[Budget ProgramYear]" displayFolder="" count="0" unbalanced="0"/>
    <cacheHierarchy uniqueName="[Budget ProgramYear].[Budget Plan Month and Year]" caption="Budget Plan Month and Year" attribute="1" defaultMemberUniqueName="[Budget ProgramYear].[Budget Plan Month and Year].[All]" allUniqueName="[Budget ProgramYear].[Budget Plan Month and Year].[All]" dimensionUniqueName="[Budget ProgramYear]" displayFolder="" count="0" unbalanced="0"/>
    <cacheHierarchy uniqueName="[Budget ProgramYear].[Budget Plan Month Number]" caption="Budget Plan Month Number" attribute="1" defaultMemberUniqueName="[Budget ProgramYear].[Budget Plan Month Number].[All]" allUniqueName="[Budget ProgramYear].[Budget Plan Month Number].[All]" dimensionUniqueName="[Budget ProgramYear]" displayFolder="" count="0" unbalanced="0"/>
    <cacheHierarchy uniqueName="[Budget ProgramYear].[Budget Plan Quarter Number]" caption="Budget Plan Quarter Number" attribute="1" defaultMemberUniqueName="[Budget ProgramYear].[Budget Plan Quarter Number].[All]" allUniqueName="[Budget ProgramYear].[Budget Plan Quarter Number].[All]" dimensionUniqueName="[Budget ProgramYear]" displayFolder="" count="0" unbalanced="0"/>
    <cacheHierarchy uniqueName="[Budget ProgramYear].[Budget PQ]" caption="Budget PQ" attribute="1" defaultMemberUniqueName="[Budget ProgramYear].[Budget PQ].[All]" allUniqueName="[Budget ProgramYear].[Budget PQ].[All]" dimensionUniqueName="[Budget ProgramYear]" displayFolder="" count="0" unbalanced="0"/>
    <cacheHierarchy uniqueName="[Budget ProgramYear].[Budget PY]" caption="Budget PY" attribute="1" defaultMemberUniqueName="[Budget ProgramYear].[Budget PY].[All]" allUniqueName="[Budget ProgramYear].[Budget PY].[All]" dimensionUniqueName="[Budget ProgramYear]" displayFolder="" count="0" unbalanced="0"/>
    <cacheHierarchy uniqueName="[Budget ProgramYear].[Budget Qtr]" caption="Budget Qtr" attribute="1" defaultMemberUniqueName="[Budget ProgramYear].[Budget Qtr].[All]" allUniqueName="[Budget ProgramYear].[Budget Qtr].[All]" dimensionUniqueName="[Budget ProgramYear]" displayFolder="" count="0" unbalanced="0"/>
    <cacheHierarchy uniqueName="[Budget ProgramYear].[Budget Semester]" caption="Budget Semester" attribute="1" defaultMemberUniqueName="[Budget ProgramYear].[Budget Semester].[All]" allUniqueName="[Budget ProgramYear].[Budget Semester].[All]" dimensionUniqueName="[Budget ProgramYear]" displayFolder="" count="0" unbalanced="0"/>
    <cacheHierarchy uniqueName="[Budget ProgramYear].[Budget WeekdayWeekend]" caption="Budget WeekdayWeekend" attribute="1" defaultMemberUniqueName="[Budget ProgramYear].[Budget WeekdayWeekend].[All]" allUniqueName="[Budget ProgramYear].[Budget WeekdayWeekend].[All]" dimensionUniqueName="[Budget ProgramYear]" displayFolder="" count="0" unbalanced="0"/>
    <cacheHierarchy uniqueName="[Budget ProgramYear].[Budget WeekOfMonth]" caption="Budget WeekOfMonth" attribute="1" defaultMemberUniqueName="[Budget ProgramYear].[Budget WeekOfMonth].[All]" allUniqueName="[Budget ProgramYear].[Budget WeekOfMonth].[All]" dimensionUniqueName="[Budget ProgramYear]" displayFolder="" count="0" unbalanced="0"/>
    <cacheHierarchy uniqueName="[Budget ProgramYear].[Budget WeekOfYear]" caption="Budget WeekOfYear" attribute="1" defaultMemberUniqueName="[Budget ProgramYear].[Budget WeekOfYear].[All]" allUniqueName="[Budget ProgramYear].[Budget WeekOfYear].[All]" dimensionUniqueName="[Budget ProgramYear]" displayFolder="" count="0" unbalanced="0"/>
    <cacheHierarchy uniqueName="[Budget ProgramYear].[Budget WorkingDayInd]" caption="Budget WorkingDayInd" attribute="1" defaultMemberUniqueName="[Budget ProgramYear].[Budget WorkingDayInd].[All]" allUniqueName="[Budget ProgramYear].[Budget WorkingDayInd].[All]" dimensionUniqueName="[Budget ProgramYear]" displayFolder="" count="0" unbalanced="0"/>
    <cacheHierarchy uniqueName="[Budget ProgramYear].[Budget Year]" caption="Budget Year" attribute="1" defaultMemberUniqueName="[Budget ProgramYear].[Budget Year].[All]" allUniqueName="[Budget ProgramYear].[Budget Year].[All]" dimensionUniqueName="[Budget ProgramYear]" displayFolder="" count="0" unbalanced="0"/>
    <cacheHierarchy uniqueName="[Budget ProgramYear].[Budget YearMonthAsInteger]" caption="Budget YearMonthAsInteger" attribute="1" defaultMemberUniqueName="[Budget ProgramYear].[Budget YearMonthAsInteger].[All]" allUniqueName="[Budget ProgramYear].[Budget YearMonthAsInteger].[All]" dimensionUniqueName="[Budget ProgramYear]" displayFolder="" count="0" unbalanced="0"/>
    <cacheHierarchy uniqueName="[Budget ProgramYear].[Budget YearQuarterAsInteger]" caption="Budget YearQuarterAsInteger" attribute="1" defaultMemberUniqueName="[Budget ProgramYear].[Budget YearQuarterAsInteger].[All]" allUniqueName="[Budget ProgramYear].[Budget YearQuarterAsInteger].[All]" dimensionUniqueName="[Budget ProgramYear]" displayFolder="" count="0" unbalanced="0"/>
    <cacheHierarchy uniqueName="[Budget ProgramYear].[Budget YearSemesterAsInteger]" caption="Budget YearSemesterAsInteger" attribute="1" defaultMemberUniqueName="[Budget ProgramYear].[Budget YearSemesterAsInteger].[All]" allUniqueName="[Budget ProgramYear].[Budget YearSemesterAsInteger].[All]" dimensionUniqueName="[Budget ProgramYear]" displayFolder="" count="0" unbalanced="0"/>
    <cacheHierarchy uniqueName="[DimAccount].[Account Active Indicator]" caption="Account Active Indicator" attribute="1" defaultMemberUniqueName="[DimAccount].[Account Active Indicator].[All]" allUniqueName="[DimAccount].[Account Active Indicator].[All]" dimensionUniqueName="[DimAccount]" displayFolder="" count="0" unbalanced="0"/>
    <cacheHierarchy uniqueName="[DimAccount].[Account ID]" caption="Account ID" attribute="1" defaultMemberUniqueName="[DimAccount].[Account ID].[All]" allUniqueName="[DimAccount].[Account ID].[All]" dimensionUniqueName="[DimAccount]" displayFolder="" count="0" unbalanced="0"/>
    <cacheHierarchy uniqueName="[DimAccount].[Account Relationship Type Code]" caption="Account Relationship Type Code" attribute="1" defaultMemberUniqueName="[DimAccount].[Account Relationship Type Code].[All]" allUniqueName="[DimAccount].[Account Relationship Type Code].[All]" dimensionUniqueName="[DimAccount]" displayFolder="" count="0" unbalanced="0"/>
    <cacheHierarchy uniqueName="[DimAccount].[Account Setup Date]" caption="Account Setup Date" attribute="1" defaultMemberUniqueName="[DimAccount].[Account Setup Date].[All]" allUniqueName="[DimAccount].[Account Setup Date].[All]" dimensionUniqueName="[DimAccount]" displayFolder="" count="0" unbalanced="0"/>
    <cacheHierarchy uniqueName="[DimAccount].[Addition Year]" caption="Addition Year" attribute="1" defaultMemberUniqueName="[DimAccount].[Addition Year].[All]" allUniqueName="[DimAccount].[Addition Year].[All]" dimensionUniqueName="[DimAccount]" displayFolder="" count="0" unbalanced="0"/>
    <cacheHierarchy uniqueName="[DimAccount].[Building Name]" caption="Building Name" attribute="1" defaultMemberUniqueName="[DimAccount].[Building Name].[All]" allUniqueName="[DimAccount].[Building Name].[All]" dimensionUniqueName="[DimAccount]" displayFolder="" count="0" unbalanced="0"/>
    <cacheHierarchy uniqueName="[DimAccount].[Business Group ID]" caption="Business Group ID" attribute="1" defaultMemberUniqueName="[DimAccount].[Business Group ID].[All]" allUniqueName="[DimAccount].[Business Group ID].[All]" dimensionUniqueName="[DimAccount]" displayFolder="" count="0" unbalanced="0"/>
    <cacheHierarchy uniqueName="[DimAccount].[Business Group Name]" caption="Business Group Name" attribute="1" defaultMemberUniqueName="[DimAccount].[Business Group Name].[All]" allUniqueName="[DimAccount].[Business Group Name].[All]" dimensionUniqueName="[DimAccount]" displayFolder="" count="0" unbalanced="0"/>
    <cacheHierarchy uniqueName="[DimAccount].[Business Hours]" caption="Business Hours" attribute="1" defaultMemberUniqueName="[DimAccount].[Business Hours].[All]" allUniqueName="[DimAccount].[Business Hours].[All]" dimensionUniqueName="[DimAccount]" displayFolder="" count="0" unbalanced="0"/>
    <cacheHierarchy uniqueName="[DimAccount].[Business Load Date]" caption="Business Load Date" attribute="1" defaultMemberUniqueName="[DimAccount].[Business Load Date].[All]" allUniqueName="[DimAccount].[Business Load Date].[All]" dimensionUniqueName="[DimAccount]" displayFolder="" count="0" unbalanced="0"/>
    <cacheHierarchy uniqueName="[DimAccount].[Business Name]" caption="Business Name" attribute="1" defaultMemberUniqueName="[DimAccount].[Business Name].[All]" allUniqueName="[DimAccount].[Business Name].[All]" dimensionUniqueName="[DimAccount]" displayFolder="" count="0" unbalanced="0"/>
    <cacheHierarchy uniqueName="[DimAccount].[Chain Store Indicator]" caption="Chain Store Indicator" attribute="1" defaultMemberUniqueName="[DimAccount].[Chain Store Indicator].[All]" allUniqueName="[DimAccount].[Chain Store Indicator].[All]" dimensionUniqueName="[DimAccount]" displayFolder="" count="0" unbalanced="0"/>
    <cacheHierarchy uniqueName="[DimAccount].[CIS Division]" caption="CIS Division" attribute="1" defaultMemberUniqueName="[DimAccount].[CIS Division].[All]" allUniqueName="[DimAccount].[CIS Division].[All]" dimensionUniqueName="[DimAccount]" displayFolder="" count="0" unbalanced="0"/>
    <cacheHierarchy uniqueName="[DimAccount].[Classification]" caption="Classification" attribute="1" defaultMemberUniqueName="[DimAccount].[Classification].[All]" allUniqueName="[DimAccount].[Classification].[All]" dimensionUniqueName="[DimAccount]" displayFolder="" count="0" unbalanced="0"/>
    <cacheHierarchy uniqueName="[DimAccount].[Co-generation Indicator]" caption="Co-generation Indicator" attribute="1" defaultMemberUniqueName="[DimAccount].[Co-generation Indicator].[All]" allUniqueName="[DimAccount].[Co-generation Indicator].[All]" dimensionUniqueName="[DimAccount]" displayFolder="" count="0" unbalanced="0"/>
    <cacheHierarchy uniqueName="[DimAccount].[CollectionClassCode]" caption="CollectionClassCode" attribute="1" defaultMemberUniqueName="[DimAccount].[CollectionClassCode].[All]" allUniqueName="[DimAccount].[CollectionClassCode].[All]" dimensionUniqueName="[DimAccount]" displayFolder="" count="0" unbalanced="0"/>
    <cacheHierarchy uniqueName="[DimAccount].[Construction Year]" caption="Construction Year" attribute="1" defaultMemberUniqueName="[DimAccount].[Construction Year].[All]" allUniqueName="[DimAccount].[Construction Year].[All]" dimensionUniqueName="[DimAccount]" displayFolder="" count="0" unbalanced="0"/>
    <cacheHierarchy uniqueName="[DimAccount].[CRD Rank]" caption="CRD Rank" attribute="1" defaultMemberUniqueName="[DimAccount].[CRD Rank].[All]" allUniqueName="[DimAccount].[CRD Rank].[All]" dimensionUniqueName="[DimAccount]" displayFolder="" count="0" unbalanced="0"/>
    <cacheHierarchy uniqueName="[DimAccount].[CRD Rep First Name]" caption="CRD Rep First Name" attribute="1" defaultMemberUniqueName="[DimAccount].[CRD Rep First Name].[All]" allUniqueName="[DimAccount].[CRD Rep First Name].[All]" dimensionUniqueName="[DimAccount]" displayFolder="" count="0" unbalanced="0"/>
    <cacheHierarchy uniqueName="[DimAccount].[CRD Rep Last Name]" caption="CRD Rep Last Name" attribute="1" defaultMemberUniqueName="[DimAccount].[CRD Rep Last Name].[All]" allUniqueName="[DimAccount].[CRD Rep Last Name].[All]" dimensionUniqueName="[DimAccount]" displayFolder="" count="0" unbalanced="0"/>
    <cacheHierarchy uniqueName="[DimAccount].[Customer Prospect Indicator]" caption="Customer Prospect Indicator" attribute="1" defaultMemberUniqueName="[DimAccount].[Customer Prospect Indicator].[All]" allUniqueName="[DimAccount].[Customer Prospect Indicator].[All]" dimensionUniqueName="[DimAccount]" displayFolder="" count="0" unbalanced="0"/>
    <cacheHierarchy uniqueName="[DimAccount].[Do Not Email MKT Campaign Code]" caption="Do Not Email MKT Campaign Code" attribute="1" defaultMemberUniqueName="[DimAccount].[Do Not Email MKT Campaign Code].[All]" allUniqueName="[DimAccount].[Do Not Email MKT Campaign Code].[All]" dimensionUniqueName="[DimAccount]" displayFolder="" count="0" unbalanced="0"/>
    <cacheHierarchy uniqueName="[DimAccount].[Do Not Solicit Code]" caption="Do Not Solicit Code" attribute="1" defaultMemberUniqueName="[DimAccount].[Do Not Solicit Code].[All]" allUniqueName="[DimAccount].[Do Not Solicit Code].[All]" dimensionUniqueName="[DimAccount]" displayFolder="" count="0" unbalanced="0"/>
    <cacheHierarchy uniqueName="[DimAccount].[Dua lFuel Indicator]" caption="Dua lFuel Indicator" attribute="1" defaultMemberUniqueName="[DimAccount].[Dua lFuel Indicator].[All]" allUniqueName="[DimAccount].[Dua lFuel Indicator].[All]" dimensionUniqueName="[DimAccount]" displayFolder="" count="0" unbalanced="0"/>
    <cacheHierarchy uniqueName="[DimAccount].[Electric Provider]" caption="Electric Provider" attribute="1" defaultMemberUniqueName="[DimAccount].[Electric Provider].[All]" allUniqueName="[DimAccount].[Electric Provider].[All]" dimensionUniqueName="[DimAccount]" displayFolder="" count="0" unbalanced="0"/>
    <cacheHierarchy uniqueName="[DimAccount].[Energy Efficiency OptOut]" caption="Energy Efficiency OptOut" attribute="1" defaultMemberUniqueName="[DimAccount].[Energy Efficiency OptOut].[All]" allUniqueName="[DimAccount].[Energy Efficiency OptOut].[All]" dimensionUniqueName="[DimAccount]" displayFolder="" count="0" unbalanced="0"/>
    <cacheHierarchy uniqueName="[DimAccount].[Enrolled In Customer Select Code]" caption="Enrolled In Customer Select Code" attribute="1" defaultMemberUniqueName="[DimAccount].[Enrolled In Customer Select Code].[All]" allUniqueName="[DimAccount].[Enrolled In Customer Select Code].[All]" dimensionUniqueName="[DimAccount]" displayFolder="" count="0" unbalanced="0"/>
    <cacheHierarchy uniqueName="[DimAccount].[Enrolled In My Account Code]" caption="Enrolled In My Account Code" attribute="1" defaultMemberUniqueName="[DimAccount].[Enrolled In My Account Code].[All]" allUniqueName="[DimAccount].[Enrolled In My Account Code].[All]" dimensionUniqueName="[DimAccount]" displayFolder="" count="0" unbalanced="0"/>
    <cacheHierarchy uniqueName="[DimAccount].[Fleet Size]" caption="Fleet Size" attribute="1" defaultMemberUniqueName="[DimAccount].[Fleet Size].[All]" allUniqueName="[DimAccount].[Fleet Size].[All]" dimensionUniqueName="[DimAccount]" displayFolder="" count="0" unbalanced="0"/>
    <cacheHierarchy uniqueName="[DimAccount].[GovernmentTypeCode]" caption="GovernmentTypeCode" attribute="1" defaultMemberUniqueName="[DimAccount].[GovernmentTypeCode].[All]" allUniqueName="[DimAccount].[GovernmentTypeCode].[All]" dimensionUniqueName="[DimAccount]" displayFolder="" count="0" unbalanced="0"/>
    <cacheHierarchy uniqueName="[DimAccount].[HERFlag]" caption="HERFlag" attribute="1" defaultMemberUniqueName="[DimAccount].[HERFlag].[All]" allUniqueName="[DimAccount].[HERFlag].[All]" dimensionUniqueName="[DimAccount]" displayFolder="" count="0" unbalanced="0"/>
    <cacheHierarchy uniqueName="[DimAccount].[In Arrears Indicator]" caption="In Arrears Indicator" attribute="1" defaultMemberUniqueName="[DimAccount].[In Arrears Indicator].[All]" allUniqueName="[DimAccount].[In Arrears Indicator].[All]" dimensionUniqueName="[DimAccount]" displayFolder="" count="0" unbalanced="0"/>
    <cacheHierarchy uniqueName="[DimAccount].[In City Limit]" caption="In City Limit" attribute="1" defaultMemberUniqueName="[DimAccount].[In City Limit].[All]" allUniqueName="[DimAccount].[In City Limit].[All]" dimensionUniqueName="[DimAccount]" displayFolder="" count="0" unbalanced="0"/>
    <cacheHierarchy uniqueName="[DimAccount].[Leased Or Owned Indicator]" caption="Leased Or Owned Indicator" attribute="1" defaultMemberUniqueName="[DimAccount].[Leased Or Owned Indicator].[All]" allUniqueName="[DimAccount].[Leased Or Owned Indicator].[All]" dimensionUniqueName="[DimAccount]" displayFolder="" count="0" unbalanced="0"/>
    <cacheHierarchy uniqueName="[DimAccount].[Load Reduction Time To Reduce Hours]" caption="Load Reduction Time To Reduce Hours" attribute="1" defaultMemberUniqueName="[DimAccount].[Load Reduction Time To Reduce Hours].[All]" allUniqueName="[DimAccount].[Load Reduction Time To Reduce Hours].[All]" dimensionUniqueName="[DimAccount]" displayFolder="" count="0" unbalanced="0"/>
    <cacheHierarchy uniqueName="[DimAccount].[Load Reduction Winter Therms Per Day]" caption="Load Reduction Winter Therms Per Day" attribute="1" defaultMemberUniqueName="[DimAccount].[Load Reduction Winter Therms Per Day].[All]" allUniqueName="[DimAccount].[Load Reduction Winter Therms Per Day].[All]" dimensionUniqueName="[DimAccount]" displayFolder="" count="0" unbalanced="0"/>
    <cacheHierarchy uniqueName="[DimAccount].[Location]" caption="Location" attribute="1" defaultMemberUniqueName="[DimAccount].[Location].[All]" allUniqueName="[DimAccount].[Location].[All]" dimensionUniqueName="[DimAccount]" displayFolder="" count="0" unbalanced="0"/>
    <cacheHierarchy uniqueName="[DimAccount].[Meter Number]" caption="Meter Number" attribute="1" defaultMemberUniqueName="[DimAccount].[Meter Number].[All]" allUniqueName="[DimAccount].[Meter Number].[All]" dimensionUniqueName="[DimAccount]" displayFolder="" count="0" unbalanced="0"/>
    <cacheHierarchy uniqueName="[DimAccount].[MeterNumber_CCB]" caption="MeterNumber_CCB" attribute="1" defaultMemberUniqueName="[DimAccount].[MeterNumber_CCB].[All]" allUniqueName="[DimAccount].[MeterNumber_CCB].[All]" dimensionUniqueName="[DimAccount]" displayFolder="" count="0" unbalanced="0"/>
    <cacheHierarchy uniqueName="[DimAccount].[NAICSCode]" caption="NAICSCode" attribute="1" defaultMemberUniqueName="[DimAccount].[NAICSCode].[All]" allUniqueName="[DimAccount].[NAICSCode].[All]" dimensionUniqueName="[DimAccount]" displayFolder="" count="0" unbalanced="0"/>
    <cacheHierarchy uniqueName="[DimAccount].[NAICSCodeDescription]" caption="NAICSCodeDescription" attribute="1" defaultMemberUniqueName="[DimAccount].[NAICSCodeDescription].[All]" allUniqueName="[DimAccount].[NAICSCodeDescription].[All]" dimensionUniqueName="[DimAccount]" displayFolder="" count="0" unbalanced="0"/>
    <cacheHierarchy uniqueName="[DimAccount].[Number Of Beds]" caption="Number Of Beds" attribute="1" defaultMemberUniqueName="[DimAccount].[Number Of Beds].[All]" allUniqueName="[DimAccount].[Number Of Beds].[All]" dimensionUniqueName="[DimAccount]" displayFolder="" count="0" unbalanced="0"/>
    <cacheHierarchy uniqueName="[DimAccount].[Number Of Floors]" caption="Number Of Floors" attribute="1" defaultMemberUniqueName="[DimAccount].[Number Of Floors].[All]" allUniqueName="[DimAccount].[Number Of Floors].[All]" dimensionUniqueName="[DimAccount]" displayFolder="" count="0" unbalanced="0"/>
    <cacheHierarchy uniqueName="[DimAccount].[On-Bill Financing Customer Code]" caption="On-Bill Financing Customer Code" attribute="1" defaultMemberUniqueName="[DimAccount].[On-Bill Financing Customer Code].[All]" allUniqueName="[DimAccount].[On-Bill Financing Customer Code].[All]" dimensionUniqueName="[DimAccount]" displayFolder="" count="0" unbalanced="0"/>
    <cacheHierarchy uniqueName="[DimAccount].[On-Bill Financing Monthly Payment Amount]" caption="On-Bill Financing Monthly Payment Amount" attribute="1" defaultMemberUniqueName="[DimAccount].[On-Bill Financing Monthly Payment Amount].[All]" allUniqueName="[DimAccount].[On-Bill Financing Monthly Payment Amount].[All]" dimensionUniqueName="[DimAccount]" displayFolder="" count="0" unbalanced="0"/>
    <cacheHierarchy uniqueName="[DimAccount].[Operation Hour From Day]" caption="Operation Hour From Day" attribute="1" defaultMemberUniqueName="[DimAccount].[Operation Hour From Day].[All]" allUniqueName="[DimAccount].[Operation Hour From Day].[All]" dimensionUniqueName="[DimAccount]" displayFolder="" count="0" unbalanced="0"/>
    <cacheHierarchy uniqueName="[DimAccount].[Operation Hour From Time]" caption="Operation Hour From Time" attribute="1" defaultMemberUniqueName="[DimAccount].[Operation Hour From Time].[All]" allUniqueName="[DimAccount].[Operation Hour From Time].[All]" dimensionUniqueName="[DimAccount]" displayFolder="" count="0" unbalanced="0"/>
    <cacheHierarchy uniqueName="[DimAccount].[Operation Hour To Day]" caption="Operation Hour To Day" attribute="1" defaultMemberUniqueName="[DimAccount].[Operation Hour To Day].[All]" allUniqueName="[DimAccount].[Operation Hour To Day].[All]" dimensionUniqueName="[DimAccount]" displayFolder="" count="0" unbalanced="0"/>
    <cacheHierarchy uniqueName="[DimAccount].[Operation Hour To Time]" caption="Operation Hour To Time" attribute="1" defaultMemberUniqueName="[DimAccount].[Operation Hour To Time].[All]" allUniqueName="[DimAccount].[Operation Hour To Time].[All]" dimensionUniqueName="[DimAccount]" displayFolder="" count="0" unbalanced="0"/>
    <cacheHierarchy uniqueName="[DimAccount].[Premise ID]" caption="Premise ID" attribute="1" defaultMemberUniqueName="[DimAccount].[Premise ID].[All]" allUniqueName="[DimAccount].[Premise ID].[All]" dimensionUniqueName="[DimAccount]" displayFolder="" count="0" unbalanced="0"/>
    <cacheHierarchy uniqueName="[DimAccount].[Premise Type Code]" caption="Premise Type Code" attribute="1" defaultMemberUniqueName="[DimAccount].[Premise Type Code].[All]" allUniqueName="[DimAccount].[Premise Type Code].[All]" dimensionUniqueName="[DimAccount]" displayFolder="" count="0" unbalanced="0"/>
    <cacheHierarchy uniqueName="[DimAccount].[Primary Meter Indicator]" caption="Primary Meter Indicator" attribute="1" defaultMemberUniqueName="[DimAccount].[Primary Meter Indicator].[All]" allUniqueName="[DimAccount].[Primary Meter Indicator].[All]" dimensionUniqueName="[DimAccount]" displayFolder="" count="0" unbalanced="0"/>
    <cacheHierarchy uniqueName="[DimAccount].[Respondent Name]" caption="Respondent Name" attribute="1" defaultMemberUniqueName="[DimAccount].[Respondent Name].[All]" allUniqueName="[DimAccount].[Respondent Name].[All]" dimensionUniqueName="[DimAccount]" displayFolder="" count="0" unbalanced="0"/>
    <cacheHierarchy uniqueName="[DimAccount].[RIDER30_CD]" caption="RIDER30_CD" attribute="1" defaultMemberUniqueName="[DimAccount].[RIDER30_CD].[All]" allUniqueName="[DimAccount].[RIDER30_CD].[All]" dimensionUniqueName="[DimAccount]" displayFolder="" count="0" unbalanced="0"/>
    <cacheHierarchy uniqueName="[DimAccount].[Sales Rep First Name]" caption="Sales Rep First Name" attribute="1" defaultMemberUniqueName="[DimAccount].[Sales Rep First Name].[All]" allUniqueName="[DimAccount].[Sales Rep First Name].[All]" dimensionUniqueName="[DimAccount]" displayFolder="" count="0" unbalanced="0"/>
    <cacheHierarchy uniqueName="[DimAccount].[Sales Rep Last Name]" caption="Sales Rep Last Name" attribute="1" defaultMemberUniqueName="[DimAccount].[Sales Rep Last Name].[All]" allUniqueName="[DimAccount].[Sales Rep Last Name].[All]" dimensionUniqueName="[DimAccount]" displayFolder="" count="0" unbalanced="0"/>
    <cacheHierarchy uniqueName="[DimAccount].[Service Address1]" caption="Service Address1" attribute="1" defaultMemberUniqueName="[DimAccount].[Service Address1].[All]" allUniqueName="[DimAccount].[Service Address1].[All]" dimensionUniqueName="[DimAccount]" displayFolder="" count="0" unbalanced="0"/>
    <cacheHierarchy uniqueName="[DimAccount].[Service Address2]" caption="Service Address2" attribute="1" defaultMemberUniqueName="[DimAccount].[Service Address2].[All]" allUniqueName="[DimAccount].[Service Address2].[All]" dimensionUniqueName="[DimAccount]" displayFolder="" count="0" unbalanced="0"/>
    <cacheHierarchy uniqueName="[DimAccount].[Service Address3]" caption="Service Address3" attribute="1" defaultMemberUniqueName="[DimAccount].[Service Address3].[All]" allUniqueName="[DimAccount].[Service Address3].[All]" dimensionUniqueName="[DimAccount]" displayFolder="" count="0" unbalanced="0"/>
    <cacheHierarchy uniqueName="[DimAccount].[Service Address4]" caption="Service Address4" attribute="1" defaultMemberUniqueName="[DimAccount].[Service Address4].[All]" allUniqueName="[DimAccount].[Service Address4].[All]" dimensionUniqueName="[DimAccount]" displayFolder="" count="0" unbalanced="0"/>
    <cacheHierarchy uniqueName="[DimAccount].[Service City]" caption="Service City" attribute="1" defaultMemberUniqueName="[DimAccount].[Service City].[All]" allUniqueName="[DimAccount].[Service City].[All]" dimensionUniqueName="[DimAccount]" displayFolder="" count="0" unbalanced="0"/>
    <cacheHierarchy uniqueName="[DimAccount].[Service State]" caption="Service State" attribute="1" defaultMemberUniqueName="[DimAccount].[Service State].[All]" allUniqueName="[DimAccount].[Service State].[All]" dimensionUniqueName="[DimAccount]" displayFolder="" count="0" unbalanced="0"/>
    <cacheHierarchy uniqueName="[DimAccount].[Service Zip]" caption="Service Zip" attribute="1" defaultMemberUniqueName="[DimAccount].[Service Zip].[All]" allUniqueName="[DimAccount].[Service Zip].[All]" dimensionUniqueName="[DimAccount]" displayFolder="" count="0" unbalanced="0"/>
    <cacheHierarchy uniqueName="[DimAccount].[SIC Code]" caption="SIC Code" attribute="1" defaultMemberUniqueName="[DimAccount].[SIC Code].[All]" allUniqueName="[DimAccount].[SIC Code].[All]" dimensionUniqueName="[DimAccount]" displayFolder="" count="0" unbalanced="0"/>
    <cacheHierarchy uniqueName="[DimAccount].[Total Square Footage]" caption="Total Square Footage" attribute="1" defaultMemberUniqueName="[DimAccount].[Total Square Footage].[All]" allUniqueName="[DimAccount].[Total Square Footage].[All]" dimensionUniqueName="[DimAccount]" displayFolder="" count="0" unbalanced="0"/>
    <cacheHierarchy uniqueName="[DimAccount].[Unique Business Key]" caption="Unique Business Key" attribute="1" defaultMemberUniqueName="[DimAccount].[Unique Business Key].[All]" allUniqueName="[DimAccount].[Unique Business Key].[All]" dimensionUniqueName="[DimAccount]" displayFolder="" count="0" unbalanced="0"/>
    <cacheHierarchy uniqueName="[DimAccount].[Web Address Unique]" caption="Web Address Unique" attribute="1" defaultMemberUniqueName="[DimAccount].[Web Address Unique].[All]" allUniqueName="[DimAccount].[Web Address Unique].[All]" dimensionUniqueName="[DimAccount]" displayFolder="" count="0" unbalanced="0"/>
    <cacheHierarchy uniqueName="[DimAccountingCodeCostClassification].[AccountingCode]" caption="AccountingCode" attribute="1" defaultMemberUniqueName="[DimAccountingCodeCostClassification].[AccountingCode].[All]" allUniqueName="[DimAccountingCodeCostClassification].[AccountingCode].[All]" dimensionUniqueName="[DimAccountingCodeCostClassification]" displayFolder="" count="0" unbalanced="0"/>
    <cacheHierarchy uniqueName="[DimAccountingCodeCostClassification].[AccountingCodeDescription]" caption="AccountingCodeDescription" attribute="1" defaultMemberUniqueName="[DimAccountingCodeCostClassification].[AccountingCodeDescription].[All]" allUniqueName="[DimAccountingCodeCostClassification].[AccountingCodeDescription].[All]" dimensionUniqueName="[DimAccountingCodeCostClassification]" displayFolder="" count="0" unbalanced="0"/>
    <cacheHierarchy uniqueName="[DimAccountingCodeCostClassification].[CostClassification]" caption="CostClassification" attribute="1" defaultMemberUniqueName="[DimAccountingCodeCostClassification].[CostClassification].[All]" allUniqueName="[DimAccountingCodeCostClassification].[CostClassification].[All]" dimensionUniqueName="[DimAccountingCodeCostClassification]" displayFolder="" count="0" unbalanced="0"/>
    <cacheHierarchy uniqueName="[DimAccountingCodeProgramName].[AccountingCode]" caption="AccountingCode" attribute="1" defaultMemberUniqueName="[DimAccountingCodeProgramName].[AccountingCode].[All]" allUniqueName="[DimAccountingCodeProgramName].[AccountingCode].[All]" dimensionUniqueName="[DimAccountingCodeProgramName]" displayFolder="" count="0" unbalanced="0"/>
    <cacheHierarchy uniqueName="[DimAccountingCodeProgramName].[NewProgramName]" caption="NewProgramName" attribute="1" defaultMemberUniqueName="[DimAccountingCodeProgramName].[NewProgramName].[All]" allUniqueName="[DimAccountingCodeProgramName].[NewProgramName].[All]" dimensionUniqueName="[DimAccountingCodeProgramName]" displayFolder="" count="0" unbalanced="0"/>
    <cacheHierarchy uniqueName="[DimAccountingCodeProgramName].[ProgramName]" caption="ProgramName" attribute="1" defaultMemberUniqueName="[DimAccountingCodeProgramName].[ProgramName].[All]" allUniqueName="[DimAccountingCodeProgramName].[ProgramName].[All]" dimensionUniqueName="[DimAccountingCodeProgramName]" displayFolder="" count="0" unbalanced="0"/>
    <cacheHierarchy uniqueName="[DimAccountUsageLevel].[GasRateSchedule]" caption="GasRateSchedule" attribute="1" defaultMemberUniqueName="[DimAccountUsageLevel].[GasRateSchedule].[All]" allUniqueName="[DimAccountUsageLevel].[GasRateSchedule].[All]" dimensionUniqueName="[DimAccountUsageLevel]" displayFolder="" count="0" unbalanced="0"/>
    <cacheHierarchy uniqueName="[DimAccountUsageLevel].[RateScheduleCode]" caption="RateScheduleCode" attribute="1" defaultMemberUniqueName="[DimAccountUsageLevel].[RateScheduleCode].[All]" allUniqueName="[DimAccountUsageLevel].[RateScheduleCode].[All]" dimensionUniqueName="[DimAccountUsageLevel]" displayFolder="" count="0" unbalanced="0"/>
    <cacheHierarchy uniqueName="[DimAccountUsageLevel].[ServiceAgreementTypeCode]" caption="ServiceAgreementTypeCode" attribute="1" defaultMemberUniqueName="[DimAccountUsageLevel].[ServiceAgreementTypeCode].[All]" allUniqueName="[DimAccountUsageLevel].[ServiceAgreementTypeCode].[All]" dimensionUniqueName="[DimAccountUsageLevel]" displayFolder="" count="0" unbalanced="0"/>
    <cacheHierarchy uniqueName="[DimAccountUsageLevel].[ServiceAgreementTypeDesc]" caption="ServiceAgreementTypeDesc" attribute="1" defaultMemberUniqueName="[DimAccountUsageLevel].[ServiceAgreementTypeDesc].[All]" allUniqueName="[DimAccountUsageLevel].[ServiceAgreementTypeDesc].[All]" dimensionUniqueName="[DimAccountUsageLevel]" displayFolder="" count="0" unbalanced="0"/>
    <cacheHierarchy uniqueName="[DimAccountUsageLevel].[Usage Tier]" caption="Usage Tier" attribute="1" defaultMemberUniqueName="[DimAccountUsageLevel].[Usage Tier].[All]" allUniqueName="[DimAccountUsageLevel].[Usage Tier].[All]" dimensionUniqueName="[DimAccountUsageLevel]" displayFolder="" count="0" unbalanced="0"/>
    <cacheHierarchy uniqueName="[DimAccountUsageLevel].[UsageTierOrder]" caption="UsageTierOrder" attribute="1" defaultMemberUniqueName="[DimAccountUsageLevel].[UsageTierOrder].[All]" allUniqueName="[DimAccountUsageLevel].[UsageTierOrder].[All]" dimensionUniqueName="[DimAccountUsageLevel]" displayFolder="" count="0" unbalanced="0"/>
    <cacheHierarchy uniqueName="[DimAccountUsageLevel].[UsageTotal]" caption="UsageTotal" attribute="1" defaultMemberUniqueName="[DimAccountUsageLevel].[UsageTotal].[All]" allUniqueName="[DimAccountUsageLevel].[UsageTotal].[All]" dimensionUniqueName="[DimAccountUsageLevel]" displayFolder="" count="0" unbalanced="0"/>
    <cacheHierarchy uniqueName="[DimBuildingType].[Building Type Code]" caption="Building Type Code" attribute="1" defaultMemberUniqueName="[DimBuildingType].[Building Type Code].[All]" allUniqueName="[DimBuildingType].[Building Type Code].[All]" dimensionUniqueName="[DimBuildingType]" displayFolder="" count="0" unbalanced="0"/>
    <cacheHierarchy uniqueName="[DimBusinessAccountSegment].[AccountID]" caption="AccountID" attribute="1" defaultMemberUniqueName="[DimBusinessAccountSegment].[AccountID].[All]" allUniqueName="[DimBusinessAccountSegment].[AccountID].[All]" dimensionUniqueName="[DimBusinessAccountSegment]" displayFolder="" count="0" unbalanced="0"/>
    <cacheHierarchy uniqueName="[DimBusinessAccountSegment].[AllNAICSCodes]" caption="AllNAICSCodes" attribute="1" defaultMemberUniqueName="[DimBusinessAccountSegment].[AllNAICSCodes].[All]" allUniqueName="[DimBusinessAccountSegment].[AllNAICSCodes].[All]" dimensionUniqueName="[DimBusinessAccountSegment]" displayFolder="" count="0" unbalanced="0"/>
    <cacheHierarchy uniqueName="[DimBusinessAccountSegment].[AllUSSICCodes]" caption="AllUSSICCodes" attribute="1" defaultMemberUniqueName="[DimBusinessAccountSegment].[AllUSSICCodes].[All]" allUniqueName="[DimBusinessAccountSegment].[AllUSSICCodes].[All]" dimensionUniqueName="[DimBusinessAccountSegment]" displayFolder="" count="0" unbalanced="0"/>
    <cacheHierarchy uniqueName="[DimBusinessAccountSegment].[BusinessName]" caption="BusinessName" attribute="1" defaultMemberUniqueName="[DimBusinessAccountSegment].[BusinessName].[All]" allUniqueName="[DimBusinessAccountSegment].[BusinessName].[All]" dimensionUniqueName="[DimBusinessAccountSegment]" displayFolder="" count="0" unbalanced="0"/>
    <cacheHierarchy uniqueName="[DimBusinessAccountSegment].[CompanyName]" caption="CompanyName" attribute="1" defaultMemberUniqueName="[DimBusinessAccountSegment].[CompanyName].[All]" allUniqueName="[DimBusinessAccountSegment].[CompanyName].[All]" dimensionUniqueName="[DimBusinessAccountSegment]" displayFolder="" count="0" unbalanced="0"/>
    <cacheHierarchy uniqueName="[DimBusinessAccountSegment].[DNBPrescreenScore]" caption="DNBPrescreenScore" attribute="1" defaultMemberUniqueName="[DimBusinessAccountSegment].[DNBPrescreenScore].[All]" allUniqueName="[DimBusinessAccountSegment].[DNBPrescreenScore].[All]" dimensionUniqueName="[DimBusinessAccountSegment]" displayFolder="" count="0" unbalanced="0"/>
    <cacheHierarchy uniqueName="[DimBusinessAccountSegment].[FacilitySizeSqFt]" caption="FacilitySizeSqFt" attribute="1" defaultMemberUniqueName="[DimBusinessAccountSegment].[FacilitySizeSqFt].[All]" allUniqueName="[DimBusinessAccountSegment].[FacilitySizeSqFt].[All]" dimensionUniqueName="[DimBusinessAccountSegment]" displayFolder="" count="0" unbalanced="0"/>
    <cacheHierarchy uniqueName="[DimBusinessAccountSegment].[LineOfBusiness]" caption="LineOfBusiness" attribute="1" defaultMemberUniqueName="[DimBusinessAccountSegment].[LineOfBusiness].[All]" allUniqueName="[DimBusinessAccountSegment].[LineOfBusiness].[All]" dimensionUniqueName="[DimBusinessAccountSegment]" displayFolder="" count="0" unbalanced="0"/>
    <cacheHierarchy uniqueName="[DimBusinessAccountSegment].[LocationType]" caption="LocationType" attribute="1" defaultMemberUniqueName="[DimBusinessAccountSegment].[LocationType].[All]" allUniqueName="[DimBusinessAccountSegment].[LocationType].[All]" dimensionUniqueName="[DimBusinessAccountSegment]" displayFolder="" count="0" unbalanced="0"/>
    <cacheHierarchy uniqueName="[DimBusinessAccountSegment].[Manufacturing]" caption="Manufacturing" attribute="1" defaultMemberUniqueName="[DimBusinessAccountSegment].[Manufacturing].[All]" allUniqueName="[DimBusinessAccountSegment].[Manufacturing].[All]" dimensionUniqueName="[DimBusinessAccountSegment]" displayFolder="" count="0" unbalanced="0"/>
    <cacheHierarchy uniqueName="[DimBusinessAccountSegment].[MinorityOwned]" caption="MinorityOwned" attribute="1" defaultMemberUniqueName="[DimBusinessAccountSegment].[MinorityOwned].[All]" allUniqueName="[DimBusinessAccountSegment].[MinorityOwned].[All]" dimensionUniqueName="[DimBusinessAccountSegment]" displayFolder="" count="0" unbalanced="0"/>
    <cacheHierarchy uniqueName="[DimBusinessAccountSegment].[PhoneNumber]" caption="PhoneNumber" attribute="1" defaultMemberUniqueName="[DimBusinessAccountSegment].[PhoneNumber].[All]" allUniqueName="[DimBusinessAccountSegment].[PhoneNumber].[All]" dimensionUniqueName="[DimBusinessAccountSegment]" displayFolder="" count="0" unbalanced="0"/>
    <cacheHierarchy uniqueName="[DimBusinessAccountSegment].[PrimaryAddress1]" caption="PrimaryAddress1" attribute="1" defaultMemberUniqueName="[DimBusinessAccountSegment].[PrimaryAddress1].[All]" allUniqueName="[DimBusinessAccountSegment].[PrimaryAddress1].[All]" dimensionUniqueName="[DimBusinessAccountSegment]" displayFolder="" count="0" unbalanced="0"/>
    <cacheHierarchy uniqueName="[DimBusinessAccountSegment].[PrimaryAddress2]" caption="PrimaryAddress2" attribute="1" defaultMemberUniqueName="[DimBusinessAccountSegment].[PrimaryAddress2].[All]" allUniqueName="[DimBusinessAccountSegment].[PrimaryAddress2].[All]" dimensionUniqueName="[DimBusinessAccountSegment]" displayFolder="" count="0" unbalanced="0"/>
    <cacheHierarchy uniqueName="[DimBusinessAccountSegment].[PrimaryCity]" caption="PrimaryCity" attribute="1" defaultMemberUniqueName="[DimBusinessAccountSegment].[PrimaryCity].[All]" allUniqueName="[DimBusinessAccountSegment].[PrimaryCity].[All]" dimensionUniqueName="[DimBusinessAccountSegment]" displayFolder="" count="0" unbalanced="0"/>
    <cacheHierarchy uniqueName="[DimBusinessAccountSegment].[PrimaryCounty]" caption="PrimaryCounty" attribute="1" defaultMemberUniqueName="[DimBusinessAccountSegment].[PrimaryCounty].[All]" allUniqueName="[DimBusinessAccountSegment].[PrimaryCounty].[All]" dimensionUniqueName="[DimBusinessAccountSegment]" displayFolder="" count="0" unbalanced="0"/>
    <cacheHierarchy uniqueName="[DimBusinessAccountSegment].[PrimaryIndustry]" caption="PrimaryIndustry" attribute="1" defaultMemberUniqueName="[DimBusinessAccountSegment].[PrimaryIndustry].[All]" allUniqueName="[DimBusinessAccountSegment].[PrimaryIndustry].[All]" dimensionUniqueName="[DimBusinessAccountSegment]" displayFolder="" count="0" unbalanced="0"/>
    <cacheHierarchy uniqueName="[DimBusinessAccountSegment].[PrimaryState]" caption="PrimaryState" attribute="1" defaultMemberUniqueName="[DimBusinessAccountSegment].[PrimaryState].[All]" allUniqueName="[DimBusinessAccountSegment].[PrimaryState].[All]" dimensionUniqueName="[DimBusinessAccountSegment]" displayFolder="" count="0" unbalanced="0"/>
    <cacheHierarchy uniqueName="[DimBusinessAccountSegment].[PrimaryUSNAICSCode]" caption="PrimaryUSNAICSCode" attribute="1" defaultMemberUniqueName="[DimBusinessAccountSegment].[PrimaryUSNAICSCode].[All]" allUniqueName="[DimBusinessAccountSegment].[PrimaryUSNAICSCode].[All]" dimensionUniqueName="[DimBusinessAccountSegment]" displayFolder="" count="0" unbalanced="0"/>
    <cacheHierarchy uniqueName="[DimBusinessAccountSegment].[PrimaryUSNAICSCodeDescription]" caption="PrimaryUSNAICSCodeDescription" attribute="1" defaultMemberUniqueName="[DimBusinessAccountSegment].[PrimaryUSNAICSCodeDescription].[All]" allUniqueName="[DimBusinessAccountSegment].[PrimaryUSNAICSCodeDescription].[All]" dimensionUniqueName="[DimBusinessAccountSegment]" displayFolder="" count="0" unbalanced="0"/>
    <cacheHierarchy uniqueName="[DimBusinessAccountSegment].[PrimaryUSSICCode]" caption="PrimaryUSSICCode" attribute="1" defaultMemberUniqueName="[DimBusinessAccountSegment].[PrimaryUSSICCode].[All]" allUniqueName="[DimBusinessAccountSegment].[PrimaryUSSICCode].[All]" dimensionUniqueName="[DimBusinessAccountSegment]" displayFolder="" count="0" unbalanced="0"/>
    <cacheHierarchy uniqueName="[DimBusinessAccountSegment].[PrimaryZip]" caption="PrimaryZip" attribute="1" defaultMemberUniqueName="[DimBusinessAccountSegment].[PrimaryZip].[All]" allUniqueName="[DimBusinessAccountSegment].[PrimaryZip].[All]" dimensionUniqueName="[DimBusinessAccountSegment]" displayFolder="" count="0" unbalanced="0"/>
    <cacheHierarchy uniqueName="[DimBusinessAccountSegment].[PrimaryZipExt]" caption="PrimaryZipExt" attribute="1" defaultMemberUniqueName="[DimBusinessAccountSegment].[PrimaryZipExt].[All]" allUniqueName="[DimBusinessAccountSegment].[PrimaryZipExt].[All]" dimensionUniqueName="[DimBusinessAccountSegment]" displayFolder="" count="0" unbalanced="0"/>
    <cacheHierarchy uniqueName="[DimBusinessAccountSegment].[RevenueGrowth]" caption="RevenueGrowth" attribute="1" defaultMemberUniqueName="[DimBusinessAccountSegment].[RevenueGrowth].[All]" allUniqueName="[DimBusinessAccountSegment].[RevenueGrowth].[All]" dimensionUniqueName="[DimBusinessAccountSegment]" displayFolder="" count="0" unbalanced="0"/>
    <cacheHierarchy uniqueName="[DimBusinessAccountSegment].[Revenues]" caption="Revenues" attribute="1" defaultMemberUniqueName="[DimBusinessAccountSegment].[Revenues].[All]" allUniqueName="[DimBusinessAccountSegment].[Revenues].[All]" dimensionUniqueName="[DimBusinessAccountSegment]" displayFolder="" count="0" unbalanced="0"/>
    <cacheHierarchy uniqueName="[DimBusinessAccountSegment].[Subsidiary]" caption="Subsidiary" attribute="1" defaultMemberUniqueName="[DimBusinessAccountSegment].[Subsidiary].[All]" allUniqueName="[DimBusinessAccountSegment].[Subsidiary].[All]" dimensionUniqueName="[DimBusinessAccountSegment]" displayFolder="" count="0" unbalanced="0"/>
    <cacheHierarchy uniqueName="[DimBusinessAccountSegment].[WomenOwned]" caption="WomenOwned" attribute="1" defaultMemberUniqueName="[DimBusinessAccountSegment].[WomenOwned].[All]" allUniqueName="[DimBusinessAccountSegment].[WomenOwned].[All]" dimensionUniqueName="[DimBusinessAccountSegment]" displayFolder="" count="0" unbalanced="0"/>
    <cacheHierarchy uniqueName="[DimBusinessAccountSegment].[YearofFounding]" caption="YearofFounding" attribute="1" defaultMemberUniqueName="[DimBusinessAccountSegment].[YearofFounding].[All]" allUniqueName="[DimBusinessAccountSegment].[YearofFounding].[All]" dimensionUniqueName="[DimBusinessAccountSegment]" displayFolder="" count="0" unbalanced="0"/>
    <cacheHierarchy uniqueName="[DimBusinessPremiseSegment].[AbsenteeOwnerIndicator]" caption="AbsenteeOwnerIndicator" attribute="1" defaultMemberUniqueName="[DimBusinessPremiseSegment].[AbsenteeOwnerIndicator].[All]" allUniqueName="[DimBusinessPremiseSegment].[AbsenteeOwnerIndicator].[All]" dimensionUniqueName="[DimBusinessPremiseSegment]" displayFolder="" count="0" unbalanced="0"/>
    <cacheHierarchy uniqueName="[DimBusinessPremiseSegment].[BasementSqFootage]" caption="BasementSqFootage" attribute="1" defaultMemberUniqueName="[DimBusinessPremiseSegment].[BasementSqFootage].[All]" allUniqueName="[DimBusinessPremiseSegment].[BasementSqFootage].[All]" dimensionUniqueName="[DimBusinessPremiseSegment]" displayFolder="" count="0" unbalanced="0"/>
    <cacheHierarchy uniqueName="[DimBusinessPremiseSegment].[BasementType]" caption="BasementType" attribute="1" defaultMemberUniqueName="[DimBusinessPremiseSegment].[BasementType].[All]" allUniqueName="[DimBusinessPremiseSegment].[BasementType].[All]" dimensionUniqueName="[DimBusinessPremiseSegment]" displayFolder="" count="0" unbalanced="0"/>
    <cacheHierarchy uniqueName="[DimBusinessPremiseSegment].[BuildingSquareFeet]" caption="BuildingSquareFeet" attribute="1" defaultMemberUniqueName="[DimBusinessPremiseSegment].[BuildingSquareFeet].[All]" allUniqueName="[DimBusinessPremiseSegment].[BuildingSquareFeet].[All]" dimensionUniqueName="[DimBusinessPremiseSegment]" displayFolder="" count="0" unbalanced="0"/>
    <cacheHierarchy uniqueName="[DimBusinessPremiseSegment].[BuildingSquareFootage]" caption="BuildingSquareFootage" attribute="1" defaultMemberUniqueName="[DimBusinessPremiseSegment].[BuildingSquareFootage].[All]" allUniqueName="[DimBusinessPremiseSegment].[BuildingSquareFootage].[All]" dimensionUniqueName="[DimBusinessPremiseSegment]" displayFolder="" count="0" unbalanced="0"/>
    <cacheHierarchy uniqueName="[DimBusinessPremiseSegment].[BuildingType]" caption="BuildingType" attribute="1" defaultMemberUniqueName="[DimBusinessPremiseSegment].[BuildingType].[All]" allUniqueName="[DimBusinessPremiseSegment].[BuildingType].[All]" dimensionUniqueName="[DimBusinessPremiseSegment]" displayFolder="" count="0" unbalanced="0"/>
    <cacheHierarchy uniqueName="[DimBusinessPremiseSegment].[BusinessOwnerIndicator]" caption="BusinessOwnerIndicator" attribute="1" defaultMemberUniqueName="[DimBusinessPremiseSegment].[BusinessOwnerIndicator].[All]" allUniqueName="[DimBusinessPremiseSegment].[BusinessOwnerIndicator].[All]" dimensionUniqueName="[DimBusinessPremiseSegment]" displayFolder="" count="0" unbalanced="0"/>
    <cacheHierarchy uniqueName="[DimBusinessPremiseSegment].[EffectiveYearBuilt]" caption="EffectiveYearBuilt" attribute="1" defaultMemberUniqueName="[DimBusinessPremiseSegment].[EffectiveYearBuilt].[All]" allUniqueName="[DimBusinessPremiseSegment].[EffectiveYearBuilt].[All]" dimensionUniqueName="[DimBusinessPremiseSegment]" displayFolder="" count="0" unbalanced="0"/>
    <cacheHierarchy uniqueName="[DimBusinessPremiseSegment].[EquityInProperty]" caption="EquityInProperty" attribute="1" defaultMemberUniqueName="[DimBusinessPremiseSegment].[EquityInProperty].[All]" allUniqueName="[DimBusinessPremiseSegment].[EquityInProperty].[All]" dimensionUniqueName="[DimBusinessPremiseSegment]" displayFolder="" count="0" unbalanced="0"/>
    <cacheHierarchy uniqueName="[DimBusinessPremiseSegment].[ExteriorWallsType]" caption="ExteriorWallsType" attribute="1" defaultMemberUniqueName="[DimBusinessPremiseSegment].[ExteriorWallsType].[All]" allUniqueName="[DimBusinessPremiseSegment].[ExteriorWallsType].[All]" dimensionUniqueName="[DimBusinessPremiseSegment]" displayFolder="" count="0" unbalanced="0"/>
    <cacheHierarchy uniqueName="[DimBusinessPremiseSegment].[FloorConstructionType]" caption="FloorConstructionType" attribute="1" defaultMemberUniqueName="[DimBusinessPremiseSegment].[FloorConstructionType].[All]" allUniqueName="[DimBusinessPremiseSegment].[FloorConstructionType].[All]" dimensionUniqueName="[DimBusinessPremiseSegment]" displayFolder="" count="0" unbalanced="0"/>
    <cacheHierarchy uniqueName="[DimBusinessPremiseSegment].[HeatingFuelType]" caption="HeatingFuelType" attribute="1" defaultMemberUniqueName="[DimBusinessPremiseSegment].[HeatingFuelType].[All]" allUniqueName="[DimBusinessPremiseSegment].[HeatingFuelType].[All]" dimensionUniqueName="[DimBusinessPremiseSegment]" displayFolder="" count="0" unbalanced="0"/>
    <cacheHierarchy uniqueName="[DimBusinessPremiseSegment].[LandSquareFeet]" caption="LandSquareFeet" attribute="1" defaultMemberUniqueName="[DimBusinessPremiseSegment].[LandSquareFeet].[All]" allUniqueName="[DimBusinessPremiseSegment].[LandSquareFeet].[All]" dimensionUniqueName="[DimBusinessPremiseSegment]" displayFolder="" count="0" unbalanced="0"/>
    <cacheHierarchy uniqueName="[DimBusinessPremiseSegment].[LandUseCode]" caption="LandUseCode" attribute="1" defaultMemberUniqueName="[DimBusinessPremiseSegment].[LandUseCode].[All]" allUniqueName="[DimBusinessPremiseSegment].[LandUseCode].[All]" dimensionUniqueName="[DimBusinessPremiseSegment]" displayFolder="" count="0" unbalanced="0"/>
    <cacheHierarchy uniqueName="[DimBusinessPremiseSegment].[Latitude]" caption="Latitude" attribute="1" defaultMemberUniqueName="[DimBusinessPremiseSegment].[Latitude].[All]" allUniqueName="[DimBusinessPremiseSegment].[Latitude].[All]" dimensionUniqueName="[DimBusinessPremiseSegment]" displayFolder="" count="0" unbalanced="0"/>
    <cacheHierarchy uniqueName="[DimBusinessPremiseSegment].[LivingSquarefeet]" caption="LivingSquarefeet" attribute="1" defaultMemberUniqueName="[DimBusinessPremiseSegment].[LivingSquarefeet].[All]" allUniqueName="[DimBusinessPremiseSegment].[LivingSquarefeet].[All]" dimensionUniqueName="[DimBusinessPremiseSegment]" displayFolder="" count="0" unbalanced="0"/>
    <cacheHierarchy uniqueName="[DimBusinessPremiseSegment].[Longitude]" caption="Longitude" attribute="1" defaultMemberUniqueName="[DimBusinessPremiseSegment].[Longitude].[All]" allUniqueName="[DimBusinessPremiseSegment].[Longitude].[All]" dimensionUniqueName="[DimBusinessPremiseSegment]" displayFolder="" count="0" unbalanced="0"/>
    <cacheHierarchy uniqueName="[DimBusinessPremiseSegment].[MethodofHeating]" caption="MethodofHeating" attribute="1" defaultMemberUniqueName="[DimBusinessPremiseSegment].[MethodofHeating].[All]" allUniqueName="[DimBusinessPremiseSegment].[MethodofHeating].[All]" dimensionUniqueName="[DimBusinessPremiseSegment]" displayFolder="" count="0" unbalanced="0"/>
    <cacheHierarchy uniqueName="[DimBusinessPremiseSegment].[NameofMunicipality]" caption="NameofMunicipality" attribute="1" defaultMemberUniqueName="[DimBusinessPremiseSegment].[NameofMunicipality].[All]" allUniqueName="[DimBusinessPremiseSegment].[NameofMunicipality].[All]" dimensionUniqueName="[DimBusinessPremiseSegment]" displayFolder="" count="0" unbalanced="0"/>
    <cacheHierarchy uniqueName="[DimBusinessPremiseSegment].[NumberofBuildings]" caption="NumberofBuildings" attribute="1" defaultMemberUniqueName="[DimBusinessPremiseSegment].[NumberofBuildings].[All]" allUniqueName="[DimBusinessPremiseSegment].[NumberofBuildings].[All]" dimensionUniqueName="[DimBusinessPremiseSegment]" displayFolder="" count="0" unbalanced="0"/>
    <cacheHierarchy uniqueName="[DimBusinessPremiseSegment].[NumberofFireplaceOpenings]" caption="NumberofFireplaceOpenings" attribute="1" defaultMemberUniqueName="[DimBusinessPremiseSegment].[NumberofFireplaceOpenings].[All]" allUniqueName="[DimBusinessPremiseSegment].[NumberofFireplaceOpenings].[All]" dimensionUniqueName="[DimBusinessPremiseSegment]" displayFolder="" count="0" unbalanced="0"/>
    <cacheHierarchy uniqueName="[DimBusinessPremiseSegment].[NumberofStories]" caption="NumberofStories" attribute="1" defaultMemberUniqueName="[DimBusinessPremiseSegment].[NumberofStories].[All]" allUniqueName="[DimBusinessPremiseSegment].[NumberofStories].[All]" dimensionUniqueName="[DimBusinessPremiseSegment]" displayFolder="" count="0" unbalanced="0"/>
    <cacheHierarchy uniqueName="[DimBusinessPremiseSegment].[NumberofStoriesinBuilding]" caption="NumberofStoriesinBuilding" attribute="1" defaultMemberUniqueName="[DimBusinessPremiseSegment].[NumberofStoriesinBuilding].[All]" allUniqueName="[DimBusinessPremiseSegment].[NumberofStoriesinBuilding].[All]" dimensionUniqueName="[DimBusinessPremiseSegment]" displayFolder="" count="0" unbalanced="0"/>
    <cacheHierarchy uniqueName="[DimBusinessPremiseSegment].[OwnerType]" caption="OwnerType" attribute="1" defaultMemberUniqueName="[DimBusinessPremiseSegment].[OwnerType].[All]" allUniqueName="[DimBusinessPremiseSegment].[OwnerType].[All]" dimensionUniqueName="[DimBusinessPremiseSegment]" displayFolder="" count="0" unbalanced="0"/>
    <cacheHierarchy uniqueName="[DimBusinessPremiseSegment].[PoolType]" caption="PoolType" attribute="1" defaultMemberUniqueName="[DimBusinessPremiseSegment].[PoolType].[All]" allUniqueName="[DimBusinessPremiseSegment].[PoolType].[All]" dimensionUniqueName="[DimBusinessPremiseSegment]" displayFolder="" count="0" unbalanced="0"/>
    <cacheHierarchy uniqueName="[DimBusinessPremiseSegment].[PresenceofFireplace]" caption="PresenceofFireplace" attribute="1" defaultMemberUniqueName="[DimBusinessPremiseSegment].[PresenceofFireplace].[All]" allUniqueName="[DimBusinessPremiseSegment].[PresenceofFireplace].[All]" dimensionUniqueName="[DimBusinessPremiseSegment]" displayFolder="" count="0" unbalanced="0"/>
    <cacheHierarchy uniqueName="[DimBusinessPremiseSegment].[PresenceofPool]" caption="PresenceofPool" attribute="1" defaultMemberUniqueName="[DimBusinessPremiseSegment].[PresenceofPool].[All]" allUniqueName="[DimBusinessPremiseSegment].[PresenceofPool].[All]" dimensionUniqueName="[DimBusinessPremiseSegment]" displayFolder="" count="0" unbalanced="0"/>
    <cacheHierarchy uniqueName="[DimBusinessPremiseSegment].[PrimaryImprovementType]" caption="PrimaryImprovementType" attribute="1" defaultMemberUniqueName="[DimBusinessPremiseSegment].[PrimaryImprovementType].[All]" allUniqueName="[DimBusinessPremiseSegment].[PrimaryImprovementType].[All]" dimensionUniqueName="[DimBusinessPremiseSegment]" displayFolder="" count="0" unbalanced="0"/>
    <cacheHierarchy uniqueName="[DimBusinessPremiseSegment].[PropertyCondition]" caption="PropertyCondition" attribute="1" defaultMemberUniqueName="[DimBusinessPremiseSegment].[PropertyCondition].[All]" allUniqueName="[DimBusinessPremiseSegment].[PropertyCondition].[All]" dimensionUniqueName="[DimBusinessPremiseSegment]" displayFolder="" count="0" unbalanced="0"/>
    <cacheHierarchy uniqueName="[DimBusinessPremiseSegment].[PropertyTypeIndicator]" caption="PropertyTypeIndicator" attribute="1" defaultMemberUniqueName="[DimBusinessPremiseSegment].[PropertyTypeIndicator].[All]" allUniqueName="[DimBusinessPremiseSegment].[PropertyTypeIndicator].[All]" dimensionUniqueName="[DimBusinessPremiseSegment]" displayFolder="" count="0" unbalanced="0"/>
    <cacheHierarchy uniqueName="[DimBusinessPremiseSegment].[RefiType]" caption="RefiType" attribute="1" defaultMemberUniqueName="[DimBusinessPremiseSegment].[RefiType].[All]" allUniqueName="[DimBusinessPremiseSegment].[RefiType].[All]" dimensionUniqueName="[DimBusinessPremiseSegment]" displayFolder="" count="0" unbalanced="0"/>
    <cacheHierarchy uniqueName="[DimBusinessPremiseSegment].[ResidentialBased]" caption="ResidentialBased" attribute="1" defaultMemberUniqueName="[DimBusinessPremiseSegment].[ResidentialBased].[All]" allUniqueName="[DimBusinessPremiseSegment].[ResidentialBased].[All]" dimensionUniqueName="[DimBusinessPremiseSegment]" displayFolder="" count="0" unbalanced="0"/>
    <cacheHierarchy uniqueName="[DimBusinessPremiseSegment].[RoofType]" caption="RoofType" attribute="1" defaultMemberUniqueName="[DimBusinessPremiseSegment].[RoofType].[All]" allUniqueName="[DimBusinessPremiseSegment].[RoofType].[All]" dimensionUniqueName="[DimBusinessPremiseSegment]" displayFolder="" count="0" unbalanced="0"/>
    <cacheHierarchy uniqueName="[DimBusinessPremiseSegment].[SaleDate]" caption="SaleDate" attribute="1" defaultMemberUniqueName="[DimBusinessPremiseSegment].[SaleDate].[All]" allUniqueName="[DimBusinessPremiseSegment].[SaleDate].[All]" dimensionUniqueName="[DimBusinessPremiseSegment]" displayFolder="" count="0" unbalanced="0"/>
    <cacheHierarchy uniqueName="[DimBusinessPremiseSegment].[SaleYear]" caption="SaleYear" attribute="1" defaultMemberUniqueName="[DimBusinessPremiseSegment].[SaleYear].[All]" allUniqueName="[DimBusinessPremiseSegment].[SaleYear].[All]" dimensionUniqueName="[DimBusinessPremiseSegment]" displayFolder="" count="0" unbalanced="0"/>
    <cacheHierarchy uniqueName="[DimBusinessPremiseSegment].[SellPrice]" caption="SellPrice" attribute="1" defaultMemberUniqueName="[DimBusinessPremiseSegment].[SellPrice].[All]" allUniqueName="[DimBusinessPremiseSegment].[SellPrice].[All]" dimensionUniqueName="[DimBusinessPremiseSegment]" displayFolder="" count="0" unbalanced="0"/>
    <cacheHierarchy uniqueName="[DimBusinessPremiseSegment].[SewerType]" caption="SewerType" attribute="1" defaultMemberUniqueName="[DimBusinessPremiseSegment].[SewerType].[All]" allUniqueName="[DimBusinessPremiseSegment].[SewerType].[All]" dimensionUniqueName="[DimBusinessPremiseSegment]" displayFolder="" count="0" unbalanced="0"/>
    <cacheHierarchy uniqueName="[DimBusinessPremiseSegment].[SiteAddressIndicator]" caption="SiteAddressIndicator" attribute="1" defaultMemberUniqueName="[DimBusinessPremiseSegment].[SiteAddressIndicator].[All]" allUniqueName="[DimBusinessPremiseSegment].[SiteAddressIndicator].[All]" dimensionUniqueName="[DimBusinessPremiseSegment]" displayFolder="" count="0" unbalanced="0"/>
    <cacheHierarchy uniqueName="[DimBusinessPremiseSegment].[SiteAddressUnitNumber]" caption="SiteAddressUnitNumber" attribute="1" defaultMemberUniqueName="[DimBusinessPremiseSegment].[SiteAddressUnitNumber].[All]" allUniqueName="[DimBusinessPremiseSegment].[SiteAddressUnitNumber].[All]" dimensionUniqueName="[DimBusinessPremiseSegment]" displayFolder="" count="0" unbalanced="0"/>
    <cacheHierarchy uniqueName="[DimBusinessPremiseSegment].[SquareFootTypeIndicator]" caption="SquareFootTypeIndicator" attribute="1" defaultMemberUniqueName="[DimBusinessPremiseSegment].[SquareFootTypeIndicator].[All]" allUniqueName="[DimBusinessPremiseSegment].[SquareFootTypeIndicator].[All]" dimensionUniqueName="[DimBusinessPremiseSegment]" displayFolder="" count="0" unbalanced="0"/>
    <cacheHierarchy uniqueName="[DimBusinessPremiseSegment].[StyleIndicator]" caption="StyleIndicator" attribute="1" defaultMemberUniqueName="[DimBusinessPremiseSegment].[StyleIndicator].[All]" allUniqueName="[DimBusinessPremiseSegment].[StyleIndicator].[All]" dimensionUniqueName="[DimBusinessPremiseSegment]" displayFolder="" count="0" unbalanced="0"/>
    <cacheHierarchy uniqueName="[DimBusinessPremiseSegment].[TotalMarketValue]" caption="TotalMarketValue" attribute="1" defaultMemberUniqueName="[DimBusinessPremiseSegment].[TotalMarketValue].[All]" allUniqueName="[DimBusinessPremiseSegment].[TotalMarketValue].[All]" dimensionUniqueName="[DimBusinessPremiseSegment]" displayFolder="" count="0" unbalanced="0"/>
    <cacheHierarchy uniqueName="[DimBusinessPremiseSegment].[TypeofElectricity]" caption="TypeofElectricity" attribute="1" defaultMemberUniqueName="[DimBusinessPremiseSegment].[TypeofElectricity].[All]" allUniqueName="[DimBusinessPremiseSegment].[TypeofElectricity].[All]" dimensionUniqueName="[DimBusinessPremiseSegment]" displayFolder="" count="0" unbalanced="0"/>
    <cacheHierarchy uniqueName="[DimBusinessPremiseSegment].[TypeofFireplace]" caption="TypeofFireplace" attribute="1" defaultMemberUniqueName="[DimBusinessPremiseSegment].[TypeofFireplace].[All]" allUniqueName="[DimBusinessPremiseSegment].[TypeofFireplace].[All]" dimensionUniqueName="[DimBusinessPremiseSegment]" displayFolder="" count="0" unbalanced="0"/>
    <cacheHierarchy uniqueName="[DimBusinessPremiseSegment].[TypeofFoundation]" caption="TypeofFoundation" attribute="1" defaultMemberUniqueName="[DimBusinessPremiseSegment].[TypeofFoundation].[All]" allUniqueName="[DimBusinessPremiseSegment].[TypeofFoundation].[All]" dimensionUniqueName="[DimBusinessPremiseSegment]" displayFolder="" count="0" unbalanced="0"/>
    <cacheHierarchy uniqueName="[DimBusinessPremiseSegment].[TypeofGarage]" caption="TypeofGarage" attribute="1" defaultMemberUniqueName="[DimBusinessPremiseSegment].[TypeofGarage].[All]" allUniqueName="[DimBusinessPremiseSegment].[TypeofGarage].[All]" dimensionUniqueName="[DimBusinessPremiseSegment]" displayFolder="" count="0" unbalanced="0"/>
    <cacheHierarchy uniqueName="[DimBusinessPremiseSegment].[TypeofRoofFraming]" caption="TypeofRoofFraming" attribute="1" defaultMemberUniqueName="[DimBusinessPremiseSegment].[TypeofRoofFraming].[All]" allUniqueName="[DimBusinessPremiseSegment].[TypeofRoofFraming].[All]" dimensionUniqueName="[DimBusinessPremiseSegment]" displayFolder="" count="0" unbalanced="0"/>
    <cacheHierarchy uniqueName="[DimBusinessPremiseSegment].[WaterSupplyType]" caption="WaterSupplyType" attribute="1" defaultMemberUniqueName="[DimBusinessPremiseSegment].[WaterSupplyType].[All]" allUniqueName="[DimBusinessPremiseSegment].[WaterSupplyType].[All]" dimensionUniqueName="[DimBusinessPremiseSegment]" displayFolder="" count="0" unbalanced="0"/>
    <cacheHierarchy uniqueName="[DimBusinessPremiseSegment].[YearBuilt]" caption="YearBuilt" attribute="1" defaultMemberUniqueName="[DimBusinessPremiseSegment].[YearBuilt].[All]" allUniqueName="[DimBusinessPremiseSegment].[YearBuilt].[All]" dimensionUniqueName="[DimBusinessPremiseSegment]" displayFolder="" count="0" unbalanced="0"/>
    <cacheHierarchy uniqueName="[DimContactMailer].[Mailer Name]" caption="Mailer Name" attribute="1" defaultMemberUniqueName="[DimContactMailer].[Mailer Name].[All]" allUniqueName="[DimContactMailer].[Mailer Name].[All]" dimensionUniqueName="[DimContactMailer]" displayFolder="" count="0" unbalanced="0"/>
    <cacheHierarchy uniqueName="[DimCustomerSelectSupplier].[Customer Select Supplier Code]" caption="Customer Select Supplier Code" attribute="1" defaultMemberUniqueName="[DimCustomerSelectSupplier].[Customer Select Supplier Code].[All]" allUniqueName="[DimCustomerSelectSupplier].[Customer Select Supplier Code].[All]" dimensionUniqueName="[DimCustomerSelectSupplier]" displayFolder="" count="0" unbalanced="0"/>
    <cacheHierarchy uniqueName="[DimCustomerSelectSupplier].[Customer Select Supplier Name]" caption="Customer Select Supplier Name" attribute="1" defaultMemberUniqueName="[DimCustomerSelectSupplier].[Customer Select Supplier Name].[All]" allUniqueName="[DimCustomerSelectSupplier].[Customer Select Supplier Name].[All]" dimensionUniqueName="[DimCustomerSelectSupplier]" displayFolder="" count="0" unbalanced="0"/>
    <cacheHierarchy uniqueName="[DimDate].[CalendarDate]" caption="CalendarDate" attribute="1" time="1" keyAttribute="1" defaultMemberUniqueName="[DimDate].[CalendarDate].[All]" allUniqueName="[DimDate].[CalendarDate].[All]" dimensionUniqueName="[DimDate]" displayFolder="" count="0" memberValueDatatype="7" unbalanced="0"/>
    <cacheHierarchy uniqueName="[DimDate].[CalendarDayOfMonth]" caption="CalendarDayOfMonth" attribute="1" time="1" defaultMemberUniqueName="[DimDate].[CalendarDayOfMonth].[All]" allUniqueName="[DimDate].[CalendarDayOfMonth].[All]" dimensionUniqueName="[DimDate]" displayFolder="" count="0" unbalanced="0"/>
    <cacheHierarchy uniqueName="[DimDate].[CalendarDayOfWeek]" caption="CalendarDayOfWeek" attribute="1" time="1" defaultMemberUniqueName="[DimDate].[CalendarDayOfWeek].[All]" allUniqueName="[DimDate].[CalendarDayOfWeek].[All]" dimensionUniqueName="[DimDate]" displayFolder="" count="0" unbalanced="0"/>
    <cacheHierarchy uniqueName="[DimDate].[CalendarDayOfWeekName]" caption="CalendarDayOfWeekName" attribute="1" time="1" defaultMemberUniqueName="[DimDate].[CalendarDayOfWeekName].[All]" allUniqueName="[DimDate].[CalendarDayOfWeekName].[All]" dimensionUniqueName="[DimDate]" displayFolder="" count="0" unbalanced="0"/>
    <cacheHierarchy uniqueName="[DimDate].[CalendarDayOfYear]" caption="CalendarDayOfYear" attribute="1" time="1" defaultMemberUniqueName="[DimDate].[CalendarDayOfYear].[All]" allUniqueName="[DimDate].[CalendarDayOfYear].[All]" dimensionUniqueName="[DimDate]" displayFolder="" count="0" unbalanced="0"/>
    <cacheHierarchy uniqueName="[DimDate].[CalendarMonthName]" caption="CalendarMonthName" attribute="1" time="1" defaultMemberUniqueName="[DimDate].[CalendarMonthName].[All]" allUniqueName="[DimDate].[CalendarMonthName].[All]" dimensionUniqueName="[DimDate]" displayFolder="" count="0" unbalanced="0"/>
    <cacheHierarchy uniqueName="[DimDate].[CalendarMonthNumber]" caption="CalendarMonthNumber" attribute="1" time="1" defaultMemberUniqueName="[DimDate].[CalendarMonthNumber].[All]" allUniqueName="[DimDate].[CalendarMonthNumber].[All]" dimensionUniqueName="[DimDate]" displayFolder="" count="0" unbalanced="0"/>
    <cacheHierarchy uniqueName="[DimDate].[CalendarQuarter]" caption="CalendarQuarter" attribute="1" time="1" defaultMemberUniqueName="[DimDate].[CalendarQuarter].[All]" allUniqueName="[DimDate].[CalendarQuarter].[All]" dimensionUniqueName="[DimDate]" displayFolder="" count="0" unbalanced="0"/>
    <cacheHierarchy uniqueName="[DimDate].[CalendarSemester]" caption="CalendarSemester" attribute="1" time="1" defaultMemberUniqueName="[DimDate].[CalendarSemester].[All]" allUniqueName="[DimDate].[CalendarSemester].[All]" dimensionUniqueName="[DimDate]" displayFolder="" count="0" unbalanced="0"/>
    <cacheHierarchy uniqueName="[DimDate].[CalendarWeekOfMonth]" caption="CalendarWeekOfMonth" attribute="1" time="1" defaultMemberUniqueName="[DimDate].[CalendarWeekOfMonth].[All]" allUniqueName="[DimDate].[CalendarWeekOfMonth].[All]" dimensionUniqueName="[DimDate]" displayFolder="" count="0" unbalanced="0"/>
    <cacheHierarchy uniqueName="[DimDate].[CalendarWeekOfYear]" caption="CalendarWeekOfYear" attribute="1" time="1" defaultMemberUniqueName="[DimDate].[CalendarWeekOfYear].[All]" allUniqueName="[DimDate].[CalendarWeekOfYear].[All]" dimensionUniqueName="[DimDate]" displayFolder="" count="0" unbalanced="0"/>
    <cacheHierarchy uniqueName="[DimDate].[CalendarYear]" caption="CalendarYear" attribute="1" time="1" defaultMemberUniqueName="[DimDate].[CalendarYear].[All]" allUniqueName="[DimDate].[CalendarYear].[All]" dimensionUniqueName="[DimDate]" displayFolder="" count="2" unbalanced="0">
      <fieldsUsage count="2">
        <fieldUsage x="-1"/>
        <fieldUsage x="8"/>
      </fieldsUsage>
    </cacheHierarchy>
    <cacheHierarchy uniqueName="[DimDate].[CalendarYearMonthAsInteger]" caption="CalendarYearMonthAsInteger" attribute="1" time="1" defaultMemberUniqueName="[DimDate].[CalendarYearMonthAsInteger].[All]" allUniqueName="[DimDate].[CalendarYearMonthAsInteger].[All]" dimensionUniqueName="[DimDate]" displayFolder="" count="0" unbalanced="0"/>
    <cacheHierarchy uniqueName="[DimDate].[CalendarYearQuarterAsInteger]" caption="CalendarYearQuarterAsInteger" attribute="1" time="1" defaultMemberUniqueName="[DimDate].[CalendarYearQuarterAsInteger].[All]" allUniqueName="[DimDate].[CalendarYearQuarterAsInteger].[All]" dimensionUniqueName="[DimDate]" displayFolder="" count="0" unbalanced="0"/>
    <cacheHierarchy uniqueName="[DimDate].[CalendarYearSemesterAsInteger]" caption="CalendarYearSemesterAsInteger" attribute="1" time="1" defaultMemberUniqueName="[DimDate].[CalendarYearSemesterAsInteger].[All]" allUniqueName="[DimDate].[CalendarYearSemesterAsInteger].[All]" dimensionUniqueName="[DimDate]" displayFolder="" count="0" unbalanced="0"/>
    <cacheHierarchy uniqueName="[DimDate].[DateKey]" caption="DateKey" attribute="1" time="1" defaultMemberUniqueName="[DimDate].[DateKey].[All]" allUniqueName="[DimDate].[DateKey].[All]" dimensionUniqueName="[DimDate]" displayFolder="" count="0" unbalanced="0"/>
    <cacheHierarchy uniqueName="[DimDate].[HolidayIndicator]" caption="HolidayIndicator" attribute="1" time="1" defaultMemberUniqueName="[DimDate].[HolidayIndicator].[All]" allUniqueName="[DimDate].[HolidayIndicator].[All]" dimensionUniqueName="[DimDate]" displayFolder="" count="0" unbalanced="0"/>
    <cacheHierarchy uniqueName="[DimDate].[HolidayName]" caption="HolidayName" attribute="1" time="1" defaultMemberUniqueName="[DimDate].[HolidayName].[All]" allUniqueName="[DimDate].[HolidayName].[All]" dimensionUniqueName="[DimDate]" displayFolder="" count="0" unbalanced="0"/>
    <cacheHierarchy uniqueName="[DimDate].[LastDateOfCalendarMonth]" caption="LastDateOfCalendarMonth" attribute="1" time="1" defaultMemberUniqueName="[DimDate].[LastDateOfCalendarMonth].[All]" allUniqueName="[DimDate].[LastDateOfCalendarMonth].[All]" dimensionUniqueName="[DimDate]" displayFolder="" count="0" unbalanced="0"/>
    <cacheHierarchy uniqueName="[DimDate].[LastDayOfCalendarMonthIndicator]" caption="LastDayOfCalendarMonthIndicator" attribute="1" time="1" defaultMemberUniqueName="[DimDate].[LastDayOfCalendarMonthIndicator].[All]" allUniqueName="[DimDate].[LastDayOfCalendarMonthIndicator].[All]" dimensionUniqueName="[DimDate]" displayFolder="" count="0" unbalanced="0"/>
    <cacheHierarchy uniqueName="[DimDate].[PlanMonthNumber]" caption="PlanMonthNumber" attribute="1" time="1" defaultMemberUniqueName="[DimDate].[PlanMonthNumber].[All]" allUniqueName="[DimDate].[PlanMonthNumber].[All]" dimensionUniqueName="[DimDate]" displayFolder="" count="0" unbalanced="0"/>
    <cacheHierarchy uniqueName="[DimDate].[PlanQuarter]" caption="PlanQuarter" attribute="1" time="1" defaultMemberUniqueName="[DimDate].[PlanQuarter].[All]" allUniqueName="[DimDate].[PlanQuarter].[All]" dimensionUniqueName="[DimDate]" displayFolder="" count="0" unbalanced="0"/>
    <cacheHierarchy uniqueName="[DimDate].[ProgramQuarterAsInteger]" caption="ProgramQuarterAsInteger" attribute="1" time="1" defaultMemberUniqueName="[DimDate].[ProgramQuarterAsInteger].[All]" allUniqueName="[DimDate].[ProgramQuarterAsInteger].[All]" dimensionUniqueName="[DimDate]" displayFolder="" count="0" unbalanced="0"/>
    <cacheHierarchy uniqueName="[DimDate].[ProgramYear]" caption="ProgramYear" attribute="1" time="1" defaultMemberUniqueName="[DimDate].[ProgramYear].[All]" allUniqueName="[DimDate].[ProgramYear].[All]" dimensionUniqueName="[DimDate]" displayFolder="" count="0" unbalanced="0"/>
    <cacheHierarchy uniqueName="[DimDate].[ProgramYearSort]" caption="ProgramYearSort" attribute="1" time="1" defaultMemberUniqueName="[DimDate].[ProgramYearSort].[All]" allUniqueName="[DimDate].[ProgramYearSort].[All]" dimensionUniqueName="[DimDate]" displayFolder="" count="0" unbalanced="0"/>
    <cacheHierarchy uniqueName="[DimDate].[WeekdayWeekend]" caption="WeekdayWeekend" attribute="1" time="1" defaultMemberUniqueName="[DimDate].[WeekdayWeekend].[All]" allUniqueName="[DimDate].[WeekdayWeekend].[All]" dimensionUniqueName="[DimDate]" displayFolder="" count="0" unbalanced="0"/>
    <cacheHierarchy uniqueName="[DimDate].[WorkingDayIndicator]" caption="WorkingDayIndicator" attribute="1" time="1" defaultMemberUniqueName="[DimDate].[WorkingDayIndicator].[All]" allUniqueName="[DimDate].[WorkingDayIndicator].[All]" dimensionUniqueName="[DimDate]" displayFolder="" count="0" unbalanced="0"/>
    <cacheHierarchy uniqueName="[DimEquipmentCode].[Equipment Code]" caption="Equipment Code" attribute="1" defaultMemberUniqueName="[DimEquipmentCode].[Equipment Code].[All]" allUniqueName="[DimEquipmentCode].[Equipment Code].[All]" dimensionUniqueName="[DimEquipmentCode]" displayFolder="" count="0" unbalanced="0"/>
    <cacheHierarchy uniqueName="[DimEquipmentCode].[Equipment Description]" caption="Equipment Description" attribute="1" defaultMemberUniqueName="[DimEquipmentCode].[Equipment Description].[All]" allUniqueName="[DimEquipmentCode].[Equipment Description].[All]" dimensionUniqueName="[DimEquipmentCode]" displayFolder="" count="0" unbalanced="0"/>
    <cacheHierarchy uniqueName="[DimMeasureGroup].[AccountingCode]" caption="AccountingCode" attribute="1" defaultMemberUniqueName="[DimMeasureGroup].[AccountingCode].[All]" allUniqueName="[DimMeasureGroup].[AccountingCode].[All]" dimensionUniqueName="[DimMeasureGroup]" displayFolder="" count="0" unbalanced="0"/>
    <cacheHierarchy uniqueName="[DimMeasureGroup].[CostUnit]" caption="CostUnit" attribute="1" defaultMemberUniqueName="[DimMeasureGroup].[CostUnit].[All]" allUniqueName="[DimMeasureGroup].[CostUnit].[All]" dimensionUniqueName="[DimMeasureGroup]" displayFolder="" count="0" unbalanced="0"/>
    <cacheHierarchy uniqueName="[DimMeasureGroup].[MeasureGroupName]" caption="MeasureGroupName" attribute="1" defaultMemberUniqueName="[DimMeasureGroup].[MeasureGroupName].[All]" allUniqueName="[DimMeasureGroup].[MeasureGroupName].[All]" dimensionUniqueName="[DimMeasureGroup]" displayFolder="" count="2" unbalanced="0">
      <fieldsUsage count="2">
        <fieldUsage x="-1"/>
        <fieldUsage x="4"/>
      </fieldsUsage>
    </cacheHierarchy>
    <cacheHierarchy uniqueName="[DimMeasureGroup].[MeasureLife]" caption="MeasureLife" attribute="1" defaultMemberUniqueName="[DimMeasureGroup].[MeasureLife].[All]" allUniqueName="[DimMeasureGroup].[MeasureLife].[All]" dimensionUniqueName="[DimMeasureGroup]" displayFolder="" count="2" unbalanced="0"/>
    <cacheHierarchy uniqueName="[DimMeasureGroup].[ProgramYear]" caption="ProgramYear" attribute="1" defaultMemberUniqueName="[DimMeasureGroup].[ProgramYear].[All]" allUniqueName="[DimMeasureGroup].[ProgramYear].[All]" dimensionUniqueName="[DimMeasureGroup]" displayFolder="" count="2" unbalanced="0">
      <fieldsUsage count="2">
        <fieldUsage x="-1"/>
        <fieldUsage x="1"/>
      </fieldsUsage>
    </cacheHierarchy>
    <cacheHierarchy uniqueName="[DimMeasureGroup].[ProgramYearSort]" caption="ProgramYearSort" attribute="1" defaultMemberUniqueName="[DimMeasureGroup].[ProgramYearSort].[All]" allUniqueName="[DimMeasureGroup].[ProgramYearSort].[All]" dimensionUniqueName="[DimMeasureGroup]" displayFolder="" count="0" unbalanced="0"/>
    <cacheHierarchy uniqueName="[DimMeasureGroup].[Version]" caption="Version" attribute="1" defaultMemberUniqueName="[DimMeasureGroup].[Version].[All]" allUniqueName="[DimMeasureGroup].[Version].[All]" dimensionUniqueName="[DimMeasureGroup]" displayFolder="" count="0" unbalanced="0"/>
    <cacheHierarchy uniqueName="[DimPayee].[Payee Address1]" caption="Payee Address1" attribute="1" defaultMemberUniqueName="[DimPayee].[Payee Address1].[All]" allUniqueName="[DimPayee].[Payee Address1].[All]" dimensionUniqueName="[DimPayee]" displayFolder="" count="0" unbalanced="0"/>
    <cacheHierarchy uniqueName="[DimPayee].[Payee Address2]" caption="Payee Address2" attribute="1" defaultMemberUniqueName="[DimPayee].[Payee Address2].[All]" allUniqueName="[DimPayee].[Payee Address2].[All]" dimensionUniqueName="[DimPayee]" displayFolder="" count="0" unbalanced="0"/>
    <cacheHierarchy uniqueName="[DimPayee].[Payee City]" caption="Payee City" attribute="1" defaultMemberUniqueName="[DimPayee].[Payee City].[All]" allUniqueName="[DimPayee].[Payee City].[All]" dimensionUniqueName="[DimPayee]" displayFolder="" count="0" unbalanced="0"/>
    <cacheHierarchy uniqueName="[DimPayee].[Payee Postal Code]" caption="Payee Postal Code" attribute="1" defaultMemberUniqueName="[DimPayee].[Payee Postal Code].[All]" allUniqueName="[DimPayee].[Payee Postal Code].[All]" dimensionUniqueName="[DimPayee]" displayFolder="" count="0" unbalanced="0"/>
    <cacheHierarchy uniqueName="[DimPayee].[Payee State]" caption="Payee State" attribute="1" defaultMemberUniqueName="[DimPayee].[Payee State].[All]" allUniqueName="[DimPayee].[Payee State].[All]" dimensionUniqueName="[DimPayee]" displayFolder="" count="0" unbalanced="0"/>
    <cacheHierarchy uniqueName="[DimPayee].[Person Or Business First Name]" caption="Person Or Business First Name" attribute="1" defaultMemberUniqueName="[DimPayee].[Person Or Business First Name].[All]" allUniqueName="[DimPayee].[Person Or Business First Name].[All]" dimensionUniqueName="[DimPayee]" displayFolder="" count="0" unbalanced="0"/>
    <cacheHierarchy uniqueName="[DimPayee].[Person Or Business Last Name]" caption="Person Or Business Last Name" attribute="1" defaultMemberUniqueName="[DimPayee].[Person Or Business Last Name].[All]" allUniqueName="[DimPayee].[Person Or Business Last Name].[All]" dimensionUniqueName="[DimPayee]" displayFolder="" count="0" unbalanced="0"/>
    <cacheHierarchy uniqueName="[DimPipeLineStatus].[SourceSystemStatus]" caption="SourceSystemStatus" attribute="1" defaultMemberUniqueName="[DimPipeLineStatus].[SourceSystemStatus].[All]" allUniqueName="[DimPipeLineStatus].[SourceSystemStatus].[All]" dimensionUniqueName="[DimPipeLineStatus]" displayFolder="" count="0" unbalanced="0"/>
    <cacheHierarchy uniqueName="[DimPipeLineStatus].[StatusCode]" caption="StatusCode" attribute="1" defaultMemberUniqueName="[DimPipeLineStatus].[StatusCode].[All]" allUniqueName="[DimPipeLineStatus].[StatusCode].[All]" dimensionUniqueName="[DimPipeLineStatus]" displayFolder="" count="0" unbalanced="0"/>
    <cacheHierarchy uniqueName="[DimPipeLineStatus].[StatusDescription]" caption="StatusDescription" attribute="1" defaultMemberUniqueName="[DimPipeLineStatus].[StatusDescription].[All]" allUniqueName="[DimPipeLineStatus].[StatusDescription].[All]" dimensionUniqueName="[DimPipeLineStatus]" displayFolder="" count="0" unbalanced="0"/>
    <cacheHierarchy uniqueName="[DimPipeLineStatus].[StatusSequence]" caption="StatusSequence" attribute="1" defaultMemberUniqueName="[DimPipeLineStatus].[StatusSequence].[All]" allUniqueName="[DimPipeLineStatus].[StatusSequence].[All]" dimensionUniqueName="[DimPipeLineStatus]" displayFolder="" count="0" unbalanced="0"/>
    <cacheHierarchy uniqueName="[DimPMTIC].[ICName]" caption="ICName" attribute="1" defaultMemberUniqueName="[DimPMTIC].[ICName].[All]" allUniqueName="[DimPMTIC].[ICName].[All]" dimensionUniqueName="[DimPMTIC]" displayFolder="" count="0" unbalanced="0"/>
    <cacheHierarchy uniqueName="[DimPMTMeasure].[AccountingCode]" caption="AccountingCode" attribute="1" defaultMemberUniqueName="[DimPMTMeasure].[AccountingCode].[All]" allUniqueName="[DimPMTMeasure].[AccountingCode].[All]" dimensionUniqueName="[DimPMTMeasure]" displayFolder="" count="0" unbalanced="0"/>
    <cacheHierarchy uniqueName="[DimPMTMeasure].[CostUnit]" caption="CostUnit" attribute="1" defaultMemberUniqueName="[DimPMTMeasure].[CostUnit].[All]" allUniqueName="[DimPMTMeasure].[CostUnit].[All]" dimensionUniqueName="[DimPMTMeasure]" displayFolder="" count="0" unbalanced="0"/>
    <cacheHierarchy uniqueName="[DimPMTMeasure].[Gallons]" caption="Gallons" attribute="1" defaultMemberUniqueName="[DimPMTMeasure].[Gallons].[All]" allUniqueName="[DimPMTMeasure].[Gallons].[All]" dimensionUniqueName="[DimPMTMeasure]" displayFolder="" count="0" unbalanced="0"/>
    <cacheHierarchy uniqueName="[DimPMTMeasure].[IncrementalCost]" caption="IncrementalCost" attribute="1" defaultMemberUniqueName="[DimPMTMeasure].[IncrementalCost].[All]" allUniqueName="[DimPMTMeasure].[IncrementalCost].[All]" dimensionUniqueName="[DimPMTMeasure]" displayFolder="" count="0" unbalanced="0"/>
    <cacheHierarchy uniqueName="[DimPMTMeasure].[KiloWatt]" caption="KiloWatt" attribute="1" defaultMemberUniqueName="[DimPMTMeasure].[KiloWatt].[All]" allUniqueName="[DimPMTMeasure].[KiloWatt].[All]" dimensionUniqueName="[DimPMTMeasure]" displayFolder="" count="0" unbalanced="0"/>
    <cacheHierarchy uniqueName="[DimPMTMeasure].[KiloWattHour]" caption="KiloWattHour" attribute="1" defaultMemberUniqueName="[DimPMTMeasure].[KiloWattHour].[All]" allUniqueName="[DimPMTMeasure].[KiloWattHour].[All]" dimensionUniqueName="[DimPMTMeasure]" displayFolder="" count="0" unbalanced="0"/>
    <cacheHierarchy uniqueName="[DimPMTMeasure].[MeasureGrouping]" caption="MeasureGrouping" attribute="1" defaultMemberUniqueName="[DimPMTMeasure].[MeasureGrouping].[All]" allUniqueName="[DimPMTMeasure].[MeasureGrouping].[All]" dimensionUniqueName="[DimPMTMeasure]" displayFolder="" count="0" unbalanced="0"/>
    <cacheHierarchy uniqueName="[DimPMTMeasure].[MeasureLife]" caption="MeasureLife" attribute="1" defaultMemberUniqueName="[DimPMTMeasure].[MeasureLife].[All]" allUniqueName="[DimPMTMeasure].[MeasureLife].[All]" dimensionUniqueName="[DimPMTMeasure]" displayFolder="" count="0" unbalanced="0"/>
    <cacheHierarchy uniqueName="[DimPMTMeasure].[MeasureName]" caption="MeasureName" attribute="1" defaultMemberUniqueName="[DimPMTMeasure].[MeasureName].[All]" allUniqueName="[DimPMTMeasure].[MeasureName].[All]" dimensionUniqueName="[DimPMTMeasure]" displayFolder="" count="0" unbalanced="0"/>
    <cacheHierarchy uniqueName="[DimPMTMeasure].[MeasureType]" caption="MeasureType" attribute="1" defaultMemberUniqueName="[DimPMTMeasure].[MeasureType].[All]" allUniqueName="[DimPMTMeasure].[MeasureType].[All]" dimensionUniqueName="[DimPMTMeasure]" displayFolder="" count="0" unbalanced="0"/>
    <cacheHierarchy uniqueName="[DimPMTMeasure].[PMT Measure UI]" caption="PMT Measure UI" attribute="1" defaultMemberUniqueName="[DimPMTMeasure].[PMT Measure UI].[All]" allUniqueName="[DimPMTMeasure].[PMT Measure UI].[All]" dimensionUniqueName="[DimPMTMeasure]" displayFolder="" count="0" unbalanced="0"/>
    <cacheHierarchy uniqueName="[DimPMTMeasure].[Sector]" caption="Sector" attribute="1" defaultMemberUniqueName="[DimPMTMeasure].[Sector].[All]" allUniqueName="[DimPMTMeasure].[Sector].[All]" dimensionUniqueName="[DimPMTMeasure]" displayFolder="" count="0" unbalanced="0"/>
    <cacheHierarchy uniqueName="[DimPMTMeasure].[Therms]" caption="Therms" attribute="1" defaultMemberUniqueName="[DimPMTMeasure].[Therms].[All]" allUniqueName="[DimPMTMeasure].[Therms].[All]" dimensionUniqueName="[DimPMTMeasure]" displayFolder="" count="0" unbalanced="0"/>
    <cacheHierarchy uniqueName="[DimPMTMeasure].[TRMCode]" caption="TRMCode" attribute="1" defaultMemberUniqueName="[DimPMTMeasure].[TRMCode].[All]" allUniqueName="[DimPMTMeasure].[TRMCode].[All]" dimensionUniqueName="[DimPMTMeasure]" displayFolder="" count="0" unbalanced="0"/>
    <cacheHierarchy uniqueName="[DimPMTMeasure].[UniqueIdentifier]" caption="UniqueIdentifier" attribute="1" defaultMemberUniqueName="[DimPMTMeasure].[UniqueIdentifier].[All]" allUniqueName="[DimPMTMeasure].[UniqueIdentifier].[All]" dimensionUniqueName="[DimPMTMeasure]" displayFolder="" count="0" unbalanced="0"/>
    <cacheHierarchy uniqueName="[DimPMTMeasure].[Version]" caption="Version" attribute="1" defaultMemberUniqueName="[DimPMTMeasure].[Version].[All]" allUniqueName="[DimPMTMeasure].[Version].[All]" dimensionUniqueName="[DimPMTMeasure]" displayFolder="" count="0" unbalanced="0"/>
    <cacheHierarchy uniqueName="[DimPMTProgram].[Program Acronym]" caption="Program Acronym" attribute="1" defaultMemberUniqueName="[DimPMTProgram].[Program Acronym].[All]" allUniqueName="[DimPMTProgram].[Program Acronym].[All]" dimensionUniqueName="[DimPMTProgram]" displayFolder="" count="2" unbalanced="0">
      <fieldsUsage count="2">
        <fieldUsage x="-1"/>
        <fieldUsage x="3"/>
      </fieldsUsage>
    </cacheHierarchy>
    <cacheHierarchy uniqueName="[DimPMTProgram].[Program Description]" caption="Program Description" attribute="1" defaultMemberUniqueName="[DimPMTProgram].[Program Description].[All]" allUniqueName="[DimPMTProgram].[Program Description].[All]" dimensionUniqueName="[DimPMTProgram]" displayFolder="" count="0" unbalanced="0"/>
    <cacheHierarchy uniqueName="[DimPMTProgram].[Program Name]" caption="Program Name" attribute="1" defaultMemberUniqueName="[DimPMTProgram].[Program Name].[All]" allUniqueName="[DimPMTProgram].[Program Name].[All]" dimensionUniqueName="[DimPMTProgram]" displayFolder="" count="0" unbalanced="0"/>
    <cacheHierarchy uniqueName="[DimPMTProgram].[Program Type]" caption="Program Type" attribute="1" defaultMemberUniqueName="[DimPMTProgram].[Program Type].[All]" allUniqueName="[DimPMTProgram].[Program Type].[All]" dimensionUniqueName="[DimPMTProgram]" displayFolder="" count="0" unbalanced="0"/>
    <cacheHierarchy uniqueName="[DimPMTProgramAccounting].[Description]" caption="Description" attribute="1" defaultMemberUniqueName="[DimPMTProgramAccounting].[Description].[All]" allUniqueName="[DimPMTProgramAccounting].[Description].[All]" dimensionUniqueName="[DimPMTProgramAccounting]" displayFolder="" count="0" unbalanced="0"/>
    <cacheHierarchy uniqueName="[DimPMTProgramAccounting].[ID]" caption="ID" attribute="1" defaultMemberUniqueName="[DimPMTProgramAccounting].[ID].[All]" allUniqueName="[DimPMTProgramAccounting].[ID].[All]" dimensionUniqueName="[DimPMTProgramAccounting]" displayFolder="" count="0" unbalanced="0"/>
    <cacheHierarchy uniqueName="[DimPMTProgramAccounting].[ProgramGrouping]" caption="ProgramGrouping" attribute="1" defaultMemberUniqueName="[DimPMTProgramAccounting].[ProgramGrouping].[All]" allUniqueName="[DimPMTProgramAccounting].[ProgramGrouping].[All]" dimensionUniqueName="[DimPMTProgramAccounting]" displayFolder="" count="0" unbalanced="0"/>
    <cacheHierarchy uniqueName="[DimPMTProgramAccounting].[ProgramGroupingSortOrder]" caption="ProgramGroupingSortOrder" attribute="1" defaultMemberUniqueName="[DimPMTProgramAccounting].[ProgramGroupingSortOrder].[All]" allUniqueName="[DimPMTProgramAccounting].[ProgramGroupingSortOrder].[All]" dimensionUniqueName="[DimPMTProgramAccounting]" displayFolder="" count="0" unbalanced="0"/>
    <cacheHierarchy uniqueName="[DimPMTProgramAccounting].[ProgramYear]" caption="ProgramYear" attribute="1" defaultMemberUniqueName="[DimPMTProgramAccounting].[ProgramYear].[All]" allUniqueName="[DimPMTProgramAccounting].[ProgramYear].[All]" dimensionUniqueName="[DimPMTProgramAccounting]" displayFolder="" count="0" unbalanced="0"/>
    <cacheHierarchy uniqueName="[DimPMTProgramAccounting].[ProjectID]" caption="ProjectID" attribute="1" defaultMemberUniqueName="[DimPMTProgramAccounting].[ProjectID].[All]" allUniqueName="[DimPMTProgramAccounting].[ProjectID].[All]" dimensionUniqueName="[DimPMTProgramAccounting]" displayFolder="" count="0" unbalanced="0"/>
    <cacheHierarchy uniqueName="[DimPMTProgramAccounting].[RiderName]" caption="RiderName" attribute="1" defaultMemberUniqueName="[DimPMTProgramAccounting].[RiderName].[All]" allUniqueName="[DimPMTProgramAccounting].[RiderName].[All]" dimensionUniqueName="[DimPMTProgramAccounting]" displayFolder="" count="0" unbalanced="0"/>
    <cacheHierarchy uniqueName="[DimPMTProgramAccounting].[SortOrder]" caption="SortOrder" attribute="1" defaultMemberUniqueName="[DimPMTProgramAccounting].[SortOrder].[All]" allUniqueName="[DimPMTProgramAccounting].[SortOrder].[All]" dimensionUniqueName="[DimPMTProgramAccounting]" displayFolder="" count="0" unbalanced="0"/>
    <cacheHierarchy uniqueName="[DimPMTProgramAccounting].[Type]" caption="Type" attribute="1" defaultMemberUniqueName="[DimPMTProgramAccounting].[Type].[All]" allUniqueName="[DimPMTProgramAccounting].[Type].[All]" dimensionUniqueName="[DimPMTProgramAccounting]" displayFolder="" count="0" unbalanced="0"/>
    <cacheHierarchy uniqueName="[DimPMTProject].[ActivityType]" caption="ActivityType" attribute="1" defaultMemberUniqueName="[DimPMTProject].[ActivityType].[All]" allUniqueName="[DimPMTProject].[ActivityType].[All]" dimensionUniqueName="[DimPMTProject]" displayFolder="" count="0" unbalanced="0"/>
    <cacheHierarchy uniqueName="[DimPMTProject].[ActualProjectCost]" caption="ActualProjectCost" attribute="1" defaultMemberUniqueName="[DimPMTProject].[ActualProjectCost].[All]" allUniqueName="[DimPMTProject].[ActualProjectCost].[All]" dimensionUniqueName="[DimPMTProject]" displayFolder="" count="0" unbalanced="0"/>
    <cacheHierarchy uniqueName="[DimPMTProject].[Application Number]" caption="Application Number" attribute="1" defaultMemberUniqueName="[DimPMTProject].[Application Number].[All]" allUniqueName="[DimPMTProject].[Application Number].[All]" dimensionUniqueName="[DimPMTProject]" displayFolder="" count="0" unbalanced="0"/>
    <cacheHierarchy uniqueName="[DimPMTProject].[Application Status]" caption="Application Status" attribute="1" defaultMemberUniqueName="[DimPMTProject].[Application Status].[All]" allUniqueName="[DimPMTProject].[Application Status].[All]" dimensionUniqueName="[DimPMTProject]" displayFolder="" count="0" unbalanced="0"/>
    <cacheHierarchy uniqueName="[DimPMTProject].[ApplicationCompletedDate]" caption="ApplicationCompletedDate" attribute="1" defaultMemberUniqueName="[DimPMTProject].[ApplicationCompletedDate].[All]" allUniqueName="[DimPMTProject].[ApplicationCompletedDate].[All]" dimensionUniqueName="[DimPMTProject]" displayFolder="" count="0" unbalanced="0"/>
    <cacheHierarchy uniqueName="[DimPMTProject].[ApplicationReceivedDate]" caption="ApplicationReceivedDate" attribute="1" defaultMemberUniqueName="[DimPMTProject].[ApplicationReceivedDate].[All]" allUniqueName="[DimPMTProject].[ApplicationReceivedDate].[All]" dimensionUniqueName="[DimPMTProject]" displayFolder="" count="0" unbalanced="0"/>
    <cacheHierarchy uniqueName="[DimPMTProject].[ApplicationType]" caption="ApplicationType" attribute="1" defaultMemberUniqueName="[DimPMTProject].[ApplicationType].[All]" allUniqueName="[DimPMTProject].[ApplicationType].[All]" dimensionUniqueName="[DimPMTProject]" displayFolder="" count="0" unbalanced="0"/>
    <cacheHierarchy uniqueName="[DimPMTProject].[AssumedCostPerkWh]" caption="AssumedCostPerkWh" attribute="1" defaultMemberUniqueName="[DimPMTProject].[AssumedCostPerkWh].[All]" allUniqueName="[DimPMTProject].[AssumedCostPerkWh].[All]" dimensionUniqueName="[DimPMTProject]" displayFolder="" count="0" unbalanced="0"/>
    <cacheHierarchy uniqueName="[DimPMTProject].[AssumedCostPerTherm]" caption="AssumedCostPerTherm" attribute="1" defaultMemberUniqueName="[DimPMTProject].[AssumedCostPerTherm].[All]" allUniqueName="[DimPMTProject].[AssumedCostPerTherm].[All]" dimensionUniqueName="[DimPMTProject]" displayFolder="" count="0" unbalanced="0"/>
    <cacheHierarchy uniqueName="[DimPMTProject].[Building Square Footage]" caption="Building Square Footage" attribute="1" defaultMemberUniqueName="[DimPMTProject].[Building Square Footage].[All]" allUniqueName="[DimPMTProject].[Building Square Footage].[All]" dimensionUniqueName="[DimPMTProject]" displayFolder="" count="0" unbalanced="0"/>
    <cacheHierarchy uniqueName="[DimPMTProject].[BuildingCode]" caption="BuildingCode" attribute="1" defaultMemberUniqueName="[DimPMTProject].[BuildingCode].[All]" allUniqueName="[DimPMTProject].[BuildingCode].[All]" dimensionUniqueName="[DimPMTProject]" displayFolder="" count="0" unbalanced="0"/>
    <cacheHierarchy uniqueName="[DimPMTProject].[BuildingMaterial]" caption="BuildingMaterial" attribute="1" defaultMemberUniqueName="[DimPMTProject].[BuildingMaterial].[All]" allUniqueName="[DimPMTProject].[BuildingMaterial].[All]" dimensionUniqueName="[DimPMTProject]" displayFolder="" count="0" unbalanced="0"/>
    <cacheHierarchy uniqueName="[DimPMTProject].[BusinessType]" caption="BusinessType" attribute="1" defaultMemberUniqueName="[DimPMTProject].[BusinessType].[All]" allUniqueName="[DimPMTProject].[BusinessType].[All]" dimensionUniqueName="[DimPMTProject]" displayFolder="" count="0" unbalanced="0"/>
    <cacheHierarchy uniqueName="[DimPMTProject].[CentralHotWaterSystem]" caption="CentralHotWaterSystem" attribute="1" defaultMemberUniqueName="[DimPMTProject].[CentralHotWaterSystem].[All]" allUniqueName="[DimPMTProject].[CentralHotWaterSystem].[All]" dimensionUniqueName="[DimPMTProject]" displayFolder="" count="0" unbalanced="0"/>
    <cacheHierarchy uniqueName="[DimPMTProject].[ClimateZone]" caption="ClimateZone" attribute="1" defaultMemberUniqueName="[DimPMTProject].[ClimateZone].[All]" allUniqueName="[DimPMTProject].[ClimateZone].[All]" dimensionUniqueName="[DimPMTProject]" displayFolder="" count="0" unbalanced="0"/>
    <cacheHierarchy uniqueName="[DimPMTProject].[CombinedComEdNicorKitCost]" caption="CombinedComEdNicorKitCost" attribute="1" defaultMemberUniqueName="[DimPMTProject].[CombinedComEdNicorKitCost].[All]" allUniqueName="[DimPMTProject].[CombinedComEdNicorKitCost].[All]" dimensionUniqueName="[DimPMTProject]" displayFolder="" count="0" unbalanced="0"/>
    <cacheHierarchy uniqueName="[DimPMTProject].[CostEffectivenessScore]" caption="CostEffectivenessScore" attribute="1" defaultMemberUniqueName="[DimPMTProject].[CostEffectivenessScore].[All]" allUniqueName="[DimPMTProject].[CostEffectivenessScore].[All]" dimensionUniqueName="[DimPMTProject]" displayFolder="" count="0" unbalanced="0"/>
    <cacheHierarchy uniqueName="[DimPMTProject].[County]" caption="County" attribute="1" defaultMemberUniqueName="[DimPMTProject].[County].[All]" allUniqueName="[DimPMTProject].[County].[All]" dimensionUniqueName="[DimPMTProject]" displayFolder="" count="0" unbalanced="0"/>
    <cacheHierarchy uniqueName="[DimPMTProject].[DateOfIntake]" caption="DateOfIntake" attribute="1" defaultMemberUniqueName="[DimPMTProject].[DateOfIntake].[All]" allUniqueName="[DimPMTProject].[DateOfIntake].[All]" dimensionUniqueName="[DimPMTProject]" displayFolder="" count="0" unbalanced="0"/>
    <cacheHierarchy uniqueName="[DimPMTProject].[DateScoreFinalized]" caption="DateScoreFinalized" attribute="1" defaultMemberUniqueName="[DimPMTProject].[DateScoreFinalized].[All]" allUniqueName="[DimPMTProject].[DateScoreFinalized].[All]" dimensionUniqueName="[DimPMTProject]" displayFolder="" count="0" unbalanced="0"/>
    <cacheHierarchy uniqueName="[DimPMTProject].[DCEOProgram]" caption="DCEOProgram" attribute="1" defaultMemberUniqueName="[DimPMTProject].[DCEOProgram].[All]" allUniqueName="[DimPMTProject].[DCEOProgram].[All]" dimensionUniqueName="[DimPMTProject]" displayFolder="" count="0" unbalanced="0"/>
    <cacheHierarchy uniqueName="[DimPMTProject].[DescriptionOfProject]" caption="DescriptionOfProject" attribute="1" defaultMemberUniqueName="[DimPMTProject].[DescriptionOfProject].[All]" allUniqueName="[DimPMTProject].[DescriptionOfProject].[All]" dimensionUniqueName="[DimPMTProject]" displayFolder="" count="0" unbalanced="0"/>
    <cacheHierarchy uniqueName="[DimPMTProject].[DesignStartDate]" caption="DesignStartDate" attribute="1" defaultMemberUniqueName="[DimPMTProject].[DesignStartDate].[All]" allUniqueName="[DimPMTProject].[DesignStartDate].[All]" dimensionUniqueName="[DimPMTProject]" displayFolder="" count="0" unbalanced="0"/>
    <cacheHierarchy uniqueName="[DimPMTProject].[DirectInstallCompletionDate]" caption="DirectInstallCompletionDate" attribute="1" defaultMemberUniqueName="[DimPMTProject].[DirectInstallCompletionDate].[All]" allUniqueName="[DimPMTProject].[DirectInstallCompletionDate].[All]" dimensionUniqueName="[DimPMTProject]" displayFolder="" count="0" unbalanced="0"/>
    <cacheHierarchy uniqueName="[DimPMTProject].[DistributionScore]" caption="DistributionScore" attribute="1" defaultMemberUniqueName="[DimPMTProject].[DistributionScore].[All]" allUniqueName="[DimPMTProject].[DistributionScore].[All]" dimensionUniqueName="[DimPMTProject]" displayFolder="" count="0" unbalanced="0"/>
    <cacheHierarchy uniqueName="[DimPMTProject].[EETargetProgram]" caption="EETargetProgram" attribute="1" defaultMemberUniqueName="[DimPMTProject].[EETargetProgram].[All]" allUniqueName="[DimPMTProject].[EETargetProgram].[All]" dimensionUniqueName="[DimPMTProject]" displayFolder="" count="0" unbalanced="0"/>
    <cacheHierarchy uniqueName="[DimPMTProject].[EstimatedBidReleaseDate]" caption="EstimatedBidReleaseDate" attribute="1" defaultMemberUniqueName="[DimPMTProject].[EstimatedBidReleaseDate].[All]" allUniqueName="[DimPMTProject].[EstimatedBidReleaseDate].[All]" dimensionUniqueName="[DimPMTProject]" displayFolder="" count="0" unbalanced="0"/>
    <cacheHierarchy uniqueName="[DimPMTProject].[EstimatedConstructionStartDate]" caption="EstimatedConstructionStartDate" attribute="1" defaultMemberUniqueName="[DimPMTProject].[EstimatedConstructionStartDate].[All]" allUniqueName="[DimPMTProject].[EstimatedConstructionStartDate].[All]" dimensionUniqueName="[DimPMTProject]" displayFolder="" count="0" unbalanced="0"/>
    <cacheHierarchy uniqueName="[DimPMTProject].[EstimatedOccupancyDate]" caption="EstimatedOccupancyDate" attribute="1" defaultMemberUniqueName="[DimPMTProject].[EstimatedOccupancyDate].[All]" allUniqueName="[DimPMTProject].[EstimatedOccupancyDate].[All]" dimensionUniqueName="[DimPMTProject]" displayFolder="" count="0" unbalanced="0"/>
    <cacheHierarchy uniqueName="[DimPMTProject].[EstimatedProjectCompletionDate]" caption="EstimatedProjectCompletionDate" attribute="1" defaultMemberUniqueName="[DimPMTProject].[EstimatedProjectCompletionDate].[All]" allUniqueName="[DimPMTProject].[EstimatedProjectCompletionDate].[All]" dimensionUniqueName="[DimPMTProject]" displayFolder="" count="0" unbalanced="0"/>
    <cacheHierarchy uniqueName="[DimPMTProject].[EstimatedProjectCost]" caption="EstimatedProjectCost" attribute="1" defaultMemberUniqueName="[DimPMTProject].[EstimatedProjectCost].[All]" allUniqueName="[DimPMTProject].[EstimatedProjectCost].[All]" dimensionUniqueName="[DimPMTProject]" displayFolder="" count="0" unbalanced="0"/>
    <cacheHierarchy uniqueName="[DimPMTProject].[EstimatedProjectStartDate]" caption="EstimatedProjectStartDate" attribute="1" defaultMemberUniqueName="[DimPMTProject].[EstimatedProjectStartDate].[All]" allUniqueName="[DimPMTProject].[EstimatedProjectStartDate].[All]" dimensionUniqueName="[DimPMTProject]" displayFolder="" count="0" unbalanced="0"/>
    <cacheHierarchy uniqueName="[DimPMTProject].[EstimatedRebate]" caption="EstimatedRebate" attribute="1" defaultMemberUniqueName="[DimPMTProject].[EstimatedRebate].[All]" allUniqueName="[DimPMTProject].[EstimatedRebate].[All]" dimensionUniqueName="[DimPMTProject]" displayFolder="" count="0" unbalanced="0"/>
    <cacheHierarchy uniqueName="[DimPMTProject].[ExistingProgrammableThermostat]" caption="ExistingProgrammableThermostat" attribute="1" defaultMemberUniqueName="[DimPMTProject].[ExistingProgrammableThermostat].[All]" allUniqueName="[DimPMTProject].[ExistingProgrammableThermostat].[All]" dimensionUniqueName="[DimPMTProject]" displayFolder="" count="0" unbalanced="0"/>
    <cacheHierarchy uniqueName="[DimPMTProject].[FinalApprovalDate]" caption="FinalApprovalDate" attribute="1" defaultMemberUniqueName="[DimPMTProject].[FinalApprovalDate].[All]" allUniqueName="[DimPMTProject].[FinalApprovalDate].[All]" dimensionUniqueName="[DimPMTProject]" displayFolder="" count="0" unbalanced="0"/>
    <cacheHierarchy uniqueName="[DimPMTProject].[GasSavingsScore]" caption="GasSavingsScore" attribute="1" defaultMemberUniqueName="[DimPMTProject].[GasSavingsScore].[All]" allUniqueName="[DimPMTProject].[GasSavingsScore].[All]" dimensionUniqueName="[DimPMTProject]" displayFolder="" count="0" unbalanced="0"/>
    <cacheHierarchy uniqueName="[DimPMTProject].[GrantDocumentation]" caption="GrantDocumentation" attribute="1" defaultMemberUniqueName="[DimPMTProject].[GrantDocumentation].[All]" allUniqueName="[DimPMTProject].[GrantDocumentation].[All]" dimensionUniqueName="[DimPMTProject]" displayFolder="" count="0" unbalanced="0"/>
    <cacheHierarchy uniqueName="[DimPMTProject].[GranteeName]" caption="GranteeName" attribute="1" defaultMemberUniqueName="[DimPMTProject].[GranteeName].[All]" allUniqueName="[DimPMTProject].[GranteeName].[All]" dimensionUniqueName="[DimPMTProject]" displayFolder="" count="0" unbalanced="0"/>
    <cacheHierarchy uniqueName="[DimPMTProject].[GrantNumber]" caption="GrantNumber" attribute="1" defaultMemberUniqueName="[DimPMTProject].[GrantNumber].[All]" allUniqueName="[DimPMTProject].[GrantNumber].[All]" dimensionUniqueName="[DimPMTProject]" displayFolder="" count="0" unbalanced="0"/>
    <cacheHierarchy uniqueName="[DimPMTProject].[HERSIndex]" caption="HERSIndex" attribute="1" defaultMemberUniqueName="[DimPMTProject].[HERSIndex].[All]" allUniqueName="[DimPMTProject].[HERSIndex].[All]" dimensionUniqueName="[DimPMTProject]" displayFolder="" count="0" unbalanced="0"/>
    <cacheHierarchy uniqueName="[DimPMTProject].[HomeownerAssociation]" caption="HomeownerAssociation" attribute="1" defaultMemberUniqueName="[DimPMTProject].[HomeownerAssociation].[All]" allUniqueName="[DimPMTProject].[HomeownerAssociation].[All]" dimensionUniqueName="[DimPMTProject]" displayFolder="" count="0" unbalanced="0"/>
    <cacheHierarchy uniqueName="[DimPMTProject].[HotWaterFuelSource]" caption="HotWaterFuelSource" attribute="1" defaultMemberUniqueName="[DimPMTProject].[HotWaterFuelSource].[All]" allUniqueName="[DimPMTProject].[HotWaterFuelSource].[All]" dimensionUniqueName="[DimPMTProject]" displayFolder="" count="0" unbalanced="0"/>
    <cacheHierarchy uniqueName="[DimPMTProject].[HowDidYouHearAboutUs]" caption="HowDidYouHearAboutUs" attribute="1" defaultMemberUniqueName="[DimPMTProject].[HowDidYouHearAboutUs].[All]" allUniqueName="[DimPMTProject].[HowDidYouHearAboutUs].[All]" dimensionUniqueName="[DimPMTProject]" displayFolder="" count="0" unbalanced="0"/>
    <cacheHierarchy uniqueName="[DimPMTProject].[Independentlessthan10locations]" caption="Independentlessthan10locations" attribute="1" defaultMemberUniqueName="[DimPMTProject].[Independentlessthan10locations].[All]" allUniqueName="[DimPMTProject].[Independentlessthan10locations].[All]" dimensionUniqueName="[DimPMTProject]" displayFolder="" count="0" unbalanced="0"/>
    <cacheHierarchy uniqueName="[DimPMTProject].[InspectionRequired]" caption="InspectionRequired" attribute="1" defaultMemberUniqueName="[DimPMTProject].[InspectionRequired].[All]" allUniqueName="[DimPMTProject].[InspectionRequired].[All]" dimensionUniqueName="[DimPMTProject]" displayFolder="" count="0" unbalanced="0"/>
    <cacheHierarchy uniqueName="[DimPMTProject].[JointProject]" caption="JointProject" attribute="1" defaultMemberUniqueName="[DimPMTProject].[JointProject].[All]" allUniqueName="[DimPMTProject].[JointProject].[All]" dimensionUniqueName="[DimPMTProject]" displayFolder="" count="2" unbalanced="0">
      <fieldsUsage count="2">
        <fieldUsage x="-1"/>
        <fieldUsage x="12"/>
      </fieldsUsage>
    </cacheHierarchy>
    <cacheHierarchy uniqueName="[DimPMTProject].[LEED Certification]" caption="LEED Certification" attribute="1" defaultMemberUniqueName="[DimPMTProject].[LEED Certification].[All]" allUniqueName="[DimPMTProject].[LEED Certification].[All]" dimensionUniqueName="[DimPMTProject]" displayFolder="" count="0" unbalanced="0"/>
    <cacheHierarchy uniqueName="[DimPMTProject].[LegalStatus]" caption="LegalStatus" attribute="1" defaultMemberUniqueName="[DimPMTProject].[LegalStatus].[All]" allUniqueName="[DimPMTProject].[LegalStatus].[All]" dimensionUniqueName="[DimPMTProject]" displayFolder="" count="0" unbalanced="0"/>
    <cacheHierarchy uniqueName="[DimPMTProject].[LegalStatusCode]" caption="LegalStatusCode" attribute="1" defaultMemberUniqueName="[DimPMTProject].[LegalStatusCode].[All]" allUniqueName="[DimPMTProject].[LegalStatusCode].[All]" dimensionUniqueName="[DimPMTProject]" displayFolder="" count="0" unbalanced="0"/>
    <cacheHierarchy uniqueName="[DimPMTProject].[MarketAdoptionScore]" caption="MarketAdoptionScore" attribute="1" defaultMemberUniqueName="[DimPMTProject].[MarketAdoptionScore].[All]" allUniqueName="[DimPMTProject].[MarketAdoptionScore].[All]" dimensionUniqueName="[DimPMTProject]" displayFolder="" count="0" unbalanced="0"/>
    <cacheHierarchy uniqueName="[DimPMTProject].[MarketSegment]" caption="MarketSegment" attribute="1" defaultMemberUniqueName="[DimPMTProject].[MarketSegment].[All]" allUniqueName="[DimPMTProject].[MarketSegment].[All]" dimensionUniqueName="[DimPMTProject]" displayFolder="" count="0" unbalanced="0"/>
    <cacheHierarchy uniqueName="[DimPMTProject].[Nicor Account ID]" caption="Nicor Account ID" attribute="1" defaultMemberUniqueName="[DimPMTProject].[Nicor Account ID].[All]" allUniqueName="[DimPMTProject].[Nicor Account ID].[All]" dimensionUniqueName="[DimPMTProject]" displayFolder="" count="0" unbalanced="0"/>
    <cacheHierarchy uniqueName="[DimPMTProject].[NicorElementaryEdKitCost]" caption="NicorElementaryEdKitCost" attribute="1" defaultMemberUniqueName="[DimPMTProject].[NicorElementaryEdKitCost].[All]" allUniqueName="[DimPMTProject].[NicorElementaryEdKitCost].[All]" dimensionUniqueName="[DimPMTProject]" displayFolder="" count="0" unbalanced="0"/>
    <cacheHierarchy uniqueName="[DimPMTProject].[NonEnergyBenefitsScore]" caption="NonEnergyBenefitsScore" attribute="1" defaultMemberUniqueName="[DimPMTProject].[NonEnergyBenefitsScore].[All]" allUniqueName="[DimPMTProject].[NonEnergyBenefitsScore].[All]" dimensionUniqueName="[DimPMTProject]" displayFolder="" count="0" unbalanced="0"/>
    <cacheHierarchy uniqueName="[DimPMTProject].[NumberInHousehold]" caption="NumberInHousehold" attribute="1" defaultMemberUniqueName="[DimPMTProject].[NumberInHousehold].[All]" allUniqueName="[DimPMTProject].[NumberInHousehold].[All]" dimensionUniqueName="[DimPMTProject]" displayFolder="" count="0" unbalanced="0"/>
    <cacheHierarchy uniqueName="[DimPMTProject].[NumberOfBathrooms]" caption="NumberOfBathrooms" attribute="1" defaultMemberUniqueName="[DimPMTProject].[NumberOfBathrooms].[All]" allUniqueName="[DimPMTProject].[NumberOfBathrooms].[All]" dimensionUniqueName="[DimPMTProject]" displayFolder="" count="0" unbalanced="0"/>
    <cacheHierarchy uniqueName="[DimPMTProject].[NumberOfBedrooms]" caption="NumberOfBedrooms" attribute="1" defaultMemberUniqueName="[DimPMTProject].[NumberOfBedrooms].[All]" allUniqueName="[DimPMTProject].[NumberOfBedrooms].[All]" dimensionUniqueName="[DimPMTProject]" displayFolder="" count="0" unbalanced="0"/>
    <cacheHierarchy uniqueName="[DimPMTProject].[NumberOfBuildings]" caption="NumberOfBuildings" attribute="1" defaultMemberUniqueName="[DimPMTProject].[NumberOfBuildings].[All]" allUniqueName="[DimPMTProject].[NumberOfBuildings].[All]" dimensionUniqueName="[DimPMTProject]" displayFolder="" count="0" unbalanced="0"/>
    <cacheHierarchy uniqueName="[DimPMTProject].[NumberOfShowerheads]" caption="NumberOfShowerheads" attribute="1" defaultMemberUniqueName="[DimPMTProject].[NumberOfShowerheads].[All]" allUniqueName="[DimPMTProject].[NumberOfShowerheads].[All]" dimensionUniqueName="[DimPMTProject]" displayFolder="" count="0" unbalanced="0"/>
    <cacheHierarchy uniqueName="[DimPMTProject].[NumberOfSites]" caption="NumberOfSites" attribute="1" defaultMemberUniqueName="[DimPMTProject].[NumberOfSites].[All]" allUniqueName="[DimPMTProject].[NumberOfSites].[All]" dimensionUniqueName="[DimPMTProject]" displayFolder="" count="0" unbalanced="0"/>
    <cacheHierarchy uniqueName="[DimPMTProject].[NumberOfStories]" caption="NumberOfStories" attribute="1" defaultMemberUniqueName="[DimPMTProject].[NumberOfStories].[All]" allUniqueName="[DimPMTProject].[NumberOfStories].[All]" dimensionUniqueName="[DimPMTProject]" displayFolder="" count="0" unbalanced="0"/>
    <cacheHierarchy uniqueName="[DimPMTProject].[NumberOfTotalUnits]" caption="NumberOfTotalUnits" attribute="1" defaultMemberUniqueName="[DimPMTProject].[NumberOfTotalUnits].[All]" allUniqueName="[DimPMTProject].[NumberOfTotalUnits].[All]" dimensionUniqueName="[DimPMTProject]" displayFolder="" count="0" unbalanced="0"/>
    <cacheHierarchy uniqueName="[DimPMTProject].[NumberOfUnitsInBuilding]" caption="NumberOfUnitsInBuilding" attribute="1" defaultMemberUniqueName="[DimPMTProject].[NumberOfUnitsInBuilding].[All]" allUniqueName="[DimPMTProject].[NumberOfUnitsInBuilding].[All]" dimensionUniqueName="[DimPMTProject]" displayFolder="" count="0" unbalanced="0"/>
    <cacheHierarchy uniqueName="[DimPMTProject].[Other Project Source]" caption="Other Project Source" attribute="1" defaultMemberUniqueName="[DimPMTProject].[Other Project Source].[All]" allUniqueName="[DimPMTProject].[Other Project Source].[All]" dimensionUniqueName="[DimPMTProject]" displayFolder="" count="0" unbalanced="0"/>
    <cacheHierarchy uniqueName="[DimPMTProject].[PayeeCode]" caption="PayeeCode" attribute="1" defaultMemberUniqueName="[DimPMTProject].[PayeeCode].[All]" allUniqueName="[DimPMTProject].[PayeeCode].[All]" dimensionUniqueName="[DimPMTProject]" displayFolder="" count="0" unbalanced="0"/>
    <cacheHierarchy uniqueName="[DimPMTProject].[PercentGasDHW]" caption="PercentGasDHW" attribute="1" defaultMemberUniqueName="[DimPMTProject].[PercentGasDHW].[All]" allUniqueName="[DimPMTProject].[PercentGasDHW].[All]" dimensionUniqueName="[DimPMTProject]" displayFolder="" count="0" unbalanced="0"/>
    <cacheHierarchy uniqueName="[DimPMTProject].[PercentSingleFamily]" caption="PercentSingleFamily" attribute="1" defaultMemberUniqueName="[DimPMTProject].[PercentSingleFamily].[All]" allUniqueName="[DimPMTProject].[PercentSingleFamily].[All]" dimensionUniqueName="[DimPMTProject]" displayFolder="" count="0" unbalanced="0"/>
    <cacheHierarchy uniqueName="[DimPMTProject].[PMTICKey]" caption="PMTICKey" attribute="1" defaultMemberUniqueName="[DimPMTProject].[PMTICKey].[All]" allUniqueName="[DimPMTProject].[PMTICKey].[All]" dimensionUniqueName="[DimPMTProject]" displayFolder="" count="0" unbalanced="0"/>
    <cacheHierarchy uniqueName="[DimPMTProject].[PostInstallationInspectionApprovalDate]" caption="PostInstallationInspectionApprovalDate" attribute="1" defaultMemberUniqueName="[DimPMTProject].[PostInstallationInspectionApprovalDate].[All]" allUniqueName="[DimPMTProject].[PostInstallationInspectionApprovalDate].[All]" dimensionUniqueName="[DimPMTProject]" displayFolder="" count="0" unbalanced="0"/>
    <cacheHierarchy uniqueName="[DimPMTProject].[PostInstallationInspectionComments]" caption="PostInstallationInspectionComments" attribute="1" defaultMemberUniqueName="[DimPMTProject].[PostInstallationInspectionComments].[All]" allUniqueName="[DimPMTProject].[PostInstallationInspectionComments].[All]" dimensionUniqueName="[DimPMTProject]" displayFolder="" count="0" unbalanced="0"/>
    <cacheHierarchy uniqueName="[DimPMTProject].[PostInstallationInspectionDate]" caption="PostInstallationInspectionDate" attribute="1" defaultMemberUniqueName="[DimPMTProject].[PostInstallationInspectionDate].[All]" allUniqueName="[DimPMTProject].[PostInstallationInspectionDate].[All]" dimensionUniqueName="[DimPMTProject]" displayFolder="" count="0" unbalanced="0"/>
    <cacheHierarchy uniqueName="[DimPMTProject].[PostInstallationInspectorName]" caption="PostInstallationInspectorName" attribute="1" defaultMemberUniqueName="[DimPMTProject].[PostInstallationInspectorName].[All]" allUniqueName="[DimPMTProject].[PostInstallationInspectorName].[All]" dimensionUniqueName="[DimPMTProject]" displayFolder="" count="0" unbalanced="0"/>
    <cacheHierarchy uniqueName="[DimPMTProject].[PreInstallationInspectionApprovalDate]" caption="PreInstallationInspectionApprovalDate" attribute="1" defaultMemberUniqueName="[DimPMTProject].[PreInstallationInspectionApprovalDate].[All]" allUniqueName="[DimPMTProject].[PreInstallationInspectionApprovalDate].[All]" dimensionUniqueName="[DimPMTProject]" displayFolder="" count="0" unbalanced="0"/>
    <cacheHierarchy uniqueName="[DimPMTProject].[PreInstallationInspectionComments]" caption="PreInstallationInspectionComments" attribute="1" defaultMemberUniqueName="[DimPMTProject].[PreInstallationInspectionComments].[All]" allUniqueName="[DimPMTProject].[PreInstallationInspectionComments].[All]" dimensionUniqueName="[DimPMTProject]" displayFolder="" count="0" unbalanced="0"/>
    <cacheHierarchy uniqueName="[DimPMTProject].[PreInstallationInspectionDate]" caption="PreInstallationInspectionDate" attribute="1" defaultMemberUniqueName="[DimPMTProject].[PreInstallationInspectionDate].[All]" allUniqueName="[DimPMTProject].[PreInstallationInspectionDate].[All]" dimensionUniqueName="[DimPMTProject]" displayFolder="" count="0" unbalanced="0"/>
    <cacheHierarchy uniqueName="[DimPMTProject].[PreInstallationInspectorName]" caption="PreInstallationInspectorName" attribute="1" defaultMemberUniqueName="[DimPMTProject].[PreInstallationInspectorName].[All]" allUniqueName="[DimPMTProject].[PreInstallationInspectorName].[All]" dimensionUniqueName="[DimPMTProject]" displayFolder="" count="0" unbalanced="0"/>
    <cacheHierarchy uniqueName="[DimPMTProject].[Premise Address1]" caption="Premise Address1" attribute="1" defaultMemberUniqueName="[DimPMTProject].[Premise Address1].[All]" allUniqueName="[DimPMTProject].[Premise Address1].[All]" dimensionUniqueName="[DimPMTProject]" displayFolder="" count="0" unbalanced="0"/>
    <cacheHierarchy uniqueName="[DimPMTProject].[Premise Address2]" caption="Premise Address2" attribute="1" defaultMemberUniqueName="[DimPMTProject].[Premise Address2].[All]" allUniqueName="[DimPMTProject].[Premise Address2].[All]" dimensionUniqueName="[DimPMTProject]" displayFolder="" count="0" unbalanced="0"/>
    <cacheHierarchy uniqueName="[DimPMTProject].[Premise City]" caption="Premise City" attribute="1" defaultMemberUniqueName="[DimPMTProject].[Premise City].[All]" allUniqueName="[DimPMTProject].[Premise City].[All]" dimensionUniqueName="[DimPMTProject]" displayFolder="" count="0" unbalanced="0"/>
    <cacheHierarchy uniqueName="[DimPMTProject].[Premise ID]" caption="Premise ID" attribute="1" defaultMemberUniqueName="[DimPMTProject].[Premise ID].[All]" allUniqueName="[DimPMTProject].[Premise ID].[All]" dimensionUniqueName="[DimPMTProject]" displayFolder="" count="0" unbalanced="0"/>
    <cacheHierarchy uniqueName="[DimPMTProject].[Premise Name]" caption="Premise Name" attribute="1" defaultMemberUniqueName="[DimPMTProject].[Premise Name].[All]" allUniqueName="[DimPMTProject].[Premise Name].[All]" dimensionUniqueName="[DimPMTProject]" displayFolder="" count="0" unbalanced="0"/>
    <cacheHierarchy uniqueName="[DimPMTProject].[Premise Phone Number]" caption="Premise Phone Number" attribute="1" defaultMemberUniqueName="[DimPMTProject].[Premise Phone Number].[All]" allUniqueName="[DimPMTProject].[Premise Phone Number].[All]" dimensionUniqueName="[DimPMTProject]" displayFolder="" count="0" unbalanced="0"/>
    <cacheHierarchy uniqueName="[DimPMTProject].[Premise State]" caption="Premise State" attribute="1" defaultMemberUniqueName="[DimPMTProject].[Premise State].[All]" allUniqueName="[DimPMTProject].[Premise State].[All]" dimensionUniqueName="[DimPMTProject]" displayFolder="" count="0" unbalanced="0"/>
    <cacheHierarchy uniqueName="[DimPMTProject].[Premise Zip]" caption="Premise Zip" attribute="1" defaultMemberUniqueName="[DimPMTProject].[Premise Zip].[All]" allUniqueName="[DimPMTProject].[Premise Zip].[All]" dimensionUniqueName="[DimPMTProject]" displayFolder="" count="0" unbalanced="0"/>
    <cacheHierarchy uniqueName="[DimPMTProject].[Program Year]" caption="Program Year" attribute="1" defaultMemberUniqueName="[DimPMTProject].[Program Year].[All]" allUniqueName="[DimPMTProject].[Program Year].[All]" dimensionUniqueName="[DimPMTProject]" displayFolder="" count="2" unbalanced="0">
      <fieldsUsage count="2">
        <fieldUsage x="-1"/>
        <fieldUsage x="9"/>
      </fieldsUsage>
    </cacheHierarchy>
    <cacheHierarchy uniqueName="[DimPMTProject].[ProgramAccountingID]" caption="ProgramAccountingID" attribute="1" defaultMemberUniqueName="[DimPMTProject].[ProgramAccountingID].[All]" allUniqueName="[DimPMTProject].[ProgramAccountingID].[All]" dimensionUniqueName="[DimPMTProject]" displayFolder="" count="0" unbalanced="0"/>
    <cacheHierarchy uniqueName="[DimPMTProject].[ProgramCategory]" caption="ProgramCategory" attribute="1" defaultMemberUniqueName="[DimPMTProject].[ProgramCategory].[All]" allUniqueName="[DimPMTProject].[ProgramCategory].[All]" dimensionUniqueName="[DimPMTProject]" displayFolder="" count="0" unbalanced="0"/>
    <cacheHierarchy uniqueName="[DimPMTProject].[ProgramYearSort]" caption="ProgramYearSort" attribute="1" defaultMemberUniqueName="[DimPMTProject].[ProgramYearSort].[All]" allUniqueName="[DimPMTProject].[ProgramYearSort].[All]" dimensionUniqueName="[DimPMTProject]" displayFolder="" count="0" unbalanced="0"/>
    <cacheHierarchy uniqueName="[DimPMTProject].[Project ID]" caption="Project ID" attribute="1" defaultMemberUniqueName="[DimPMTProject].[Project ID].[All]" allUniqueName="[DimPMTProject].[Project ID].[All]" dimensionUniqueName="[DimPMTProject]" displayFolder="" count="0" unbalanced="0"/>
    <cacheHierarchy uniqueName="[DimPMTProject].[Project Name]" caption="Project Name" attribute="1" defaultMemberUniqueName="[DimPMTProject].[Project Name].[All]" allUniqueName="[DimPMTProject].[Project Name].[All]" dimensionUniqueName="[DimPMTProject]" displayFolder="" count="0" unbalanced="0"/>
    <cacheHierarchy uniqueName="[DimPMTProject].[Project Source]" caption="Project Source" attribute="1" defaultMemberUniqueName="[DimPMTProject].[Project Source].[All]" allUniqueName="[DimPMTProject].[Project Source].[All]" dimensionUniqueName="[DimPMTProject]" displayFolder="" count="0" unbalanced="0"/>
    <cacheHierarchy uniqueName="[DimPMTProject].[Project Type]" caption="Project Type" attribute="1" defaultMemberUniqueName="[DimPMTProject].[Project Type].[All]" allUniqueName="[DimPMTProject].[Project Type].[All]" dimensionUniqueName="[DimPMTProject]" displayFolder="" count="2" unbalanced="0">
      <fieldsUsage count="2">
        <fieldUsage x="-1"/>
        <fieldUsage x="7"/>
      </fieldsUsage>
    </cacheHierarchy>
    <cacheHierarchy uniqueName="[DimPMTProject].[ProjectBuildingOrFacility]" caption="ProjectBuildingOrFacility" attribute="1" defaultMemberUniqueName="[DimPMTProject].[ProjectBuildingOrFacility].[All]" allUniqueName="[DimPMTProject].[ProjectBuildingOrFacility].[All]" dimensionUniqueName="[DimPMTProject]" displayFolder="" count="0" unbalanced="0"/>
    <cacheHierarchy uniqueName="[DimPMTProject].[ProjectCategory]" caption="ProjectCategory" attribute="1" defaultMemberUniqueName="[DimPMTProject].[ProjectCategory].[All]" allUniqueName="[DimPMTProject].[ProjectCategory].[All]" dimensionUniqueName="[DimPMTProject]" displayFolder="" count="0" unbalanced="0"/>
    <cacheHierarchy uniqueName="[DimPMTProject].[ProjectShortTitle]" caption="ProjectShortTitle" attribute="1" defaultMemberUniqueName="[DimPMTProject].[ProjectShortTitle].[All]" allUniqueName="[DimPMTProject].[ProjectShortTitle].[All]" dimensionUniqueName="[DimPMTProject]" displayFolder="" count="0" unbalanced="0"/>
    <cacheHierarchy uniqueName="[DimPMTProject].[PromoCode]" caption="PromoCode" attribute="1" defaultMemberUniqueName="[DimPMTProject].[PromoCode].[All]" allUniqueName="[DimPMTProject].[PromoCode].[All]" dimensionUniqueName="[DimPMTProject]" displayFolder="" count="0" unbalanced="0"/>
    <cacheHierarchy uniqueName="[DimPMTProject].[PropertySector]" caption="PropertySector" attribute="1" defaultMemberUniqueName="[DimPMTProject].[PropertySector].[All]" allUniqueName="[DimPMTProject].[PropertySector].[All]" dimensionUniqueName="[DimPMTProject]" displayFolder="" count="2" unbalanced="0">
      <fieldsUsage count="2">
        <fieldUsage x="-1"/>
        <fieldUsage x="10"/>
      </fieldsUsage>
    </cacheHierarchy>
    <cacheHierarchy uniqueName="[DimPMTProject].[PublicSectorClass]" caption="PublicSectorClass" attribute="1" defaultMemberUniqueName="[DimPMTProject].[PublicSectorClass].[All]" allUniqueName="[DimPMTProject].[PublicSectorClass].[All]" dimensionUniqueName="[DimPMTProject]" displayFolder="" count="0" unbalanced="0"/>
    <cacheHierarchy uniqueName="[DimPMTProject].[ReportingReferenceDate]" caption="ReportingReferenceDate" attribute="1" defaultMemberUniqueName="[DimPMTProject].[ReportingReferenceDate].[All]" allUniqueName="[DimPMTProject].[ReportingReferenceDate].[All]" dimensionUniqueName="[DimPMTProject]" displayFolder="" count="0" unbalanced="0"/>
    <cacheHierarchy uniqueName="[DimPMTProject].[ResAnnualkWhSavings]" caption="ResAnnualkWhSavings" attribute="1" defaultMemberUniqueName="[DimPMTProject].[ResAnnualkWhSavings].[All]" allUniqueName="[DimPMTProject].[ResAnnualkWhSavings].[All]" dimensionUniqueName="[DimPMTProject]" displayFolder="" count="0" unbalanced="0"/>
    <cacheHierarchy uniqueName="[DimPMTProject].[ResAnnualPeakkWReduction]" caption="ResAnnualPeakkWReduction" attribute="1" defaultMemberUniqueName="[DimPMTProject].[ResAnnualPeakkWReduction].[All]" allUniqueName="[DimPMTProject].[ResAnnualPeakkWReduction].[All]" dimensionUniqueName="[DimPMTProject]" displayFolder="" count="0" unbalanced="0"/>
    <cacheHierarchy uniqueName="[DimPMTProject].[ResDesignIncentive]" caption="ResDesignIncentive" attribute="1" defaultMemberUniqueName="[DimPMTProject].[ResDesignIncentive].[All]" allUniqueName="[DimPMTProject].[ResDesignIncentive].[All]" dimensionUniqueName="[DimPMTProject]" displayFolder="" count="0" unbalanced="0"/>
    <cacheHierarchy uniqueName="[DimPMTProject].[ResDesignIncentiveAgreementDate]" caption="ResDesignIncentiveAgreementDate" attribute="1" defaultMemberUniqueName="[DimPMTProject].[ResDesignIncentiveAgreementDate].[All]" allUniqueName="[DimPMTProject].[ResDesignIncentiveAgreementDate].[All]" dimensionUniqueName="[DimPMTProject]" displayFolder="" count="0" unbalanced="0"/>
    <cacheHierarchy uniqueName="[DimPMTProject].[ResElectricMeasureIncentive]" caption="ResElectricMeasureIncentive" attribute="1" defaultMemberUniqueName="[DimPMTProject].[ResElectricMeasureIncentive].[All]" allUniqueName="[DimPMTProject].[ResElectricMeasureIncentive].[All]" dimensionUniqueName="[DimPMTProject]" displayFolder="" count="0" unbalanced="0"/>
    <cacheHierarchy uniqueName="[DimPMTProject].[ReservationInteractivekwhSavings]" caption="ReservationInteractivekwhSavings" attribute="1" defaultMemberUniqueName="[DimPMTProject].[ReservationInteractivekwhSavings].[All]" allUniqueName="[DimPMTProject].[ReservationInteractivekwhSavings].[All]" dimensionUniqueName="[DimPMTProject]" displayFolder="" count="0" unbalanced="0"/>
    <cacheHierarchy uniqueName="[DimPMTProject].[ReservationInteractiveThermSavings]" caption="ReservationInteractiveThermSavings" attribute="1" defaultMemberUniqueName="[DimPMTProject].[ReservationInteractiveThermSavings].[All]" allUniqueName="[DimPMTProject].[ReservationInteractiveThermSavings].[All]" dimensionUniqueName="[DimPMTProject]" displayFolder="" count="0" unbalanced="0"/>
    <cacheHierarchy uniqueName="[DimPMTProject].[ReservationkwhIncrease]" caption="ReservationkwhIncrease" attribute="1" defaultMemberUniqueName="[DimPMTProject].[ReservationkwhIncrease].[All]" allUniqueName="[DimPMTProject].[ReservationkwhIncrease].[All]" dimensionUniqueName="[DimPMTProject]" displayFolder="" count="0" unbalanced="0"/>
    <cacheHierarchy uniqueName="[DimPMTProject].[ReservationThermIncrease]" caption="ReservationThermIncrease" attribute="1" defaultMemberUniqueName="[DimPMTProject].[ReservationThermIncrease].[All]" allUniqueName="[DimPMTProject].[ReservationThermIncrease].[All]" dimensionUniqueName="[DimPMTProject]" displayFolder="" count="0" unbalanced="0"/>
    <cacheHierarchy uniqueName="[DimPMTProject].[ResEstAnnualThermSavings]" caption="ResEstAnnualThermSavings" attribute="1" defaultMemberUniqueName="[DimPMTProject].[ResEstAnnualThermSavings].[All]" allUniqueName="[DimPMTProject].[ResEstAnnualThermSavings].[All]" dimensionUniqueName="[DimPMTProject]" displayFolder="" count="0" unbalanced="0"/>
    <cacheHierarchy uniqueName="[DimPMTProject].[ResEstimatedNicorIncentive]" caption="ResEstimatedNicorIncentive" attribute="1" defaultMemberUniqueName="[DimPMTProject].[ResEstimatedNicorIncentive].[All]" allUniqueName="[DimPMTProject].[ResEstimatedNicorIncentive].[All]" dimensionUniqueName="[DimPMTProject]" displayFolder="" count="0" unbalanced="0"/>
    <cacheHierarchy uniqueName="[DimPMTProject].[ResidentialBuildingTypeKey]" caption="ResidentialBuildingTypeKey" attribute="1" defaultMemberUniqueName="[DimPMTProject].[ResidentialBuildingTypeKey].[All]" allUniqueName="[DimPMTProject].[ResidentialBuildingTypeKey].[All]" dimensionUniqueName="[DimPMTProject]" displayFolder="" count="0" unbalanced="0"/>
    <cacheHierarchy uniqueName="[DimPMTProject].[ResMeasureIncentiveAgreementDate]" caption="ResMeasureIncentiveAgreementDate" attribute="1" defaultMemberUniqueName="[DimPMTProject].[ResMeasureIncentiveAgreementDate].[All]" allUniqueName="[DimPMTProject].[ResMeasureIncentiveAgreementDate].[All]" dimensionUniqueName="[DimPMTProject]" displayFolder="" count="0" unbalanced="0"/>
    <cacheHierarchy uniqueName="[DimPMTProject].[ResponseRate]" caption="ResponseRate" attribute="1" defaultMemberUniqueName="[DimPMTProject].[ResponseRate].[All]" allUniqueName="[DimPMTProject].[ResponseRate].[All]" dimensionUniqueName="[DimPMTProject]" displayFolder="" count="0" unbalanced="0"/>
    <cacheHierarchy uniqueName="[DimPMTProject].[RoofType]" caption="RoofType" attribute="1" defaultMemberUniqueName="[DimPMTProject].[RoofType].[All]" allUniqueName="[DimPMTProject].[RoofType].[All]" dimensionUniqueName="[DimPMTProject]" displayFolder="" count="0" unbalanced="0"/>
    <cacheHierarchy uniqueName="[DimPMTProject].[SchoolType]" caption="SchoolType" attribute="1" defaultMemberUniqueName="[DimPMTProject].[SchoolType].[All]" allUniqueName="[DimPMTProject].[SchoolType].[All]" dimensionUniqueName="[DimPMTProject]" displayFolder="" count="0" unbalanced="0"/>
    <cacheHierarchy uniqueName="[DimPMTProject].[Sector]" caption="Sector" attribute="1" defaultMemberUniqueName="[DimPMTProject].[Sector].[All]" allUniqueName="[DimPMTProject].[Sector].[All]" dimensionUniqueName="[DimPMTProject]" displayFolder="" count="0" unbalanced="0"/>
    <cacheHierarchy uniqueName="[DimPMTProject].[SelectedForQAQC]" caption="SelectedForQAQC" attribute="1" defaultMemberUniqueName="[DimPMTProject].[SelectedForQAQC].[All]" allUniqueName="[DimPMTProject].[SelectedForQAQC].[All]" dimensionUniqueName="[DimPMTProject]" displayFolder="" count="0" unbalanced="0"/>
    <cacheHierarchy uniqueName="[DimPMTProject].[SignedServiceAgreementDate]" caption="SignedServiceAgreementDate" attribute="1" defaultMemberUniqueName="[DimPMTProject].[SignedServiceAgreementDate].[All]" allUniqueName="[DimPMTProject].[SignedServiceAgreementDate].[All]" dimensionUniqueName="[DimPMTProject]" displayFolder="" count="0" unbalanced="0"/>
    <cacheHierarchy uniqueName="[DimPMTProject].[SubProgramTypeKey]" caption="SubProgramTypeKey" attribute="1" defaultMemberUniqueName="[DimPMTProject].[SubProgramTypeKey].[All]" allUniqueName="[DimPMTProject].[SubProgramTypeKey].[All]" dimensionUniqueName="[DimPMTProject]" displayFolder="" count="0" unbalanced="0"/>
    <cacheHierarchy uniqueName="[DimPMTProject].[TAAnalysisDeliveryDate]" caption="TAAnalysisDeliveryDate" attribute="1" defaultMemberUniqueName="[DimPMTProject].[TAAnalysisDeliveryDate].[All]" allUniqueName="[DimPMTProject].[TAAnalysisDeliveryDate].[All]" dimensionUniqueName="[DimPMTProject]" displayFolder="" count="0" unbalanced="0"/>
    <cacheHierarchy uniqueName="[DimPMTProject].[TAAnnualEstimatedThermSavings]" caption="TAAnnualEstimatedThermSavings" attribute="1" defaultMemberUniqueName="[DimPMTProject].[TAAnnualEstimatedThermSavings].[All]" allUniqueName="[DimPMTProject].[TAAnnualEstimatedThermSavings].[All]" dimensionUniqueName="[DimPMTProject]" displayFolder="" count="0" unbalanced="0"/>
    <cacheHierarchy uniqueName="[DimPMTProject].[TAAnnualkWhSavings]" caption="TAAnnualkWhSavings" attribute="1" defaultMemberUniqueName="[DimPMTProject].[TAAnnualkWhSavings].[All]" allUniqueName="[DimPMTProject].[TAAnnualkWhSavings].[All]" dimensionUniqueName="[DimPMTProject]" displayFolder="" count="0" unbalanced="0"/>
    <cacheHierarchy uniqueName="[DimPMTProject].[TAAnnualPeakkWReduction]" caption="TAAnnualPeakkWReduction" attribute="1" defaultMemberUniqueName="[DimPMTProject].[TAAnnualPeakkWReduction].[All]" allUniqueName="[DimPMTProject].[TAAnnualPeakkWReduction].[All]" dimensionUniqueName="[DimPMTProject]" displayFolder="" count="0" unbalanced="0"/>
    <cacheHierarchy uniqueName="[DimPMTProject].[TAElectricMeasureIncentive]" caption="TAElectricMeasureIncentive" attribute="1" defaultMemberUniqueName="[DimPMTProject].[TAElectricMeasureIncentive].[All]" allUniqueName="[DimPMTProject].[TAElectricMeasureIncentive].[All]" dimensionUniqueName="[DimPMTProject]" displayFolder="" count="0" unbalanced="0"/>
    <cacheHierarchy uniqueName="[DimPMTProject].[TAEstimatedDesignIncentive]" caption="TAEstimatedDesignIncentive" attribute="1" defaultMemberUniqueName="[DimPMTProject].[TAEstimatedDesignIncentive].[All]" allUniqueName="[DimPMTProject].[TAEstimatedDesignIncentive].[All]" dimensionUniqueName="[DimPMTProject]" displayFolder="" count="0" unbalanced="0"/>
    <cacheHierarchy uniqueName="[DimPMTProject].[TAEstimatedNicorIncentive]" caption="TAEstimatedNicorIncentive" attribute="1" defaultMemberUniqueName="[DimPMTProject].[TAEstimatedNicorIncentive].[All]" allUniqueName="[DimPMTProject].[TAEstimatedNicorIncentive].[All]" dimensionUniqueName="[DimPMTProject]" displayFolder="" count="0" unbalanced="0"/>
    <cacheHierarchy uniqueName="[DimPMTProject].[TAInteractivekwhSavings]" caption="TAInteractivekwhSavings" attribute="1" defaultMemberUniqueName="[DimPMTProject].[TAInteractivekwhSavings].[All]" allUniqueName="[DimPMTProject].[TAInteractivekwhSavings].[All]" dimensionUniqueName="[DimPMTProject]" displayFolder="" count="0" unbalanced="0"/>
    <cacheHierarchy uniqueName="[DimPMTProject].[TAInteractiveThermSavings]" caption="TAInteractiveThermSavings" attribute="1" defaultMemberUniqueName="[DimPMTProject].[TAInteractiveThermSavings].[All]" allUniqueName="[DimPMTProject].[TAInteractiveThermSavings].[All]" dimensionUniqueName="[DimPMTProject]" displayFolder="" count="0" unbalanced="0"/>
    <cacheHierarchy uniqueName="[DimPMTProject].[TAkwhIncrease]" caption="TAkwhIncrease" attribute="1" defaultMemberUniqueName="[DimPMTProject].[TAkwhIncrease].[All]" allUniqueName="[DimPMTProject].[TAkwhIncrease].[All]" dimensionUniqueName="[DimPMTProject]" displayFolder="" count="0" unbalanced="0"/>
    <cacheHierarchy uniqueName="[DimPMTProject].[TAStartDate]" caption="TAStartDate" attribute="1" defaultMemberUniqueName="[DimPMTProject].[TAStartDate].[All]" allUniqueName="[DimPMTProject].[TAStartDate].[All]" dimensionUniqueName="[DimPMTProject]" displayFolder="" count="0" unbalanced="0"/>
    <cacheHierarchy uniqueName="[DimPMTProject].[TAThermIncrease]" caption="TAThermIncrease" attribute="1" defaultMemberUniqueName="[DimPMTProject].[TAThermIncrease].[All]" allUniqueName="[DimPMTProject].[TAThermIncrease].[All]" dimensionUniqueName="[DimPMTProject]" displayFolder="" count="0" unbalanced="0"/>
    <cacheHierarchy uniqueName="[DimPMTProject].[TechnologicalMaturityScore]" caption="TechnologicalMaturityScore" attribute="1" defaultMemberUniqueName="[DimPMTProject].[TechnologicalMaturityScore].[All]" allUniqueName="[DimPMTProject].[TechnologicalMaturityScore].[All]" dimensionUniqueName="[DimPMTProject]" displayFolder="" count="0" unbalanced="0"/>
    <cacheHierarchy uniqueName="[DimPMTProject].[TenantHotWaterFuelSource]" caption="TenantHotWaterFuelSource" attribute="1" defaultMemberUniqueName="[DimPMTProject].[TenantHotWaterFuelSource].[All]" allUniqueName="[DimPMTProject].[TenantHotWaterFuelSource].[All]" dimensionUniqueName="[DimPMTProject]" displayFolder="" count="0" unbalanced="0"/>
    <cacheHierarchy uniqueName="[DimPMTProject].[TenantType]" caption="TenantType" attribute="1" defaultMemberUniqueName="[DimPMTProject].[TenantType].[All]" allUniqueName="[DimPMTProject].[TenantType].[All]" dimensionUniqueName="[DimPMTProject]" displayFolder="" count="0" unbalanced="0"/>
    <cacheHierarchy uniqueName="[DimPMTProject].[TotalWeightedScore]" caption="TotalWeightedScore" attribute="1" defaultMemberUniqueName="[DimPMTProject].[TotalWeightedScore].[All]" allUniqueName="[DimPMTProject].[TotalWeightedScore].[All]" dimensionUniqueName="[DimPMTProject]" displayFolder="" count="0" unbalanced="0"/>
    <cacheHierarchy uniqueName="[DimPMTProject].[UnitCeilingHeight]" caption="UnitCeilingHeight" attribute="1" defaultMemberUniqueName="[DimPMTProject].[UnitCeilingHeight].[All]" allUniqueName="[DimPMTProject].[UnitCeilingHeight].[All]" dimensionUniqueName="[DimPMTProject]" displayFolder="" count="0" unbalanced="0"/>
    <cacheHierarchy uniqueName="[DimPMTProject].[UnitNumber]" caption="UnitNumber" attribute="1" defaultMemberUniqueName="[DimPMTProject].[UnitNumber].[All]" allUniqueName="[DimPMTProject].[UnitNumber].[All]" dimensionUniqueName="[DimPMTProject]" displayFolder="" count="0" unbalanced="0"/>
    <cacheHierarchy uniqueName="[DimPMTProject].[ValueScore]" caption="ValueScore" attribute="1" defaultMemberUniqueName="[DimPMTProject].[ValueScore].[All]" allUniqueName="[DimPMTProject].[ValueScore].[All]" dimensionUniqueName="[DimPMTProject]" displayFolder="" count="0" unbalanced="0"/>
    <cacheHierarchy uniqueName="[DimPMTProject].[VerAnnualkWhSavings]" caption="VerAnnualkWhSavings" attribute="1" defaultMemberUniqueName="[DimPMTProject].[VerAnnualkWhSavings].[All]" allUniqueName="[DimPMTProject].[VerAnnualkWhSavings].[All]" dimensionUniqueName="[DimPMTProject]" displayFolder="" count="0" unbalanced="0"/>
    <cacheHierarchy uniqueName="[DimPMTProject].[VerAnnualPeakkWReduction]" caption="VerAnnualPeakkWReduction" attribute="1" defaultMemberUniqueName="[DimPMTProject].[VerAnnualPeakkWReduction].[All]" allUniqueName="[DimPMTProject].[VerAnnualPeakkWReduction].[All]" dimensionUniqueName="[DimPMTProject]" displayFolder="" count="0" unbalanced="0"/>
    <cacheHierarchy uniqueName="[DimPMTProject].[VerAnnualThermSavings]" caption="VerAnnualThermSavings" attribute="1" defaultMemberUniqueName="[DimPMTProject].[VerAnnualThermSavings].[All]" allUniqueName="[DimPMTProject].[VerAnnualThermSavings].[All]" dimensionUniqueName="[DimPMTProject]" displayFolder="" count="0" unbalanced="0"/>
    <cacheHierarchy uniqueName="[DimPMTProject].[VerDesignIncentive]" caption="VerDesignIncentive" attribute="1" defaultMemberUniqueName="[DimPMTProject].[VerDesignIncentive].[All]" allUniqueName="[DimPMTProject].[VerDesignIncentive].[All]" dimensionUniqueName="[DimPMTProject]" displayFolder="" count="0" unbalanced="0"/>
    <cacheHierarchy uniqueName="[DimPMTProject].[VerElectricMeasureIncentive]" caption="VerElectricMeasureIncentive" attribute="1" defaultMemberUniqueName="[DimPMTProject].[VerElectricMeasureIncentive].[All]" allUniqueName="[DimPMTProject].[VerElectricMeasureIncentive].[All]" dimensionUniqueName="[DimPMTProject]" displayFolder="" count="0" unbalanced="0"/>
    <cacheHierarchy uniqueName="[DimPMTProject].[VerificationInteractivekwhSavings]" caption="VerificationInteractivekwhSavings" attribute="1" defaultMemberUniqueName="[DimPMTProject].[VerificationInteractivekwhSavings].[All]" allUniqueName="[DimPMTProject].[VerificationInteractivekwhSavings].[All]" dimensionUniqueName="[DimPMTProject]" displayFolder="" count="0" unbalanced="0"/>
    <cacheHierarchy uniqueName="[DimPMTProject].[VerificationInteractiveThermSavings]" caption="VerificationInteractiveThermSavings" attribute="1" defaultMemberUniqueName="[DimPMTProject].[VerificationInteractiveThermSavings].[All]" allUniqueName="[DimPMTProject].[VerificationInteractiveThermSavings].[All]" dimensionUniqueName="[DimPMTProject]" displayFolder="" count="0" unbalanced="0"/>
    <cacheHierarchy uniqueName="[DimPMTProject].[VerificationkwhIncrease]" caption="VerificationkwhIncrease" attribute="1" defaultMemberUniqueName="[DimPMTProject].[VerificationkwhIncrease].[All]" allUniqueName="[DimPMTProject].[VerificationkwhIncrease].[All]" dimensionUniqueName="[DimPMTProject]" displayFolder="" count="0" unbalanced="0"/>
    <cacheHierarchy uniqueName="[DimPMTProject].[VerificationPhaseDate]" caption="VerificationPhaseDate" attribute="1" defaultMemberUniqueName="[DimPMTProject].[VerificationPhaseDate].[All]" allUniqueName="[DimPMTProject].[VerificationPhaseDate].[All]" dimensionUniqueName="[DimPMTProject]" displayFolder="" count="0" unbalanced="0"/>
    <cacheHierarchy uniqueName="[DimPMTProject].[VerificationThermIncrease]" caption="VerificationThermIncrease" attribute="1" defaultMemberUniqueName="[DimPMTProject].[VerificationThermIncrease].[All]" allUniqueName="[DimPMTProject].[VerificationThermIncrease].[All]" dimensionUniqueName="[DimPMTProject]" displayFolder="" count="0" unbalanced="0"/>
    <cacheHierarchy uniqueName="[DimPMTProject].[VerificationType]" caption="VerificationType" attribute="1" defaultMemberUniqueName="[DimPMTProject].[VerificationType].[All]" allUniqueName="[DimPMTProject].[VerificationType].[All]" dimensionUniqueName="[DimPMTProject]" displayFolder="" count="0" unbalanced="0"/>
    <cacheHierarchy uniqueName="[DimPMTProject].[VerNicorIncentive]" caption="VerNicorIncentive" attribute="1" defaultMemberUniqueName="[DimPMTProject].[VerNicorIncentive].[All]" allUniqueName="[DimPMTProject].[VerNicorIncentive].[All]" dimensionUniqueName="[DimPMTProject]" displayFolder="" count="0" unbalanced="0"/>
    <cacheHierarchy uniqueName="[DimPMTProject].[VerSiteVisitDate]" caption="VerSiteVisitDate" attribute="1" defaultMemberUniqueName="[DimPMTProject].[VerSiteVisitDate].[All]" allUniqueName="[DimPMTProject].[VerSiteVisitDate].[All]" dimensionUniqueName="[DimPMTProject]" displayFolder="" count="0" unbalanced="0"/>
    <cacheHierarchy uniqueName="[DimPMTProject].[Year Built]" caption="Year Built" attribute="1" defaultMemberUniqueName="[DimPMTProject].[Year Built].[All]" allUniqueName="[DimPMTProject].[Year Built].[All]" dimensionUniqueName="[DimPMTProject]" displayFolder="" count="0" unbalanced="0"/>
    <cacheHierarchy uniqueName="[DimPMTSystem].[Age]" caption="Age" attribute="1" defaultMemberUniqueName="[DimPMTSystem].[Age].[All]" allUniqueName="[DimPMTSystem].[Age].[All]" dimensionUniqueName="[DimPMTSystem]" displayFolder="" count="0" unbalanced="0"/>
    <cacheHierarchy uniqueName="[DimPMTSystem].[Cooling System Type]" caption="Cooling System Type" attribute="1" defaultMemberUniqueName="[DimPMTSystem].[Cooling System Type].[All]" allUniqueName="[DimPMTSystem].[Cooling System Type].[All]" dimensionUniqueName="[DimPMTSystem]" displayFolder="" count="0" unbalanced="0"/>
    <cacheHierarchy uniqueName="[DimPMTSystem].[DHW System Type]" caption="DHW System Type" attribute="1" defaultMemberUniqueName="[DimPMTSystem].[DHW System Type].[All]" allUniqueName="[DimPMTSystem].[DHW System Type].[All]" dimensionUniqueName="[DimPMTSystem]" displayFolder="" count="0" unbalanced="0"/>
    <cacheHierarchy uniqueName="[DimPMTSystem].[Equipment AFUE]" caption="Equipment AFUE" attribute="1" defaultMemberUniqueName="[DimPMTSystem].[Equipment AFUE].[All]" allUniqueName="[DimPMTSystem].[Equipment AFUE].[All]" dimensionUniqueName="[DimPMTSystem]" displayFolder="" count="0" unbalanced="0"/>
    <cacheHierarchy uniqueName="[DimPMTSystem].[Fuel Type]" caption="Fuel Type" attribute="1" defaultMemberUniqueName="[DimPMTSystem].[Fuel Type].[All]" allUniqueName="[DimPMTSystem].[Fuel Type].[All]" dimensionUniqueName="[DimPMTSystem]" displayFolder="" count="0" unbalanced="0"/>
    <cacheHierarchy uniqueName="[DimPMTSystem].[Heating System type]" caption="Heating System type" attribute="1" defaultMemberUniqueName="[DimPMTSystem].[Heating System type].[All]" allUniqueName="[DimPMTSystem].[Heating System type].[All]" dimensionUniqueName="[DimPMTSystem]" displayFolder="" count="0" unbalanced="0"/>
    <cacheHierarchy uniqueName="[DimPMTSystem].[Input kBTUh]" caption="Input kBTUh" attribute="1" defaultMemberUniqueName="[DimPMTSystem].[Input kBTUh].[All]" allUniqueName="[DimPMTSystem].[Input kBTUh].[All]" dimensionUniqueName="[DimPMTSystem]" displayFolder="" count="0" unbalanced="0"/>
    <cacheHierarchy uniqueName="[DimPMTSystem].[OutputCapactity KBTUh]" caption="OutputCapactity KBTUh" attribute="1" defaultMemberUniqueName="[DimPMTSystem].[OutputCapactity KBTUh].[All]" allUniqueName="[DimPMTSystem].[OutputCapactity KBTUh].[All]" dimensionUniqueName="[DimPMTSystem]" displayFolder="" count="0" unbalanced="0"/>
    <cacheHierarchy uniqueName="[DimPMTSystem].[Type]" caption="Type" attribute="1" defaultMemberUniqueName="[DimPMTSystem].[Type].[All]" allUniqueName="[DimPMTSystem].[Type].[All]" dimensionUniqueName="[DimPMTSystem]" displayFolder="" count="0" unbalanced="0"/>
    <cacheHierarchy uniqueName="[DimProjectTradeAlly].[TradeAllyKey]" caption="TradeAllyKey" attribute="1" defaultMemberUniqueName="[DimProjectTradeAlly].[TradeAllyKey].[All]" allUniqueName="[DimProjectTradeAlly].[TradeAllyKey].[All]" dimensionUniqueName="[DimProjectTradeAlly]" displayFolder="" count="0" unbalanced="0"/>
    <cacheHierarchy uniqueName="[DimRateSchedule].[RateSchedule Code]" caption="RateSchedule Code" attribute="1" defaultMemberUniqueName="[DimRateSchedule].[RateSchedule Code].[All]" allUniqueName="[DimRateSchedule].[RateSchedule Code].[All]" dimensionUniqueName="[DimRateSchedule]" displayFolder="" count="0" unbalanced="0"/>
    <cacheHierarchy uniqueName="[DimRateSchedule].[RateSchedule Description]" caption="RateSchedule Description" attribute="1" defaultMemberUniqueName="[DimRateSchedule].[RateSchedule Description].[All]" allUniqueName="[DimRateSchedule].[RateSchedule Description].[All]" dimensionUniqueName="[DimRateSchedule]" displayFolder="" count="0" unbalanced="0"/>
    <cacheHierarchy uniqueName="[DimRateSchedule].[RateSchedule GroupCode]" caption="RateSchedule GroupCode" attribute="1" defaultMemberUniqueName="[DimRateSchedule].[RateSchedule GroupCode].[All]" allUniqueName="[DimRateSchedule].[RateSchedule GroupCode].[All]" dimensionUniqueName="[DimRateSchedule]" displayFolder="" count="0" unbalanced="0"/>
    <cacheHierarchy uniqueName="[DimReadType].[ReadType Code]" caption="ReadType Code" attribute="1" defaultMemberUniqueName="[DimReadType].[ReadType Code].[All]" allUniqueName="[DimReadType].[ReadType Code].[All]" dimensionUniqueName="[DimReadType]" displayFolder="" count="0" unbalanced="0"/>
    <cacheHierarchy uniqueName="[DimReadType].[ReadType Description]" caption="ReadType Description" attribute="1" defaultMemberUniqueName="[DimReadType].[ReadType Description].[All]" allUniqueName="[DimReadType].[ReadType Description].[All]" dimensionUniqueName="[DimReadType]" displayFolder="" count="0" unbalanced="0"/>
    <cacheHierarchy uniqueName="[DimReferralSource].[Referral Source Code]" caption="Referral Source Code" attribute="1" defaultMemberUniqueName="[DimReferralSource].[Referral Source Code].[All]" allUniqueName="[DimReferralSource].[Referral Source Code].[All]" dimensionUniqueName="[DimReferralSource]" displayFolder="" count="0" unbalanced="0"/>
    <cacheHierarchy uniqueName="[DimResidentialAccountSegment].[AccountID]" caption="AccountID" attribute="1" defaultMemberUniqueName="[DimResidentialAccountSegment].[AccountID].[All]" allUniqueName="[DimResidentialAccountSegment].[AccountID].[All]" dimensionUniqueName="[DimResidentialAccountSegment]" displayFolder="" count="0" unbalanced="0"/>
    <cacheHierarchy uniqueName="[DimResidentialAccountSegment].[ADLTCNT]" caption="ADLTCNT" attribute="1" defaultMemberUniqueName="[DimResidentialAccountSegment].[ADLTCNT].[All]" allUniqueName="[DimResidentialAccountSegment].[ADLTCNT].[All]" dimensionUniqueName="[DimResidentialAccountSegment]" displayFolder="" count="0" unbalanced="0"/>
    <cacheHierarchy uniqueName="[DimResidentialAccountSegment].[Age]" caption="Age" attribute="1" defaultMemberUniqueName="[DimResidentialAccountSegment].[Age].[All]" allUniqueName="[DimResidentialAccountSegment].[Age].[All]" dimensionUniqueName="[DimResidentialAccountSegment]" displayFolder="" count="0" unbalanced="0"/>
    <cacheHierarchy uniqueName="[DimResidentialAccountSegment].[ArtBundle]" caption="ArtBundle" attribute="1" defaultMemberUniqueName="[DimResidentialAccountSegment].[ArtBundle].[All]" allUniqueName="[DimResidentialAccountSegment].[ArtBundle].[All]" dimensionUniqueName="[DimResidentialAccountSegment]" displayFolder="" count="0" unbalanced="0"/>
    <cacheHierarchy uniqueName="[DimResidentialAccountSegment].[AutomotiveDIY]" caption="AutomotiveDIY" attribute="1" defaultMemberUniqueName="[DimResidentialAccountSegment].[AutomotiveDIY].[All]" allUniqueName="[DimResidentialAccountSegment].[AutomotiveDIY].[All]" dimensionUniqueName="[DimResidentialAccountSegment]" displayFolder="" count="0" unbalanced="0"/>
    <cacheHierarchy uniqueName="[DimResidentialAccountSegment].[AvidInterestinBoating]" caption="AvidInterestinBoating" attribute="1" defaultMemberUniqueName="[DimResidentialAccountSegment].[AvidInterestinBoating].[All]" allUniqueName="[DimResidentialAccountSegment].[AvidInterestinBoating].[All]" dimensionUniqueName="[DimResidentialAccountSegment]" displayFolder="" count="0" unbalanced="0"/>
    <cacheHierarchy uniqueName="[DimResidentialAccountSegment].[AvidInterestinMotorcycling]" caption="AvidInterestinMotorcycling" attribute="1" defaultMemberUniqueName="[DimResidentialAccountSegment].[AvidInterestinMotorcycling].[All]" allUniqueName="[DimResidentialAccountSegment].[AvidInterestinMotorcycling].[All]" dimensionUniqueName="[DimResidentialAccountSegment]" displayFolder="" count="0" unbalanced="0"/>
    <cacheHierarchy uniqueName="[DimResidentialAccountSegment].[AvidInvestors]" caption="AvidInvestors" attribute="1" defaultMemberUniqueName="[DimResidentialAccountSegment].[AvidInvestors].[All]" allUniqueName="[DimResidentialAccountSegment].[AvidInvestors].[All]" dimensionUniqueName="[DimResidentialAccountSegment]" displayFolder="" count="0" unbalanced="0"/>
    <cacheHierarchy uniqueName="[DimResidentialAccountSegment].[BookBuyers]" caption="BookBuyers" attribute="1" defaultMemberUniqueName="[DimResidentialAccountSegment].[BookBuyers].[All]" allUniqueName="[DimResidentialAccountSegment].[BookBuyers].[All]" dimensionUniqueName="[DimResidentialAccountSegment]" displayFolder="" count="0" unbalanced="0"/>
    <cacheHierarchy uniqueName="[DimResidentialAccountSegment].[BookReaders]" caption="BookReaders" attribute="1" defaultMemberUniqueName="[DimResidentialAccountSegment].[BookReaders].[All]" allUniqueName="[DimResidentialAccountSegment].[BookReaders].[All]" dimensionUniqueName="[DimResidentialAccountSegment]" displayFolder="" count="0" unbalanced="0"/>
    <cacheHierarchy uniqueName="[DimResidentialAccountSegment].[CHLDCNT]" caption="CHLDCNT" attribute="1" defaultMemberUniqueName="[DimResidentialAccountSegment].[CHLDCNT].[All]" allUniqueName="[DimResidentialAccountSegment].[CHLDCNT].[All]" dimensionUniqueName="[DimResidentialAccountSegment]" displayFolder="" count="0" unbalanced="0"/>
    <cacheHierarchy uniqueName="[DimResidentialAccountSegment].[CollectiblesBundle]" caption="CollectiblesBundle" attribute="1" defaultMemberUniqueName="[DimResidentialAccountSegment].[CollectiblesBundle].[All]" allUniqueName="[DimResidentialAccountSegment].[CollectiblesBundle].[All]" dimensionUniqueName="[DimResidentialAccountSegment]" displayFolder="" count="0" unbalanced="0"/>
    <cacheHierarchy uniqueName="[DimResidentialAccountSegment].[ConsumerSegment]" caption="ConsumerSegment" attribute="1" defaultMemberUniqueName="[DimResidentialAccountSegment].[ConsumerSegment].[All]" allUniqueName="[DimResidentialAccountSegment].[ConsumerSegment].[All]" dimensionUniqueName="[DimResidentialAccountSegment]" displayFolder="" count="0" unbalanced="0"/>
    <cacheHierarchy uniqueName="[DimResidentialAccountSegment].[CookingandWine]" caption="CookingandWine" attribute="1" defaultMemberUniqueName="[DimResidentialAccountSegment].[CookingandWine].[All]" allUniqueName="[DimResidentialAccountSegment].[CookingandWine].[All]" dimensionUniqueName="[DimResidentialAccountSegment]" displayFolder="" count="0" unbalanced="0"/>
    <cacheHierarchy uniqueName="[DimResidentialAccountSegment].[CreditCardUser]" caption="CreditCardUser" attribute="1" defaultMemberUniqueName="[DimResidentialAccountSegment].[CreditCardUser].[All]" allUniqueName="[DimResidentialAccountSegment].[CreditCardUser].[All]" dimensionUniqueName="[DimResidentialAccountSegment]" displayFolder="" count="0" unbalanced="0"/>
    <cacheHierarchy uniqueName="[DimResidentialAccountSegment].[DonatortoCharityorCauses]" caption="DonatortoCharityorCauses" attribute="1" defaultMemberUniqueName="[DimResidentialAccountSegment].[DonatortoCharityorCauses].[All]" allUniqueName="[DimResidentialAccountSegment].[DonatortoCharityorCauses].[All]" dimensionUniqueName="[DimResidentialAccountSegment]" displayFolder="" count="0" unbalanced="0"/>
    <cacheHierarchy uniqueName="[DimResidentialAccountSegment].[DwellingType]" caption="DwellingType" attribute="1" defaultMemberUniqueName="[DimResidentialAccountSegment].[DwellingType].[All]" allUniqueName="[DimResidentialAccountSegment].[DwellingType].[All]" dimensionUniqueName="[DimResidentialAccountSegment]" displayFolder="" count="0" unbalanced="0"/>
    <cacheHierarchy uniqueName="[DimResidentialAccountSegment].[Education]" caption="Education" attribute="1" defaultMemberUniqueName="[DimResidentialAccountSegment].[Education].[All]" allUniqueName="[DimResidentialAccountSegment].[Education].[All]" dimensionUniqueName="[DimResidentialAccountSegment]" displayFolder="" count="0" unbalanced="0"/>
    <cacheHierarchy uniqueName="[DimResidentialAccountSegment].[Email]" caption="Email" attribute="1" defaultMemberUniqueName="[DimResidentialAccountSegment].[Email].[All]" allUniqueName="[DimResidentialAccountSegment].[Email].[All]" dimensionUniqueName="[DimResidentialAccountSegment]" displayFolder="" count="0" unbalanced="0"/>
    <cacheHierarchy uniqueName="[DimResidentialAccountSegment].[EMFlag]" caption="EMFlag" attribute="1" defaultMemberUniqueName="[DimResidentialAccountSegment].[EMFlag].[All]" allUniqueName="[DimResidentialAccountSegment].[EMFlag].[All]" dimensionUniqueName="[DimResidentialAccountSegment]" displayFolder="" count="0" unbalanced="0"/>
    <cacheHierarchy uniqueName="[DimResidentialAccountSegment].[EnergyScore]" caption="EnergyScore" attribute="1" defaultMemberUniqueName="[DimResidentialAccountSegment].[EnergyScore].[All]" allUniqueName="[DimResidentialAccountSegment].[EnergyScore].[All]" dimensionUniqueName="[DimResidentialAccountSegment]" displayFolder="" count="0" unbalanced="0"/>
    <cacheHierarchy uniqueName="[DimResidentialAccountSegment].[Ethnicity]" caption="Ethnicity" attribute="1" defaultMemberUniqueName="[DimResidentialAccountSegment].[Ethnicity].[All]" allUniqueName="[DimResidentialAccountSegment].[Ethnicity].[All]" dimensionUniqueName="[DimResidentialAccountSegment]" displayFolder="" count="0" unbalanced="0"/>
    <cacheHierarchy uniqueName="[DimResidentialAccountSegment].[FAMCNT]" caption="FAMCNT" attribute="1" defaultMemberUniqueName="[DimResidentialAccountSegment].[FAMCNT].[All]" allUniqueName="[DimResidentialAccountSegment].[FAMCNT].[All]" dimensionUniqueName="[DimResidentialAccountSegment]" displayFolder="" count="0" unbalanced="0"/>
    <cacheHierarchy uniqueName="[DimResidentialAccountSegment].[FireplaceinHome]" caption="FireplaceinHome" attribute="1" defaultMemberUniqueName="[DimResidentialAccountSegment].[FireplaceinHome].[All]" allUniqueName="[DimResidentialAccountSegment].[FireplaceinHome].[All]" dimensionUniqueName="[DimResidentialAccountSegment]" displayFolder="" count="0" unbalanced="0"/>
    <cacheHierarchy uniqueName="[DimResidentialAccountSegment].[GamingandGambling]" caption="GamingandGambling" attribute="1" defaultMemberUniqueName="[DimResidentialAccountSegment].[GamingandGambling].[All]" allUniqueName="[DimResidentialAccountSegment].[GamingandGambling].[All]" dimensionUniqueName="[DimResidentialAccountSegment]" displayFolder="" count="0" unbalanced="0"/>
    <cacheHierarchy uniqueName="[DimResidentialAccountSegment].[Gender]" caption="Gender" attribute="1" defaultMemberUniqueName="[DimResidentialAccountSegment].[Gender].[All]" allUniqueName="[DimResidentialAccountSegment].[Gender].[All]" dimensionUniqueName="[DimResidentialAccountSegment]" displayFolder="" count="0" unbalanced="0"/>
    <cacheHierarchy uniqueName="[DimResidentialAccountSegment].[HiTech]" caption="HiTech" attribute="1" defaultMemberUniqueName="[DimResidentialAccountSegment].[HiTech].[All]" allUniqueName="[DimResidentialAccountSegment].[HiTech].[All]" dimensionUniqueName="[DimResidentialAccountSegment]" displayFolder="" count="0" unbalanced="0"/>
    <cacheHierarchy uniqueName="[DimResidentialAccountSegment].[HobbiesHomeandGardenBundle]" caption="HobbiesHomeandGardenBundle" attribute="1" defaultMemberUniqueName="[DimResidentialAccountSegment].[HobbiesHomeandGardenBundle].[All]" allUniqueName="[DimResidentialAccountSegment].[HobbiesHomeandGardenBundle].[All]" dimensionUniqueName="[DimResidentialAccountSegment]" displayFolder="" count="0" unbalanced="0"/>
    <cacheHierarchy uniqueName="[DimResidentialAccountSegment].[HomeImprovement]" caption="HomeImprovement" attribute="1" defaultMemberUniqueName="[DimResidentialAccountSegment].[HomeImprovement].[All]" allUniqueName="[DimResidentialAccountSegment].[HomeImprovement].[All]" dimensionUniqueName="[DimResidentialAccountSegment]" displayFolder="" count="0" unbalanced="0"/>
    <cacheHierarchy uniqueName="[DimResidentialAccountSegment].[HomeMarketValue]" caption="HomeMarketValue" attribute="1" defaultMemberUniqueName="[DimResidentialAccountSegment].[HomeMarketValue].[All]" allUniqueName="[DimResidentialAccountSegment].[HomeMarketValue].[All]" dimensionUniqueName="[DimResidentialAccountSegment]" displayFolder="" count="0" unbalanced="0"/>
    <cacheHierarchy uniqueName="[DimResidentialAccountSegment].[Homeowner]" caption="Homeowner" attribute="1" defaultMemberUniqueName="[DimResidentialAccountSegment].[Homeowner].[All]" allUniqueName="[DimResidentialAccountSegment].[Homeowner].[All]" dimensionUniqueName="[DimResidentialAccountSegment]" displayFolder="" count="0" unbalanced="0"/>
    <cacheHierarchy uniqueName="[DimResidentialAccountSegment].[LengthofRes]" caption="LengthofRes" attribute="1" defaultMemberUniqueName="[DimResidentialAccountSegment].[LengthofRes].[All]" allUniqueName="[DimResidentialAccountSegment].[LengthofRes].[All]" dimensionUniqueName="[DimResidentialAccountSegment]" displayFolder="" count="0" unbalanced="0"/>
    <cacheHierarchy uniqueName="[DimResidentialAccountSegment].[LuxuryVehicleOwner]" caption="LuxuryVehicleOwner" attribute="1" defaultMemberUniqueName="[DimResidentialAccountSegment].[LuxuryVehicleOwner].[All]" allUniqueName="[DimResidentialAccountSegment].[LuxuryVehicleOwner].[All]" dimensionUniqueName="[DimResidentialAccountSegment]" displayFolder="" count="0" unbalanced="0"/>
    <cacheHierarchy uniqueName="[DimResidentialAccountSegment].[MaritalStatus]" caption="MaritalStatus" attribute="1" defaultMemberUniqueName="[DimResidentialAccountSegment].[MaritalStatus].[All]" allUniqueName="[DimResidentialAccountSegment].[MaritalStatus].[All]" dimensionUniqueName="[DimResidentialAccountSegment]" displayFolder="" count="0" unbalanced="0"/>
    <cacheHierarchy uniqueName="[DimResidentialAccountSegment].[MensApparelPurchasingIndicator]" caption="MensApparelPurchasingIndicator" attribute="1" defaultMemberUniqueName="[DimResidentialAccountSegment].[MensApparelPurchasingIndicator].[All]" allUniqueName="[DimResidentialAccountSegment].[MensApparelPurchasingIndicator].[All]" dimensionUniqueName="[DimResidentialAccountSegment]" displayFolder="" count="0" unbalanced="0"/>
    <cacheHierarchy uniqueName="[DimResidentialAccountSegment].[MobileHomeIndicator]" caption="MobileHomeIndicator" attribute="1" defaultMemberUniqueName="[DimResidentialAccountSegment].[MobileHomeIndicator].[All]" allUniqueName="[DimResidentialAccountSegment].[MobileHomeIndicator].[All]" dimensionUniqueName="[DimResidentialAccountSegment]" displayFolder="" count="0" unbalanced="0"/>
    <cacheHierarchy uniqueName="[DimResidentialAccountSegment].[Outdoors]" caption="Outdoors" attribute="1" defaultMemberUniqueName="[DimResidentialAccountSegment].[Outdoors].[All]" allUniqueName="[DimResidentialAccountSegment].[Outdoors].[All]" dimensionUniqueName="[DimResidentialAccountSegment]" displayFolder="" count="0" unbalanced="0"/>
    <cacheHierarchy uniqueName="[DimResidentialAccountSegment].[ParentingandChldrensInterestBundle]" caption="ParentingandChldrensInterestBundle" attribute="1" defaultMemberUniqueName="[DimResidentialAccountSegment].[ParentingandChldrensInterestBundle].[All]" allUniqueName="[DimResidentialAccountSegment].[ParentingandChldrensInterestBundle].[All]" dimensionUniqueName="[DimResidentialAccountSegment]" displayFolder="" count="0" unbalanced="0"/>
    <cacheHierarchy uniqueName="[DimResidentialAccountSegment].[PetLoversorOwners]" caption="PetLoversorOwners" attribute="1" defaultMemberUniqueName="[DimResidentialAccountSegment].[PetLoversorOwners].[All]" allUniqueName="[DimResidentialAccountSegment].[PetLoversorOwners].[All]" dimensionUniqueName="[DimResidentialAccountSegment]" displayFolder="" count="0" unbalanced="0"/>
    <cacheHierarchy uniqueName="[DimResidentialAccountSegment].[PhysicalFitness]" caption="PhysicalFitness" attribute="1" defaultMemberUniqueName="[DimResidentialAccountSegment].[PhysicalFitness].[All]" allUniqueName="[DimResidentialAccountSegment].[PhysicalFitness].[All]" dimensionUniqueName="[DimResidentialAccountSegment]" displayFolder="" count="0" unbalanced="0"/>
    <cacheHierarchy uniqueName="[DimResidentialAccountSegment].[PickupTruckOwner]" caption="PickupTruckOwner" attribute="1" defaultMemberUniqueName="[DimResidentialAccountSegment].[PickupTruckOwner].[All]" allUniqueName="[DimResidentialAccountSegment].[PickupTruckOwner].[All]" dimensionUniqueName="[DimResidentialAccountSegment]" displayFolder="" count="0" unbalanced="0"/>
    <cacheHierarchy uniqueName="[DimResidentialAccountSegment].[PoolOwner]" caption="PoolOwner" attribute="1" defaultMemberUniqueName="[DimResidentialAccountSegment].[PoolOwner].[All]" allUniqueName="[DimResidentialAccountSegment].[PoolOwner].[All]" dimensionUniqueName="[DimResidentialAccountSegment]" displayFolder="" count="0" unbalanced="0"/>
    <cacheHierarchy uniqueName="[DimResidentialAccountSegment].[PovertyThreshold]" caption="PovertyThreshold" attribute="1" defaultMemberUniqueName="[DimResidentialAccountSegment].[PovertyThreshold].[All]" allUniqueName="[DimResidentialAccountSegment].[PovertyThreshold].[All]" dimensionUniqueName="[DimResidentialAccountSegment]" displayFolder="" count="0" unbalanced="0"/>
    <cacheHierarchy uniqueName="[DimResidentialAccountSegment].[PriceClubandvaluePurchasingIndicator]" caption="PriceClubandvaluePurchasingIndicator" attribute="1" defaultMemberUniqueName="[DimResidentialAccountSegment].[PriceClubandvaluePurchasingIndicator].[All]" allUniqueName="[DimResidentialAccountSegment].[PriceClubandvaluePurchasingIndicator].[All]" dimensionUniqueName="[DimResidentialAccountSegment]" displayFolder="" count="0" unbalanced="0"/>
    <cacheHierarchy uniqueName="[DimResidentialAccountSegment].[PurchasingPowerScore]" caption="PurchasingPowerScore" attribute="1" defaultMemberUniqueName="[DimResidentialAccountSegment].[PurchasingPowerScore].[All]" allUniqueName="[DimResidentialAccountSegment].[PurchasingPowerScore].[All]" dimensionUniqueName="[DimResidentialAccountSegment]" displayFolder="" count="0" unbalanced="0"/>
    <cacheHierarchy uniqueName="[DimResidentialAccountSegment].[SelfImprovement]" caption="SelfImprovement" attribute="1" defaultMemberUniqueName="[DimResidentialAccountSegment].[SelfImprovement].[All]" allUniqueName="[DimResidentialAccountSegment].[SelfImprovement].[All]" dimensionUniqueName="[DimResidentialAccountSegment]" displayFolder="" count="0" unbalanced="0"/>
    <cacheHierarchy uniqueName="[DimResidentialAccountSegment].[SeniorinHouseHold]" caption="SeniorinHouseHold" attribute="1" defaultMemberUniqueName="[DimResidentialAccountSegment].[SeniorinHouseHold].[All]" allUniqueName="[DimResidentialAccountSegment].[SeniorinHouseHold].[All]" dimensionUniqueName="[DimResidentialAccountSegment]" displayFolder="" count="0" unbalanced="0"/>
    <cacheHierarchy uniqueName="[DimResidentialAccountSegment].[SingleParent]" caption="SingleParent" attribute="1" defaultMemberUniqueName="[DimResidentialAccountSegment].[SingleParent].[All]" allUniqueName="[DimResidentialAccountSegment].[SingleParent].[All]" dimensionUniqueName="[DimResidentialAccountSegment]" displayFolder="" count="0" unbalanced="0"/>
    <cacheHierarchy uniqueName="[DimResidentialAccountSegment].[SpectatorSportsInterest]" caption="SpectatorSportsInterest" attribute="1" defaultMemberUniqueName="[DimResidentialAccountSegment].[SpectatorSportsInterest].[All]" allUniqueName="[DimResidentialAccountSegment].[SpectatorSportsInterest].[All]" dimensionUniqueName="[DimResidentialAccountSegment]" displayFolder="" count="0" unbalanced="0"/>
    <cacheHierarchy uniqueName="[DimResidentialAccountSegment].[SUVOwner]" caption="SUVOwner" attribute="1" defaultMemberUniqueName="[DimResidentialAccountSegment].[SUVOwner].[All]" allUniqueName="[DimResidentialAccountSegment].[SUVOwner].[All]" dimensionUniqueName="[DimResidentialAccountSegment]" displayFolder="" count="0" unbalanced="0"/>
    <cacheHierarchy uniqueName="[DimResidentialAccountSegment].[TravelEnthusiasts]" caption="TravelEnthusiasts" attribute="1" defaultMemberUniqueName="[DimResidentialAccountSegment].[TravelEnthusiasts].[All]" allUniqueName="[DimResidentialAccountSegment].[TravelEnthusiasts].[All]" dimensionUniqueName="[DimResidentialAccountSegment]" displayFolder="" count="0" unbalanced="0"/>
    <cacheHierarchy uniqueName="[DimResidentialAccountSegment].[WomensApparelPurchasingIndicator]" caption="WomensApparelPurchasingIndicator" attribute="1" defaultMemberUniqueName="[DimResidentialAccountSegment].[WomensApparelPurchasingIndicator].[All]" allUniqueName="[DimResidentialAccountSegment].[WomensApparelPurchasingIndicator].[All]" dimensionUniqueName="[DimResidentialAccountSegment]" displayFolder="" count="0" unbalanced="0"/>
    <cacheHierarchy uniqueName="[DimResidentialPremiseSegment].[AbsenteeOwnerIndicator]" caption="AbsenteeOwnerIndicator" attribute="1" defaultMemberUniqueName="[DimResidentialPremiseSegment].[AbsenteeOwnerIndicator].[All]" allUniqueName="[DimResidentialPremiseSegment].[AbsenteeOwnerIndicator].[All]" dimensionUniqueName="[DimResidentialPremiseSegment]" displayFolder="" count="0" unbalanced="0"/>
    <cacheHierarchy uniqueName="[DimResidentialPremiseSegment].[AirConditioningType]" caption="AirConditioningType" attribute="1" defaultMemberUniqueName="[DimResidentialPremiseSegment].[AirConditioningType].[All]" allUniqueName="[DimResidentialPremiseSegment].[AirConditioningType].[All]" dimensionUniqueName="[DimResidentialPremiseSegment]" displayFolder="" count="0" unbalanced="0"/>
    <cacheHierarchy uniqueName="[DimResidentialPremiseSegment].[BasementSquareFootage]" caption="BasementSquareFootage" attribute="1" defaultMemberUniqueName="[DimResidentialPremiseSegment].[BasementSquareFootage].[All]" allUniqueName="[DimResidentialPremiseSegment].[BasementSquareFootage].[All]" dimensionUniqueName="[DimResidentialPremiseSegment]" displayFolder="" count="0" unbalanced="0"/>
    <cacheHierarchy uniqueName="[DimResidentialPremiseSegment].[BasementType]" caption="BasementType" attribute="1" defaultMemberUniqueName="[DimResidentialPremiseSegment].[BasementType].[All]" allUniqueName="[DimResidentialPremiseSegment].[BasementType].[All]" dimensionUniqueName="[DimResidentialPremiseSegment]" displayFolder="" count="0" unbalanced="0"/>
    <cacheHierarchy uniqueName="[DimResidentialPremiseSegment].[BuildingSquareFootage]" caption="BuildingSquareFootage" attribute="1" defaultMemberUniqueName="[DimResidentialPremiseSegment].[BuildingSquareFootage].[All]" allUniqueName="[DimResidentialPremiseSegment].[BuildingSquareFootage].[All]" dimensionUniqueName="[DimResidentialPremiseSegment]" displayFolder="" count="0" unbalanced="0"/>
    <cacheHierarchy uniqueName="[DimResidentialPremiseSegment].[BuildingType]" caption="BuildingType" attribute="1" defaultMemberUniqueName="[DimResidentialPremiseSegment].[BuildingType].[All]" allUniqueName="[DimResidentialPremiseSegment].[BuildingType].[All]" dimensionUniqueName="[DimResidentialPremiseSegment]" displayFolder="" count="0" unbalanced="0"/>
    <cacheHierarchy uniqueName="[DimResidentialPremiseSegment].[BusinessOwnerIndicator]" caption="BusinessOwnerIndicator" attribute="1" defaultMemberUniqueName="[DimResidentialPremiseSegment].[BusinessOwnerIndicator].[All]" allUniqueName="[DimResidentialPremiseSegment].[BusinessOwnerIndicator].[All]" dimensionUniqueName="[DimResidentialPremiseSegment]" displayFolder="" count="0" unbalanced="0"/>
    <cacheHierarchy uniqueName="[DimResidentialPremiseSegment].[ConstructionQuality]" caption="ConstructionQuality" attribute="1" defaultMemberUniqueName="[DimResidentialPremiseSegment].[ConstructionQuality].[All]" allUniqueName="[DimResidentialPremiseSegment].[ConstructionQuality].[All]" dimensionUniqueName="[DimResidentialPremiseSegment]" displayFolder="" count="0" unbalanced="0"/>
    <cacheHierarchy uniqueName="[DimResidentialPremiseSegment].[ConstructionType]" caption="ConstructionType" attribute="1" defaultMemberUniqueName="[DimResidentialPremiseSegment].[ConstructionType].[All]" allUniqueName="[DimResidentialPremiseSegment].[ConstructionType].[All]" dimensionUniqueName="[DimResidentialPremiseSegment]" displayFolder="" count="0" unbalanced="0"/>
    <cacheHierarchy uniqueName="[DimResidentialPremiseSegment].[ExteriorWallsType]" caption="ExteriorWallsType" attribute="1" defaultMemberUniqueName="[DimResidentialPremiseSegment].[ExteriorWallsType].[All]" allUniqueName="[DimResidentialPremiseSegment].[ExteriorWallsType].[All]" dimensionUniqueName="[DimResidentialPremiseSegment]" displayFolder="" count="0" unbalanced="0"/>
    <cacheHierarchy uniqueName="[DimResidentialPremiseSegment].[FloorConstructionType]" caption="FloorConstructionType" attribute="1" defaultMemberUniqueName="[DimResidentialPremiseSegment].[FloorConstructionType].[All]" allUniqueName="[DimResidentialPremiseSegment].[FloorConstructionType].[All]" dimensionUniqueName="[DimResidentialPremiseSegment]" displayFolder="" count="0" unbalanced="0"/>
    <cacheHierarchy uniqueName="[DimResidentialPremiseSegment].[HeatingFuelType]" caption="HeatingFuelType" attribute="1" defaultMemberUniqueName="[DimResidentialPremiseSegment].[HeatingFuelType].[All]" allUniqueName="[DimResidentialPremiseSegment].[HeatingFuelType].[All]" dimensionUniqueName="[DimResidentialPremiseSegment]" displayFolder="" count="0" unbalanced="0"/>
    <cacheHierarchy uniqueName="[DimResidentialPremiseSegment].[ImprovementValue]" caption="ImprovementValue" attribute="1" defaultMemberUniqueName="[DimResidentialPremiseSegment].[ImprovementValue].[All]" allUniqueName="[DimResidentialPremiseSegment].[ImprovementValue].[All]" dimensionUniqueName="[DimResidentialPremiseSegment]" displayFolder="" count="0" unbalanced="0"/>
    <cacheHierarchy uniqueName="[DimResidentialPremiseSegment].[ImprovementValueIIndicator]" caption="ImprovementValueIIndicator" attribute="1" defaultMemberUniqueName="[DimResidentialPremiseSegment].[ImprovementValueIIndicator].[All]" allUniqueName="[DimResidentialPremiseSegment].[ImprovementValueIIndicator].[All]" dimensionUniqueName="[DimResidentialPremiseSegment]" displayFolder="" count="0" unbalanced="0"/>
    <cacheHierarchy uniqueName="[DimResidentialPremiseSegment].[LandplusImprovementValue]" caption="LandplusImprovementValue" attribute="1" defaultMemberUniqueName="[DimResidentialPremiseSegment].[LandplusImprovementValue].[All]" allUniqueName="[DimResidentialPremiseSegment].[LandplusImprovementValue].[All]" dimensionUniqueName="[DimResidentialPremiseSegment]" displayFolder="" count="0" unbalanced="0"/>
    <cacheHierarchy uniqueName="[DimResidentialPremiseSegment].[Latitude]" caption="Latitude" attribute="1" defaultMemberUniqueName="[DimResidentialPremiseSegment].[Latitude].[All]" allUniqueName="[DimResidentialPremiseSegment].[Latitude].[All]" dimensionUniqueName="[DimResidentialPremiseSegment]" displayFolder="" count="0" unbalanced="0"/>
    <cacheHierarchy uniqueName="[DimResidentialPremiseSegment].[LivingSquarefeet]" caption="LivingSquarefeet" attribute="1" defaultMemberUniqueName="[DimResidentialPremiseSegment].[LivingSquarefeet].[All]" allUniqueName="[DimResidentialPremiseSegment].[LivingSquarefeet].[All]" dimensionUniqueName="[DimResidentialPremiseSegment]" displayFolder="" count="0" unbalanced="0"/>
    <cacheHierarchy uniqueName="[DimResidentialPremiseSegment].[Longitude]" caption="Longitude" attribute="1" defaultMemberUniqueName="[DimResidentialPremiseSegment].[Longitude].[All]" allUniqueName="[DimResidentialPremiseSegment].[Longitude].[All]" dimensionUniqueName="[DimResidentialPremiseSegment]" displayFolder="" count="0" unbalanced="0"/>
    <cacheHierarchy uniqueName="[DimResidentialPremiseSegment].[MethodofHeating]" caption="MethodofHeating" attribute="1" defaultMemberUniqueName="[DimResidentialPremiseSegment].[MethodofHeating].[All]" allUniqueName="[DimResidentialPremiseSegment].[MethodofHeating].[All]" dimensionUniqueName="[DimResidentialPremiseSegment]" displayFolder="" count="0" unbalanced="0"/>
    <cacheHierarchy uniqueName="[DimResidentialPremiseSegment].[MobileHome]" caption="MobileHome" attribute="1" defaultMemberUniqueName="[DimResidentialPremiseSegment].[MobileHome].[All]" allUniqueName="[DimResidentialPremiseSegment].[MobileHome].[All]" dimensionUniqueName="[DimResidentialPremiseSegment]" displayFolder="" count="0" unbalanced="0"/>
    <cacheHierarchy uniqueName="[DimResidentialPremiseSegment].[NumberofBathrooms]" caption="NumberofBathrooms" attribute="1" defaultMemberUniqueName="[DimResidentialPremiseSegment].[NumberofBathrooms].[All]" allUniqueName="[DimResidentialPremiseSegment].[NumberofBathrooms].[All]" dimensionUniqueName="[DimResidentialPremiseSegment]" displayFolder="" count="0" unbalanced="0"/>
    <cacheHierarchy uniqueName="[DimResidentialPremiseSegment].[NumberofBathrooms2]" caption="NumberofBathrooms2" attribute="1" defaultMemberUniqueName="[DimResidentialPremiseSegment].[NumberofBathrooms2].[All]" allUniqueName="[DimResidentialPremiseSegment].[NumberofBathrooms2].[All]" dimensionUniqueName="[DimResidentialPremiseSegment]" displayFolder="" count="0" unbalanced="0"/>
    <cacheHierarchy uniqueName="[DimResidentialPremiseSegment].[NumberofBedrooms]" caption="NumberofBedrooms" attribute="1" defaultMemberUniqueName="[DimResidentialPremiseSegment].[NumberofBedrooms].[All]" allUniqueName="[DimResidentialPremiseSegment].[NumberofBedrooms].[All]" dimensionUniqueName="[DimResidentialPremiseSegment]" displayFolder="" count="0" unbalanced="0"/>
    <cacheHierarchy uniqueName="[DimResidentialPremiseSegment].[NumberofBuildings]" caption="NumberofBuildings" attribute="1" defaultMemberUniqueName="[DimResidentialPremiseSegment].[NumberofBuildings].[All]" allUniqueName="[DimResidentialPremiseSegment].[NumberofBuildings].[All]" dimensionUniqueName="[DimResidentialPremiseSegment]" displayFolder="" count="0" unbalanced="0"/>
    <cacheHierarchy uniqueName="[DimResidentialPremiseSegment].[NumberofFireplaceOpenings]" caption="NumberofFireplaceOpenings" attribute="1" defaultMemberUniqueName="[DimResidentialPremiseSegment].[NumberofFireplaceOpenings].[All]" allUniqueName="[DimResidentialPremiseSegment].[NumberofFireplaceOpenings].[All]" dimensionUniqueName="[DimResidentialPremiseSegment]" displayFolder="" count="0" unbalanced="0"/>
    <cacheHierarchy uniqueName="[DimResidentialPremiseSegment].[NumberofRooms]" caption="NumberofRooms" attribute="1" defaultMemberUniqueName="[DimResidentialPremiseSegment].[NumberofRooms].[All]" allUniqueName="[DimResidentialPremiseSegment].[NumberofRooms].[All]" dimensionUniqueName="[DimResidentialPremiseSegment]" displayFolder="" count="0" unbalanced="0"/>
    <cacheHierarchy uniqueName="[DimResidentialPremiseSegment].[NumberofStories]" caption="NumberofStories" attribute="1" defaultMemberUniqueName="[DimResidentialPremiseSegment].[NumberofStories].[All]" allUniqueName="[DimResidentialPremiseSegment].[NumberofStories].[All]" dimensionUniqueName="[DimResidentialPremiseSegment]" displayFolder="" count="0" unbalanced="0"/>
    <cacheHierarchy uniqueName="[DimResidentialPremiseSegment].[NumberofStoriesinBuilding]" caption="NumberofStoriesinBuilding" attribute="1" defaultMemberUniqueName="[DimResidentialPremiseSegment].[NumberofStoriesinBuilding].[All]" allUniqueName="[DimResidentialPremiseSegment].[NumberofStoriesinBuilding].[All]" dimensionUniqueName="[DimResidentialPremiseSegment]" displayFolder="" count="0" unbalanced="0"/>
    <cacheHierarchy uniqueName="[DimResidentialPremiseSegment].[PoolType]" caption="PoolType" attribute="1" defaultMemberUniqueName="[DimResidentialPremiseSegment].[PoolType].[All]" allUniqueName="[DimResidentialPremiseSegment].[PoolType].[All]" dimensionUniqueName="[DimResidentialPremiseSegment]" displayFolder="" count="0" unbalanced="0"/>
    <cacheHierarchy uniqueName="[DimResidentialPremiseSegment].[PremiseID]" caption="PremiseID" attribute="1" defaultMemberUniqueName="[DimResidentialPremiseSegment].[PremiseID].[All]" allUniqueName="[DimResidentialPremiseSegment].[PremiseID].[All]" dimensionUniqueName="[DimResidentialPremiseSegment]" displayFolder="" count="0" unbalanced="0"/>
    <cacheHierarchy uniqueName="[DimResidentialPremiseSegment].[PresenceofFireplace]" caption="PresenceofFireplace" attribute="1" defaultMemberUniqueName="[DimResidentialPremiseSegment].[PresenceofFireplace].[All]" allUniqueName="[DimResidentialPremiseSegment].[PresenceofFireplace].[All]" dimensionUniqueName="[DimResidentialPremiseSegment]" displayFolder="" count="0" unbalanced="0"/>
    <cacheHierarchy uniqueName="[DimResidentialPremiseSegment].[PresenceofPool]" caption="PresenceofPool" attribute="1" defaultMemberUniqueName="[DimResidentialPremiseSegment].[PresenceofPool].[All]" allUniqueName="[DimResidentialPremiseSegment].[PresenceofPool].[All]" dimensionUniqueName="[DimResidentialPremiseSegment]" displayFolder="" count="0" unbalanced="0"/>
    <cacheHierarchy uniqueName="[DimResidentialPremiseSegment].[PrimaryImprovementType]" caption="PrimaryImprovementType" attribute="1" defaultMemberUniqueName="[DimResidentialPremiseSegment].[PrimaryImprovementType].[All]" allUniqueName="[DimResidentialPremiseSegment].[PrimaryImprovementType].[All]" dimensionUniqueName="[DimResidentialPremiseSegment]" displayFolder="" count="0" unbalanced="0"/>
    <cacheHierarchy uniqueName="[DimResidentialPremiseSegment].[PropertyCondition]" caption="PropertyCondition" attribute="1" defaultMemberUniqueName="[DimResidentialPremiseSegment].[PropertyCondition].[All]" allUniqueName="[DimResidentialPremiseSegment].[PropertyCondition].[All]" dimensionUniqueName="[DimResidentialPremiseSegment]" displayFolder="" count="0" unbalanced="0"/>
    <cacheHierarchy uniqueName="[DimResidentialPremiseSegment].[PropertyTypeIndicator]" caption="PropertyTypeIndicator" attribute="1" defaultMemberUniqueName="[DimResidentialPremiseSegment].[PropertyTypeIndicator].[All]" allUniqueName="[DimResidentialPremiseSegment].[PropertyTypeIndicator].[All]" dimensionUniqueName="[DimResidentialPremiseSegment]" displayFolder="" count="0" unbalanced="0"/>
    <cacheHierarchy uniqueName="[DimResidentialPremiseSegment].[ResidentialBased]" caption="ResidentialBased" attribute="1" defaultMemberUniqueName="[DimResidentialPremiseSegment].[ResidentialBased].[All]" allUniqueName="[DimResidentialPremiseSegment].[ResidentialBased].[All]" dimensionUniqueName="[DimResidentialPremiseSegment]" displayFolder="" count="0" unbalanced="0"/>
    <cacheHierarchy uniqueName="[DimResidentialPremiseSegment].[RoofType]" caption="RoofType" attribute="1" defaultMemberUniqueName="[DimResidentialPremiseSegment].[RoofType].[All]" allUniqueName="[DimResidentialPremiseSegment].[RoofType].[All]" dimensionUniqueName="[DimResidentialPremiseSegment]" displayFolder="" count="0" unbalanced="0"/>
    <cacheHierarchy uniqueName="[DimResidentialPremiseSegment].[SiteAddressIndicator]" caption="SiteAddressIndicator" attribute="1" defaultMemberUniqueName="[DimResidentialPremiseSegment].[SiteAddressIndicator].[All]" allUniqueName="[DimResidentialPremiseSegment].[SiteAddressIndicator].[All]" dimensionUniqueName="[DimResidentialPremiseSegment]" displayFolder="" count="0" unbalanced="0"/>
    <cacheHierarchy uniqueName="[DimResidentialPremiseSegment].[SiteAddressUnitNumber]" caption="SiteAddressUnitNumber" attribute="1" defaultMemberUniqueName="[DimResidentialPremiseSegment].[SiteAddressUnitNumber].[All]" allUniqueName="[DimResidentialPremiseSegment].[SiteAddressUnitNumber].[All]" dimensionUniqueName="[DimResidentialPremiseSegment]" displayFolder="" count="0" unbalanced="0"/>
    <cacheHierarchy uniqueName="[DimResidentialPremiseSegment].[StyleIndicator]" caption="StyleIndicator" attribute="1" defaultMemberUniqueName="[DimResidentialPremiseSegment].[StyleIndicator].[All]" allUniqueName="[DimResidentialPremiseSegment].[StyleIndicator].[All]" dimensionUniqueName="[DimResidentialPremiseSegment]" displayFolder="" count="0" unbalanced="0"/>
    <cacheHierarchy uniqueName="[DimResidentialPremiseSegment].[TotalFullbaths]" caption="TotalFullbaths" attribute="1" defaultMemberUniqueName="[DimResidentialPremiseSegment].[TotalFullbaths].[All]" allUniqueName="[DimResidentialPremiseSegment].[TotalFullbaths].[All]" dimensionUniqueName="[DimResidentialPremiseSegment]" displayFolder="" count="0" unbalanced="0"/>
    <cacheHierarchy uniqueName="[DimResidentialPremiseSegment].[TotalHalfbaths]" caption="TotalHalfbaths" attribute="1" defaultMemberUniqueName="[DimResidentialPremiseSegment].[TotalHalfbaths].[All]" allUniqueName="[DimResidentialPremiseSegment].[TotalHalfbaths].[All]" dimensionUniqueName="[DimResidentialPremiseSegment]" displayFolder="" count="0" unbalanced="0"/>
    <cacheHierarchy uniqueName="[DimResidentialPremiseSegment].[TotalMarketValue]" caption="TotalMarketValue" attribute="1" defaultMemberUniqueName="[DimResidentialPremiseSegment].[TotalMarketValue].[All]" allUniqueName="[DimResidentialPremiseSegment].[TotalMarketValue].[All]" dimensionUniqueName="[DimResidentialPremiseSegment]" displayFolder="" count="0" unbalanced="0"/>
    <cacheHierarchy uniqueName="[DimResidentialPremiseSegment].[TypeofElectricity]" caption="TypeofElectricity" attribute="1" defaultMemberUniqueName="[DimResidentialPremiseSegment].[TypeofElectricity].[All]" allUniqueName="[DimResidentialPremiseSegment].[TypeofElectricity].[All]" dimensionUniqueName="[DimResidentialPremiseSegment]" displayFolder="" count="0" unbalanced="0"/>
    <cacheHierarchy uniqueName="[DimResidentialPremiseSegment].[TypeofFireplace]" caption="TypeofFireplace" attribute="1" defaultMemberUniqueName="[DimResidentialPremiseSegment].[TypeofFireplace].[All]" allUniqueName="[DimResidentialPremiseSegment].[TypeofFireplace].[All]" dimensionUniqueName="[DimResidentialPremiseSegment]" displayFolder="" count="0" unbalanced="0"/>
    <cacheHierarchy uniqueName="[DimResidentialPremiseSegment].[TypeofFoundation]" caption="TypeofFoundation" attribute="1" defaultMemberUniqueName="[DimResidentialPremiseSegment].[TypeofFoundation].[All]" allUniqueName="[DimResidentialPremiseSegment].[TypeofFoundation].[All]" dimensionUniqueName="[DimResidentialPremiseSegment]" displayFolder="" count="0" unbalanced="0"/>
    <cacheHierarchy uniqueName="[DimResidentialPremiseSegment].[TypeofGarage]" caption="TypeofGarage" attribute="1" defaultMemberUniqueName="[DimResidentialPremiseSegment].[TypeofGarage].[All]" allUniqueName="[DimResidentialPremiseSegment].[TypeofGarage].[All]" dimensionUniqueName="[DimResidentialPremiseSegment]" displayFolder="" count="0" unbalanced="0"/>
    <cacheHierarchy uniqueName="[DimResidentialPremiseSegment].[TypeofRoofFraming]" caption="TypeofRoofFraming" attribute="1" defaultMemberUniqueName="[DimResidentialPremiseSegment].[TypeofRoofFraming].[All]" allUniqueName="[DimResidentialPremiseSegment].[TypeofRoofFraming].[All]" dimensionUniqueName="[DimResidentialPremiseSegment]" displayFolder="" count="0" unbalanced="0"/>
    <cacheHierarchy uniqueName="[DimResidentialPremiseSegment].[YearBuilt]" caption="YearBuilt" attribute="1" defaultMemberUniqueName="[DimResidentialPremiseSegment].[YearBuilt].[All]" allUniqueName="[DimResidentialPremiseSegment].[YearBuilt].[All]" dimensionUniqueName="[DimResidentialPremiseSegment]" displayFolder="" count="0" unbalanced="0"/>
    <cacheHierarchy uniqueName="[DimScenario].[Scenario Name]" caption="Scenario Name" attribute="1" defaultMemberUniqueName="[DimScenario].[Scenario Name].[All]" allUniqueName="[DimScenario].[Scenario Name].[All]" dimensionUniqueName="[DimScenario]" displayFolder="" count="2" unbalanced="0">
      <fieldsUsage count="2">
        <fieldUsage x="-1"/>
        <fieldUsage x="0"/>
      </fieldsUsage>
    </cacheHierarchy>
    <cacheHierarchy uniqueName="[DimServiceAgreementType].[CIS Division]" caption="CIS Division" attribute="1" defaultMemberUniqueName="[DimServiceAgreementType].[CIS Division].[All]" allUniqueName="[DimServiceAgreementType].[CIS Division].[All]" dimensionUniqueName="[DimServiceAgreementType]" displayFolder="" count="0" unbalanced="0"/>
    <cacheHierarchy uniqueName="[DimServiceAgreementType].[ServiceAgreement Type Code]" caption="ServiceAgreement Type Code" attribute="1" defaultMemberUniqueName="[DimServiceAgreementType].[ServiceAgreement Type Code].[All]" allUniqueName="[DimServiceAgreementType].[ServiceAgreement Type Code].[All]" dimensionUniqueName="[DimServiceAgreementType]" displayFolder="" count="0" unbalanced="0"/>
    <cacheHierarchy uniqueName="[DimServiceAgreementType].[ServiceAgreement Type Desc]" caption="ServiceAgreement Type Desc" attribute="1" defaultMemberUniqueName="[DimServiceAgreementType].[ServiceAgreement Type Desc].[All]" allUniqueName="[DimServiceAgreementType].[ServiceAgreement Type Desc].[All]" dimensionUniqueName="[DimServiceAgreementType]" displayFolder="" count="0" unbalanced="0"/>
    <cacheHierarchy uniqueName="[DimServiceAgreementType].[Utility Indicator]" caption="Utility Indicator" attribute="1" defaultMemberUniqueName="[DimServiceAgreementType].[Utility Indicator].[All]" allUniqueName="[DimServiceAgreementType].[Utility Indicator].[All]" dimensionUniqueName="[DimServiceAgreementType]" displayFolder="" count="0" unbalanced="0"/>
    <cacheHierarchy uniqueName="[DimServiceCounty].[Service County Code]" caption="Service County Code" attribute="1" defaultMemberUniqueName="[DimServiceCounty].[Service County Code].[All]" allUniqueName="[DimServiceCounty].[Service County Code].[All]" dimensionUniqueName="[DimServiceCounty]" displayFolder="" count="0" unbalanced="0"/>
    <cacheHierarchy uniqueName="[DimServiceCounty].[Service County Name]" caption="Service County Name" attribute="1" defaultMemberUniqueName="[DimServiceCounty].[Service County Name].[All]" allUniqueName="[DimServiceCounty].[Service County Name].[All]" dimensionUniqueName="[DimServiceCounty]" displayFolder="" count="0" unbalanced="0"/>
    <cacheHierarchy uniqueName="[DimServicePointType].[ServicePoint Type Code]" caption="ServicePoint Type Code" attribute="1" defaultMemberUniqueName="[DimServicePointType].[ServicePoint Type Code].[All]" allUniqueName="[DimServicePointType].[ServicePoint Type Code].[All]" dimensionUniqueName="[DimServicePointType]" displayFolder="" count="0" unbalanced="0"/>
    <cacheHierarchy uniqueName="[DimServicePointType].[ServicePoint Type Desc]" caption="ServicePoint Type Desc" attribute="1" defaultMemberUniqueName="[DimServicePointType].[ServicePoint Type Desc].[All]" allUniqueName="[DimServicePointType].[ServicePoint Type Desc].[All]" dimensionUniqueName="[DimServicePointType]" displayFolder="" count="0" unbalanced="0"/>
    <cacheHierarchy uniqueName="[DimServiceTown].[ServiceTown Code]" caption="ServiceTown Code" attribute="1" defaultMemberUniqueName="[DimServiceTown].[ServiceTown Code].[All]" allUniqueName="[DimServiceTown].[ServiceTown Code].[All]" dimensionUniqueName="[DimServiceTown]" displayFolder="" count="0" unbalanced="0"/>
    <cacheHierarchy uniqueName="[DimServiceTown].[ServiceTown Name]" caption="ServiceTown Name" attribute="1" defaultMemberUniqueName="[DimServiceTown].[ServiceTown Name].[All]" allUniqueName="[DimServiceTown].[ServiceTown Name].[All]" dimensionUniqueName="[DimServiceTown]" displayFolder="" count="0" unbalanced="0"/>
    <cacheHierarchy uniqueName="[DimSilverPopSurvey].[DimSilverPopSurveyKey]" caption="DimSilverPopSurveyKey" attribute="1" defaultMemberUniqueName="[DimSilverPopSurvey].[DimSilverPopSurveyKey].[All]" allUniqueName="[DimSilverPopSurvey].[DimSilverPopSurveyKey].[All]" dimensionUniqueName="[DimSilverPopSurvey]" displayFolder="" count="0" unbalanced="0"/>
    <cacheHierarchy uniqueName="[DimSilverPopSurvey].[MeasureGroupKey]" caption="MeasureGroupKey" attribute="1" defaultMemberUniqueName="[DimSilverPopSurvey].[MeasureGroupKey].[All]" allUniqueName="[DimSilverPopSurvey].[MeasureGroupKey].[All]" dimensionUniqueName="[DimSilverPopSurvey]" displayFolder="" count="0" unbalanced="0"/>
    <cacheHierarchy uniqueName="[DimSilverPopSurvey].[PMTProgramKey]" caption="PMTProgramKey" attribute="1" defaultMemberUniqueName="[DimSilverPopSurvey].[PMTProgramKey].[All]" allUniqueName="[DimSilverPopSurvey].[PMTProgramKey].[All]" dimensionUniqueName="[DimSilverPopSurvey]" displayFolder="" count="0" unbalanced="0"/>
    <cacheHierarchy uniqueName="[DimSilverPopSurvey].[ProgramYear]" caption="ProgramYear" attribute="1" defaultMemberUniqueName="[DimSilverPopSurvey].[ProgramYear].[All]" allUniqueName="[DimSilverPopSurvey].[ProgramYear].[All]" dimensionUniqueName="[DimSilverPopSurvey]" displayFolder="" count="0" unbalanced="0"/>
    <cacheHierarchy uniqueName="[DimSilverPopSurvey].[SilverPopOrder]" caption="SilverPopOrder" attribute="1" defaultMemberUniqueName="[DimSilverPopSurvey].[SilverPopOrder].[All]" allUniqueName="[DimSilverPopSurvey].[SilverPopOrder].[All]" dimensionUniqueName="[DimSilverPopSurvey]" displayFolder="" count="0" unbalanced="0"/>
    <cacheHierarchy uniqueName="[DimSilverPopSurvey].[SilverPopSurvey]" caption="SilverPopSurvey" attribute="1" defaultMemberUniqueName="[DimSilverPopSurvey].[SilverPopSurvey].[All]" allUniqueName="[DimSilverPopSurvey].[SilverPopSurvey].[All]" dimensionUniqueName="[DimSilverPopSurvey]" displayFolder="" count="0" unbalanced="0"/>
    <cacheHierarchy uniqueName="[DimSubProgramType].[SubProgramType]" caption="SubProgramType" attribute="1" defaultMemberUniqueName="[DimSubProgramType].[SubProgramType].[All]" allUniqueName="[DimSubProgramType].[SubProgramType].[All]" dimensionUniqueName="[DimSubProgramType]" displayFolder="" count="0" unbalanced="0"/>
    <cacheHierarchy uniqueName="[DimSubProgramType].[SubProgramTypeKey]" caption="SubProgramTypeKey" attribute="1" defaultMemberUniqueName="[DimSubProgramType].[SubProgramTypeKey].[All]" allUniqueName="[DimSubProgramType].[SubProgramTypeKey].[All]" dimensionUniqueName="[DimSubProgramType]" displayFolder="" count="0" unbalanced="0"/>
    <cacheHierarchy uniqueName="[DimTradeAlly_Parent].[Address1]" caption="Address1" attribute="1" defaultMemberUniqueName="[DimTradeAlly_Parent].[Address1].[All]" allUniqueName="[DimTradeAlly_Parent].[Address1].[All]" dimensionUniqueName="[DimTradeAlly_Parent]" displayFolder="" count="0" unbalanced="0"/>
    <cacheHierarchy uniqueName="[DimTradeAlly_Parent].[Address2]" caption="Address2" attribute="1" defaultMemberUniqueName="[DimTradeAlly_Parent].[Address2].[All]" allUniqueName="[DimTradeAlly_Parent].[Address2].[All]" dimensionUniqueName="[DimTradeAlly_Parent]" displayFolder="" count="0" unbalanced="0"/>
    <cacheHierarchy uniqueName="[DimTradeAlly_Parent].[ApplicationCount]" caption="ApplicationCount" attribute="1" defaultMemberUniqueName="[DimTradeAlly_Parent].[ApplicationCount].[All]" allUniqueName="[DimTradeAlly_Parent].[ApplicationCount].[All]" dimensionUniqueName="[DimTradeAlly_Parent]" displayFolder="" count="0" unbalanced="0"/>
    <cacheHierarchy uniqueName="[DimTradeAlly_Parent].[BusinessName]" caption="BusinessName" attribute="1" defaultMemberUniqueName="[DimTradeAlly_Parent].[BusinessName].[All]" allUniqueName="[DimTradeAlly_Parent].[BusinessName].[All]" dimensionUniqueName="[DimTradeAlly_Parent]" displayFolder="" count="0" unbalanced="0"/>
    <cacheHierarchy uniqueName="[DimTradeAlly_Parent].[CityName]" caption="CityName" attribute="1" defaultMemberUniqueName="[DimTradeAlly_Parent].[CityName].[All]" allUniqueName="[DimTradeAlly_Parent].[CityName].[All]" dimensionUniqueName="[DimTradeAlly_Parent]" displayFolder="" count="0" unbalanced="0"/>
    <cacheHierarchy uniqueName="[DimTradeAlly_Parent].[ContractorCircleStatus]" caption="ContractorCircleStatus" attribute="1" defaultMemberUniqueName="[DimTradeAlly_Parent].[ContractorCircleStatus].[All]" allUniqueName="[DimTradeAlly_Parent].[ContractorCircleStatus].[All]" dimensionUniqueName="[DimTradeAlly_Parent]" displayFolder="" count="0" unbalanced="0"/>
    <cacheHierarchy uniqueName="[DimTradeAlly_Parent].[ContractorCircleStatusCount]" caption="ContractorCircleStatusCount" attribute="1" defaultMemberUniqueName="[DimTradeAlly_Parent].[ContractorCircleStatusCount].[All]" allUniqueName="[DimTradeAlly_Parent].[ContractorCircleStatusCount].[All]" dimensionUniqueName="[DimTradeAlly_Parent]" displayFolder="" count="0" unbalanced="0"/>
    <cacheHierarchy uniqueName="[DimTradeAlly_Parent].[EmailAddress]" caption="EmailAddress" attribute="1" defaultMemberUniqueName="[DimTradeAlly_Parent].[EmailAddress].[All]" allUniqueName="[DimTradeAlly_Parent].[EmailAddress].[All]" dimensionUniqueName="[DimTradeAlly_Parent]" displayFolder="" count="0" unbalanced="0"/>
    <cacheHierarchy uniqueName="[DimTradeAlly_Parent].[NAME]" caption="NAME" attribute="1" defaultMemberUniqueName="[DimTradeAlly_Parent].[NAME].[All]" allUniqueName="[DimTradeAlly_Parent].[NAME].[All]" dimensionUniqueName="[DimTradeAlly_Parent]" displayFolder="" count="0" unbalanced="0"/>
    <cacheHierarchy uniqueName="[DimTradeAlly_Parent].[OBFLoanStatus]" caption="OBFLoanStatus" attribute="1" defaultMemberUniqueName="[DimTradeAlly_Parent].[OBFLoanStatus].[All]" allUniqueName="[DimTradeAlly_Parent].[OBFLoanStatus].[All]" dimensionUniqueName="[DimTradeAlly_Parent]" displayFolder="" count="0" unbalanced="0"/>
    <cacheHierarchy uniqueName="[DimTradeAlly_Parent].[Parent or Child]" caption="Parent or Child" attribute="1" defaultMemberUniqueName="[DimTradeAlly_Parent].[Parent or Child].[All]" allUniqueName="[DimTradeAlly_Parent].[Parent or Child].[All]" dimensionUniqueName="[DimTradeAlly_Parent]" displayFolder="" count="0" unbalanced="0"/>
    <cacheHierarchy uniqueName="[DimTradeAlly_Parent].[ParentTradeAllyKey]" caption="ParentTradeAllyKey" attribute="1" defaultMemberUniqueName="[DimTradeAlly_Parent].[ParentTradeAllyKey].[All]" allUniqueName="[DimTradeAlly_Parent].[ParentTradeAllyKey].[All]" dimensionUniqueName="[DimTradeAlly_Parent]" displayFolder="" count="0" unbalanced="0"/>
    <cacheHierarchy uniqueName="[DimTradeAlly_Parent].[Personfirstname]" caption="Personfirstname" attribute="1" defaultMemberUniqueName="[DimTradeAlly_Parent].[Personfirstname].[All]" allUniqueName="[DimTradeAlly_Parent].[Personfirstname].[All]" dimensionUniqueName="[DimTradeAlly_Parent]" displayFolder="" count="0" unbalanced="0"/>
    <cacheHierarchy uniqueName="[DimTradeAlly_Parent].[Personlastname]" caption="Personlastname" attribute="1" defaultMemberUniqueName="[DimTradeAlly_Parent].[Personlastname].[All]" allUniqueName="[DimTradeAlly_Parent].[Personlastname].[All]" dimensionUniqueName="[DimTradeAlly_Parent]" displayFolder="" count="0" unbalanced="0"/>
    <cacheHierarchy uniqueName="[DimTradeAlly_Parent].[PostalCode]" caption="PostalCode" attribute="1" defaultMemberUniqueName="[DimTradeAlly_Parent].[PostalCode].[All]" allUniqueName="[DimTradeAlly_Parent].[PostalCode].[All]" dimensionUniqueName="[DimTradeAlly_Parent]" displayFolder="" count="0" unbalanced="0"/>
    <cacheHierarchy uniqueName="[DimTradeAlly_Parent].[StateCode]" caption="StateCode" attribute="1" defaultMemberUniqueName="[DimTradeAlly_Parent].[StateCode].[All]" allUniqueName="[DimTradeAlly_Parent].[StateCode].[All]" dimensionUniqueName="[DimTradeAlly_Parent]" displayFolder="" count="0" unbalanced="0"/>
    <cacheHierarchy uniqueName="[DimTradeAlly_Parent].[TradeAllyKey]" caption="TradeAllyKey" attribute="1" defaultMemberUniqueName="[DimTradeAlly_Parent].[TradeAllyKey].[All]" allUniqueName="[DimTradeAlly_Parent].[TradeAllyKey].[All]" dimensionUniqueName="[DimTradeAlly_Parent]" displayFolder="" count="0" unbalanced="0"/>
    <cacheHierarchy uniqueName="[DimTradeAlly_Parent].[WorkPhoneExtension]" caption="WorkPhoneExtension" attribute="1" defaultMemberUniqueName="[DimTradeAlly_Parent].[WorkPhoneExtension].[All]" allUniqueName="[DimTradeAlly_Parent].[WorkPhoneExtension].[All]" dimensionUniqueName="[DimTradeAlly_Parent]" displayFolder="" count="0" unbalanced="0"/>
    <cacheHierarchy uniqueName="[DimTradeAlly_Parent].[WorkPhoneNumber]" caption="WorkPhoneNumber" attribute="1" defaultMemberUniqueName="[DimTradeAlly_Parent].[WorkPhoneNumber].[All]" allUniqueName="[DimTradeAlly_Parent].[WorkPhoneNumber].[All]" dimensionUniqueName="[DimTradeAlly_Parent]" displayFolder="" count="0" unbalanced="0"/>
    <cacheHierarchy uniqueName="[DimTradeAllyType].[TradeAllyTypeCode]" caption="TradeAllyTypeCode" attribute="1" defaultMemberUniqueName="[DimTradeAllyType].[TradeAllyTypeCode].[All]" allUniqueName="[DimTradeAllyType].[TradeAllyTypeCode].[All]" dimensionUniqueName="[DimTradeAllyType]" displayFolder="" count="0" unbalanced="0"/>
    <cacheHierarchy uniqueName="[DimTradeAllyType].[TradeAllyTypeDescription]" caption="TradeAllyTypeDescription" attribute="1" defaultMemberUniqueName="[DimTradeAllyType].[TradeAllyTypeDescription].[All]" allUniqueName="[DimTradeAllyType].[TradeAllyTypeDescription].[All]" dimensionUniqueName="[DimTradeAllyType]" displayFolder="" count="0" unbalanced="0"/>
    <cacheHierarchy uniqueName="[DimUser].[Name]" caption="Name" attribute="1" defaultMemberUniqueName="[DimUser].[Name].[All]" allUniqueName="[DimUser].[Name].[All]" dimensionUniqueName="[DimUser]" displayFolder="" count="0" unbalanced="0"/>
    <cacheHierarchy uniqueName="[DimUserType].[UserTypeCode]" caption="UserTypeCode" attribute="1" defaultMemberUniqueName="[DimUserType].[UserTypeCode].[All]" allUniqueName="[DimUserType].[UserTypeCode].[All]" dimensionUniqueName="[DimUserType]" displayFolder="" count="0" unbalanced="0"/>
    <cacheHierarchy uniqueName="[DimUserType].[UserTypeDescription]" caption="UserTypeDescription" attribute="1" defaultMemberUniqueName="[DimUserType].[UserTypeDescription].[All]" allUniqueName="[DimUserType].[UserTypeDescription].[All]" dimensionUniqueName="[DimUserType]" displayFolder="" count="0" unbalanced="0"/>
    <cacheHierarchy uniqueName="[EquipmentDualFuel].[Equip Dual Fuel Code]" caption="Equip Dual Fuel Code" attribute="1" defaultMemberUniqueName="[EquipmentDualFuel].[Equip Dual Fuel Code].[All]" allUniqueName="[EquipmentDualFuel].[Equip Dual Fuel Code].[All]" dimensionUniqueName="[EquipmentDualFuel]" displayFolder="" count="0" unbalanced="0"/>
    <cacheHierarchy uniqueName="[EquipmentDualFuel].[Equip Dual Fuel Desc]" caption="Equip Dual Fuel Desc" attribute="1" defaultMemberUniqueName="[EquipmentDualFuel].[Equip Dual Fuel Desc].[All]" allUniqueName="[EquipmentDualFuel].[Equip Dual Fuel Desc].[All]" dimensionUniqueName="[EquipmentDualFuel]" displayFolder="" count="0" unbalanced="0"/>
    <cacheHierarchy uniqueName="[EquipmentFuel].[Equip Fuel Code]" caption="Equip Fuel Code" attribute="1" defaultMemberUniqueName="[EquipmentFuel].[Equip Fuel Code].[All]" allUniqueName="[EquipmentFuel].[Equip Fuel Code].[All]" dimensionUniqueName="[EquipmentFuel]" displayFolder="" count="0" unbalanced="0"/>
    <cacheHierarchy uniqueName="[EquipmentFuel].[Equip Fuel Desc]" caption="Equip Fuel Desc" attribute="1" defaultMemberUniqueName="[EquipmentFuel].[Equip Fuel Desc].[All]" allUniqueName="[EquipmentFuel].[Equip Fuel Desc].[All]" dimensionUniqueName="[EquipmentFuel]" displayFolder="" count="0" unbalanced="0"/>
    <cacheHierarchy uniqueName="[EquipmentManufacture].[Equip Manuf Code]" caption="Equip Manuf Code" attribute="1" defaultMemberUniqueName="[EquipmentManufacture].[Equip Manuf Code].[All]" allUniqueName="[EquipmentManufacture].[Equip Manuf Code].[All]" dimensionUniqueName="[EquipmentManufacture]" displayFolder="" count="0" unbalanced="0"/>
    <cacheHierarchy uniqueName="[EquipmentManufacture].[Equip Manuf Desc]" caption="Equip Manuf Desc" attribute="1" defaultMemberUniqueName="[EquipmentManufacture].[Equip Manuf Desc].[All]" allUniqueName="[EquipmentManufacture].[Equip Manuf Desc].[All]" dimensionUniqueName="[EquipmentManufacture]" displayFolder="" count="0" unbalanced="0"/>
    <cacheHierarchy uniqueName="[FactCostEffectiveness].[AvoidedGasSavings]" caption="AvoidedGasSavings" attribute="1" defaultMemberUniqueName="[FactCostEffectiveness].[AvoidedGasSavings].[All]" allUniqueName="[FactCostEffectiveness].[AvoidedGasSavings].[All]" dimensionUniqueName="[FactCostEffectiveness]" displayFolder="" count="0" unbalanced="0"/>
    <cacheHierarchy uniqueName="[FactCostEffectiveness].[Benefits]" caption="Benefits" attribute="1" defaultMemberUniqueName="[FactCostEffectiveness].[Benefits].[All]" allUniqueName="[FactCostEffectiveness].[Benefits].[All]" dimensionUniqueName="[FactCostEffectiveness]" displayFolder="" count="0" unbalanced="0"/>
    <cacheHierarchy uniqueName="[FactCostEffectiveness].[Costs]" caption="Costs" attribute="1" defaultMemberUniqueName="[FactCostEffectiveness].[Costs].[All]" allUniqueName="[FactCostEffectiveness].[Costs].[All]" dimensionUniqueName="[FactCostEffectiveness]" displayFolder="" count="0" unbalanced="0"/>
    <cacheHierarchy uniqueName="[FactCostEffectiveness].[CostType]" caption="CostType" attribute="1" defaultMemberUniqueName="[FactCostEffectiveness].[CostType].[All]" allUniqueName="[FactCostEffectiveness].[CostType].[All]" dimensionUniqueName="[FactCostEffectiveness]" displayFolder="" count="0" unbalanced="0"/>
    <cacheHierarchy uniqueName="[FactCostEffectiveness].[DQScoreKey]" caption="DQScoreKey" attribute="1" defaultMemberUniqueName="[FactCostEffectiveness].[DQScoreKey].[All]" allUniqueName="[FactCostEffectiveness].[DQScoreKey].[All]" dimensionUniqueName="[FactCostEffectiveness]" displayFolder="" count="0" unbalanced="0"/>
    <cacheHierarchy uniqueName="[FactCostEffectiveness].[FactCostEffectivenessKey]" caption="FactCostEffectivenessKey" attribute="1" defaultMemberUniqueName="[FactCostEffectiveness].[FactCostEffectivenessKey].[All]" allUniqueName="[FactCostEffectiveness].[FactCostEffectivenessKey].[All]" dimensionUniqueName="[FactCostEffectiveness]" displayFolder="" count="0" unbalanced="0"/>
    <cacheHierarchy uniqueName="[FactCostEffectiveness].[IncentiveCosts]" caption="IncentiveCosts" attribute="1" defaultMemberUniqueName="[FactCostEffectiveness].[IncentiveCosts].[All]" allUniqueName="[FactCostEffectiveness].[IncentiveCosts].[All]" dimensionUniqueName="[FactCostEffectiveness]" displayFolder="" count="0" unbalanced="0"/>
    <cacheHierarchy uniqueName="[FactCostEffectiveness].[IncrementalCosts_Net]" caption="IncrementalCosts_Net" attribute="1" defaultMemberUniqueName="[FactCostEffectiveness].[IncrementalCosts_Net].[All]" allUniqueName="[FactCostEffectiveness].[IncrementalCosts_Net].[All]" dimensionUniqueName="[FactCostEffectiveness]" displayFolder="" count="0" unbalanced="0"/>
    <cacheHierarchy uniqueName="[FactCostEffectiveness].[NonIncentiveCosts]" caption="NonIncentiveCosts" attribute="1" defaultMemberUniqueName="[FactCostEffectiveness].[NonIncentiveCosts].[All]" allUniqueName="[FactCostEffectiveness].[NonIncentiveCosts].[All]" dimensionUniqueName="[FactCostEffectiveness]" displayFolder="" count="0" unbalanced="0"/>
    <cacheHierarchy uniqueName="[FactCostEffectiveness].[OtherBenefits]" caption="OtherBenefits" attribute="1" defaultMemberUniqueName="[FactCostEffectiveness].[OtherBenefits].[All]" allUniqueName="[FactCostEffectiveness].[OtherBenefits].[All]" dimensionUniqueName="[FactCostEffectiveness]" displayFolder="" count="0" unbalanced="0"/>
    <cacheHierarchy uniqueName="[FactCostEffectiveness].[OtherBenefitsText]" caption="OtherBenefitsText" attribute="1" defaultMemberUniqueName="[FactCostEffectiveness].[OtherBenefitsText].[All]" allUniqueName="[FactCostEffectiveness].[OtherBenefitsText].[All]" dimensionUniqueName="[FactCostEffectiveness]" displayFolder="" count="0" unbalanced="0"/>
    <cacheHierarchy uniqueName="[FactCostEffectiveness].[PMTProgramKey]" caption="PMTProgramKey" attribute="1" defaultMemberUniqueName="[FactCostEffectiveness].[PMTProgramKey].[All]" allUniqueName="[FactCostEffectiveness].[PMTProgramKey].[All]" dimensionUniqueName="[FactCostEffectiveness]" displayFolder="" count="0" unbalanced="0"/>
    <cacheHierarchy uniqueName="[FactCostEffectiveness].[Program]" caption="Program" attribute="1" defaultMemberUniqueName="[FactCostEffectiveness].[Program].[All]" allUniqueName="[FactCostEffectiveness].[Program].[All]" dimensionUniqueName="[FactCostEffectiveness]" displayFolder="" count="0" unbalanced="0"/>
    <cacheHierarchy uniqueName="[FactCostEffectiveness].[ProgramAccountingDescription]" caption="ProgramAccountingDescription" attribute="1" defaultMemberUniqueName="[FactCostEffectiveness].[ProgramAccountingDescription].[All]" allUniqueName="[FactCostEffectiveness].[ProgramAccountingDescription].[All]" dimensionUniqueName="[FactCostEffectiveness]" displayFolder="" count="0" unbalanced="0"/>
    <cacheHierarchy uniqueName="[FactCostEffectiveness].[ProgramAccountingID]" caption="ProgramAccountingID" attribute="1" defaultMemberUniqueName="[FactCostEffectiveness].[ProgramAccountingID].[All]" allUniqueName="[FactCostEffectiveness].[ProgramAccountingID].[All]" dimensionUniqueName="[FactCostEffectiveness]" displayFolder="" count="0" unbalanced="0"/>
    <cacheHierarchy uniqueName="[FactCostEffectiveness].[ProgramYear]" caption="ProgramYear" attribute="1" defaultMemberUniqueName="[FactCostEffectiveness].[ProgramYear].[All]" allUniqueName="[FactCostEffectiveness].[ProgramYear].[All]" dimensionUniqueName="[FactCostEffectiveness]" displayFolder="" count="0" unbalanced="0"/>
    <cacheHierarchy uniqueName="[FactCostEffectiveness].[ProjectID]" caption="ProjectID" attribute="1" defaultMemberUniqueName="[FactCostEffectiveness].[ProjectID].[All]" allUniqueName="[FactCostEffectiveness].[ProjectID].[All]" dimensionUniqueName="[FactCostEffectiveness]" displayFolder="" count="0" unbalanced="0"/>
    <cacheHierarchy uniqueName="[FactCostEffectiveness].[Test]" caption="Test" attribute="1" defaultMemberUniqueName="[FactCostEffectiveness].[Test].[All]" allUniqueName="[FactCostEffectiveness].[Test].[All]" dimensionUniqueName="[FactCostEffectiveness]" displayFolder="" count="0" unbalanced="0"/>
    <cacheHierarchy uniqueName="[FactCostEffectiveness].[TestNetBenefits]" caption="TestNetBenefits" attribute="1" defaultMemberUniqueName="[FactCostEffectiveness].[TestNetBenefits].[All]" allUniqueName="[FactCostEffectiveness].[TestNetBenefits].[All]" dimensionUniqueName="[FactCostEffectiveness]" displayFolder="" count="0" unbalanced="0"/>
    <cacheHierarchy uniqueName="[FactCostSavings].[Average_MeasureLife]" caption="Average_MeasureLife" attribute="1" defaultMemberUniqueName="[FactCostSavings].[Average_MeasureLife].[All]" allUniqueName="[FactCostSavings].[Average_MeasureLife].[All]" dimensionUniqueName="[FactCostSavings]" displayFolder="" count="0" unbalanced="0"/>
    <cacheHierarchy uniqueName="[FactCostSavings].[AverageActualProgramDollarCost]" caption="AverageActualProgramDollarCost" attribute="1" defaultMemberUniqueName="[FactCostSavings].[AverageActualProgramDollarCost].[All]" allUniqueName="[FactCostSavings].[AverageActualProgramDollarCost].[All]" dimensionUniqueName="[FactCostSavings]" displayFolder="" count="0" unbalanced="0"/>
    <cacheHierarchy uniqueName="[FactCostSavings].[Avg_Gross_Savings]" caption="Avg_Gross_Savings" attribute="1" defaultMemberUniqueName="[FactCostSavings].[Avg_Gross_Savings].[All]" allUniqueName="[FactCostSavings].[Avg_Gross_Savings].[All]" dimensionUniqueName="[FactCostSavings]" displayFolder="" count="0" unbalanced="0"/>
    <cacheHierarchy uniqueName="[FactCostSavings].[Avg_Net_Savings]" caption="Avg_Net_Savings" attribute="1" defaultMemberUniqueName="[FactCostSavings].[Avg_Net_Savings].[All]" allUniqueName="[FactCostSavings].[Avg_Net_Savings].[All]" dimensionUniqueName="[FactCostSavings]" displayFolder="" count="0" unbalanced="0"/>
    <cacheHierarchy uniqueName="[FactCostSavings].[CostSavingsKey]" caption="CostSavingsKey" attribute="1" defaultMemberUniqueName="[FactCostSavings].[CostSavingsKey].[All]" allUniqueName="[FactCostSavings].[CostSavingsKey].[All]" dimensionUniqueName="[FactCostSavings]" displayFolder="" count="0" unbalanced="0"/>
    <cacheHierarchy uniqueName="[FactCostSavings].[Count]" caption="Count" attribute="1" defaultMemberUniqueName="[FactCostSavings].[Count].[All]" allUniqueName="[FactCostSavings].[Count].[All]" dimensionUniqueName="[FactCostSavings]" displayFolder="" count="0" unbalanced="0"/>
    <cacheHierarchy uniqueName="[FactCostSavings].[Gross_Therm_Unit_Cost]" caption="Gross_Therm_Unit_Cost" attribute="1" defaultMemberUniqueName="[FactCostSavings].[Gross_Therm_Unit_Cost].[All]" allUniqueName="[FactCostSavings].[Gross_Therm_Unit_Cost].[All]" dimensionUniqueName="[FactCostSavings]" displayFolder="" count="0" unbalanced="0"/>
    <cacheHierarchy uniqueName="[FactCostSavings].[GrossSavings]" caption="GrossSavings" attribute="1" defaultMemberUniqueName="[FactCostSavings].[GrossSavings].[All]" allUniqueName="[FactCostSavings].[GrossSavings].[All]" dimensionUniqueName="[FactCostSavings]" displayFolder="" count="0" unbalanced="0"/>
    <cacheHierarchy uniqueName="[FactCostSavings].[MaxMeasureLife]" caption="MaxMeasureLife" attribute="1" defaultMemberUniqueName="[FactCostSavings].[MaxMeasureLife].[All]" allUniqueName="[FactCostSavings].[MaxMeasureLife].[All]" dimensionUniqueName="[FactCostSavings]" displayFolder="" count="0" unbalanced="0"/>
    <cacheHierarchy uniqueName="[FactCostSavings].[MeasureName]" caption="MeasureName" attribute="1" defaultMemberUniqueName="[FactCostSavings].[MeasureName].[All]" allUniqueName="[FactCostSavings].[MeasureName].[All]" dimensionUniqueName="[FactCostSavings]" displayFolder="" count="0" unbalanced="0"/>
    <cacheHierarchy uniqueName="[FactCostSavings].[MinMeasureLife]" caption="MinMeasureLife" attribute="1" defaultMemberUniqueName="[FactCostSavings].[MinMeasureLife].[All]" allUniqueName="[FactCostSavings].[MinMeasureLife].[All]" dimensionUniqueName="[FactCostSavings]" displayFolder="" count="0" unbalanced="0"/>
    <cacheHierarchy uniqueName="[FactCostSavings].[Net_Therm_Unit_Cost]" caption="Net_Therm_Unit_Cost" attribute="1" defaultMemberUniqueName="[FactCostSavings].[Net_Therm_Unit_Cost].[All]" allUniqueName="[FactCostSavings].[Net_Therm_Unit_Cost].[All]" dimensionUniqueName="[FactCostSavings]" displayFolder="" count="0" unbalanced="0"/>
    <cacheHierarchy uniqueName="[FactCostSavings].[NetSavings]" caption="NetSavings" attribute="1" defaultMemberUniqueName="[FactCostSavings].[NetSavings].[All]" allUniqueName="[FactCostSavings].[NetSavings].[All]" dimensionUniqueName="[FactCostSavings]" displayFolder="" count="0" unbalanced="0"/>
    <cacheHierarchy uniqueName="[FactCostSavings].[PMTProgramKey]" caption="PMTProgramKey" attribute="1" defaultMemberUniqueName="[FactCostSavings].[PMTProgramKey].[All]" allUniqueName="[FactCostSavings].[PMTProgramKey].[All]" dimensionUniqueName="[FactCostSavings]" displayFolder="" count="0" unbalanced="0"/>
    <cacheHierarchy uniqueName="[FactCostSavings].[ProgramYear]" caption="ProgramYear" attribute="1" defaultMemberUniqueName="[FactCostSavings].[ProgramYear].[All]" allUniqueName="[FactCostSavings].[ProgramYear].[All]" dimensionUniqueName="[FactCostSavings]" displayFolder="" count="0" unbalanced="0"/>
    <cacheHierarchy uniqueName="[FactEEPData].[AccountingCode]" caption="AccountingCode" attribute="1" defaultMemberUniqueName="[FactEEPData].[AccountingCode].[All]" allUniqueName="[FactEEPData].[AccountingCode].[All]" dimensionUniqueName="[FactEEPData]" displayFolder="" count="0" unbalanced="0"/>
    <cacheHierarchy uniqueName="[FactEEPData].[AccountingCodeDescription]" caption="AccountingCodeDescription" attribute="1" defaultMemberUniqueName="[FactEEPData].[AccountingCodeDescription].[All]" allUniqueName="[FactEEPData].[AccountingCodeDescription].[All]" dimensionUniqueName="[FactEEPData]" displayFolder="" count="0" unbalanced="0"/>
    <cacheHierarchy uniqueName="[FactEEPData].[ActualProgramDollarCost]" caption="ActualProgramDollarCost" attribute="1" defaultMemberUniqueName="[FactEEPData].[ActualProgramDollarCost].[All]" allUniqueName="[FactEEPData].[ActualProgramDollarCost].[All]" dimensionUniqueName="[FactEEPData]" displayFolder="" count="0" unbalanced="0"/>
    <cacheHierarchy uniqueName="[FactEEPData].[AdjustmentFactor]" caption="AdjustmentFactor" attribute="1" defaultMemberUniqueName="[FactEEPData].[AdjustmentFactor].[All]" allUniqueName="[FactEEPData].[AdjustmentFactor].[All]" dimensionUniqueName="[FactEEPData]" displayFolder="" count="0" unbalanced="0"/>
    <cacheHierarchy uniqueName="[FactEEPData].[AdjustmentFactorAtttic]" caption="AdjustmentFactorAtttic" attribute="1" defaultMemberUniqueName="[FactEEPData].[AdjustmentFactorAtttic].[All]" allUniqueName="[FactEEPData].[AdjustmentFactorAtttic].[All]" dimensionUniqueName="[FactEEPData]" displayFolder="" count="0" unbalanced="0"/>
    <cacheHierarchy uniqueName="[FactEEPData].[AdministrationCost]" caption="AdministrationCost" attribute="1" defaultMemberUniqueName="[FactEEPData].[AdministrationCost].[All]" allUniqueName="[FactEEPData].[AdministrationCost].[All]" dimensionUniqueName="[FactEEPData]" displayFolder="" count="0" unbalanced="0"/>
    <cacheHierarchy uniqueName="[FactEEPData].[AgeOfEquipment]" caption="AgeOfEquipment" attribute="1" defaultMemberUniqueName="[FactEEPData].[AgeOfEquipment].[All]" allUniqueName="[FactEEPData].[AgeOfEquipment].[All]" dimensionUniqueName="[FactEEPData]" displayFolder="" count="0" unbalanced="0"/>
    <cacheHierarchy uniqueName="[FactEEPData].[AllocatedDeliveryDollars]" caption="AllocatedDeliveryDollars" attribute="1" defaultMemberUniqueName="[FactEEPData].[AllocatedDeliveryDollars].[All]" allUniqueName="[FactEEPData].[AllocatedDeliveryDollars].[All]" dimensionUniqueName="[FactEEPData]" displayFolder="" count="0" unbalanced="0"/>
    <cacheHierarchy uniqueName="[FactEEPData].[AnnualSewerSavings]" caption="AnnualSewerSavings" attribute="1" defaultMemberUniqueName="[FactEEPData].[AnnualSewerSavings].[All]" allUniqueName="[FactEEPData].[AnnualSewerSavings].[All]" dimensionUniqueName="[FactEEPData]" displayFolder="" count="0" unbalanced="0"/>
    <cacheHierarchy uniqueName="[FactEEPData].[AnnualThermConsumption]" caption="AnnualThermConsumption" attribute="1" defaultMemberUniqueName="[FactEEPData].[AnnualThermConsumption].[All]" allUniqueName="[FactEEPData].[AnnualThermConsumption].[All]" dimensionUniqueName="[FactEEPData]" displayFolder="" count="0" unbalanced="0"/>
    <cacheHierarchy uniqueName="[FactEEPData].[AnnualWaterSavings_GallonsPerYear]" caption="AnnualWaterSavings_GallonsPerYear" attribute="1" defaultMemberUniqueName="[FactEEPData].[AnnualWaterSavings_GallonsPerYear].[All]" allUniqueName="[FactEEPData].[AnnualWaterSavings_GallonsPerYear].[All]" dimensionUniqueName="[FactEEPData]" displayFolder="" count="0" unbalanced="0"/>
    <cacheHierarchy uniqueName="[FactEEPData].[ApprovalDate]" caption="ApprovalDate" attribute="1" defaultMemberUniqueName="[FactEEPData].[ApprovalDate].[All]" allUniqueName="[FactEEPData].[ApprovalDate].[All]" dimensionUniqueName="[FactEEPData]" displayFolder="" count="0" unbalanced="0"/>
    <cacheHierarchy uniqueName="[FactEEPData].[AreaOfInsulatedCeiling_Attic]" caption="AreaOfInsulatedCeiling_Attic" attribute="1" defaultMemberUniqueName="[FactEEPData].[AreaOfInsulatedCeiling_Attic].[All]" allUniqueName="[FactEEPData].[AreaOfInsulatedCeiling_Attic].[All]" dimensionUniqueName="[FactEEPData]" displayFolder="" count="0" unbalanced="0"/>
    <cacheHierarchy uniqueName="[FactEEPData].[AreaOfInsulatedWall]" caption="AreaOfInsulatedWall" attribute="1" defaultMemberUniqueName="[FactEEPData].[AreaOfInsulatedWall].[All]" allUniqueName="[FactEEPData].[AreaOfInsulatedWall].[All]" dimensionUniqueName="[FactEEPData]" displayFolder="" count="0" unbalanced="0"/>
    <cacheHierarchy uniqueName="[FactEEPData].[AsBuiltkWH]" caption="AsBuiltkWH" attribute="1" defaultMemberUniqueName="[FactEEPData].[AsBuiltkWH].[All]" allUniqueName="[FactEEPData].[AsBuiltkWH].[All]" dimensionUniqueName="[FactEEPData]" displayFolder="" count="0" unbalanced="0"/>
    <cacheHierarchy uniqueName="[FactEEPData].[AsBuiltTherms]" caption="AsBuiltTherms" attribute="1" defaultMemberUniqueName="[FactEEPData].[AsBuiltTherms].[All]" allUniqueName="[FactEEPData].[AsBuiltTherms].[All]" dimensionUniqueName="[FactEEPData]" displayFolder="" count="0" unbalanced="0"/>
    <cacheHierarchy uniqueName="[FactEEPData].[ASTMEnergyToFood]" caption="ASTMEnergyToFood" attribute="1" defaultMemberUniqueName="[FactEEPData].[ASTMEnergyToFood].[All]" allUniqueName="[FactEEPData].[ASTMEnergyToFood].[All]" dimensionUniqueName="[FactEEPData]" displayFolder="" count="0" unbalanced="0"/>
    <cacheHierarchy uniqueName="[FactEEPData].[AuditDate]" caption="AuditDate" attribute="1" defaultMemberUniqueName="[FactEEPData].[AuditDate].[All]" allUniqueName="[FactEEPData].[AuditDate].[All]" dimensionUniqueName="[FactEEPData]" displayFolder="" count="0" unbalanced="0"/>
    <cacheHierarchy uniqueName="[FactEEPData].[AverageTempDiff]" caption="AverageTempDiff" attribute="1" defaultMemberUniqueName="[FactEEPData].[AverageTempDiff].[All]" allUniqueName="[FactEEPData].[AverageTempDiff].[All]" dimensionUniqueName="[FactEEPData]" displayFolder="" count="0" unbalanced="0"/>
    <cacheHierarchy uniqueName="[FactEEPData].[BarePipeHeatLoss]" caption="BarePipeHeatLoss" attribute="1" defaultMemberUniqueName="[FactEEPData].[BarePipeHeatLoss].[All]" allUniqueName="[FactEEPData].[BarePipeHeatLoss].[All]" dimensionUniqueName="[FactEEPData]" displayFolder="" count="0" unbalanced="0"/>
    <cacheHierarchy uniqueName="[FactEEPData].[BasekWh]" caption="BasekWh" attribute="1" defaultMemberUniqueName="[FactEEPData].[BasekWh].[All]" allUniqueName="[FactEEPData].[BasekWh].[All]" dimensionUniqueName="[FactEEPData]" displayFolder="" count="0" unbalanced="0"/>
    <cacheHierarchy uniqueName="[FactEEPData].[BaselineEfficiency]" caption="BaselineEfficiency" attribute="1" defaultMemberUniqueName="[FactEEPData].[BaselineEfficiency].[All]" allUniqueName="[FactEEPData].[BaselineEfficiency].[All]" dimensionUniqueName="[FactEEPData]" displayFolder="" count="0" unbalanced="0"/>
    <cacheHierarchy uniqueName="[FactEEPData].[BaselineIdleEnergyRate]" caption="BaselineIdleEnergyRate" attribute="1" defaultMemberUniqueName="[FactEEPData].[BaselineIdleEnergyRate].[All]" allUniqueName="[FactEEPData].[BaselineIdleEnergyRate].[All]" dimensionUniqueName="[FactEEPData]" displayFolder="" count="0" unbalanced="0"/>
    <cacheHierarchy uniqueName="[FactEEPData].[BaselineIdleTime]" caption="BaselineIdleTime" attribute="1" defaultMemberUniqueName="[FactEEPData].[BaselineIdleTime].[All]" allUniqueName="[FactEEPData].[BaselineIdleTime].[All]" dimensionUniqueName="[FactEEPData]" displayFolder="" count="0" unbalanced="0"/>
    <cacheHierarchy uniqueName="[FactEEPData].[BaselineNumberOfPreheatsPerDay]" caption="BaselineNumberOfPreheatsPerDay" attribute="1" defaultMemberUniqueName="[FactEEPData].[BaselineNumberOfPreheatsPerDay].[All]" allUniqueName="[FactEEPData].[BaselineNumberOfPreheatsPerDay].[All]" dimensionUniqueName="[FactEEPData]" displayFolder="" count="0" unbalanced="0"/>
    <cacheHierarchy uniqueName="[FactEEPData].[BaselinePreheatRate]" caption="BaselinePreheatRate" attribute="1" defaultMemberUniqueName="[FactEEPData].[BaselinePreheatRate].[All]" allUniqueName="[FactEEPData].[BaselinePreheatRate].[All]" dimensionUniqueName="[FactEEPData]" displayFolder="" count="0" unbalanced="0"/>
    <cacheHierarchy uniqueName="[FactEEPData].[BaselinePreheatTime]" caption="BaselinePreheatTime" attribute="1" defaultMemberUniqueName="[FactEEPData].[BaselinePreheatTime].[All]" allUniqueName="[FactEEPData].[BaselinePreheatTime].[All]" dimensionUniqueName="[FactEEPData]" displayFolder="" count="0" unbalanced="0"/>
    <cacheHierarchy uniqueName="[FactEEPData].[BaselineProductionCapacity]" caption="BaselineProductionCapacity" attribute="1" defaultMemberUniqueName="[FactEEPData].[BaselineProductionCapacity].[All]" allUniqueName="[FactEEPData].[BaselineProductionCapacity].[All]" dimensionUniqueName="[FactEEPData]" displayFolder="" count="0" unbalanced="0"/>
    <cacheHierarchy uniqueName="[FactEEPData].[BaseTherms]" caption="BaseTherms" attribute="1" defaultMemberUniqueName="[FactEEPData].[BaseTherms].[All]" allUniqueName="[FactEEPData].[BaseTherms].[All]" dimensionUniqueName="[FactEEPData]" displayFolder="" count="0" unbalanced="0"/>
    <cacheHierarchy uniqueName="[FactEEPData].[BlowerDoorResults_ACH50]" caption="BlowerDoorResults_ACH50" attribute="1" defaultMemberUniqueName="[FactEEPData].[BlowerDoorResults_ACH50].[All]" allUniqueName="[FactEEPData].[BlowerDoorResults_ACH50].[All]" dimensionUniqueName="[FactEEPData]" displayFolder="" count="0" unbalanced="0"/>
    <cacheHierarchy uniqueName="[FactEEPData].[BudgetProgramDollarCost]" caption="BudgetProgramDollarCost" attribute="1" defaultMemberUniqueName="[FactEEPData].[BudgetProgramDollarCost].[All]" allUniqueName="[FactEEPData].[BudgetProgramDollarCost].[All]" dimensionUniqueName="[FactEEPData]" displayFolder="" count="0" unbalanced="0"/>
    <cacheHierarchy uniqueName="[FactEEPData].[BuilderIncentive]" caption="BuilderIncentive" attribute="1" defaultMemberUniqueName="[FactEEPData].[BuilderIncentive].[All]" allUniqueName="[FactEEPData].[BuilderIncentive].[All]" dimensionUniqueName="[FactEEPData]" displayFolder="" count="0" unbalanced="0"/>
    <cacheHierarchy uniqueName="[FactEEPData].[BuildingExposure]" caption="BuildingExposure" attribute="1" defaultMemberUniqueName="[FactEEPData].[BuildingExposure].[All]" allUniqueName="[FactEEPData].[BuildingExposure].[All]" dimensionUniqueName="[FactEEPData]" displayFolder="" count="0" unbalanced="0"/>
    <cacheHierarchy uniqueName="[FactEEPData].[BundleComponent]" caption="BundleComponent" attribute="1" defaultMemberUniqueName="[FactEEPData].[BundleComponent].[All]" allUniqueName="[FactEEPData].[BundleComponent].[All]" dimensionUniqueName="[FactEEPData]" displayFolder="" count="0" unbalanced="0"/>
    <cacheHierarchy uniqueName="[FactEEPData].[CalculatedDeltaSavingsPercent]" caption="CalculatedDeltaSavingsPercent" attribute="1" defaultMemberUniqueName="[FactEEPData].[CalculatedDeltaSavingsPercent].[All]" allUniqueName="[FactEEPData].[CalculatedDeltaSavingsPercent].[All]" dimensionUniqueName="[FactEEPData]" displayFolder="" count="0" unbalanced="0"/>
    <cacheHierarchy uniqueName="[FactEEPData].[CalculationMethod]" caption="CalculationMethod" attribute="1" defaultMemberUniqueName="[FactEEPData].[CalculationMethod].[All]" allUniqueName="[FactEEPData].[CalculationMethod].[All]" dimensionUniqueName="[FactEEPData]" displayFolder="" count="0" unbalanced="0"/>
    <cacheHierarchy uniqueName="[FactEEPData].[Circumference1]" caption="Circumference1" attribute="1" defaultMemberUniqueName="[FactEEPData].[Circumference1].[All]" allUniqueName="[FactEEPData].[Circumference1].[All]" dimensionUniqueName="[FactEEPData]" displayFolder="" count="0" unbalanced="0"/>
    <cacheHierarchy uniqueName="[FactEEPData].[Circumference2]" caption="Circumference2" attribute="1" defaultMemberUniqueName="[FactEEPData].[Circumference2].[All]" allUniqueName="[FactEEPData].[Circumference2].[All]" dimensionUniqueName="[FactEEPData]" displayFolder="" count="0" unbalanced="0"/>
    <cacheHierarchy uniqueName="[FactEEPData].[Classification]" caption="Classification" attribute="1" defaultMemberUniqueName="[FactEEPData].[Classification].[All]" allUniqueName="[FactEEPData].[Classification].[All]" dimensionUniqueName="[FactEEPData]" displayFolder="" count="0" unbalanced="0"/>
    <cacheHierarchy uniqueName="[FactEEPData].[ConditionedBasement]" caption="ConditionedBasement" attribute="1" defaultMemberUniqueName="[FactEEPData].[ConditionedBasement].[All]" allUniqueName="[FactEEPData].[ConditionedBasement].[All]" dimensionUniqueName="[FactEEPData]" displayFolder="" count="0" unbalanced="0"/>
    <cacheHierarchy uniqueName="[FactEEPData].[CustomerCopay]" caption="CustomerCopay" attribute="1" defaultMemberUniqueName="[FactEEPData].[CustomerCopay].[All]" allUniqueName="[FactEEPData].[CustomerCopay].[All]" dimensionUniqueName="[FactEEPData]" displayFolder="" count="0" unbalanced="0"/>
    <cacheHierarchy uniqueName="[FactEEPData].[CustomerCost]" caption="CustomerCost" attribute="1" defaultMemberUniqueName="[FactEEPData].[CustomerCost].[All]" allUniqueName="[FactEEPData].[CustomerCost].[All]" dimensionUniqueName="[FactEEPData]" displayFolder="" count="0" unbalanced="0"/>
    <cacheHierarchy uniqueName="[FactEEPData].[DailyCookingEnergyDiff]" caption="DailyCookingEnergyDiff" attribute="1" defaultMemberUniqueName="[FactEEPData].[DailyCookingEnergyDiff].[All]" allUniqueName="[FactEEPData].[DailyCookingEnergyDiff].[All]" dimensionUniqueName="[FactEEPData]" displayFolder="" count="0" unbalanced="0"/>
    <cacheHierarchy uniqueName="[FactEEPData].[DailyIdleEnergyDiff]" caption="DailyIdleEnergyDiff" attribute="1" defaultMemberUniqueName="[FactEEPData].[DailyIdleEnergyDiff].[All]" allUniqueName="[FactEEPData].[DailyIdleEnergyDiff].[All]" dimensionUniqueName="[FactEEPData]" displayFolder="" count="0" unbalanced="0"/>
    <cacheHierarchy uniqueName="[FactEEPData].[DailyPreheatEnergyDiff]" caption="DailyPreheatEnergyDiff" attribute="1" defaultMemberUniqueName="[FactEEPData].[DailyPreheatEnergyDiff].[All]" allUniqueName="[FactEEPData].[DailyPreheatEnergyDiff].[All]" dimensionUniqueName="[FactEEPData]" displayFolder="" count="0" unbalanced="0"/>
    <cacheHierarchy uniqueName="[FactEEPData].[DeemedThermSavings]" caption="DeemedThermSavings" attribute="1" defaultMemberUniqueName="[FactEEPData].[DeemedThermSavings].[All]" allUniqueName="[FactEEPData].[DeemedThermSavings].[All]" dimensionUniqueName="[FactEEPData]" displayFolder="" count="0" unbalanced="0"/>
    <cacheHierarchy uniqueName="[FactEEPData].[DegreeOfSetback]" caption="DegreeOfSetback" attribute="1" defaultMemberUniqueName="[FactEEPData].[DegreeOfSetback].[All]" allUniqueName="[FactEEPData].[DegreeOfSetback].[All]" dimensionUniqueName="[FactEEPData]" displayFolder="" count="0" unbalanced="0"/>
    <cacheHierarchy uniqueName="[FactEEPData].[DeltaMBTUH]" caption="DeltaMBTUH" attribute="1" defaultMemberUniqueName="[FactEEPData].[DeltaMBTUH].[All]" allUniqueName="[FactEEPData].[DeltaMBTUH].[All]" dimensionUniqueName="[FactEEPData]" displayFolder="" count="0" unbalanced="0"/>
    <cacheHierarchy uniqueName="[FactEEPData].[Derating_Base]" caption="Derating_Base" attribute="1" defaultMemberUniqueName="[FactEEPData].[Derating_Base].[All]" allUniqueName="[FactEEPData].[Derating_Base].[All]" dimensionUniqueName="[FactEEPData]" displayFolder="" count="0" unbalanced="0"/>
    <cacheHierarchy uniqueName="[FactEEPData].[Derating_Eff]" caption="Derating_Eff" attribute="1" defaultMemberUniqueName="[FactEEPData].[Derating_Eff].[All]" allUniqueName="[FactEEPData].[Derating_Eff].[All]" dimensionUniqueName="[FactEEPData]" displayFolder="" count="0" unbalanced="0"/>
    <cacheHierarchy uniqueName="[FactEEPData].[DrainFactor]" caption="DrainFactor" attribute="1" defaultMemberUniqueName="[FactEEPData].[DrainFactor].[All]" allUniqueName="[FactEEPData].[DrainFactor].[All]" dimensionUniqueName="[FactEEPData]" displayFolder="" count="0" unbalanced="0"/>
    <cacheHierarchy uniqueName="[FactEEPData].[DuctLeakageReduction]" caption="DuctLeakageReduction" attribute="1" defaultMemberUniqueName="[FactEEPData].[DuctLeakageReduction].[All]" allUniqueName="[FactEEPData].[DuctLeakageReduction].[All]" dimensionUniqueName="[FactEEPData]" displayFolder="" count="0" unbalanced="0"/>
    <cacheHierarchy uniqueName="[FactEEPData].[Duty]" caption="Duty" attribute="1" defaultMemberUniqueName="[FactEEPData].[Duty].[All]" allUniqueName="[FactEEPData].[Duty].[All]" dimensionUniqueName="[FactEEPData]" displayFolder="" count="0" unbalanced="0"/>
    <cacheHierarchy uniqueName="[FactEEPData].[EEPGrossTherms]" caption="EEPGrossTherms" attribute="1" defaultMemberUniqueName="[FactEEPData].[EEPGrossTherms].[All]" allUniqueName="[FactEEPData].[EEPGrossTherms].[All]" dimensionUniqueName="[FactEEPData]" displayFolder="" count="0" unbalanced="0"/>
    <cacheHierarchy uniqueName="[FactEEPData].[EfficiencyDHW]" caption="EfficiencyDHW" attribute="1" defaultMemberUniqueName="[FactEEPData].[EfficiencyDHW].[All]" allUniqueName="[FactEEPData].[EfficiencyDHW].[All]" dimensionUniqueName="[FactEEPData]" displayFolder="" count="0" unbalanced="0"/>
    <cacheHierarchy uniqueName="[FactEEPData].[EmergingTechnologyDollars]" caption="EmergingTechnologyDollars" attribute="1" defaultMemberUniqueName="[FactEEPData].[EmergingTechnologyDollars].[All]" allUniqueName="[FactEEPData].[EmergingTechnologyDollars].[All]" dimensionUniqueName="[FactEEPData]" displayFolder="" count="0" unbalanced="0"/>
    <cacheHierarchy uniqueName="[FactEEPData].[EndDate]" caption="EndDate" attribute="1" defaultMemberUniqueName="[FactEEPData].[EndDate].[All]" allUniqueName="[FactEEPData].[EndDate].[All]" dimensionUniqueName="[FactEEPData]" displayFolder="" count="0" unbalanced="0"/>
    <cacheHierarchy uniqueName="[FactEEPData].[EnergyPerGallon]" caption="EnergyPerGallon" attribute="1" defaultMemberUniqueName="[FactEEPData].[EnergyPerGallon].[All]" allUniqueName="[FactEEPData].[EnergyPerGallon].[All]" dimensionUniqueName="[FactEEPData]" displayFolder="" count="0" unbalanced="0"/>
    <cacheHierarchy uniqueName="[FactEEPData].[EnergySavingsPerPreheat]" caption="EnergySavingsPerPreheat" attribute="1" defaultMemberUniqueName="[FactEEPData].[EnergySavingsPerPreheat].[All]" allUniqueName="[FactEEPData].[EnergySavingsPerPreheat].[All]" dimensionUniqueName="[FactEEPData]" displayFolder="" count="0" unbalanced="0"/>
    <cacheHierarchy uniqueName="[FactEEPData].[ENERGYSTAR_EquipmentNumberOfPreheatsPerDay]" caption="ENERGYSTAR_EquipmentNumberOfPreheatsPerDay" attribute="1" defaultMemberUniqueName="[FactEEPData].[ENERGYSTAR_EquipmentNumberOfPreheatsPerDay].[All]" allUniqueName="[FactEEPData].[ENERGYSTAR_EquipmentNumberOfPreheatsPerDay].[All]" dimensionUniqueName="[FactEEPData]" displayFolder="" count="0" unbalanced="0"/>
    <cacheHierarchy uniqueName="[FactEEPData].[ENERGYSTAR_IdleEnergyRate]" caption="ENERGYSTAR_IdleEnergyRate" attribute="1" defaultMemberUniqueName="[FactEEPData].[ENERGYSTAR_IdleEnergyRate].[All]" allUniqueName="[FactEEPData].[ENERGYSTAR_IdleEnergyRate].[All]" dimensionUniqueName="[FactEEPData]" displayFolder="" count="0" unbalanced="0"/>
    <cacheHierarchy uniqueName="[FactEEPData].[ENERGYSTAR_IdleTime]" caption="ENERGYSTAR_IdleTime" attribute="1" defaultMemberUniqueName="[FactEEPData].[ENERGYSTAR_IdleTime].[All]" allUniqueName="[FactEEPData].[ENERGYSTAR_IdleTime].[All]" dimensionUniqueName="[FactEEPData]" displayFolder="" count="0" unbalanced="0"/>
    <cacheHierarchy uniqueName="[FactEEPData].[ENERGYSTAR_PreheatRate]" caption="ENERGYSTAR_PreheatRate" attribute="1" defaultMemberUniqueName="[FactEEPData].[ENERGYSTAR_PreheatRate].[All]" allUniqueName="[FactEEPData].[ENERGYSTAR_PreheatRate].[All]" dimensionUniqueName="[FactEEPData]" displayFolder="" count="0" unbalanced="0"/>
    <cacheHierarchy uniqueName="[FactEEPData].[ENERGYSTAR_PreheatTime]" caption="ENERGYSTAR_PreheatTime" attribute="1" defaultMemberUniqueName="[FactEEPData].[ENERGYSTAR_PreheatTime].[All]" allUniqueName="[FactEEPData].[ENERGYSTAR_PreheatTime].[All]" dimensionUniqueName="[FactEEPData]" displayFolder="" count="0" unbalanced="0"/>
    <cacheHierarchy uniqueName="[FactEEPData].[EquipmentEfficiency%]" caption="EquipmentEfficiency%" attribute="1" defaultMemberUniqueName="[FactEEPData].[EquipmentEfficiency%].[All]" allUniqueName="[FactEEPData].[EquipmentEfficiency%].[All]" dimensionUniqueName="[FactEEPData]" displayFolder="" count="0" unbalanced="0"/>
    <cacheHierarchy uniqueName="[FactEEPData].[EquipmentLocation]" caption="EquipmentLocation" attribute="1" defaultMemberUniqueName="[FactEEPData].[EquipmentLocation].[All]" allUniqueName="[FactEEPData].[EquipmentLocation].[All]" dimensionUniqueName="[FactEEPData]" displayFolder="" count="0" unbalanced="0"/>
    <cacheHierarchy uniqueName="[FactEEPData].[EquivalentFullLoadHours]" caption="EquivalentFullLoadHours" attribute="1" defaultMemberUniqueName="[FactEEPData].[EquivalentFullLoadHours].[All]" allUniqueName="[FactEEPData].[EquivalentFullLoadHours].[All]" dimensionUniqueName="[FactEEPData]" displayFolder="" count="0" unbalanced="0"/>
    <cacheHierarchy uniqueName="[FactEEPData].[EstimatedAnnualSewerSavings_Gallons]" caption="EstimatedAnnualSewerSavings_Gallons" attribute="1" defaultMemberUniqueName="[FactEEPData].[EstimatedAnnualSewerSavings_Gallons].[All]" allUniqueName="[FactEEPData].[EstimatedAnnualSewerSavings_Gallons].[All]" dimensionUniqueName="[FactEEPData]" displayFolder="" count="0" unbalanced="0"/>
    <cacheHierarchy uniqueName="[FactEEPData].[EstimatedAnnualWaterSavings_Gallons]" caption="EstimatedAnnualWaterSavings_Gallons" attribute="1" defaultMemberUniqueName="[FactEEPData].[EstimatedAnnualWaterSavings_Gallons].[All]" allUniqueName="[FactEEPData].[EstimatedAnnualWaterSavings_Gallons].[All]" dimensionUniqueName="[FactEEPData]" displayFolder="" count="0" unbalanced="0"/>
    <cacheHierarchy uniqueName="[FactEEPData].[EstimatedGrossAnnualThermSavings]" caption="EstimatedGrossAnnualThermSavings" attribute="1" defaultMemberUniqueName="[FactEEPData].[EstimatedGrossAnnualThermSavings].[All]" allUniqueName="[FactEEPData].[EstimatedGrossAnnualThermSavings].[All]" dimensionUniqueName="[FactEEPData]" displayFolder="" count="0" unbalanced="0"/>
    <cacheHierarchy uniqueName="[FactEEPData].[EstimatedGrosskWhSavings]" caption="EstimatedGrosskWhSavings" attribute="1" defaultMemberUniqueName="[FactEEPData].[EstimatedGrosskWhSavings].[All]" allUniqueName="[FactEEPData].[EstimatedGrosskWhSavings].[All]" dimensionUniqueName="[FactEEPData]" displayFolder="" count="0" unbalanced="0"/>
    <cacheHierarchy uniqueName="[FactEEPData].[EstimatedInstallationCost]" caption="EstimatedInstallationCost" attribute="1" defaultMemberUniqueName="[FactEEPData].[EstimatedInstallationCost].[All]" allUniqueName="[FactEEPData].[EstimatedInstallationCost].[All]" dimensionUniqueName="[FactEEPData]" displayFolder="" count="0" unbalanced="0"/>
    <cacheHierarchy uniqueName="[FactEEPData].[EstimatedMaintenanceCost]" caption="EstimatedMaintenanceCost" attribute="1" defaultMemberUniqueName="[FactEEPData].[EstimatedMaintenanceCost].[All]" allUniqueName="[FactEEPData].[EstimatedMaintenanceCost].[All]" dimensionUniqueName="[FactEEPData]" displayFolder="" count="0" unbalanced="0"/>
    <cacheHierarchy uniqueName="[FactEEPData].[EstimatedRebate]" caption="EstimatedRebate" attribute="1" defaultMemberUniqueName="[FactEEPData].[EstimatedRebate].[All]" allUniqueName="[FactEEPData].[EstimatedRebate].[All]" dimensionUniqueName="[FactEEPData]" displayFolder="" count="0" unbalanced="0"/>
    <cacheHierarchy uniqueName="[FactEEPData].[EstimatedSimplePayback]" caption="EstimatedSimplePayback" attribute="1" defaultMemberUniqueName="[FactEEPData].[EstimatedSimplePayback].[All]" allUniqueName="[FactEEPData].[EstimatedSimplePayback].[All]" dimensionUniqueName="[FactEEPData]" displayFolder="" count="0" unbalanced="0"/>
    <cacheHierarchy uniqueName="[FactEEPData].[ExistingMBTUH]" caption="ExistingMBTUH" attribute="1" defaultMemberUniqueName="[FactEEPData].[ExistingMBTUH].[All]" allUniqueName="[FactEEPData].[ExistingMBTUH].[All]" dimensionUniqueName="[FactEEPData]" displayFolder="" count="0" unbalanced="0"/>
    <cacheHierarchy uniqueName="[FactEEPData].[ExistingUnitStatus]" caption="ExistingUnitStatus" attribute="1" defaultMemberUniqueName="[FactEEPData].[ExistingUnitStatus].[All]" allUniqueName="[FactEEPData].[ExistingUnitStatus].[All]" dimensionUniqueName="[FactEEPData]" displayFolder="" count="0" unbalanced="0"/>
    <cacheHierarchy uniqueName="[FactEEPData].[ExternalRebateProcessorID]" caption="ExternalRebateProcessorID" attribute="1" defaultMemberUniqueName="[FactEEPData].[ExternalRebateProcessorID].[All]" allUniqueName="[FactEEPData].[ExternalRebateProcessorID].[All]" dimensionUniqueName="[FactEEPData]" displayFolder="" count="0" unbalanced="0"/>
    <cacheHierarchy uniqueName="[FactEEPData].[FaucetsPerHousehold]" caption="FaucetsPerHousehold" attribute="1" defaultMemberUniqueName="[FactEEPData].[FaucetsPerHousehold].[All]" allUniqueName="[FactEEPData].[FaucetsPerHousehold].[All]" dimensionUniqueName="[FactEEPData]" displayFolder="" count="0" unbalanced="0"/>
    <cacheHierarchy uniqueName="[FactEEPData].[FramingFactorAttic]" caption="FramingFactorAttic" attribute="1" defaultMemberUniqueName="[FactEEPData].[FramingFactorAttic].[All]" allUniqueName="[FactEEPData].[FramingFactorAttic].[All]" dimensionUniqueName="[FactEEPData]" displayFolder="" count="0" unbalanced="0"/>
    <cacheHierarchy uniqueName="[FactEEPData].[FramingFactorWall]" caption="FramingFactorWall" attribute="1" defaultMemberUniqueName="[FactEEPData].[FramingFactorWall].[All]" allUniqueName="[FactEEPData].[FramingFactorWall].[All]" dimensionUniqueName="[FactEEPData]" displayFolder="" count="0" unbalanced="0"/>
    <cacheHierarchy uniqueName="[FactEEPData].[FurnaceHeatingLoad]" caption="FurnaceHeatingLoad" attribute="1" defaultMemberUniqueName="[FactEEPData].[FurnaceHeatingLoad].[All]" allUniqueName="[FactEEPData].[FurnaceHeatingLoad].[All]" dimensionUniqueName="[FactEEPData]" displayFolder="" count="0" unbalanced="0"/>
    <cacheHierarchy uniqueName="[FactEEPData].[GallonsPerDay]" caption="GallonsPerDay" attribute="1" defaultMemberUniqueName="[FactEEPData].[GallonsPerDay].[All]" allUniqueName="[FactEEPData].[GallonsPerDay].[All]" dimensionUniqueName="[FactEEPData]" displayFolder="" count="0" unbalanced="0"/>
    <cacheHierarchy uniqueName="[FactEEPData].[GriddleDepth]" caption="GriddleDepth" attribute="1" defaultMemberUniqueName="[FactEEPData].[GriddleDepth].[All]" allUniqueName="[FactEEPData].[GriddleDepth].[All]" dimensionUniqueName="[FactEEPData]" displayFolder="" count="0" unbalanced="0"/>
    <cacheHierarchy uniqueName="[FactEEPData].[GriddleWidth]" caption="GriddleWidth" attribute="1" defaultMemberUniqueName="[FactEEPData].[GriddleWidth].[All]" allUniqueName="[FactEEPData].[GriddleWidth].[All]" dimensionUniqueName="[FactEEPData]" displayFolder="" count="0" unbalanced="0"/>
    <cacheHierarchy uniqueName="[FactEEPData].[GrossAnnualkWhSavings]" caption="GrossAnnualkWhSavings" attribute="1" defaultMemberUniqueName="[FactEEPData].[GrossAnnualkWhSavings].[All]" allUniqueName="[FactEEPData].[GrossAnnualkWhSavings].[All]" dimensionUniqueName="[FactEEPData]" displayFolder="" count="0" unbalanced="0"/>
    <cacheHierarchy uniqueName="[FactEEPData].[GrossAnnualThermSavings]" caption="GrossAnnualThermSavings" attribute="1" defaultMemberUniqueName="[FactEEPData].[GrossAnnualThermSavings].[All]" allUniqueName="[FactEEPData].[GrossAnnualThermSavings].[All]" dimensionUniqueName="[FactEEPData]" displayFolder="" count="0" unbalanced="0"/>
    <cacheHierarchy uniqueName="[FactEEPData].[HDD]" caption="HDD" attribute="1" defaultMemberUniqueName="[FactEEPData].[HDD].[All]" allUniqueName="[FactEEPData].[HDD].[All]" dimensionUniqueName="[FactEEPData]" displayFolder="" count="0" unbalanced="0"/>
    <cacheHierarchy uniqueName="[FactEEPData].[HeatingReduction]" caption="HeatingReduction" attribute="1" defaultMemberUniqueName="[FactEEPData].[HeatingReduction].[All]" allUniqueName="[FactEEPData].[HeatingReduction].[All]" dimensionUniqueName="[FactEEPData]" displayFolder="" count="0" unbalanced="0"/>
    <cacheHierarchy uniqueName="[FactEEPData].[HeatOfVaporization]" caption="HeatOfVaporization" attribute="1" defaultMemberUniqueName="[FactEEPData].[HeatOfVaporization].[All]" allUniqueName="[FactEEPData].[HeatOfVaporization].[All]" dimensionUniqueName="[FactEEPData]" displayFolder="" count="0" unbalanced="0"/>
    <cacheHierarchy uniqueName="[FactEEPData].[HeightOfWallAboveGrade]" caption="HeightOfWallAboveGrade" attribute="1" defaultMemberUniqueName="[FactEEPData].[HeightOfWallAboveGrade].[All]" allUniqueName="[FactEEPData].[HeightOfWallAboveGrade].[All]" dimensionUniqueName="[FactEEPData]" displayFolder="" count="0" unbalanced="0"/>
    <cacheHierarchy uniqueName="[FactEEPData].[Horsepower]" caption="Horsepower" attribute="1" defaultMemberUniqueName="[FactEEPData].[Horsepower].[All]" allUniqueName="[FactEEPData].[Horsepower].[All]" dimensionUniqueName="[FactEEPData]" displayFolder="" count="0" unbalanced="0"/>
    <cacheHierarchy uniqueName="[FactEEPData].[HotWaterReductionFactor]" caption="HotWaterReductionFactor" attribute="1" defaultMemberUniqueName="[FactEEPData].[HotWaterReductionFactor].[All]" allUniqueName="[FactEEPData].[HotWaterReductionFactor].[All]" dimensionUniqueName="[FactEEPData]" displayFolder="" count="0" unbalanced="0"/>
    <cacheHierarchy uniqueName="[FactEEPData].[HouseholdFactor]" caption="HouseholdFactor" attribute="1" defaultMemberUniqueName="[FactEEPData].[HouseholdFactor].[All]" allUniqueName="[FactEEPData].[HouseholdFactor].[All]" dimensionUniqueName="[FactEEPData]" displayFolder="" count="0" unbalanced="0"/>
    <cacheHierarchy uniqueName="[FactEEPData].[Incentive_OtherNonUtility]" caption="Incentive_OtherNonUtility" attribute="1" defaultMemberUniqueName="[FactEEPData].[Incentive_OtherNonUtility].[All]" allUniqueName="[FactEEPData].[Incentive_OtherNonUtility].[All]" dimensionUniqueName="[FactEEPData]" displayFolder="" count="0" unbalanced="0"/>
    <cacheHierarchy uniqueName="[FactEEPData].[Incentive_OtherUtility]" caption="Incentive_OtherUtility" attribute="1" defaultMemberUniqueName="[FactEEPData].[Incentive_OtherUtility].[All]" allUniqueName="[FactEEPData].[Incentive_OtherUtility].[All]" dimensionUniqueName="[FactEEPData]" displayFolder="" count="0" unbalanced="0"/>
    <cacheHierarchy uniqueName="[FactEEPData].[IncentiveCap]" caption="IncentiveCap" attribute="1" defaultMemberUniqueName="[FactEEPData].[IncentiveCap].[All]" allUniqueName="[FactEEPData].[IncentiveCap].[All]" dimensionUniqueName="[FactEEPData]" displayFolder="" count="0" unbalanced="0"/>
    <cacheHierarchy uniqueName="[FactEEPData].[IncentiveCost]" caption="IncentiveCost" attribute="1" defaultMemberUniqueName="[FactEEPData].[IncentiveCost].[All]" allUniqueName="[FactEEPData].[IncentiveCost].[All]" dimensionUniqueName="[FactEEPData]" displayFolder="" count="0" unbalanced="0"/>
    <cacheHierarchy uniqueName="[FactEEPData].[IncentivePaidDate]" caption="IncentivePaidDate" attribute="1" defaultMemberUniqueName="[FactEEPData].[IncentivePaidDate].[All]" allUniqueName="[FactEEPData].[IncentivePaidDate].[All]" dimensionUniqueName="[FactEEPData]" displayFolder="" count="0" unbalanced="0"/>
    <cacheHierarchy uniqueName="[FactEEPData].[IncentiveRate]" caption="IncentiveRate" attribute="1" defaultMemberUniqueName="[FactEEPData].[IncentiveRate].[All]" allUniqueName="[FactEEPData].[IncentiveRate].[All]" dimensionUniqueName="[FactEEPData]" displayFolder="" count="0" unbalanced="0"/>
    <cacheHierarchy uniqueName="[FactEEPData].[IncrementalCost]" caption="IncrementalCost" attribute="1" defaultMemberUniqueName="[FactEEPData].[IncrementalCost].[All]" allUniqueName="[FactEEPData].[IncrementalCost].[All]" dimensionUniqueName="[FactEEPData]" displayFolder="" count="0" unbalanced="0"/>
    <cacheHierarchy uniqueName="[FactEEPData].[InServiceRate]" caption="InServiceRate" attribute="1" defaultMemberUniqueName="[FactEEPData].[InServiceRate].[All]" allUniqueName="[FactEEPData].[InServiceRate].[All]" dimensionUniqueName="[FactEEPData]" displayFolder="" count="0" unbalanced="0"/>
    <cacheHierarchy uniqueName="[FactEEPData].[InstallationDate]" caption="InstallationDate" attribute="1" defaultMemberUniqueName="[FactEEPData].[InstallationDate].[All]" allUniqueName="[FactEEPData].[InstallationDate].[All]" dimensionUniqueName="[FactEEPData]" displayFolder="" count="0" unbalanced="0"/>
    <cacheHierarchy uniqueName="[FactEEPData].[InstallationEquipmentCost]" caption="InstallationEquipmentCost" attribute="1" defaultMemberUniqueName="[FactEEPData].[InstallationEquipmentCost].[All]" allUniqueName="[FactEEPData].[InstallationEquipmentCost].[All]" dimensionUniqueName="[FactEEPData]" displayFolder="" count="0" unbalanced="0"/>
    <cacheHierarchy uniqueName="[FactEEPData].[InsulatedPipeHeatLoss]" caption="InsulatedPipeHeatLoss" attribute="1" defaultMemberUniqueName="[FactEEPData].[InsulatedPipeHeatLoss].[All]" allUniqueName="[FactEEPData].[InsulatedPipeHeatLoss].[All]" dimensionUniqueName="[FactEEPData]" displayFolder="" count="0" unbalanced="0"/>
    <cacheHierarchy uniqueName="[FactEEPData].[InsulationType]" caption="InsulationType" attribute="1" defaultMemberUniqueName="[FactEEPData].[InsulationType].[All]" allUniqueName="[FactEEPData].[InsulationType].[All]" dimensionUniqueName="[FactEEPData]" displayFolder="" count="0" unbalanced="0"/>
    <cacheHierarchy uniqueName="[FactEEPData].[InvoiceNumber]" caption="InvoiceNumber" attribute="1" defaultMemberUniqueName="[FactEEPData].[InvoiceNumber].[All]" allUniqueName="[FactEEPData].[InvoiceNumber].[All]" dimensionUniqueName="[FactEEPData]" displayFolder="" count="0" unbalanced="0"/>
    <cacheHierarchy uniqueName="[FactEEPData].[Lbs]" caption="Lbs" attribute="1" defaultMemberUniqueName="[FactEEPData].[Lbs].[All]" allUniqueName="[FactEEPData].[Lbs].[All]" dimensionUniqueName="[FactEEPData]" displayFolder="" count="0" unbalanced="0"/>
    <cacheHierarchy uniqueName="[FactEEPData].[LeakingAndBlowThru]" caption="LeakingAndBlowThru" attribute="1" defaultMemberUniqueName="[FactEEPData].[LeakingAndBlowThru].[All]" allUniqueName="[FactEEPData].[LeakingAndBlowThru].[All]" dimensionUniqueName="[FactEEPData]" displayFolder="" count="0" unbalanced="0"/>
    <cacheHierarchy uniqueName="[FactEEPData].[LengthOfBasementWall]" caption="LengthOfBasementWall" attribute="1" defaultMemberUniqueName="[FactEEPData].[LengthOfBasementWall].[All]" allUniqueName="[FactEEPData].[LengthOfBasementWall].[All]" dimensionUniqueName="[FactEEPData]" displayFolder="" count="0" unbalanced="0"/>
    <cacheHierarchy uniqueName="[FactEEPData].[LengthOfFaucetUse]" caption="LengthOfFaucetUse" attribute="1" defaultMemberUniqueName="[FactEEPData].[LengthOfFaucetUse].[All]" allUniqueName="[FactEEPData].[LengthOfFaucetUse].[All]" dimensionUniqueName="[FactEEPData]" displayFolder="" count="0" unbalanced="0"/>
    <cacheHierarchy uniqueName="[FactEEPData].[LengthOfOtherComponents]" caption="LengthOfOtherComponents" attribute="1" defaultMemberUniqueName="[FactEEPData].[LengthOfOtherComponents].[All]" allUniqueName="[FactEEPData].[LengthOfOtherComponents].[All]" dimensionUniqueName="[FactEEPData]" displayFolder="" count="0" unbalanced="0"/>
    <cacheHierarchy uniqueName="[FactEEPData].[LevelOfRepairsCompleted]" caption="LevelOfRepairsCompleted" attribute="1" defaultMemberUniqueName="[FactEEPData].[LevelOfRepairsCompleted].[All]" allUniqueName="[FactEEPData].[LevelOfRepairsCompleted].[All]" dimensionUniqueName="[FactEEPData]" displayFolder="" count="0" unbalanced="0"/>
    <cacheHierarchy uniqueName="[FactEEPData].[LifecycleTherm]" caption="LifecycleTherm" attribute="1" defaultMemberUniqueName="[FactEEPData].[LifecycleTherm].[All]" allUniqueName="[FactEEPData].[LifecycleTherm].[All]" dimensionUniqueName="[FactEEPData]" displayFolder="" count="0" unbalanced="0"/>
    <cacheHierarchy uniqueName="[FactEEPData].[LinearFeet1]" caption="LinearFeet1" attribute="1" defaultMemberUniqueName="[FactEEPData].[LinearFeet1].[All]" allUniqueName="[FactEEPData].[LinearFeet1].[All]" dimensionUniqueName="[FactEEPData]" displayFolder="" count="0" unbalanced="0"/>
    <cacheHierarchy uniqueName="[FactEEPData].[LinearFeet2]" caption="LinearFeet2" attribute="1" defaultMemberUniqueName="[FactEEPData].[LinearFeet2].[All]" allUniqueName="[FactEEPData].[LinearFeet2].[All]" dimensionUniqueName="[FactEEPData]" displayFolder="" count="0" unbalanced="0"/>
    <cacheHierarchy uniqueName="[FactEEPData].[MaintenanceCost]" caption="MaintenanceCost" attribute="1" defaultMemberUniqueName="[FactEEPData].[MaintenanceCost].[All]" allUniqueName="[FactEEPData].[MaintenanceCost].[All]" dimensionUniqueName="[FactEEPData]" displayFolder="" count="0" unbalanced="0"/>
    <cacheHierarchy uniqueName="[FactEEPData].[ManagementDollars]" caption="ManagementDollars" attribute="1" defaultMemberUniqueName="[FactEEPData].[ManagementDollars].[All]" allUniqueName="[FactEEPData].[ManagementDollars].[All]" dimensionUniqueName="[FactEEPData]" displayFolder="" count="0" unbalanced="0"/>
    <cacheHierarchy uniqueName="[FactEEPData].[Manufacturer]" caption="Manufacturer" attribute="1" defaultMemberUniqueName="[FactEEPData].[Manufacturer].[All]" allUniqueName="[FactEEPData].[Manufacturer].[All]" dimensionUniqueName="[FactEEPData]" displayFolder="" count="0" unbalanced="0"/>
    <cacheHierarchy uniqueName="[FactEEPData].[MarketingCost]" caption="MarketingCost" attribute="1" defaultMemberUniqueName="[FactEEPData].[MarketingCost].[All]" allUniqueName="[FactEEPData].[MarketingCost].[All]" dimensionUniqueName="[FactEEPData]" displayFolder="" count="0" unbalanced="0"/>
    <cacheHierarchy uniqueName="[FactEEPData].[MaterialCost]" caption="MaterialCost" attribute="1" defaultMemberUniqueName="[FactEEPData].[MaterialCost].[All]" allUniqueName="[FactEEPData].[MaterialCost].[All]" dimensionUniqueName="[FactEEPData]" displayFolder="" count="0" unbalanced="0"/>
    <cacheHierarchy uniqueName="[FactEEPData].[MBH]" caption="MBH" attribute="1" defaultMemberUniqueName="[FactEEPData].[MBH].[All]" allUniqueName="[FactEEPData].[MBH].[All]" dimensionUniqueName="[FactEEPData]" displayFolder="" count="0" unbalanced="0"/>
    <cacheHierarchy uniqueName="[FactEEPData].[MeasureID_IC]" caption="MeasureID_IC" attribute="1" defaultMemberUniqueName="[FactEEPData].[MeasureID_IC].[All]" allUniqueName="[FactEEPData].[MeasureID_IC].[All]" dimensionUniqueName="[FactEEPData]" displayFolder="" count="0" unbalanced="0"/>
    <cacheHierarchy uniqueName="[FactEEPData].[MeasureLife]" caption="MeasureLife" attribute="1" defaultMemberUniqueName="[FactEEPData].[MeasureLife].[All]" allUniqueName="[FactEEPData].[MeasureLife].[All]" dimensionUniqueName="[FactEEPData]" displayFolder="" count="0" unbalanced="0"/>
    <cacheHierarchy uniqueName="[FactEEPData].[MeasureNotes]" caption="MeasureNotes" attribute="1" defaultMemberUniqueName="[FactEEPData].[MeasureNotes].[All]" allUniqueName="[FactEEPData].[MeasureNotes].[All]" dimensionUniqueName="[FactEEPData]" displayFolder="" count="0" unbalanced="0"/>
    <cacheHierarchy uniqueName="[FactEEPData].[MeasurePhase]" caption="MeasurePhase" attribute="1" defaultMemberUniqueName="[FactEEPData].[MeasurePhase].[All]" allUniqueName="[FactEEPData].[MeasurePhase].[All]" dimensionUniqueName="[FactEEPData]" displayFolder="" count="0" unbalanced="0"/>
    <cacheHierarchy uniqueName="[FactEEPData].[MechanicalVentilationRate_CFM]" caption="MechanicalVentilationRate_CFM" attribute="1" defaultMemberUniqueName="[FactEEPData].[MechanicalVentilationRate_CFM].[All]" allUniqueName="[FactEEPData].[MechanicalVentilationRate_CFM].[All]" dimensionUniqueName="[FactEEPData]" displayFolder="" count="0" unbalanced="0"/>
    <cacheHierarchy uniqueName="[FactEEPData].[MechanicalVentilationType]" caption="MechanicalVentilationType" attribute="1" defaultMemberUniqueName="[FactEEPData].[MechanicalVentilationType].[All]" allUniqueName="[FactEEPData].[MechanicalVentilationType].[All]" dimensionUniqueName="[FactEEPData]" displayFolder="" count="0" unbalanced="0"/>
    <cacheHierarchy uniqueName="[FactEEPData].[MiniGrantAmount]" caption="MiniGrantAmount" attribute="1" defaultMemberUniqueName="[FactEEPData].[MiniGrantAmount].[All]" allUniqueName="[FactEEPData].[MiniGrantAmount].[All]" dimensionUniqueName="[FactEEPData]" displayFolder="" count="0" unbalanced="0"/>
    <cacheHierarchy uniqueName="[FactEEPData].[Model]" caption="Model" attribute="1" defaultMemberUniqueName="[FactEEPData].[Model].[All]" allUniqueName="[FactEEPData].[Model].[All]" dimensionUniqueName="[FactEEPData]" displayFolder="" count="0" unbalanced="0"/>
    <cacheHierarchy uniqueName="[FactEEPData].[N_Heat]" caption="N_Heat" attribute="1" defaultMemberUniqueName="[FactEEPData].[N_Heat].[All]" allUniqueName="[FactEEPData].[N_Heat].[All]" dimensionUniqueName="[FactEEPData]" displayFolder="" count="0" unbalanced="0"/>
    <cacheHierarchy uniqueName="[FactEEPData].[NetAnnualThermsMeasure]" caption="NetAnnualThermsMeasure" attribute="1" defaultMemberUniqueName="[FactEEPData].[NetAnnualThermsMeasure].[All]" allUniqueName="[FactEEPData].[NetAnnualThermsMeasure].[All]" dimensionUniqueName="[FactEEPData]" displayFolder="" count="0" unbalanced="0"/>
    <cacheHierarchy uniqueName="[FactEEPData].[NetAnnualThermsProgram]" caption="NetAnnualThermsProgram" attribute="1" defaultMemberUniqueName="[FactEEPData].[NetAnnualThermsProgram].[All]" allUniqueName="[FactEEPData].[NetAnnualThermsProgram].[All]" dimensionUniqueName="[FactEEPData]" displayFolder="" count="0" unbalanced="0"/>
    <cacheHierarchy uniqueName="[FactEEPData].[NetToGross]" caption="NetToGross" attribute="1" defaultMemberUniqueName="[FactEEPData].[NetToGross].[All]" allUniqueName="[FactEEPData].[NetToGross].[All]" dimensionUniqueName="[FactEEPData]" displayFolder="" count="0" unbalanced="0"/>
    <cacheHierarchy uniqueName="[FactEEPData].[NexantMeasureKey]" caption="NexantMeasureKey" attribute="1" defaultMemberUniqueName="[FactEEPData].[NexantMeasureKey].[All]" allUniqueName="[FactEEPData].[NexantMeasureKey].[All]" dimensionUniqueName="[FactEEPData]" displayFolder="" count="0" unbalanced="0"/>
    <cacheHierarchy uniqueName="[FactEEPData].[NoOfComEdKitsDistributed]" caption="NoOfComEdKitsDistributed" attribute="1" defaultMemberUniqueName="[FactEEPData].[NoOfComEdKitsDistributed].[All]" allUniqueName="[FactEEPData].[NoOfComEdKitsDistributed].[All]" dimensionUniqueName="[FactEEPData]" displayFolder="" count="0" unbalanced="0"/>
    <cacheHierarchy uniqueName="[FactEEPData].[NoOfComEdKitsReceived]" caption="NoOfComEdKitsReceived" attribute="1" defaultMemberUniqueName="[FactEEPData].[NoOfComEdKitsReceived].[All]" allUniqueName="[FactEEPData].[NoOfComEdKitsReceived].[All]" dimensionUniqueName="[FactEEPData]" displayFolder="" count="0" unbalanced="0"/>
    <cacheHierarchy uniqueName="[FactEEPData].[NoOfNicorKitsDistributed]" caption="NoOfNicorKitsDistributed" attribute="1" defaultMemberUniqueName="[FactEEPData].[NoOfNicorKitsDistributed].[All]" allUniqueName="[FactEEPData].[NoOfNicorKitsDistributed].[All]" dimensionUniqueName="[FactEEPData]" displayFolder="" count="0" unbalanced="0"/>
    <cacheHierarchy uniqueName="[FactEEPData].[NoOfNicorKitsReceived]" caption="NoOfNicorKitsReceived" attribute="1" defaultMemberUniqueName="[FactEEPData].[NoOfNicorKitsReceived].[All]" allUniqueName="[FactEEPData].[NoOfNicorKitsReceived].[All]" dimensionUniqueName="[FactEEPData]" displayFolder="" count="0" unbalanced="0"/>
    <cacheHierarchy uniqueName="[FactEEPData].[NoOfScantronsReturned]" caption="NoOfScantronsReturned" attribute="1" defaultMemberUniqueName="[FactEEPData].[NoOfScantronsReturned].[All]" allUniqueName="[FactEEPData].[NoOfScantronsReturned].[All]" dimensionUniqueName="[FactEEPData]" displayFolder="" count="0" unbalanced="0"/>
    <cacheHierarchy uniqueName="[FactEEPData].[NTGRatioMeasure]" caption="NTGRatioMeasure" attribute="1" defaultMemberUniqueName="[FactEEPData].[NTGRatioMeasure].[All]" allUniqueName="[FactEEPData].[NTGRatioMeasure].[All]" dimensionUniqueName="[FactEEPData]" displayFolder="" count="0" unbalanced="0"/>
    <cacheHierarchy uniqueName="[FactEEPData].[NTGRatioProgram]" caption="NTGRatioProgram" attribute="1" defaultMemberUniqueName="[FactEEPData].[NTGRatioProgram].[All]" allUniqueName="[FactEEPData].[NTGRatioProgram].[All]" dimensionUniqueName="[FactEEPData]" displayFolder="" count="0" unbalanced="0"/>
    <cacheHierarchy uniqueName="[FactEEPData].[Numberofboilerscontrolled]" caption="Numberofboilerscontrolled" attribute="1" defaultMemberUniqueName="[FactEEPData].[Numberofboilerscontrolled].[All]" allUniqueName="[FactEEPData].[Numberofboilerscontrolled].[All]" dimensionUniqueName="[FactEEPData]" displayFolder="" count="0" unbalanced="0"/>
    <cacheHierarchy uniqueName="[FactEEPData].[NumberOfPans]" caption="NumberOfPans" attribute="1" defaultMemberUniqueName="[FactEEPData].[NumberOfPans].[All]" allUniqueName="[FactEEPData].[NumberOfPans].[All]" dimensionUniqueName="[FactEEPData]" displayFolder="" count="0" unbalanced="0"/>
    <cacheHierarchy uniqueName="[FactEEPData].[NumberOfRecommendedECMs]" caption="NumberOfRecommendedECMs" attribute="1" defaultMemberUniqueName="[FactEEPData].[NumberOfRecommendedECMs].[All]" allUniqueName="[FactEEPData].[NumberOfRecommendedECMs].[All]" dimensionUniqueName="[FactEEPData]" displayFolder="" count="0" unbalanced="0"/>
    <cacheHierarchy uniqueName="[FactEEPData].[OperationDays/Year]" caption="OperationDays/Year" attribute="1" defaultMemberUniqueName="[FactEEPData].[OperationDays/Year].[All]" allUniqueName="[FactEEPData].[OperationDays/Year].[All]" dimensionUniqueName="[FactEEPData]" displayFolder="" count="0" unbalanced="0"/>
    <cacheHierarchy uniqueName="[FactEEPData].[OperationHours/Day]" caption="OperationHours/Day" attribute="1" defaultMemberUniqueName="[FactEEPData].[OperationHours/Day].[All]" allUniqueName="[FactEEPData].[OperationHours/Day].[All]" dimensionUniqueName="[FactEEPData]" displayFolder="" count="0" unbalanced="0"/>
    <cacheHierarchy uniqueName="[FactEEPData].[OtherUtilityProjectFee]" caption="OtherUtilityProjectFee" attribute="1" defaultMemberUniqueName="[FactEEPData].[OtherUtilityProjectFee].[All]" allUniqueName="[FactEEPData].[OtherUtilityProjectFee].[All]" dimensionUniqueName="[FactEEPData]" displayFolder="" count="0" unbalanced="0"/>
    <cacheHierarchy uniqueName="[FactEEPData].[PercentFossilFuel]" caption="PercentFossilFuel" attribute="1" defaultMemberUniqueName="[FactEEPData].[PercentFossilFuel].[All]" allUniqueName="[FactEEPData].[PercentFossilFuel].[All]" dimensionUniqueName="[FactEEPData]" displayFolder="" count="0" unbalanced="0"/>
    <cacheHierarchy uniqueName="[FactEEPData].[PercentOfScantronsReturnedV02]" caption="PercentOfScantronsReturnedV02" attribute="1" defaultMemberUniqueName="[FactEEPData].[PercentOfScantronsReturnedV02].[All]" allUniqueName="[FactEEPData].[PercentOfScantronsReturnedV02].[All]" dimensionUniqueName="[FactEEPData]" displayFolder="" count="0" unbalanced="0"/>
    <cacheHierarchy uniqueName="[FactEEPData].[PortfolioMarketingDollars]" caption="PortfolioMarketingDollars" attribute="1" defaultMemberUniqueName="[FactEEPData].[PortfolioMarketingDollars].[All]" allUniqueName="[FactEEPData].[PortfolioMarketingDollars].[All]" dimensionUniqueName="[FactEEPData]" displayFolder="" count="0" unbalanced="0"/>
    <cacheHierarchy uniqueName="[FactEEPData].[PortfolioMeasureLife]" caption="PortfolioMeasureLife" attribute="1" defaultMemberUniqueName="[FactEEPData].[PortfolioMeasureLife].[All]" allUniqueName="[FactEEPData].[PortfolioMeasureLife].[All]" dimensionUniqueName="[FactEEPData]" displayFolder="" count="0" unbalanced="0"/>
    <cacheHierarchy uniqueName="[FactEEPData].[PostInstallationEfficiency]" caption="PostInstallationEfficiency" attribute="1" defaultMemberUniqueName="[FactEEPData].[PostInstallationEfficiency].[All]" allUniqueName="[FactEEPData].[PostInstallationEfficiency].[All]" dimensionUniqueName="[FactEEPData]" displayFolder="" count="0" unbalanced="0"/>
    <cacheHierarchy uniqueName="[FactEEPData].[PostInstallValue]" caption="PostInstallValue" attribute="1" defaultMemberUniqueName="[FactEEPData].[PostInstallValue].[All]" allUniqueName="[FactEEPData].[PostInstallValue].[All]" dimensionUniqueName="[FactEEPData]" displayFolder="" count="0" unbalanced="0"/>
    <cacheHierarchy uniqueName="[FactEEPData].[Post-Output Capacity]" caption="Post-Output Capacity" attribute="1" defaultMemberUniqueName="[FactEEPData].[Post-Output Capacity].[All]" allUniqueName="[FactEEPData].[Post-Output Capacity].[All]" dimensionUniqueName="[FactEEPData]" displayFolder="" count="0" unbalanced="0"/>
    <cacheHierarchy uniqueName="[FactEEPData].[PreApprovalNumber]" caption="PreApprovalNumber" attribute="1" defaultMemberUniqueName="[FactEEPData].[PreApprovalNumber].[All]" allUniqueName="[FactEEPData].[PreApprovalNumber].[All]" dimensionUniqueName="[FactEEPData]" displayFolder="" count="0" unbalanced="0"/>
    <cacheHierarchy uniqueName="[FactEEPData].[PreInstallationEfficiency]" caption="PreInstallationEfficiency" attribute="1" defaultMemberUniqueName="[FactEEPData].[PreInstallationEfficiency].[All]" allUniqueName="[FactEEPData].[PreInstallationEfficiency].[All]" dimensionUniqueName="[FactEEPData]" displayFolder="" count="0" unbalanced="0"/>
    <cacheHierarchy uniqueName="[FactEEPData].[PreInstallValue]" caption="PreInstallValue" attribute="1" defaultMemberUniqueName="[FactEEPData].[PreInstallValue].[All]" allUniqueName="[FactEEPData].[PreInstallValue].[All]" dimensionUniqueName="[FactEEPData]" displayFolder="" count="0" unbalanced="0"/>
    <cacheHierarchy uniqueName="[FactEEPData].[Pre-Output Capacity]" caption="Pre-Output Capacity" attribute="1" defaultMemberUniqueName="[FactEEPData].[Pre-Output Capacity].[All]" allUniqueName="[FactEEPData].[Pre-Output Capacity].[All]" dimensionUniqueName="[FactEEPData]" displayFolder="" count="0" unbalanced="0"/>
    <cacheHierarchy uniqueName="[FactEEPData].[ProgramEvaluationDollars]" caption="ProgramEvaluationDollars" attribute="1" defaultMemberUniqueName="[FactEEPData].[ProgramEvaluationDollars].[All]" allUniqueName="[FactEEPData].[ProgramEvaluationDollars].[All]" dimensionUniqueName="[FactEEPData]" displayFolder="" count="0" unbalanced="0"/>
    <cacheHierarchy uniqueName="[FactEEPData].[ProjectManagementFee]" caption="ProjectManagementFee" attribute="1" defaultMemberUniqueName="[FactEEPData].[ProjectManagementFee].[All]" allUniqueName="[FactEEPData].[ProjectManagementFee].[All]" dimensionUniqueName="[FactEEPData]" displayFolder="" count="0" unbalanced="0"/>
    <cacheHierarchy uniqueName="[FactEEPData].[PurchaseDate]" caption="PurchaseDate" attribute="1" defaultMemberUniqueName="[FactEEPData].[PurchaseDate].[All]" allUniqueName="[FactEEPData].[PurchaseDate].[All]" dimensionUniqueName="[FactEEPData]" displayFolder="" count="0" unbalanced="0"/>
    <cacheHierarchy uniqueName="[FactEEPData].[QCEfficiency]" caption="QCEfficiency" attribute="1" defaultMemberUniqueName="[FactEEPData].[QCEfficiency].[All]" allUniqueName="[FactEEPData].[QCEfficiency].[All]" dimensionUniqueName="[FactEEPData]" displayFolder="" count="0" unbalanced="0"/>
    <cacheHierarchy uniqueName="[FactEEPData].[Quantity]" caption="Quantity" attribute="1" defaultMemberUniqueName="[FactEEPData].[Quantity].[All]" allUniqueName="[FactEEPData].[Quantity].[All]" dimensionUniqueName="[FactEEPData]" displayFolder="" count="0" unbalanced="0"/>
    <cacheHierarchy uniqueName="[FactEEPData].[RaterIncentive]" caption="RaterIncentive" attribute="1" defaultMemberUniqueName="[FactEEPData].[RaterIncentive].[All]" allUniqueName="[FactEEPData].[RaterIncentive].[All]" dimensionUniqueName="[FactEEPData]" displayFolder="" count="0" unbalanced="0"/>
    <cacheHierarchy uniqueName="[FactEEPData].[RealizationRate]" caption="RealizationRate" attribute="1" defaultMemberUniqueName="[FactEEPData].[RealizationRate].[All]" allUniqueName="[FactEEPData].[RealizationRate].[All]" dimensionUniqueName="[FactEEPData]" displayFolder="" count="0" unbalanced="0"/>
    <cacheHierarchy uniqueName="[FactEEPData].[RebateUnitOfMeasure]" caption="RebateUnitOfMeasure" attribute="1" defaultMemberUniqueName="[FactEEPData].[RebateUnitOfMeasure].[All]" allUniqueName="[FactEEPData].[RebateUnitOfMeasure].[All]" dimensionUniqueName="[FactEEPData]" displayFolder="" count="0" unbalanced="0"/>
    <cacheHierarchy uniqueName="[FactEEPData].[Recommendation]" caption="Recommendation" attribute="1" defaultMemberUniqueName="[FactEEPData].[Recommendation].[All]" allUniqueName="[FactEEPData].[Recommendation].[All]" dimensionUniqueName="[FactEEPData]" displayFolder="" count="0" unbalanced="0"/>
    <cacheHierarchy uniqueName="[FactEEPData].[ReportingReferenceDate]" caption="ReportingReferenceDate" attribute="1" defaultMemberUniqueName="[FactEEPData].[ReportingReferenceDate].[All]" allUniqueName="[FactEEPData].[ReportingReferenceDate].[All]" dimensionUniqueName="[FactEEPData]" displayFolder="" count="0" unbalanced="0"/>
    <cacheHierarchy uniqueName="[FactEEPData].[RestaurantType]" caption="RestaurantType" attribute="1" defaultMemberUniqueName="[FactEEPData].[RestaurantType].[All]" allUniqueName="[FactEEPData].[RestaurantType].[All]" dimensionUniqueName="[FactEEPData]" displayFolder="" count="0" unbalanced="0"/>
    <cacheHierarchy uniqueName="[FactEEPData].[RetailerForSelfInstall]" caption="RetailerForSelfInstall" attribute="1" defaultMemberUniqueName="[FactEEPData].[RetailerForSelfInstall].[All]" allUniqueName="[FactEEPData].[RetailerForSelfInstall].[All]" dimensionUniqueName="[FactEEPData]" displayFolder="" count="0" unbalanced="0"/>
    <cacheHierarchy uniqueName="[FactEEPData].[R-ValueAdded]" caption="R-ValueAdded" attribute="1" defaultMemberUniqueName="[FactEEPData].[R-ValueAdded].[All]" allUniqueName="[FactEEPData].[R-ValueAdded].[All]" dimensionUniqueName="[FactEEPData]" displayFolder="" count="0" unbalanced="0"/>
    <cacheHierarchy uniqueName="[FactEEPData].[R-ValueExistingAboveground]" caption="R-ValueExistingAboveground" attribute="1" defaultMemberUniqueName="[FactEEPData].[R-ValueExistingAboveground].[All]" allUniqueName="[FactEEPData].[R-ValueExistingAboveground].[All]" dimensionUniqueName="[FactEEPData]" displayFolder="" count="0" unbalanced="0"/>
    <cacheHierarchy uniqueName="[FactEEPData].[R-ValueExistingBelowGround]" caption="R-ValueExistingBelowGround" attribute="1" defaultMemberUniqueName="[FactEEPData].[R-ValueExistingBelowGround].[All]" allUniqueName="[FactEEPData].[R-ValueExistingBelowGround].[All]" dimensionUniqueName="[FactEEPData]" displayFolder="" count="0" unbalanced="0"/>
    <cacheHierarchy uniqueName="[FactEEPData].[SavingsFactor]" caption="SavingsFactor" attribute="1" defaultMemberUniqueName="[FactEEPData].[SavingsFactor].[All]" allUniqueName="[FactEEPData].[SavingsFactor].[All]" dimensionUniqueName="[FactEEPData]" displayFolder="" count="0" unbalanced="0"/>
    <cacheHierarchy uniqueName="[FactEEPData].[SavingsUnitOfMeasure]" caption="SavingsUnitOfMeasure" attribute="1" defaultMemberUniqueName="[FactEEPData].[SavingsUnitOfMeasure].[All]" allUniqueName="[FactEEPData].[SavingsUnitOfMeasure].[All]" dimensionUniqueName="[FactEEPData]" displayFolder="" count="0" unbalanced="0"/>
    <cacheHierarchy uniqueName="[FactEEPData].[Serial#]" caption="Serial#" attribute="1" defaultMemberUniqueName="[FactEEPData].[Serial#].[All]" allUniqueName="[FactEEPData].[Serial#].[All]" dimensionUniqueName="[FactEEPData]" displayFolder="" count="0" unbalanced="0"/>
    <cacheHierarchy uniqueName="[FactEEPData].[ShowersPerPersonPerDay]" caption="ShowersPerPersonPerDay" attribute="1" defaultMemberUniqueName="[FactEEPData].[ShowersPerPersonPerDay].[All]" allUniqueName="[FactEEPData].[ShowersPerPersonPerDay].[All]" dimensionUniqueName="[FactEEPData]" displayFolder="" count="0" unbalanced="0"/>
    <cacheHierarchy uniqueName="[FactEEPData].[SimplePayback]" caption="SimplePayback" attribute="1" defaultMemberUniqueName="[FactEEPData].[SimplePayback].[All]" allUniqueName="[FactEEPData].[SimplePayback].[All]" dimensionUniqueName="[FactEEPData]" displayFolder="" count="0" unbalanced="0"/>
    <cacheHierarchy uniqueName="[FactEEPData].[Size]" caption="Size" attribute="1" defaultMemberUniqueName="[FactEEPData].[Size].[All]" allUniqueName="[FactEEPData].[Size].[All]" dimensionUniqueName="[FactEEPData]" displayFolder="" count="0" unbalanced="0"/>
    <cacheHierarchy uniqueName="[FactEEPData].[SquareFeet]" caption="SquareFeet" attribute="1" defaultMemberUniqueName="[FactEEPData].[SquareFeet].[All]" allUniqueName="[FactEEPData].[SquareFeet].[All]" dimensionUniqueName="[FactEEPData]" displayFolder="" count="0" unbalanced="0"/>
    <cacheHierarchy uniqueName="[FactEEPData].[StandbyLoss]" caption="StandbyLoss" attribute="1" defaultMemberUniqueName="[FactEEPData].[StandbyLoss].[All]" allUniqueName="[FactEEPData].[StandbyLoss].[All]" dimensionUniqueName="[FactEEPData]" displayFolder="" count="0" unbalanced="0"/>
    <cacheHierarchy uniqueName="[FactEEPData].[StartDate]" caption="StartDate" attribute="1" defaultMemberUniqueName="[FactEEPData].[StartDate].[All]" allUniqueName="[FactEEPData].[StartDate].[All]" dimensionUniqueName="[FactEEPData]" displayFolder="" count="0" unbalanced="0"/>
    <cacheHierarchy uniqueName="[FactEEPData].[SteamlossPerTrap]" caption="SteamlossPerTrap" attribute="1" defaultMemberUniqueName="[FactEEPData].[SteamlossPerTrap].[All]" allUniqueName="[FactEEPData].[SteamlossPerTrap].[All]" dimensionUniqueName="[FactEEPData]" displayFolder="" count="0" unbalanced="0"/>
    <cacheHierarchy uniqueName="[FactEEPData].[SteamSystemType]" caption="SteamSystemType" attribute="1" defaultMemberUniqueName="[FactEEPData].[SteamSystemType].[All]" allUniqueName="[FactEEPData].[SteamSystemType].[All]" dimensionUniqueName="[FactEEPData]" displayFolder="" count="0" unbalanced="0"/>
    <cacheHierarchy uniqueName="[FactEEPData].[SteamTrapType]" caption="SteamTrapType" attribute="1" defaultMemberUniqueName="[FactEEPData].[SteamTrapType].[All]" allUniqueName="[FactEEPData].[SteamTrapType].[All]" dimensionUniqueName="[FactEEPData]" displayFolder="" count="0" unbalanced="0"/>
    <cacheHierarchy uniqueName="[FactEEPData].[SubContractorType]" caption="SubContractorType" attribute="1" defaultMemberUniqueName="[FactEEPData].[SubContractorType].[All]" allUniqueName="[FactEEPData].[SubContractorType].[All]" dimensionUniqueName="[FactEEPData]" displayFolder="" count="0" unbalanced="0"/>
    <cacheHierarchy uniqueName="[FactEEPData].[SubMeasure]" caption="SubMeasure" attribute="1" defaultMemberUniqueName="[FactEEPData].[SubMeasure].[All]" allUniqueName="[FactEEPData].[SubMeasure].[All]" dimensionUniqueName="[FactEEPData]" displayFolder="" count="0" unbalanced="0"/>
    <cacheHierarchy uniqueName="[FactEEPData].[SystemType]" caption="SystemType" attribute="1" defaultMemberUniqueName="[FactEEPData].[SystemType].[All]" allUniqueName="[FactEEPData].[SystemType].[All]" dimensionUniqueName="[FactEEPData]" displayFolder="" count="0" unbalanced="0"/>
    <cacheHierarchy uniqueName="[FactEEPData].[TaskStatus]" caption="TaskStatus" attribute="1" defaultMemberUniqueName="[FactEEPData].[TaskStatus].[All]" allUniqueName="[FactEEPData].[TaskStatus].[All]" dimensionUniqueName="[FactEEPData]" displayFolder="" count="0" unbalanced="0"/>
    <cacheHierarchy uniqueName="[FactEEPData].[TeacherName]" caption="TeacherName" attribute="1" defaultMemberUniqueName="[FactEEPData].[TeacherName].[All]" allUniqueName="[FactEEPData].[TeacherName].[All]" dimensionUniqueName="[FactEEPData]" displayFolder="" count="0" unbalanced="0"/>
    <cacheHierarchy uniqueName="[FactEEPData].[TechnologyDollars]" caption="TechnologyDollars" attribute="1" defaultMemberUniqueName="[FactEEPData].[TechnologyDollars].[All]" allUniqueName="[FactEEPData].[TechnologyDollars].[All]" dimensionUniqueName="[FactEEPData]" displayFolder="" count="0" unbalanced="0"/>
    <cacheHierarchy uniqueName="[FactEEPData].[TentativeInstallDate]" caption="TentativeInstallDate" attribute="1" defaultMemberUniqueName="[FactEEPData].[TentativeInstallDate].[All]" allUniqueName="[FactEEPData].[TentativeInstallDate].[All]" dimensionUniqueName="[FactEEPData]" displayFolder="" count="0" unbalanced="0"/>
    <cacheHierarchy uniqueName="[FactEEPData].[ThermalRegainFactor]" caption="ThermalRegainFactor" attribute="1" defaultMemberUniqueName="[FactEEPData].[ThermalRegainFactor].[All]" allUniqueName="[FactEEPData].[ThermalRegainFactor].[All]" dimensionUniqueName="[FactEEPData]" displayFolder="" count="0" unbalanced="0"/>
    <cacheHierarchy uniqueName="[FactEEPData].[Tier]" caption="Tier" attribute="1" defaultMemberUniqueName="[FactEEPData].[Tier].[All]" allUniqueName="[FactEEPData].[Tier].[All]" dimensionUniqueName="[FactEEPData]" displayFolder="" count="0" unbalanced="0"/>
    <cacheHierarchy uniqueName="[FactEEPData].[Tin]" caption="Tin" attribute="1" defaultMemberUniqueName="[FactEEPData].[Tin].[All]" allUniqueName="[FactEEPData].[Tin].[All]" dimensionUniqueName="[FactEEPData]" displayFolder="" count="0" unbalanced="0"/>
    <cacheHierarchy uniqueName="[FactEEPData].[TotalMeasureCost]" caption="TotalMeasureCost" attribute="1" defaultMemberUniqueName="[FactEEPData].[TotalMeasureCost].[All]" allUniqueName="[FactEEPData].[TotalMeasureCost].[All]" dimensionUniqueName="[FactEEPData]" displayFolder="" count="0" unbalanced="0"/>
    <cacheHierarchy uniqueName="[FactEEPData].[TotalRegisteredQuantity]" caption="TotalRegisteredQuantity" attribute="1" defaultMemberUniqueName="[FactEEPData].[TotalRegisteredQuantity].[All]" allUniqueName="[FactEEPData].[TotalRegisteredQuantity].[All]" dimensionUniqueName="[FactEEPData]" displayFolder="" count="0" unbalanced="0"/>
    <cacheHierarchy uniqueName="[FactEEPData].[TotalSqFeetAboveGrade]" caption="TotalSqFeetAboveGrade" attribute="1" defaultMemberUniqueName="[FactEEPData].[TotalSqFeetAboveGrade].[All]" allUniqueName="[FactEEPData].[TotalSqFeetAboveGrade].[All]" dimensionUniqueName="[FactEEPData]" displayFolder="" count="0" unbalanced="0"/>
    <cacheHierarchy uniqueName="[FactEEPData].[TotalSqFeetBelowGrade]" caption="TotalSqFeetBelowGrade" attribute="1" defaultMemberUniqueName="[FactEEPData].[TotalSqFeetBelowGrade].[All]" allUniqueName="[FactEEPData].[TotalSqFeetBelowGrade].[All]" dimensionUniqueName="[FactEEPData]" displayFolder="" count="0" unbalanced="0"/>
    <cacheHierarchy uniqueName="[FactEEPData].[TotalWallHeight]" caption="TotalWallHeight" attribute="1" defaultMemberUniqueName="[FactEEPData].[TotalWallHeight].[All]" allUniqueName="[FactEEPData].[TotalWallHeight].[All]" dimensionUniqueName="[FactEEPData]" displayFolder="" count="0" unbalanced="0"/>
    <cacheHierarchy uniqueName="[FactEEPData].[Tout]" caption="Tout" attribute="1" defaultMemberUniqueName="[FactEEPData].[Tout].[All]" allUniqueName="[FactEEPData].[Tout].[All]" dimensionUniqueName="[FactEEPData]" displayFolder="" count="0" unbalanced="0"/>
    <cacheHierarchy uniqueName="[FactEEPData].[UCoefficient]" caption="UCoefficient" attribute="1" defaultMemberUniqueName="[FactEEPData].[UCoefficient].[All]" allUniqueName="[FactEEPData].[UCoefficient].[All]" dimensionUniqueName="[FactEEPData]" displayFolder="" count="0" unbalanced="0"/>
    <cacheHierarchy uniqueName="[FactEEPData].[UOMLinearFeet]" caption="UOMLinearFeet" attribute="1" defaultMemberUniqueName="[FactEEPData].[UOMLinearFeet].[All]" allUniqueName="[FactEEPData].[UOMLinearFeet].[All]" dimensionUniqueName="[FactEEPData]" displayFolder="" count="0" unbalanced="0"/>
    <cacheHierarchy uniqueName="[FactEEPData].[UOMSquareFeet]" caption="UOMSquareFeet" attribute="1" defaultMemberUniqueName="[FactEEPData].[UOMSquareFeet].[All]" allUniqueName="[FactEEPData].[UOMSquareFeet].[All]" dimensionUniqueName="[FactEEPData]" displayFolder="" count="0" unbalanced="0"/>
    <cacheHierarchy uniqueName="[FactEEPData].[UOMUnits]" caption="UOMUnits" attribute="1" defaultMemberUniqueName="[FactEEPData].[UOMUnits].[All]" allUniqueName="[FactEEPData].[UOMUnits].[All]" dimensionUniqueName="[FactEEPData]" displayFolder="" count="0" unbalanced="0"/>
    <cacheHierarchy uniqueName="[FactEEPData].[Usage]" caption="Usage" attribute="1" defaultMemberUniqueName="[FactEEPData].[Usage].[All]" allUniqueName="[FactEEPData].[Usage].[All]" dimensionUniqueName="[FactEEPData]" displayFolder="" count="0" unbalanced="0"/>
    <cacheHierarchy uniqueName="[FactEEPData].[UtilizationFactor]" caption="UtilizationFactor" attribute="1" defaultMemberUniqueName="[FactEEPData].[UtilizationFactor].[All]" allUniqueName="[FactEEPData].[UtilizationFactor].[All]" dimensionUniqueName="[FactEEPData]" displayFolder="" count="0" unbalanced="0"/>
    <cacheHierarchy uniqueName="[FactEEPData].[VariableCostDescription]" caption="VariableCostDescription" attribute="1" defaultMemberUniqueName="[FactEEPData].[VariableCostDescription].[All]" allUniqueName="[FactEEPData].[VariableCostDescription].[All]" dimensionUniqueName="[FactEEPData]" displayFolder="" count="0" unbalanced="0"/>
    <cacheHierarchy uniqueName="[FactEEPData].[VariableCostIdentifier]" caption="VariableCostIdentifier" attribute="1" defaultMemberUniqueName="[FactEEPData].[VariableCostIdentifier].[All]" allUniqueName="[FactEEPData].[VariableCostIdentifier].[All]" dimensionUniqueName="[FactEEPData]" displayFolder="" count="2" unbalanced="0">
      <fieldsUsage count="2">
        <fieldUsage x="-1"/>
        <fieldUsage x="2"/>
      </fieldsUsage>
    </cacheHierarchy>
    <cacheHierarchy uniqueName="[FactEEPData].[VariableCostName]" caption="VariableCostName" attribute="1" defaultMemberUniqueName="[FactEEPData].[VariableCostName].[All]" allUniqueName="[FactEEPData].[VariableCostName].[All]" dimensionUniqueName="[FactEEPData]" displayFolder="" count="0" unbalanced="0"/>
    <cacheHierarchy uniqueName="[FactEEPData].[VariableCostVendorName]" caption="VariableCostVendorName" attribute="1" defaultMemberUniqueName="[FactEEPData].[VariableCostVendorName].[All]" allUniqueName="[FactEEPData].[VariableCostVendorName].[All]" dimensionUniqueName="[FactEEPData]" displayFolder="" count="0" unbalanced="0"/>
    <cacheHierarchy uniqueName="[FactEEPData].[WeightedAverageMeasureLife]" caption="WeightedAverageMeasureLife" attribute="1" defaultMemberUniqueName="[FactEEPData].[WeightedAverageMeasureLife].[All]" allUniqueName="[FactEEPData].[WeightedAverageMeasureLife].[All]" dimensionUniqueName="[FactEEPData]" displayFolder="" count="0" unbalanced="0"/>
    <cacheHierarchy uniqueName="[FactEEPData].[WeightOfWater]" caption="WeightOfWater" attribute="1" defaultMemberUniqueName="[FactEEPData].[WeightOfWater].[All]" allUniqueName="[FactEEPData].[WeightOfWater].[All]" dimensionUniqueName="[FactEEPData]" displayFolder="" count="0" unbalanced="0"/>
    <cacheHierarchy uniqueName="[FactEquipment].[Div Factor]" caption="Div Factor" attribute="1" defaultMemberUniqueName="[FactEquipment].[Div Factor].[All]" allUniqueName="[FactEquipment].[Div Factor].[All]" dimensionUniqueName="[FactEquipment]" displayFolder="" count="0" unbalanced="0"/>
    <cacheHierarchy uniqueName="[FactEquipment].[Equipment Code]" caption="Equipment Code" attribute="1" defaultMemberUniqueName="[FactEquipment].[Equipment Code].[All]" allUniqueName="[FactEquipment].[Equipment Code].[All]" dimensionUniqueName="[FactEquipment]" displayFolder="" count="0" unbalanced="0"/>
    <cacheHierarchy uniqueName="[FactEquipment].[Equipment Cost]" caption="Equipment Cost" attribute="1" defaultMemberUniqueName="[FactEquipment].[Equipment Cost].[All]" allUniqueName="[FactEquipment].[Equipment Cost].[All]" dimensionUniqueName="[FactEquipment]" displayFolder="" count="0" unbalanced="0"/>
    <cacheHierarchy uniqueName="[FactEquipment].[Equipment Description]" caption="Equipment Description" attribute="1" defaultMemberUniqueName="[FactEquipment].[Equipment Description].[All]" allUniqueName="[FactEquipment].[Equipment Description].[All]" dimensionUniqueName="[FactEquipment]" displayFolder="" count="0" unbalanced="0"/>
    <cacheHierarchy uniqueName="[FactEquipment].[Equipment Note]" caption="Equipment Note" attribute="1" defaultMemberUniqueName="[FactEquipment].[Equipment Note].[All]" allUniqueName="[FactEquipment].[Equipment Note].[All]" dimensionUniqueName="[FactEquipment]" displayFolder="" count="0" unbalanced="0"/>
    <cacheHierarchy uniqueName="[FactEquipment].[Equipment Status Code]" caption="Equipment Status Code" attribute="1" defaultMemberUniqueName="[FactEquipment].[Equipment Status Code].[All]" allUniqueName="[FactEquipment].[Equipment Status Code].[All]" dimensionUniqueName="[FactEquipment]" displayFolder="" count="0" unbalanced="0"/>
    <cacheHierarchy uniqueName="[FactEquipment].[Equipment Type]" caption="Equipment Type" attribute="1" defaultMemberUniqueName="[FactEquipment].[Equipment Type].[All]" allUniqueName="[FactEquipment].[Equipment Type].[All]" dimensionUniqueName="[FactEquipment]" displayFolder="" count="0" unbalanced="0"/>
    <cacheHierarchy uniqueName="[FactEquipment].[Installation Year]" caption="Installation Year" attribute="1" defaultMemberUniqueName="[FactEquipment].[Installation Year].[All]" allUniqueName="[FactEquipment].[Installation Year].[All]" dimensionUniqueName="[FactEquipment]" displayFolder="" count="0" unbalanced="0"/>
    <cacheHierarchy uniqueName="[FactEquipment].[KW Hour]" caption="KW Hour" attribute="1" defaultMemberUniqueName="[FactEquipment].[KW Hour].[All]" allUniqueName="[FactEquipment].[KW Hour].[All]" dimensionUniqueName="[FactEquipment]" displayFolder="" count="0" unbalanced="0"/>
    <cacheHierarchy uniqueName="[FactEquipment].[MBTU Hour]" caption="MBTU Hour" attribute="1" defaultMemberUniqueName="[FactEquipment].[MBTU Hour].[All]" allUniqueName="[FactEquipment].[MBTU Hour].[All]" dimensionUniqueName="[FactEquipment]" displayFolder="" count="0" unbalanced="0"/>
    <cacheHierarchy uniqueName="[FactEquipment].[Number Of Pieces]" caption="Number Of Pieces" attribute="1" defaultMemberUniqueName="[FactEquipment].[Number Of Pieces].[All]" allUniqueName="[FactEquipment].[Number Of Pieces].[All]" dimensionUniqueName="[FactEquipment]" displayFolder="" count="0" unbalanced="0"/>
    <cacheHierarchy uniqueName="[FactEquipment].[Unique BusinessKey]" caption="Unique BusinessKey" attribute="1" defaultMemberUniqueName="[FactEquipment].[Unique BusinessKey].[All]" allUniqueName="[FactEquipment].[Unique BusinessKey].[All]" dimensionUniqueName="[FactEquipment]" displayFolder="" count="0" unbalanced="0"/>
    <cacheHierarchy uniqueName="[FactEquipment].[Unique EquipmentKey]" caption="Unique EquipmentKey" attribute="1" defaultMemberUniqueName="[FactEquipment].[Unique EquipmentKey].[All]" allUniqueName="[FactEquipment].[Unique EquipmentKey].[All]" dimensionUniqueName="[FactEquipment]" displayFolder="" count="0" unbalanced="0"/>
    <cacheHierarchy uniqueName="[FactEquipment].[Unique ProjectKey]" caption="Unique ProjectKey" attribute="1" defaultMemberUniqueName="[FactEquipment].[Unique ProjectKey].[All]" allUniqueName="[FactEquipment].[Unique ProjectKey].[All]" dimensionUniqueName="[FactEquipment]" displayFolder="" count="0" unbalanced="0"/>
    <cacheHierarchy uniqueName="[FactEquipment].[Usage Hours Day]" caption="Usage Hours Day" attribute="1" defaultMemberUniqueName="[FactEquipment].[Usage Hours Day].[All]" allUniqueName="[FactEquipment].[Usage Hours Day].[All]" dimensionUniqueName="[FactEquipment]" displayFolder="" count="0" unbalanced="0"/>
    <cacheHierarchy uniqueName="[FactEquipment].[Usage Hours Year]" caption="Usage Hours Year" attribute="1" defaultMemberUniqueName="[FactEquipment].[Usage Hours Year].[All]" allUniqueName="[FactEquipment].[Usage Hours Year].[All]" dimensionUniqueName="[FactEquipment]" displayFolder="" count="0" unbalanced="0"/>
    <cacheHierarchy uniqueName="[FactForecastTotalThermSavings].[Average_Gross_Savings]" caption="Average_Gross_Savings" attribute="1" defaultMemberUniqueName="[FactForecastTotalThermSavings].[Average_Gross_Savings].[All]" allUniqueName="[FactForecastTotalThermSavings].[Average_Gross_Savings].[All]" dimensionUniqueName="[FactForecastTotalThermSavings]" displayFolder="" count="0" unbalanced="0"/>
    <cacheHierarchy uniqueName="[FactForecastTotalThermSavings].[Average_Net_Savings]" caption="Average_Net_Savings" attribute="1" defaultMemberUniqueName="[FactForecastTotalThermSavings].[Average_Net_Savings].[All]" allUniqueName="[FactForecastTotalThermSavings].[Average_Net_Savings].[All]" dimensionUniqueName="[FactForecastTotalThermSavings]" displayFolder="" count="0" unbalanced="0"/>
    <cacheHierarchy uniqueName="[FactForecastTotalThermSavings].[CalendarYear]" caption="CalendarYear" attribute="1" defaultMemberUniqueName="[FactForecastTotalThermSavings].[CalendarYear].[All]" allUniqueName="[FactForecastTotalThermSavings].[CalendarYear].[All]" dimensionUniqueName="[FactForecastTotalThermSavings]" displayFolder="" count="0" unbalanced="0"/>
    <cacheHierarchy uniqueName="[FactForecastTotalThermSavings].[Count]" caption="Count" attribute="1" defaultMemberUniqueName="[FactForecastTotalThermSavings].[Count].[All]" allUniqueName="[FactForecastTotalThermSavings].[Count].[All]" dimensionUniqueName="[FactForecastTotalThermSavings]" displayFolder="" count="0" unbalanced="0"/>
    <cacheHierarchy uniqueName="[FactForecastTotalThermSavings].[ForecastTotalThermSavingsKey]" caption="ForecastTotalThermSavingsKey" attribute="1" defaultMemberUniqueName="[FactForecastTotalThermSavings].[ForecastTotalThermSavingsKey].[All]" allUniqueName="[FactForecastTotalThermSavings].[ForecastTotalThermSavingsKey].[All]" dimensionUniqueName="[FactForecastTotalThermSavings]" displayFolder="" count="0" unbalanced="0"/>
    <cacheHierarchy uniqueName="[FactForecastTotalThermSavings].[PMTProgramKey]" caption="PMTProgramKey" attribute="1" defaultMemberUniqueName="[FactForecastTotalThermSavings].[PMTProgramKey].[All]" allUniqueName="[FactForecastTotalThermSavings].[PMTProgramKey].[All]" dimensionUniqueName="[FactForecastTotalThermSavings]" displayFolder="" count="0" unbalanced="0"/>
    <cacheHierarchy uniqueName="[FactForecastTotalThermSavings].[Predicted_Total_Gross_Savings]" caption="Predicted_Total_Gross_Savings" attribute="1" defaultMemberUniqueName="[FactForecastTotalThermSavings].[Predicted_Total_Gross_Savings].[All]" allUniqueName="[FactForecastTotalThermSavings].[Predicted_Total_Gross_Savings].[All]" dimensionUniqueName="[FactForecastTotalThermSavings]" displayFolder="" count="0" unbalanced="0"/>
    <cacheHierarchy uniqueName="[FactForecastTotalThermSavings].[Predicted_Total_Net_Savings]" caption="Predicted_Total_Net_Savings" attribute="1" defaultMemberUniqueName="[FactForecastTotalThermSavings].[Predicted_Total_Net_Savings].[All]" allUniqueName="[FactForecastTotalThermSavings].[Predicted_Total_Net_Savings].[All]" dimensionUniqueName="[FactForecastTotalThermSavings]" displayFolder="" count="0" unbalanced="0"/>
    <cacheHierarchy uniqueName="[FactForecastTotalThermSavings].[ProgramYear]" caption="ProgramYear" attribute="1" defaultMemberUniqueName="[FactForecastTotalThermSavings].[ProgramYear].[All]" allUniqueName="[FactForecastTotalThermSavings].[ProgramYear].[All]" dimensionUniqueName="[FactForecastTotalThermSavings]" displayFolder="" count="0" unbalanced="0"/>
    <cacheHierarchy uniqueName="[FactForecastTotalThermSavings].[Total_Gross_Savings]" caption="Total_Gross_Savings" attribute="1" defaultMemberUniqueName="[FactForecastTotalThermSavings].[Total_Gross_Savings].[All]" allUniqueName="[FactForecastTotalThermSavings].[Total_Gross_Savings].[All]" dimensionUniqueName="[FactForecastTotalThermSavings]" displayFolder="" count="0" unbalanced="0"/>
    <cacheHierarchy uniqueName="[FactForecastTotalThermSavings].[Total_net_savings]" caption="Total_net_savings" attribute="1" defaultMemberUniqueName="[FactForecastTotalThermSavings].[Total_net_savings].[All]" allUniqueName="[FactForecastTotalThermSavings].[Total_net_savings].[All]" dimensionUniqueName="[FactForecastTotalThermSavings]" displayFolder="" count="0" unbalanced="0"/>
    <cacheHierarchy uniqueName="[FactMeasureParticipation].[Direct Install Labor]" caption="Direct Install Labor" attribute="1" defaultMemberUniqueName="[FactMeasureParticipation].[Direct Install Labor].[All]" allUniqueName="[FactMeasureParticipation].[Direct Install Labor].[All]" dimensionUniqueName="[FactMeasureParticipation]" displayFolder="" count="0" unbalanced="0"/>
    <cacheHierarchy uniqueName="[FactMeasureParticipation].[Direct Install Materials]" caption="Direct Install Materials" attribute="1" defaultMemberUniqueName="[FactMeasureParticipation].[Direct Install Materials].[All]" allUniqueName="[FactMeasureParticipation].[Direct Install Materials].[All]" dimensionUniqueName="[FactMeasureParticipation]" displayFolder="" count="0" unbalanced="0"/>
    <cacheHierarchy uniqueName="[FactMeasureParticipation].[Electric Avoided Cost Set]" caption="Electric Avoided Cost Set" attribute="1" defaultMemberUniqueName="[FactMeasureParticipation].[Electric Avoided Cost Set].[All]" allUniqueName="[FactMeasureParticipation].[Electric Avoided Cost Set].[All]" dimensionUniqueName="[FactMeasureParticipation]" displayFolder="" count="0" unbalanced="0"/>
    <cacheHierarchy uniqueName="[FactMeasureParticipation].[Electric Rate Schedule]" caption="Electric Rate Schedule" attribute="1" defaultMemberUniqueName="[FactMeasureParticipation].[Electric Rate Schedule].[All]" allUniqueName="[FactMeasureParticipation].[Electric Rate Schedule].[All]" dimensionUniqueName="[FactMeasureParticipation]" displayFolder="" count="0" unbalanced="0"/>
    <cacheHierarchy uniqueName="[FactMeasureParticipation].[Electric Savings Profile]" caption="Electric Savings Profile" attribute="1" defaultMemberUniqueName="[FactMeasureParticipation].[Electric Savings Profile].[All]" allUniqueName="[FactMeasureParticipation].[Electric Savings Profile].[All]" dimensionUniqueName="[FactMeasureParticipation]" displayFolder="" count="0" unbalanced="0"/>
    <cacheHierarchy uniqueName="[FactMeasureParticipation].[Gas Avoided Cost Set]" caption="Gas Avoided Cost Set" attribute="1" defaultMemberUniqueName="[FactMeasureParticipation].[Gas Avoided Cost Set].[All]" allUniqueName="[FactMeasureParticipation].[Gas Avoided Cost Set].[All]" dimensionUniqueName="[FactMeasureParticipation]" displayFolder="" count="0" unbalanced="0"/>
    <cacheHierarchy uniqueName="[FactMeasureParticipation].[Gas Rate Schedule]" caption="Gas Rate Schedule" attribute="1" defaultMemberUniqueName="[FactMeasureParticipation].[Gas Rate Schedule].[All]" allUniqueName="[FactMeasureParticipation].[Gas Rate Schedule].[All]" dimensionUniqueName="[FactMeasureParticipation]" displayFolder="" count="0" unbalanced="0"/>
    <cacheHierarchy uniqueName="[FactMeasureParticipation].[Gas Savings Profile]" caption="Gas Savings Profile" attribute="1" defaultMemberUniqueName="[FactMeasureParticipation].[Gas Savings Profile].[All]" allUniqueName="[FactMeasureParticipation].[Gas Savings Profile].[All]" dimensionUniqueName="[FactMeasureParticipation]" displayFolder="" count="0" unbalanced="0"/>
    <cacheHierarchy uniqueName="[FactMeasureParticipation].[MeasureGrouping]" caption="MeasureGrouping" attribute="1" defaultMemberUniqueName="[FactMeasureParticipation].[MeasureGrouping].[All]" allUniqueName="[FactMeasureParticipation].[MeasureGrouping].[All]" dimensionUniqueName="[FactMeasureParticipation]" displayFolder="" count="0" unbalanced="0"/>
    <cacheHierarchy uniqueName="[FactMeasureParticipation].[Net To Gross]" caption="Net To Gross" attribute="1" defaultMemberUniqueName="[FactMeasureParticipation].[Net To Gross].[All]" allUniqueName="[FactMeasureParticipation].[Net To Gross].[All]" dimensionUniqueName="[FactMeasureParticipation]" displayFolder="" count="0" unbalanced="0"/>
    <cacheHierarchy uniqueName="[FactMeasureParticipation].[Participation]" caption="Participation" attribute="1" defaultMemberUniqueName="[FactMeasureParticipation].[Participation].[All]" allUniqueName="[FactMeasureParticipation].[Participation].[All]" dimensionUniqueName="[FactMeasureParticipation]" displayFolder="" count="0" unbalanced="0"/>
    <cacheHierarchy uniqueName="[FactMeasureParticipation].[Participation Incentives]" caption="Participation Incentives" attribute="1" defaultMemberUniqueName="[FactMeasureParticipation].[Participation Incentives].[All]" allUniqueName="[FactMeasureParticipation].[Participation Incentives].[All]" dimensionUniqueName="[FactMeasureParticipation]" displayFolder="" count="0" unbalanced="0"/>
    <cacheHierarchy uniqueName="[FactMeasureParticipation].[Program Component]" caption="Program Component" attribute="1" defaultMemberUniqueName="[FactMeasureParticipation].[Program Component].[All]" allUniqueName="[FactMeasureParticipation].[Program Component].[All]" dimensionUniqueName="[FactMeasureParticipation]" displayFolder="" count="0" unbalanced="0"/>
    <cacheHierarchy uniqueName="[FactMeasureParticipation].[Program Year]" caption="Program Year" attribute="1" defaultMemberUniqueName="[FactMeasureParticipation].[Program Year].[All]" allUniqueName="[FactMeasureParticipation].[Program Year].[All]" dimensionUniqueName="[FactMeasureParticipation]" displayFolder="" count="0" unbalanced="0"/>
    <cacheHierarchy uniqueName="[FactMeasureParticipation].[ProgramYearSort]" caption="ProgramYearSort" attribute="1" defaultMemberUniqueName="[FactMeasureParticipation].[ProgramYearSort].[All]" allUniqueName="[FactMeasureParticipation].[ProgramYearSort].[All]" dimensionUniqueName="[FactMeasureParticipation]" displayFolder="" count="0" unbalanced="0"/>
    <cacheHierarchy uniqueName="[FactMeasureParticipation].[Realization Rate]" caption="Realization Rate" attribute="1" defaultMemberUniqueName="[FactMeasureParticipation].[Realization Rate].[All]" allUniqueName="[FactMeasureParticipation].[Realization Rate].[All]" dimensionUniqueName="[FactMeasureParticipation]" displayFolder="" count="0" unbalanced="0"/>
    <cacheHierarchy uniqueName="[FactMeasureParticipation].[Source]" caption="Source" attribute="1" defaultMemberUniqueName="[FactMeasureParticipation].[Source].[All]" allUniqueName="[FactMeasureParticipation].[Source].[All]" dimensionUniqueName="[FactMeasureParticipation]" displayFolder="" count="0" unbalanced="0"/>
    <cacheHierarchy uniqueName="[FactMOCCallLog].[CallConductedInSpanishDel]" caption="CallConductedInSpanishDel" attribute="1" defaultMemberUniqueName="[FactMOCCallLog].[CallConductedInSpanishDel].[All]" allUniqueName="[FactMOCCallLog].[CallConductedInSpanishDel].[All]" dimensionUniqueName="[FactMOCCallLog]" displayFolder="" count="0" unbalanced="0"/>
    <cacheHierarchy uniqueName="[FactMOCCallLog].[CommunicationStatus]" caption="CommunicationStatus" attribute="1" defaultMemberUniqueName="[FactMOCCallLog].[CommunicationStatus].[All]" allUniqueName="[FactMOCCallLog].[CommunicationStatus].[All]" dimensionUniqueName="[FactMOCCallLog]" displayFolder="" count="0" unbalanced="0"/>
    <cacheHierarchy uniqueName="[FactMOCCallLog].[CommunicationType]" caption="CommunicationType" attribute="1" defaultMemberUniqueName="[FactMOCCallLog].[CommunicationType].[All]" allUniqueName="[FactMOCCallLog].[CommunicationType].[All]" dimensionUniqueName="[FactMOCCallLog]" displayFolder="" count="0" unbalanced="0"/>
    <cacheHierarchy uniqueName="[FactMOCCallLog].[Communicator]" caption="Communicator" attribute="1" defaultMemberUniqueName="[FactMOCCallLog].[Communicator].[All]" allUniqueName="[FactMOCCallLog].[Communicator].[All]" dimensionUniqueName="[FactMOCCallLog]" displayFolder="" count="0" unbalanced="0"/>
    <cacheHierarchy uniqueName="[FactMOCCallLog].[Description]" caption="Description" attribute="1" defaultMemberUniqueName="[FactMOCCallLog].[Description].[All]" allUniqueName="[FactMOCCallLog].[Description].[All]" dimensionUniqueName="[FactMOCCallLog]" displayFolder="" count="0" unbalanced="0"/>
    <cacheHierarchy uniqueName="[FactMOCCallLog].[Escalation]" caption="Escalation" attribute="1" defaultMemberUniqueName="[FactMOCCallLog].[Escalation].[All]" allUniqueName="[FactMOCCallLog].[Escalation].[All]" dimensionUniqueName="[FactMOCCallLog]" displayFolder="" count="0" unbalanced="0"/>
    <cacheHierarchy uniqueName="[FactMOCCallLog].[EventName]" caption="EventName" attribute="1" defaultMemberUniqueName="[FactMOCCallLog].[EventName].[All]" allUniqueName="[FactMOCCallLog].[EventName].[All]" dimensionUniqueName="[FactMOCCallLog]" displayFolder="" count="0" unbalanced="0"/>
    <cacheHierarchy uniqueName="[FactMOCCallLog].[Exception]" caption="Exception" attribute="1" defaultMemberUniqueName="[FactMOCCallLog].[Exception].[All]" allUniqueName="[FactMOCCallLog].[Exception].[All]" dimensionUniqueName="[FactMOCCallLog]" displayFolder="" count="0" unbalanced="0"/>
    <cacheHierarchy uniqueName="[FactMOCCallLog].[Id]" caption="Id" attribute="1" defaultMemberUniqueName="[FactMOCCallLog].[Id].[All]" allUniqueName="[FactMOCCallLog].[Id].[All]" dimensionUniqueName="[FactMOCCallLog]" displayFolder="" count="0" unbalanced="0"/>
    <cacheHierarchy uniqueName="[FactMOCCallLog].[InvalidReason]" caption="InvalidReason" attribute="1" defaultMemberUniqueName="[FactMOCCallLog].[InvalidReason].[All]" allUniqueName="[FactMOCCallLog].[InvalidReason].[All]" dimensionUniqueName="[FactMOCCallLog]" displayFolder="" count="0" unbalanced="0"/>
    <cacheHierarchy uniqueName="[FactMOCCallLog].[LanguageLine]" caption="LanguageLine" attribute="1" defaultMemberUniqueName="[FactMOCCallLog].[LanguageLine].[All]" allUniqueName="[FactMOCCallLog].[LanguageLine].[All]" dimensionUniqueName="[FactMOCCallLog]" displayFolder="" count="0" unbalanced="0"/>
    <cacheHierarchy uniqueName="[FactMOCCallLog].[LanguageType]" caption="LanguageType" attribute="1" defaultMemberUniqueName="[FactMOCCallLog].[LanguageType].[All]" allUniqueName="[FactMOCCallLog].[LanguageType].[All]" dimensionUniqueName="[FactMOCCallLog]" displayFolder="" count="0" unbalanced="0"/>
    <cacheHierarchy uniqueName="[FactMOCCallLog].[OnBillFinancing]" caption="OnBillFinancing" attribute="1" defaultMemberUniqueName="[FactMOCCallLog].[OnBillFinancing].[All]" allUniqueName="[FactMOCCallLog].[OnBillFinancing].[All]" dimensionUniqueName="[FactMOCCallLog]" displayFolder="" count="0" unbalanced="0"/>
    <cacheHierarchy uniqueName="[FactMOCCallLog].[OwnerId]" caption="OwnerId" attribute="1" defaultMemberUniqueName="[FactMOCCallLog].[OwnerId].[All]" allUniqueName="[FactMOCCallLog].[OwnerId].[All]" dimensionUniqueName="[FactMOCCallLog]" displayFolder="" count="0" unbalanced="0"/>
    <cacheHierarchy uniqueName="[FactMOCCallLog].[ProgramInquiry]" caption="ProgramInquiry" attribute="1" defaultMemberUniqueName="[FactMOCCallLog].[ProgramInquiry].[All]" allUniqueName="[FactMOCCallLog].[ProgramInquiry].[All]" dimensionUniqueName="[FactMOCCallLog]" displayFolder="" count="0" unbalanced="0"/>
    <cacheHierarchy uniqueName="[FactMOCCallLog].[Subject]" caption="Subject" attribute="1" defaultMemberUniqueName="[FactMOCCallLog].[Subject].[All]" allUniqueName="[FactMOCCallLog].[Subject].[All]" dimensionUniqueName="[FactMOCCallLog]" displayFolder="" count="0" unbalanced="0"/>
    <cacheHierarchy uniqueName="[FactMOCCallLog].[Topic]" caption="Topic" attribute="1" defaultMemberUniqueName="[FactMOCCallLog].[Topic].[All]" allUniqueName="[FactMOCCallLog].[Topic].[All]" dimensionUniqueName="[FactMOCCallLog]" displayFolder="" count="0" unbalanced="0"/>
    <cacheHierarchy uniqueName="[FactMOCCallLog].[TransferredTo]" caption="TransferredTo" attribute="1" defaultMemberUniqueName="[FactMOCCallLog].[TransferredTo].[All]" allUniqueName="[FactMOCCallLog].[TransferredTo].[All]" dimensionUniqueName="[FactMOCCallLog]" displayFolder="" count="0" unbalanced="0"/>
    <cacheHierarchy uniqueName="[FactMOCCallLog].[UpsellCommercialAssessment]" caption="UpsellCommercialAssessment" attribute="1" defaultMemberUniqueName="[FactMOCCallLog].[UpsellCommercialAssessment].[All]" allUniqueName="[FactMOCCallLog].[UpsellCommercialAssessment].[All]" dimensionUniqueName="[FactMOCCallLog]" displayFolder="" count="0" unbalanced="0"/>
    <cacheHierarchy uniqueName="[FactMOCCallLog].[UpsellEnergySavingsKit]" caption="UpsellEnergySavingsKit" attribute="1" defaultMemberUniqueName="[FactMOCCallLog].[UpsellEnergySavingsKit].[All]" allUniqueName="[FactMOCCallLog].[UpsellEnergySavingsKit].[All]" dimensionUniqueName="[FactMOCCallLog]" displayFolder="" count="0" unbalanced="0"/>
    <cacheHierarchy uniqueName="[FactMOCCallLog].[UpsellHomeAssessment]" caption="UpsellHomeAssessment" attribute="1" defaultMemberUniqueName="[FactMOCCallLog].[UpsellHomeAssessment].[All]" allUniqueName="[FactMOCCallLog].[UpsellHomeAssessment].[All]" dimensionUniqueName="[FactMOCCallLog]" displayFolder="" count="0" unbalanced="0"/>
    <cacheHierarchy uniqueName="[FactMOCCallLog].[UpsellProgrammableThermostat]" caption="UpsellProgrammableThermostat" attribute="1" defaultMemberUniqueName="[FactMOCCallLog].[UpsellProgrammableThermostat].[All]" allUniqueName="[FactMOCCallLog].[UpsellProgrammableThermostat].[All]" dimensionUniqueName="[FactMOCCallLog]" displayFolder="" count="0" unbalanced="0"/>
    <cacheHierarchy uniqueName="[FactMOCLead].[ConvertedContactId]" caption="ConvertedContactId" attribute="1" defaultMemberUniqueName="[FactMOCLead].[ConvertedContactId].[All]" allUniqueName="[FactMOCLead].[ConvertedContactId].[All]" dimensionUniqueName="[FactMOCLead]" displayFolder="" count="0" unbalanced="0"/>
    <cacheHierarchy uniqueName="[FactMOCLead].[Email]" caption="Email" attribute="1" defaultMemberUniqueName="[FactMOCLead].[Email].[All]" allUniqueName="[FactMOCLead].[Email].[All]" dimensionUniqueName="[FactMOCLead]" displayFolder="" count="0" unbalanced="0"/>
    <cacheHierarchy uniqueName="[FactMOCLead].[Id]" caption="Id" attribute="1" defaultMemberUniqueName="[FactMOCLead].[Id].[All]" allUniqueName="[FactMOCLead].[Id].[All]" dimensionUniqueName="[FactMOCLead]" displayFolder="" count="0" unbalanced="0"/>
    <cacheHierarchy uniqueName="[FactMOCLead].[IHaveAQuestionAbout]" caption="IHaveAQuestionAbout" attribute="1" defaultMemberUniqueName="[FactMOCLead].[IHaveAQuestionAbout].[All]" allUniqueName="[FactMOCLead].[IHaveAQuestionAbout].[All]" dimensionUniqueName="[FactMOCLead]" displayFolder="" count="0" unbalanced="0"/>
    <cacheHierarchy uniqueName="[FactMOCLead].[LeadCategory]" caption="LeadCategory" attribute="1" defaultMemberUniqueName="[FactMOCLead].[LeadCategory].[All]" allUniqueName="[FactMOCLead].[LeadCategory].[All]" dimensionUniqueName="[FactMOCLead]" displayFolder="" count="0" unbalanced="0"/>
    <cacheHierarchy uniqueName="[FactMOCLead].[LeadClassification]" caption="LeadClassification" attribute="1" defaultMemberUniqueName="[FactMOCLead].[LeadClassification].[All]" allUniqueName="[FactMOCLead].[LeadClassification].[All]" dimensionUniqueName="[FactMOCLead]" displayFolder="" count="0" unbalanced="0"/>
    <cacheHierarchy uniqueName="[FactMOCLead].[LeadSourceDescription]" caption="LeadSourceDescription" attribute="1" defaultMemberUniqueName="[FactMOCLead].[LeadSourceDescription].[All]" allUniqueName="[FactMOCLead].[LeadSourceDescription].[All]" dimensionUniqueName="[FactMOCLead]" displayFolder="" count="0" unbalanced="0"/>
    <cacheHierarchy uniqueName="[FactMOCLead].[MoreInformation]" caption="MoreInformation" attribute="1" defaultMemberUniqueName="[FactMOCLead].[MoreInformation].[All]" allUniqueName="[FactMOCLead].[MoreInformation].[All]" dimensionUniqueName="[FactMOCLead]" displayFolder="" count="0" unbalanced="0"/>
    <cacheHierarchy uniqueName="[FactMOCLead].[Name]" caption="Name" attribute="1" defaultMemberUniqueName="[FactMOCLead].[Name].[All]" allUniqueName="[FactMOCLead].[Name].[All]" dimensionUniqueName="[FactMOCLead]" displayFolder="" count="0" unbalanced="0"/>
    <cacheHierarchy uniqueName="[FactMOCLead].[OptOutOfContactFlag]" caption="OptOutOfContactFlag" attribute="1" defaultMemberUniqueName="[FactMOCLead].[OptOutOfContactFlag].[All]" allUniqueName="[FactMOCLead].[OptOutOfContactFlag].[All]" dimensionUniqueName="[FactMOCLead]" displayFolder="" count="0" unbalanced="0"/>
    <cacheHierarchy uniqueName="[FactMOCLead].[OwnerId]" caption="OwnerId" attribute="1" defaultMemberUniqueName="[FactMOCLead].[OwnerId].[All]" allUniqueName="[FactMOCLead].[OwnerId].[All]" dimensionUniqueName="[FactMOCLead]" displayFolder="" count="0" unbalanced="0"/>
    <cacheHierarchy uniqueName="[FactMOCLead].[OwnerName]" caption="OwnerName" attribute="1" defaultMemberUniqueName="[FactMOCLead].[OwnerName].[All]" allUniqueName="[FactMOCLead].[OwnerName].[All]" dimensionUniqueName="[FactMOCLead]" displayFolder="" count="0" unbalanced="0"/>
    <cacheHierarchy uniqueName="[FactMOCLead].[PreferredMethodOfContact]" caption="PreferredMethodOfContact" attribute="1" defaultMemberUniqueName="[FactMOCLead].[PreferredMethodOfContact].[All]" allUniqueName="[FactMOCLead].[PreferredMethodOfContact].[All]" dimensionUniqueName="[FactMOCLead]" displayFolder="" count="0" unbalanced="0"/>
    <cacheHierarchy uniqueName="[FactMOCLead].[Rating]" caption="Rating" attribute="1" defaultMemberUniqueName="[FactMOCLead].[Rating].[All]" allUniqueName="[FactMOCLead].[Rating].[All]" dimensionUniqueName="[FactMOCLead]" displayFolder="" count="0" unbalanced="0"/>
    <cacheHierarchy uniqueName="[FactMOCLead].[ReasonForContactingUs]" caption="ReasonForContactingUs" attribute="1" defaultMemberUniqueName="[FactMOCLead].[ReasonForContactingUs].[All]" allUniqueName="[FactMOCLead].[ReasonForContactingUs].[All]" dimensionUniqueName="[FactMOCLead]" displayFolder="" count="0" unbalanced="0"/>
    <cacheHierarchy uniqueName="[FactMOCLead].[RecordTypeId]" caption="RecordTypeId" attribute="1" defaultMemberUniqueName="[FactMOCLead].[RecordTypeId].[All]" allUniqueName="[FactMOCLead].[RecordTypeId].[All]" dimensionUniqueName="[FactMOCLead]" displayFolder="" count="0" unbalanced="0"/>
    <cacheHierarchy uniqueName="[FactMOCLead].[Status]" caption="Status" attribute="1" defaultMemberUniqueName="[FactMOCLead].[Status].[All]" allUniqueName="[FactMOCLead].[Status].[All]" dimensionUniqueName="[FactMOCLead]" displayFolder="" count="0" unbalanced="0"/>
    <cacheHierarchy uniqueName="[FactMOCLead].[Title]" caption="Title" attribute="1" defaultMemberUniqueName="[FactMOCLead].[Title].[All]" allUniqueName="[FactMOCLead].[Title].[All]" dimensionUniqueName="[FactMOCLead]" displayFolder="" count="0" unbalanced="0"/>
    <cacheHierarchy uniqueName="[FactMOCLead].[TypeOfLead]" caption="TypeOfLead" attribute="1" defaultMemberUniqueName="[FactMOCLead].[TypeOfLead].[All]" allUniqueName="[FactMOCLead].[TypeOfLead].[All]" dimensionUniqueName="[FactMOCLead]" displayFolder="" count="0" unbalanced="0"/>
    <cacheHierarchy uniqueName="[FactPipeline].[CheckorDirectDeposit]" caption="CheckorDirectDeposit" attribute="1" defaultMemberUniqueName="[FactPipeline].[CheckorDirectDeposit].[All]" allUniqueName="[FactPipeline].[CheckorDirectDeposit].[All]" dimensionUniqueName="[FactPipeline]" displayFolder="" count="0" unbalanced="0"/>
    <cacheHierarchy uniqueName="[FactPipeline].[City]" caption="City" attribute="1" defaultMemberUniqueName="[FactPipeline].[City].[All]" allUniqueName="[FactPipeline].[City].[All]" dimensionUniqueName="[FactPipeline]" displayFolder="" count="0" unbalanced="0"/>
    <cacheHierarchy uniqueName="[FactPipeline].[ExternalRebateProcessorID]" caption="ExternalRebateProcessorID" attribute="1" defaultMemberUniqueName="[FactPipeline].[ExternalRebateProcessorID].[All]" allUniqueName="[FactPipeline].[ExternalRebateProcessorID].[All]" dimensionUniqueName="[FactPipeline]" displayFolder="" count="0" unbalanced="0"/>
    <cacheHierarchy uniqueName="[FactPipeline].[FinalIncentive]" caption="FinalIncentive" attribute="1" defaultMemberUniqueName="[FactPipeline].[FinalIncentive].[All]" allUniqueName="[FactPipeline].[FinalIncentive].[All]" dimensionUniqueName="[FactPipeline]" displayFolder="" count="0" unbalanced="0"/>
    <cacheHierarchy uniqueName="[FactPipeline].[FinalTherms]" caption="FinalTherms" attribute="1" defaultMemberUniqueName="[FactPipeline].[FinalTherms].[All]" allUniqueName="[FactPipeline].[FinalTherms].[All]" dimensionUniqueName="[FactPipeline]" displayFolder="" count="0" unbalanced="0"/>
    <cacheHierarchy uniqueName="[FactPipeline].[HawkPiplineID]" caption="HawkPiplineID" attribute="1" defaultMemberUniqueName="[FactPipeline].[HawkPiplineID].[All]" allUniqueName="[FactPipeline].[HawkPiplineID].[All]" dimensionUniqueName="[FactPipeline]" displayFolder="" count="0" unbalanced="0"/>
    <cacheHierarchy uniqueName="[FactPipeline].[IdentifiedIncentive]" caption="IdentifiedIncentive" attribute="1" defaultMemberUniqueName="[FactPipeline].[IdentifiedIncentive].[All]" allUniqueName="[FactPipeline].[IdentifiedIncentive].[All]" dimensionUniqueName="[FactPipeline]" displayFolder="" count="0" unbalanced="0"/>
    <cacheHierarchy uniqueName="[FactPipeline].[IdentifiedThermSavings]" caption="IdentifiedThermSavings" attribute="1" defaultMemberUniqueName="[FactPipeline].[IdentifiedThermSavings].[All]" allUniqueName="[FactPipeline].[IdentifiedThermSavings].[All]" dimensionUniqueName="[FactPipeline]" displayFolder="" count="0" unbalanced="0"/>
    <cacheHierarchy uniqueName="[FactPipeline].[last_update_date]" caption="last_update_date" attribute="1" defaultMemberUniqueName="[FactPipeline].[last_update_date].[All]" allUniqueName="[FactPipeline].[last_update_date].[All]" dimensionUniqueName="[FactPipeline]" displayFolder="" count="0" unbalanced="0"/>
    <cacheHierarchy uniqueName="[FactPipeline].[MeasureGroup]" caption="MeasureGroup" attribute="1" defaultMemberUniqueName="[FactPipeline].[MeasureGroup].[All]" allUniqueName="[FactPipeline].[MeasureGroup].[All]" dimensionUniqueName="[FactPipeline]" displayFolder="" count="0" unbalanced="0"/>
    <cacheHierarchy uniqueName="[FactPipeline].[NicorGasAccountID]" caption="NicorGasAccountID" attribute="1" defaultMemberUniqueName="[FactPipeline].[NicorGasAccountID].[All]" allUniqueName="[FactPipeline].[NicorGasAccountID].[All]" dimensionUniqueName="[FactPipeline]" displayFolder="" count="0" unbalanced="0"/>
    <cacheHierarchy uniqueName="[FactPipeline].[NicorGasPremiseID]" caption="NicorGasPremiseID" attribute="1" defaultMemberUniqueName="[FactPipeline].[NicorGasPremiseID].[All]" allUniqueName="[FactPipeline].[NicorGasPremiseID].[All]" dimensionUniqueName="[FactPipeline]" displayFolder="" count="0" unbalanced="0"/>
    <cacheHierarchy uniqueName="[FactPipeline].[Opportunityidentifier]" caption="Opportunityidentifier" attribute="1" defaultMemberUniqueName="[FactPipeline].[Opportunityidentifier].[All]" allUniqueName="[FactPipeline].[Opportunityidentifier].[All]" dimensionUniqueName="[FactPipeline]" displayFolder="" count="0" unbalanced="0"/>
    <cacheHierarchy uniqueName="[FactPipeline].[PayeeCode]" caption="PayeeCode" attribute="1" defaultMemberUniqueName="[FactPipeline].[PayeeCode].[All]" allUniqueName="[FactPipeline].[PayeeCode].[All]" dimensionUniqueName="[FactPipeline]" displayFolder="" count="0" unbalanced="0"/>
    <cacheHierarchy uniqueName="[FactPipeline].[Quantity]" caption="Quantity" attribute="1" defaultMemberUniqueName="[FactPipeline].[Quantity].[All]" allUniqueName="[FactPipeline].[Quantity].[All]" dimensionUniqueName="[FactPipeline]" displayFolder="" count="0" unbalanced="0"/>
    <cacheHierarchy uniqueName="[FactPipeline].[Status]" caption="Status" attribute="1" defaultMemberUniqueName="[FactPipeline].[Status].[All]" allUniqueName="[FactPipeline].[Status].[All]" dimensionUniqueName="[FactPipeline]" displayFolder="" count="0" unbalanced="0"/>
    <cacheHierarchy uniqueName="[FactPipeline].[SubProgram]" caption="SubProgram" attribute="1" defaultMemberUniqueName="[FactPipeline].[SubProgram].[All]" allUniqueName="[FactPipeline].[SubProgram].[All]" dimensionUniqueName="[FactPipeline]" displayFolder="" count="0" unbalanced="0"/>
    <cacheHierarchy uniqueName="[FactPipeline].[TotalProjectCost]" caption="TotalProjectCost" attribute="1" defaultMemberUniqueName="[FactPipeline].[TotalProjectCost].[All]" allUniqueName="[FactPipeline].[TotalProjectCost].[All]" dimensionUniqueName="[FactPipeline]" displayFolder="" count="0" unbalanced="0"/>
    <cacheHierarchy uniqueName="[FactPipeline].[VendorProjectID]" caption="VendorProjectID" attribute="1" defaultMemberUniqueName="[FactPipeline].[VendorProjectID].[All]" allUniqueName="[FactPipeline].[VendorProjectID].[All]" dimensionUniqueName="[FactPipeline]" displayFolder="" count="0" unbalanced="0"/>
    <cacheHierarchy uniqueName="[FactPredictiveAnalytics].[AccountKey]" caption="AccountKey" attribute="1" defaultMemberUniqueName="[FactPredictiveAnalytics].[AccountKey].[All]" allUniqueName="[FactPredictiveAnalytics].[AccountKey].[All]" dimensionUniqueName="[FactPredictiveAnalytics]" displayFolder="" count="0" unbalanced="0"/>
    <cacheHierarchy uniqueName="[FactPredictiveAnalytics].[CostPerGrossTherm]" caption="CostPerGrossTherm" attribute="1" defaultMemberUniqueName="[FactPredictiveAnalytics].[CostPerGrossTherm].[All]" allUniqueName="[FactPredictiveAnalytics].[CostPerGrossTherm].[All]" dimensionUniqueName="[FactPredictiveAnalytics]" displayFolder="" count="0" unbalanced="0"/>
    <cacheHierarchy uniqueName="[FactPredictiveAnalytics].[CostperNetTherm]" caption="CostperNetTherm" attribute="1" defaultMemberUniqueName="[FactPredictiveAnalytics].[CostperNetTherm].[All]" allUniqueName="[FactPredictiveAnalytics].[CostperNetTherm].[All]" dimensionUniqueName="[FactPredictiveAnalytics]" displayFolder="" count="0" unbalanced="0"/>
    <cacheHierarchy uniqueName="[FactPredictiveAnalytics].[MeasureLife]" caption="MeasureLife" attribute="1" defaultMemberUniqueName="[FactPredictiveAnalytics].[MeasureLife].[All]" allUniqueName="[FactPredictiveAnalytics].[MeasureLife].[All]" dimensionUniqueName="[FactPredictiveAnalytics]" displayFolder="" count="0" unbalanced="0"/>
    <cacheHierarchy uniqueName="[FactPredictiveAnalytics].[ParticipationFlag]" caption="ParticipationFlag" attribute="1" defaultMemberUniqueName="[FactPredictiveAnalytics].[ParticipationFlag].[All]" allUniqueName="[FactPredictiveAnalytics].[ParticipationFlag].[All]" dimensionUniqueName="[FactPredictiveAnalytics]" displayFolder="" count="0" unbalanced="0"/>
    <cacheHierarchy uniqueName="[FactPredictiveAnalytics].[pred_rank_flag]" caption="pred_rank_flag" attribute="1" defaultMemberUniqueName="[FactPredictiveAnalytics].[pred_rank_flag].[All]" allUniqueName="[FactPredictiveAnalytics].[pred_rank_flag].[All]" dimensionUniqueName="[FactPredictiveAnalytics]" displayFolder="" count="0" unbalanced="0"/>
    <cacheHierarchy uniqueName="[FactPredictiveAnalytics].[PredictionMeasure]" caption="PredictionMeasure" attribute="1" defaultMemberUniqueName="[FactPredictiveAnalytics].[PredictionMeasure].[All]" allUniqueName="[FactPredictiveAnalytics].[PredictionMeasure].[All]" dimensionUniqueName="[FactPredictiveAnalytics]" displayFolder="" count="0" unbalanced="0"/>
    <cacheHierarchy uniqueName="[FactPredictiveAnalytics].[PredictiveMeasureName]" caption="PredictiveMeasureName" attribute="1" defaultMemberUniqueName="[FactPredictiveAnalytics].[PredictiveMeasureName].[All]" allUniqueName="[FactPredictiveAnalytics].[PredictiveMeasureName].[All]" dimensionUniqueName="[FactPredictiveAnalytics]" displayFolder="" count="0" unbalanced="0"/>
    <cacheHierarchy uniqueName="[FactPredictiveAnalytics].[ProgramYear]" caption="ProgramYear" attribute="1" defaultMemberUniqueName="[FactPredictiveAnalytics].[ProgramYear].[All]" allUniqueName="[FactPredictiveAnalytics].[ProgramYear].[All]" dimensionUniqueName="[FactPredictiveAnalytics]" displayFolder="" count="0" unbalanced="0"/>
    <cacheHierarchy uniqueName="[FactSilverpopEmailActivity].[AccountKey]" caption="AccountKey" attribute="1" defaultMemberUniqueName="[FactSilverpopEmailActivity].[AccountKey].[All]" allUniqueName="[FactSilverpopEmailActivity].[AccountKey].[All]" dimensionUniqueName="[FactSilverpopEmailActivity]" displayFolder="" count="0" unbalanced="0"/>
    <cacheHierarchy uniqueName="[FactSilverpopEmailActivity].[CreateDateKey]" caption="CreateDateKey" attribute="1" defaultMemberUniqueName="[FactSilverpopEmailActivity].[CreateDateKey].[All]" allUniqueName="[FactSilverpopEmailActivity].[CreateDateKey].[All]" dimensionUniqueName="[FactSilverpopEmailActivity]" displayFolder="" count="0" unbalanced="0"/>
    <cacheHierarchy uniqueName="[FactSilverpopEmailActivity].[CreatedById]" caption="CreatedById" attribute="1" defaultMemberUniqueName="[FactSilverpopEmailActivity].[CreatedById].[All]" allUniqueName="[FactSilverpopEmailActivity].[CreatedById].[All]" dimensionUniqueName="[FactSilverpopEmailActivity]" displayFolder="" count="0" unbalanced="0"/>
    <cacheHierarchy uniqueName="[FactSilverpopEmailActivity].[DQScoreKey]" caption="DQScoreKey" attribute="1" defaultMemberUniqueName="[FactSilverpopEmailActivity].[DQScoreKey].[All]" allUniqueName="[FactSilverpopEmailActivity].[DQScoreKey].[All]" dimensionUniqueName="[FactSilverpopEmailActivity]" displayFolder="" count="0" unbalanced="0"/>
    <cacheHierarchy uniqueName="[FactSilverpopEmailActivity].[FactSilverpopEmailActivityKey]" caption="FactSilverpopEmailActivityKey" attribute="1" defaultMemberUniqueName="[FactSilverpopEmailActivity].[FactSilverpopEmailActivityKey].[All]" allUniqueName="[FactSilverpopEmailActivity].[FactSilverpopEmailActivityKey].[All]" dimensionUniqueName="[FactSilverpopEmailActivity]" displayFolder="" count="0" unbalanced="0"/>
    <cacheHierarchy uniqueName="[FactSilverpopEmailActivity].[Id]" caption="Id" attribute="1" defaultMemberUniqueName="[FactSilverpopEmailActivity].[Id].[All]" allUniqueName="[FactSilverpopEmailActivity].[Id].[All]" dimensionUniqueName="[FactSilverpopEmailActivity]" displayFolder="" count="0" unbalanced="0"/>
    <cacheHierarchy uniqueName="[FactSilverpopEmailActivity].[InsertAuditKey]" caption="InsertAuditKey" attribute="1" defaultMemberUniqueName="[FactSilverpopEmailActivity].[InsertAuditKey].[All]" allUniqueName="[FactSilverpopEmailActivity].[InsertAuditKey].[All]" dimensionUniqueName="[FactSilverpopEmailActivity]" displayFolder="" count="0" unbalanced="0"/>
    <cacheHierarchy uniqueName="[FactSilverpopEmailActivity].[IsDeleted]" caption="IsDeleted" attribute="1" defaultMemberUniqueName="[FactSilverpopEmailActivity].[IsDeleted].[All]" allUniqueName="[FactSilverpopEmailActivity].[IsDeleted].[All]" dimensionUniqueName="[FactSilverpopEmailActivity]" displayFolder="" count="0" unbalanced="0"/>
    <cacheHierarchy uniqueName="[FactSilverpopEmailActivity].[LastModifiedById]" caption="LastModifiedById" attribute="1" defaultMemberUniqueName="[FactSilverpopEmailActivity].[LastModifiedById].[All]" allUniqueName="[FactSilverpopEmailActivity].[LastModifiedById].[All]" dimensionUniqueName="[FactSilverpopEmailActivity]" displayFolder="" count="0" unbalanced="0"/>
    <cacheHierarchy uniqueName="[FactSilverpopEmailActivity].[LastModifiedDate]" caption="LastModifiedDate" attribute="1" defaultMemberUniqueName="[FactSilverpopEmailActivity].[LastModifiedDate].[All]" allUniqueName="[FactSilverpopEmailActivity].[LastModifiedDate].[All]" dimensionUniqueName="[FactSilverpopEmailActivity]" displayFolder="" count="0" unbalanced="0"/>
    <cacheHierarchy uniqueName="[FactSilverpopEmailActivity].[Name]" caption="Name" attribute="1" defaultMemberUniqueName="[FactSilverpopEmailActivity].[Name].[All]" allUniqueName="[FactSilverpopEmailActivity].[Name].[All]" dimensionUniqueName="[FactSilverpopEmailActivity]" displayFolder="" count="0" unbalanced="0"/>
    <cacheHierarchy uniqueName="[FactSilverpopEmailActivity].[OwnerId]" caption="OwnerId" attribute="1" defaultMemberUniqueName="[FactSilverpopEmailActivity].[OwnerId].[All]" allUniqueName="[FactSilverpopEmailActivity].[OwnerId].[All]" dimensionUniqueName="[FactSilverpopEmailActivity]" displayFolder="" count="0" unbalanced="0"/>
    <cacheHierarchy uniqueName="[FactSilverpopEmailActivity].[SilverpopContact]" caption="SilverpopContact" attribute="1" defaultMemberUniqueName="[FactSilverpopEmailActivity].[SilverpopContact].[All]" allUniqueName="[FactSilverpopEmailActivity].[SilverpopContact].[All]" dimensionUniqueName="[FactSilverpopEmailActivity]" displayFolder="" count="0" unbalanced="0"/>
    <cacheHierarchy uniqueName="[FactSilverpopEmailActivity].[SilverpopDateBounced]" caption="SilverpopDateBounced" attribute="1" defaultMemberUniqueName="[FactSilverpopEmailActivity].[SilverpopDateBounced].[All]" allUniqueName="[FactSilverpopEmailActivity].[SilverpopDateBounced].[All]" dimensionUniqueName="[FactSilverpopEmailActivity]" displayFolder="" count="0" unbalanced="0"/>
    <cacheHierarchy uniqueName="[FactSilverpopEmailActivity].[SilverpopDateUnsubscribed]" caption="SilverpopDateUnsubscribed" attribute="1" defaultMemberUniqueName="[FactSilverpopEmailActivity].[SilverpopDateUnsubscribed].[All]" allUniqueName="[FactSilverpopEmailActivity].[SilverpopDateUnsubscribed].[All]" dimensionUniqueName="[FactSilverpopEmailActivity]" displayFolder="" count="0" unbalanced="0"/>
    <cacheHierarchy uniqueName="[FactSilverpopEmailActivity].[SilverpopEmailName]" caption="SilverpopEmailName" attribute="1" defaultMemberUniqueName="[FactSilverpopEmailActivity].[SilverpopEmailName].[All]" allUniqueName="[FactSilverpopEmailActivity].[SilverpopEmailName].[All]" dimensionUniqueName="[FactSilverpopEmailActivity]" displayFolder="" count="0" unbalanced="0"/>
    <cacheHierarchy uniqueName="[FactSilverpopEmailActivity].[SilverpopEngage]" caption="SilverpopEngage" attribute="1" defaultMemberUniqueName="[FactSilverpopEmailActivity].[SilverpopEngage].[All]" allUniqueName="[FactSilverpopEmailActivity].[SilverpopEngage].[All]" dimensionUniqueName="[FactSilverpopEmailActivity]" displayFolder="" count="0" unbalanced="0"/>
    <cacheHierarchy uniqueName="[FactSilverpopEmailActivity].[SilverpopLead]" caption="SilverpopLead" attribute="1" defaultMemberUniqueName="[FactSilverpopEmailActivity].[SilverpopLead].[All]" allUniqueName="[FactSilverpopEmailActivity].[SilverpopLead].[All]" dimensionUniqueName="[FactSilverpopEmailActivity]" displayFolder="" count="0" unbalanced="0"/>
    <cacheHierarchy uniqueName="[FactSilverpopEmailActivity].[SilverpopOpenDateTime]" caption="SilverpopOpenDateTime" attribute="1" defaultMemberUniqueName="[FactSilverpopEmailActivity].[SilverpopOpenDateTime].[All]" allUniqueName="[FactSilverpopEmailActivity].[SilverpopOpenDateTime].[All]" dimensionUniqueName="[FactSilverpopEmailActivity]" displayFolder="" count="0" unbalanced="0"/>
    <cacheHierarchy uniqueName="[FactSilverpopEmailActivity].[SilverpopOpened]" caption="SilverpopOpened" attribute="1" defaultMemberUniqueName="[FactSilverpopEmailActivity].[SilverpopOpened].[All]" allUniqueName="[FactSilverpopEmailActivity].[SilverpopOpened].[All]" dimensionUniqueName="[FactSilverpopEmailActivity]" displayFolder="" count="0" unbalanced="0"/>
    <cacheHierarchy uniqueName="[FactSilverpopEmailActivity].[SilverpopSentDateTime]" caption="SilverpopSentDateTime" attribute="1" defaultMemberUniqueName="[FactSilverpopEmailActivity].[SilverpopSentDateTime].[All]" allUniqueName="[FactSilverpopEmailActivity].[SilverpopSentDateTime].[All]" dimensionUniqueName="[FactSilverpopEmailActivity]" displayFolder="" count="0" unbalanced="0"/>
    <cacheHierarchy uniqueName="[FactSilverpopEmailActivity].[SilverpopSilverpopId]" caption="SilverpopSilverpopId" attribute="1" defaultMemberUniqueName="[FactSilverpopEmailActivity].[SilverpopSilverpopId].[All]" allUniqueName="[FactSilverpopEmailActivity].[SilverpopSilverpopId].[All]" dimensionUniqueName="[FactSilverpopEmailActivity]" displayFolder="" count="0" unbalanced="0"/>
    <cacheHierarchy uniqueName="[FactSilverpopEmailActivity].[SilverpopStatus]" caption="SilverpopStatus" attribute="1" defaultMemberUniqueName="[FactSilverpopEmailActivity].[SilverpopStatus].[All]" allUniqueName="[FactSilverpopEmailActivity].[SilverpopStatus].[All]" dimensionUniqueName="[FactSilverpopEmailActivity]" displayFolder="" count="0" unbalanced="0"/>
    <cacheHierarchy uniqueName="[FactSilverpopEmailActivity].[SilverpopSubject]" caption="SilverpopSubject" attribute="1" defaultMemberUniqueName="[FactSilverpopEmailActivity].[SilverpopSubject].[All]" allUniqueName="[FactSilverpopEmailActivity].[SilverpopSubject].[All]" dimensionUniqueName="[FactSilverpopEmailActivity]" displayFolder="" count="0" unbalanced="0"/>
    <cacheHierarchy uniqueName="[FactSilverpopEmailActivity].[SystemModstamp]" caption="SystemModstamp" attribute="1" defaultMemberUniqueName="[FactSilverpopEmailActivity].[SystemModstamp].[All]" allUniqueName="[FactSilverpopEmailActivity].[SystemModstamp].[All]" dimensionUniqueName="[FactSilverpopEmailActivity]" displayFolder="" count="0" unbalanced="0"/>
    <cacheHierarchy uniqueName="[FactSilverpopEmailActivity].[UpdateAuditKey]" caption="UpdateAuditKey" attribute="1" defaultMemberUniqueName="[FactSilverpopEmailActivity].[UpdateAuditKey].[All]" allUniqueName="[FactSilverpopEmailActivity].[UpdateAuditKey].[All]" dimensionUniqueName="[FactSilverpopEmailActivity]" displayFolder="" count="0" unbalanced="0"/>
    <cacheHierarchy uniqueName="[FactSilverPopSurvey].[AccountKey]" caption="AccountKey" attribute="1" defaultMemberUniqueName="[FactSilverPopSurvey].[AccountKey].[All]" allUniqueName="[FactSilverPopSurvey].[AccountKey].[All]" dimensionUniqueName="[FactSilverPopSurvey]" displayFolder="" count="0" unbalanced="0"/>
    <cacheHierarchy uniqueName="[FactSilverPopSurvey].[DateSent]" caption="DateSent" attribute="1" defaultMemberUniqueName="[FactSilverPopSurvey].[DateSent].[All]" allUniqueName="[FactSilverPopSurvey].[DateSent].[All]" dimensionUniqueName="[FactSilverPopSurvey]" displayFolder="" count="0" unbalanced="0"/>
    <cacheHierarchy uniqueName="[FactSilverPopSurvey].[FactSilverPopSurveyKey]" caption="FactSilverPopSurveyKey" attribute="1" defaultMemberUniqueName="[FactSilverPopSurvey].[FactSilverPopSurveyKey].[All]" allUniqueName="[FactSilverPopSurvey].[FactSilverPopSurveyKey].[All]" dimensionUniqueName="[FactSilverPopSurvey]" displayFolder="" count="0" unbalanced="0"/>
    <cacheHierarchy uniqueName="[FactSilverPopSurvey].[MeasureGroupKey]" caption="MeasureGroupKey" attribute="1" defaultMemberUniqueName="[FactSilverPopSurvey].[MeasureGroupKey].[All]" allUniqueName="[FactSilverPopSurvey].[MeasureGroupKey].[All]" dimensionUniqueName="[FactSilverPopSurvey]" displayFolder="" count="0" unbalanced="0"/>
    <cacheHierarchy uniqueName="[FactSilverPopSurvey].[PMTProgramKey]" caption="PMTProgramKey" attribute="1" defaultMemberUniqueName="[FactSilverPopSurvey].[PMTProgramKey].[All]" allUniqueName="[FactSilverPopSurvey].[PMTProgramKey].[All]" dimensionUniqueName="[FactSilverPopSurvey]" displayFolder="" count="0" unbalanced="0"/>
    <cacheHierarchy uniqueName="[FactSilverPopSurvey].[ProgramYear]" caption="ProgramYear" attribute="1" defaultMemberUniqueName="[FactSilverPopSurvey].[ProgramYear].[All]" allUniqueName="[FactSilverPopSurvey].[ProgramYear].[All]" dimensionUniqueName="[FactSilverPopSurvey]" displayFolder="" count="0" unbalanced="0"/>
    <cacheHierarchy uniqueName="[FactSilverPopSurvey].[SentToSilverPop]" caption="SentToSilverPop" attribute="1" defaultMemberUniqueName="[FactSilverPopSurvey].[SentToSilverPop].[All]" allUniqueName="[FactSilverPopSurvey].[SentToSilverPop].[All]" dimensionUniqueName="[FactSilverPopSurvey]" displayFolder="" count="0" unbalanced="0"/>
    <cacheHierarchy uniqueName="[FactUsage].[Balance Control GroupID]" caption="Balance Control GroupID" attribute="1" defaultMemberUniqueName="[FactUsage].[Balance Control GroupID].[All]" allUniqueName="[FactUsage].[Balance Control GroupID].[All]" dimensionUniqueName="[FactUsage]" displayFolder="" count="0" unbalanced="0"/>
    <cacheHierarchy uniqueName="[FactUsage].[Bill Segment Degree Day Count]" caption="Bill Segment Degree Day Count" attribute="1" defaultMemberUniqueName="[FactUsage].[Bill Segment Degree Day Count].[All]" allUniqueName="[FactUsage].[Bill Segment Degree Day Count].[All]" dimensionUniqueName="[FactUsage]" displayFolder="" count="0" unbalanced="0"/>
    <cacheHierarchy uniqueName="[FactUsage].[Bill Segment Estimated Code]" caption="Bill Segment Estimated Code" attribute="1" defaultMemberUniqueName="[FactUsage].[Bill Segment Estimated Code].[All]" allUniqueName="[FactUsage].[Bill Segment Estimated Code].[All]" dimensionUniqueName="[FactUsage]" displayFolder="" count="0" unbalanced="0"/>
    <cacheHierarchy uniqueName="[FactUsage].[Bill SegmentID]" caption="Bill SegmentID" attribute="1" defaultMemberUniqueName="[FactUsage].[Bill SegmentID].[All]" allUniqueName="[FactUsage].[Bill SegmentID].[All]" dimensionUniqueName="[FactUsage]" displayFolder="" count="0" unbalanced="0"/>
    <cacheHierarchy uniqueName="[FactUsage].[Billed Days Count]" caption="Billed Days Count" attribute="1" defaultMemberUniqueName="[FactUsage].[Billed Days Count].[All]" allUniqueName="[FactUsage].[Billed Days Count].[All]" dimensionUniqueName="[FactUsage]" displayFolder="" count="0" unbalanced="0"/>
    <cacheHierarchy uniqueName="[FactUsage].[CurrentTotalBillAmount]" caption="CurrentTotalBillAmount" attribute="1" defaultMemberUniqueName="[FactUsage].[CurrentTotalBillAmount].[All]" allUniqueName="[FactUsage].[CurrentTotalBillAmount].[All]" dimensionUniqueName="[FactUsage]" displayFolder="" count="0" unbalanced="0"/>
    <cacheHierarchy uniqueName="[FactUsage].[Customer Select Gas Quantity]" caption="Customer Select Gas Quantity" attribute="1" defaultMemberUniqueName="[FactUsage].[Customer Select Gas Quantity].[All]" allUniqueName="[FactUsage].[Customer Select Gas Quantity].[All]" dimensionUniqueName="[FactUsage]" displayFolder="" count="0" unbalanced="0"/>
    <cacheHierarchy uniqueName="[FactUsage].[Customer Select Indicator]" caption="Customer Select Indicator" attribute="1" defaultMemberUniqueName="[FactUsage].[Customer Select Indicator].[All]" allUniqueName="[FactUsage].[Customer Select Indicator].[All]" dimensionUniqueName="[FactUsage]" displayFolder="" count="0" unbalanced="0"/>
    <cacheHierarchy uniqueName="[FactUsage].[DQScoreKey]" caption="DQScoreKey" attribute="1" defaultMemberUniqueName="[FactUsage].[DQScoreKey].[All]" allUniqueName="[FactUsage].[DQScoreKey].[All]" dimensionUniqueName="[FactUsage]" displayFolder="" count="0" unbalanced="0"/>
    <cacheHierarchy uniqueName="[FactUsage].[Financial Transaction Type Code]" caption="Financial Transaction Type Code" attribute="1" defaultMemberUniqueName="[FactUsage].[Financial Transaction Type Code].[All]" allUniqueName="[FactUsage].[Financial Transaction Type Code].[All]" dimensionUniqueName="[FactUsage]" displayFolder="" count="0" unbalanced="0"/>
    <cacheHierarchy uniqueName="[FactUsage].[Franchise Gas Quantity]" caption="Franchise Gas Quantity" attribute="1" defaultMemberUniqueName="[FactUsage].[Franchise Gas Quantity].[All]" allUniqueName="[FactUsage].[Franchise Gas Quantity].[All]" dimensionUniqueName="[FactUsage]" displayFolder="" count="0" unbalanced="0"/>
    <cacheHierarchy uniqueName="[FactUsage].[In City Limit]" caption="In City Limit" attribute="1" defaultMemberUniqueName="[FactUsage].[In City Limit].[All]" allUniqueName="[FactUsage].[In City Limit].[All]" dimensionUniqueName="[FactUsage]" displayFolder="" count="0" unbalanced="0"/>
    <cacheHierarchy uniqueName="[FactUsage].[InsertAuditKey]" caption="InsertAuditKey" attribute="1" defaultMemberUniqueName="[FactUsage].[InsertAuditKey].[All]" allUniqueName="[FactUsage].[InsertAuditKey].[All]" dimensionUniqueName="[FactUsage]" displayFolder="" count="0" unbalanced="0"/>
    <cacheHierarchy uniqueName="[FactUsage].[Other Gas Quantity]" caption="Other Gas Quantity" attribute="1" defaultMemberUniqueName="[FactUsage].[Other Gas Quantity].[All]" allUniqueName="[FactUsage].[Other Gas Quantity].[All]" dimensionUniqueName="[FactUsage]" displayFolder="" count="0" unbalanced="0"/>
    <cacheHierarchy uniqueName="[FactUsage].[RIDER30_CD]" caption="RIDER30_CD" attribute="1" defaultMemberUniqueName="[FactUsage].[RIDER30_CD].[All]" allUniqueName="[FactUsage].[RIDER30_CD].[All]" dimensionUniqueName="[FactUsage]" displayFolder="" count="0" unbalanced="0"/>
    <cacheHierarchy uniqueName="[FactUsage].[Sales Gas Quantity]" caption="Sales Gas Quantity" attribute="1" defaultMemberUniqueName="[FactUsage].[Sales Gas Quantity].[All]" allUniqueName="[FactUsage].[Sales Gas Quantity].[All]" dimensionUniqueName="[FactUsage]" displayFolder="" count="0" unbalanced="0"/>
    <cacheHierarchy uniqueName="[FactUsage].[Total Gas Quantity]" caption="Total Gas Quantity" attribute="1" defaultMemberUniqueName="[FactUsage].[Total Gas Quantity].[All]" allUniqueName="[FactUsage].[Total Gas Quantity].[All]" dimensionUniqueName="[FactUsage]" displayFolder="" count="0" unbalanced="0"/>
    <cacheHierarchy uniqueName="[FactUsage].[Transportation Gas Quantity]" caption="Transportation Gas Quantity" attribute="1" defaultMemberUniqueName="[FactUsage].[Transportation Gas Quantity].[All]" allUniqueName="[FactUsage].[Transportation Gas Quantity].[All]" dimensionUniqueName="[FactUsage]" displayFolder="" count="0" unbalanced="0"/>
    <cacheHierarchy uniqueName="[FactUsage].[UpdateAuditKey]" caption="UpdateAuditKey" attribute="1" defaultMemberUniqueName="[FactUsage].[UpdateAuditKey].[All]" allUniqueName="[FactUsage].[UpdateAuditKey].[All]" dimensionUniqueName="[FactUsage]" displayFolder="" count="0" unbalanced="0"/>
    <cacheHierarchy uniqueName="[HierProgramProjectMeasure].[HierProgramMeasure]" caption="HierProgramMeasure" defaultMemberUniqueName="[HierProgramProjectMeasure].[HierProgramMeasure].[All]" allUniqueName="[HierProgramProjectMeasure].[HierProgramMeasure].[All]" dimensionUniqueName="[HierProgramProjectMeasure]" displayFolder="" count="3" unbalanced="0"/>
    <cacheHierarchy uniqueName="[HierProgramProjectMeasure].[HierProgramProjectMeasure]" caption="HierProgramProjectMeasure" defaultMemberUniqueName="[HierProgramProjectMeasure].[HierProgramProjectMeasure].[All]" allUniqueName="[HierProgramProjectMeasure].[HierProgramProjectMeasure].[All]" dimensionUniqueName="[HierProgramProjectMeasure]" displayFolder="" count="4" unbalanced="0"/>
    <cacheHierarchy uniqueName="[HierProgramProjectMeasure].[Measure Name]" caption="Measure Name" attribute="1" defaultMemberUniqueName="[HierProgramProjectMeasure].[Measure Name].[All]" allUniqueName="[HierProgramProjectMeasure].[Measure Name].[All]" dimensionUniqueName="[HierProgramProjectMeasure]" displayFolder="" count="0" unbalanced="0"/>
    <cacheHierarchy uniqueName="[HierProgramProjectMeasure].[MeasureType]" caption="MeasureType" attribute="1" defaultMemberUniqueName="[HierProgramProjectMeasure].[MeasureType].[All]" allUniqueName="[HierProgramProjectMeasure].[MeasureType].[All]" dimensionUniqueName="[HierProgramProjectMeasure]" displayFolder="" count="0" unbalanced="0"/>
    <cacheHierarchy uniqueName="[HierProgramProjectMeasure].[Program Name]" caption="Program Name" attribute="1" defaultMemberUniqueName="[HierProgramProjectMeasure].[Program Name].[All]" allUniqueName="[HierProgramProjectMeasure].[Program Name].[All]" dimensionUniqueName="[HierProgramProjectMeasure]" displayFolder="" count="0" unbalanced="0"/>
    <cacheHierarchy uniqueName="[HierProgramProjectMeasure].[Project Name]" caption="Project Name" attribute="1" defaultMemberUniqueName="[HierProgramProjectMeasure].[Project Name].[All]" allUniqueName="[HierProgramProjectMeasure].[Project Name].[All]" dimensionUniqueName="[HierProgramProjectMeasure]" displayFolder="" count="0" unbalanced="0"/>
    <cacheHierarchy uniqueName="[MOCActivityDate].[Datekey]" caption="Datekey" attribute="1" defaultMemberUniqueName="[MOCActivityDate].[Datekey].[All]" allUniqueName="[MOCActivityDate].[Datekey].[All]" dimensionUniqueName="[MOCActivityDate]" displayFolder="" count="0" unbalanced="0"/>
    <cacheHierarchy uniqueName="[MOCActivityDate].[HierMOCActivityDatePY]" caption="HierMOCActivityDatePY" defaultMemberUniqueName="[MOCActivityDate].[HierMOCActivityDatePY].[All]" allUniqueName="[MOCActivityDate].[HierMOCActivityDatePY].[All]" dimensionUniqueName="[MOCActivityDate]" displayFolder="" count="4" unbalanced="0"/>
    <cacheHierarchy uniqueName="[MOCActivityDate].[HierMOCActivityDateYear]" caption="HierMOCActivityDateYear" defaultMemberUniqueName="[MOCActivityDate].[HierMOCActivityDateYear].[All]" allUniqueName="[MOCActivityDate].[HierMOCActivityDateYear].[All]" dimensionUniqueName="[MOCActivityDate]" displayFolder="" count="4" unbalanced="0"/>
    <cacheHierarchy uniqueName="[MOCActivityDate].[MOC Call Activity Date]" caption="MOC Call Activity Date" attribute="1" defaultMemberUniqueName="[MOCActivityDate].[MOC Call Activity Date].[All]" allUniqueName="[MOCActivityDate].[MOC Call Activity Date].[All]" dimensionUniqueName="[MOCActivityDate]" displayFolder="" count="0" unbalanced="0"/>
    <cacheHierarchy uniqueName="[MOCActivityDate].[MOC Call Activity DayOfMonth]" caption="MOC Call Activity DayOfMonth" attribute="1" defaultMemberUniqueName="[MOCActivityDate].[MOC Call Activity DayOfMonth].[All]" allUniqueName="[MOCActivityDate].[MOC Call Activity DayOfMonth].[All]" dimensionUniqueName="[MOCActivityDate]" displayFolder="" count="0" unbalanced="0"/>
    <cacheHierarchy uniqueName="[MOCActivityDate].[MOC Call Activity DayOfWeek]" caption="MOC Call Activity DayOfWeek" attribute="1" defaultMemberUniqueName="[MOCActivityDate].[MOC Call Activity DayOfWeek].[All]" allUniqueName="[MOCActivityDate].[MOC Call Activity DayOfWeek].[All]" dimensionUniqueName="[MOCActivityDate]" displayFolder="" count="0" unbalanced="0"/>
    <cacheHierarchy uniqueName="[MOCActivityDate].[MOC Call Activity DayOfWeekName]" caption="MOC Call Activity DayOfWeekName" attribute="1" defaultMemberUniqueName="[MOCActivityDate].[MOC Call Activity DayOfWeekName].[All]" allUniqueName="[MOCActivityDate].[MOC Call Activity DayOfWeekName].[All]" dimensionUniqueName="[MOCActivityDate]" displayFolder="" count="0" unbalanced="0"/>
    <cacheHierarchy uniqueName="[MOCActivityDate].[MOC Call Activity DayOfYear]" caption="MOC Call Activity DayOfYear" attribute="1" defaultMemberUniqueName="[MOCActivityDate].[MOC Call Activity DayOfYear].[All]" allUniqueName="[MOCActivityDate].[MOC Call Activity DayOfYear].[All]" dimensionUniqueName="[MOCActivityDate]" displayFolder="" count="0" unbalanced="0"/>
    <cacheHierarchy uniqueName="[MOCActivityDate].[MOC Call Activity HolidayInd]" caption="MOC Call Activity HolidayInd" attribute="1" defaultMemberUniqueName="[MOCActivityDate].[MOC Call Activity HolidayInd].[All]" allUniqueName="[MOCActivityDate].[MOC Call Activity HolidayInd].[All]" dimensionUniqueName="[MOCActivityDate]" displayFolder="" count="0" unbalanced="0"/>
    <cacheHierarchy uniqueName="[MOCActivityDate].[MOC Call Activity HolidayName]" caption="MOC Call Activity HolidayName" attribute="1" defaultMemberUniqueName="[MOCActivityDate].[MOC Call Activity HolidayName].[All]" allUniqueName="[MOCActivityDate].[MOC Call Activity HolidayName].[All]" dimensionUniqueName="[MOCActivityDate]" displayFolder="" count="0" unbalanced="0"/>
    <cacheHierarchy uniqueName="[MOCActivityDate].[MOC Call Activity LastDateOfMonth]" caption="MOC Call Activity LastDateOfMonth" attribute="1" defaultMemberUniqueName="[MOCActivityDate].[MOC Call Activity LastDateOfMonth].[All]" allUniqueName="[MOCActivityDate].[MOC Call Activity LastDateOfMonth].[All]" dimensionUniqueName="[MOCActivityDate]" displayFolder="" count="0" unbalanced="0"/>
    <cacheHierarchy uniqueName="[MOCActivityDate].[MOC Call Activity LastDayOfMonthIndicator]" caption="MOC Call Activity LastDayOfMonthIndicator" attribute="1" defaultMemberUniqueName="[MOCActivityDate].[MOC Call Activity LastDayOfMonthIndicator].[All]" allUniqueName="[MOCActivityDate].[MOC Call Activity LastDayOfMonthIndicator].[All]" dimensionUniqueName="[MOCActivityDate]" displayFolder="" count="0" unbalanced="0"/>
    <cacheHierarchy uniqueName="[MOCActivityDate].[MOC Call Activity Month]" caption="MOC Call Activity Month" attribute="1" defaultMemberUniqueName="[MOCActivityDate].[MOC Call Activity Month].[All]" allUniqueName="[MOCActivityDate].[MOC Call Activity Month].[All]" dimensionUniqueName="[MOCActivityDate]" displayFolder="" count="0" unbalanced="0"/>
    <cacheHierarchy uniqueName="[MOCActivityDate].[MOC Call Activity MonthNbr]" caption="MOC Call Activity MonthNbr" attribute="1" defaultMemberUniqueName="[MOCActivityDate].[MOC Call Activity MonthNbr].[All]" allUniqueName="[MOCActivityDate].[MOC Call Activity MonthNbr].[All]" dimensionUniqueName="[MOCActivityDate]" displayFolder="" count="0" unbalanced="0"/>
    <cacheHierarchy uniqueName="[MOCActivityDate].[MOC Call Activity Plan Month and Year]" caption="MOC Call Activity Plan Month and Year" attribute="1" defaultMemberUniqueName="[MOCActivityDate].[MOC Call Activity Plan Month and Year].[All]" allUniqueName="[MOCActivityDate].[MOC Call Activity Plan Month and Year].[All]" dimensionUniqueName="[MOCActivityDate]" displayFolder="" count="0" unbalanced="0"/>
    <cacheHierarchy uniqueName="[MOCActivityDate].[MOC Call Activity Plan Month Number]" caption="MOC Call Activity Plan Month Number" attribute="1" defaultMemberUniqueName="[MOCActivityDate].[MOC Call Activity Plan Month Number].[All]" allUniqueName="[MOCActivityDate].[MOC Call Activity Plan Month Number].[All]" dimensionUniqueName="[MOCActivityDate]" displayFolder="" count="0" unbalanced="0"/>
    <cacheHierarchy uniqueName="[MOCActivityDate].[MOC Call Activity Plan Quarter Number]" caption="MOC Call Activity Plan Quarter Number" attribute="1" defaultMemberUniqueName="[MOCActivityDate].[MOC Call Activity Plan Quarter Number].[All]" allUniqueName="[MOCActivityDate].[MOC Call Activity Plan Quarter Number].[All]" dimensionUniqueName="[MOCActivityDate]" displayFolder="" count="0" unbalanced="0"/>
    <cacheHierarchy uniqueName="[MOCActivityDate].[MOC Call Activity PQ]" caption="MOC Call Activity PQ" attribute="1" defaultMemberUniqueName="[MOCActivityDate].[MOC Call Activity PQ].[All]" allUniqueName="[MOCActivityDate].[MOC Call Activity PQ].[All]" dimensionUniqueName="[MOCActivityDate]" displayFolder="" count="0" unbalanced="0"/>
    <cacheHierarchy uniqueName="[MOCActivityDate].[MOC Call Activity PY]" caption="MOC Call Activity PY" attribute="1" defaultMemberUniqueName="[MOCActivityDate].[MOC Call Activity PY].[All]" allUniqueName="[MOCActivityDate].[MOC Call Activity PY].[All]" dimensionUniqueName="[MOCActivityDate]" displayFolder="" count="0" unbalanced="0"/>
    <cacheHierarchy uniqueName="[MOCActivityDate].[MOC Call Activity Qtr]" caption="MOC Call Activity Qtr" attribute="1" defaultMemberUniqueName="[MOCActivityDate].[MOC Call Activity Qtr].[All]" allUniqueName="[MOCActivityDate].[MOC Call Activity Qtr].[All]" dimensionUniqueName="[MOCActivityDate]" displayFolder="" count="0" unbalanced="0"/>
    <cacheHierarchy uniqueName="[MOCActivityDate].[MOC Call Activity Semester]" caption="MOC Call Activity Semester" attribute="1" defaultMemberUniqueName="[MOCActivityDate].[MOC Call Activity Semester].[All]" allUniqueName="[MOCActivityDate].[MOC Call Activity Semester].[All]" dimensionUniqueName="[MOCActivityDate]" displayFolder="" count="0" unbalanced="0"/>
    <cacheHierarchy uniqueName="[MOCActivityDate].[MOC Call Activity WeekdayWeekend]" caption="MOC Call Activity WeekdayWeekend" attribute="1" defaultMemberUniqueName="[MOCActivityDate].[MOC Call Activity WeekdayWeekend].[All]" allUniqueName="[MOCActivityDate].[MOC Call Activity WeekdayWeekend].[All]" dimensionUniqueName="[MOCActivityDate]" displayFolder="" count="0" unbalanced="0"/>
    <cacheHierarchy uniqueName="[MOCActivityDate].[MOC Call Activity WeekOfMonth]" caption="MOC Call Activity WeekOfMonth" attribute="1" defaultMemberUniqueName="[MOCActivityDate].[MOC Call Activity WeekOfMonth].[All]" allUniqueName="[MOCActivityDate].[MOC Call Activity WeekOfMonth].[All]" dimensionUniqueName="[MOCActivityDate]" displayFolder="" count="0" unbalanced="0"/>
    <cacheHierarchy uniqueName="[MOCActivityDate].[MOC Call Activity WeekOfYear]" caption="MOC Call Activity WeekOfYear" attribute="1" defaultMemberUniqueName="[MOCActivityDate].[MOC Call Activity WeekOfYear].[All]" allUniqueName="[MOCActivityDate].[MOC Call Activity WeekOfYear].[All]" dimensionUniqueName="[MOCActivityDate]" displayFolder="" count="0" unbalanced="0"/>
    <cacheHierarchy uniqueName="[MOCActivityDate].[MOC Call Activity WorkingDayInd]" caption="MOC Call Activity WorkingDayInd" attribute="1" defaultMemberUniqueName="[MOCActivityDate].[MOC Call Activity WorkingDayInd].[All]" allUniqueName="[MOCActivityDate].[MOC Call Activity WorkingDayInd].[All]" dimensionUniqueName="[MOCActivityDate]" displayFolder="" count="0" unbalanced="0"/>
    <cacheHierarchy uniqueName="[MOCActivityDate].[MOC Call Activity Year]" caption="MOC Call Activity Year" attribute="1" defaultMemberUniqueName="[MOCActivityDate].[MOC Call Activity Year].[All]" allUniqueName="[MOCActivityDate].[MOC Call Activity Year].[All]" dimensionUniqueName="[MOCActivityDate]" displayFolder="" count="0" unbalanced="0"/>
    <cacheHierarchy uniqueName="[MOCActivityDate].[MOC Call Activity YearMonthAsInteger]" caption="MOC Call Activity YearMonthAsInteger" attribute="1" defaultMemberUniqueName="[MOCActivityDate].[MOC Call Activity YearMonthAsInteger].[All]" allUniqueName="[MOCActivityDate].[MOC Call Activity YearMonthAsInteger].[All]" dimensionUniqueName="[MOCActivityDate]" displayFolder="" count="0" unbalanced="0"/>
    <cacheHierarchy uniqueName="[MOCActivityDate].[MOC Call Activity YearQuarterAsInteger]" caption="MOC Call Activity YearQuarterAsInteger" attribute="1" defaultMemberUniqueName="[MOCActivityDate].[MOC Call Activity YearQuarterAsInteger].[All]" allUniqueName="[MOCActivityDate].[MOC Call Activity YearQuarterAsInteger].[All]" dimensionUniqueName="[MOCActivityDate]" displayFolder="" count="0" unbalanced="0"/>
    <cacheHierarchy uniqueName="[MOCActivityDate].[MOC Call Activity YearSemesterAsInteger]" caption="MOC Call Activity YearSemesterAsInteger" attribute="1" defaultMemberUniqueName="[MOCActivityDate].[MOC Call Activity YearSemesterAsInteger].[All]" allUniqueName="[MOCActivityDate].[MOC Call Activity YearSemesterAsInteger].[All]" dimensionUniqueName="[MOCActivityDate]" displayFolder="" count="0" unbalanced="0"/>
    <cacheHierarchy uniqueName="[MOCAssessmentDate].[Datekey]" caption="Datekey" attribute="1" defaultMemberUniqueName="[MOCAssessmentDate].[Datekey].[All]" allUniqueName="[MOCAssessmentDate].[Datekey].[All]" dimensionUniqueName="[MOCAssessmentDate]" displayFolder="" count="0" unbalanced="0"/>
    <cacheHierarchy uniqueName="[MOCAssessmentDate].[HierMOCAssessDatePY]" caption="HierMOCAssessDatePY" defaultMemberUniqueName="[MOCAssessmentDate].[HierMOCAssessDatePY].[All]" allUniqueName="[MOCAssessmentDate].[HierMOCAssessDatePY].[All]" dimensionUniqueName="[MOCAssessmentDate]" displayFolder="" count="4" unbalanced="0"/>
    <cacheHierarchy uniqueName="[MOCAssessmentDate].[HierMOCAssessDateYear]" caption="HierMOCAssessDateYear" defaultMemberUniqueName="[MOCAssessmentDate].[HierMOCAssessDateYear].[All]" allUniqueName="[MOCAssessmentDate].[HierMOCAssessDateYear].[All]" dimensionUniqueName="[MOCAssessmentDate]" displayFolder="" count="4" unbalanced="0"/>
    <cacheHierarchy uniqueName="[MOCAssessmentDate].[MOC Call Assessment Date]" caption="MOC Call Assessment Date" attribute="1" defaultMemberUniqueName="[MOCAssessmentDate].[MOC Call Assessment Date].[All]" allUniqueName="[MOCAssessmentDate].[MOC Call Assessment Date].[All]" dimensionUniqueName="[MOCAssessmentDate]" displayFolder="" count="0" unbalanced="0"/>
    <cacheHierarchy uniqueName="[MOCAssessmentDate].[MOC Call Assessment DayOfMonth]" caption="MOC Call Assessment DayOfMonth" attribute="1" defaultMemberUniqueName="[MOCAssessmentDate].[MOC Call Assessment DayOfMonth].[All]" allUniqueName="[MOCAssessmentDate].[MOC Call Assessment DayOfMonth].[All]" dimensionUniqueName="[MOCAssessmentDate]" displayFolder="" count="0" unbalanced="0"/>
    <cacheHierarchy uniqueName="[MOCAssessmentDate].[MOC Call Assessment DayOfWeek]" caption="MOC Call Assessment DayOfWeek" attribute="1" defaultMemberUniqueName="[MOCAssessmentDate].[MOC Call Assessment DayOfWeek].[All]" allUniqueName="[MOCAssessmentDate].[MOC Call Assessment DayOfWeek].[All]" dimensionUniqueName="[MOCAssessmentDate]" displayFolder="" count="0" unbalanced="0"/>
    <cacheHierarchy uniqueName="[MOCAssessmentDate].[MOC Call Assessment DayOfWeekName]" caption="MOC Call Assessment DayOfWeekName" attribute="1" defaultMemberUniqueName="[MOCAssessmentDate].[MOC Call Assessment DayOfWeekName].[All]" allUniqueName="[MOCAssessmentDate].[MOC Call Assessment DayOfWeekName].[All]" dimensionUniqueName="[MOCAssessmentDate]" displayFolder="" count="0" unbalanced="0"/>
    <cacheHierarchy uniqueName="[MOCAssessmentDate].[MOC Call Assessment DayOfYear]" caption="MOC Call Assessment DayOfYear" attribute="1" defaultMemberUniqueName="[MOCAssessmentDate].[MOC Call Assessment DayOfYear].[All]" allUniqueName="[MOCAssessmentDate].[MOC Call Assessment DayOfYear].[All]" dimensionUniqueName="[MOCAssessmentDate]" displayFolder="" count="0" unbalanced="0"/>
    <cacheHierarchy uniqueName="[MOCAssessmentDate].[MOC Call Assessment HolidayInd]" caption="MOC Call Assessment HolidayInd" attribute="1" defaultMemberUniqueName="[MOCAssessmentDate].[MOC Call Assessment HolidayInd].[All]" allUniqueName="[MOCAssessmentDate].[MOC Call Assessment HolidayInd].[All]" dimensionUniqueName="[MOCAssessmentDate]" displayFolder="" count="0" unbalanced="0"/>
    <cacheHierarchy uniqueName="[MOCAssessmentDate].[MOC Call Assessment HolidayName]" caption="MOC Call Assessment HolidayName" attribute="1" defaultMemberUniqueName="[MOCAssessmentDate].[MOC Call Assessment HolidayName].[All]" allUniqueName="[MOCAssessmentDate].[MOC Call Assessment HolidayName].[All]" dimensionUniqueName="[MOCAssessmentDate]" displayFolder="" count="0" unbalanced="0"/>
    <cacheHierarchy uniqueName="[MOCAssessmentDate].[MOC Call Assessment LastDateOfMonth]" caption="MOC Call Assessment LastDateOfMonth" attribute="1" defaultMemberUniqueName="[MOCAssessmentDate].[MOC Call Assessment LastDateOfMonth].[All]" allUniqueName="[MOCAssessmentDate].[MOC Call Assessment LastDateOfMonth].[All]" dimensionUniqueName="[MOCAssessmentDate]" displayFolder="" count="0" unbalanced="0"/>
    <cacheHierarchy uniqueName="[MOCAssessmentDate].[MOC Call Assessment LastDayOfMonthIndicator]" caption="MOC Call Assessment LastDayOfMonthIndicator" attribute="1" defaultMemberUniqueName="[MOCAssessmentDate].[MOC Call Assessment LastDayOfMonthIndicator].[All]" allUniqueName="[MOCAssessmentDate].[MOC Call Assessment LastDayOfMonthIndicator].[All]" dimensionUniqueName="[MOCAssessmentDate]" displayFolder="" count="0" unbalanced="0"/>
    <cacheHierarchy uniqueName="[MOCAssessmentDate].[MOC Call Assessment Month]" caption="MOC Call Assessment Month" attribute="1" defaultMemberUniqueName="[MOCAssessmentDate].[MOC Call Assessment Month].[All]" allUniqueName="[MOCAssessmentDate].[MOC Call Assessment Month].[All]" dimensionUniqueName="[MOCAssessmentDate]" displayFolder="" count="0" unbalanced="0"/>
    <cacheHierarchy uniqueName="[MOCAssessmentDate].[MOC Call Assessment MonthNbr]" caption="MOC Call Assessment MonthNbr" attribute="1" defaultMemberUniqueName="[MOCAssessmentDate].[MOC Call Assessment MonthNbr].[All]" allUniqueName="[MOCAssessmentDate].[MOC Call Assessment MonthNbr].[All]" dimensionUniqueName="[MOCAssessmentDate]" displayFolder="" count="0" unbalanced="0"/>
    <cacheHierarchy uniqueName="[MOCAssessmentDate].[MOC Call Assessment Plan Month and Year]" caption="MOC Call Assessment Plan Month and Year" attribute="1" defaultMemberUniqueName="[MOCAssessmentDate].[MOC Call Assessment Plan Month and Year].[All]" allUniqueName="[MOCAssessmentDate].[MOC Call Assessment Plan Month and Year].[All]" dimensionUniqueName="[MOCAssessmentDate]" displayFolder="" count="0" unbalanced="0"/>
    <cacheHierarchy uniqueName="[MOCAssessmentDate].[MOC Call Assessment Plan Month Number]" caption="MOC Call Assessment Plan Month Number" attribute="1" defaultMemberUniqueName="[MOCAssessmentDate].[MOC Call Assessment Plan Month Number].[All]" allUniqueName="[MOCAssessmentDate].[MOC Call Assessment Plan Month Number].[All]" dimensionUniqueName="[MOCAssessmentDate]" displayFolder="" count="0" unbalanced="0"/>
    <cacheHierarchy uniqueName="[MOCAssessmentDate].[MOC Call Assessment Plan Quarter Number]" caption="MOC Call Assessment Plan Quarter Number" attribute="1" defaultMemberUniqueName="[MOCAssessmentDate].[MOC Call Assessment Plan Quarter Number].[All]" allUniqueName="[MOCAssessmentDate].[MOC Call Assessment Plan Quarter Number].[All]" dimensionUniqueName="[MOCAssessmentDate]" displayFolder="" count="0" unbalanced="0"/>
    <cacheHierarchy uniqueName="[MOCAssessmentDate].[MOC Call Assessment PQ]" caption="MOC Call Assessment PQ" attribute="1" defaultMemberUniqueName="[MOCAssessmentDate].[MOC Call Assessment PQ].[All]" allUniqueName="[MOCAssessmentDate].[MOC Call Assessment PQ].[All]" dimensionUniqueName="[MOCAssessmentDate]" displayFolder="" count="0" unbalanced="0"/>
    <cacheHierarchy uniqueName="[MOCAssessmentDate].[MOC Call Assessment PY]" caption="MOC Call Assessment PY" attribute="1" defaultMemberUniqueName="[MOCAssessmentDate].[MOC Call Assessment PY].[All]" allUniqueName="[MOCAssessmentDate].[MOC Call Assessment PY].[All]" dimensionUniqueName="[MOCAssessmentDate]" displayFolder="" count="0" unbalanced="0"/>
    <cacheHierarchy uniqueName="[MOCAssessmentDate].[MOC Call Assessment Qtr]" caption="MOC Call Assessment Qtr" attribute="1" defaultMemberUniqueName="[MOCAssessmentDate].[MOC Call Assessment Qtr].[All]" allUniqueName="[MOCAssessmentDate].[MOC Call Assessment Qtr].[All]" dimensionUniqueName="[MOCAssessmentDate]" displayFolder="" count="0" unbalanced="0"/>
    <cacheHierarchy uniqueName="[MOCAssessmentDate].[MOC Call Assessment Semester]" caption="MOC Call Assessment Semester" attribute="1" defaultMemberUniqueName="[MOCAssessmentDate].[MOC Call Assessment Semester].[All]" allUniqueName="[MOCAssessmentDate].[MOC Call Assessment Semester].[All]" dimensionUniqueName="[MOCAssessmentDate]" displayFolder="" count="0" unbalanced="0"/>
    <cacheHierarchy uniqueName="[MOCAssessmentDate].[MOC Call Assessment WeekdayWeekend]" caption="MOC Call Assessment WeekdayWeekend" attribute="1" defaultMemberUniqueName="[MOCAssessmentDate].[MOC Call Assessment WeekdayWeekend].[All]" allUniqueName="[MOCAssessmentDate].[MOC Call Assessment WeekdayWeekend].[All]" dimensionUniqueName="[MOCAssessmentDate]" displayFolder="" count="0" unbalanced="0"/>
    <cacheHierarchy uniqueName="[MOCAssessmentDate].[MOC Call Assessment WeekOfMonth]" caption="MOC Call Assessment WeekOfMonth" attribute="1" defaultMemberUniqueName="[MOCAssessmentDate].[MOC Call Assessment WeekOfMonth].[All]" allUniqueName="[MOCAssessmentDate].[MOC Call Assessment WeekOfMonth].[All]" dimensionUniqueName="[MOCAssessmentDate]" displayFolder="" count="0" unbalanced="0"/>
    <cacheHierarchy uniqueName="[MOCAssessmentDate].[MOC Call Assessment WeekOfYear]" caption="MOC Call Assessment WeekOfYear" attribute="1" defaultMemberUniqueName="[MOCAssessmentDate].[MOC Call Assessment WeekOfYear].[All]" allUniqueName="[MOCAssessmentDate].[MOC Call Assessment WeekOfYear].[All]" dimensionUniqueName="[MOCAssessmentDate]" displayFolder="" count="0" unbalanced="0"/>
    <cacheHierarchy uniqueName="[MOCAssessmentDate].[MOC Call Assessment WorkingDayInd]" caption="MOC Call Assessment WorkingDayInd" attribute="1" defaultMemberUniqueName="[MOCAssessmentDate].[MOC Call Assessment WorkingDayInd].[All]" allUniqueName="[MOCAssessmentDate].[MOC Call Assessment WorkingDayInd].[All]" dimensionUniqueName="[MOCAssessmentDate]" displayFolder="" count="0" unbalanced="0"/>
    <cacheHierarchy uniqueName="[MOCAssessmentDate].[MOC Call Assessment Year]" caption="MOC Call Assessment Year" attribute="1" defaultMemberUniqueName="[MOCAssessmentDate].[MOC Call Assessment Year].[All]" allUniqueName="[MOCAssessmentDate].[MOC Call Assessment Year].[All]" dimensionUniqueName="[MOCAssessmentDate]" displayFolder="" count="0" unbalanced="0"/>
    <cacheHierarchy uniqueName="[MOCAssessmentDate].[MOC Call Assessment YearMonthAsInteger]" caption="MOC Call Assessment YearMonthAsInteger" attribute="1" defaultMemberUniqueName="[MOCAssessmentDate].[MOC Call Assessment YearMonthAsInteger].[All]" allUniqueName="[MOCAssessmentDate].[MOC Call Assessment YearMonthAsInteger].[All]" dimensionUniqueName="[MOCAssessmentDate]" displayFolder="" count="0" unbalanced="0"/>
    <cacheHierarchy uniqueName="[MOCAssessmentDate].[MOC Call Assessment YearQuarterAsInteger]" caption="MOC Call Assessment YearQuarterAsInteger" attribute="1" defaultMemberUniqueName="[MOCAssessmentDate].[MOC Call Assessment YearQuarterAsInteger].[All]" allUniqueName="[MOCAssessmentDate].[MOC Call Assessment YearQuarterAsInteger].[All]" dimensionUniqueName="[MOCAssessmentDate]" displayFolder="" count="0" unbalanced="0"/>
    <cacheHierarchy uniqueName="[MOCAssessmentDate].[MOC Call Assessment YearSemesterAsInteger]" caption="MOC Call Assessment YearSemesterAsInteger" attribute="1" defaultMemberUniqueName="[MOCAssessmentDate].[MOC Call Assessment YearSemesterAsInteger].[All]" allUniqueName="[MOCAssessmentDate].[MOC Call Assessment YearSemesterAsInteger].[All]" dimensionUniqueName="[MOCAssessmentDate]" displayFolder="" count="0" unbalanced="0"/>
    <cacheHierarchy uniqueName="[MOCEventDate].[Datekey]" caption="Datekey" attribute="1" defaultMemberUniqueName="[MOCEventDate].[Datekey].[All]" allUniqueName="[MOCEventDate].[Datekey].[All]" dimensionUniqueName="[MOCEventDate]" displayFolder="" count="0" unbalanced="0"/>
    <cacheHierarchy uniqueName="[MOCEventDate].[HierMOCEventDatePY]" caption="HierMOCEventDatePY" defaultMemberUniqueName="[MOCEventDate].[HierMOCEventDatePY].[All]" allUniqueName="[MOCEventDate].[HierMOCEventDatePY].[All]" dimensionUniqueName="[MOCEventDate]" displayFolder="" count="4" unbalanced="0"/>
    <cacheHierarchy uniqueName="[MOCEventDate].[HierMOCEventDateYear]" caption="HierMOCEventDateYear" defaultMemberUniqueName="[MOCEventDate].[HierMOCEventDateYear].[All]" allUniqueName="[MOCEventDate].[HierMOCEventDateYear].[All]" dimensionUniqueName="[MOCEventDate]" displayFolder="" count="4" unbalanced="0"/>
    <cacheHierarchy uniqueName="[MOCEventDate].[MOC Call Event Date]" caption="MOC Call Event Date" attribute="1" defaultMemberUniqueName="[MOCEventDate].[MOC Call Event Date].[All]" allUniqueName="[MOCEventDate].[MOC Call Event Date].[All]" dimensionUniqueName="[MOCEventDate]" displayFolder="" count="0" unbalanced="0"/>
    <cacheHierarchy uniqueName="[MOCEventDate].[MOC Call Event DayOfMonth]" caption="MOC Call Event DayOfMonth" attribute="1" defaultMemberUniqueName="[MOCEventDate].[MOC Call Event DayOfMonth].[All]" allUniqueName="[MOCEventDate].[MOC Call Event DayOfMonth].[All]" dimensionUniqueName="[MOCEventDate]" displayFolder="" count="0" unbalanced="0"/>
    <cacheHierarchy uniqueName="[MOCEventDate].[MOC Call Event DayOfWeek]" caption="MOC Call Event DayOfWeek" attribute="1" defaultMemberUniqueName="[MOCEventDate].[MOC Call Event DayOfWeek].[All]" allUniqueName="[MOCEventDate].[MOC Call Event DayOfWeek].[All]" dimensionUniqueName="[MOCEventDate]" displayFolder="" count="0" unbalanced="0"/>
    <cacheHierarchy uniqueName="[MOCEventDate].[MOC Call Event DayOfWeekName]" caption="MOC Call Event DayOfWeekName" attribute="1" defaultMemberUniqueName="[MOCEventDate].[MOC Call Event DayOfWeekName].[All]" allUniqueName="[MOCEventDate].[MOC Call Event DayOfWeekName].[All]" dimensionUniqueName="[MOCEventDate]" displayFolder="" count="0" unbalanced="0"/>
    <cacheHierarchy uniqueName="[MOCEventDate].[MOC Call Event DayOfYear]" caption="MOC Call Event DayOfYear" attribute="1" defaultMemberUniqueName="[MOCEventDate].[MOC Call Event DayOfYear].[All]" allUniqueName="[MOCEventDate].[MOC Call Event DayOfYear].[All]" dimensionUniqueName="[MOCEventDate]" displayFolder="" count="0" unbalanced="0"/>
    <cacheHierarchy uniqueName="[MOCEventDate].[MOC Call Event HolidayInd]" caption="MOC Call Event HolidayInd" attribute="1" defaultMemberUniqueName="[MOCEventDate].[MOC Call Event HolidayInd].[All]" allUniqueName="[MOCEventDate].[MOC Call Event HolidayInd].[All]" dimensionUniqueName="[MOCEventDate]" displayFolder="" count="0" unbalanced="0"/>
    <cacheHierarchy uniqueName="[MOCEventDate].[MOC Call Event HolidayName]" caption="MOC Call Event HolidayName" attribute="1" defaultMemberUniqueName="[MOCEventDate].[MOC Call Event HolidayName].[All]" allUniqueName="[MOCEventDate].[MOC Call Event HolidayName].[All]" dimensionUniqueName="[MOCEventDate]" displayFolder="" count="0" unbalanced="0"/>
    <cacheHierarchy uniqueName="[MOCEventDate].[MOC Call Event LastDateOfMonth]" caption="MOC Call Event LastDateOfMonth" attribute="1" defaultMemberUniqueName="[MOCEventDate].[MOC Call Event LastDateOfMonth].[All]" allUniqueName="[MOCEventDate].[MOC Call Event LastDateOfMonth].[All]" dimensionUniqueName="[MOCEventDate]" displayFolder="" count="0" unbalanced="0"/>
    <cacheHierarchy uniqueName="[MOCEventDate].[MOC Call Event LastDayOfMonthIndicator]" caption="MOC Call Event LastDayOfMonthIndicator" attribute="1" defaultMemberUniqueName="[MOCEventDate].[MOC Call Event LastDayOfMonthIndicator].[All]" allUniqueName="[MOCEventDate].[MOC Call Event LastDayOfMonthIndicator].[All]" dimensionUniqueName="[MOCEventDate]" displayFolder="" count="0" unbalanced="0"/>
    <cacheHierarchy uniqueName="[MOCEventDate].[MOC Call Event Month]" caption="MOC Call Event Month" attribute="1" defaultMemberUniqueName="[MOCEventDate].[MOC Call Event Month].[All]" allUniqueName="[MOCEventDate].[MOC Call Event Month].[All]" dimensionUniqueName="[MOCEventDate]" displayFolder="" count="0" unbalanced="0"/>
    <cacheHierarchy uniqueName="[MOCEventDate].[MOC Call Event MonthNbr]" caption="MOC Call Event MonthNbr" attribute="1" defaultMemberUniqueName="[MOCEventDate].[MOC Call Event MonthNbr].[All]" allUniqueName="[MOCEventDate].[MOC Call Event MonthNbr].[All]" dimensionUniqueName="[MOCEventDate]" displayFolder="" count="0" unbalanced="0"/>
    <cacheHierarchy uniqueName="[MOCEventDate].[MOC Call Event Plan Month and Year]" caption="MOC Call Event Plan Month and Year" attribute="1" defaultMemberUniqueName="[MOCEventDate].[MOC Call Event Plan Month and Year].[All]" allUniqueName="[MOCEventDate].[MOC Call Event Plan Month and Year].[All]" dimensionUniqueName="[MOCEventDate]" displayFolder="" count="0" unbalanced="0"/>
    <cacheHierarchy uniqueName="[MOCEventDate].[MOC Call Event Plan Month Number]" caption="MOC Call Event Plan Month Number" attribute="1" defaultMemberUniqueName="[MOCEventDate].[MOC Call Event Plan Month Number].[All]" allUniqueName="[MOCEventDate].[MOC Call Event Plan Month Number].[All]" dimensionUniqueName="[MOCEventDate]" displayFolder="" count="0" unbalanced="0"/>
    <cacheHierarchy uniqueName="[MOCEventDate].[MOC Call Event Plan Quarter Number]" caption="MOC Call Event Plan Quarter Number" attribute="1" defaultMemberUniqueName="[MOCEventDate].[MOC Call Event Plan Quarter Number].[All]" allUniqueName="[MOCEventDate].[MOC Call Event Plan Quarter Number].[All]" dimensionUniqueName="[MOCEventDate]" displayFolder="" count="0" unbalanced="0"/>
    <cacheHierarchy uniqueName="[MOCEventDate].[MOC Call Event PQ]" caption="MOC Call Event PQ" attribute="1" defaultMemberUniqueName="[MOCEventDate].[MOC Call Event PQ].[All]" allUniqueName="[MOCEventDate].[MOC Call Event PQ].[All]" dimensionUniqueName="[MOCEventDate]" displayFolder="" count="0" unbalanced="0"/>
    <cacheHierarchy uniqueName="[MOCEventDate].[MOC Call Event PY]" caption="MOC Call Event PY" attribute="1" defaultMemberUniqueName="[MOCEventDate].[MOC Call Event PY].[All]" allUniqueName="[MOCEventDate].[MOC Call Event PY].[All]" dimensionUniqueName="[MOCEventDate]" displayFolder="" count="0" unbalanced="0"/>
    <cacheHierarchy uniqueName="[MOCEventDate].[MOC Call Event Qtr]" caption="MOC Call Event Qtr" attribute="1" defaultMemberUniqueName="[MOCEventDate].[MOC Call Event Qtr].[All]" allUniqueName="[MOCEventDate].[MOC Call Event Qtr].[All]" dimensionUniqueName="[MOCEventDate]" displayFolder="" count="0" unbalanced="0"/>
    <cacheHierarchy uniqueName="[MOCEventDate].[MOC Call Event Semester]" caption="MOC Call Event Semester" attribute="1" defaultMemberUniqueName="[MOCEventDate].[MOC Call Event Semester].[All]" allUniqueName="[MOCEventDate].[MOC Call Event Semester].[All]" dimensionUniqueName="[MOCEventDate]" displayFolder="" count="0" unbalanced="0"/>
    <cacheHierarchy uniqueName="[MOCEventDate].[MOC Call Event WeekdayWeekend]" caption="MOC Call Event WeekdayWeekend" attribute="1" defaultMemberUniqueName="[MOCEventDate].[MOC Call Event WeekdayWeekend].[All]" allUniqueName="[MOCEventDate].[MOC Call Event WeekdayWeekend].[All]" dimensionUniqueName="[MOCEventDate]" displayFolder="" count="0" unbalanced="0"/>
    <cacheHierarchy uniqueName="[MOCEventDate].[MOC Call Event WeekOfMonth]" caption="MOC Call Event WeekOfMonth" attribute="1" defaultMemberUniqueName="[MOCEventDate].[MOC Call Event WeekOfMonth].[All]" allUniqueName="[MOCEventDate].[MOC Call Event WeekOfMonth].[All]" dimensionUniqueName="[MOCEventDate]" displayFolder="" count="0" unbalanced="0"/>
    <cacheHierarchy uniqueName="[MOCEventDate].[MOC Call Event WeekOfYear]" caption="MOC Call Event WeekOfYear" attribute="1" defaultMemberUniqueName="[MOCEventDate].[MOC Call Event WeekOfYear].[All]" allUniqueName="[MOCEventDate].[MOC Call Event WeekOfYear].[All]" dimensionUniqueName="[MOCEventDate]" displayFolder="" count="0" unbalanced="0"/>
    <cacheHierarchy uniqueName="[MOCEventDate].[MOC Call Event WorkingDayInd]" caption="MOC Call Event WorkingDayInd" attribute="1" defaultMemberUniqueName="[MOCEventDate].[MOC Call Event WorkingDayInd].[All]" allUniqueName="[MOCEventDate].[MOC Call Event WorkingDayInd].[All]" dimensionUniqueName="[MOCEventDate]" displayFolder="" count="0" unbalanced="0"/>
    <cacheHierarchy uniqueName="[MOCEventDate].[MOC Call Event Year]" caption="MOC Call Event Year" attribute="1" defaultMemberUniqueName="[MOCEventDate].[MOC Call Event Year].[All]" allUniqueName="[MOCEventDate].[MOC Call Event Year].[All]" dimensionUniqueName="[MOCEventDate]" displayFolder="" count="0" unbalanced="0"/>
    <cacheHierarchy uniqueName="[MOCEventDate].[MOC Call Event YearMonthAsInteger]" caption="MOC Call Event YearMonthAsInteger" attribute="1" defaultMemberUniqueName="[MOCEventDate].[MOC Call Event YearMonthAsInteger].[All]" allUniqueName="[MOCEventDate].[MOC Call Event YearMonthAsInteger].[All]" dimensionUniqueName="[MOCEventDate]" displayFolder="" count="0" unbalanced="0"/>
    <cacheHierarchy uniqueName="[MOCEventDate].[MOC Call Event YearQuarterAsInteger]" caption="MOC Call Event YearQuarterAsInteger" attribute="1" defaultMemberUniqueName="[MOCEventDate].[MOC Call Event YearQuarterAsInteger].[All]" allUniqueName="[MOCEventDate].[MOC Call Event YearQuarterAsInteger].[All]" dimensionUniqueName="[MOCEventDate]" displayFolder="" count="0" unbalanced="0"/>
    <cacheHierarchy uniqueName="[MOCEventDate].[MOC Call Event YearSemesterAsInteger]" caption="MOC Call Event YearSemesterAsInteger" attribute="1" defaultMemberUniqueName="[MOCEventDate].[MOC Call Event YearSemesterAsInteger].[All]" allUniqueName="[MOCEventDate].[MOC Call Event YearSemesterAsInteger].[All]" dimensionUniqueName="[MOCEventDate]" displayFolder="" count="0" unbalanced="0"/>
    <cacheHierarchy uniqueName="[PMTInstallDate].[HierPMTInstallDatePY]" caption="HierPMTInstallDatePY" defaultMemberUniqueName="[PMTInstallDate].[HierPMTInstallDatePY].[All]" allUniqueName="[PMTInstallDate].[HierPMTInstallDatePY].[All]" dimensionUniqueName="[PMTInstallDate]" displayFolder="" count="4" unbalanced="0"/>
    <cacheHierarchy uniqueName="[PMTInstallDate].[HierPMTInstallDateYear]" caption="HierPMTInstallDateYear" defaultMemberUniqueName="[PMTInstallDate].[HierPMTInstallDateYear].[All]" allUniqueName="[PMTInstallDate].[HierPMTInstallDateYear].[All]" dimensionUniqueName="[PMTInstallDate]" displayFolder="" count="4" unbalanced="0"/>
    <cacheHierarchy uniqueName="[PMTInstallDate].[PMT Install Date]" caption="PMT Install Date" attribute="1" defaultMemberUniqueName="[PMTInstallDate].[PMT Install Date].[All]" allUniqueName="[PMTInstallDate].[PMT Install Date].[All]" dimensionUniqueName="[PMTInstallDate]" displayFolder="" count="0" unbalanced="0"/>
    <cacheHierarchy uniqueName="[PMTInstallDate].[PMT Install Day Of Year]" caption="PMT Install Day Of Year" attribute="1" defaultMemberUniqueName="[PMTInstallDate].[PMT Install Day Of Year].[All]" allUniqueName="[PMTInstallDate].[PMT Install Day Of Year].[All]" dimensionUniqueName="[PMTInstallDate]" displayFolder="" count="0" unbalanced="0"/>
    <cacheHierarchy uniqueName="[PMTInstallDate].[PMT Install DayOfMonth]" caption="PMT Install DayOfMonth" attribute="1" defaultMemberUniqueName="[PMTInstallDate].[PMT Install DayOfMonth].[All]" allUniqueName="[PMTInstallDate].[PMT Install DayOfMonth].[All]" dimensionUniqueName="[PMTInstallDate]" displayFolder="" count="0" unbalanced="0"/>
    <cacheHierarchy uniqueName="[PMTInstallDate].[PMT Install DayOfWeek]" caption="PMT Install DayOfWeek" attribute="1" defaultMemberUniqueName="[PMTInstallDate].[PMT Install DayOfWeek].[All]" allUniqueName="[PMTInstallDate].[PMT Install DayOfWeek].[All]" dimensionUniqueName="[PMTInstallDate]" displayFolder="" count="0" unbalanced="0"/>
    <cacheHierarchy uniqueName="[PMTInstallDate].[PMT Install DayOfWeekName]" caption="PMT Install DayOfWeekName" attribute="1" defaultMemberUniqueName="[PMTInstallDate].[PMT Install DayOfWeekName].[All]" allUniqueName="[PMTInstallDate].[PMT Install DayOfWeekName].[All]" dimensionUniqueName="[PMTInstallDate]" displayFolder="" count="0" unbalanced="0"/>
    <cacheHierarchy uniqueName="[PMTInstallDate].[PMT Install HolidayInd]" caption="PMT Install HolidayInd" attribute="1" defaultMemberUniqueName="[PMTInstallDate].[PMT Install HolidayInd].[All]" allUniqueName="[PMTInstallDate].[PMT Install HolidayInd].[All]" dimensionUniqueName="[PMTInstallDate]" displayFolder="" count="0" unbalanced="0"/>
    <cacheHierarchy uniqueName="[PMTInstallDate].[PMT Install HolidayName]" caption="PMT Install HolidayName" attribute="1" defaultMemberUniqueName="[PMTInstallDate].[PMT Install HolidayName].[All]" allUniqueName="[PMTInstallDate].[PMT Install HolidayName].[All]" dimensionUniqueName="[PMTInstallDate]" displayFolder="" count="0" unbalanced="0"/>
    <cacheHierarchy uniqueName="[PMTInstallDate].[PMT Install LastDateOfMonth]" caption="PMT Install LastDateOfMonth" attribute="1" defaultMemberUniqueName="[PMTInstallDate].[PMT Install LastDateOfMonth].[All]" allUniqueName="[PMTInstallDate].[PMT Install LastDateOfMonth].[All]" dimensionUniqueName="[PMTInstallDate]" displayFolder="" count="0" unbalanced="0"/>
    <cacheHierarchy uniqueName="[PMTInstallDate].[PMT Install LastDayOfMonthIndicator]" caption="PMT Install LastDayOfMonthIndicator" attribute="1" defaultMemberUniqueName="[PMTInstallDate].[PMT Install LastDayOfMonthIndicator].[All]" allUniqueName="[PMTInstallDate].[PMT Install LastDayOfMonthIndicator].[All]" dimensionUniqueName="[PMTInstallDate]" displayFolder="" count="0" unbalanced="0"/>
    <cacheHierarchy uniqueName="[PMTInstallDate].[PMT Install Month]" caption="PMT Install Month" attribute="1" defaultMemberUniqueName="[PMTInstallDate].[PMT Install Month].[All]" allUniqueName="[PMTInstallDate].[PMT Install Month].[All]" dimensionUniqueName="[PMTInstallDate]" displayFolder="" count="0" unbalanced="0"/>
    <cacheHierarchy uniqueName="[PMTInstallDate].[PMT Install MonthNbr]" caption="PMT Install MonthNbr" attribute="1" defaultMemberUniqueName="[PMTInstallDate].[PMT Install MonthNbr].[All]" allUniqueName="[PMTInstallDate].[PMT Install MonthNbr].[All]" dimensionUniqueName="[PMTInstallDate]" displayFolder="" count="0" unbalanced="0"/>
    <cacheHierarchy uniqueName="[PMTInstallDate].[PMT Install Plan Month and Year]" caption="PMT Install Plan Month and Year" attribute="1" defaultMemberUniqueName="[PMTInstallDate].[PMT Install Plan Month and Year].[All]" allUniqueName="[PMTInstallDate].[PMT Install Plan Month and Year].[All]" dimensionUniqueName="[PMTInstallDate]" displayFolder="" count="0" unbalanced="0"/>
    <cacheHierarchy uniqueName="[PMTInstallDate].[PMT Install Plan Month Number]" caption="PMT Install Plan Month Number" attribute="1" defaultMemberUniqueName="[PMTInstallDate].[PMT Install Plan Month Number].[All]" allUniqueName="[PMTInstallDate].[PMT Install Plan Month Number].[All]" dimensionUniqueName="[PMTInstallDate]" displayFolder="" count="0" unbalanced="0"/>
    <cacheHierarchy uniqueName="[PMTInstallDate].[PMT Install PQ]" caption="PMT Install PQ" attribute="1" defaultMemberUniqueName="[PMTInstallDate].[PMT Install PQ].[All]" allUniqueName="[PMTInstallDate].[PMT Install PQ].[All]" dimensionUniqueName="[PMTInstallDate]" displayFolder="" count="0" unbalanced="0"/>
    <cacheHierarchy uniqueName="[PMTInstallDate].[PMT Install PY]" caption="PMT Install PY" attribute="1" defaultMemberUniqueName="[PMTInstallDate].[PMT Install PY].[All]" allUniqueName="[PMTInstallDate].[PMT Install PY].[All]" dimensionUniqueName="[PMTInstallDate]" displayFolder="" count="0" unbalanced="0"/>
    <cacheHierarchy uniqueName="[PMTInstallDate].[PMT Install Qtr]" caption="PMT Install Qtr" attribute="1" defaultMemberUniqueName="[PMTInstallDate].[PMT Install Qtr].[All]" allUniqueName="[PMTInstallDate].[PMT Install Qtr].[All]" dimensionUniqueName="[PMTInstallDate]" displayFolder="" count="0" unbalanced="0"/>
    <cacheHierarchy uniqueName="[PMTInstallDate].[PMT Install Semester]" caption="PMT Install Semester" attribute="1" defaultMemberUniqueName="[PMTInstallDate].[PMT Install Semester].[All]" allUniqueName="[PMTInstallDate].[PMT Install Semester].[All]" dimensionUniqueName="[PMTInstallDate]" displayFolder="" count="0" unbalanced="0"/>
    <cacheHierarchy uniqueName="[PMTInstallDate].[PMT Install WeekdayWeekend]" caption="PMT Install WeekdayWeekend" attribute="1" defaultMemberUniqueName="[PMTInstallDate].[PMT Install WeekdayWeekend].[All]" allUniqueName="[PMTInstallDate].[PMT Install WeekdayWeekend].[All]" dimensionUniqueName="[PMTInstallDate]" displayFolder="" count="0" unbalanced="0"/>
    <cacheHierarchy uniqueName="[PMTInstallDate].[PMT Install WeekOfMonth]" caption="PMT Install WeekOfMonth" attribute="1" defaultMemberUniqueName="[PMTInstallDate].[PMT Install WeekOfMonth].[All]" allUniqueName="[PMTInstallDate].[PMT Install WeekOfMonth].[All]" dimensionUniqueName="[PMTInstallDate]" displayFolder="" count="0" unbalanced="0"/>
    <cacheHierarchy uniqueName="[PMTInstallDate].[PMT Install WeekOfYear]" caption="PMT Install WeekOfYear" attribute="1" defaultMemberUniqueName="[PMTInstallDate].[PMT Install WeekOfYear].[All]" allUniqueName="[PMTInstallDate].[PMT Install WeekOfYear].[All]" dimensionUniqueName="[PMTInstallDate]" displayFolder="" count="0" unbalanced="0"/>
    <cacheHierarchy uniqueName="[PMTInstallDate].[PMT Install WorkingDayInd]" caption="PMT Install WorkingDayInd" attribute="1" defaultMemberUniqueName="[PMTInstallDate].[PMT Install WorkingDayInd].[All]" allUniqueName="[PMTInstallDate].[PMT Install WorkingDayInd].[All]" dimensionUniqueName="[PMTInstallDate]" displayFolder="" count="0" unbalanced="0"/>
    <cacheHierarchy uniqueName="[PMTInstallDate].[PMT Install Year]" caption="PMT Install Year" attribute="1" defaultMemberUniqueName="[PMTInstallDate].[PMT Install Year].[All]" allUniqueName="[PMTInstallDate].[PMT Install Year].[All]" dimensionUniqueName="[PMTInstallDate]" displayFolder="" count="0" unbalanced="0"/>
    <cacheHierarchy uniqueName="[PMTInstallDate].[PMT Install YearMonthAsInteger]" caption="PMT Install YearMonthAsInteger" attribute="1" defaultMemberUniqueName="[PMTInstallDate].[PMT Install YearMonthAsInteger].[All]" allUniqueName="[PMTInstallDate].[PMT Install YearMonthAsInteger].[All]" dimensionUniqueName="[PMTInstallDate]" displayFolder="" count="0" unbalanced="0"/>
    <cacheHierarchy uniqueName="[PMTInstallDate].[PMT Install YearQuarterAsInteger]" caption="PMT Install YearQuarterAsInteger" attribute="1" defaultMemberUniqueName="[PMTInstallDate].[PMT Install YearQuarterAsInteger].[All]" allUniqueName="[PMTInstallDate].[PMT Install YearQuarterAsInteger].[All]" dimensionUniqueName="[PMTInstallDate]" displayFolder="" count="0" unbalanced="0"/>
    <cacheHierarchy uniqueName="[PMTInstallDate].[PMT Install YearSemesterAsInteger]" caption="PMT Install YearSemesterAsInteger" attribute="1" defaultMemberUniqueName="[PMTInstallDate].[PMT Install YearSemesterAsInteger].[All]" allUniqueName="[PMTInstallDate].[PMT Install YearSemesterAsInteger].[All]" dimensionUniqueName="[PMTInstallDate]" displayFolder="" count="0" unbalanced="0"/>
    <cacheHierarchy uniqueName="[PMTInvoiceDate].[HierPMTInvoiceDatePY]" caption="HierPMTInvoiceDatePY" defaultMemberUniqueName="[PMTInvoiceDate].[HierPMTInvoiceDatePY].[All]" allUniqueName="[PMTInvoiceDate].[HierPMTInvoiceDatePY].[All]" dimensionUniqueName="[PMTInvoiceDate]" displayFolder="" count="4" unbalanced="0"/>
    <cacheHierarchy uniqueName="[PMTInvoiceDate].[HierPMTInvoiceDateYear]" caption="HierPMTInvoiceDateYear" defaultMemberUniqueName="[PMTInvoiceDate].[HierPMTInvoiceDateYear].[All]" allUniqueName="[PMTInvoiceDate].[HierPMTInvoiceDateYear].[All]" dimensionUniqueName="[PMTInvoiceDate]" displayFolder="" count="4" unbalanced="0"/>
    <cacheHierarchy uniqueName="[PMTInvoiceDate].[PMT Invoice Date]" caption="PMT Invoice Date" attribute="1" defaultMemberUniqueName="[PMTInvoiceDate].[PMT Invoice Date].[All]" allUniqueName="[PMTInvoiceDate].[PMT Invoice Date].[All]" dimensionUniqueName="[PMTInvoiceDate]" displayFolder="" count="0" unbalanced="0"/>
    <cacheHierarchy uniqueName="[PMTInvoiceDate].[PMT Invoice DayOfMonth]" caption="PMT Invoice DayOfMonth" attribute="1" defaultMemberUniqueName="[PMTInvoiceDate].[PMT Invoice DayOfMonth].[All]" allUniqueName="[PMTInvoiceDate].[PMT Invoice DayOfMonth].[All]" dimensionUniqueName="[PMTInvoiceDate]" displayFolder="" count="0" unbalanced="0"/>
    <cacheHierarchy uniqueName="[PMTInvoiceDate].[PMT Invoice DayOfWeek]" caption="PMT Invoice DayOfWeek" attribute="1" defaultMemberUniqueName="[PMTInvoiceDate].[PMT Invoice DayOfWeek].[All]" allUniqueName="[PMTInvoiceDate].[PMT Invoice DayOfWeek].[All]" dimensionUniqueName="[PMTInvoiceDate]" displayFolder="" count="0" unbalanced="0"/>
    <cacheHierarchy uniqueName="[PMTInvoiceDate].[PMT Invoice DayOfWeekName]" caption="PMT Invoice DayOfWeekName" attribute="1" defaultMemberUniqueName="[PMTInvoiceDate].[PMT Invoice DayOfWeekName].[All]" allUniqueName="[PMTInvoiceDate].[PMT Invoice DayOfWeekName].[All]" dimensionUniqueName="[PMTInvoiceDate]" displayFolder="" count="0" unbalanced="0"/>
    <cacheHierarchy uniqueName="[PMTInvoiceDate].[PMT Invoice DayOfYear]" caption="PMT Invoice DayOfYear" attribute="1" defaultMemberUniqueName="[PMTInvoiceDate].[PMT Invoice DayOfYear].[All]" allUniqueName="[PMTInvoiceDate].[PMT Invoice DayOfYear].[All]" dimensionUniqueName="[PMTInvoiceDate]" displayFolder="" count="0" unbalanced="0"/>
    <cacheHierarchy uniqueName="[PMTInvoiceDate].[PMT Invoice HolidayInd]" caption="PMT Invoice HolidayInd" attribute="1" defaultMemberUniqueName="[PMTInvoiceDate].[PMT Invoice HolidayInd].[All]" allUniqueName="[PMTInvoiceDate].[PMT Invoice HolidayInd].[All]" dimensionUniqueName="[PMTInvoiceDate]" displayFolder="" count="0" unbalanced="0"/>
    <cacheHierarchy uniqueName="[PMTInvoiceDate].[PMT Invoice HolidayName]" caption="PMT Invoice HolidayName" attribute="1" defaultMemberUniqueName="[PMTInvoiceDate].[PMT Invoice HolidayName].[All]" allUniqueName="[PMTInvoiceDate].[PMT Invoice HolidayName].[All]" dimensionUniqueName="[PMTInvoiceDate]" displayFolder="" count="0" unbalanced="0"/>
    <cacheHierarchy uniqueName="[PMTInvoiceDate].[PMT Invoice LastDateOfMonth]" caption="PMT Invoice LastDateOfMonth" attribute="1" defaultMemberUniqueName="[PMTInvoiceDate].[PMT Invoice LastDateOfMonth].[All]" allUniqueName="[PMTInvoiceDate].[PMT Invoice LastDateOfMonth].[All]" dimensionUniqueName="[PMTInvoiceDate]" displayFolder="" count="0" unbalanced="0"/>
    <cacheHierarchy uniqueName="[PMTInvoiceDate].[PMT Invoice LastDayOfMonthIndicator]" caption="PMT Invoice LastDayOfMonthIndicator" attribute="1" defaultMemberUniqueName="[PMTInvoiceDate].[PMT Invoice LastDayOfMonthIndicator].[All]" allUniqueName="[PMTInvoiceDate].[PMT Invoice LastDayOfMonthIndicator].[All]" dimensionUniqueName="[PMTInvoiceDate]" displayFolder="" count="0" unbalanced="0"/>
    <cacheHierarchy uniqueName="[PMTInvoiceDate].[PMT Invoice Month]" caption="PMT Invoice Month" attribute="1" defaultMemberUniqueName="[PMTInvoiceDate].[PMT Invoice Month].[All]" allUniqueName="[PMTInvoiceDate].[PMT Invoice Month].[All]" dimensionUniqueName="[PMTInvoiceDate]" displayFolder="" count="0" unbalanced="0"/>
    <cacheHierarchy uniqueName="[PMTInvoiceDate].[PMT Invoice MonthNbr]" caption="PMT Invoice MonthNbr" attribute="1" defaultMemberUniqueName="[PMTInvoiceDate].[PMT Invoice MonthNbr].[All]" allUniqueName="[PMTInvoiceDate].[PMT Invoice MonthNbr].[All]" dimensionUniqueName="[PMTInvoiceDate]" displayFolder="" count="0" unbalanced="0"/>
    <cacheHierarchy uniqueName="[PMTInvoiceDate].[PMT Invoice Plan Month and Year]" caption="PMT Invoice Plan Month and Year" attribute="1" defaultMemberUniqueName="[PMTInvoiceDate].[PMT Invoice Plan Month and Year].[All]" allUniqueName="[PMTInvoiceDate].[PMT Invoice Plan Month and Year].[All]" dimensionUniqueName="[PMTInvoiceDate]" displayFolder="" count="0" unbalanced="0"/>
    <cacheHierarchy uniqueName="[PMTInvoiceDate].[PMT Invoice Plan Month Number]" caption="PMT Invoice Plan Month Number" attribute="1" defaultMemberUniqueName="[PMTInvoiceDate].[PMT Invoice Plan Month Number].[All]" allUniqueName="[PMTInvoiceDate].[PMT Invoice Plan Month Number].[All]" dimensionUniqueName="[PMTInvoiceDate]" displayFolder="" count="0" unbalanced="0"/>
    <cacheHierarchy uniqueName="[PMTInvoiceDate].[PMT Invoice Plan Quarter Number]" caption="PMT Invoice Plan Quarter Number" attribute="1" defaultMemberUniqueName="[PMTInvoiceDate].[PMT Invoice Plan Quarter Number].[All]" allUniqueName="[PMTInvoiceDate].[PMT Invoice Plan Quarter Number].[All]" dimensionUniqueName="[PMTInvoiceDate]" displayFolder="" count="0" unbalanced="0"/>
    <cacheHierarchy uniqueName="[PMTInvoiceDate].[PMT Invoice PY]" caption="PMT Invoice PY" attribute="1" defaultMemberUniqueName="[PMTInvoiceDate].[PMT Invoice PY].[All]" allUniqueName="[PMTInvoiceDate].[PMT Invoice PY].[All]" dimensionUniqueName="[PMTInvoiceDate]" displayFolder="" count="0" unbalanced="0"/>
    <cacheHierarchy uniqueName="[PMTInvoiceDate].[PMT Invoice Qtr]" caption="PMT Invoice Qtr" attribute="1" defaultMemberUniqueName="[PMTInvoiceDate].[PMT Invoice Qtr].[All]" allUniqueName="[PMTInvoiceDate].[PMT Invoice Qtr].[All]" dimensionUniqueName="[PMTInvoiceDate]" displayFolder="" count="0" unbalanced="0"/>
    <cacheHierarchy uniqueName="[PMTInvoiceDate].[PMT Invoice Semester]" caption="PMT Invoice Semester" attribute="1" defaultMemberUniqueName="[PMTInvoiceDate].[PMT Invoice Semester].[All]" allUniqueName="[PMTInvoiceDate].[PMT Invoice Semester].[All]" dimensionUniqueName="[PMTInvoiceDate]" displayFolder="" count="0" unbalanced="0"/>
    <cacheHierarchy uniqueName="[PMTInvoiceDate].[PMT Invoice WeekdayWeekend]" caption="PMT Invoice WeekdayWeekend" attribute="1" defaultMemberUniqueName="[PMTInvoiceDate].[PMT Invoice WeekdayWeekend].[All]" allUniqueName="[PMTInvoiceDate].[PMT Invoice WeekdayWeekend].[All]" dimensionUniqueName="[PMTInvoiceDate]" displayFolder="" count="0" unbalanced="0"/>
    <cacheHierarchy uniqueName="[PMTInvoiceDate].[PMT Invoice WeekOfMonth]" caption="PMT Invoice WeekOfMonth" attribute="1" defaultMemberUniqueName="[PMTInvoiceDate].[PMT Invoice WeekOfMonth].[All]" allUniqueName="[PMTInvoiceDate].[PMT Invoice WeekOfMonth].[All]" dimensionUniqueName="[PMTInvoiceDate]" displayFolder="" count="0" unbalanced="0"/>
    <cacheHierarchy uniqueName="[PMTInvoiceDate].[PMT Invoice WeekOfYear]" caption="PMT Invoice WeekOfYear" attribute="1" defaultMemberUniqueName="[PMTInvoiceDate].[PMT Invoice WeekOfYear].[All]" allUniqueName="[PMTInvoiceDate].[PMT Invoice WeekOfYear].[All]" dimensionUniqueName="[PMTInvoiceDate]" displayFolder="" count="0" unbalanced="0"/>
    <cacheHierarchy uniqueName="[PMTInvoiceDate].[PMT Invoice WorkingDayInd]" caption="PMT Invoice WorkingDayInd" attribute="1" defaultMemberUniqueName="[PMTInvoiceDate].[PMT Invoice WorkingDayInd].[All]" allUniqueName="[PMTInvoiceDate].[PMT Invoice WorkingDayInd].[All]" dimensionUniqueName="[PMTInvoiceDate]" displayFolder="" count="0" unbalanced="0"/>
    <cacheHierarchy uniqueName="[PMTInvoiceDate].[PMT Invoice Year]" caption="PMT Invoice Year" attribute="1" defaultMemberUniqueName="[PMTInvoiceDate].[PMT Invoice Year].[All]" allUniqueName="[PMTInvoiceDate].[PMT Invoice Year].[All]" dimensionUniqueName="[PMTInvoiceDate]" displayFolder="" count="0" unbalanced="0"/>
    <cacheHierarchy uniqueName="[PMTInvoiceDate].[PMT Invoice YearMonthAsInteger]" caption="PMT Invoice YearMonthAsInteger" attribute="1" defaultMemberUniqueName="[PMTInvoiceDate].[PMT Invoice YearMonthAsInteger].[All]" allUniqueName="[PMTInvoiceDate].[PMT Invoice YearMonthAsInteger].[All]" dimensionUniqueName="[PMTInvoiceDate]" displayFolder="" count="0" unbalanced="0"/>
    <cacheHierarchy uniqueName="[PMTInvoiceDate].[PMT Invoice YearQuarterAsInteger]" caption="PMT Invoice YearQuarterAsInteger" attribute="1" defaultMemberUniqueName="[PMTInvoiceDate].[PMT Invoice YearQuarterAsInteger].[All]" allUniqueName="[PMTInvoiceDate].[PMT Invoice YearQuarterAsInteger].[All]" dimensionUniqueName="[PMTInvoiceDate]" displayFolder="" count="0" unbalanced="0"/>
    <cacheHierarchy uniqueName="[PMTInvoiceDate].[PMT Invoice YearSemesterAsInteger]" caption="PMT Invoice YearSemesterAsInteger" attribute="1" defaultMemberUniqueName="[PMTInvoiceDate].[PMT Invoice YearSemesterAsInteger].[All]" allUniqueName="[PMTInvoiceDate].[PMT Invoice YearSemesterAsInteger].[All]" dimensionUniqueName="[PMTInvoiceDate]" displayFolder="" count="0" unbalanced="0"/>
    <cacheHierarchy uniqueName="[PMTProject_Contact_Contact].[PMT Contact  Bday Date]" caption="PMT Contact  Bday Date" attribute="1" defaultMemberUniqueName="[PMTProject_Contact_Contact].[PMT Contact  Bday Date].[All]" allUniqueName="[PMTProject_Contact_Contact].[PMT Contact  Bday Date].[All]" dimensionUniqueName="[PMTProject_Contact_Contact]" displayFolder="" count="0" unbalanced="0"/>
    <cacheHierarchy uniqueName="[PMTProject_Contact_Contact].[PMT Contact A44 Contact Indicator]" caption="PMT Contact A44 Contact Indicator" attribute="1" defaultMemberUniqueName="[PMTProject_Contact_Contact].[PMT Contact A44 Contact Indicator].[All]" allUniqueName="[PMTProject_Contact_Contact].[PMT Contact A44 Contact Indicator].[All]" dimensionUniqueName="[PMTProject_Contact_Contact]" displayFolder="" count="0" unbalanced="0"/>
    <cacheHierarchy uniqueName="[PMTProject_Contact_Contact].[PMT Contact Address1]" caption="PMT Contact Address1" attribute="1" defaultMemberUniqueName="[PMTProject_Contact_Contact].[PMT Contact Address1].[All]" allUniqueName="[PMTProject_Contact_Contact].[PMT Contact Address1].[All]" dimensionUniqueName="[PMTProject_Contact_Contact]" displayFolder="" count="0" unbalanced="0"/>
    <cacheHierarchy uniqueName="[PMTProject_Contact_Contact].[PMT Contact Address2]" caption="PMT Contact Address2" attribute="1" defaultMemberUniqueName="[PMTProject_Contact_Contact].[PMT Contact Address2].[All]" allUniqueName="[PMTProject_Contact_Contact].[PMT Contact Address2].[All]" dimensionUniqueName="[PMTProject_Contact_Contact]" displayFolder="" count="0" unbalanced="0"/>
    <cacheHierarchy uniqueName="[PMTProject_Contact_Contact].[PMT Contact Cell Phone Number]" caption="PMT Contact Cell Phone Number" attribute="1" defaultMemberUniqueName="[PMTProject_Contact_Contact].[PMT Contact Cell Phone Number].[All]" allUniqueName="[PMTProject_Contact_Contact].[PMT Contact Cell Phone Number].[All]" dimensionUniqueName="[PMTProject_Contact_Contact]" displayFolder="" count="0" unbalanced="0"/>
    <cacheHierarchy uniqueName="[PMTProject_Contact_Contact].[PMT Contact City Name]" caption="PMT Contact City Name" attribute="1" defaultMemberUniqueName="[PMTProject_Contact_Contact].[PMT Contact City Name].[All]" allUniqueName="[PMTProject_Contact_Contact].[PMT Contact City Name].[All]" dimensionUniqueName="[PMTProject_Contact_Contact]" displayFolder="" count="0" unbalanced="0"/>
    <cacheHierarchy uniqueName="[PMTProject_Contact_Contact].[PMT Contact Company Code]" caption="PMT Contact Company Code" attribute="1" defaultMemberUniqueName="[PMTProject_Contact_Contact].[PMT Contact Company Code].[All]" allUniqueName="[PMTProject_Contact_Contact].[PMT Contact Company Code].[All]" dimensionUniqueName="[PMTProject_Contact_Contact]" displayFolder="" count="0" unbalanced="0"/>
    <cacheHierarchy uniqueName="[PMTProject_Contact_Contact].[PMT Contact Company Description]" caption="PMT Contact Company Description" attribute="1" defaultMemberUniqueName="[PMTProject_Contact_Contact].[PMT Contact Company Description].[All]" allUniqueName="[PMTProject_Contact_Contact].[PMT Contact Company Description].[All]" dimensionUniqueName="[PMTProject_Contact_Contact]" displayFolder="" count="0" unbalanced="0"/>
    <cacheHierarchy uniqueName="[PMTProject_Contact_Contact].[PMT Contact Contact LastService Wk Date]" caption="PMT Contact Contact LastService Wk Date" attribute="1" defaultMemberUniqueName="[PMTProject_Contact_Contact].[PMT Contact Contact LastService Wk Date].[All]" allUniqueName="[PMTProject_Contact_Contact].[PMT Contact Contact LastService Wk Date].[All]" dimensionUniqueName="[PMTProject_Contact_Contact]" displayFolder="" count="0" unbalanced="0"/>
    <cacheHierarchy uniqueName="[PMTProject_Contact_Contact].[PMT Contact Do Not Email Indicator]" caption="PMT Contact Do Not Email Indicator" attribute="1" defaultMemberUniqueName="[PMTProject_Contact_Contact].[PMT Contact Do Not Email Indicator].[All]" allUniqueName="[PMTProject_Contact_Contact].[PMT Contact Do Not Email Indicator].[All]" dimensionUniqueName="[PMTProject_Contact_Contact]" displayFolder="" count="0" unbalanced="0"/>
    <cacheHierarchy uniqueName="[PMTProject_Contact_Contact].[PMT Contact Do Not Mail Indicator]" caption="PMT Contact Do Not Mail Indicator" attribute="1" defaultMemberUniqueName="[PMTProject_Contact_Contact].[PMT Contact Do Not Mail Indicator].[All]" allUniqueName="[PMTProject_Contact_Contact].[PMT Contact Do Not Mail Indicator].[All]" dimensionUniqueName="[PMTProject_Contact_Contact]" displayFolder="" count="0" unbalanced="0"/>
    <cacheHierarchy uniqueName="[PMTProject_Contact_Contact].[PMT Contact Email Address]" caption="PMT Contact Email Address" attribute="1" defaultMemberUniqueName="[PMTProject_Contact_Contact].[PMT Contact Email Address].[All]" allUniqueName="[PMTProject_Contact_Contact].[PMT Contact Email Address].[All]" dimensionUniqueName="[PMTProject_Contact_Contact]" displayFolder="" count="0" unbalanced="0"/>
    <cacheHierarchy uniqueName="[PMTProject_Contact_Contact].[PMT Contact Email OptOut Code]" caption="PMT Contact Email OptOut Code" attribute="1" defaultMemberUniqueName="[PMTProject_Contact_Contact].[PMT Contact Email OptOut Code].[All]" allUniqueName="[PMTProject_Contact_Contact].[PMT Contact Email OptOut Code].[All]" dimensionUniqueName="[PMTProject_Contact_Contact]" displayFolder="" count="0" unbalanced="0"/>
    <cacheHierarchy uniqueName="[PMTProject_Contact_Contact].[PMT Contact Email OptOut Description]" caption="PMT Contact Email OptOut Description" attribute="1" defaultMemberUniqueName="[PMTProject_Contact_Contact].[PMT Contact Email OptOut Description].[All]" allUniqueName="[PMTProject_Contact_Contact].[PMT Contact Email OptOut Description].[All]" dimensionUniqueName="[PMTProject_Contact_Contact]" displayFolder="" count="0" unbalanced="0"/>
    <cacheHierarchy uniqueName="[PMTProject_Contact_Contact].[PMT Contact FAX Number]" caption="PMT Contact FAX Number" attribute="1" defaultMemberUniqueName="[PMTProject_Contact_Contact].[PMT Contact FAX Number].[All]" allUniqueName="[PMTProject_Contact_Contact].[PMT Contact FAX Number].[All]" dimensionUniqueName="[PMTProject_Contact_Contact]" displayFolder="" count="0" unbalanced="0"/>
    <cacheHierarchy uniqueName="[PMTProject_Contact_Contact].[PMT Contact Home Phone Number]" caption="PMT Contact Home Phone Number" attribute="1" defaultMemberUniqueName="[PMTProject_Contact_Contact].[PMT Contact Home Phone Number].[All]" allUniqueName="[PMTProject_Contact_Contact].[PMT Contact Home Phone Number].[All]" dimensionUniqueName="[PMTProject_Contact_Contact]" displayFolder="" count="0" unbalanced="0"/>
    <cacheHierarchy uniqueName="[PMTProject_Contact_Contact].[PMT Contact Invalid Email Code]" caption="PMT Contact Invalid Email Code" attribute="1" defaultMemberUniqueName="[PMTProject_Contact_Contact].[PMT Contact Invalid Email Code].[All]" allUniqueName="[PMTProject_Contact_Contact].[PMT Contact Invalid Email Code].[All]" dimensionUniqueName="[PMTProject_Contact_Contact]" displayFolder="" count="0" unbalanced="0"/>
    <cacheHierarchy uniqueName="[PMTProject_Contact_Contact].[PMT Contact Other Phone Number]" caption="PMT Contact Other Phone Number" attribute="1" defaultMemberUniqueName="[PMTProject_Contact_Contact].[PMT Contact Other Phone Number].[All]" allUniqueName="[PMTProject_Contact_Contact].[PMT Contact Other Phone Number].[All]" dimensionUniqueName="[PMTProject_Contact_Contact]" displayFolder="" count="0" unbalanced="0"/>
    <cacheHierarchy uniqueName="[PMTProject_Contact_Contact].[PMT Contact Person Or Business Code]" caption="PMT Contact Person Or Business Code" attribute="1" defaultMemberUniqueName="[PMTProject_Contact_Contact].[PMT Contact Person Or Business Code].[All]" allUniqueName="[PMTProject_Contact_Contact].[PMT Contact Person Or Business Code].[All]" dimensionUniqueName="[PMTProject_Contact_Contact]" displayFolder="" count="0" unbalanced="0"/>
    <cacheHierarchy uniqueName="[PMTProject_Contact_Contact].[PMT Contact Person Or Business First Name]" caption="PMT Contact Person Or Business First Name" attribute="1" defaultMemberUniqueName="[PMTProject_Contact_Contact].[PMT Contact Person Or Business First Name].[All]" allUniqueName="[PMTProject_Contact_Contact].[PMT Contact Person Or Business First Name].[All]" dimensionUniqueName="[PMTProject_Contact_Contact]" displayFolder="" count="0" unbalanced="0"/>
    <cacheHierarchy uniqueName="[PMTProject_Contact_Contact].[PMT Contact Person Or Business Last Name]" caption="PMT Contact Person Or Business Last Name" attribute="1" defaultMemberUniqueName="[PMTProject_Contact_Contact].[PMT Contact Person Or Business Last Name].[All]" allUniqueName="[PMTProject_Contact_Contact].[PMT Contact Person Or Business Last Name].[All]" dimensionUniqueName="[PMTProject_Contact_Contact]" displayFolder="" count="0" unbalanced="0"/>
    <cacheHierarchy uniqueName="[PMTProject_Contact_Contact].[PMT Contact PersonID]" caption="PMT Contact PersonID" attribute="1" defaultMemberUniqueName="[PMTProject_Contact_Contact].[PMT Contact PersonID].[All]" allUniqueName="[PMTProject_Contact_Contact].[PMT Contact PersonID].[All]" dimensionUniqueName="[PMTProject_Contact_Contact]" displayFolder="" count="0" unbalanced="0"/>
    <cacheHierarchy uniqueName="[PMTProject_Contact_Contact].[PMT Contact Position Code]" caption="PMT Contact Position Code" attribute="1" defaultMemberUniqueName="[PMTProject_Contact_Contact].[PMT Contact Position Code].[All]" allUniqueName="[PMTProject_Contact_Contact].[PMT Contact Position Code].[All]" dimensionUniqueName="[PMTProject_Contact_Contact]" displayFolder="" count="0" unbalanced="0"/>
    <cacheHierarchy uniqueName="[PMTProject_Contact_Contact].[PMT Contact Position Description]" caption="PMT Contact Position Description" attribute="1" defaultMemberUniqueName="[PMTProject_Contact_Contact].[PMT Contact Position Description].[All]" allUniqueName="[PMTProject_Contact_Contact].[PMT Contact Position Description].[All]" dimensionUniqueName="[PMTProject_Contact_Contact]" displayFolder="" count="0" unbalanced="0"/>
    <cacheHierarchy uniqueName="[PMTProject_Contact_Contact].[PMT Contact Postal Code]" caption="PMT Contact Postal Code" attribute="1" defaultMemberUniqueName="[PMTProject_Contact_Contact].[PMT Contact Postal Code].[All]" allUniqueName="[PMTProject_Contact_Contact].[PMT Contact Postal Code].[All]" dimensionUniqueName="[PMTProject_Contact_Contact]" displayFolder="" count="0" unbalanced="0"/>
    <cacheHierarchy uniqueName="[PMTProject_Contact_Contact].[PMT Contact Priority Code]" caption="PMT Contact Priority Code" attribute="1" defaultMemberUniqueName="[PMTProject_Contact_Contact].[PMT Contact Priority Code].[All]" allUniqueName="[PMTProject_Contact_Contact].[PMT Contact Priority Code].[All]" dimensionUniqueName="[PMTProject_Contact_Contact]" displayFolder="" count="0" unbalanced="0"/>
    <cacheHierarchy uniqueName="[PMTProject_Contact_Contact].[PMT Contact Priority Description]" caption="PMT Contact Priority Description" attribute="1" defaultMemberUniqueName="[PMTProject_Contact_Contact].[PMT Contact Priority Description].[All]" allUniqueName="[PMTProject_Contact_Contact].[PMT Contact Priority Description].[All]" dimensionUniqueName="[PMTProject_Contact_Contact]" displayFolder="" count="0" unbalanced="0"/>
    <cacheHierarchy uniqueName="[PMTProject_Contact_Contact].[PMT Contact Referred By]" caption="PMT Contact Referred By" attribute="1" defaultMemberUniqueName="[PMTProject_Contact_Contact].[PMT Contact Referred By].[All]" allUniqueName="[PMTProject_Contact_Contact].[PMT Contact Referred By].[All]" dimensionUniqueName="[PMTProject_Contact_Contact]" displayFolder="" count="0" unbalanced="0"/>
    <cacheHierarchy uniqueName="[PMTProject_Contact_Contact].[PMT Contact Salesforce MOC ContactID]" caption="PMT Contact Salesforce MOC ContactID" attribute="1" defaultMemberUniqueName="[PMTProject_Contact_Contact].[PMT Contact Salesforce MOC ContactID].[All]" allUniqueName="[PMTProject_Contact_Contact].[PMT Contact Salesforce MOC ContactID].[All]" dimensionUniqueName="[PMTProject_Contact_Contact]" displayFolder="" count="0" unbalanced="0"/>
    <cacheHierarchy uniqueName="[PMTProject_Contact_Contact].[PMT Contact Source System]" caption="PMT Contact Source System" attribute="1" defaultMemberUniqueName="[PMTProject_Contact_Contact].[PMT Contact Source System].[All]" allUniqueName="[PMTProject_Contact_Contact].[PMT Contact Source System].[All]" dimensionUniqueName="[PMTProject_Contact_Contact]" displayFolder="" count="0" unbalanced="0"/>
    <cacheHierarchy uniqueName="[PMTProject_Contact_Contact].[PMT Contact State Code]" caption="PMT Contact State Code" attribute="1" defaultMemberUniqueName="[PMTProject_Contact_Contact].[PMT Contact State Code].[All]" allUniqueName="[PMTProject_Contact_Contact].[PMT Contact State Code].[All]" dimensionUniqueName="[PMTProject_Contact_Contact]" displayFolder="" count="0" unbalanced="0"/>
    <cacheHierarchy uniqueName="[PMTProject_Contact_Contact].[PMT Contact Title]" caption="PMT Contact Title" attribute="1" defaultMemberUniqueName="[PMTProject_Contact_Contact].[PMT Contact Title].[All]" allUniqueName="[PMTProject_Contact_Contact].[PMT Contact Title].[All]" dimensionUniqueName="[PMTProject_Contact_Contact]" displayFolder="" count="0" unbalanced="0"/>
    <cacheHierarchy uniqueName="[PMTProject_Contact_Contact].[PMT Contact Type Code]" caption="PMT Contact Type Code" attribute="1" defaultMemberUniqueName="[PMTProject_Contact_Contact].[PMT Contact Type Code].[All]" allUniqueName="[PMTProject_Contact_Contact].[PMT Contact Type Code].[All]" dimensionUniqueName="[PMTProject_Contact_Contact]" displayFolder="" count="0" unbalanced="0"/>
    <cacheHierarchy uniqueName="[PMTProject_Contact_Contact].[PMT Contact Type Description]" caption="PMT Contact Type Description" attribute="1" defaultMemberUniqueName="[PMTProject_Contact_Contact].[PMT Contact Type Description].[All]" allUniqueName="[PMTProject_Contact_Contact].[PMT Contact Type Description].[All]" dimensionUniqueName="[PMTProject_Contact_Contact]" displayFolder="" count="0" unbalanced="0"/>
    <cacheHierarchy uniqueName="[PMTProject_Contact_Contact].[PMT Contact Unique Business Key]" caption="PMT Contact Unique Business Key" attribute="1" defaultMemberUniqueName="[PMTProject_Contact_Contact].[PMT Contact Unique Business Key].[All]" allUniqueName="[PMTProject_Contact_Contact].[PMT Contact Unique Business Key].[All]" dimensionUniqueName="[PMTProject_Contact_Contact]" displayFolder="" count="0" unbalanced="0"/>
    <cacheHierarchy uniqueName="[PMTProject_Contact_Contact].[PMT Contact Unique Contact Key]" caption="PMT Contact Unique Contact Key" attribute="1" defaultMemberUniqueName="[PMTProject_Contact_Contact].[PMT Contact Unique Contact Key].[All]" allUniqueName="[PMTProject_Contact_Contact].[PMT Contact Unique Contact Key].[All]" dimensionUniqueName="[PMTProject_Contact_Contact]" displayFolder="" count="0" unbalanced="0"/>
    <cacheHierarchy uniqueName="[PMTProject_Contact_Contact].[PMT Contact Work Phone Extension]" caption="PMT Contact Work Phone Extension" attribute="1" defaultMemberUniqueName="[PMTProject_Contact_Contact].[PMT Contact Work Phone Extension].[All]" allUniqueName="[PMTProject_Contact_Contact].[PMT Contact Work Phone Extension].[All]" dimensionUniqueName="[PMTProject_Contact_Contact]" displayFolder="" count="0" unbalanced="0"/>
    <cacheHierarchy uniqueName="[PMTProject_Contact_Contact].[PMT Contact Work Phone Number]" caption="PMT Contact Work Phone Number" attribute="1" defaultMemberUniqueName="[PMTProject_Contact_Contact].[PMT Contact Work Phone Number].[All]" allUniqueName="[PMTProject_Contact_Contact].[PMT Contact Work Phone Number].[All]" dimensionUniqueName="[PMTProject_Contact_Contact]" displayFolder="" count="0" unbalanced="0"/>
    <cacheHierarchy uniqueName="[PMTProject_Contact_Customer].[PMT Customer  Bday Date]" caption="PMT Customer  Bday Date" attribute="1" defaultMemberUniqueName="[PMTProject_Contact_Customer].[PMT Customer  Bday Date].[All]" allUniqueName="[PMTProject_Contact_Customer].[PMT Customer  Bday Date].[All]" dimensionUniqueName="[PMTProject_Contact_Customer]" displayFolder="" count="0" unbalanced="0"/>
    <cacheHierarchy uniqueName="[PMTProject_Contact_Customer].[PMT Customer A44 Contact Indicator]" caption="PMT Customer A44 Contact Indicator" attribute="1" defaultMemberUniqueName="[PMTProject_Contact_Customer].[PMT Customer A44 Contact Indicator].[All]" allUniqueName="[PMTProject_Contact_Customer].[PMT Customer A44 Contact Indicator].[All]" dimensionUniqueName="[PMTProject_Contact_Customer]" displayFolder="" count="0" unbalanced="0"/>
    <cacheHierarchy uniqueName="[PMTProject_Contact_Customer].[PMT Customer Address1]" caption="PMT Customer Address1" attribute="1" defaultMemberUniqueName="[PMTProject_Contact_Customer].[PMT Customer Address1].[All]" allUniqueName="[PMTProject_Contact_Customer].[PMT Customer Address1].[All]" dimensionUniqueName="[PMTProject_Contact_Customer]" displayFolder="" count="0" unbalanced="0"/>
    <cacheHierarchy uniqueName="[PMTProject_Contact_Customer].[PMT Customer Address2]" caption="PMT Customer Address2" attribute="1" defaultMemberUniqueName="[PMTProject_Contact_Customer].[PMT Customer Address2].[All]" allUniqueName="[PMTProject_Contact_Customer].[PMT Customer Address2].[All]" dimensionUniqueName="[PMTProject_Contact_Customer]" displayFolder="" count="0" unbalanced="0"/>
    <cacheHierarchy uniqueName="[PMTProject_Contact_Customer].[PMT Customer Cell Phone Number]" caption="PMT Customer Cell Phone Number" attribute="1" defaultMemberUniqueName="[PMTProject_Contact_Customer].[PMT Customer Cell Phone Number].[All]" allUniqueName="[PMTProject_Contact_Customer].[PMT Customer Cell Phone Number].[All]" dimensionUniqueName="[PMTProject_Contact_Customer]" displayFolder="" count="0" unbalanced="0"/>
    <cacheHierarchy uniqueName="[PMTProject_Contact_Customer].[PMT Customer City Name]" caption="PMT Customer City Name" attribute="1" defaultMemberUniqueName="[PMTProject_Contact_Customer].[PMT Customer City Name].[All]" allUniqueName="[PMTProject_Contact_Customer].[PMT Customer City Name].[All]" dimensionUniqueName="[PMTProject_Contact_Customer]" displayFolder="" count="0" unbalanced="0"/>
    <cacheHierarchy uniqueName="[PMTProject_Contact_Customer].[PMT Customer Company Code]" caption="PMT Customer Company Code" attribute="1" defaultMemberUniqueName="[PMTProject_Contact_Customer].[PMT Customer Company Code].[All]" allUniqueName="[PMTProject_Contact_Customer].[PMT Customer Company Code].[All]" dimensionUniqueName="[PMTProject_Contact_Customer]" displayFolder="" count="0" unbalanced="0"/>
    <cacheHierarchy uniqueName="[PMTProject_Contact_Customer].[PMT Customer Company Description]" caption="PMT Customer Company Description" attribute="1" defaultMemberUniqueName="[PMTProject_Contact_Customer].[PMT Customer Company Description].[All]" allUniqueName="[PMTProject_Contact_Customer].[PMT Customer Company Description].[All]" dimensionUniqueName="[PMTProject_Contact_Customer]" displayFolder="" count="0" unbalanced="0"/>
    <cacheHierarchy uniqueName="[PMTProject_Contact_Customer].[PMT Customer Contact LastService Wk Date]" caption="PMT Customer Contact LastService Wk Date" attribute="1" defaultMemberUniqueName="[PMTProject_Contact_Customer].[PMT Customer Contact LastService Wk Date].[All]" allUniqueName="[PMTProject_Contact_Customer].[PMT Customer Contact LastService Wk Date].[All]" dimensionUniqueName="[PMTProject_Contact_Customer]" displayFolder="" count="0" unbalanced="0"/>
    <cacheHierarchy uniqueName="[PMTProject_Contact_Customer].[PMT Customer Do Not Email Indicator]" caption="PMT Customer Do Not Email Indicator" attribute="1" defaultMemberUniqueName="[PMTProject_Contact_Customer].[PMT Customer Do Not Email Indicator].[All]" allUniqueName="[PMTProject_Contact_Customer].[PMT Customer Do Not Email Indicator].[All]" dimensionUniqueName="[PMTProject_Contact_Customer]" displayFolder="" count="0" unbalanced="0"/>
    <cacheHierarchy uniqueName="[PMTProject_Contact_Customer].[PMT Customer Do Not Mail Indicator]" caption="PMT Customer Do Not Mail Indicator" attribute="1" defaultMemberUniqueName="[PMTProject_Contact_Customer].[PMT Customer Do Not Mail Indicator].[All]" allUniqueName="[PMTProject_Contact_Customer].[PMT Customer Do Not Mail Indicator].[All]" dimensionUniqueName="[PMTProject_Contact_Customer]" displayFolder="" count="0" unbalanced="0"/>
    <cacheHierarchy uniqueName="[PMTProject_Contact_Customer].[PMT Customer Email Address]" caption="PMT Customer Email Address" attribute="1" defaultMemberUniqueName="[PMTProject_Contact_Customer].[PMT Customer Email Address].[All]" allUniqueName="[PMTProject_Contact_Customer].[PMT Customer Email Address].[All]" dimensionUniqueName="[PMTProject_Contact_Customer]" displayFolder="" count="0" unbalanced="0"/>
    <cacheHierarchy uniqueName="[PMTProject_Contact_Customer].[PMT Customer Email OptOut Code]" caption="PMT Customer Email OptOut Code" attribute="1" defaultMemberUniqueName="[PMTProject_Contact_Customer].[PMT Customer Email OptOut Code].[All]" allUniqueName="[PMTProject_Contact_Customer].[PMT Customer Email OptOut Code].[All]" dimensionUniqueName="[PMTProject_Contact_Customer]" displayFolder="" count="0" unbalanced="0"/>
    <cacheHierarchy uniqueName="[PMTProject_Contact_Customer].[PMT Customer Email OptOut Description]" caption="PMT Customer Email OptOut Description" attribute="1" defaultMemberUniqueName="[PMTProject_Contact_Customer].[PMT Customer Email OptOut Description].[All]" allUniqueName="[PMTProject_Contact_Customer].[PMT Customer Email OptOut Description].[All]" dimensionUniqueName="[PMTProject_Contact_Customer]" displayFolder="" count="0" unbalanced="0"/>
    <cacheHierarchy uniqueName="[PMTProject_Contact_Customer].[PMT Customer FAX Number]" caption="PMT Customer FAX Number" attribute="1" defaultMemberUniqueName="[PMTProject_Contact_Customer].[PMT Customer FAX Number].[All]" allUniqueName="[PMTProject_Contact_Customer].[PMT Customer FAX Number].[All]" dimensionUniqueName="[PMTProject_Contact_Customer]" displayFolder="" count="0" unbalanced="0"/>
    <cacheHierarchy uniqueName="[PMTProject_Contact_Customer].[PMT Customer Home Phone Number]" caption="PMT Customer Home Phone Number" attribute="1" defaultMemberUniqueName="[PMTProject_Contact_Customer].[PMT Customer Home Phone Number].[All]" allUniqueName="[PMTProject_Contact_Customer].[PMT Customer Home Phone Number].[All]" dimensionUniqueName="[PMTProject_Contact_Customer]" displayFolder="" count="0" unbalanced="0"/>
    <cacheHierarchy uniqueName="[PMTProject_Contact_Customer].[PMT Customer Invalid Email Code]" caption="PMT Customer Invalid Email Code" attribute="1" defaultMemberUniqueName="[PMTProject_Contact_Customer].[PMT Customer Invalid Email Code].[All]" allUniqueName="[PMTProject_Contact_Customer].[PMT Customer Invalid Email Code].[All]" dimensionUniqueName="[PMTProject_Contact_Customer]" displayFolder="" count="0" unbalanced="0"/>
    <cacheHierarchy uniqueName="[PMTProject_Contact_Customer].[PMT Customer Other Phone Number]" caption="PMT Customer Other Phone Number" attribute="1" defaultMemberUniqueName="[PMTProject_Contact_Customer].[PMT Customer Other Phone Number].[All]" allUniqueName="[PMTProject_Contact_Customer].[PMT Customer Other Phone Number].[All]" dimensionUniqueName="[PMTProject_Contact_Customer]" displayFolder="" count="0" unbalanced="0"/>
    <cacheHierarchy uniqueName="[PMTProject_Contact_Customer].[PMT Customer Person Or Business Code]" caption="PMT Customer Person Or Business Code" attribute="1" defaultMemberUniqueName="[PMTProject_Contact_Customer].[PMT Customer Person Or Business Code].[All]" allUniqueName="[PMTProject_Contact_Customer].[PMT Customer Person Or Business Code].[All]" dimensionUniqueName="[PMTProject_Contact_Customer]" displayFolder="" count="0" unbalanced="0"/>
    <cacheHierarchy uniqueName="[PMTProject_Contact_Customer].[PMT Customer Person Or Business First Name]" caption="PMT Customer Person Or Business First Name" attribute="1" defaultMemberUniqueName="[PMTProject_Contact_Customer].[PMT Customer Person Or Business First Name].[All]" allUniqueName="[PMTProject_Contact_Customer].[PMT Customer Person Or Business First Name].[All]" dimensionUniqueName="[PMTProject_Contact_Customer]" displayFolder="" count="0" unbalanced="0"/>
    <cacheHierarchy uniqueName="[PMTProject_Contact_Customer].[PMT Customer Person Or Business Last Name]" caption="PMT Customer Person Or Business Last Name" attribute="1" defaultMemberUniqueName="[PMTProject_Contact_Customer].[PMT Customer Person Or Business Last Name].[All]" allUniqueName="[PMTProject_Contact_Customer].[PMT Customer Person Or Business Last Name].[All]" dimensionUniqueName="[PMTProject_Contact_Customer]" displayFolder="" count="0" unbalanced="0"/>
    <cacheHierarchy uniqueName="[PMTProject_Contact_Customer].[PMT Customer PersonID]" caption="PMT Customer PersonID" attribute="1" defaultMemberUniqueName="[PMTProject_Contact_Customer].[PMT Customer PersonID].[All]" allUniqueName="[PMTProject_Contact_Customer].[PMT Customer PersonID].[All]" dimensionUniqueName="[PMTProject_Contact_Customer]" displayFolder="" count="0" unbalanced="0"/>
    <cacheHierarchy uniqueName="[PMTProject_Contact_Customer].[PMT Customer Position Code]" caption="PMT Customer Position Code" attribute="1" defaultMemberUniqueName="[PMTProject_Contact_Customer].[PMT Customer Position Code].[All]" allUniqueName="[PMTProject_Contact_Customer].[PMT Customer Position Code].[All]" dimensionUniqueName="[PMTProject_Contact_Customer]" displayFolder="" count="0" unbalanced="0"/>
    <cacheHierarchy uniqueName="[PMTProject_Contact_Customer].[PMT Customer Position Description]" caption="PMT Customer Position Description" attribute="1" defaultMemberUniqueName="[PMTProject_Contact_Customer].[PMT Customer Position Description].[All]" allUniqueName="[PMTProject_Contact_Customer].[PMT Customer Position Description].[All]" dimensionUniqueName="[PMTProject_Contact_Customer]" displayFolder="" count="0" unbalanced="0"/>
    <cacheHierarchy uniqueName="[PMTProject_Contact_Customer].[PMT Customer Postal Code]" caption="PMT Customer Postal Code" attribute="1" defaultMemberUniqueName="[PMTProject_Contact_Customer].[PMT Customer Postal Code].[All]" allUniqueName="[PMTProject_Contact_Customer].[PMT Customer Postal Code].[All]" dimensionUniqueName="[PMTProject_Contact_Customer]" displayFolder="" count="0" unbalanced="0"/>
    <cacheHierarchy uniqueName="[PMTProject_Contact_Customer].[PMT Customer Priority Code]" caption="PMT Customer Priority Code" attribute="1" defaultMemberUniqueName="[PMTProject_Contact_Customer].[PMT Customer Priority Code].[All]" allUniqueName="[PMTProject_Contact_Customer].[PMT Customer Priority Code].[All]" dimensionUniqueName="[PMTProject_Contact_Customer]" displayFolder="" count="0" unbalanced="0"/>
    <cacheHierarchy uniqueName="[PMTProject_Contact_Customer].[PMT Customer Priority Description]" caption="PMT Customer Priority Description" attribute="1" defaultMemberUniqueName="[PMTProject_Contact_Customer].[PMT Customer Priority Description].[All]" allUniqueName="[PMTProject_Contact_Customer].[PMT Customer Priority Description].[All]" dimensionUniqueName="[PMTProject_Contact_Customer]" displayFolder="" count="0" unbalanced="0"/>
    <cacheHierarchy uniqueName="[PMTProject_Contact_Customer].[PMT Customer Referred By]" caption="PMT Customer Referred By" attribute="1" defaultMemberUniqueName="[PMTProject_Contact_Customer].[PMT Customer Referred By].[All]" allUniqueName="[PMTProject_Contact_Customer].[PMT Customer Referred By].[All]" dimensionUniqueName="[PMTProject_Contact_Customer]" displayFolder="" count="0" unbalanced="0"/>
    <cacheHierarchy uniqueName="[PMTProject_Contact_Customer].[PMT Customer Salesforce MOC ContactID]" caption="PMT Customer Salesforce MOC ContactID" attribute="1" defaultMemberUniqueName="[PMTProject_Contact_Customer].[PMT Customer Salesforce MOC ContactID].[All]" allUniqueName="[PMTProject_Contact_Customer].[PMT Customer Salesforce MOC ContactID].[All]" dimensionUniqueName="[PMTProject_Contact_Customer]" displayFolder="" count="0" unbalanced="0"/>
    <cacheHierarchy uniqueName="[PMTProject_Contact_Customer].[PMT Customer Source System]" caption="PMT Customer Source System" attribute="1" defaultMemberUniqueName="[PMTProject_Contact_Customer].[PMT Customer Source System].[All]" allUniqueName="[PMTProject_Contact_Customer].[PMT Customer Source System].[All]" dimensionUniqueName="[PMTProject_Contact_Customer]" displayFolder="" count="0" unbalanced="0"/>
    <cacheHierarchy uniqueName="[PMTProject_Contact_Customer].[PMT Customer State Code]" caption="PMT Customer State Code" attribute="1" defaultMemberUniqueName="[PMTProject_Contact_Customer].[PMT Customer State Code].[All]" allUniqueName="[PMTProject_Contact_Customer].[PMT Customer State Code].[All]" dimensionUniqueName="[PMTProject_Contact_Customer]" displayFolder="" count="0" unbalanced="0"/>
    <cacheHierarchy uniqueName="[PMTProject_Contact_Customer].[PMT Customer Title]" caption="PMT Customer Title" attribute="1" defaultMemberUniqueName="[PMTProject_Contact_Customer].[PMT Customer Title].[All]" allUniqueName="[PMTProject_Contact_Customer].[PMT Customer Title].[All]" dimensionUniqueName="[PMTProject_Contact_Customer]" displayFolder="" count="0" unbalanced="0"/>
    <cacheHierarchy uniqueName="[PMTProject_Contact_Customer].[PMT Customer Type Code]" caption="PMT Customer Type Code" attribute="1" defaultMemberUniqueName="[PMTProject_Contact_Customer].[PMT Customer Type Code].[All]" allUniqueName="[PMTProject_Contact_Customer].[PMT Customer Type Code].[All]" dimensionUniqueName="[PMTProject_Contact_Customer]" displayFolder="" count="0" unbalanced="0"/>
    <cacheHierarchy uniqueName="[PMTProject_Contact_Customer].[PMT Customer Type Description]" caption="PMT Customer Type Description" attribute="1" defaultMemberUniqueName="[PMTProject_Contact_Customer].[PMT Customer Type Description].[All]" allUniqueName="[PMTProject_Contact_Customer].[PMT Customer Type Description].[All]" dimensionUniqueName="[PMTProject_Contact_Customer]" displayFolder="" count="0" unbalanced="0"/>
    <cacheHierarchy uniqueName="[PMTProject_Contact_Customer].[PMT Customer Unique Business Key]" caption="PMT Customer Unique Business Key" attribute="1" defaultMemberUniqueName="[PMTProject_Contact_Customer].[PMT Customer Unique Business Key].[All]" allUniqueName="[PMTProject_Contact_Customer].[PMT Customer Unique Business Key].[All]" dimensionUniqueName="[PMTProject_Contact_Customer]" displayFolder="" count="0" unbalanced="0"/>
    <cacheHierarchy uniqueName="[PMTProject_Contact_Customer].[PMT Customer Unique Contact Key]" caption="PMT Customer Unique Contact Key" attribute="1" defaultMemberUniqueName="[PMTProject_Contact_Customer].[PMT Customer Unique Contact Key].[All]" allUniqueName="[PMTProject_Contact_Customer].[PMT Customer Unique Contact Key].[All]" dimensionUniqueName="[PMTProject_Contact_Customer]" displayFolder="" count="0" unbalanced="0"/>
    <cacheHierarchy uniqueName="[PMTProject_Contact_Customer].[PMT Customer Work Phone Extension]" caption="PMT Customer Work Phone Extension" attribute="1" defaultMemberUniqueName="[PMTProject_Contact_Customer].[PMT Customer Work Phone Extension].[All]" allUniqueName="[PMTProject_Contact_Customer].[PMT Customer Work Phone Extension].[All]" dimensionUniqueName="[PMTProject_Contact_Customer]" displayFolder="" count="0" unbalanced="0"/>
    <cacheHierarchy uniqueName="[PMTProject_Contact_Customer].[PMT Customer Work Phone Number]" caption="PMT Customer Work Phone Number" attribute="1" defaultMemberUniqueName="[PMTProject_Contact_Customer].[PMT Customer Work Phone Number].[All]" allUniqueName="[PMTProject_Contact_Customer].[PMT Customer Work Phone Number].[All]" dimensionUniqueName="[PMTProject_Contact_Customer]" displayFolder="" count="0" unbalanced="0"/>
    <cacheHierarchy uniqueName="[PMTProject_Contact_IC].[AccountKey]" caption="AccountKey" attribute="1" defaultMemberUniqueName="[PMTProject_Contact_IC].[AccountKey].[All]" allUniqueName="[PMTProject_Contact_IC].[AccountKey].[All]" dimensionUniqueName="[PMTProject_Contact_IC]" displayFolder="" count="0" unbalanced="0"/>
    <cacheHierarchy uniqueName="[PMTProject_Contact_IC].[ContactKey]" caption="ContactKey" attribute="1" defaultMemberUniqueName="[PMTProject_Contact_IC].[ContactKey].[All]" allUniqueName="[PMTProject_Contact_IC].[ContactKey].[All]" dimensionUniqueName="[PMTProject_Contact_IC]" displayFolder="" count="0" unbalanced="0"/>
    <cacheHierarchy uniqueName="[PMTProject_Contact_IC].[PMT IC  Bday Date]" caption="PMT IC  Bday Date" attribute="1" defaultMemberUniqueName="[PMTProject_Contact_IC].[PMT IC  Bday Date].[All]" allUniqueName="[PMTProject_Contact_IC].[PMT IC  Bday Date].[All]" dimensionUniqueName="[PMTProject_Contact_IC]" displayFolder="" count="0" unbalanced="0"/>
    <cacheHierarchy uniqueName="[PMTProject_Contact_IC].[PMT IC A44 Contact Indicator]" caption="PMT IC A44 Contact Indicator" attribute="1" defaultMemberUniqueName="[PMTProject_Contact_IC].[PMT IC A44 Contact Indicator].[All]" allUniqueName="[PMTProject_Contact_IC].[PMT IC A44 Contact Indicator].[All]" dimensionUniqueName="[PMTProject_Contact_IC]" displayFolder="" count="0" unbalanced="0"/>
    <cacheHierarchy uniqueName="[PMTProject_Contact_IC].[PMT IC Address1]" caption="PMT IC Address1" attribute="1" defaultMemberUniqueName="[PMTProject_Contact_IC].[PMT IC Address1].[All]" allUniqueName="[PMTProject_Contact_IC].[PMT IC Address1].[All]" dimensionUniqueName="[PMTProject_Contact_IC]" displayFolder="" count="0" unbalanced="0"/>
    <cacheHierarchy uniqueName="[PMTProject_Contact_IC].[PMT IC Address2]" caption="PMT IC Address2" attribute="1" defaultMemberUniqueName="[PMTProject_Contact_IC].[PMT IC Address2].[All]" allUniqueName="[PMTProject_Contact_IC].[PMT IC Address2].[All]" dimensionUniqueName="[PMTProject_Contact_IC]" displayFolder="" count="0" unbalanced="0"/>
    <cacheHierarchy uniqueName="[PMTProject_Contact_IC].[PMT IC Cell Phone Number]" caption="PMT IC Cell Phone Number" attribute="1" defaultMemberUniqueName="[PMTProject_Contact_IC].[PMT IC Cell Phone Number].[All]" allUniqueName="[PMTProject_Contact_IC].[PMT IC Cell Phone Number].[All]" dimensionUniqueName="[PMTProject_Contact_IC]" displayFolder="" count="0" unbalanced="0"/>
    <cacheHierarchy uniqueName="[PMTProject_Contact_IC].[PMT IC City Name]" caption="PMT IC City Name" attribute="1" defaultMemberUniqueName="[PMTProject_Contact_IC].[PMT IC City Name].[All]" allUniqueName="[PMTProject_Contact_IC].[PMT IC City Name].[All]" dimensionUniqueName="[PMTProject_Contact_IC]" displayFolder="" count="0" unbalanced="0"/>
    <cacheHierarchy uniqueName="[PMTProject_Contact_IC].[PMT IC Company Code]" caption="PMT IC Company Code" attribute="1" defaultMemberUniqueName="[PMTProject_Contact_IC].[PMT IC Company Code].[All]" allUniqueName="[PMTProject_Contact_IC].[PMT IC Company Code].[All]" dimensionUniqueName="[PMTProject_Contact_IC]" displayFolder="" count="0" unbalanced="0"/>
    <cacheHierarchy uniqueName="[PMTProject_Contact_IC].[PMT IC Company Description]" caption="PMT IC Company Description" attribute="1" defaultMemberUniqueName="[PMTProject_Contact_IC].[PMT IC Company Description].[All]" allUniqueName="[PMTProject_Contact_IC].[PMT IC Company Description].[All]" dimensionUniqueName="[PMTProject_Contact_IC]" displayFolder="" count="0" unbalanced="0"/>
    <cacheHierarchy uniqueName="[PMTProject_Contact_IC].[PMT IC Contact LastService Wk Date]" caption="PMT IC Contact LastService Wk Date" attribute="1" defaultMemberUniqueName="[PMTProject_Contact_IC].[PMT IC Contact LastService Wk Date].[All]" allUniqueName="[PMTProject_Contact_IC].[PMT IC Contact LastService Wk Date].[All]" dimensionUniqueName="[PMTProject_Contact_IC]" displayFolder="" count="0" unbalanced="0"/>
    <cacheHierarchy uniqueName="[PMTProject_Contact_IC].[PMT IC Contact Type Code]" caption="PMT IC Contact Type Code" attribute="1" defaultMemberUniqueName="[PMTProject_Contact_IC].[PMT IC Contact Type Code].[All]" allUniqueName="[PMTProject_Contact_IC].[PMT IC Contact Type Code].[All]" dimensionUniqueName="[PMTProject_Contact_IC]" displayFolder="" count="0" unbalanced="0"/>
    <cacheHierarchy uniqueName="[PMTProject_Contact_IC].[PMT IC Contact Type Description]" caption="PMT IC Contact Type Description" attribute="1" defaultMemberUniqueName="[PMTProject_Contact_IC].[PMT IC Contact Type Description].[All]" allUniqueName="[PMTProject_Contact_IC].[PMT IC Contact Type Description].[All]" dimensionUniqueName="[PMTProject_Contact_IC]" displayFolder="" count="0" unbalanced="0"/>
    <cacheHierarchy uniqueName="[PMTProject_Contact_IC].[PMT IC Do Not Email Indicator]" caption="PMT IC Do Not Email Indicator" attribute="1" defaultMemberUniqueName="[PMTProject_Contact_IC].[PMT IC Do Not Email Indicator].[All]" allUniqueName="[PMTProject_Contact_IC].[PMT IC Do Not Email Indicator].[All]" dimensionUniqueName="[PMTProject_Contact_IC]" displayFolder="" count="0" unbalanced="0"/>
    <cacheHierarchy uniqueName="[PMTProject_Contact_IC].[PMT IC Do Not Mail Indicator]" caption="PMT IC Do Not Mail Indicator" attribute="1" defaultMemberUniqueName="[PMTProject_Contact_IC].[PMT IC Do Not Mail Indicator].[All]" allUniqueName="[PMTProject_Contact_IC].[PMT IC Do Not Mail Indicator].[All]" dimensionUniqueName="[PMTProject_Contact_IC]" displayFolder="" count="0" unbalanced="0"/>
    <cacheHierarchy uniqueName="[PMTProject_Contact_IC].[PMT IC Email Address]" caption="PMT IC Email Address" attribute="1" defaultMemberUniqueName="[PMTProject_Contact_IC].[PMT IC Email Address].[All]" allUniqueName="[PMTProject_Contact_IC].[PMT IC Email Address].[All]" dimensionUniqueName="[PMTProject_Contact_IC]" displayFolder="" count="0" unbalanced="0"/>
    <cacheHierarchy uniqueName="[PMTProject_Contact_IC].[PMT IC Email OptOut Code]" caption="PMT IC Email OptOut Code" attribute="1" defaultMemberUniqueName="[PMTProject_Contact_IC].[PMT IC Email OptOut Code].[All]" allUniqueName="[PMTProject_Contact_IC].[PMT IC Email OptOut Code].[All]" dimensionUniqueName="[PMTProject_Contact_IC]" displayFolder="" count="0" unbalanced="0"/>
    <cacheHierarchy uniqueName="[PMTProject_Contact_IC].[PMT IC Email OptOut Description]" caption="PMT IC Email OptOut Description" attribute="1" defaultMemberUniqueName="[PMTProject_Contact_IC].[PMT IC Email OptOut Description].[All]" allUniqueName="[PMTProject_Contact_IC].[PMT IC Email OptOut Description].[All]" dimensionUniqueName="[PMTProject_Contact_IC]" displayFolder="" count="0" unbalanced="0"/>
    <cacheHierarchy uniqueName="[PMTProject_Contact_IC].[PMT IC FAX Number]" caption="PMT IC FAX Number" attribute="1" defaultMemberUniqueName="[PMTProject_Contact_IC].[PMT IC FAX Number].[All]" allUniqueName="[PMTProject_Contact_IC].[PMT IC FAX Number].[All]" dimensionUniqueName="[PMTProject_Contact_IC]" displayFolder="" count="0" unbalanced="0"/>
    <cacheHierarchy uniqueName="[PMTProject_Contact_IC].[PMT IC Home Phone Number]" caption="PMT IC Home Phone Number" attribute="1" defaultMemberUniqueName="[PMTProject_Contact_IC].[PMT IC Home Phone Number].[All]" allUniqueName="[PMTProject_Contact_IC].[PMT IC Home Phone Number].[All]" dimensionUniqueName="[PMTProject_Contact_IC]" displayFolder="" count="0" unbalanced="0"/>
    <cacheHierarchy uniqueName="[PMTProject_Contact_IC].[PMT IC Invalid Email Code]" caption="PMT IC Invalid Email Code" attribute="1" defaultMemberUniqueName="[PMTProject_Contact_IC].[PMT IC Invalid Email Code].[All]" allUniqueName="[PMTProject_Contact_IC].[PMT IC Invalid Email Code].[All]" dimensionUniqueName="[PMTProject_Contact_IC]" displayFolder="" count="0" unbalanced="0"/>
    <cacheHierarchy uniqueName="[PMTProject_Contact_IC].[PMT IC Other Phone Number]" caption="PMT IC Other Phone Number" attribute="1" defaultMemberUniqueName="[PMTProject_Contact_IC].[PMT IC Other Phone Number].[All]" allUniqueName="[PMTProject_Contact_IC].[PMT IC Other Phone Number].[All]" dimensionUniqueName="[PMTProject_Contact_IC]" displayFolder="" count="0" unbalanced="0"/>
    <cacheHierarchy uniqueName="[PMTProject_Contact_IC].[PMT IC Person Or Business Code]" caption="PMT IC Person Or Business Code" attribute="1" defaultMemberUniqueName="[PMTProject_Contact_IC].[PMT IC Person Or Business Code].[All]" allUniqueName="[PMTProject_Contact_IC].[PMT IC Person Or Business Code].[All]" dimensionUniqueName="[PMTProject_Contact_IC]" displayFolder="" count="0" unbalanced="0"/>
    <cacheHierarchy uniqueName="[PMTProject_Contact_IC].[PMT IC Person Or Business First Name]" caption="PMT IC Person Or Business First Name" attribute="1" defaultMemberUniqueName="[PMTProject_Contact_IC].[PMT IC Person Or Business First Name].[All]" allUniqueName="[PMTProject_Contact_IC].[PMT IC Person Or Business First Name].[All]" dimensionUniqueName="[PMTProject_Contact_IC]" displayFolder="" count="0" unbalanced="0"/>
    <cacheHierarchy uniqueName="[PMTProject_Contact_IC].[PMT IC Person Or Business Last Name]" caption="PMT IC Person Or Business Last Name" attribute="1" defaultMemberUniqueName="[PMTProject_Contact_IC].[PMT IC Person Or Business Last Name].[All]" allUniqueName="[PMTProject_Contact_IC].[PMT IC Person Or Business Last Name].[All]" dimensionUniqueName="[PMTProject_Contact_IC]" displayFolder="" count="0" unbalanced="0"/>
    <cacheHierarchy uniqueName="[PMTProject_Contact_IC].[PMT IC PersonID]" caption="PMT IC PersonID" attribute="1" defaultMemberUniqueName="[PMTProject_Contact_IC].[PMT IC PersonID].[All]" allUniqueName="[PMTProject_Contact_IC].[PMT IC PersonID].[All]" dimensionUniqueName="[PMTProject_Contact_IC]" displayFolder="" count="0" unbalanced="0"/>
    <cacheHierarchy uniqueName="[PMTProject_Contact_IC].[PMT IC Position Code]" caption="PMT IC Position Code" attribute="1" defaultMemberUniqueName="[PMTProject_Contact_IC].[PMT IC Position Code].[All]" allUniqueName="[PMTProject_Contact_IC].[PMT IC Position Code].[All]" dimensionUniqueName="[PMTProject_Contact_IC]" displayFolder="" count="0" unbalanced="0"/>
    <cacheHierarchy uniqueName="[PMTProject_Contact_IC].[PMT IC Position Description]" caption="PMT IC Position Description" attribute="1" defaultMemberUniqueName="[PMTProject_Contact_IC].[PMT IC Position Description].[All]" allUniqueName="[PMTProject_Contact_IC].[PMT IC Position Description].[All]" dimensionUniqueName="[PMTProject_Contact_IC]" displayFolder="" count="0" unbalanced="0"/>
    <cacheHierarchy uniqueName="[PMTProject_Contact_IC].[PMT IC Postal Code]" caption="PMT IC Postal Code" attribute="1" defaultMemberUniqueName="[PMTProject_Contact_IC].[PMT IC Postal Code].[All]" allUniqueName="[PMTProject_Contact_IC].[PMT IC Postal Code].[All]" dimensionUniqueName="[PMTProject_Contact_IC]" displayFolder="" count="0" unbalanced="0"/>
    <cacheHierarchy uniqueName="[PMTProject_Contact_IC].[PMT IC Priority Code]" caption="PMT IC Priority Code" attribute="1" defaultMemberUniqueName="[PMTProject_Contact_IC].[PMT IC Priority Code].[All]" allUniqueName="[PMTProject_Contact_IC].[PMT IC Priority Code].[All]" dimensionUniqueName="[PMTProject_Contact_IC]" displayFolder="" count="0" unbalanced="0"/>
    <cacheHierarchy uniqueName="[PMTProject_Contact_IC].[PMT IC Priority Description]" caption="PMT IC Priority Description" attribute="1" defaultMemberUniqueName="[PMTProject_Contact_IC].[PMT IC Priority Description].[All]" allUniqueName="[PMTProject_Contact_IC].[PMT IC Priority Description].[All]" dimensionUniqueName="[PMTProject_Contact_IC]" displayFolder="" count="0" unbalanced="0"/>
    <cacheHierarchy uniqueName="[PMTProject_Contact_IC].[PMT IC Referred By]" caption="PMT IC Referred By" attribute="1" defaultMemberUniqueName="[PMTProject_Contact_IC].[PMT IC Referred By].[All]" allUniqueName="[PMTProject_Contact_IC].[PMT IC Referred By].[All]" dimensionUniqueName="[PMTProject_Contact_IC]" displayFolder="" count="0" unbalanced="0"/>
    <cacheHierarchy uniqueName="[PMTProject_Contact_IC].[PMT IC Salesforce MOC ContactID]" caption="PMT IC Salesforce MOC ContactID" attribute="1" defaultMemberUniqueName="[PMTProject_Contact_IC].[PMT IC Salesforce MOC ContactID].[All]" allUniqueName="[PMTProject_Contact_IC].[PMT IC Salesforce MOC ContactID].[All]" dimensionUniqueName="[PMTProject_Contact_IC]" displayFolder="" count="0" unbalanced="0"/>
    <cacheHierarchy uniqueName="[PMTProject_Contact_IC].[PMT IC Source System]" caption="PMT IC Source System" attribute="1" defaultMemberUniqueName="[PMTProject_Contact_IC].[PMT IC Source System].[All]" allUniqueName="[PMTProject_Contact_IC].[PMT IC Source System].[All]" dimensionUniqueName="[PMTProject_Contact_IC]" displayFolder="" count="0" unbalanced="0"/>
    <cacheHierarchy uniqueName="[PMTProject_Contact_IC].[PMT IC State Code]" caption="PMT IC State Code" attribute="1" defaultMemberUniqueName="[PMTProject_Contact_IC].[PMT IC State Code].[All]" allUniqueName="[PMTProject_Contact_IC].[PMT IC State Code].[All]" dimensionUniqueName="[PMTProject_Contact_IC]" displayFolder="" count="0" unbalanced="0"/>
    <cacheHierarchy uniqueName="[PMTProject_Contact_IC].[PMT IC Title]" caption="PMT IC Title" attribute="1" defaultMemberUniqueName="[PMTProject_Contact_IC].[PMT IC Title].[All]" allUniqueName="[PMTProject_Contact_IC].[PMT IC Title].[All]" dimensionUniqueName="[PMTProject_Contact_IC]" displayFolder="" count="0" unbalanced="0"/>
    <cacheHierarchy uniqueName="[PMTProject_Contact_IC].[PMT IC Type Code]" caption="PMT IC Type Code" attribute="1" defaultMemberUniqueName="[PMTProject_Contact_IC].[PMT IC Type Code].[All]" allUniqueName="[PMTProject_Contact_IC].[PMT IC Type Code].[All]" dimensionUniqueName="[PMTProject_Contact_IC]" displayFolder="" count="0" unbalanced="0"/>
    <cacheHierarchy uniqueName="[PMTProject_Contact_IC].[PMT IC Type Description]" caption="PMT IC Type Description" attribute="1" defaultMemberUniqueName="[PMTProject_Contact_IC].[PMT IC Type Description].[All]" allUniqueName="[PMTProject_Contact_IC].[PMT IC Type Description].[All]" dimensionUniqueName="[PMTProject_Contact_IC]" displayFolder="" count="0" unbalanced="0"/>
    <cacheHierarchy uniqueName="[PMTProject_Contact_IC].[PMT IC Unique Business Key]" caption="PMT IC Unique Business Key" attribute="1" defaultMemberUniqueName="[PMTProject_Contact_IC].[PMT IC Unique Business Key].[All]" allUniqueName="[PMTProject_Contact_IC].[PMT IC Unique Business Key].[All]" dimensionUniqueName="[PMTProject_Contact_IC]" displayFolder="" count="0" unbalanced="0"/>
    <cacheHierarchy uniqueName="[PMTProject_Contact_IC].[PMT IC Unique Contact Key]" caption="PMT IC Unique Contact Key" attribute="1" defaultMemberUniqueName="[PMTProject_Contact_IC].[PMT IC Unique Contact Key].[All]" allUniqueName="[PMTProject_Contact_IC].[PMT IC Unique Contact Key].[All]" dimensionUniqueName="[PMTProject_Contact_IC]" displayFolder="" count="0" unbalanced="0"/>
    <cacheHierarchy uniqueName="[PMTProject_Contact_IC].[PMT IC Work Phone Extension]" caption="PMT IC Work Phone Extension" attribute="1" defaultMemberUniqueName="[PMTProject_Contact_IC].[PMT IC Work Phone Extension].[All]" allUniqueName="[PMTProject_Contact_IC].[PMT IC Work Phone Extension].[All]" dimensionUniqueName="[PMTProject_Contact_IC]" displayFolder="" count="0" unbalanced="0"/>
    <cacheHierarchy uniqueName="[PMTProject_Contact_IC].[PMT IC Work Phone Number]" caption="PMT IC Work Phone Number" attribute="1" defaultMemberUniqueName="[PMTProject_Contact_IC].[PMT IC Work Phone Number].[All]" allUniqueName="[PMTProject_Contact_IC].[PMT IC Work Phone Number].[All]" dimensionUniqueName="[PMTProject_Contact_IC]" displayFolder="" count="0" unbalanced="0"/>
    <cacheHierarchy uniqueName="[PMTProject_Contact_IC].[PMTProjectKey]" caption="PMTProjectKey" attribute="1" defaultMemberUniqueName="[PMTProject_Contact_IC].[PMTProjectKey].[All]" allUniqueName="[PMTProject_Contact_IC].[PMTProjectKey].[All]" dimensionUniqueName="[PMTProject_Contact_IC]" displayFolder="" count="0" unbalanced="0"/>
    <cacheHierarchy uniqueName="[PMTProject_Contact_Landlord].[PMT Landlord  Bday Date]" caption="PMT Landlord  Bday Date" attribute="1" defaultMemberUniqueName="[PMTProject_Contact_Landlord].[PMT Landlord  Bday Date].[All]" allUniqueName="[PMTProject_Contact_Landlord].[PMT Landlord  Bday Date].[All]" dimensionUniqueName="[PMTProject_Contact_Landlord]" displayFolder="" count="0" unbalanced="0"/>
    <cacheHierarchy uniqueName="[PMTProject_Contact_Landlord].[PMT Landlord A44 Contact Indicator]" caption="PMT Landlord A44 Contact Indicator" attribute="1" defaultMemberUniqueName="[PMTProject_Contact_Landlord].[PMT Landlord A44 Contact Indicator].[All]" allUniqueName="[PMTProject_Contact_Landlord].[PMT Landlord A44 Contact Indicator].[All]" dimensionUniqueName="[PMTProject_Contact_Landlord]" displayFolder="" count="0" unbalanced="0"/>
    <cacheHierarchy uniqueName="[PMTProject_Contact_Landlord].[PMT Landlord Address1]" caption="PMT Landlord Address1" attribute="1" defaultMemberUniqueName="[PMTProject_Contact_Landlord].[PMT Landlord Address1].[All]" allUniqueName="[PMTProject_Contact_Landlord].[PMT Landlord Address1].[All]" dimensionUniqueName="[PMTProject_Contact_Landlord]" displayFolder="" count="0" unbalanced="0"/>
    <cacheHierarchy uniqueName="[PMTProject_Contact_Landlord].[PMT Landlord Address2]" caption="PMT Landlord Address2" attribute="1" defaultMemberUniqueName="[PMTProject_Contact_Landlord].[PMT Landlord Address2].[All]" allUniqueName="[PMTProject_Contact_Landlord].[PMT Landlord Address2].[All]" dimensionUniqueName="[PMTProject_Contact_Landlord]" displayFolder="" count="0" unbalanced="0"/>
    <cacheHierarchy uniqueName="[PMTProject_Contact_Landlord].[PMT Landlord Cell Phone Number]" caption="PMT Landlord Cell Phone Number" attribute="1" defaultMemberUniqueName="[PMTProject_Contact_Landlord].[PMT Landlord Cell Phone Number].[All]" allUniqueName="[PMTProject_Contact_Landlord].[PMT Landlord Cell Phone Number].[All]" dimensionUniqueName="[PMTProject_Contact_Landlord]" displayFolder="" count="0" unbalanced="0"/>
    <cacheHierarchy uniqueName="[PMTProject_Contact_Landlord].[PMT Landlord City Name]" caption="PMT Landlord City Name" attribute="1" defaultMemberUniqueName="[PMTProject_Contact_Landlord].[PMT Landlord City Name].[All]" allUniqueName="[PMTProject_Contact_Landlord].[PMT Landlord City Name].[All]" dimensionUniqueName="[PMTProject_Contact_Landlord]" displayFolder="" count="0" unbalanced="0"/>
    <cacheHierarchy uniqueName="[PMTProject_Contact_Landlord].[PMT Landlord Company Code]" caption="PMT Landlord Company Code" attribute="1" defaultMemberUniqueName="[PMTProject_Contact_Landlord].[PMT Landlord Company Code].[All]" allUniqueName="[PMTProject_Contact_Landlord].[PMT Landlord Company Code].[All]" dimensionUniqueName="[PMTProject_Contact_Landlord]" displayFolder="" count="0" unbalanced="0"/>
    <cacheHierarchy uniqueName="[PMTProject_Contact_Landlord].[PMT Landlord Company Description]" caption="PMT Landlord Company Description" attribute="1" defaultMemberUniqueName="[PMTProject_Contact_Landlord].[PMT Landlord Company Description].[All]" allUniqueName="[PMTProject_Contact_Landlord].[PMT Landlord Company Description].[All]" dimensionUniqueName="[PMTProject_Contact_Landlord]" displayFolder="" count="0" unbalanced="0"/>
    <cacheHierarchy uniqueName="[PMTProject_Contact_Landlord].[PMT Landlord Contact LastService Wk Date]" caption="PMT Landlord Contact LastService Wk Date" attribute="1" defaultMemberUniqueName="[PMTProject_Contact_Landlord].[PMT Landlord Contact LastService Wk Date].[All]" allUniqueName="[PMTProject_Contact_Landlord].[PMT Landlord Contact LastService Wk Date].[All]" dimensionUniqueName="[PMTProject_Contact_Landlord]" displayFolder="" count="0" unbalanced="0"/>
    <cacheHierarchy uniqueName="[PMTProject_Contact_Landlord].[PMT Landlord Do Not Email Indicator]" caption="PMT Landlord Do Not Email Indicator" attribute="1" defaultMemberUniqueName="[PMTProject_Contact_Landlord].[PMT Landlord Do Not Email Indicator].[All]" allUniqueName="[PMTProject_Contact_Landlord].[PMT Landlord Do Not Email Indicator].[All]" dimensionUniqueName="[PMTProject_Contact_Landlord]" displayFolder="" count="0" unbalanced="0"/>
    <cacheHierarchy uniqueName="[PMTProject_Contact_Landlord].[PMT Landlord Do Not Mail Indicator]" caption="PMT Landlord Do Not Mail Indicator" attribute="1" defaultMemberUniqueName="[PMTProject_Contact_Landlord].[PMT Landlord Do Not Mail Indicator].[All]" allUniqueName="[PMTProject_Contact_Landlord].[PMT Landlord Do Not Mail Indicator].[All]" dimensionUniqueName="[PMTProject_Contact_Landlord]" displayFolder="" count="0" unbalanced="0"/>
    <cacheHierarchy uniqueName="[PMTProject_Contact_Landlord].[PMT Landlord Email Address]" caption="PMT Landlord Email Address" attribute="1" defaultMemberUniqueName="[PMTProject_Contact_Landlord].[PMT Landlord Email Address].[All]" allUniqueName="[PMTProject_Contact_Landlord].[PMT Landlord Email Address].[All]" dimensionUniqueName="[PMTProject_Contact_Landlord]" displayFolder="" count="0" unbalanced="0"/>
    <cacheHierarchy uniqueName="[PMTProject_Contact_Landlord].[PMT Landlord Email OptOut Code]" caption="PMT Landlord Email OptOut Code" attribute="1" defaultMemberUniqueName="[PMTProject_Contact_Landlord].[PMT Landlord Email OptOut Code].[All]" allUniqueName="[PMTProject_Contact_Landlord].[PMT Landlord Email OptOut Code].[All]" dimensionUniqueName="[PMTProject_Contact_Landlord]" displayFolder="" count="0" unbalanced="0"/>
    <cacheHierarchy uniqueName="[PMTProject_Contact_Landlord].[PMT Landlord Email OptOut Description]" caption="PMT Landlord Email OptOut Description" attribute="1" defaultMemberUniqueName="[PMTProject_Contact_Landlord].[PMT Landlord Email OptOut Description].[All]" allUniqueName="[PMTProject_Contact_Landlord].[PMT Landlord Email OptOut Description].[All]" dimensionUniqueName="[PMTProject_Contact_Landlord]" displayFolder="" count="0" unbalanced="0"/>
    <cacheHierarchy uniqueName="[PMTProject_Contact_Landlord].[PMT Landlord FAX Number]" caption="PMT Landlord FAX Number" attribute="1" defaultMemberUniqueName="[PMTProject_Contact_Landlord].[PMT Landlord FAX Number].[All]" allUniqueName="[PMTProject_Contact_Landlord].[PMT Landlord FAX Number].[All]" dimensionUniqueName="[PMTProject_Contact_Landlord]" displayFolder="" count="0" unbalanced="0"/>
    <cacheHierarchy uniqueName="[PMTProject_Contact_Landlord].[PMT Landlord Home Phone Number]" caption="PMT Landlord Home Phone Number" attribute="1" defaultMemberUniqueName="[PMTProject_Contact_Landlord].[PMT Landlord Home Phone Number].[All]" allUniqueName="[PMTProject_Contact_Landlord].[PMT Landlord Home Phone Number].[All]" dimensionUniqueName="[PMTProject_Contact_Landlord]" displayFolder="" count="0" unbalanced="0"/>
    <cacheHierarchy uniqueName="[PMTProject_Contact_Landlord].[PMT Landlord Invalid Email Code]" caption="PMT Landlord Invalid Email Code" attribute="1" defaultMemberUniqueName="[PMTProject_Contact_Landlord].[PMT Landlord Invalid Email Code].[All]" allUniqueName="[PMTProject_Contact_Landlord].[PMT Landlord Invalid Email Code].[All]" dimensionUniqueName="[PMTProject_Contact_Landlord]" displayFolder="" count="0" unbalanced="0"/>
    <cacheHierarchy uniqueName="[PMTProject_Contact_Landlord].[PMT Landlord Other Phone Number]" caption="PMT Landlord Other Phone Number" attribute="1" defaultMemberUniqueName="[PMTProject_Contact_Landlord].[PMT Landlord Other Phone Number].[All]" allUniqueName="[PMTProject_Contact_Landlord].[PMT Landlord Other Phone Number].[All]" dimensionUniqueName="[PMTProject_Contact_Landlord]" displayFolder="" count="0" unbalanced="0"/>
    <cacheHierarchy uniqueName="[PMTProject_Contact_Landlord].[PMT Landlord Person Or Business Code]" caption="PMT Landlord Person Or Business Code" attribute="1" defaultMemberUniqueName="[PMTProject_Contact_Landlord].[PMT Landlord Person Or Business Code].[All]" allUniqueName="[PMTProject_Contact_Landlord].[PMT Landlord Person Or Business Code].[All]" dimensionUniqueName="[PMTProject_Contact_Landlord]" displayFolder="" count="0" unbalanced="0"/>
    <cacheHierarchy uniqueName="[PMTProject_Contact_Landlord].[PMT Landlord Person Or Business First Name]" caption="PMT Landlord Person Or Business First Name" attribute="1" defaultMemberUniqueName="[PMTProject_Contact_Landlord].[PMT Landlord Person Or Business First Name].[All]" allUniqueName="[PMTProject_Contact_Landlord].[PMT Landlord Person Or Business First Name].[All]" dimensionUniqueName="[PMTProject_Contact_Landlord]" displayFolder="" count="0" unbalanced="0"/>
    <cacheHierarchy uniqueName="[PMTProject_Contact_Landlord].[PMT Landlord Person Or Business Last Name]" caption="PMT Landlord Person Or Business Last Name" attribute="1" defaultMemberUniqueName="[PMTProject_Contact_Landlord].[PMT Landlord Person Or Business Last Name].[All]" allUniqueName="[PMTProject_Contact_Landlord].[PMT Landlord Person Or Business Last Name].[All]" dimensionUniqueName="[PMTProject_Contact_Landlord]" displayFolder="" count="0" unbalanced="0"/>
    <cacheHierarchy uniqueName="[PMTProject_Contact_Landlord].[PMT Landlord PersonID]" caption="PMT Landlord PersonID" attribute="1" defaultMemberUniqueName="[PMTProject_Contact_Landlord].[PMT Landlord PersonID].[All]" allUniqueName="[PMTProject_Contact_Landlord].[PMT Landlord PersonID].[All]" dimensionUniqueName="[PMTProject_Contact_Landlord]" displayFolder="" count="0" unbalanced="0"/>
    <cacheHierarchy uniqueName="[PMTProject_Contact_Landlord].[PMT Landlord Position Code]" caption="PMT Landlord Position Code" attribute="1" defaultMemberUniqueName="[PMTProject_Contact_Landlord].[PMT Landlord Position Code].[All]" allUniqueName="[PMTProject_Contact_Landlord].[PMT Landlord Position Code].[All]" dimensionUniqueName="[PMTProject_Contact_Landlord]" displayFolder="" count="0" unbalanced="0"/>
    <cacheHierarchy uniqueName="[PMTProject_Contact_Landlord].[PMT Landlord Position Description]" caption="PMT Landlord Position Description" attribute="1" defaultMemberUniqueName="[PMTProject_Contact_Landlord].[PMT Landlord Position Description].[All]" allUniqueName="[PMTProject_Contact_Landlord].[PMT Landlord Position Description].[All]" dimensionUniqueName="[PMTProject_Contact_Landlord]" displayFolder="" count="0" unbalanced="0"/>
    <cacheHierarchy uniqueName="[PMTProject_Contact_Landlord].[PMT Landlord Postal Code]" caption="PMT Landlord Postal Code" attribute="1" defaultMemberUniqueName="[PMTProject_Contact_Landlord].[PMT Landlord Postal Code].[All]" allUniqueName="[PMTProject_Contact_Landlord].[PMT Landlord Postal Code].[All]" dimensionUniqueName="[PMTProject_Contact_Landlord]" displayFolder="" count="0" unbalanced="0"/>
    <cacheHierarchy uniqueName="[PMTProject_Contact_Landlord].[PMT Landlord Priority Code]" caption="PMT Landlord Priority Code" attribute="1" defaultMemberUniqueName="[PMTProject_Contact_Landlord].[PMT Landlord Priority Code].[All]" allUniqueName="[PMTProject_Contact_Landlord].[PMT Landlord Priority Code].[All]" dimensionUniqueName="[PMTProject_Contact_Landlord]" displayFolder="" count="0" unbalanced="0"/>
    <cacheHierarchy uniqueName="[PMTProject_Contact_Landlord].[PMT Landlord Priority Description]" caption="PMT Landlord Priority Description" attribute="1" defaultMemberUniqueName="[PMTProject_Contact_Landlord].[PMT Landlord Priority Description].[All]" allUniqueName="[PMTProject_Contact_Landlord].[PMT Landlord Priority Description].[All]" dimensionUniqueName="[PMTProject_Contact_Landlord]" displayFolder="" count="0" unbalanced="0"/>
    <cacheHierarchy uniqueName="[PMTProject_Contact_Landlord].[PMT Landlord Referred By]" caption="PMT Landlord Referred By" attribute="1" defaultMemberUniqueName="[PMTProject_Contact_Landlord].[PMT Landlord Referred By].[All]" allUniqueName="[PMTProject_Contact_Landlord].[PMT Landlord Referred By].[All]" dimensionUniqueName="[PMTProject_Contact_Landlord]" displayFolder="" count="0" unbalanced="0"/>
    <cacheHierarchy uniqueName="[PMTProject_Contact_Landlord].[PMT Landlord Salesforce MOC ContactID]" caption="PMT Landlord Salesforce MOC ContactID" attribute="1" defaultMemberUniqueName="[PMTProject_Contact_Landlord].[PMT Landlord Salesforce MOC ContactID].[All]" allUniqueName="[PMTProject_Contact_Landlord].[PMT Landlord Salesforce MOC ContactID].[All]" dimensionUniqueName="[PMTProject_Contact_Landlord]" displayFolder="" count="0" unbalanced="0"/>
    <cacheHierarchy uniqueName="[PMTProject_Contact_Landlord].[PMT Landlord Source System]" caption="PMT Landlord Source System" attribute="1" defaultMemberUniqueName="[PMTProject_Contact_Landlord].[PMT Landlord Source System].[All]" allUniqueName="[PMTProject_Contact_Landlord].[PMT Landlord Source System].[All]" dimensionUniqueName="[PMTProject_Contact_Landlord]" displayFolder="" count="0" unbalanced="0"/>
    <cacheHierarchy uniqueName="[PMTProject_Contact_Landlord].[PMT Landlord State Code]" caption="PMT Landlord State Code" attribute="1" defaultMemberUniqueName="[PMTProject_Contact_Landlord].[PMT Landlord State Code].[All]" allUniqueName="[PMTProject_Contact_Landlord].[PMT Landlord State Code].[All]" dimensionUniqueName="[PMTProject_Contact_Landlord]" displayFolder="" count="0" unbalanced="0"/>
    <cacheHierarchy uniqueName="[PMTProject_Contact_Landlord].[PMT Landlord Title]" caption="PMT Landlord Title" attribute="1" defaultMemberUniqueName="[PMTProject_Contact_Landlord].[PMT Landlord Title].[All]" allUniqueName="[PMTProject_Contact_Landlord].[PMT Landlord Title].[All]" dimensionUniqueName="[PMTProject_Contact_Landlord]" displayFolder="" count="0" unbalanced="0"/>
    <cacheHierarchy uniqueName="[PMTProject_Contact_Landlord].[PMT Landlord Type Code]" caption="PMT Landlord Type Code" attribute="1" defaultMemberUniqueName="[PMTProject_Contact_Landlord].[PMT Landlord Type Code].[All]" allUniqueName="[PMTProject_Contact_Landlord].[PMT Landlord Type Code].[All]" dimensionUniqueName="[PMTProject_Contact_Landlord]" displayFolder="" count="0" unbalanced="0"/>
    <cacheHierarchy uniqueName="[PMTProject_Contact_Landlord].[PMT Landlord Type Description]" caption="PMT Landlord Type Description" attribute="1" defaultMemberUniqueName="[PMTProject_Contact_Landlord].[PMT Landlord Type Description].[All]" allUniqueName="[PMTProject_Contact_Landlord].[PMT Landlord Type Description].[All]" dimensionUniqueName="[PMTProject_Contact_Landlord]" displayFolder="" count="0" unbalanced="0"/>
    <cacheHierarchy uniqueName="[PMTProject_Contact_Landlord].[PMT Landlord Unique Business Key]" caption="PMT Landlord Unique Business Key" attribute="1" defaultMemberUniqueName="[PMTProject_Contact_Landlord].[PMT Landlord Unique Business Key].[All]" allUniqueName="[PMTProject_Contact_Landlord].[PMT Landlord Unique Business Key].[All]" dimensionUniqueName="[PMTProject_Contact_Landlord]" displayFolder="" count="0" unbalanced="0"/>
    <cacheHierarchy uniqueName="[PMTProject_Contact_Landlord].[PMT Landlord Unique Contact Key]" caption="PMT Landlord Unique Contact Key" attribute="1" defaultMemberUniqueName="[PMTProject_Contact_Landlord].[PMT Landlord Unique Contact Key].[All]" allUniqueName="[PMTProject_Contact_Landlord].[PMT Landlord Unique Contact Key].[All]" dimensionUniqueName="[PMTProject_Contact_Landlord]" displayFolder="" count="0" unbalanced="0"/>
    <cacheHierarchy uniqueName="[PMTProject_Contact_Landlord].[PMT Landlord Work Phone Extension]" caption="PMT Landlord Work Phone Extension" attribute="1" defaultMemberUniqueName="[PMTProject_Contact_Landlord].[PMT Landlord Work Phone Extension].[All]" allUniqueName="[PMTProject_Contact_Landlord].[PMT Landlord Work Phone Extension].[All]" dimensionUniqueName="[PMTProject_Contact_Landlord]" displayFolder="" count="0" unbalanced="0"/>
    <cacheHierarchy uniqueName="[PMTProject_Contact_Landlord].[PMT Landlord Work Phone Number]" caption="PMT Landlord Work Phone Number" attribute="1" defaultMemberUniqueName="[PMTProject_Contact_Landlord].[PMT Landlord Work Phone Number].[All]" allUniqueName="[PMTProject_Contact_Landlord].[PMT Landlord Work Phone Number].[All]" dimensionUniqueName="[PMTProject_Contact_Landlord]" displayFolder="" count="0" unbalanced="0"/>
    <cacheHierarchy uniqueName="[PMTPurchaseDate].[DateKey]" caption="DateKey" attribute="1" defaultMemberUniqueName="[PMTPurchaseDate].[DateKey].[All]" allUniqueName="[PMTPurchaseDate].[DateKey].[All]" dimensionUniqueName="[PMTPurchaseDate]" displayFolder="" count="0" unbalanced="0"/>
    <cacheHierarchy uniqueName="[PMTPurchaseDate].[HierPMTPurchaseDatePY]" caption="HierPMTPurchaseDatePY" defaultMemberUniqueName="[PMTPurchaseDate].[HierPMTPurchaseDatePY].[All]" allUniqueName="[PMTPurchaseDate].[HierPMTPurchaseDatePY].[All]" dimensionUniqueName="[PMTPurchaseDate]" displayFolder="" count="4" unbalanced="0"/>
    <cacheHierarchy uniqueName="[PMTPurchaseDate].[HierPMTPurchaseDateYear]" caption="HierPMTPurchaseDateYear" defaultMemberUniqueName="[PMTPurchaseDate].[HierPMTPurchaseDateYear].[All]" allUniqueName="[PMTPurchaseDate].[HierPMTPurchaseDateYear].[All]" dimensionUniqueName="[PMTPurchaseDate]" displayFolder="" count="4" unbalanced="0"/>
    <cacheHierarchy uniqueName="[PMTPurchaseDate].[PMT Purchase Date]" caption="PMT Purchase Date" attribute="1" defaultMemberUniqueName="[PMTPurchaseDate].[PMT Purchase Date].[All]" allUniqueName="[PMTPurchaseDate].[PMT Purchase Date].[All]" dimensionUniqueName="[PMTPurchaseDate]" displayFolder="" count="0" unbalanced="0"/>
    <cacheHierarchy uniqueName="[PMTPurchaseDate].[PMT Purchase DayOfMonth]" caption="PMT Purchase DayOfMonth" attribute="1" defaultMemberUniqueName="[PMTPurchaseDate].[PMT Purchase DayOfMonth].[All]" allUniqueName="[PMTPurchaseDate].[PMT Purchase DayOfMonth].[All]" dimensionUniqueName="[PMTPurchaseDate]" displayFolder="" count="0" unbalanced="0"/>
    <cacheHierarchy uniqueName="[PMTPurchaseDate].[PMT Purchase DayOfWeek]" caption="PMT Purchase DayOfWeek" attribute="1" defaultMemberUniqueName="[PMTPurchaseDate].[PMT Purchase DayOfWeek].[All]" allUniqueName="[PMTPurchaseDate].[PMT Purchase DayOfWeek].[All]" dimensionUniqueName="[PMTPurchaseDate]" displayFolder="" count="0" unbalanced="0"/>
    <cacheHierarchy uniqueName="[PMTPurchaseDate].[PMT Purchase DayOfWeekName]" caption="PMT Purchase DayOfWeekName" attribute="1" defaultMemberUniqueName="[PMTPurchaseDate].[PMT Purchase DayOfWeekName].[All]" allUniqueName="[PMTPurchaseDate].[PMT Purchase DayOfWeekName].[All]" dimensionUniqueName="[PMTPurchaseDate]" displayFolder="" count="0" unbalanced="0"/>
    <cacheHierarchy uniqueName="[PMTPurchaseDate].[PMT Purchase DayOfYear]" caption="PMT Purchase DayOfYear" attribute="1" defaultMemberUniqueName="[PMTPurchaseDate].[PMT Purchase DayOfYear].[All]" allUniqueName="[PMTPurchaseDate].[PMT Purchase DayOfYear].[All]" dimensionUniqueName="[PMTPurchaseDate]" displayFolder="" count="0" unbalanced="0"/>
    <cacheHierarchy uniqueName="[PMTPurchaseDate].[PMT Purchase HolidayInd]" caption="PMT Purchase HolidayInd" attribute="1" defaultMemberUniqueName="[PMTPurchaseDate].[PMT Purchase HolidayInd].[All]" allUniqueName="[PMTPurchaseDate].[PMT Purchase HolidayInd].[All]" dimensionUniqueName="[PMTPurchaseDate]" displayFolder="" count="0" unbalanced="0"/>
    <cacheHierarchy uniqueName="[PMTPurchaseDate].[PMT Purchase HolidayName]" caption="PMT Purchase HolidayName" attribute="1" defaultMemberUniqueName="[PMTPurchaseDate].[PMT Purchase HolidayName].[All]" allUniqueName="[PMTPurchaseDate].[PMT Purchase HolidayName].[All]" dimensionUniqueName="[PMTPurchaseDate]" displayFolder="" count="0" unbalanced="0"/>
    <cacheHierarchy uniqueName="[PMTPurchaseDate].[PMT Purchase LastDateOfMonth]" caption="PMT Purchase LastDateOfMonth" attribute="1" defaultMemberUniqueName="[PMTPurchaseDate].[PMT Purchase LastDateOfMonth].[All]" allUniqueName="[PMTPurchaseDate].[PMT Purchase LastDateOfMonth].[All]" dimensionUniqueName="[PMTPurchaseDate]" displayFolder="" count="0" unbalanced="0"/>
    <cacheHierarchy uniqueName="[PMTPurchaseDate].[PMT Purchase LastDayOfMonthIndicator]" caption="PMT Purchase LastDayOfMonthIndicator" attribute="1" defaultMemberUniqueName="[PMTPurchaseDate].[PMT Purchase LastDayOfMonthIndicator].[All]" allUniqueName="[PMTPurchaseDate].[PMT Purchase LastDayOfMonthIndicator].[All]" dimensionUniqueName="[PMTPurchaseDate]" displayFolder="" count="0" unbalanced="0"/>
    <cacheHierarchy uniqueName="[PMTPurchaseDate].[PMT Purchase Month]" caption="PMT Purchase Month" attribute="1" defaultMemberUniqueName="[PMTPurchaseDate].[PMT Purchase Month].[All]" allUniqueName="[PMTPurchaseDate].[PMT Purchase Month].[All]" dimensionUniqueName="[PMTPurchaseDate]" displayFolder="" count="0" unbalanced="0"/>
    <cacheHierarchy uniqueName="[PMTPurchaseDate].[PMT Purchase MonthNbr]" caption="PMT Purchase MonthNbr" attribute="1" defaultMemberUniqueName="[PMTPurchaseDate].[PMT Purchase MonthNbr].[All]" allUniqueName="[PMTPurchaseDate].[PMT Purchase MonthNbr].[All]" dimensionUniqueName="[PMTPurchaseDate]" displayFolder="" count="0" unbalanced="0"/>
    <cacheHierarchy uniqueName="[PMTPurchaseDate].[PMT Purchase Plan Month and Year]" caption="PMT Purchase Plan Month and Year" attribute="1" defaultMemberUniqueName="[PMTPurchaseDate].[PMT Purchase Plan Month and Year].[All]" allUniqueName="[PMTPurchaseDate].[PMT Purchase Plan Month and Year].[All]" dimensionUniqueName="[PMTPurchaseDate]" displayFolder="" count="0" unbalanced="0"/>
    <cacheHierarchy uniqueName="[PMTPurchaseDate].[PMT Purchase Plan Month Number]" caption="PMT Purchase Plan Month Number" attribute="1" defaultMemberUniqueName="[PMTPurchaseDate].[PMT Purchase Plan Month Number].[All]" allUniqueName="[PMTPurchaseDate].[PMT Purchase Plan Month Number].[All]" dimensionUniqueName="[PMTPurchaseDate]" displayFolder="" count="0" unbalanced="0"/>
    <cacheHierarchy uniqueName="[PMTPurchaseDate].[PMT Purchase Plan Quarter Number]" caption="PMT Purchase Plan Quarter Number" attribute="1" defaultMemberUniqueName="[PMTPurchaseDate].[PMT Purchase Plan Quarter Number].[All]" allUniqueName="[PMTPurchaseDate].[PMT Purchase Plan Quarter Number].[All]" dimensionUniqueName="[PMTPurchaseDate]" displayFolder="" count="0" unbalanced="0"/>
    <cacheHierarchy uniqueName="[PMTPurchaseDate].[PMT Purchase PY]" caption="PMT Purchase PY" attribute="1" defaultMemberUniqueName="[PMTPurchaseDate].[PMT Purchase PY].[All]" allUniqueName="[PMTPurchaseDate].[PMT Purchase PY].[All]" dimensionUniqueName="[PMTPurchaseDate]" displayFolder="" count="0" unbalanced="0"/>
    <cacheHierarchy uniqueName="[PMTPurchaseDate].[PMT Purchase Qtr]" caption="PMT Purchase Qtr" attribute="1" defaultMemberUniqueName="[PMTPurchaseDate].[PMT Purchase Qtr].[All]" allUniqueName="[PMTPurchaseDate].[PMT Purchase Qtr].[All]" dimensionUniqueName="[PMTPurchaseDate]" displayFolder="" count="0" unbalanced="0"/>
    <cacheHierarchy uniqueName="[PMTPurchaseDate].[PMT Purchase Semester]" caption="PMT Purchase Semester" attribute="1" defaultMemberUniqueName="[PMTPurchaseDate].[PMT Purchase Semester].[All]" allUniqueName="[PMTPurchaseDate].[PMT Purchase Semester].[All]" dimensionUniqueName="[PMTPurchaseDate]" displayFolder="" count="0" unbalanced="0"/>
    <cacheHierarchy uniqueName="[PMTPurchaseDate].[PMT Purchase WeekdayWeekend]" caption="PMT Purchase WeekdayWeekend" attribute="1" defaultMemberUniqueName="[PMTPurchaseDate].[PMT Purchase WeekdayWeekend].[All]" allUniqueName="[PMTPurchaseDate].[PMT Purchase WeekdayWeekend].[All]" dimensionUniqueName="[PMTPurchaseDate]" displayFolder="" count="0" unbalanced="0"/>
    <cacheHierarchy uniqueName="[PMTPurchaseDate].[PMT Purchase WeekOfMonth]" caption="PMT Purchase WeekOfMonth" attribute="1" defaultMemberUniqueName="[PMTPurchaseDate].[PMT Purchase WeekOfMonth].[All]" allUniqueName="[PMTPurchaseDate].[PMT Purchase WeekOfMonth].[All]" dimensionUniqueName="[PMTPurchaseDate]" displayFolder="" count="0" unbalanced="0"/>
    <cacheHierarchy uniqueName="[PMTPurchaseDate].[PMT Purchase WeekOfYear]" caption="PMT Purchase WeekOfYear" attribute="1" defaultMemberUniqueName="[PMTPurchaseDate].[PMT Purchase WeekOfYear].[All]" allUniqueName="[PMTPurchaseDate].[PMT Purchase WeekOfYear].[All]" dimensionUniqueName="[PMTPurchaseDate]" displayFolder="" count="0" unbalanced="0"/>
    <cacheHierarchy uniqueName="[PMTPurchaseDate].[PMT Purchase WorkingDayInd]" caption="PMT Purchase WorkingDayInd" attribute="1" defaultMemberUniqueName="[PMTPurchaseDate].[PMT Purchase WorkingDayInd].[All]" allUniqueName="[PMTPurchaseDate].[PMT Purchase WorkingDayInd].[All]" dimensionUniqueName="[PMTPurchaseDate]" displayFolder="" count="0" unbalanced="0"/>
    <cacheHierarchy uniqueName="[PMTPurchaseDate].[PMT Purchase Year]" caption="PMT Purchase Year" attribute="1" defaultMemberUniqueName="[PMTPurchaseDate].[PMT Purchase Year].[All]" allUniqueName="[PMTPurchaseDate].[PMT Purchase Year].[All]" dimensionUniqueName="[PMTPurchaseDate]" displayFolder="" count="0" unbalanced="0"/>
    <cacheHierarchy uniqueName="[PMTPurchaseDate].[PMT Purchase YearMonthAsInteger]" caption="PMT Purchase YearMonthAsInteger" attribute="1" defaultMemberUniqueName="[PMTPurchaseDate].[PMT Purchase YearMonthAsInteger].[All]" allUniqueName="[PMTPurchaseDate].[PMT Purchase YearMonthAsInteger].[All]" dimensionUniqueName="[PMTPurchaseDate]" displayFolder="" count="0" unbalanced="0"/>
    <cacheHierarchy uniqueName="[PMTPurchaseDate].[PMT Purchase YearQuarterAsInteger]" caption="PMT Purchase YearQuarterAsInteger" attribute="1" defaultMemberUniqueName="[PMTPurchaseDate].[PMT Purchase YearQuarterAsInteger].[All]" allUniqueName="[PMTPurchaseDate].[PMT Purchase YearQuarterAsInteger].[All]" dimensionUniqueName="[PMTPurchaseDate]" displayFolder="" count="0" unbalanced="0"/>
    <cacheHierarchy uniqueName="[PMTPurchaseDate].[PMT Purchase YearSemesterAsInteger]" caption="PMT Purchase YearSemesterAsInteger" attribute="1" defaultMemberUniqueName="[PMTPurchaseDate].[PMT Purchase YearSemesterAsInteger].[All]" allUniqueName="[PMTPurchaseDate].[PMT Purchase YearSemesterAsInteger].[All]" dimensionUniqueName="[PMTPurchaseDate]" displayFolder="" count="0" unbalanced="0"/>
    <cacheHierarchy uniqueName="[PMTRptRefDate].[HierPMTRptRefDatePY]" caption="HierPMTRptRefDatePY" defaultMemberUniqueName="[PMTRptRefDate].[HierPMTRptRefDatePY].[All]" allUniqueName="[PMTRptRefDate].[HierPMTRptRefDatePY].[All]" dimensionUniqueName="[PMTRptRefDate]" displayFolder="" count="4" unbalanced="0"/>
    <cacheHierarchy uniqueName="[PMTRptRefDate].[HierPMTRptRefDateYear]" caption="HierPMTRptRefDateYear" defaultMemberUniqueName="[PMTRptRefDate].[HierPMTRptRefDateYear].[All]" allUniqueName="[PMTRptRefDate].[HierPMTRptRefDateYear].[All]" dimensionUniqueName="[PMTRptRefDate]" displayFolder="" count="4" unbalanced="0"/>
    <cacheHierarchy uniqueName="[PMTRptRefDate].[PMT RptRef Date]" caption="PMT RptRef Date" attribute="1" defaultMemberUniqueName="[PMTRptRefDate].[PMT RptRef Date].[All]" allUniqueName="[PMTRptRefDate].[PMT RptRef Date].[All]" dimensionUniqueName="[PMTRptRefDate]" displayFolder="" count="0" unbalanced="0"/>
    <cacheHierarchy uniqueName="[PMTRptRefDate].[PMT RptRef DayOfMonth]" caption="PMT RptRef DayOfMonth" attribute="1" defaultMemberUniqueName="[PMTRptRefDate].[PMT RptRef DayOfMonth].[All]" allUniqueName="[PMTRptRefDate].[PMT RptRef DayOfMonth].[All]" dimensionUniqueName="[PMTRptRefDate]" displayFolder="" count="0" unbalanced="0"/>
    <cacheHierarchy uniqueName="[PMTRptRefDate].[PMT RptRef DayOfWeek]" caption="PMT RptRef DayOfWeek" attribute="1" defaultMemberUniqueName="[PMTRptRefDate].[PMT RptRef DayOfWeek].[All]" allUniqueName="[PMTRptRefDate].[PMT RptRef DayOfWeek].[All]" dimensionUniqueName="[PMTRptRefDate]" displayFolder="" count="0" unbalanced="0"/>
    <cacheHierarchy uniqueName="[PMTRptRefDate].[PMT RptRef DayOfWeekName]" caption="PMT RptRef DayOfWeekName" attribute="1" defaultMemberUniqueName="[PMTRptRefDate].[PMT RptRef DayOfWeekName].[All]" allUniqueName="[PMTRptRefDate].[PMT RptRef DayOfWeekName].[All]" dimensionUniqueName="[PMTRptRefDate]" displayFolder="" count="0" unbalanced="0"/>
    <cacheHierarchy uniqueName="[PMTRptRefDate].[PMT RptRef DayOfYear]" caption="PMT RptRef DayOfYear" attribute="1" defaultMemberUniqueName="[PMTRptRefDate].[PMT RptRef DayOfYear].[All]" allUniqueName="[PMTRptRefDate].[PMT RptRef DayOfYear].[All]" dimensionUniqueName="[PMTRptRefDate]" displayFolder="" count="0" unbalanced="0"/>
    <cacheHierarchy uniqueName="[PMTRptRefDate].[PMT RptRef HolidayInd]" caption="PMT RptRef HolidayInd" attribute="1" defaultMemberUniqueName="[PMTRptRefDate].[PMT RptRef HolidayInd].[All]" allUniqueName="[PMTRptRefDate].[PMT RptRef HolidayInd].[All]" dimensionUniqueName="[PMTRptRefDate]" displayFolder="" count="0" unbalanced="0"/>
    <cacheHierarchy uniqueName="[PMTRptRefDate].[PMT RptRef HolidayName]" caption="PMT RptRef HolidayName" attribute="1" defaultMemberUniqueName="[PMTRptRefDate].[PMT RptRef HolidayName].[All]" allUniqueName="[PMTRptRefDate].[PMT RptRef HolidayName].[All]" dimensionUniqueName="[PMTRptRefDate]" displayFolder="" count="0" unbalanced="0"/>
    <cacheHierarchy uniqueName="[PMTRptRefDate].[PMT RptRef LastDateOfMonth]" caption="PMT RptRef LastDateOfMonth" attribute="1" defaultMemberUniqueName="[PMTRptRefDate].[PMT RptRef LastDateOfMonth].[All]" allUniqueName="[PMTRptRefDate].[PMT RptRef LastDateOfMonth].[All]" dimensionUniqueName="[PMTRptRefDate]" displayFolder="" count="0" unbalanced="0"/>
    <cacheHierarchy uniqueName="[PMTRptRefDate].[PMT RptRef LastDayOfMonthIndicator]" caption="PMT RptRef LastDayOfMonthIndicator" attribute="1" defaultMemberUniqueName="[PMTRptRefDate].[PMT RptRef LastDayOfMonthIndicator].[All]" allUniqueName="[PMTRptRefDate].[PMT RptRef LastDayOfMonthIndicator].[All]" dimensionUniqueName="[PMTRptRefDate]" displayFolder="" count="0" unbalanced="0"/>
    <cacheHierarchy uniqueName="[PMTRptRefDate].[PMT RptRef Month]" caption="PMT RptRef Month" attribute="1" defaultMemberUniqueName="[PMTRptRefDate].[PMT RptRef Month].[All]" allUniqueName="[PMTRptRefDate].[PMT RptRef Month].[All]" dimensionUniqueName="[PMTRptRefDate]" displayFolder="" count="0" unbalanced="0"/>
    <cacheHierarchy uniqueName="[PMTRptRefDate].[PMT RptRef MonthNbr]" caption="PMT RptRef MonthNbr" attribute="1" defaultMemberUniqueName="[PMTRptRefDate].[PMT RptRef MonthNbr].[All]" allUniqueName="[PMTRptRefDate].[PMT RptRef MonthNbr].[All]" dimensionUniqueName="[PMTRptRefDate]" displayFolder="" count="0" unbalanced="0"/>
    <cacheHierarchy uniqueName="[PMTRptRefDate].[PMT RptRef Plan Month and Year]" caption="PMT RptRef Plan Month and Year" attribute="1" defaultMemberUniqueName="[PMTRptRefDate].[PMT RptRef Plan Month and Year].[All]" allUniqueName="[PMTRptRefDate].[PMT RptRef Plan Month and Year].[All]" dimensionUniqueName="[PMTRptRefDate]" displayFolder="" count="0" unbalanced="0"/>
    <cacheHierarchy uniqueName="[PMTRptRefDate].[PMT RptRef Plan Month Number]" caption="PMT RptRef Plan Month Number" attribute="1" defaultMemberUniqueName="[PMTRptRefDate].[PMT RptRef Plan Month Number].[All]" allUniqueName="[PMTRptRefDate].[PMT RptRef Plan Month Number].[All]" dimensionUniqueName="[PMTRptRefDate]" displayFolder="" count="0" unbalanced="0"/>
    <cacheHierarchy uniqueName="[PMTRptRefDate].[PMT RptRef Plan Quarter Number]" caption="PMT RptRef Plan Quarter Number" attribute="1" defaultMemberUniqueName="[PMTRptRefDate].[PMT RptRef Plan Quarter Number].[All]" allUniqueName="[PMTRptRefDate].[PMT RptRef Plan Quarter Number].[All]" dimensionUniqueName="[PMTRptRefDate]" displayFolder="" count="0" unbalanced="0"/>
    <cacheHierarchy uniqueName="[PMTRptRefDate].[PMT RptRef PY]" caption="PMT RptRef PY" attribute="1" defaultMemberUniqueName="[PMTRptRefDate].[PMT RptRef PY].[All]" allUniqueName="[PMTRptRefDate].[PMT RptRef PY].[All]" dimensionUniqueName="[PMTRptRefDate]" displayFolder="" count="0" unbalanced="0"/>
    <cacheHierarchy uniqueName="[PMTRptRefDate].[PMT RptRef Qtr]" caption="PMT RptRef Qtr" attribute="1" defaultMemberUniqueName="[PMTRptRefDate].[PMT RptRef Qtr].[All]" allUniqueName="[PMTRptRefDate].[PMT RptRef Qtr].[All]" dimensionUniqueName="[PMTRptRefDate]" displayFolder="" count="0" unbalanced="0"/>
    <cacheHierarchy uniqueName="[PMTRptRefDate].[PMT RptRef Semester]" caption="PMT RptRef Semester" attribute="1" defaultMemberUniqueName="[PMTRptRefDate].[PMT RptRef Semester].[All]" allUniqueName="[PMTRptRefDate].[PMT RptRef Semester].[All]" dimensionUniqueName="[PMTRptRefDate]" displayFolder="" count="0" unbalanced="0"/>
    <cacheHierarchy uniqueName="[PMTRptRefDate].[PMT RptRef WeekdayWeekend]" caption="PMT RptRef WeekdayWeekend" attribute="1" defaultMemberUniqueName="[PMTRptRefDate].[PMT RptRef WeekdayWeekend].[All]" allUniqueName="[PMTRptRefDate].[PMT RptRef WeekdayWeekend].[All]" dimensionUniqueName="[PMTRptRefDate]" displayFolder="" count="0" unbalanced="0"/>
    <cacheHierarchy uniqueName="[PMTRptRefDate].[PMT RptRef WeekOfMonth]" caption="PMT RptRef WeekOfMonth" attribute="1" defaultMemberUniqueName="[PMTRptRefDate].[PMT RptRef WeekOfMonth].[All]" allUniqueName="[PMTRptRefDate].[PMT RptRef WeekOfMonth].[All]" dimensionUniqueName="[PMTRptRefDate]" displayFolder="" count="0" unbalanced="0"/>
    <cacheHierarchy uniqueName="[PMTRptRefDate].[PMT RptRef WeekOfYear]" caption="PMT RptRef WeekOfYear" attribute="1" defaultMemberUniqueName="[PMTRptRefDate].[PMT RptRef WeekOfYear].[All]" allUniqueName="[PMTRptRefDate].[PMT RptRef WeekOfYear].[All]" dimensionUniqueName="[PMTRptRefDate]" displayFolder="" count="0" unbalanced="0"/>
    <cacheHierarchy uniqueName="[PMTRptRefDate].[PMT RptRef WorkingDayInd]" caption="PMT RptRef WorkingDayInd" attribute="1" defaultMemberUniqueName="[PMTRptRefDate].[PMT RptRef WorkingDayInd].[All]" allUniqueName="[PMTRptRefDate].[PMT RptRef WorkingDayInd].[All]" dimensionUniqueName="[PMTRptRefDate]" displayFolder="" count="0" unbalanced="0"/>
    <cacheHierarchy uniqueName="[PMTRptRefDate].[PMT RptRef Year]" caption="PMT RptRef Year" attribute="1" defaultMemberUniqueName="[PMTRptRefDate].[PMT RptRef Year].[All]" allUniqueName="[PMTRptRefDate].[PMT RptRef Year].[All]" dimensionUniqueName="[PMTRptRefDate]" displayFolder="" count="0" unbalanced="0"/>
    <cacheHierarchy uniqueName="[PMTRptRefDate].[PMT RptRef YearMonthAsInteger]" caption="PMT RptRef YearMonthAsInteger" attribute="1" defaultMemberUniqueName="[PMTRptRefDate].[PMT RptRef YearMonthAsInteger].[All]" allUniqueName="[PMTRptRefDate].[PMT RptRef YearMonthAsInteger].[All]" dimensionUniqueName="[PMTRptRefDate]" displayFolder="" count="0" unbalanced="0"/>
    <cacheHierarchy uniqueName="[PMTRptRefDate].[PMT RptRef YearQuarterAsInteger]" caption="PMT RptRef YearQuarterAsInteger" attribute="1" defaultMemberUniqueName="[PMTRptRefDate].[PMT RptRef YearQuarterAsInteger].[All]" allUniqueName="[PMTRptRefDate].[PMT RptRef YearQuarterAsInteger].[All]" dimensionUniqueName="[PMTRptRefDate]" displayFolder="" count="0" unbalanced="0"/>
    <cacheHierarchy uniqueName="[PMTRptRefDate].[PMT RptRef YearSemesterAsInteger]" caption="PMT RptRef YearSemesterAsInteger" attribute="1" defaultMemberUniqueName="[PMTRptRefDate].[PMT RptRef YearSemesterAsInteger].[All]" allUniqueName="[PMTRptRefDate].[PMT RptRef YearSemesterAsInteger].[All]" dimensionUniqueName="[PMTRptRefDate]" displayFolder="" count="0" unbalanced="0"/>
    <cacheHierarchy uniqueName="[PMTYearBuiltLevelFilter].[PMT Contruction Year Level]" caption="PMT Contruction Year Level" attribute="1" defaultMemberUniqueName="[PMTYearBuiltLevelFilter].[PMT Contruction Year Level].[All]" allUniqueName="[PMTYearBuiltLevelFilter].[PMT Contruction Year Level].[All]" dimensionUniqueName="[PMTYearBuiltLevelFilter]" displayFolder="" count="0" unbalanced="0"/>
    <cacheHierarchy uniqueName="[Project_LastRenovationDate].[HierLastMajorRenovationDatePY]" caption="HierLastMajorRenovationDatePY" defaultMemberUniqueName="[Project_LastRenovationDate].[HierLastMajorRenovationDatePY].[All]" allUniqueName="[Project_LastRenovationDate].[HierLastMajorRenovationDatePY].[All]" dimensionUniqueName="[Project_LastRenovationDate]" displayFolder="" count="4" unbalanced="0"/>
    <cacheHierarchy uniqueName="[Project_LastRenovationDate].[HierLastMajorRenovationDateYear]" caption="HierLastMajorRenovationDateYear" defaultMemberUniqueName="[Project_LastRenovationDate].[HierLastMajorRenovationDateYear].[All]" allUniqueName="[Project_LastRenovationDate].[HierLastMajorRenovationDateYear].[All]" dimensionUniqueName="[Project_LastRenovationDate]" displayFolder="" count="4" unbalanced="0"/>
    <cacheHierarchy uniqueName="[Project_LastRenovationDate].[LastRenovation  Day Of Year]" caption="LastRenovation  Day Of Year" attribute="1" defaultMemberUniqueName="[Project_LastRenovationDate].[LastRenovation  Day Of Year].[All]" allUniqueName="[Project_LastRenovationDate].[LastRenovation  Day Of Year].[All]" dimensionUniqueName="[Project_LastRenovationDate]" displayFolder="" count="0" unbalanced="0"/>
    <cacheHierarchy uniqueName="[Project_LastRenovationDate].[LastRenovation  Holiday Name]" caption="LastRenovation  Holiday Name" attribute="1" defaultMemberUniqueName="[Project_LastRenovationDate].[LastRenovation  Holiday Name].[All]" allUniqueName="[Project_LastRenovationDate].[LastRenovation  Holiday Name].[All]" dimensionUniqueName="[Project_LastRenovationDate]" displayFolder="" count="0" unbalanced="0"/>
    <cacheHierarchy uniqueName="[Project_LastRenovationDate].[LastRenovation  Month]" caption="LastRenovation  Month" attribute="1" defaultMemberUniqueName="[Project_LastRenovationDate].[LastRenovation  Month].[All]" allUniqueName="[Project_LastRenovationDate].[LastRenovation  Month].[All]" dimensionUniqueName="[Project_LastRenovationDate]" displayFolder="" count="0" unbalanced="0"/>
    <cacheHierarchy uniqueName="[Project_LastRenovationDate].[LastRenovation  Month Nbr]" caption="LastRenovation  Month Nbr" attribute="1" defaultMemberUniqueName="[Project_LastRenovationDate].[LastRenovation  Month Nbr].[All]" allUniqueName="[Project_LastRenovationDate].[LastRenovation  Month Nbr].[All]" dimensionUniqueName="[Project_LastRenovationDate]" displayFolder="" count="0" unbalanced="0"/>
    <cacheHierarchy uniqueName="[Project_LastRenovationDate].[LastRenovation  PY]" caption="LastRenovation  PY" attribute="1" defaultMemberUniqueName="[Project_LastRenovationDate].[LastRenovation  PY].[All]" allUniqueName="[Project_LastRenovationDate].[LastRenovation  PY].[All]" dimensionUniqueName="[Project_LastRenovationDate]" displayFolder="" count="0" unbalanced="0"/>
    <cacheHierarchy uniqueName="[Project_LastRenovationDate].[LastRenovation  Qtr]" caption="LastRenovation  Qtr" attribute="1" defaultMemberUniqueName="[Project_LastRenovationDate].[LastRenovation  Qtr].[All]" allUniqueName="[Project_LastRenovationDate].[LastRenovation  Qtr].[All]" dimensionUniqueName="[Project_LastRenovationDate]" displayFolder="" count="0" unbalanced="0"/>
    <cacheHierarchy uniqueName="[Project_LastRenovationDate].[LastRenovation  Semester]" caption="LastRenovation  Semester" attribute="1" defaultMemberUniqueName="[Project_LastRenovationDate].[LastRenovation  Semester].[All]" allUniqueName="[Project_LastRenovationDate].[LastRenovation  Semester].[All]" dimensionUniqueName="[Project_LastRenovationDate]" displayFolder="" count="0" unbalanced="0"/>
    <cacheHierarchy uniqueName="[Project_LastRenovationDate].[LastRenovation  Weekday Weekend]" caption="LastRenovation  Weekday Weekend" attribute="1" defaultMemberUniqueName="[Project_LastRenovationDate].[LastRenovation  Weekday Weekend].[All]" allUniqueName="[Project_LastRenovationDate].[LastRenovation  Weekday Weekend].[All]" dimensionUniqueName="[Project_LastRenovationDate]" displayFolder="" count="0" unbalanced="0"/>
    <cacheHierarchy uniqueName="[Project_LastRenovationDate].[LastRenovation  Working Day Ind]" caption="LastRenovation  Working Day Ind" attribute="1" defaultMemberUniqueName="[Project_LastRenovationDate].[LastRenovation  Working Day Ind].[All]" allUniqueName="[Project_LastRenovationDate].[LastRenovation  Working Day Ind].[All]" dimensionUniqueName="[Project_LastRenovationDate]" displayFolder="" count="0" unbalanced="0"/>
    <cacheHierarchy uniqueName="[Project_LastRenovationDate].[LastRenovation Date]" caption="LastRenovation Date" attribute="1" defaultMemberUniqueName="[Project_LastRenovationDate].[LastRenovation Date].[All]" allUniqueName="[Project_LastRenovationDate].[LastRenovation Date].[All]" dimensionUniqueName="[Project_LastRenovationDate]" displayFolder="" count="0" unbalanced="0"/>
    <cacheHierarchy uniqueName="[Project_LastRenovationDate].[LastRenovation Day Of Month]" caption="LastRenovation Day Of Month" attribute="1" defaultMemberUniqueName="[Project_LastRenovationDate].[LastRenovation Day Of Month].[All]" allUniqueName="[Project_LastRenovationDate].[LastRenovation Day Of Month].[All]" dimensionUniqueName="[Project_LastRenovationDate]" displayFolder="" count="0" unbalanced="0"/>
    <cacheHierarchy uniqueName="[Project_LastRenovationDate].[LastRenovation Day Of Week]" caption="LastRenovation Day Of Week" attribute="1" defaultMemberUniqueName="[Project_LastRenovationDate].[LastRenovation Day Of Week].[All]" allUniqueName="[Project_LastRenovationDate].[LastRenovation Day Of Week].[All]" dimensionUniqueName="[Project_LastRenovationDate]" displayFolder="" count="0" unbalanced="0"/>
    <cacheHierarchy uniqueName="[Project_LastRenovationDate].[LastRenovation Day Of Week Name]" caption="LastRenovation Day Of Week Name" attribute="1" defaultMemberUniqueName="[Project_LastRenovationDate].[LastRenovation Day Of Week Name].[All]" allUniqueName="[Project_LastRenovationDate].[LastRenovation Day Of Week Name].[All]" dimensionUniqueName="[Project_LastRenovationDate]" displayFolder="" count="0" unbalanced="0"/>
    <cacheHierarchy uniqueName="[Project_LastRenovationDate].[LastRenovation Holiday Ind]" caption="LastRenovation Holiday Ind" attribute="1" defaultMemberUniqueName="[Project_LastRenovationDate].[LastRenovation Holiday Ind].[All]" allUniqueName="[Project_LastRenovationDate].[LastRenovation Holiday Ind].[All]" dimensionUniqueName="[Project_LastRenovationDate]" displayFolder="" count="0" unbalanced="0"/>
    <cacheHierarchy uniqueName="[Project_LastRenovationDate].[LastRenovation Last Date Of Month]" caption="LastRenovation Last Date Of Month" attribute="1" defaultMemberUniqueName="[Project_LastRenovationDate].[LastRenovation Last Date Of Month].[All]" allUniqueName="[Project_LastRenovationDate].[LastRenovation Last Date Of Month].[All]" dimensionUniqueName="[Project_LastRenovationDate]" displayFolder="" count="0" unbalanced="0"/>
    <cacheHierarchy uniqueName="[Project_LastRenovationDate].[LastRenovation Last Day Of Month Indicator]" caption="LastRenovation Last Day Of Month Indicator" attribute="1" defaultMemberUniqueName="[Project_LastRenovationDate].[LastRenovation Last Day Of Month Indicator].[All]" allUniqueName="[Project_LastRenovationDate].[LastRenovation Last Day Of Month Indicator].[All]" dimensionUniqueName="[Project_LastRenovationDate]" displayFolder="" count="0" unbalanced="0"/>
    <cacheHierarchy uniqueName="[Project_LastRenovationDate].[LastRenovation Plan Month and Year]" caption="LastRenovation Plan Month and Year" attribute="1" defaultMemberUniqueName="[Project_LastRenovationDate].[LastRenovation Plan Month and Year].[All]" allUniqueName="[Project_LastRenovationDate].[LastRenovation Plan Month and Year].[All]" dimensionUniqueName="[Project_LastRenovationDate]" displayFolder="" count="0" unbalanced="0"/>
    <cacheHierarchy uniqueName="[Project_LastRenovationDate].[LastRenovation Plan Month Number]" caption="LastRenovation Plan Month Number" attribute="1" defaultMemberUniqueName="[Project_LastRenovationDate].[LastRenovation Plan Month Number].[All]" allUniqueName="[Project_LastRenovationDate].[LastRenovation Plan Month Number].[All]" dimensionUniqueName="[Project_LastRenovationDate]" displayFolder="" count="0" unbalanced="0"/>
    <cacheHierarchy uniqueName="[Project_LastRenovationDate].[LastRenovation Plan Quarter Number]" caption="LastRenovation Plan Quarter Number" attribute="1" defaultMemberUniqueName="[Project_LastRenovationDate].[LastRenovation Plan Quarter Number].[All]" allUniqueName="[Project_LastRenovationDate].[LastRenovation Plan Quarter Number].[All]" dimensionUniqueName="[Project_LastRenovationDate]" displayFolder="" count="0" unbalanced="0"/>
    <cacheHierarchy uniqueName="[Project_LastRenovationDate].[LastRenovation Week Of Month]" caption="LastRenovation Week Of Month" attribute="1" defaultMemberUniqueName="[Project_LastRenovationDate].[LastRenovation Week Of Month].[All]" allUniqueName="[Project_LastRenovationDate].[LastRenovation Week Of Month].[All]" dimensionUniqueName="[Project_LastRenovationDate]" displayFolder="" count="0" unbalanced="0"/>
    <cacheHierarchy uniqueName="[Project_LastRenovationDate].[LastRenovation Week Of Year]" caption="LastRenovation Week Of Year" attribute="1" defaultMemberUniqueName="[Project_LastRenovationDate].[LastRenovation Week Of Year].[All]" allUniqueName="[Project_LastRenovationDate].[LastRenovation Week Of Year].[All]" dimensionUniqueName="[Project_LastRenovationDate]" displayFolder="" count="0" unbalanced="0"/>
    <cacheHierarchy uniqueName="[Project_LastRenovationDate].[LastRenovation Year]" caption="LastRenovation Year" attribute="1" defaultMemberUniqueName="[Project_LastRenovationDate].[LastRenovation Year].[All]" allUniqueName="[Project_LastRenovationDate].[LastRenovation Year].[All]" dimensionUniqueName="[Project_LastRenovationDate]" displayFolder="" count="0" unbalanced="0"/>
    <cacheHierarchy uniqueName="[Project_LastRenovationDate].[LastRenovation Year Month As Integer]" caption="LastRenovation Year Month As Integer" attribute="1" defaultMemberUniqueName="[Project_LastRenovationDate].[LastRenovation Year Month As Integer].[All]" allUniqueName="[Project_LastRenovationDate].[LastRenovation Year Month As Integer].[All]" dimensionUniqueName="[Project_LastRenovationDate]" displayFolder="" count="0" unbalanced="0"/>
    <cacheHierarchy uniqueName="[Project_LastRenovationDate].[LastRenovation Year Quarter As Integer]" caption="LastRenovation Year Quarter As Integer" attribute="1" defaultMemberUniqueName="[Project_LastRenovationDate].[LastRenovation Year Quarter As Integer].[All]" allUniqueName="[Project_LastRenovationDate].[LastRenovation Year Quarter As Integer].[All]" dimensionUniqueName="[Project_LastRenovationDate]" displayFolder="" count="0" unbalanced="0"/>
    <cacheHierarchy uniqueName="[Project_LastRenovationDate].[LastRenovation Year Semester As Integer]" caption="LastRenovation Year Semester As Integer" attribute="1" defaultMemberUniqueName="[Project_LastRenovationDate].[LastRenovation Year Semester As Integer].[All]" allUniqueName="[Project_LastRenovationDate].[LastRenovation Year Semester As Integer].[All]" dimensionUniqueName="[Project_LastRenovationDate]" displayFolder="" count="0" unbalanced="0"/>
    <cacheHierarchy uniqueName="[ServiceAgreement_Account].[Bill Cycle Code]" caption="Bill Cycle Code" attribute="1" defaultMemberUniqueName="[ServiceAgreement_Account].[Bill Cycle Code].[All]" allUniqueName="[ServiceAgreement_Account].[Bill Cycle Code].[All]" dimensionUniqueName="[ServiceAgreement_Account]" displayFolder="" count="0" unbalanced="0"/>
    <cacheHierarchy uniqueName="[ServiceAgreement_Account].[Budget Plan Code]" caption="Budget Plan Code" attribute="1" defaultMemberUniqueName="[ServiceAgreement_Account].[Budget Plan Code].[All]" allUniqueName="[ServiceAgreement_Account].[Budget Plan Code].[All]" dimensionUniqueName="[ServiceAgreement_Account]" displayFolder="" count="0" unbalanced="0"/>
    <cacheHierarchy uniqueName="[ServiceAgreement_Account].[Customer Select PoolID]" caption="Customer Select PoolID" attribute="1" defaultMemberUniqueName="[ServiceAgreement_Account].[Customer Select PoolID].[All]" allUniqueName="[ServiceAgreement_Account].[Customer Select PoolID].[All]" dimensionUniqueName="[ServiceAgreement_Account]" displayFolder="" count="0" unbalanced="0"/>
    <cacheHierarchy uniqueName="[ServiceAgreement_Account].[Customer Select Supplier Code]" caption="Customer Select Supplier Code" attribute="1" defaultMemberUniqueName="[ServiceAgreement_Account].[Customer Select Supplier Code].[All]" allUniqueName="[ServiceAgreement_Account].[Customer Select Supplier Code].[All]" dimensionUniqueName="[ServiceAgreement_Account]" displayFolder="" count="0" unbalanced="0"/>
    <cacheHierarchy uniqueName="[ServiceAgreement_Account].[Customer Select Supplier Name]" caption="Customer Select Supplier Name" attribute="1" defaultMemberUniqueName="[ServiceAgreement_Account].[Customer Select Supplier Name].[All]" allUniqueName="[ServiceAgreement_Account].[Customer Select Supplier Name].[All]" dimensionUniqueName="[ServiceAgreement_Account]" displayFolder="" count="0" unbalanced="0"/>
    <cacheHierarchy uniqueName="[ServiceAgreement_Account].[Rate Eff Date]" caption="Rate Eff Date" attribute="1" defaultMemberUniqueName="[ServiceAgreement_Account].[Rate Eff Date].[All]" allUniqueName="[ServiceAgreement_Account].[Rate Eff Date].[All]" dimensionUniqueName="[ServiceAgreement_Account]" displayFolder="" count="0" unbalanced="0"/>
    <cacheHierarchy uniqueName="[ServiceAgreement_Account].[Rate Schedule Code]" caption="Rate Schedule Code" attribute="1" defaultMemberUniqueName="[ServiceAgreement_Account].[Rate Schedule Code].[All]" allUniqueName="[ServiceAgreement_Account].[Rate Schedule Code].[All]" dimensionUniqueName="[ServiceAgreement_Account]" displayFolder="" count="0" unbalanced="0"/>
    <cacheHierarchy uniqueName="[ServiceAgreement_Account].[Rate Schedule Description]" caption="Rate Schedule Description" attribute="1" defaultMemberUniqueName="[ServiceAgreement_Account].[Rate Schedule Description].[All]" allUniqueName="[ServiceAgreement_Account].[Rate Schedule Description].[All]" dimensionUniqueName="[ServiceAgreement_Account]" displayFolder="" count="0" unbalanced="0"/>
    <cacheHierarchy uniqueName="[ServiceAgreement_Account].[Rate Schedule Group Code]" caption="Rate Schedule Group Code" attribute="1" defaultMemberUniqueName="[ServiceAgreement_Account].[Rate Schedule Group Code].[All]" allUniqueName="[ServiceAgreement_Account].[Rate Schedule Group Code].[All]" dimensionUniqueName="[ServiceAgreement_Account]" displayFolder="" count="0" unbalanced="0"/>
    <cacheHierarchy uniqueName="[ServiceAgreement_Account].[SA Active Date]" caption="SA Active Date" attribute="1" defaultMemberUniqueName="[ServiceAgreement_Account].[SA Active Date].[All]" allUniqueName="[ServiceAgreement_Account].[SA Active Date].[All]" dimensionUniqueName="[ServiceAgreement_Account]" displayFolder="" count="0" unbalanced="0"/>
    <cacheHierarchy uniqueName="[ServiceAgreement_Account].[SA End Date]" caption="SA End Date" attribute="1" defaultMemberUniqueName="[ServiceAgreement_Account].[SA End Date].[All]" allUniqueName="[ServiceAgreement_Account].[SA End Date].[All]" dimensionUniqueName="[ServiceAgreement_Account]" displayFolder="" count="0" unbalanced="0"/>
    <cacheHierarchy uniqueName="[ServiceAgreement_Account].[SA Install Date]" caption="SA Install Date" attribute="1" defaultMemberUniqueName="[ServiceAgreement_Account].[SA Install Date].[All]" allUniqueName="[ServiceAgreement_Account].[SA Install Date].[All]" dimensionUniqueName="[ServiceAgreement_Account]" displayFolder="" count="0" unbalanced="0"/>
    <cacheHierarchy uniqueName="[ServiceAgreement_Account].[SA Start Date]" caption="SA Start Date" attribute="1" defaultMemberUniqueName="[ServiceAgreement_Account].[SA Start Date].[All]" allUniqueName="[ServiceAgreement_Account].[SA Start Date].[All]" dimensionUniqueName="[ServiceAgreement_Account]" displayFolder="" count="0" unbalanced="0"/>
    <cacheHierarchy uniqueName="[ServiceAgreement_Account].[Service Agreement CIS Division]" caption="Service Agreement CIS Division" attribute="1" defaultMemberUniqueName="[ServiceAgreement_Account].[Service Agreement CIS Division].[All]" allUniqueName="[ServiceAgreement_Account].[Service Agreement CIS Division].[All]" dimensionUniqueName="[ServiceAgreement_Account]" displayFolder="" count="0" unbalanced="0"/>
    <cacheHierarchy uniqueName="[ServiceAgreement_Account].[Service Agreement Contract Type]" caption="Service Agreement Contract Type" attribute="1" defaultMemberUniqueName="[ServiceAgreement_Account].[Service Agreement Contract Type].[All]" allUniqueName="[ServiceAgreement_Account].[Service Agreement Contract Type].[All]" dimensionUniqueName="[ServiceAgreement_Account]" displayFolder="" count="0" unbalanced="0"/>
    <cacheHierarchy uniqueName="[ServiceAgreement_Account].[Service Agreement Status Code]" caption="Service Agreement Status Code" attribute="1" defaultMemberUniqueName="[ServiceAgreement_Account].[Service Agreement Status Code].[All]" allUniqueName="[ServiceAgreement_Account].[Service Agreement Status Code].[All]" dimensionUniqueName="[ServiceAgreement_Account]" displayFolder="" count="0" unbalanced="0"/>
    <cacheHierarchy uniqueName="[ServiceAgreement_Account].[Service Agreement Type Code]" caption="Service Agreement Type Code" attribute="1" defaultMemberUniqueName="[ServiceAgreement_Account].[Service Agreement Type Code].[All]" allUniqueName="[ServiceAgreement_Account].[Service Agreement Type Code].[All]" dimensionUniqueName="[ServiceAgreement_Account]" displayFolder="" count="0" unbalanced="0"/>
    <cacheHierarchy uniqueName="[ServiceAgreement_Account].[Service Agreement Type Desc]" caption="Service Agreement Type Desc" attribute="1" defaultMemberUniqueName="[ServiceAgreement_Account].[Service Agreement Type Desc].[All]" allUniqueName="[ServiceAgreement_Account].[Service Agreement Type Desc].[All]" dimensionUniqueName="[ServiceAgreement_Account]" displayFolder="" count="0" unbalanced="0"/>
    <cacheHierarchy uniqueName="[ServiceAgreement_Account].[Service Agreement Utility Indicator]" caption="Service Agreement Utility Indicator" attribute="1" defaultMemberUniqueName="[ServiceAgreement_Account].[Service Agreement Utility Indicator].[All]" allUniqueName="[ServiceAgreement_Account].[Service Agreement Utility Indicator].[All]" dimensionUniqueName="[ServiceAgreement_Account]" displayFolder="" count="0" unbalanced="0"/>
    <cacheHierarchy uniqueName="[ServiceAgreement_Account].[Service AgreementID]" caption="Service AgreementID" attribute="1" defaultMemberUniqueName="[ServiceAgreement_Account].[Service AgreementID].[All]" allUniqueName="[ServiceAgreement_Account].[Service AgreementID].[All]" dimensionUniqueName="[ServiceAgreement_Account]" displayFolder="" count="0" unbalanced="0"/>
    <cacheHierarchy uniqueName="[ServiceAgreement_Account].[Service Point Type Code]" caption="Service Point Type Code" attribute="1" defaultMemberUniqueName="[ServiceAgreement_Account].[Service Point Type Code].[All]" allUniqueName="[ServiceAgreement_Account].[Service Point Type Code].[All]" dimensionUniqueName="[ServiceAgreement_Account]" displayFolder="" count="0" unbalanced="0"/>
    <cacheHierarchy uniqueName="[ServiceAgreement_Account].[Service Point Type Desc]" caption="Service Point Type Desc" attribute="1" defaultMemberUniqueName="[ServiceAgreement_Account].[Service Point Type Desc].[All]" allUniqueName="[ServiceAgreement_Account].[Service Point Type Desc].[All]" dimensionUniqueName="[ServiceAgreement_Account]" displayFolder="" count="0" unbalanced="0"/>
    <cacheHierarchy uniqueName="[ServiceAgreement_Account].[Service PointID]" caption="Service PointID" attribute="1" defaultMemberUniqueName="[ServiceAgreement_Account].[Service PointID].[All]" allUniqueName="[ServiceAgreement_Account].[Service PointID].[All]" dimensionUniqueName="[ServiceAgreement_Account]" displayFolder="" count="0" unbalanced="0"/>
    <cacheHierarchy uniqueName="[ServiceAgreement_Usage].[Bill Cycle Code]" caption="Bill Cycle Code" attribute="1" defaultMemberUniqueName="[ServiceAgreement_Usage].[Bill Cycle Code].[All]" allUniqueName="[ServiceAgreement_Usage].[Bill Cycle Code].[All]" dimensionUniqueName="[ServiceAgreement_Usage]" displayFolder="" count="0" unbalanced="0"/>
    <cacheHierarchy uniqueName="[ServiceAgreement_Usage].[Budget Plan Code]" caption="Budget Plan Code" attribute="1" defaultMemberUniqueName="[ServiceAgreement_Usage].[Budget Plan Code].[All]" allUniqueName="[ServiceAgreement_Usage].[Budget Plan Code].[All]" dimensionUniqueName="[ServiceAgreement_Usage]" displayFolder="" count="0" unbalanced="0"/>
    <cacheHierarchy uniqueName="[ServiceAgreement_Usage].[Customer Select PoolID]" caption="Customer Select PoolID" attribute="1" defaultMemberUniqueName="[ServiceAgreement_Usage].[Customer Select PoolID].[All]" allUniqueName="[ServiceAgreement_Usage].[Customer Select PoolID].[All]" dimensionUniqueName="[ServiceAgreement_Usage]" displayFolder="" count="0" unbalanced="0"/>
    <cacheHierarchy uniqueName="[ServiceAgreement_Usage].[Customer Select Supplier Code]" caption="Customer Select Supplier Code" attribute="1" defaultMemberUniqueName="[ServiceAgreement_Usage].[Customer Select Supplier Code].[All]" allUniqueName="[ServiceAgreement_Usage].[Customer Select Supplier Code].[All]" dimensionUniqueName="[ServiceAgreement_Usage]" displayFolder="" count="0" unbalanced="0"/>
    <cacheHierarchy uniqueName="[ServiceAgreement_Usage].[Customer Select Supplier Name]" caption="Customer Select Supplier Name" attribute="1" defaultMemberUniqueName="[ServiceAgreement_Usage].[Customer Select Supplier Name].[All]" allUniqueName="[ServiceAgreement_Usage].[Customer Select Supplier Name].[All]" dimensionUniqueName="[ServiceAgreement_Usage]" displayFolder="" count="0" unbalanced="0"/>
    <cacheHierarchy uniqueName="[ServiceAgreement_Usage].[Rate Eff Date]" caption="Rate Eff Date" attribute="1" defaultMemberUniqueName="[ServiceAgreement_Usage].[Rate Eff Date].[All]" allUniqueName="[ServiceAgreement_Usage].[Rate Eff Date].[All]" dimensionUniqueName="[ServiceAgreement_Usage]" displayFolder="" count="0" unbalanced="0"/>
    <cacheHierarchy uniqueName="[ServiceAgreement_Usage].[Rate Schedule Code]" caption="Rate Schedule Code" attribute="1" defaultMemberUniqueName="[ServiceAgreement_Usage].[Rate Schedule Code].[All]" allUniqueName="[ServiceAgreement_Usage].[Rate Schedule Code].[All]" dimensionUniqueName="[ServiceAgreement_Usage]" displayFolder="" count="0" unbalanced="0"/>
    <cacheHierarchy uniqueName="[ServiceAgreement_Usage].[Rate Schedule Description]" caption="Rate Schedule Description" attribute="1" defaultMemberUniqueName="[ServiceAgreement_Usage].[Rate Schedule Description].[All]" allUniqueName="[ServiceAgreement_Usage].[Rate Schedule Description].[All]" dimensionUniqueName="[ServiceAgreement_Usage]" displayFolder="" count="0" unbalanced="0"/>
    <cacheHierarchy uniqueName="[ServiceAgreement_Usage].[Rate Schedule Group Code]" caption="Rate Schedule Group Code" attribute="1" defaultMemberUniqueName="[ServiceAgreement_Usage].[Rate Schedule Group Code].[All]" allUniqueName="[ServiceAgreement_Usage].[Rate Schedule Group Code].[All]" dimensionUniqueName="[ServiceAgreement_Usage]" displayFolder="" count="0" unbalanced="0"/>
    <cacheHierarchy uniqueName="[ServiceAgreement_Usage].[SA Active Date]" caption="SA Active Date" attribute="1" defaultMemberUniqueName="[ServiceAgreement_Usage].[SA Active Date].[All]" allUniqueName="[ServiceAgreement_Usage].[SA Active Date].[All]" dimensionUniqueName="[ServiceAgreement_Usage]" displayFolder="" count="0" unbalanced="0"/>
    <cacheHierarchy uniqueName="[ServiceAgreement_Usage].[SA End Date]" caption="SA End Date" attribute="1" defaultMemberUniqueName="[ServiceAgreement_Usage].[SA End Date].[All]" allUniqueName="[ServiceAgreement_Usage].[SA End Date].[All]" dimensionUniqueName="[ServiceAgreement_Usage]" displayFolder="" count="0" unbalanced="0"/>
    <cacheHierarchy uniqueName="[ServiceAgreement_Usage].[SA Install Date]" caption="SA Install Date" attribute="1" defaultMemberUniqueName="[ServiceAgreement_Usage].[SA Install Date].[All]" allUniqueName="[ServiceAgreement_Usage].[SA Install Date].[All]" dimensionUniqueName="[ServiceAgreement_Usage]" displayFolder="" count="0" unbalanced="0"/>
    <cacheHierarchy uniqueName="[ServiceAgreement_Usage].[SA Start Date]" caption="SA Start Date" attribute="1" defaultMemberUniqueName="[ServiceAgreement_Usage].[SA Start Date].[All]" allUniqueName="[ServiceAgreement_Usage].[SA Start Date].[All]" dimensionUniqueName="[ServiceAgreement_Usage]" displayFolder="" count="0" unbalanced="0"/>
    <cacheHierarchy uniqueName="[ServiceAgreement_Usage].[Service Agreement CIS Division]" caption="Service Agreement CIS Division" attribute="1" defaultMemberUniqueName="[ServiceAgreement_Usage].[Service Agreement CIS Division].[All]" allUniqueName="[ServiceAgreement_Usage].[Service Agreement CIS Division].[All]" dimensionUniqueName="[ServiceAgreement_Usage]" displayFolder="" count="0" unbalanced="0"/>
    <cacheHierarchy uniqueName="[ServiceAgreement_Usage].[Service Agreement Contract Type]" caption="Service Agreement Contract Type" attribute="1" defaultMemberUniqueName="[ServiceAgreement_Usage].[Service Agreement Contract Type].[All]" allUniqueName="[ServiceAgreement_Usage].[Service Agreement Contract Type].[All]" dimensionUniqueName="[ServiceAgreement_Usage]" displayFolder="" count="0" unbalanced="0"/>
    <cacheHierarchy uniqueName="[ServiceAgreement_Usage].[Service Agreement Status Code]" caption="Service Agreement Status Code" attribute="1" defaultMemberUniqueName="[ServiceAgreement_Usage].[Service Agreement Status Code].[All]" allUniqueName="[ServiceAgreement_Usage].[Service Agreement Status Code].[All]" dimensionUniqueName="[ServiceAgreement_Usage]" displayFolder="" count="0" unbalanced="0"/>
    <cacheHierarchy uniqueName="[ServiceAgreement_Usage].[Service Agreement Type Code]" caption="Service Agreement Type Code" attribute="1" defaultMemberUniqueName="[ServiceAgreement_Usage].[Service Agreement Type Code].[All]" allUniqueName="[ServiceAgreement_Usage].[Service Agreement Type Code].[All]" dimensionUniqueName="[ServiceAgreement_Usage]" displayFolder="" count="0" unbalanced="0"/>
    <cacheHierarchy uniqueName="[ServiceAgreement_Usage].[Service Agreement Type Desc]" caption="Service Agreement Type Desc" attribute="1" defaultMemberUniqueName="[ServiceAgreement_Usage].[Service Agreement Type Desc].[All]" allUniqueName="[ServiceAgreement_Usage].[Service Agreement Type Desc].[All]" dimensionUniqueName="[ServiceAgreement_Usage]" displayFolder="" count="0" unbalanced="0"/>
    <cacheHierarchy uniqueName="[ServiceAgreement_Usage].[Service Agreement Utility Indicator]" caption="Service Agreement Utility Indicator" attribute="1" defaultMemberUniqueName="[ServiceAgreement_Usage].[Service Agreement Utility Indicator].[All]" allUniqueName="[ServiceAgreement_Usage].[Service Agreement Utility Indicator].[All]" dimensionUniqueName="[ServiceAgreement_Usage]" displayFolder="" count="0" unbalanced="0"/>
    <cacheHierarchy uniqueName="[ServiceAgreement_Usage].[Service AgreementID]" caption="Service AgreementID" attribute="1" defaultMemberUniqueName="[ServiceAgreement_Usage].[Service AgreementID].[All]" allUniqueName="[ServiceAgreement_Usage].[Service AgreementID].[All]" dimensionUniqueName="[ServiceAgreement_Usage]" displayFolder="" count="0" unbalanced="0"/>
    <cacheHierarchy uniqueName="[ServiceAgreement_Usage].[Service Point Type Code]" caption="Service Point Type Code" attribute="1" defaultMemberUniqueName="[ServiceAgreement_Usage].[Service Point Type Code].[All]" allUniqueName="[ServiceAgreement_Usage].[Service Point Type Code].[All]" dimensionUniqueName="[ServiceAgreement_Usage]" displayFolder="" count="0" unbalanced="0"/>
    <cacheHierarchy uniqueName="[ServiceAgreement_Usage].[Service Point Type Desc]" caption="Service Point Type Desc" attribute="1" defaultMemberUniqueName="[ServiceAgreement_Usage].[Service Point Type Desc].[All]" allUniqueName="[ServiceAgreement_Usage].[Service Point Type Desc].[All]" dimensionUniqueName="[ServiceAgreement_Usage]" displayFolder="" count="0" unbalanced="0"/>
    <cacheHierarchy uniqueName="[ServiceAgreement_Usage].[Service PointID]" caption="Service PointID" attribute="1" defaultMemberUniqueName="[ServiceAgreement_Usage].[Service PointID].[All]" allUniqueName="[ServiceAgreement_Usage].[Service PointID].[All]" dimensionUniqueName="[ServiceAgreement_Usage]" displayFolder="" count="0" unbalanced="0"/>
    <cacheHierarchy uniqueName="[UniqueContactMarketSegment].[Market Segment Code]" caption="Market Segment Code" attribute="1" defaultMemberUniqueName="[UniqueContactMarketSegment].[Market Segment Code].[All]" allUniqueName="[UniqueContactMarketSegment].[Market Segment Code].[All]" dimensionUniqueName="[UniqueContactMarketSegment]" displayFolder="" count="0" unbalanced="0"/>
    <cacheHierarchy uniqueName="[UniqueContactMarketSegment].[Market Segment Description]" caption="Market Segment Description" attribute="1" defaultMemberUniqueName="[UniqueContactMarketSegment].[Market Segment Description].[All]" allUniqueName="[UniqueContactMarketSegment].[Market Segment Description].[All]" dimensionUniqueName="[UniqueContactMarketSegment]" displayFolder="" count="0" unbalanced="0"/>
    <cacheHierarchy uniqueName="[UniqueMarketSegment].[Application Category Code]" caption="Application Category Code" attribute="1" defaultMemberUniqueName="[UniqueMarketSegment].[Application Category Code].[All]" allUniqueName="[UniqueMarketSegment].[Application Category Code].[All]" dimensionUniqueName="[UniqueMarketSegment]" displayFolder="" count="0" unbalanced="0"/>
    <cacheHierarchy uniqueName="[UniqueMarketSegment].[Application Category Description]" caption="Application Category Description" attribute="1" defaultMemberUniqueName="[UniqueMarketSegment].[Application Category Description].[All]" allUniqueName="[UniqueMarketSegment].[Application Category Description].[All]" dimensionUniqueName="[UniqueMarketSegment]" displayFolder="" count="0" unbalanced="0"/>
    <cacheHierarchy uniqueName="[UniqueMarketSegment].[HierUniqueMarketApplicationCategoryCode]" caption="HierUniqueMarketApplicationCategoryCode" defaultMemberUniqueName="[UniqueMarketSegment].[HierUniqueMarketApplicationCategoryCode].[All]" allUniqueName="[UniqueMarketSegment].[HierUniqueMarketApplicationCategoryCode].[All]" dimensionUniqueName="[UniqueMarketSegment]" displayFolder="" count="3" unbalanced="0"/>
    <cacheHierarchy uniqueName="[UniqueMarketSegment].[HierUniqueMarketApplicationCategoryDesc]" caption="HierUniqueMarketApplicationCategoryDesc" defaultMemberUniqueName="[UniqueMarketSegment].[HierUniqueMarketApplicationCategoryDesc].[All]" allUniqueName="[UniqueMarketSegment].[HierUniqueMarketApplicationCategoryDesc].[All]" dimensionUniqueName="[UniqueMarketSegment]" displayFolder="" count="3" unbalanced="0"/>
    <cacheHierarchy uniqueName="[UniqueMarketSegment].[Market Segment Code]" caption="Market Segment Code" attribute="1" defaultMemberUniqueName="[UniqueMarketSegment].[Market Segment Code].[All]" allUniqueName="[UniqueMarketSegment].[Market Segment Code].[All]" dimensionUniqueName="[UniqueMarketSegment]" displayFolder="" count="0" unbalanced="0"/>
    <cacheHierarchy uniqueName="[UniqueMarketSegment].[Market Segment Description]" caption="Market Segment Description" attribute="1" defaultMemberUniqueName="[UniqueMarketSegment].[Market Segment Description].[All]" allUniqueName="[UniqueMarketSegment].[Market Segment Description].[All]" dimensionUniqueName="[UniqueMarketSegment]" displayFolder="" count="0" unbalanced="0"/>
    <cacheHierarchy uniqueName="[UniqueYearBuiltLevelFilter].[Unique Contruction Year Level]" caption="Unique Contruction Year Level" attribute="1" defaultMemberUniqueName="[UniqueYearBuiltLevelFilter].[Unique Contruction Year Level].[All]" allUniqueName="[UniqueYearBuiltLevelFilter].[Unique Contruction Year Level].[All]" dimensionUniqueName="[UniqueYearBuiltLevelFilter]" displayFolder="" count="0" unbalanced="0"/>
    <cacheHierarchy uniqueName="[UsageAcctgDate].[HierAccountingDatePY]" caption="HierAccountingDatePY" defaultMemberUniqueName="[UsageAcctgDate].[HierAccountingDatePY].[All]" allUniqueName="[UsageAcctgDate].[HierAccountingDatePY].[All]" dimensionUniqueName="[UsageAcctgDate]" displayFolder="" count="4" unbalanced="0"/>
    <cacheHierarchy uniqueName="[UsageAcctgDate].[HierAccountingDateYear]" caption="HierAccountingDateYear" defaultMemberUniqueName="[UsageAcctgDate].[HierAccountingDateYear].[All]" allUniqueName="[UsageAcctgDate].[HierAccountingDateYear].[All]" dimensionUniqueName="[UsageAcctgDate]" displayFolder="" count="4" unbalanced="0"/>
    <cacheHierarchy uniqueName="[UsageAcctgDate].[Usage Acctg Date]" caption="Usage Acctg Date" attribute="1" defaultMemberUniqueName="[UsageAcctgDate].[Usage Acctg Date].[All]" allUniqueName="[UsageAcctgDate].[Usage Acctg Date].[All]" dimensionUniqueName="[UsageAcctgDate]" displayFolder="" count="0" unbalanced="0"/>
    <cacheHierarchy uniqueName="[UsageAcctgDate].[Usage Acctg DayOfMonth]" caption="Usage Acctg DayOfMonth" attribute="1" defaultMemberUniqueName="[UsageAcctgDate].[Usage Acctg DayOfMonth].[All]" allUniqueName="[UsageAcctgDate].[Usage Acctg DayOfMonth].[All]" dimensionUniqueName="[UsageAcctgDate]" displayFolder="" count="0" unbalanced="0"/>
    <cacheHierarchy uniqueName="[UsageAcctgDate].[Usage Acctg DayOfWeek]" caption="Usage Acctg DayOfWeek" attribute="1" defaultMemberUniqueName="[UsageAcctgDate].[Usage Acctg DayOfWeek].[All]" allUniqueName="[UsageAcctgDate].[Usage Acctg DayOfWeek].[All]" dimensionUniqueName="[UsageAcctgDate]" displayFolder="" count="0" unbalanced="0"/>
    <cacheHierarchy uniqueName="[UsageAcctgDate].[Usage Acctg DayOfWeekName]" caption="Usage Acctg DayOfWeekName" attribute="1" defaultMemberUniqueName="[UsageAcctgDate].[Usage Acctg DayOfWeekName].[All]" allUniqueName="[UsageAcctgDate].[Usage Acctg DayOfWeekName].[All]" dimensionUniqueName="[UsageAcctgDate]" displayFolder="" count="0" unbalanced="0"/>
    <cacheHierarchy uniqueName="[UsageAcctgDate].[Usage Acctg DayOfYear]" caption="Usage Acctg DayOfYear" attribute="1" defaultMemberUniqueName="[UsageAcctgDate].[Usage Acctg DayOfYear].[All]" allUniqueName="[UsageAcctgDate].[Usage Acctg DayOfYear].[All]" dimensionUniqueName="[UsageAcctgDate]" displayFolder="" count="0" unbalanced="0"/>
    <cacheHierarchy uniqueName="[UsageAcctgDate].[Usage Acctg HolidayInd]" caption="Usage Acctg HolidayInd" attribute="1" defaultMemberUniqueName="[UsageAcctgDate].[Usage Acctg HolidayInd].[All]" allUniqueName="[UsageAcctgDate].[Usage Acctg HolidayInd].[All]" dimensionUniqueName="[UsageAcctgDate]" displayFolder="" count="0" unbalanced="0"/>
    <cacheHierarchy uniqueName="[UsageAcctgDate].[Usage Acctg HolidayName]" caption="Usage Acctg HolidayName" attribute="1" defaultMemberUniqueName="[UsageAcctgDate].[Usage Acctg HolidayName].[All]" allUniqueName="[UsageAcctgDate].[Usage Acctg HolidayName].[All]" dimensionUniqueName="[UsageAcctgDate]" displayFolder="" count="0" unbalanced="0"/>
    <cacheHierarchy uniqueName="[UsageAcctgDate].[Usage Acctg LastDateOfMonth]" caption="Usage Acctg LastDateOfMonth" attribute="1" defaultMemberUniqueName="[UsageAcctgDate].[Usage Acctg LastDateOfMonth].[All]" allUniqueName="[UsageAcctgDate].[Usage Acctg LastDateOfMonth].[All]" dimensionUniqueName="[UsageAcctgDate]" displayFolder="" count="0" unbalanced="0"/>
    <cacheHierarchy uniqueName="[UsageAcctgDate].[Usage Acctg LastDayOfMonthIndicator]" caption="Usage Acctg LastDayOfMonthIndicator" attribute="1" defaultMemberUniqueName="[UsageAcctgDate].[Usage Acctg LastDayOfMonthIndicator].[All]" allUniqueName="[UsageAcctgDate].[Usage Acctg LastDayOfMonthIndicator].[All]" dimensionUniqueName="[UsageAcctgDate]" displayFolder="" count="0" unbalanced="0"/>
    <cacheHierarchy uniqueName="[UsageAcctgDate].[Usage Acctg Month]" caption="Usage Acctg Month" attribute="1" defaultMemberUniqueName="[UsageAcctgDate].[Usage Acctg Month].[All]" allUniqueName="[UsageAcctgDate].[Usage Acctg Month].[All]" dimensionUniqueName="[UsageAcctgDate]" displayFolder="" count="0" unbalanced="0"/>
    <cacheHierarchy uniqueName="[UsageAcctgDate].[Usage Acctg MonthNbr]" caption="Usage Acctg MonthNbr" attribute="1" defaultMemberUniqueName="[UsageAcctgDate].[Usage Acctg MonthNbr].[All]" allUniqueName="[UsageAcctgDate].[Usage Acctg MonthNbr].[All]" dimensionUniqueName="[UsageAcctgDate]" displayFolder="" count="0" unbalanced="0"/>
    <cacheHierarchy uniqueName="[UsageAcctgDate].[Usage Acctg Plan Month and Year]" caption="Usage Acctg Plan Month and Year" attribute="1" defaultMemberUniqueName="[UsageAcctgDate].[Usage Acctg Plan Month and Year].[All]" allUniqueName="[UsageAcctgDate].[Usage Acctg Plan Month and Year].[All]" dimensionUniqueName="[UsageAcctgDate]" displayFolder="" count="0" unbalanced="0"/>
    <cacheHierarchy uniqueName="[UsageAcctgDate].[Usage Acctg Plan Month Number]" caption="Usage Acctg Plan Month Number" attribute="1" defaultMemberUniqueName="[UsageAcctgDate].[Usage Acctg Plan Month Number].[All]" allUniqueName="[UsageAcctgDate].[Usage Acctg Plan Month Number].[All]" dimensionUniqueName="[UsageAcctgDate]" displayFolder="" count="0" unbalanced="0"/>
    <cacheHierarchy uniqueName="[UsageAcctgDate].[Usage Acctg Plan Quarter Number]" caption="Usage Acctg Plan Quarter Number" attribute="1" defaultMemberUniqueName="[UsageAcctgDate].[Usage Acctg Plan Quarter Number].[All]" allUniqueName="[UsageAcctgDate].[Usage Acctg Plan Quarter Number].[All]" dimensionUniqueName="[UsageAcctgDate]" displayFolder="" count="0" unbalanced="0"/>
    <cacheHierarchy uniqueName="[UsageAcctgDate].[Usage Acctg PY]" caption="Usage Acctg PY" attribute="1" defaultMemberUniqueName="[UsageAcctgDate].[Usage Acctg PY].[All]" allUniqueName="[UsageAcctgDate].[Usage Acctg PY].[All]" dimensionUniqueName="[UsageAcctgDate]" displayFolder="" count="0" unbalanced="0"/>
    <cacheHierarchy uniqueName="[UsageAcctgDate].[Usage Acctg Qtr]" caption="Usage Acctg Qtr" attribute="1" defaultMemberUniqueName="[UsageAcctgDate].[Usage Acctg Qtr].[All]" allUniqueName="[UsageAcctgDate].[Usage Acctg Qtr].[All]" dimensionUniqueName="[UsageAcctgDate]" displayFolder="" count="0" unbalanced="0"/>
    <cacheHierarchy uniqueName="[UsageAcctgDate].[Usage Acctg Semester]" caption="Usage Acctg Semester" attribute="1" defaultMemberUniqueName="[UsageAcctgDate].[Usage Acctg Semester].[All]" allUniqueName="[UsageAcctgDate].[Usage Acctg Semester].[All]" dimensionUniqueName="[UsageAcctgDate]" displayFolder="" count="0" unbalanced="0"/>
    <cacheHierarchy uniqueName="[UsageAcctgDate].[Usage Acctg WeekdayWeekend]" caption="Usage Acctg WeekdayWeekend" attribute="1" defaultMemberUniqueName="[UsageAcctgDate].[Usage Acctg WeekdayWeekend].[All]" allUniqueName="[UsageAcctgDate].[Usage Acctg WeekdayWeekend].[All]" dimensionUniqueName="[UsageAcctgDate]" displayFolder="" count="0" unbalanced="0"/>
    <cacheHierarchy uniqueName="[UsageAcctgDate].[Usage Acctg WeekOfMonth]" caption="Usage Acctg WeekOfMonth" attribute="1" defaultMemberUniqueName="[UsageAcctgDate].[Usage Acctg WeekOfMonth].[All]" allUniqueName="[UsageAcctgDate].[Usage Acctg WeekOfMonth].[All]" dimensionUniqueName="[UsageAcctgDate]" displayFolder="" count="0" unbalanced="0"/>
    <cacheHierarchy uniqueName="[UsageAcctgDate].[Usage Acctg WeekOfYear]" caption="Usage Acctg WeekOfYear" attribute="1" defaultMemberUniqueName="[UsageAcctgDate].[Usage Acctg WeekOfYear].[All]" allUniqueName="[UsageAcctgDate].[Usage Acctg WeekOfYear].[All]" dimensionUniqueName="[UsageAcctgDate]" displayFolder="" count="0" unbalanced="0"/>
    <cacheHierarchy uniqueName="[UsageAcctgDate].[Usage Acctg WorkingDayInd]" caption="Usage Acctg WorkingDayInd" attribute="1" defaultMemberUniqueName="[UsageAcctgDate].[Usage Acctg WorkingDayInd].[All]" allUniqueName="[UsageAcctgDate].[Usage Acctg WorkingDayInd].[All]" dimensionUniqueName="[UsageAcctgDate]" displayFolder="" count="0" unbalanced="0"/>
    <cacheHierarchy uniqueName="[UsageAcctgDate].[Usage Acctg Year]" caption="Usage Acctg Year" attribute="1" defaultMemberUniqueName="[UsageAcctgDate].[Usage Acctg Year].[All]" allUniqueName="[UsageAcctgDate].[Usage Acctg Year].[All]" dimensionUniqueName="[UsageAcctgDate]" displayFolder="" count="0" unbalanced="0"/>
    <cacheHierarchy uniqueName="[UsageAcctgDate].[Usage Acctg YearMonthAsInteger]" caption="Usage Acctg YearMonthAsInteger" attribute="1" defaultMemberUniqueName="[UsageAcctgDate].[Usage Acctg YearMonthAsInteger].[All]" allUniqueName="[UsageAcctgDate].[Usage Acctg YearMonthAsInteger].[All]" dimensionUniqueName="[UsageAcctgDate]" displayFolder="" count="0" unbalanced="0"/>
    <cacheHierarchy uniqueName="[UsageAcctgDate].[Usage Acctg YearQuarterAsInteger]" caption="Usage Acctg YearQuarterAsInteger" attribute="1" defaultMemberUniqueName="[UsageAcctgDate].[Usage Acctg YearQuarterAsInteger].[All]" allUniqueName="[UsageAcctgDate].[Usage Acctg YearQuarterAsInteger].[All]" dimensionUniqueName="[UsageAcctgDate]" displayFolder="" count="0" unbalanced="0"/>
    <cacheHierarchy uniqueName="[UsageAcctgDate].[Usage Acctg YearSemesterAsInteger]" caption="Usage Acctg YearSemesterAsInteger" attribute="1" defaultMemberUniqueName="[UsageAcctgDate].[Usage Acctg YearSemesterAsInteger].[All]" allUniqueName="[UsageAcctgDate].[Usage Acctg YearSemesterAsInteger].[All]" dimensionUniqueName="[UsageAcctgDate]" displayFolder="" count="0" unbalanced="0"/>
    <cacheHierarchy uniqueName="[UsageBatchBusDate].[Bus Acctg WorkingDayInd]" caption="Bus Acctg WorkingDayInd" attribute="1" defaultMemberUniqueName="[UsageBatchBusDate].[Bus Acctg WorkingDayInd].[All]" allUniqueName="[UsageBatchBusDate].[Bus Acctg WorkingDayInd].[All]" dimensionUniqueName="[UsageBatchBusDate]" displayFolder="" count="0" unbalanced="0"/>
    <cacheHierarchy uniqueName="[UsageBatchBusDate].[HierBatchBusDatePY]" caption="HierBatchBusDatePY" defaultMemberUniqueName="[UsageBatchBusDate].[HierBatchBusDatePY].[All]" allUniqueName="[UsageBatchBusDate].[HierBatchBusDatePY].[All]" dimensionUniqueName="[UsageBatchBusDate]" displayFolder="" count="4" unbalanced="0"/>
    <cacheHierarchy uniqueName="[UsageBatchBusDate].[HierBatchBusDateYear]" caption="HierBatchBusDateYear" defaultMemberUniqueName="[UsageBatchBusDate].[HierBatchBusDateYear].[All]" allUniqueName="[UsageBatchBusDate].[HierBatchBusDateYear].[All]" dimensionUniqueName="[UsageBatchBusDate]" displayFolder="" count="4" unbalanced="0"/>
    <cacheHierarchy uniqueName="[UsageBatchBusDate].[Usage Bus Date]" caption="Usage Bus Date" attribute="1" defaultMemberUniqueName="[UsageBatchBusDate].[Usage Bus Date].[All]" allUniqueName="[UsageBatchBusDate].[Usage Bus Date].[All]" dimensionUniqueName="[UsageBatchBusDate]" displayFolder="" count="0" unbalanced="0"/>
    <cacheHierarchy uniqueName="[UsageBatchBusDate].[Usage Bus DayOfMonth]" caption="Usage Bus DayOfMonth" attribute="1" defaultMemberUniqueName="[UsageBatchBusDate].[Usage Bus DayOfMonth].[All]" allUniqueName="[UsageBatchBusDate].[Usage Bus DayOfMonth].[All]" dimensionUniqueName="[UsageBatchBusDate]" displayFolder="" count="0" unbalanced="0"/>
    <cacheHierarchy uniqueName="[UsageBatchBusDate].[Usage Bus DayOfWeek]" caption="Usage Bus DayOfWeek" attribute="1" defaultMemberUniqueName="[UsageBatchBusDate].[Usage Bus DayOfWeek].[All]" allUniqueName="[UsageBatchBusDate].[Usage Bus DayOfWeek].[All]" dimensionUniqueName="[UsageBatchBusDate]" displayFolder="" count="0" unbalanced="0"/>
    <cacheHierarchy uniqueName="[UsageBatchBusDate].[Usage Bus DayOfWeekName]" caption="Usage Bus DayOfWeekName" attribute="1" defaultMemberUniqueName="[UsageBatchBusDate].[Usage Bus DayOfWeekName].[All]" allUniqueName="[UsageBatchBusDate].[Usage Bus DayOfWeekName].[All]" dimensionUniqueName="[UsageBatchBusDate]" displayFolder="" count="0" unbalanced="0"/>
    <cacheHierarchy uniqueName="[UsageBatchBusDate].[Usage Bus DayOfYear]" caption="Usage Bus DayOfYear" attribute="1" defaultMemberUniqueName="[UsageBatchBusDate].[Usage Bus DayOfYear].[All]" allUniqueName="[UsageBatchBusDate].[Usage Bus DayOfYear].[All]" dimensionUniqueName="[UsageBatchBusDate]" displayFolder="" count="0" unbalanced="0"/>
    <cacheHierarchy uniqueName="[UsageBatchBusDate].[Usage Bus HolidayInd]" caption="Usage Bus HolidayInd" attribute="1" defaultMemberUniqueName="[UsageBatchBusDate].[Usage Bus HolidayInd].[All]" allUniqueName="[UsageBatchBusDate].[Usage Bus HolidayInd].[All]" dimensionUniqueName="[UsageBatchBusDate]" displayFolder="" count="0" unbalanced="0"/>
    <cacheHierarchy uniqueName="[UsageBatchBusDate].[Usage Bus HolidayName]" caption="Usage Bus HolidayName" attribute="1" defaultMemberUniqueName="[UsageBatchBusDate].[Usage Bus HolidayName].[All]" allUniqueName="[UsageBatchBusDate].[Usage Bus HolidayName].[All]" dimensionUniqueName="[UsageBatchBusDate]" displayFolder="" count="0" unbalanced="0"/>
    <cacheHierarchy uniqueName="[UsageBatchBusDate].[Usage Bus LastDateOfMonth]" caption="Usage Bus LastDateOfMonth" attribute="1" defaultMemberUniqueName="[UsageBatchBusDate].[Usage Bus LastDateOfMonth].[All]" allUniqueName="[UsageBatchBusDate].[Usage Bus LastDateOfMonth].[All]" dimensionUniqueName="[UsageBatchBusDate]" displayFolder="" count="0" unbalanced="0"/>
    <cacheHierarchy uniqueName="[UsageBatchBusDate].[Usage Bus LastDayOfMonthIndicator]" caption="Usage Bus LastDayOfMonthIndicator" attribute="1" defaultMemberUniqueName="[UsageBatchBusDate].[Usage Bus LastDayOfMonthIndicator].[All]" allUniqueName="[UsageBatchBusDate].[Usage Bus LastDayOfMonthIndicator].[All]" dimensionUniqueName="[UsageBatchBusDate]" displayFolder="" count="0" unbalanced="0"/>
    <cacheHierarchy uniqueName="[UsageBatchBusDate].[Usage Bus Month]" caption="Usage Bus Month" attribute="1" defaultMemberUniqueName="[UsageBatchBusDate].[Usage Bus Month].[All]" allUniqueName="[UsageBatchBusDate].[Usage Bus Month].[All]" dimensionUniqueName="[UsageBatchBusDate]" displayFolder="" count="0" unbalanced="0"/>
    <cacheHierarchy uniqueName="[UsageBatchBusDate].[Usage Bus MonthNbr]" caption="Usage Bus MonthNbr" attribute="1" defaultMemberUniqueName="[UsageBatchBusDate].[Usage Bus MonthNbr].[All]" allUniqueName="[UsageBatchBusDate].[Usage Bus MonthNbr].[All]" dimensionUniqueName="[UsageBatchBusDate]" displayFolder="" count="0" unbalanced="0"/>
    <cacheHierarchy uniqueName="[UsageBatchBusDate].[Usage Bus Plan Month and Year]" caption="Usage Bus Plan Month and Year" attribute="1" defaultMemberUniqueName="[UsageBatchBusDate].[Usage Bus Plan Month and Year].[All]" allUniqueName="[UsageBatchBusDate].[Usage Bus Plan Month and Year].[All]" dimensionUniqueName="[UsageBatchBusDate]" displayFolder="" count="0" unbalanced="0"/>
    <cacheHierarchy uniqueName="[UsageBatchBusDate].[Usage Bus Plan Month Number]" caption="Usage Bus Plan Month Number" attribute="1" defaultMemberUniqueName="[UsageBatchBusDate].[Usage Bus Plan Month Number].[All]" allUniqueName="[UsageBatchBusDate].[Usage Bus Plan Month Number].[All]" dimensionUniqueName="[UsageBatchBusDate]" displayFolder="" count="0" unbalanced="0"/>
    <cacheHierarchy uniqueName="[UsageBatchBusDate].[Usage Bus Plan Quarter Number]" caption="Usage Bus Plan Quarter Number" attribute="1" defaultMemberUniqueName="[UsageBatchBusDate].[Usage Bus Plan Quarter Number].[All]" allUniqueName="[UsageBatchBusDate].[Usage Bus Plan Quarter Number].[All]" dimensionUniqueName="[UsageBatchBusDate]" displayFolder="" count="0" unbalanced="0"/>
    <cacheHierarchy uniqueName="[UsageBatchBusDate].[Usage Bus PY]" caption="Usage Bus PY" attribute="1" defaultMemberUniqueName="[UsageBatchBusDate].[Usage Bus PY].[All]" allUniqueName="[UsageBatchBusDate].[Usage Bus PY].[All]" dimensionUniqueName="[UsageBatchBusDate]" displayFolder="" count="0" unbalanced="0"/>
    <cacheHierarchy uniqueName="[UsageBatchBusDate].[Usage Bus Qtr]" caption="Usage Bus Qtr" attribute="1" defaultMemberUniqueName="[UsageBatchBusDate].[Usage Bus Qtr].[All]" allUniqueName="[UsageBatchBusDate].[Usage Bus Qtr].[All]" dimensionUniqueName="[UsageBatchBusDate]" displayFolder="" count="0" unbalanced="0"/>
    <cacheHierarchy uniqueName="[UsageBatchBusDate].[Usage Bus Semester]" caption="Usage Bus Semester" attribute="1" defaultMemberUniqueName="[UsageBatchBusDate].[Usage Bus Semester].[All]" allUniqueName="[UsageBatchBusDate].[Usage Bus Semester].[All]" dimensionUniqueName="[UsageBatchBusDate]" displayFolder="" count="0" unbalanced="0"/>
    <cacheHierarchy uniqueName="[UsageBatchBusDate].[Usage Bus WeekdayWeekend]" caption="Usage Bus WeekdayWeekend" attribute="1" defaultMemberUniqueName="[UsageBatchBusDate].[Usage Bus WeekdayWeekend].[All]" allUniqueName="[UsageBatchBusDate].[Usage Bus WeekdayWeekend].[All]" dimensionUniqueName="[UsageBatchBusDate]" displayFolder="" count="0" unbalanced="0"/>
    <cacheHierarchy uniqueName="[UsageBatchBusDate].[Usage Bus WeekOfMonth]" caption="Usage Bus WeekOfMonth" attribute="1" defaultMemberUniqueName="[UsageBatchBusDate].[Usage Bus WeekOfMonth].[All]" allUniqueName="[UsageBatchBusDate].[Usage Bus WeekOfMonth].[All]" dimensionUniqueName="[UsageBatchBusDate]" displayFolder="" count="0" unbalanced="0"/>
    <cacheHierarchy uniqueName="[UsageBatchBusDate].[Usage Bus WeekOfYear]" caption="Usage Bus WeekOfYear" attribute="1" defaultMemberUniqueName="[UsageBatchBusDate].[Usage Bus WeekOfYear].[All]" allUniqueName="[UsageBatchBusDate].[Usage Bus WeekOfYear].[All]" dimensionUniqueName="[UsageBatchBusDate]" displayFolder="" count="0" unbalanced="0"/>
    <cacheHierarchy uniqueName="[UsageBatchBusDate].[Usage Bus Year]" caption="Usage Bus Year" attribute="1" defaultMemberUniqueName="[UsageBatchBusDate].[Usage Bus Year].[All]" allUniqueName="[UsageBatchBusDate].[Usage Bus Year].[All]" dimensionUniqueName="[UsageBatchBusDate]" displayFolder="" count="0" unbalanced="0"/>
    <cacheHierarchy uniqueName="[UsageBatchBusDate].[Usage Bus YearMonthAsInteger]" caption="Usage Bus YearMonthAsInteger" attribute="1" defaultMemberUniqueName="[UsageBatchBusDate].[Usage Bus YearMonthAsInteger].[All]" allUniqueName="[UsageBatchBusDate].[Usage Bus YearMonthAsInteger].[All]" dimensionUniqueName="[UsageBatchBusDate]" displayFolder="" count="0" unbalanced="0"/>
    <cacheHierarchy uniqueName="[UsageBatchBusDate].[Usage Bus YearQuarterAsInteger]" caption="Usage Bus YearQuarterAsInteger" attribute="1" defaultMemberUniqueName="[UsageBatchBusDate].[Usage Bus YearQuarterAsInteger].[All]" allUniqueName="[UsageBatchBusDate].[Usage Bus YearQuarterAsInteger].[All]" dimensionUniqueName="[UsageBatchBusDate]" displayFolder="" count="0" unbalanced="0"/>
    <cacheHierarchy uniqueName="[UsageBatchBusDate].[Usage Bus YearSemesterAsInteger]" caption="Usage Bus YearSemesterAsInteger" attribute="1" defaultMemberUniqueName="[UsageBatchBusDate].[Usage Bus YearSemesterAsInteger].[All]" allUniqueName="[UsageBatchBusDate].[Usage Bus YearSemesterAsInteger].[All]" dimensionUniqueName="[UsageBatchBusDate]" displayFolder="" count="0" unbalanced="0"/>
    <cacheHierarchy uniqueName="[UsageBillEndDate].[HierBillSegEndDatePY]" caption="HierBillSegEndDatePY" defaultMemberUniqueName="[UsageBillEndDate].[HierBillSegEndDatePY].[All]" allUniqueName="[UsageBillEndDate].[HierBillSegEndDatePY].[All]" dimensionUniqueName="[UsageBillEndDate]" displayFolder="" count="4" unbalanced="0"/>
    <cacheHierarchy uniqueName="[UsageBillEndDate].[HierBillSegEndDateYear]" caption="HierBillSegEndDateYear" defaultMemberUniqueName="[UsageBillEndDate].[HierBillSegEndDateYear].[All]" allUniqueName="[UsageBillEndDate].[HierBillSegEndDateYear].[All]" dimensionUniqueName="[UsageBillEndDate]" displayFolder="" count="4" unbalanced="0"/>
    <cacheHierarchy uniqueName="[UsageBillEndDate].[Usage BillEnd Date]" caption="Usage BillEnd Date" attribute="1" defaultMemberUniqueName="[UsageBillEndDate].[Usage BillEnd Date].[All]" allUniqueName="[UsageBillEndDate].[Usage BillEnd Date].[All]" dimensionUniqueName="[UsageBillEndDate]" displayFolder="" count="0" unbalanced="0"/>
    <cacheHierarchy uniqueName="[UsageBillEndDate].[Usage BillEnd DayOfMonth]" caption="Usage BillEnd DayOfMonth" attribute="1" defaultMemberUniqueName="[UsageBillEndDate].[Usage BillEnd DayOfMonth].[All]" allUniqueName="[UsageBillEndDate].[Usage BillEnd DayOfMonth].[All]" dimensionUniqueName="[UsageBillEndDate]" displayFolder="" count="0" unbalanced="0"/>
    <cacheHierarchy uniqueName="[UsageBillEndDate].[Usage BillEnd DayOfWeek]" caption="Usage BillEnd DayOfWeek" attribute="1" defaultMemberUniqueName="[UsageBillEndDate].[Usage BillEnd DayOfWeek].[All]" allUniqueName="[UsageBillEndDate].[Usage BillEnd DayOfWeek].[All]" dimensionUniqueName="[UsageBillEndDate]" displayFolder="" count="0" unbalanced="0"/>
    <cacheHierarchy uniqueName="[UsageBillEndDate].[Usage BillEnd DayOfWeekName]" caption="Usage BillEnd DayOfWeekName" attribute="1" defaultMemberUniqueName="[UsageBillEndDate].[Usage BillEnd DayOfWeekName].[All]" allUniqueName="[UsageBillEndDate].[Usage BillEnd DayOfWeekName].[All]" dimensionUniqueName="[UsageBillEndDate]" displayFolder="" count="0" unbalanced="0"/>
    <cacheHierarchy uniqueName="[UsageBillEndDate].[Usage BillEnd DayOfYear]" caption="Usage BillEnd DayOfYear" attribute="1" defaultMemberUniqueName="[UsageBillEndDate].[Usage BillEnd DayOfYear].[All]" allUniqueName="[UsageBillEndDate].[Usage BillEnd DayOfYear].[All]" dimensionUniqueName="[UsageBillEndDate]" displayFolder="" count="0" unbalanced="0"/>
    <cacheHierarchy uniqueName="[UsageBillEndDate].[Usage BillEnd HolidayInd]" caption="Usage BillEnd HolidayInd" attribute="1" defaultMemberUniqueName="[UsageBillEndDate].[Usage BillEnd HolidayInd].[All]" allUniqueName="[UsageBillEndDate].[Usage BillEnd HolidayInd].[All]" dimensionUniqueName="[UsageBillEndDate]" displayFolder="" count="0" unbalanced="0"/>
    <cacheHierarchy uniqueName="[UsageBillEndDate].[Usage BillEnd HolidayName]" caption="Usage BillEnd HolidayName" attribute="1" defaultMemberUniqueName="[UsageBillEndDate].[Usage BillEnd HolidayName].[All]" allUniqueName="[UsageBillEndDate].[Usage BillEnd HolidayName].[All]" dimensionUniqueName="[UsageBillEndDate]" displayFolder="" count="0" unbalanced="0"/>
    <cacheHierarchy uniqueName="[UsageBillEndDate].[Usage BillEnd LastDateOfMonth]" caption="Usage BillEnd LastDateOfMonth" attribute="1" defaultMemberUniqueName="[UsageBillEndDate].[Usage BillEnd LastDateOfMonth].[All]" allUniqueName="[UsageBillEndDate].[Usage BillEnd LastDateOfMonth].[All]" dimensionUniqueName="[UsageBillEndDate]" displayFolder="" count="0" unbalanced="0"/>
    <cacheHierarchy uniqueName="[UsageBillEndDate].[Usage BillEnd LastDayOfMonthIndicator]" caption="Usage BillEnd LastDayOfMonthIndicator" attribute="1" defaultMemberUniqueName="[UsageBillEndDate].[Usage BillEnd LastDayOfMonthIndicator].[All]" allUniqueName="[UsageBillEndDate].[Usage BillEnd LastDayOfMonthIndicator].[All]" dimensionUniqueName="[UsageBillEndDate]" displayFolder="" count="0" unbalanced="0"/>
    <cacheHierarchy uniqueName="[UsageBillEndDate].[Usage BillEnd Month]" caption="Usage BillEnd Month" attribute="1" defaultMemberUniqueName="[UsageBillEndDate].[Usage BillEnd Month].[All]" allUniqueName="[UsageBillEndDate].[Usage BillEnd Month].[All]" dimensionUniqueName="[UsageBillEndDate]" displayFolder="" count="0" unbalanced="0"/>
    <cacheHierarchy uniqueName="[UsageBillEndDate].[Usage BillEnd MonthNbr]" caption="Usage BillEnd MonthNbr" attribute="1" defaultMemberUniqueName="[UsageBillEndDate].[Usage BillEnd MonthNbr].[All]" allUniqueName="[UsageBillEndDate].[Usage BillEnd MonthNbr].[All]" dimensionUniqueName="[UsageBillEndDate]" displayFolder="" count="0" unbalanced="0"/>
    <cacheHierarchy uniqueName="[UsageBillEndDate].[Usage BillEnd Plan Month and Year]" caption="Usage BillEnd Plan Month and Year" attribute="1" defaultMemberUniqueName="[UsageBillEndDate].[Usage BillEnd Plan Month and Year].[All]" allUniqueName="[UsageBillEndDate].[Usage BillEnd Plan Month and Year].[All]" dimensionUniqueName="[UsageBillEndDate]" displayFolder="" count="0" unbalanced="0"/>
    <cacheHierarchy uniqueName="[UsageBillEndDate].[Usage BillEnd Plan Month Number]" caption="Usage BillEnd Plan Month Number" attribute="1" defaultMemberUniqueName="[UsageBillEndDate].[Usage BillEnd Plan Month Number].[All]" allUniqueName="[UsageBillEndDate].[Usage BillEnd Plan Month Number].[All]" dimensionUniqueName="[UsageBillEndDate]" displayFolder="" count="0" unbalanced="0"/>
    <cacheHierarchy uniqueName="[UsageBillEndDate].[Usage BillEnd Plan Quarter Number]" caption="Usage BillEnd Plan Quarter Number" attribute="1" defaultMemberUniqueName="[UsageBillEndDate].[Usage BillEnd Plan Quarter Number].[All]" allUniqueName="[UsageBillEndDate].[Usage BillEnd Plan Quarter Number].[All]" dimensionUniqueName="[UsageBillEndDate]" displayFolder="" count="0" unbalanced="0"/>
    <cacheHierarchy uniqueName="[UsageBillEndDate].[Usage BillEnd PY]" caption="Usage BillEnd PY" attribute="1" defaultMemberUniqueName="[UsageBillEndDate].[Usage BillEnd PY].[All]" allUniqueName="[UsageBillEndDate].[Usage BillEnd PY].[All]" dimensionUniqueName="[UsageBillEndDate]" displayFolder="" count="0" unbalanced="0"/>
    <cacheHierarchy uniqueName="[UsageBillEndDate].[Usage BillEnd Qtr]" caption="Usage BillEnd Qtr" attribute="1" defaultMemberUniqueName="[UsageBillEndDate].[Usage BillEnd Qtr].[All]" allUniqueName="[UsageBillEndDate].[Usage BillEnd Qtr].[All]" dimensionUniqueName="[UsageBillEndDate]" displayFolder="" count="0" unbalanced="0"/>
    <cacheHierarchy uniqueName="[UsageBillEndDate].[Usage BillEnd Semester]" caption="Usage BillEnd Semester" attribute="1" defaultMemberUniqueName="[UsageBillEndDate].[Usage BillEnd Semester].[All]" allUniqueName="[UsageBillEndDate].[Usage BillEnd Semester].[All]" dimensionUniqueName="[UsageBillEndDate]" displayFolder="" count="0" unbalanced="0"/>
    <cacheHierarchy uniqueName="[UsageBillEndDate].[Usage BillEnd WeekdayWeekend]" caption="Usage BillEnd WeekdayWeekend" attribute="1" defaultMemberUniqueName="[UsageBillEndDate].[Usage BillEnd WeekdayWeekend].[All]" allUniqueName="[UsageBillEndDate].[Usage BillEnd WeekdayWeekend].[All]" dimensionUniqueName="[UsageBillEndDate]" displayFolder="" count="0" unbalanced="0"/>
    <cacheHierarchy uniqueName="[UsageBillEndDate].[Usage BillEnd WeekOfMonth]" caption="Usage BillEnd WeekOfMonth" attribute="1" defaultMemberUniqueName="[UsageBillEndDate].[Usage BillEnd WeekOfMonth].[All]" allUniqueName="[UsageBillEndDate].[Usage BillEnd WeekOfMonth].[All]" dimensionUniqueName="[UsageBillEndDate]" displayFolder="" count="0" unbalanced="0"/>
    <cacheHierarchy uniqueName="[UsageBillEndDate].[Usage BillEnd WeekOfYear]" caption="Usage BillEnd WeekOfYear" attribute="1" defaultMemberUniqueName="[UsageBillEndDate].[Usage BillEnd WeekOfYear].[All]" allUniqueName="[UsageBillEndDate].[Usage BillEnd WeekOfYear].[All]" dimensionUniqueName="[UsageBillEndDate]" displayFolder="" count="0" unbalanced="0"/>
    <cacheHierarchy uniqueName="[UsageBillEndDate].[Usage BillEnd WorkingDayInd]" caption="Usage BillEnd WorkingDayInd" attribute="1" defaultMemberUniqueName="[UsageBillEndDate].[Usage BillEnd WorkingDayInd].[All]" allUniqueName="[UsageBillEndDate].[Usage BillEnd WorkingDayInd].[All]" dimensionUniqueName="[UsageBillEndDate]" displayFolder="" count="0" unbalanced="0"/>
    <cacheHierarchy uniqueName="[UsageBillEndDate].[Usage BillEnd Year]" caption="Usage BillEnd Year" attribute="1" defaultMemberUniqueName="[UsageBillEndDate].[Usage BillEnd Year].[All]" allUniqueName="[UsageBillEndDate].[Usage BillEnd Year].[All]" dimensionUniqueName="[UsageBillEndDate]" displayFolder="" count="0" unbalanced="0"/>
    <cacheHierarchy uniqueName="[UsageBillEndDate].[Usage BillEnd YearMonthAsInteger]" caption="Usage BillEnd YearMonthAsInteger" attribute="1" defaultMemberUniqueName="[UsageBillEndDate].[Usage BillEnd YearMonthAsInteger].[All]" allUniqueName="[UsageBillEndDate].[Usage BillEnd YearMonthAsInteger].[All]" dimensionUniqueName="[UsageBillEndDate]" displayFolder="" count="0" unbalanced="0"/>
    <cacheHierarchy uniqueName="[UsageBillEndDate].[Usage BillEnd YearQuarterAsInteger]" caption="Usage BillEnd YearQuarterAsInteger" attribute="1" defaultMemberUniqueName="[UsageBillEndDate].[Usage BillEnd YearQuarterAsInteger].[All]" allUniqueName="[UsageBillEndDate].[Usage BillEnd YearQuarterAsInteger].[All]" dimensionUniqueName="[UsageBillEndDate]" displayFolder="" count="0" unbalanced="0"/>
    <cacheHierarchy uniqueName="[UsageBillEndDate].[Usage BillEnd YearSemesterAsInteger]" caption="Usage BillEnd YearSemesterAsInteger" attribute="1" defaultMemberUniqueName="[UsageBillEndDate].[Usage BillEnd YearSemesterAsInteger].[All]" allUniqueName="[UsageBillEndDate].[Usage BillEnd YearSemesterAsInteger].[All]" dimensionUniqueName="[UsageBillEndDate]" displayFolder="" count="0" unbalanced="0"/>
    <cacheHierarchy uniqueName="[UsageBillStartDate].[HierBillSegStartDatePY]" caption="HierBillSegStartDatePY" defaultMemberUniqueName="[UsageBillStartDate].[HierBillSegStartDatePY].[All]" allUniqueName="[UsageBillStartDate].[HierBillSegStartDatePY].[All]" dimensionUniqueName="[UsageBillStartDate]" displayFolder="" count="4" unbalanced="0"/>
    <cacheHierarchy uniqueName="[UsageBillStartDate].[HierBillSegStartDateYear]" caption="HierBillSegStartDateYear" defaultMemberUniqueName="[UsageBillStartDate].[HierBillSegStartDateYear].[All]" allUniqueName="[UsageBillStartDate].[HierBillSegStartDateYear].[All]" dimensionUniqueName="[UsageBillStartDate]" displayFolder="" count="4" unbalanced="0"/>
    <cacheHierarchy uniqueName="[UsageBillStartDate].[Usage BillStart Date]" caption="Usage BillStart Date" attribute="1" defaultMemberUniqueName="[UsageBillStartDate].[Usage BillStart Date].[All]" allUniqueName="[UsageBillStartDate].[Usage BillStart Date].[All]" dimensionUniqueName="[UsageBillStartDate]" displayFolder="" count="0" unbalanced="0"/>
    <cacheHierarchy uniqueName="[UsageBillStartDate].[Usage BillStart DayOfMonth]" caption="Usage BillStart DayOfMonth" attribute="1" defaultMemberUniqueName="[UsageBillStartDate].[Usage BillStart DayOfMonth].[All]" allUniqueName="[UsageBillStartDate].[Usage BillStart DayOfMonth].[All]" dimensionUniqueName="[UsageBillStartDate]" displayFolder="" count="0" unbalanced="0"/>
    <cacheHierarchy uniqueName="[UsageBillStartDate].[Usage BillStart DayOfWeek]" caption="Usage BillStart DayOfWeek" attribute="1" defaultMemberUniqueName="[UsageBillStartDate].[Usage BillStart DayOfWeek].[All]" allUniqueName="[UsageBillStartDate].[Usage BillStart DayOfWeek].[All]" dimensionUniqueName="[UsageBillStartDate]" displayFolder="" count="0" unbalanced="0"/>
    <cacheHierarchy uniqueName="[UsageBillStartDate].[Usage BillStart DayOfWeekName]" caption="Usage BillStart DayOfWeekName" attribute="1" defaultMemberUniqueName="[UsageBillStartDate].[Usage BillStart DayOfWeekName].[All]" allUniqueName="[UsageBillStartDate].[Usage BillStart DayOfWeekName].[All]" dimensionUniqueName="[UsageBillStartDate]" displayFolder="" count="0" unbalanced="0"/>
    <cacheHierarchy uniqueName="[UsageBillStartDate].[Usage BillStart DayOfYear]" caption="Usage BillStart DayOfYear" attribute="1" defaultMemberUniqueName="[UsageBillStartDate].[Usage BillStart DayOfYear].[All]" allUniqueName="[UsageBillStartDate].[Usage BillStart DayOfYear].[All]" dimensionUniqueName="[UsageBillStartDate]" displayFolder="" count="0" unbalanced="0"/>
    <cacheHierarchy uniqueName="[UsageBillStartDate].[Usage BillStart HolidayInd]" caption="Usage BillStart HolidayInd" attribute="1" defaultMemberUniqueName="[UsageBillStartDate].[Usage BillStart HolidayInd].[All]" allUniqueName="[UsageBillStartDate].[Usage BillStart HolidayInd].[All]" dimensionUniqueName="[UsageBillStartDate]" displayFolder="" count="0" unbalanced="0"/>
    <cacheHierarchy uniqueName="[UsageBillStartDate].[Usage BillStart HolidayName]" caption="Usage BillStart HolidayName" attribute="1" defaultMemberUniqueName="[UsageBillStartDate].[Usage BillStart HolidayName].[All]" allUniqueName="[UsageBillStartDate].[Usage BillStart HolidayName].[All]" dimensionUniqueName="[UsageBillStartDate]" displayFolder="" count="0" unbalanced="0"/>
    <cacheHierarchy uniqueName="[UsageBillStartDate].[Usage BillStart LastDateOfMonth]" caption="Usage BillStart LastDateOfMonth" attribute="1" defaultMemberUniqueName="[UsageBillStartDate].[Usage BillStart LastDateOfMonth].[All]" allUniqueName="[UsageBillStartDate].[Usage BillStart LastDateOfMonth].[All]" dimensionUniqueName="[UsageBillStartDate]" displayFolder="" count="0" unbalanced="0"/>
    <cacheHierarchy uniqueName="[UsageBillStartDate].[Usage BillStart LastDayOfMonthIndicator]" caption="Usage BillStart LastDayOfMonthIndicator" attribute="1" defaultMemberUniqueName="[UsageBillStartDate].[Usage BillStart LastDayOfMonthIndicator].[All]" allUniqueName="[UsageBillStartDate].[Usage BillStart LastDayOfMonthIndicator].[All]" dimensionUniqueName="[UsageBillStartDate]" displayFolder="" count="0" unbalanced="0"/>
    <cacheHierarchy uniqueName="[UsageBillStartDate].[Usage BillStart Month]" caption="Usage BillStart Month" attribute="1" defaultMemberUniqueName="[UsageBillStartDate].[Usage BillStart Month].[All]" allUniqueName="[UsageBillStartDate].[Usage BillStart Month].[All]" dimensionUniqueName="[UsageBillStartDate]" displayFolder="" count="0" unbalanced="0"/>
    <cacheHierarchy uniqueName="[UsageBillStartDate].[Usage BillStart MonthNbr]" caption="Usage BillStart MonthNbr" attribute="1" defaultMemberUniqueName="[UsageBillStartDate].[Usage BillStart MonthNbr].[All]" allUniqueName="[UsageBillStartDate].[Usage BillStart MonthNbr].[All]" dimensionUniqueName="[UsageBillStartDate]" displayFolder="" count="0" unbalanced="0"/>
    <cacheHierarchy uniqueName="[UsageBillStartDate].[Usage BillStart Plan Month and Year]" caption="Usage BillStart Plan Month and Year" attribute="1" defaultMemberUniqueName="[UsageBillStartDate].[Usage BillStart Plan Month and Year].[All]" allUniqueName="[UsageBillStartDate].[Usage BillStart Plan Month and Year].[All]" dimensionUniqueName="[UsageBillStartDate]" displayFolder="" count="0" unbalanced="0"/>
    <cacheHierarchy uniqueName="[UsageBillStartDate].[Usage BillStart Plan Month Number]" caption="Usage BillStart Plan Month Number" attribute="1" defaultMemberUniqueName="[UsageBillStartDate].[Usage BillStart Plan Month Number].[All]" allUniqueName="[UsageBillStartDate].[Usage BillStart Plan Month Number].[All]" dimensionUniqueName="[UsageBillStartDate]" displayFolder="" count="0" unbalanced="0"/>
    <cacheHierarchy uniqueName="[UsageBillStartDate].[Usage BillStart Plan Quarter Number]" caption="Usage BillStart Plan Quarter Number" attribute="1" defaultMemberUniqueName="[UsageBillStartDate].[Usage BillStart Plan Quarter Number].[All]" allUniqueName="[UsageBillStartDate].[Usage BillStart Plan Quarter Number].[All]" dimensionUniqueName="[UsageBillStartDate]" displayFolder="" count="0" unbalanced="0"/>
    <cacheHierarchy uniqueName="[UsageBillStartDate].[Usage BillStart PY]" caption="Usage BillStart PY" attribute="1" defaultMemberUniqueName="[UsageBillStartDate].[Usage BillStart PY].[All]" allUniqueName="[UsageBillStartDate].[Usage BillStart PY].[All]" dimensionUniqueName="[UsageBillStartDate]" displayFolder="" count="0" unbalanced="0"/>
    <cacheHierarchy uniqueName="[UsageBillStartDate].[Usage BillStart Qtr]" caption="Usage BillStart Qtr" attribute="1" defaultMemberUniqueName="[UsageBillStartDate].[Usage BillStart Qtr].[All]" allUniqueName="[UsageBillStartDate].[Usage BillStart Qtr].[All]" dimensionUniqueName="[UsageBillStartDate]" displayFolder="" count="0" unbalanced="0"/>
    <cacheHierarchy uniqueName="[UsageBillStartDate].[Usage BillStart Semester]" caption="Usage BillStart Semester" attribute="1" defaultMemberUniqueName="[UsageBillStartDate].[Usage BillStart Semester].[All]" allUniqueName="[UsageBillStartDate].[Usage BillStart Semester].[All]" dimensionUniqueName="[UsageBillStartDate]" displayFolder="" count="0" unbalanced="0"/>
    <cacheHierarchy uniqueName="[UsageBillStartDate].[Usage BillStart WeekdayWeekend]" caption="Usage BillStart WeekdayWeekend" attribute="1" defaultMemberUniqueName="[UsageBillStartDate].[Usage BillStart WeekdayWeekend].[All]" allUniqueName="[UsageBillStartDate].[Usage BillStart WeekdayWeekend].[All]" dimensionUniqueName="[UsageBillStartDate]" displayFolder="" count="0" unbalanced="0"/>
    <cacheHierarchy uniqueName="[UsageBillStartDate].[Usage BillStart WeekOfMonth]" caption="Usage BillStart WeekOfMonth" attribute="1" defaultMemberUniqueName="[UsageBillStartDate].[Usage BillStart WeekOfMonth].[All]" allUniqueName="[UsageBillStartDate].[Usage BillStart WeekOfMonth].[All]" dimensionUniqueName="[UsageBillStartDate]" displayFolder="" count="0" unbalanced="0"/>
    <cacheHierarchy uniqueName="[UsageBillStartDate].[Usage BillStart WeekOfYear]" caption="Usage BillStart WeekOfYear" attribute="1" defaultMemberUniqueName="[UsageBillStartDate].[Usage BillStart WeekOfYear].[All]" allUniqueName="[UsageBillStartDate].[Usage BillStart WeekOfYear].[All]" dimensionUniqueName="[UsageBillStartDate]" displayFolder="" count="0" unbalanced="0"/>
    <cacheHierarchy uniqueName="[UsageBillStartDate].[Usage BillStart WorkingDayInd]" caption="Usage BillStart WorkingDayInd" attribute="1" defaultMemberUniqueName="[UsageBillStartDate].[Usage BillStart WorkingDayInd].[All]" allUniqueName="[UsageBillStartDate].[Usage BillStart WorkingDayInd].[All]" dimensionUniqueName="[UsageBillStartDate]" displayFolder="" count="0" unbalanced="0"/>
    <cacheHierarchy uniqueName="[UsageBillStartDate].[Usage BillStart Year]" caption="Usage BillStart Year" attribute="1" defaultMemberUniqueName="[UsageBillStartDate].[Usage BillStart Year].[All]" allUniqueName="[UsageBillStartDate].[Usage BillStart Year].[All]" dimensionUniqueName="[UsageBillStartDate]" displayFolder="" count="0" unbalanced="0"/>
    <cacheHierarchy uniqueName="[UsageBillStartDate].[Usage BillStart YearMonthAsInteger]" caption="Usage BillStart YearMonthAsInteger" attribute="1" defaultMemberUniqueName="[UsageBillStartDate].[Usage BillStart YearMonthAsInteger].[All]" allUniqueName="[UsageBillStartDate].[Usage BillStart YearMonthAsInteger].[All]" dimensionUniqueName="[UsageBillStartDate]" displayFolder="" count="0" unbalanced="0"/>
    <cacheHierarchy uniqueName="[UsageBillStartDate].[Usage BillStart YearQuarterAsInteger]" caption="Usage BillStart YearQuarterAsInteger" attribute="1" defaultMemberUniqueName="[UsageBillStartDate].[Usage BillStart YearQuarterAsInteger].[All]" allUniqueName="[UsageBillStartDate].[Usage BillStart YearQuarterAsInteger].[All]" dimensionUniqueName="[UsageBillStartDate]" displayFolder="" count="0" unbalanced="0"/>
    <cacheHierarchy uniqueName="[UsageBillStartDate].[Usage BillStart YearSemesterAsInteger]" caption="Usage BillStart YearSemesterAsInteger" attribute="1" defaultMemberUniqueName="[UsageBillStartDate].[Usage BillStart YearSemesterAsInteger].[All]" allUniqueName="[UsageBillStartDate].[Usage BillStart YearSemesterAsInteger].[All]" dimensionUniqueName="[UsageBillStartDate]" displayFolder="" count="0" unbalanced="0"/>
    <cacheHierarchy uniqueName="[AccountCountyHierArchy].[AccountKey]" caption="AccountKey" attribute="1" defaultMemberUniqueName="[AccountCountyHierArchy].[AccountKey].[All]" allUniqueName="[AccountCountyHierArchy].[AccountKey].[All]" dimensionUniqueName="[AccountCountyHierArchy]" displayFolder="" count="0" unbalanced="0" hidden="1"/>
    <cacheHierarchy uniqueName="[AccountCountyHierArchy].[ServiceCountyKey]" caption="ServiceCountyKey" attribute="1" defaultMemberUniqueName="[AccountCountyHierArchy].[ServiceCountyKey].[All]" allUniqueName="[AccountCountyHierArchy].[ServiceCountyKey].[All]" dimensionUniqueName="[AccountCountyHierArchy]" displayFolder="" count="0" unbalanced="0" hidden="1"/>
    <cacheHierarchy uniqueName="[AccountCountyHierArchy].[ServiceTownKey]" caption="ServiceTownKey" attribute="1" defaultMemberUniqueName="[AccountCountyHierArchy].[ServiceTownKey].[All]" allUniqueName="[AccountCountyHierArchy].[ServiceTownKey].[All]" dimensionUniqueName="[AccountCountyHierArchy]" displayFolder="" count="0" unbalanced="0" hidden="1"/>
    <cacheHierarchy uniqueName="[AccountCountyHierArchy].[ServiceTownName]" caption="ServiceTownName" attribute="1" defaultMemberUniqueName="[AccountCountyHierArchy].[ServiceTownName].[All]" allUniqueName="[AccountCountyHierArchy].[ServiceTownName].[All]" dimensionUniqueName="[AccountCountyHierArchy]" displayFolder="" count="0" unbalanced="0" hidden="1"/>
    <cacheHierarchy uniqueName="[AcctA44Ranking].[TableValueKey]" caption="TableValueKey" attribute="1" defaultMemberUniqueName="[AcctA44Ranking].[TableValueKey].[All]" allUniqueName="[AcctA44Ranking].[TableValueKey].[All]" dimensionUniqueName="[AcctA44Ranking]" displayFolder="" count="0" unbalanced="0" hidden="1"/>
    <cacheHierarchy uniqueName="[AcctContactRules].[TableValueKey]" caption="TableValueKey" attribute="1" defaultMemberUniqueName="[AcctContactRules].[TableValueKey].[All]" allUniqueName="[AcctContactRules].[TableValueKey].[All]" dimensionUniqueName="[AcctContactRules]" displayFolder="" count="0" unbalanced="0" hidden="1"/>
    <cacheHierarchy uniqueName="[AcctDualFuelType].[TableValueKey]" caption="TableValueKey" attribute="1" defaultMemberUniqueName="[AcctDualFuelType].[TableValueKey].[All]" allUniqueName="[AcctDualFuelType].[TableValueKey].[All]" dimensionUniqueName="[AcctDualFuelType]" displayFolder="" count="0" unbalanced="0" hidden="1"/>
    <cacheHierarchy uniqueName="[AcctGasLDC].[TableValueKey]" caption="TableValueKey" attribute="1" defaultMemberUniqueName="[AcctGasLDC].[TableValueKey].[All]" allUniqueName="[AcctGasLDC].[TableValueKey].[All]" dimensionUniqueName="[AcctGasLDC]" displayFolder="" count="0" unbalanced="0" hidden="1"/>
    <cacheHierarchy uniqueName="[AcctMarketCode].[TableValueKey]" caption="TableValueKey" attribute="1" defaultMemberUniqueName="[AcctMarketCode].[TableValueKey].[All]" allUniqueName="[AcctMarketCode].[TableValueKey].[All]" dimensionUniqueName="[AcctMarketCode]" displayFolder="" count="0" unbalanced="0" hidden="1"/>
    <cacheHierarchy uniqueName="[AcctNAICSVerificationDate].[Datekey]" caption="Datekey" attribute="1" defaultMemberUniqueName="[AcctNAICSVerificationDate].[Datekey].[All]" allUniqueName="[AcctNAICSVerificationDate].[Datekey].[All]" dimensionUniqueName="[AcctNAICSVerificationDate]" displayFolder="" count="0" unbalanced="0" hidden="1"/>
    <cacheHierarchy uniqueName="[AcctUsageLevelFilter].[AccountKey]" caption="AccountKey" attribute="1" defaultMemberUniqueName="[AcctUsageLevelFilter].[AccountKey].[All]" allUniqueName="[AcctUsageLevelFilter].[AccountKey].[All]" dimensionUniqueName="[AcctUsageLevelFilter]" displayFolder="" count="0" unbalanced="0" hidden="1"/>
    <cacheHierarchy uniqueName="[AcctUsageLevelFilter].[UsageTierOrder]" caption="UsageTierOrder" attribute="1" defaultMemberUniqueName="[AcctUsageLevelFilter].[UsageTierOrder].[All]" allUniqueName="[AcctUsageLevelFilter].[UsageTierOrder].[All]" dimensionUniqueName="[AcctUsageLevelFilter]" displayFolder="" count="0" unbalanced="0" hidden="1"/>
    <cacheHierarchy uniqueName="[Budget ProgramYear].[Datekey]" caption="Datekey" attribute="1" defaultMemberUniqueName="[Budget ProgramYear].[Datekey].[All]" allUniqueName="[Budget ProgramYear].[Datekey].[All]" dimensionUniqueName="[Budget ProgramYear]" displayFolder="" count="0" unbalanced="0" hidden="1"/>
    <cacheHierarchy uniqueName="[DimAccount].[A44RankingTableValueKey]" caption="A44RankingTableValueKey" attribute="1" defaultMemberUniqueName="[DimAccount].[A44RankingTableValueKey].[All]" allUniqueName="[DimAccount].[A44RankingTableValueKey].[All]" dimensionUniqueName="[DimAccount]" displayFolder="" count="0" unbalanced="0" hidden="1"/>
    <cacheHierarchy uniqueName="[DimAccount].[AccountKey]" caption="AccountKey" attribute="1" defaultMemberUniqueName="[DimAccount].[AccountKey].[All]" allUniqueName="[DimAccount].[AccountKey].[All]" dimensionUniqueName="[DimAccount]" displayFolder="" count="0" unbalanced="0" hidden="1"/>
    <cacheHierarchy uniqueName="[DimAccount].[BusinessAccountSegmentKey]" caption="BusinessAccountSegmentKey" attribute="1" defaultMemberUniqueName="[DimAccount].[BusinessAccountSegmentKey].[All]" allUniqueName="[DimAccount].[BusinessAccountSegmentKey].[All]" dimensionUniqueName="[DimAccount]" displayFolder="" count="0" unbalanced="0" hidden="1"/>
    <cacheHierarchy uniqueName="[DimAccount].[BusinessPremiseSegmentKey]" caption="BusinessPremiseSegmentKey" attribute="1" defaultMemberUniqueName="[DimAccount].[BusinessPremiseSegmentKey].[All]" allUniqueName="[DimAccount].[BusinessPremiseSegmentKey].[All]" dimensionUniqueName="[DimAccount]" displayFolder="" count="0" unbalanced="0" hidden="1"/>
    <cacheHierarchy uniqueName="[DimAccount].[CompanyKey]" caption="CompanyKey" attribute="1" defaultMemberUniqueName="[DimAccount].[CompanyKey].[All]" allUniqueName="[DimAccount].[CompanyKey].[All]" dimensionUniqueName="[DimAccount]" displayFolder="" count="0" unbalanced="0" hidden="1"/>
    <cacheHierarchy uniqueName="[DimAccount].[ContactRulesTableValueKey]" caption="ContactRulesTableValueKey" attribute="1" defaultMemberUniqueName="[DimAccount].[ContactRulesTableValueKey].[All]" allUniqueName="[DimAccount].[ContactRulesTableValueKey].[All]" dimensionUniqueName="[DimAccount]" displayFolder="" count="0" unbalanced="0" hidden="1"/>
    <cacheHierarchy uniqueName="[DimAccount].[DualFuelTypeTableValueKey]" caption="DualFuelTypeTableValueKey" attribute="1" defaultMemberUniqueName="[DimAccount].[DualFuelTypeTableValueKey].[All]" allUniqueName="[DimAccount].[DualFuelTypeTableValueKey].[All]" dimensionUniqueName="[DimAccount]" displayFolder="" count="0" unbalanced="0" hidden="1"/>
    <cacheHierarchy uniqueName="[DimAccount].[GasLDCTableValueKey]" caption="GasLDCTableValueKey" attribute="1" defaultMemberUniqueName="[DimAccount].[GasLDCTableValueKey].[All]" allUniqueName="[DimAccount].[GasLDCTableValueKey].[All]" dimensionUniqueName="[DimAccount]" displayFolder="" count="0" unbalanced="0" hidden="1"/>
    <cacheHierarchy uniqueName="[DimAccount].[MarketCodeTableValueKey]" caption="MarketCodeTableValueKey" attribute="1" defaultMemberUniqueName="[DimAccount].[MarketCodeTableValueKey].[All]" allUniqueName="[DimAccount].[MarketCodeTableValueKey].[All]" dimensionUniqueName="[DimAccount]" displayFolder="" count="0" unbalanced="0" hidden="1"/>
    <cacheHierarchy uniqueName="[DimAccount].[NAICSCodeKey]" caption="NAICSCodeKey" attribute="1" defaultMemberUniqueName="[DimAccount].[NAICSCodeKey].[All]" allUniqueName="[DimAccount].[NAICSCodeKey].[All]" dimensionUniqueName="[DimAccount]" displayFolder="" count="0" unbalanced="0" hidden="1"/>
    <cacheHierarchy uniqueName="[DimAccount].[NAICSVerificationDateKey]" caption="NAICSVerificationDateKey" attribute="1" defaultMemberUniqueName="[DimAccount].[NAICSVerificationDateKey].[All]" allUniqueName="[DimAccount].[NAICSVerificationDateKey].[All]" dimensionUniqueName="[DimAccount]" displayFolder="" count="0" unbalanced="0" hidden="1"/>
    <cacheHierarchy uniqueName="[DimAccount].[ParentAccountKey]" caption="ParentAccountKey" attribute="1" defaultMemberUniqueName="[DimAccount].[ParentAccountKey].[All]" allUniqueName="[DimAccount].[ParentAccountKey].[All]" dimensionUniqueName="[DimAccount]" displayFolder="" count="0" unbalanced="0" hidden="1"/>
    <cacheHierarchy uniqueName="[DimAccount].[ResidentialAccountSegmentKey]" caption="ResidentialAccountSegmentKey" attribute="1" defaultMemberUniqueName="[DimAccount].[ResidentialAccountSegmentKey].[All]" allUniqueName="[DimAccount].[ResidentialAccountSegmentKey].[All]" dimensionUniqueName="[DimAccount]" displayFolder="" count="0" unbalanced="0" hidden="1"/>
    <cacheHierarchy uniqueName="[DimAccount].[ResidentialPremiseSegmentKey]" caption="ResidentialPremiseSegmentKey" attribute="1" defaultMemberUniqueName="[DimAccount].[ResidentialPremiseSegmentKey].[All]" allUniqueName="[DimAccount].[ResidentialPremiseSegmentKey].[All]" dimensionUniqueName="[DimAccount]" displayFolder="" count="0" unbalanced="0" hidden="1"/>
    <cacheHierarchy uniqueName="[DimAccount].[ServiceCountyKey]" caption="ServiceCountyKey" attribute="1" defaultMemberUniqueName="[DimAccount].[ServiceCountyKey].[All]" allUniqueName="[DimAccount].[ServiceCountyKey].[All]" dimensionUniqueName="[DimAccount]" displayFolder="" count="0" unbalanced="0" hidden="1"/>
    <cacheHierarchy uniqueName="[DimAccount].[ServiceTownKey]" caption="ServiceTownKey" attribute="1" defaultMemberUniqueName="[DimAccount].[ServiceTownKey].[All]" allUniqueName="[DimAccount].[ServiceTownKey].[All]" dimensionUniqueName="[DimAccount]" displayFolder="" count="0" unbalanced="0" hidden="1"/>
    <cacheHierarchy uniqueName="[DimAccountUsageLevel].[AccountKey]" caption="AccountKey" attribute="1" defaultMemberUniqueName="[DimAccountUsageLevel].[AccountKey].[All]" allUniqueName="[DimAccountUsageLevel].[AccountKey].[All]" dimensionUniqueName="[DimAccountUsageLevel]" displayFolder="" count="0" unbalanced="0" hidden="1"/>
    <cacheHierarchy uniqueName="[DimAccountUsageLevel].[AccountUsageLevelKey]" caption="AccountUsageLevelKey" attribute="1" defaultMemberUniqueName="[DimAccountUsageLevel].[AccountUsageLevelKey].[All]" allUniqueName="[DimAccountUsageLevel].[AccountUsageLevelKey].[All]" dimensionUniqueName="[DimAccountUsageLevel]" displayFolder="" count="0" unbalanced="0" hidden="1"/>
    <cacheHierarchy uniqueName="[DimAccountUsageLevel].[HashByteValueType1]" caption="HashByteValueType1" attribute="1" defaultMemberUniqueName="[DimAccountUsageLevel].[HashByteValueType1].[All]" allUniqueName="[DimAccountUsageLevel].[HashByteValueType1].[All]" dimensionUniqueName="[DimAccountUsageLevel]" displayFolder="" count="0" unbalanced="0" hidden="1"/>
    <cacheHierarchy uniqueName="[DimBuildingType].[BuildingTypeKey]" caption="BuildingTypeKey" attribute="1" defaultMemberUniqueName="[DimBuildingType].[BuildingTypeKey].[All]" allUniqueName="[DimBuildingType].[BuildingTypeKey].[All]" dimensionUniqueName="[DimBuildingType]" displayFolder="" count="0" unbalanced="0" hidden="1"/>
    <cacheHierarchy uniqueName="[DimBusinessAccountSegment].[BusinessAccountSegmentKey]" caption="BusinessAccountSegmentKey" attribute="1" defaultMemberUniqueName="[DimBusinessAccountSegment].[BusinessAccountSegmentKey].[All]" allUniqueName="[DimBusinessAccountSegment].[BusinessAccountSegmentKey].[All]" dimensionUniqueName="[DimBusinessAccountSegment]" displayFolder="" count="0" unbalanced="0" hidden="1"/>
    <cacheHierarchy uniqueName="[DimBusinessPremiseSegment].[BusinessPremiseSegmentKey]" caption="BusinessPremiseSegmentKey" attribute="1" defaultMemberUniqueName="[DimBusinessPremiseSegment].[BusinessPremiseSegmentKey].[All]" allUniqueName="[DimBusinessPremiseSegment].[BusinessPremiseSegmentKey].[All]" dimensionUniqueName="[DimBusinessPremiseSegment]" displayFolder="" count="0" unbalanced="0" hidden="1"/>
    <cacheHierarchy uniqueName="[DimBusinessPremiseSegment].[PremiseID]" caption="PremiseID" attribute="1" defaultMemberUniqueName="[DimBusinessPremiseSegment].[PremiseID].[All]" allUniqueName="[DimBusinessPremiseSegment].[PremiseID].[All]" dimensionUniqueName="[DimBusinessPremiseSegment]" displayFolder="" count="0" unbalanced="0" hidden="1"/>
    <cacheHierarchy uniqueName="[DimContactMailer].[ContactKey]" caption="ContactKey" attribute="1" defaultMemberUniqueName="[DimContactMailer].[ContactKey].[All]" allUniqueName="[DimContactMailer].[ContactKey].[All]" dimensionUniqueName="[DimContactMailer]" displayFolder="" count="0" unbalanced="0" hidden="1"/>
    <cacheHierarchy uniqueName="[DimContactMailer].[ContactMailerKey]" caption="ContactMailerKey" attribute="1" defaultMemberUniqueName="[DimContactMailer].[ContactMailerKey].[All]" allUniqueName="[DimContactMailer].[ContactMailerKey].[All]" dimensionUniqueName="[DimContactMailer]" displayFolder="" count="0" unbalanced="0" hidden="1"/>
    <cacheHierarchy uniqueName="[DimContactMailer].[Mailer Key]" caption="Mailer Key" attribute="1" defaultMemberUniqueName="[DimContactMailer].[Mailer Key].[All]" allUniqueName="[DimContactMailer].[Mailer Key].[All]" dimensionUniqueName="[DimContactMailer]" displayFolder="" count="0" unbalanced="0" hidden="1"/>
    <cacheHierarchy uniqueName="[DimCustomerSelectSupplier].[CustomerSelectSupplierKey]" caption="CustomerSelectSupplierKey" attribute="1" defaultMemberUniqueName="[DimCustomerSelectSupplier].[CustomerSelectSupplierKey].[All]" allUniqueName="[DimCustomerSelectSupplier].[CustomerSelectSupplierKey].[All]" dimensionUniqueName="[DimCustomerSelectSupplier]" displayFolder="" count="0" unbalanced="0" hidden="1"/>
    <cacheHierarchy uniqueName="[DimDate].[LastUpdated]" caption="LastUpdated" attribute="1" time="1" defaultMemberUniqueName="[DimDate].[LastUpdated].[All]" allUniqueName="[DimDate].[LastUpdated].[All]" dimensionUniqueName="[DimDate]" displayFolder="" count="0" unbalanced="0" hidden="1"/>
    <cacheHierarchy uniqueName="[DimEquipmentCode].[EquipmentCodeKey]" caption="EquipmentCodeKey" attribute="1" defaultMemberUniqueName="[DimEquipmentCode].[EquipmentCodeKey].[All]" allUniqueName="[DimEquipmentCode].[EquipmentCodeKey].[All]" dimensionUniqueName="[DimEquipmentCode]" displayFolder="" count="0" unbalanced="0" hidden="1"/>
    <cacheHierarchy uniqueName="[DimEquipmentCode].[MarketSegmentKey]" caption="MarketSegmentKey" attribute="1" defaultMemberUniqueName="[DimEquipmentCode].[MarketSegmentKey].[All]" allUniqueName="[DimEquipmentCode].[MarketSegmentKey].[All]" dimensionUniqueName="[DimEquipmentCode]" displayFolder="" count="0" unbalanced="0" hidden="1"/>
    <cacheHierarchy uniqueName="[DimMeasureGroup].[MeasureGroupKey]" caption="MeasureGroupKey" attribute="1" defaultMemberUniqueName="[DimMeasureGroup].[MeasureGroupKey].[All]" allUniqueName="[DimMeasureGroup].[MeasureGroupKey].[All]" dimensionUniqueName="[DimMeasureGroup]" displayFolder="" count="0" unbalanced="0" hidden="1"/>
    <cacheHierarchy uniqueName="[DimNAICSCode].[NAICS Code]" caption="NAICS Code" attribute="1" defaultMemberUniqueName="[DimNAICSCode].[NAICS Code].[All]" allUniqueName="[DimNAICSCode].[NAICS Code].[All]" dimensionUniqueName="[DimNAICSCode]" displayFolder="" count="0" unbalanced="0" hidden="1"/>
    <cacheHierarchy uniqueName="[DimNAICSCode].[NAICS Code Description]" caption="NAICS Code Description" attribute="1" defaultMemberUniqueName="[DimNAICSCode].[NAICS Code Description].[All]" allUniqueName="[DimNAICSCode].[NAICS Code Description].[All]" dimensionUniqueName="[DimNAICSCode]" displayFolder="" count="0" unbalanced="0" hidden="1"/>
    <cacheHierarchy uniqueName="[DimNAICSCode].[NAICSCodeKey]" caption="NAICSCodeKey" attribute="1" defaultMemberUniqueName="[DimNAICSCode].[NAICSCodeKey].[All]" allUniqueName="[DimNAICSCode].[NAICSCodeKey].[All]" dimensionUniqueName="[DimNAICSCode]" displayFolder="" count="0" unbalanced="0" hidden="1"/>
    <cacheHierarchy uniqueName="[DimPayee].[DQScoreKey]" caption="DQScoreKey" attribute="1" defaultMemberUniqueName="[DimPayee].[DQScoreKey].[All]" allUniqueName="[DimPayee].[DQScoreKey].[All]" dimensionUniqueName="[DimPayee]" displayFolder="" count="0" unbalanced="0" hidden="1"/>
    <cacheHierarchy uniqueName="[DimPayee].[HashByteValueType1]" caption="HashByteValueType1" attribute="1" defaultMemberUniqueName="[DimPayee].[HashByteValueType1].[All]" allUniqueName="[DimPayee].[HashByteValueType1].[All]" dimensionUniqueName="[DimPayee]" displayFolder="" count="0" unbalanced="0" hidden="1"/>
    <cacheHierarchy uniqueName="[DimPayee].[HashByteValueType2]" caption="HashByteValueType2" attribute="1" defaultMemberUniqueName="[DimPayee].[HashByteValueType2].[All]" allUniqueName="[DimPayee].[HashByteValueType2].[All]" dimensionUniqueName="[DimPayee]" displayFolder="" count="0" unbalanced="0" hidden="1"/>
    <cacheHierarchy uniqueName="[DimPayee].[InsertAuditKey]" caption="InsertAuditKey" attribute="1" defaultMemberUniqueName="[DimPayee].[InsertAuditKey].[All]" allUniqueName="[DimPayee].[InsertAuditKey].[All]" dimensionUniqueName="[DimPayee]" displayFolder="" count="0" unbalanced="0" hidden="1"/>
    <cacheHierarchy uniqueName="[DimPayee].[PayeeKey]" caption="PayeeKey" attribute="1" defaultMemberUniqueName="[DimPayee].[PayeeKey].[All]" allUniqueName="[DimPayee].[PayeeKey].[All]" dimensionUniqueName="[DimPayee]" displayFolder="" count="0" unbalanced="0" hidden="1"/>
    <cacheHierarchy uniqueName="[DimPayee].[RowChangeReason]" caption="RowChangeReason" attribute="1" defaultMemberUniqueName="[DimPayee].[RowChangeReason].[All]" allUniqueName="[DimPayee].[RowChangeReason].[All]" dimensionUniqueName="[DimPayee]" displayFolder="" count="0" unbalanced="0" hidden="1"/>
    <cacheHierarchy uniqueName="[DimPayee].[RowEndDate]" caption="RowEndDate" attribute="1" defaultMemberUniqueName="[DimPayee].[RowEndDate].[All]" allUniqueName="[DimPayee].[RowEndDate].[All]" dimensionUniqueName="[DimPayee]" displayFolder="" count="0" unbalanced="0" hidden="1"/>
    <cacheHierarchy uniqueName="[DimPayee].[RowIsCurrent]" caption="RowIsCurrent" attribute="1" defaultMemberUniqueName="[DimPayee].[RowIsCurrent].[All]" allUniqueName="[DimPayee].[RowIsCurrent].[All]" dimensionUniqueName="[DimPayee]" displayFolder="" count="0" unbalanced="0" hidden="1"/>
    <cacheHierarchy uniqueName="[DimPayee].[RowStartDate]" caption="RowStartDate" attribute="1" defaultMemberUniqueName="[DimPayee].[RowStartDate].[All]" allUniqueName="[DimPayee].[RowStartDate].[All]" dimensionUniqueName="[DimPayee]" displayFolder="" count="0" unbalanced="0" hidden="1"/>
    <cacheHierarchy uniqueName="[DimPayee].[UpdateAuditKey]" caption="UpdateAuditKey" attribute="1" defaultMemberUniqueName="[DimPayee].[UpdateAuditKey].[All]" allUniqueName="[DimPayee].[UpdateAuditKey].[All]" dimensionUniqueName="[DimPayee]" displayFolder="" count="0" unbalanced="0" hidden="1"/>
    <cacheHierarchy uniqueName="[DimPipeLineStatus].[DQScoreKey]" caption="DQScoreKey" attribute="1" defaultMemberUniqueName="[DimPipeLineStatus].[DQScoreKey].[All]" allUniqueName="[DimPipeLineStatus].[DQScoreKey].[All]" dimensionUniqueName="[DimPipeLineStatus]" displayFolder="" count="0" unbalanced="0" hidden="1"/>
    <cacheHierarchy uniqueName="[DimPipeLineStatus].[InsertAuditKey]" caption="InsertAuditKey" attribute="1" defaultMemberUniqueName="[DimPipeLineStatus].[InsertAuditKey].[All]" allUniqueName="[DimPipeLineStatus].[InsertAuditKey].[All]" dimensionUniqueName="[DimPipeLineStatus]" displayFolder="" count="0" unbalanced="0" hidden="1"/>
    <cacheHierarchy uniqueName="[DimPipeLineStatus].[PipeLineStatusKey]" caption="PipeLineStatusKey" attribute="1" defaultMemberUniqueName="[DimPipeLineStatus].[PipeLineStatusKey].[All]" allUniqueName="[DimPipeLineStatus].[PipeLineStatusKey].[All]" dimensionUniqueName="[DimPipeLineStatus]" displayFolder="" count="0" unbalanced="0" hidden="1"/>
    <cacheHierarchy uniqueName="[DimPipeLineStatus].[RowChangeReason]" caption="RowChangeReason" attribute="1" defaultMemberUniqueName="[DimPipeLineStatus].[RowChangeReason].[All]" allUniqueName="[DimPipeLineStatus].[RowChangeReason].[All]" dimensionUniqueName="[DimPipeLineStatus]" displayFolder="" count="0" unbalanced="0" hidden="1"/>
    <cacheHierarchy uniqueName="[DimPipeLineStatus].[RowEndDate]" caption="RowEndDate" attribute="1" defaultMemberUniqueName="[DimPipeLineStatus].[RowEndDate].[All]" allUniqueName="[DimPipeLineStatus].[RowEndDate].[All]" dimensionUniqueName="[DimPipeLineStatus]" displayFolder="" count="0" unbalanced="0" hidden="1"/>
    <cacheHierarchy uniqueName="[DimPipeLineStatus].[RowIsCurrent]" caption="RowIsCurrent" attribute="1" defaultMemberUniqueName="[DimPipeLineStatus].[RowIsCurrent].[All]" allUniqueName="[DimPipeLineStatus].[RowIsCurrent].[All]" dimensionUniqueName="[DimPipeLineStatus]" displayFolder="" count="0" unbalanced="0" hidden="1"/>
    <cacheHierarchy uniqueName="[DimPipeLineStatus].[RowStartDate]" caption="RowStartDate" attribute="1" defaultMemberUniqueName="[DimPipeLineStatus].[RowStartDate].[All]" allUniqueName="[DimPipeLineStatus].[RowStartDate].[All]" dimensionUniqueName="[DimPipeLineStatus]" displayFolder="" count="0" unbalanced="0" hidden="1"/>
    <cacheHierarchy uniqueName="[DimPipeLineStatus].[UpdateAuditKey]" caption="UpdateAuditKey" attribute="1" defaultMemberUniqueName="[DimPipeLineStatus].[UpdateAuditKey].[All]" allUniqueName="[DimPipeLineStatus].[UpdateAuditKey].[All]" dimensionUniqueName="[DimPipeLineStatus]" displayFolder="" count="0" unbalanced="0" hidden="1"/>
    <cacheHierarchy uniqueName="[DimPMTIC].[DQScoreKey]" caption="DQScoreKey" attribute="1" defaultMemberUniqueName="[DimPMTIC].[DQScoreKey].[All]" allUniqueName="[DimPMTIC].[DQScoreKey].[All]" dimensionUniqueName="[DimPMTIC]" displayFolder="" count="0" unbalanced="0" hidden="1"/>
    <cacheHierarchy uniqueName="[DimPMTIC].[InsertAuditKey]" caption="InsertAuditKey" attribute="1" defaultMemberUniqueName="[DimPMTIC].[InsertAuditKey].[All]" allUniqueName="[DimPMTIC].[InsertAuditKey].[All]" dimensionUniqueName="[DimPMTIC]" displayFolder="" count="0" unbalanced="0" hidden="1"/>
    <cacheHierarchy uniqueName="[DimPMTIC].[PMTICKey]" caption="PMTICKey" attribute="1" defaultMemberUniqueName="[DimPMTIC].[PMTICKey].[All]" allUniqueName="[DimPMTIC].[PMTICKey].[All]" dimensionUniqueName="[DimPMTIC]" displayFolder="" count="0" unbalanced="0" hidden="1"/>
    <cacheHierarchy uniqueName="[DimPMTIC].[RowChangeReason]" caption="RowChangeReason" attribute="1" defaultMemberUniqueName="[DimPMTIC].[RowChangeReason].[All]" allUniqueName="[DimPMTIC].[RowChangeReason].[All]" dimensionUniqueName="[DimPMTIC]" displayFolder="" count="0" unbalanced="0" hidden="1"/>
    <cacheHierarchy uniqueName="[DimPMTIC].[RowEndDate]" caption="RowEndDate" attribute="1" defaultMemberUniqueName="[DimPMTIC].[RowEndDate].[All]" allUniqueName="[DimPMTIC].[RowEndDate].[All]" dimensionUniqueName="[DimPMTIC]" displayFolder="" count="0" unbalanced="0" hidden="1"/>
    <cacheHierarchy uniqueName="[DimPMTIC].[RowIsCurrent]" caption="RowIsCurrent" attribute="1" defaultMemberUniqueName="[DimPMTIC].[RowIsCurrent].[All]" allUniqueName="[DimPMTIC].[RowIsCurrent].[All]" dimensionUniqueName="[DimPMTIC]" displayFolder="" count="0" unbalanced="0" hidden="1"/>
    <cacheHierarchy uniqueName="[DimPMTIC].[RowStartDate]" caption="RowStartDate" attribute="1" defaultMemberUniqueName="[DimPMTIC].[RowStartDate].[All]" allUniqueName="[DimPMTIC].[RowStartDate].[All]" dimensionUniqueName="[DimPMTIC]" displayFolder="" count="0" unbalanced="0" hidden="1"/>
    <cacheHierarchy uniqueName="[DimPMTIC].[UpdateAuditKey]" caption="UpdateAuditKey" attribute="1" defaultMemberUniqueName="[DimPMTIC].[UpdateAuditKey].[All]" allUniqueName="[DimPMTIC].[UpdateAuditKey].[All]" dimensionUniqueName="[DimPMTIC]" displayFolder="" count="0" unbalanced="0" hidden="1"/>
    <cacheHierarchy uniqueName="[DimPMTMeasure].[PMTMeasureKey]" caption="PMTMeasureKey" attribute="1" defaultMemberUniqueName="[DimPMTMeasure].[PMTMeasureKey].[All]" allUniqueName="[DimPMTMeasure].[PMTMeasureKey].[All]" dimensionUniqueName="[DimPMTMeasure]" displayFolder="" count="0" unbalanced="0" hidden="1"/>
    <cacheHierarchy uniqueName="[DimPMTProgram].[PMTProgramKey]" caption="PMTProgramKey" attribute="1" defaultMemberUniqueName="[DimPMTProgram].[PMTProgramKey].[All]" allUniqueName="[DimPMTProgram].[PMTProgramKey].[All]" dimensionUniqueName="[DimPMTProgram]" displayFolder="" count="0" unbalanced="0" hidden="1"/>
    <cacheHierarchy uniqueName="[DimPMTProgramAccounting].[DimPMTProgramKey]" caption="DimPMTProgramKey" attribute="1" defaultMemberUniqueName="[DimPMTProgramAccounting].[DimPMTProgramKey].[All]" allUniqueName="[DimPMTProgramAccounting].[DimPMTProgramKey].[All]" dimensionUniqueName="[DimPMTProgramAccounting]" displayFolder="" count="0" unbalanced="0" hidden="1"/>
    <cacheHierarchy uniqueName="[DimPMTProject].[AccountKey]" caption="AccountKey" attribute="1" defaultMemberUniqueName="[DimPMTProject].[AccountKey].[All]" allUniqueName="[DimPMTProject].[AccountKey].[All]" dimensionUniqueName="[DimPMTProject]" displayFolder="" count="0" unbalanced="0" hidden="1"/>
    <cacheHierarchy uniqueName="[DimPMTProject].[BuildingTypeKey]" caption="BuildingTypeKey" attribute="1" defaultMemberUniqueName="[DimPMTProject].[BuildingTypeKey].[All]" allUniqueName="[DimPMTProject].[BuildingTypeKey].[All]" dimensionUniqueName="[DimPMTProject]" displayFolder="" count="0" unbalanced="0" hidden="1"/>
    <cacheHierarchy uniqueName="[DimPMTProject].[LastMajorRenovationDateKey]" caption="LastMajorRenovationDateKey" attribute="1" defaultMemberUniqueName="[DimPMTProject].[LastMajorRenovationDateKey].[All]" allUniqueName="[DimPMTProject].[LastMajorRenovationDateKey].[All]" dimensionUniqueName="[DimPMTProject]" displayFolder="" count="0" unbalanced="0" hidden="1"/>
    <cacheHierarchy uniqueName="[DimPMTProject].[PMTProgramKey]" caption="PMTProgramKey" attribute="1" defaultMemberUniqueName="[DimPMTProject].[PMTProgramKey].[All]" allUniqueName="[DimPMTProject].[PMTProgramKey].[All]" dimensionUniqueName="[DimPMTProject]" displayFolder="" count="0" unbalanced="0" hidden="1"/>
    <cacheHierarchy uniqueName="[DimPMTProject].[PMTProjectKey]" caption="PMTProjectKey" attribute="1" defaultMemberUniqueName="[DimPMTProject].[PMTProjectKey].[All]" allUniqueName="[DimPMTProject].[PMTProjectKey].[All]" dimensionUniqueName="[DimPMTProject]" displayFolder="" count="0" unbalanced="0" hidden="1"/>
    <cacheHierarchy uniqueName="[DimPMTProject].[ReferralSourceKey]" caption="ReferralSourceKey" attribute="1" defaultMemberUniqueName="[DimPMTProject].[ReferralSourceKey].[All]" allUniqueName="[DimPMTProject].[ReferralSourceKey].[All]" dimensionUniqueName="[DimPMTProject]" displayFolder="" count="0" unbalanced="0" hidden="1"/>
    <cacheHierarchy uniqueName="[DimPMTProject].[ReportingReferenceDateKey]" caption="ReportingReferenceDateKey" attribute="1" defaultMemberUniqueName="[DimPMTProject].[ReportingReferenceDateKey].[All]" allUniqueName="[DimPMTProject].[ReportingReferenceDateKey].[All]" dimensionUniqueName="[DimPMTProject]" displayFolder="" count="0" unbalanced="0" hidden="1"/>
    <cacheHierarchy uniqueName="[DimPMTSystem].[DQScoreKey]" caption="DQScoreKey" attribute="1" defaultMemberUniqueName="[DimPMTSystem].[DQScoreKey].[All]" allUniqueName="[DimPMTSystem].[DQScoreKey].[All]" dimensionUniqueName="[DimPMTSystem]" displayFolder="" count="0" unbalanced="0" hidden="1"/>
    <cacheHierarchy uniqueName="[DimPMTSystem].[HashByteValueType1]" caption="HashByteValueType1" attribute="1" defaultMemberUniqueName="[DimPMTSystem].[HashByteValueType1].[All]" allUniqueName="[DimPMTSystem].[HashByteValueType1].[All]" dimensionUniqueName="[DimPMTSystem]" displayFolder="" count="0" unbalanced="0" hidden="1"/>
    <cacheHierarchy uniqueName="[DimPMTSystem].[HashByteValueType2]" caption="HashByteValueType2" attribute="1" defaultMemberUniqueName="[DimPMTSystem].[HashByteValueType2].[All]" allUniqueName="[DimPMTSystem].[HashByteValueType2].[All]" dimensionUniqueName="[DimPMTSystem]" displayFolder="" count="0" unbalanced="0" hidden="1"/>
    <cacheHierarchy uniqueName="[DimPMTSystem].[ICName]" caption="ICName" attribute="1" defaultMemberUniqueName="[DimPMTSystem].[ICName].[All]" allUniqueName="[DimPMTSystem].[ICName].[All]" dimensionUniqueName="[DimPMTSystem]" displayFolder="" count="0" unbalanced="0" hidden="1"/>
    <cacheHierarchy uniqueName="[DimPMTSystem].[InsertAuditKey]" caption="InsertAuditKey" attribute="1" defaultMemberUniqueName="[DimPMTSystem].[InsertAuditKey].[All]" allUniqueName="[DimPMTSystem].[InsertAuditKey].[All]" dimensionUniqueName="[DimPMTSystem]" displayFolder="" count="0" unbalanced="0" hidden="1"/>
    <cacheHierarchy uniqueName="[DimPMTSystem].[PMTProgramKey]" caption="PMTProgramKey" attribute="1" defaultMemberUniqueName="[DimPMTSystem].[PMTProgramKey].[All]" allUniqueName="[DimPMTSystem].[PMTProgramKey].[All]" dimensionUniqueName="[DimPMTSystem]" displayFolder="" count="0" unbalanced="0" hidden="1"/>
    <cacheHierarchy uniqueName="[DimPMTSystem].[PMTProjectKey]" caption="PMTProjectKey" attribute="1" defaultMemberUniqueName="[DimPMTSystem].[PMTProjectKey].[All]" allUniqueName="[DimPMTSystem].[PMTProjectKey].[All]" dimensionUniqueName="[DimPMTSystem]" displayFolder="" count="0" unbalanced="0" hidden="1"/>
    <cacheHierarchy uniqueName="[DimPMTSystem].[PMTSystemKey]" caption="PMTSystemKey" attribute="1" defaultMemberUniqueName="[DimPMTSystem].[PMTSystemKey].[All]" allUniqueName="[DimPMTSystem].[PMTSystemKey].[All]" dimensionUniqueName="[DimPMTSystem]" displayFolder="" count="0" unbalanced="0" hidden="1"/>
    <cacheHierarchy uniqueName="[DimPMTSystem].[ReportingReferenceDate]" caption="ReportingReferenceDate" attribute="1" defaultMemberUniqueName="[DimPMTSystem].[ReportingReferenceDate].[All]" allUniqueName="[DimPMTSystem].[ReportingReferenceDate].[All]" dimensionUniqueName="[DimPMTSystem]" displayFolder="" count="0" unbalanced="0" hidden="1"/>
    <cacheHierarchy uniqueName="[DimPMTSystem].[RowChangeReason]" caption="RowChangeReason" attribute="1" defaultMemberUniqueName="[DimPMTSystem].[RowChangeReason].[All]" allUniqueName="[DimPMTSystem].[RowChangeReason].[All]" dimensionUniqueName="[DimPMTSystem]" displayFolder="" count="0" unbalanced="0" hidden="1"/>
    <cacheHierarchy uniqueName="[DimPMTSystem].[RowEndDate]" caption="RowEndDate" attribute="1" defaultMemberUniqueName="[DimPMTSystem].[RowEndDate].[All]" allUniqueName="[DimPMTSystem].[RowEndDate].[All]" dimensionUniqueName="[DimPMTSystem]" displayFolder="" count="0" unbalanced="0" hidden="1"/>
    <cacheHierarchy uniqueName="[DimPMTSystem].[RowIsCurrent]" caption="RowIsCurrent" attribute="1" defaultMemberUniqueName="[DimPMTSystem].[RowIsCurrent].[All]" allUniqueName="[DimPMTSystem].[RowIsCurrent].[All]" dimensionUniqueName="[DimPMTSystem]" displayFolder="" count="0" unbalanced="0" hidden="1"/>
    <cacheHierarchy uniqueName="[DimPMTSystem].[RowStartDate]" caption="RowStartDate" attribute="1" defaultMemberUniqueName="[DimPMTSystem].[RowStartDate].[All]" allUniqueName="[DimPMTSystem].[RowStartDate].[All]" dimensionUniqueName="[DimPMTSystem]" displayFolder="" count="0" unbalanced="0" hidden="1"/>
    <cacheHierarchy uniqueName="[DimPMTSystem].[UpdateAuditKey]" caption="UpdateAuditKey" attribute="1" defaultMemberUniqueName="[DimPMTSystem].[UpdateAuditKey].[All]" allUniqueName="[DimPMTSystem].[UpdateAuditKey].[All]" dimensionUniqueName="[DimPMTSystem]" displayFolder="" count="0" unbalanced="0" hidden="1"/>
    <cacheHierarchy uniqueName="[DimPMTSystem].[VendorProjectID]" caption="VendorProjectID" attribute="1" defaultMemberUniqueName="[DimPMTSystem].[VendorProjectID].[All]" allUniqueName="[DimPMTSystem].[VendorProjectID].[All]" dimensionUniqueName="[DimPMTSystem]" displayFolder="" count="0" unbalanced="0" hidden="1"/>
    <cacheHierarchy uniqueName="[DimProjectTradeAlly].[DQScoreKey]" caption="DQScoreKey" attribute="1" defaultMemberUniqueName="[DimProjectTradeAlly].[DQScoreKey].[All]" allUniqueName="[DimProjectTradeAlly].[DQScoreKey].[All]" dimensionUniqueName="[DimProjectTradeAlly]" displayFolder="" count="0" unbalanced="0" hidden="1"/>
    <cacheHierarchy uniqueName="[DimProjectTradeAlly].[InsertAuditKey]" caption="InsertAuditKey" attribute="1" defaultMemberUniqueName="[DimProjectTradeAlly].[InsertAuditKey].[All]" allUniqueName="[DimProjectTradeAlly].[InsertAuditKey].[All]" dimensionUniqueName="[DimProjectTradeAlly]" displayFolder="" count="0" unbalanced="0" hidden="1"/>
    <cacheHierarchy uniqueName="[DimProjectTradeAlly].[PMTProjectKey]" caption="PMTProjectKey" attribute="1" defaultMemberUniqueName="[DimProjectTradeAlly].[PMTProjectKey].[All]" allUniqueName="[DimProjectTradeAlly].[PMTProjectKey].[All]" dimensionUniqueName="[DimProjectTradeAlly]" displayFolder="" count="0" unbalanced="0" hidden="1"/>
    <cacheHierarchy uniqueName="[DimProjectTradeAlly].[PMTProjectTradeAllyKey]" caption="PMTProjectTradeAllyKey" attribute="1" defaultMemberUniqueName="[DimProjectTradeAlly].[PMTProjectTradeAllyKey].[All]" allUniqueName="[DimProjectTradeAlly].[PMTProjectTradeAllyKey].[All]" dimensionUniqueName="[DimProjectTradeAlly]" displayFolder="" count="0" unbalanced="0" hidden="1"/>
    <cacheHierarchy uniqueName="[DimProjectTradeAlly].[RowChangeReason]" caption="RowChangeReason" attribute="1" defaultMemberUniqueName="[DimProjectTradeAlly].[RowChangeReason].[All]" allUniqueName="[DimProjectTradeAlly].[RowChangeReason].[All]" dimensionUniqueName="[DimProjectTradeAlly]" displayFolder="" count="0" unbalanced="0" hidden="1"/>
    <cacheHierarchy uniqueName="[DimProjectTradeAlly].[RowEndDate]" caption="RowEndDate" attribute="1" defaultMemberUniqueName="[DimProjectTradeAlly].[RowEndDate].[All]" allUniqueName="[DimProjectTradeAlly].[RowEndDate].[All]" dimensionUniqueName="[DimProjectTradeAlly]" displayFolder="" count="0" unbalanced="0" hidden="1"/>
    <cacheHierarchy uniqueName="[DimProjectTradeAlly].[RowIsCurrent]" caption="RowIsCurrent" attribute="1" defaultMemberUniqueName="[DimProjectTradeAlly].[RowIsCurrent].[All]" allUniqueName="[DimProjectTradeAlly].[RowIsCurrent].[All]" dimensionUniqueName="[DimProjectTradeAlly]" displayFolder="" count="0" unbalanced="0" hidden="1"/>
    <cacheHierarchy uniqueName="[DimProjectTradeAlly].[RowStartDate]" caption="RowStartDate" attribute="1" defaultMemberUniqueName="[DimProjectTradeAlly].[RowStartDate].[All]" allUniqueName="[DimProjectTradeAlly].[RowStartDate].[All]" dimensionUniqueName="[DimProjectTradeAlly]" displayFolder="" count="0" unbalanced="0" hidden="1"/>
    <cacheHierarchy uniqueName="[DimProjectTradeAlly].[TradeAllyTypeKey]" caption="TradeAllyTypeKey" attribute="1" defaultMemberUniqueName="[DimProjectTradeAlly].[TradeAllyTypeKey].[All]" allUniqueName="[DimProjectTradeAlly].[TradeAllyTypeKey].[All]" dimensionUniqueName="[DimProjectTradeAlly]" displayFolder="" count="0" unbalanced="0" hidden="1"/>
    <cacheHierarchy uniqueName="[DimProjectTradeAlly].[UpdateAuditKey]" caption="UpdateAuditKey" attribute="1" defaultMemberUniqueName="[DimProjectTradeAlly].[UpdateAuditKey].[All]" allUniqueName="[DimProjectTradeAlly].[UpdateAuditKey].[All]" dimensionUniqueName="[DimProjectTradeAlly]" displayFolder="" count="0" unbalanced="0" hidden="1"/>
    <cacheHierarchy uniqueName="[DimRateSchedule].[RateScheduleKey]" caption="RateScheduleKey" attribute="1" defaultMemberUniqueName="[DimRateSchedule].[RateScheduleKey].[All]" allUniqueName="[DimRateSchedule].[RateScheduleKey].[All]" dimensionUniqueName="[DimRateSchedule]" displayFolder="" count="0" unbalanced="0" hidden="1"/>
    <cacheHierarchy uniqueName="[DimReadType].[ReadTypeKey]" caption="ReadTypeKey" attribute="1" defaultMemberUniqueName="[DimReadType].[ReadTypeKey].[All]" allUniqueName="[DimReadType].[ReadTypeKey].[All]" dimensionUniqueName="[DimReadType]" displayFolder="" count="0" unbalanced="0" hidden="1"/>
    <cacheHierarchy uniqueName="[DimReferralSource].[ReferralSourceKey]" caption="ReferralSourceKey" attribute="1" defaultMemberUniqueName="[DimReferralSource].[ReferralSourceKey].[All]" allUniqueName="[DimReferralSource].[ReferralSourceKey].[All]" dimensionUniqueName="[DimReferralSource]" displayFolder="" count="0" unbalanced="0" hidden="1"/>
    <cacheHierarchy uniqueName="[DimResidentialAccountSegment].[ResidentialAccountSegmentKey]" caption="ResidentialAccountSegmentKey" attribute="1" defaultMemberUniqueName="[DimResidentialAccountSegment].[ResidentialAccountSegmentKey].[All]" allUniqueName="[DimResidentialAccountSegment].[ResidentialAccountSegmentKey].[All]" dimensionUniqueName="[DimResidentialAccountSegment]" displayFolder="" count="0" unbalanced="0" hidden="1"/>
    <cacheHierarchy uniqueName="[DimResidentialPremiseSegment].[ResidentialPremiseSegmentKey]" caption="ResidentialPremiseSegmentKey" attribute="1" defaultMemberUniqueName="[DimResidentialPremiseSegment].[ResidentialPremiseSegmentKey].[All]" allUniqueName="[DimResidentialPremiseSegment].[ResidentialPremiseSegmentKey].[All]" dimensionUniqueName="[DimResidentialPremiseSegment]" displayFolder="" count="0" unbalanced="0" hidden="1"/>
    <cacheHierarchy uniqueName="[DimScenario].[ScenarioKey]" caption="ScenarioKey" attribute="1" defaultMemberUniqueName="[DimScenario].[ScenarioKey].[All]" allUniqueName="[DimScenario].[ScenarioKey].[All]" dimensionUniqueName="[DimScenario]" displayFolder="" count="0" unbalanced="0" hidden="1"/>
    <cacheHierarchy uniqueName="[DimServiceAgreementType].[ServiceAgreementTypeKey]" caption="ServiceAgreementTypeKey" attribute="1" defaultMemberUniqueName="[DimServiceAgreementType].[ServiceAgreementTypeKey].[All]" allUniqueName="[DimServiceAgreementType].[ServiceAgreementTypeKey].[All]" dimensionUniqueName="[DimServiceAgreementType]" displayFolder="" count="0" unbalanced="0" hidden="1"/>
    <cacheHierarchy uniqueName="[DimServiceCounty].[ServiceCountyKey]" caption="ServiceCountyKey" attribute="1" defaultMemberUniqueName="[DimServiceCounty].[ServiceCountyKey].[All]" allUniqueName="[DimServiceCounty].[ServiceCountyKey].[All]" dimensionUniqueName="[DimServiceCounty]" displayFolder="" count="0" unbalanced="0" hidden="1"/>
    <cacheHierarchy uniqueName="[DimServicePointType].[ServicePointTypeKey]" caption="ServicePointTypeKey" attribute="1" defaultMemberUniqueName="[DimServicePointType].[ServicePointTypeKey].[All]" allUniqueName="[DimServicePointType].[ServicePointTypeKey].[All]" dimensionUniqueName="[DimServicePointType]" displayFolder="" count="0" unbalanced="0" hidden="1"/>
    <cacheHierarchy uniqueName="[DimServiceTown].[ServiceTownKey]" caption="ServiceTownKey" attribute="1" defaultMemberUniqueName="[DimServiceTown].[ServiceTownKey].[All]" allUniqueName="[DimServiceTown].[ServiceTownKey].[All]" dimensionUniqueName="[DimServiceTown]" displayFolder="" count="0" unbalanced="0" hidden="1"/>
    <cacheHierarchy uniqueName="[DimSilverPopSurvey].[DQScoreKey]" caption="DQScoreKey" attribute="1" defaultMemberUniqueName="[DimSilverPopSurvey].[DQScoreKey].[All]" allUniqueName="[DimSilverPopSurvey].[DQScoreKey].[All]" dimensionUniqueName="[DimSilverPopSurvey]" displayFolder="" count="0" unbalanced="0" hidden="1"/>
    <cacheHierarchy uniqueName="[DimSilverPopSurvey].[InsertAuditKey]" caption="InsertAuditKey" attribute="1" defaultMemberUniqueName="[DimSilverPopSurvey].[InsertAuditKey].[All]" allUniqueName="[DimSilverPopSurvey].[InsertAuditKey].[All]" dimensionUniqueName="[DimSilverPopSurvey]" displayFolder="" count="0" unbalanced="0" hidden="1"/>
    <cacheHierarchy uniqueName="[DimSilverPopSurvey].[UpdateAuditKey]" caption="UpdateAuditKey" attribute="1" defaultMemberUniqueName="[DimSilverPopSurvey].[UpdateAuditKey].[All]" allUniqueName="[DimSilverPopSurvey].[UpdateAuditKey].[All]" dimensionUniqueName="[DimSilverPopSurvey]" displayFolder="" count="0" unbalanced="0" hidden="1"/>
    <cacheHierarchy uniqueName="[DimSubProgramType].[DQScoreKey]" caption="DQScoreKey" attribute="1" defaultMemberUniqueName="[DimSubProgramType].[DQScoreKey].[All]" allUniqueName="[DimSubProgramType].[DQScoreKey].[All]" dimensionUniqueName="[DimSubProgramType]" displayFolder="" count="0" unbalanced="0" hidden="1"/>
    <cacheHierarchy uniqueName="[DimSubProgramType].[InsertAuditKey]" caption="InsertAuditKey" attribute="1" defaultMemberUniqueName="[DimSubProgramType].[InsertAuditKey].[All]" allUniqueName="[DimSubProgramType].[InsertAuditKey].[All]" dimensionUniqueName="[DimSubProgramType]" displayFolder="" count="0" unbalanced="0" hidden="1"/>
    <cacheHierarchy uniqueName="[DimSubProgramType].[RowChangeReason]" caption="RowChangeReason" attribute="1" defaultMemberUniqueName="[DimSubProgramType].[RowChangeReason].[All]" allUniqueName="[DimSubProgramType].[RowChangeReason].[All]" dimensionUniqueName="[DimSubProgramType]" displayFolder="" count="0" unbalanced="0" hidden="1"/>
    <cacheHierarchy uniqueName="[DimSubProgramType].[RowEndDate]" caption="RowEndDate" attribute="1" defaultMemberUniqueName="[DimSubProgramType].[RowEndDate].[All]" allUniqueName="[DimSubProgramType].[RowEndDate].[All]" dimensionUniqueName="[DimSubProgramType]" displayFolder="" count="0" unbalanced="0" hidden="1"/>
    <cacheHierarchy uniqueName="[DimSubProgramType].[RowIsCurrent]" caption="RowIsCurrent" attribute="1" defaultMemberUniqueName="[DimSubProgramType].[RowIsCurrent].[All]" allUniqueName="[DimSubProgramType].[RowIsCurrent].[All]" dimensionUniqueName="[DimSubProgramType]" displayFolder="" count="0" unbalanced="0" hidden="1"/>
    <cacheHierarchy uniqueName="[DimSubProgramType].[RowStartDate]" caption="RowStartDate" attribute="1" defaultMemberUniqueName="[DimSubProgramType].[RowStartDate].[All]" allUniqueName="[DimSubProgramType].[RowStartDate].[All]" dimensionUniqueName="[DimSubProgramType]" displayFolder="" count="0" unbalanced="0" hidden="1"/>
    <cacheHierarchy uniqueName="[DimSubProgramType].[UpdateAuditKey]" caption="UpdateAuditKey" attribute="1" defaultMemberUniqueName="[DimSubProgramType].[UpdateAuditKey].[All]" allUniqueName="[DimSubProgramType].[UpdateAuditKey].[All]" dimensionUniqueName="[DimSubProgramType]" displayFolder="" count="0" unbalanced="0" hidden="1"/>
    <cacheHierarchy uniqueName="[DimTradeAllyType].[DQScoreKey]" caption="DQScoreKey" attribute="1" defaultMemberUniqueName="[DimTradeAllyType].[DQScoreKey].[All]" allUniqueName="[DimTradeAllyType].[DQScoreKey].[All]" dimensionUniqueName="[DimTradeAllyType]" displayFolder="" count="0" unbalanced="0" hidden="1"/>
    <cacheHierarchy uniqueName="[DimTradeAllyType].[InsertAuditKey]" caption="InsertAuditKey" attribute="1" defaultMemberUniqueName="[DimTradeAllyType].[InsertAuditKey].[All]" allUniqueName="[DimTradeAllyType].[InsertAuditKey].[All]" dimensionUniqueName="[DimTradeAllyType]" displayFolder="" count="0" unbalanced="0" hidden="1"/>
    <cacheHierarchy uniqueName="[DimTradeAllyType].[RowChangeReason]" caption="RowChangeReason" attribute="1" defaultMemberUniqueName="[DimTradeAllyType].[RowChangeReason].[All]" allUniqueName="[DimTradeAllyType].[RowChangeReason].[All]" dimensionUniqueName="[DimTradeAllyType]" displayFolder="" count="0" unbalanced="0" hidden="1"/>
    <cacheHierarchy uniqueName="[DimTradeAllyType].[RowEndDate]" caption="RowEndDate" attribute="1" defaultMemberUniqueName="[DimTradeAllyType].[RowEndDate].[All]" allUniqueName="[DimTradeAllyType].[RowEndDate].[All]" dimensionUniqueName="[DimTradeAllyType]" displayFolder="" count="0" unbalanced="0" hidden="1"/>
    <cacheHierarchy uniqueName="[DimTradeAllyType].[RowIsCurrent]" caption="RowIsCurrent" attribute="1" defaultMemberUniqueName="[DimTradeAllyType].[RowIsCurrent].[All]" allUniqueName="[DimTradeAllyType].[RowIsCurrent].[All]" dimensionUniqueName="[DimTradeAllyType]" displayFolder="" count="0" unbalanced="0" hidden="1"/>
    <cacheHierarchy uniqueName="[DimTradeAllyType].[RowStartDate]" caption="RowStartDate" attribute="1" defaultMemberUniqueName="[DimTradeAllyType].[RowStartDate].[All]" allUniqueName="[DimTradeAllyType].[RowStartDate].[All]" dimensionUniqueName="[DimTradeAllyType]" displayFolder="" count="0" unbalanced="0" hidden="1"/>
    <cacheHierarchy uniqueName="[DimTradeAllyType].[SourceSystemKey]" caption="SourceSystemKey" attribute="1" defaultMemberUniqueName="[DimTradeAllyType].[SourceSystemKey].[All]" allUniqueName="[DimTradeAllyType].[SourceSystemKey].[All]" dimensionUniqueName="[DimTradeAllyType]" displayFolder="" count="0" unbalanced="0" hidden="1"/>
    <cacheHierarchy uniqueName="[DimTradeAllyType].[TradeAllyTypeKey]" caption="TradeAllyTypeKey" attribute="1" defaultMemberUniqueName="[DimTradeAllyType].[TradeAllyTypeKey].[All]" allUniqueName="[DimTradeAllyType].[TradeAllyTypeKey].[All]" dimensionUniqueName="[DimTradeAllyType]" displayFolder="" count="0" unbalanced="0" hidden="1"/>
    <cacheHierarchy uniqueName="[DimTradeAllyType].[UpdateAuditKey]" caption="UpdateAuditKey" attribute="1" defaultMemberUniqueName="[DimTradeAllyType].[UpdateAuditKey].[All]" allUniqueName="[DimTradeAllyType].[UpdateAuditKey].[All]" dimensionUniqueName="[DimTradeAllyType]" displayFolder="" count="0" unbalanced="0" hidden="1"/>
    <cacheHierarchy uniqueName="[DimUser].[DQScoreKey]" caption="DQScoreKey" attribute="1" defaultMemberUniqueName="[DimUser].[DQScoreKey].[All]" allUniqueName="[DimUser].[DQScoreKey].[All]" dimensionUniqueName="[DimUser]" displayFolder="" count="0" unbalanced="0" hidden="1"/>
    <cacheHierarchy uniqueName="[DimUser].[InsertAuditKey]" caption="InsertAuditKey" attribute="1" defaultMemberUniqueName="[DimUser].[InsertAuditKey].[All]" allUniqueName="[DimUser].[InsertAuditKey].[All]" dimensionUniqueName="[DimUser]" displayFolder="" count="0" unbalanced="0" hidden="1"/>
    <cacheHierarchy uniqueName="[DimUser].[RowChangeReason]" caption="RowChangeReason" attribute="1" defaultMemberUniqueName="[DimUser].[RowChangeReason].[All]" allUniqueName="[DimUser].[RowChangeReason].[All]" dimensionUniqueName="[DimUser]" displayFolder="" count="0" unbalanced="0" hidden="1"/>
    <cacheHierarchy uniqueName="[DimUser].[RowEndDate]" caption="RowEndDate" attribute="1" defaultMemberUniqueName="[DimUser].[RowEndDate].[All]" allUniqueName="[DimUser].[RowEndDate].[All]" dimensionUniqueName="[DimUser]" displayFolder="" count="0" unbalanced="0" hidden="1"/>
    <cacheHierarchy uniqueName="[DimUser].[RowIsCurrent]" caption="RowIsCurrent" attribute="1" defaultMemberUniqueName="[DimUser].[RowIsCurrent].[All]" allUniqueName="[DimUser].[RowIsCurrent].[All]" dimensionUniqueName="[DimUser]" displayFolder="" count="0" unbalanced="0" hidden="1"/>
    <cacheHierarchy uniqueName="[DimUser].[RowStartDate]" caption="RowStartDate" attribute="1" defaultMemberUniqueName="[DimUser].[RowStartDate].[All]" allUniqueName="[DimUser].[RowStartDate].[All]" dimensionUniqueName="[DimUser]" displayFolder="" count="0" unbalanced="0" hidden="1"/>
    <cacheHierarchy uniqueName="[DimUser].[SourceSystemKey]" caption="SourceSystemKey" attribute="1" defaultMemberUniqueName="[DimUser].[SourceSystemKey].[All]" allUniqueName="[DimUser].[SourceSystemKey].[All]" dimensionUniqueName="[DimUser]" displayFolder="" count="0" unbalanced="0" hidden="1"/>
    <cacheHierarchy uniqueName="[DimUser].[UpdateAuditKey]" caption="UpdateAuditKey" attribute="1" defaultMemberUniqueName="[DimUser].[UpdateAuditKey].[All]" allUniqueName="[DimUser].[UpdateAuditKey].[All]" dimensionUniqueName="[DimUser]" displayFolder="" count="0" unbalanced="0" hidden="1"/>
    <cacheHierarchy uniqueName="[DimUser].[UserKey]" caption="UserKey" attribute="1" defaultMemberUniqueName="[DimUser].[UserKey].[All]" allUniqueName="[DimUser].[UserKey].[All]" dimensionUniqueName="[DimUser]" displayFolder="" count="0" unbalanced="0" hidden="1"/>
    <cacheHierarchy uniqueName="[DimUser].[UserTypeKey]" caption="UserTypeKey" attribute="1" defaultMemberUniqueName="[DimUser].[UserTypeKey].[All]" allUniqueName="[DimUser].[UserTypeKey].[All]" dimensionUniqueName="[DimUser]" displayFolder="" count="0" unbalanced="0" hidden="1"/>
    <cacheHierarchy uniqueName="[DimUserType].[DQScoreKey]" caption="DQScoreKey" attribute="1" defaultMemberUniqueName="[DimUserType].[DQScoreKey].[All]" allUniqueName="[DimUserType].[DQScoreKey].[All]" dimensionUniqueName="[DimUserType]" displayFolder="" count="0" unbalanced="0" hidden="1"/>
    <cacheHierarchy uniqueName="[DimUserType].[InsertAuditKey]" caption="InsertAuditKey" attribute="1" defaultMemberUniqueName="[DimUserType].[InsertAuditKey].[All]" allUniqueName="[DimUserType].[InsertAuditKey].[All]" dimensionUniqueName="[DimUserType]" displayFolder="" count="0" unbalanced="0" hidden="1"/>
    <cacheHierarchy uniqueName="[DimUserType].[RowChangeReason]" caption="RowChangeReason" attribute="1" defaultMemberUniqueName="[DimUserType].[RowChangeReason].[All]" allUniqueName="[DimUserType].[RowChangeReason].[All]" dimensionUniqueName="[DimUserType]" displayFolder="" count="0" unbalanced="0" hidden="1"/>
    <cacheHierarchy uniqueName="[DimUserType].[RowEndDate]" caption="RowEndDate" attribute="1" defaultMemberUniqueName="[DimUserType].[RowEndDate].[All]" allUniqueName="[DimUserType].[RowEndDate].[All]" dimensionUniqueName="[DimUserType]" displayFolder="" count="0" unbalanced="0" hidden="1"/>
    <cacheHierarchy uniqueName="[DimUserType].[RowIsCurrent]" caption="RowIsCurrent" attribute="1" defaultMemberUniqueName="[DimUserType].[RowIsCurrent].[All]" allUniqueName="[DimUserType].[RowIsCurrent].[All]" dimensionUniqueName="[DimUserType]" displayFolder="" count="0" unbalanced="0" hidden="1"/>
    <cacheHierarchy uniqueName="[DimUserType].[RowStartDate]" caption="RowStartDate" attribute="1" defaultMemberUniqueName="[DimUserType].[RowStartDate].[All]" allUniqueName="[DimUserType].[RowStartDate].[All]" dimensionUniqueName="[DimUserType]" displayFolder="" count="0" unbalanced="0" hidden="1"/>
    <cacheHierarchy uniqueName="[DimUserType].[SourceSystemKey]" caption="SourceSystemKey" attribute="1" defaultMemberUniqueName="[DimUserType].[SourceSystemKey].[All]" allUniqueName="[DimUserType].[SourceSystemKey].[All]" dimensionUniqueName="[DimUserType]" displayFolder="" count="0" unbalanced="0" hidden="1"/>
    <cacheHierarchy uniqueName="[DimUserType].[UpdateAuditKey]" caption="UpdateAuditKey" attribute="1" defaultMemberUniqueName="[DimUserType].[UpdateAuditKey].[All]" allUniqueName="[DimUserType].[UpdateAuditKey].[All]" dimensionUniqueName="[DimUserType]" displayFolder="" count="0" unbalanced="0" hidden="1"/>
    <cacheHierarchy uniqueName="[DimUserType].[UserTypeKey]" caption="UserTypeKey" attribute="1" defaultMemberUniqueName="[DimUserType].[UserTypeKey].[All]" allUniqueName="[DimUserType].[UserTypeKey].[All]" dimensionUniqueName="[DimUserType]" displayFolder="" count="0" unbalanced="0" hidden="1"/>
    <cacheHierarchy uniqueName="[EquipmentDualFuel].[TableValueKey]" caption="TableValueKey" attribute="1" defaultMemberUniqueName="[EquipmentDualFuel].[TableValueKey].[All]" allUniqueName="[EquipmentDualFuel].[TableValueKey].[All]" dimensionUniqueName="[EquipmentDualFuel]" displayFolder="" count="0" unbalanced="0" hidden="1"/>
    <cacheHierarchy uniqueName="[EquipmentFuel].[TableValueKey]" caption="TableValueKey" attribute="1" defaultMemberUniqueName="[EquipmentFuel].[TableValueKey].[All]" allUniqueName="[EquipmentFuel].[TableValueKey].[All]" dimensionUniqueName="[EquipmentFuel]" displayFolder="" count="0" unbalanced="0" hidden="1"/>
    <cacheHierarchy uniqueName="[EquipmentManufacture].[TableValueKey]" caption="TableValueKey" attribute="1" defaultMemberUniqueName="[EquipmentManufacture].[TableValueKey].[All]" allUniqueName="[EquipmentManufacture].[TableValueKey].[All]" dimensionUniqueName="[EquipmentManufacture]" displayFolder="" count="0" unbalanced="0" hidden="1"/>
    <cacheHierarchy uniqueName="[FactCostEffectiveness].[InsertAuditKey]" caption="InsertAuditKey" attribute="1" defaultMemberUniqueName="[FactCostEffectiveness].[InsertAuditKey].[All]" allUniqueName="[FactCostEffectiveness].[InsertAuditKey].[All]" dimensionUniqueName="[FactCostEffectiveness]" displayFolder="" count="0" unbalanced="0" hidden="1"/>
    <cacheHierarchy uniqueName="[FactCostEffectiveness].[UpdateAuditKey]" caption="UpdateAuditKey" attribute="1" defaultMemberUniqueName="[FactCostEffectiveness].[UpdateAuditKey].[All]" allUniqueName="[FactCostEffectiveness].[UpdateAuditKey].[All]" dimensionUniqueName="[FactCostEffectiveness]" displayFolder="" count="0" unbalanced="0" hidden="1"/>
    <cacheHierarchy uniqueName="[FactCostSavings].[DQScoreKey]" caption="DQScoreKey" attribute="1" defaultMemberUniqueName="[FactCostSavings].[DQScoreKey].[All]" allUniqueName="[FactCostSavings].[DQScoreKey].[All]" dimensionUniqueName="[FactCostSavings]" displayFolder="" count="0" unbalanced="0" hidden="1"/>
    <cacheHierarchy uniqueName="[FactCostSavings].[InsertAuditKey]" caption="InsertAuditKey" attribute="1" defaultMemberUniqueName="[FactCostSavings].[InsertAuditKey].[All]" allUniqueName="[FactCostSavings].[InsertAuditKey].[All]" dimensionUniqueName="[FactCostSavings]" displayFolder="" count="0" unbalanced="0" hidden="1"/>
    <cacheHierarchy uniqueName="[FactCostSavings].[UpdateAuditKey]" caption="UpdateAuditKey" attribute="1" defaultMemberUniqueName="[FactCostSavings].[UpdateAuditKey].[All]" allUniqueName="[FactCostSavings].[UpdateAuditKey].[All]" dimensionUniqueName="[FactCostSavings]" displayFolder="" count="0" unbalanced="0" hidden="1"/>
    <cacheHierarchy uniqueName="[FactEEPData].[DQScoreKey]" caption="DQScoreKey" attribute="1" defaultMemberUniqueName="[FactEEPData].[DQScoreKey].[All]" allUniqueName="[FactEEPData].[DQScoreKey].[All]" dimensionUniqueName="[FactEEPData]" displayFolder="" count="0" unbalanced="0" hidden="1"/>
    <cacheHierarchy uniqueName="[FactEEPData].[FactPMTMeasureKey]" caption="FactPMTMeasureKey" attribute="1" defaultMemberUniqueName="[FactEEPData].[FactPMTMeasureKey].[All]" allUniqueName="[FactEEPData].[FactPMTMeasureKey].[All]" dimensionUniqueName="[FactEEPData]" displayFolder="" count="0" unbalanced="0" hidden="1"/>
    <cacheHierarchy uniqueName="[FactEEPData].[InsertAuditKey]" caption="InsertAuditKey" attribute="1" defaultMemberUniqueName="[FactEEPData].[InsertAuditKey].[All]" allUniqueName="[FactEEPData].[InsertAuditKey].[All]" dimensionUniqueName="[FactEEPData]" displayFolder="" count="0" unbalanced="0" hidden="1"/>
    <cacheHierarchy uniqueName="[FactEEPData].[InstallationDateKey]" caption="InstallationDateKey" attribute="1" defaultMemberUniqueName="[FactEEPData].[InstallationDateKey].[All]" allUniqueName="[FactEEPData].[InstallationDateKey].[All]" dimensionUniqueName="[FactEEPData]" displayFolder="" count="0" unbalanced="0" hidden="1"/>
    <cacheHierarchy uniqueName="[FactEEPData].[InvoiceDateKey]" caption="InvoiceDateKey" attribute="1" defaultMemberUniqueName="[FactEEPData].[InvoiceDateKey].[All]" allUniqueName="[FactEEPData].[InvoiceDateKey].[All]" dimensionUniqueName="[FactEEPData]" displayFolder="" count="0" unbalanced="0" hidden="1"/>
    <cacheHierarchy uniqueName="[FactEEPData].[MeasureGroupKey]" caption="MeasureGroupKey" attribute="1" defaultMemberUniqueName="[FactEEPData].[MeasureGroupKey].[All]" allUniqueName="[FactEEPData].[MeasureGroupKey].[All]" dimensionUniqueName="[FactEEPData]" displayFolder="" count="0" unbalanced="0" hidden="1"/>
    <cacheHierarchy uniqueName="[FactEEPData].[PayeeKey]" caption="PayeeKey" attribute="1" defaultMemberUniqueName="[FactEEPData].[PayeeKey].[All]" allUniqueName="[FactEEPData].[PayeeKey].[All]" dimensionUniqueName="[FactEEPData]" displayFolder="" count="0" unbalanced="0" hidden="1"/>
    <cacheHierarchy uniqueName="[FactEEPData].[PMTMeasureKey]" caption="PMTMeasureKey" attribute="1" defaultMemberUniqueName="[FactEEPData].[PMTMeasureKey].[All]" allUniqueName="[FactEEPData].[PMTMeasureKey].[All]" dimensionUniqueName="[FactEEPData]" displayFolder="" count="0" unbalanced="0" hidden="1"/>
    <cacheHierarchy uniqueName="[FactEEPData].[PMTMeasureXrefKey]" caption="PMTMeasureXrefKey" attribute="1" defaultMemberUniqueName="[FactEEPData].[PMTMeasureXrefKey].[All]" allUniqueName="[FactEEPData].[PMTMeasureXrefKey].[All]" dimensionUniqueName="[FactEEPData]" displayFolder="" count="0" unbalanced="0" hidden="1"/>
    <cacheHierarchy uniqueName="[FactEEPData].[PMTProjectKey]" caption="PMTProjectKey" attribute="1" defaultMemberUniqueName="[FactEEPData].[PMTProjectKey].[All]" allUniqueName="[FactEEPData].[PMTProjectKey].[All]" dimensionUniqueName="[FactEEPData]" displayFolder="" count="0" unbalanced="0" hidden="1"/>
    <cacheHierarchy uniqueName="[FactEEPData].[PUPMeasure_HashKey]" caption="PUPMeasure_HashKey" attribute="1" defaultMemberUniqueName="[FactEEPData].[PUPMeasure_HashKey].[All]" allUniqueName="[FactEEPData].[PUPMeasure_HashKey].[All]" dimensionUniqueName="[FactEEPData]" displayFolder="" count="0" unbalanced="0" hidden="1"/>
    <cacheHierarchy uniqueName="[FactEEPData].[PurchaseDateKey]" caption="PurchaseDateKey" attribute="1" defaultMemberUniqueName="[FactEEPData].[PurchaseDateKey].[All]" allUniqueName="[FactEEPData].[PurchaseDateKey].[All]" dimensionUniqueName="[FactEEPData]" displayFolder="" count="0" unbalanced="0" hidden="1"/>
    <cacheHierarchy uniqueName="[FactEEPData].[ReportingReferenceDateKey]" caption="ReportingReferenceDateKey" attribute="1" defaultMemberUniqueName="[FactEEPData].[ReportingReferenceDateKey].[All]" allUniqueName="[FactEEPData].[ReportingReferenceDateKey].[All]" dimensionUniqueName="[FactEEPData]" displayFolder="" count="0" unbalanced="0" hidden="1"/>
    <cacheHierarchy uniqueName="[FactEEPData].[ScenarioKey]" caption="ScenarioKey" attribute="1" defaultMemberUniqueName="[FactEEPData].[ScenarioKey].[All]" allUniqueName="[FactEEPData].[ScenarioKey].[All]" dimensionUniqueName="[FactEEPData]" displayFolder="" count="0" unbalanced="0" hidden="1"/>
    <cacheHierarchy uniqueName="[FactEEPData].[UpdateAuditKey]" caption="UpdateAuditKey" attribute="1" defaultMemberUniqueName="[FactEEPData].[UpdateAuditKey].[All]" allUniqueName="[FactEEPData].[UpdateAuditKey].[All]" dimensionUniqueName="[FactEEPData]" displayFolder="" count="0" unbalanced="0" hidden="1"/>
    <cacheHierarchy uniqueName="[FactEquipment].[AccountKey]" caption="AccountKey" attribute="1" defaultMemberUniqueName="[FactEquipment].[AccountKey].[All]" allUniqueName="[FactEquipment].[AccountKey].[All]" dimensionUniqueName="[FactEquipment]" displayFolder="" count="0" unbalanced="0" hidden="1"/>
    <cacheHierarchy uniqueName="[FactEquipment].[ApplicationCategoryKey]" caption="ApplicationCategoryKey" attribute="1" defaultMemberUniqueName="[FactEquipment].[ApplicationCategoryKey].[All]" allUniqueName="[FactEquipment].[ApplicationCategoryKey].[All]" dimensionUniqueName="[FactEquipment]" displayFolder="" count="0" unbalanced="0" hidden="1"/>
    <cacheHierarchy uniqueName="[FactEquipment].[DualFuelTableValueKey]" caption="DualFuelTableValueKey" attribute="1" defaultMemberUniqueName="[FactEquipment].[DualFuelTableValueKey].[All]" allUniqueName="[FactEquipment].[DualFuelTableValueKey].[All]" dimensionUniqueName="[FactEquipment]" displayFolder="" count="0" unbalanced="0" hidden="1"/>
    <cacheHierarchy uniqueName="[FactEquipment].[EquipmentCodeKey]" caption="EquipmentCodeKey" attribute="1" defaultMemberUniqueName="[FactEquipment].[EquipmentCodeKey].[All]" allUniqueName="[FactEquipment].[EquipmentCodeKey].[All]" dimensionUniqueName="[FactEquipment]" displayFolder="" count="0" unbalanced="0" hidden="1"/>
    <cacheHierarchy uniqueName="[FactEquipment].[EquipmentKey]" caption="EquipmentKey" attribute="1" defaultMemberUniqueName="[FactEquipment].[EquipmentKey].[All]" allUniqueName="[FactEquipment].[EquipmentKey].[All]" dimensionUniqueName="[FactEquipment]" displayFolder="" count="0" unbalanced="0" hidden="1"/>
    <cacheHierarchy uniqueName="[FactEquipment].[FuelTableValueKey]" caption="FuelTableValueKey" attribute="1" defaultMemberUniqueName="[FactEquipment].[FuelTableValueKey].[All]" allUniqueName="[FactEquipment].[FuelTableValueKey].[All]" dimensionUniqueName="[FactEquipment]" displayFolder="" count="0" unbalanced="0" hidden="1"/>
    <cacheHierarchy uniqueName="[FactEquipment].[ManufactureTableValueKey]" caption="ManufactureTableValueKey" attribute="1" defaultMemberUniqueName="[FactEquipment].[ManufactureTableValueKey].[All]" allUniqueName="[FactEquipment].[ManufactureTableValueKey].[All]" dimensionUniqueName="[FactEquipment]" displayFolder="" count="0" unbalanced="0" hidden="1"/>
    <cacheHierarchy uniqueName="[FactEquipment].[MarketSegmentKey]" caption="MarketSegmentKey" attribute="1" defaultMemberUniqueName="[FactEquipment].[MarketSegmentKey].[All]" allUniqueName="[FactEquipment].[MarketSegmentKey].[All]" dimensionUniqueName="[FactEquipment]" displayFolder="" count="0" unbalanced="0" hidden="1"/>
    <cacheHierarchy uniqueName="[FactMeasureParticipation].[MeasureParticipationKey]" caption="MeasureParticipationKey" attribute="1" defaultMemberUniqueName="[FactMeasureParticipation].[MeasureParticipationKey].[All]" allUniqueName="[FactMeasureParticipation].[MeasureParticipationKey].[All]" dimensionUniqueName="[FactMeasureParticipation]" displayFolder="" count="0" unbalanced="0" hidden="1"/>
    <cacheHierarchy uniqueName="[FactMeasureParticipation].[PMTMeasureKey]" caption="PMTMeasureKey" attribute="1" defaultMemberUniqueName="[FactMeasureParticipation].[PMTMeasureKey].[All]" allUniqueName="[FactMeasureParticipation].[PMTMeasureKey].[All]" dimensionUniqueName="[FactMeasureParticipation]" displayFolder="" count="0" unbalanced="0" hidden="1"/>
    <cacheHierarchy uniqueName="[FactMeasureParticipation].[PMTProgramKey]" caption="PMTProgramKey" attribute="1" defaultMemberUniqueName="[FactMeasureParticipation].[PMTProgramKey].[All]" allUniqueName="[FactMeasureParticipation].[PMTProgramKey].[All]" dimensionUniqueName="[FactMeasureParticipation]" displayFolder="" count="0" unbalanced="0" hidden="1"/>
    <cacheHierarchy uniqueName="[FactMeasureParticipation].[ScenarioKey]" caption="ScenarioKey" attribute="1" defaultMemberUniqueName="[FactMeasureParticipation].[ScenarioKey].[All]" allUniqueName="[FactMeasureParticipation].[ScenarioKey].[All]" dimensionUniqueName="[FactMeasureParticipation]" displayFolder="" count="0" unbalanced="0" hidden="1"/>
    <cacheHierarchy uniqueName="[FactMOCCallLog].[AccountKey]" caption="AccountKey" attribute="1" defaultMemberUniqueName="[FactMOCCallLog].[AccountKey].[All]" allUniqueName="[FactMOCCallLog].[AccountKey].[All]" dimensionUniqueName="[FactMOCCallLog]" displayFolder="" count="0" unbalanced="0" hidden="1"/>
    <cacheHierarchy uniqueName="[FactMOCCallLog].[ActivityDateKey]" caption="ActivityDateKey" attribute="1" defaultMemberUniqueName="[FactMOCCallLog].[ActivityDateKey].[All]" allUniqueName="[FactMOCCallLog].[ActivityDateKey].[All]" dimensionUniqueName="[FactMOCCallLog]" displayFolder="" count="0" unbalanced="0" hidden="1"/>
    <cacheHierarchy uniqueName="[FactMOCCallLog].[AssessmentScheduledDateKey]" caption="AssessmentScheduledDateKey" attribute="1" defaultMemberUniqueName="[FactMOCCallLog].[AssessmentScheduledDateKey].[All]" allUniqueName="[FactMOCCallLog].[AssessmentScheduledDateKey].[All]" dimensionUniqueName="[FactMOCCallLog]" displayFolder="" count="0" unbalanced="0" hidden="1"/>
    <cacheHierarchy uniqueName="[FactMOCCallLog].[DQScoreKey]" caption="DQScoreKey" attribute="1" defaultMemberUniqueName="[FactMOCCallLog].[DQScoreKey].[All]" allUniqueName="[FactMOCCallLog].[DQScoreKey].[All]" dimensionUniqueName="[FactMOCCallLog]" displayFolder="" count="0" unbalanced="0" hidden="1"/>
    <cacheHierarchy uniqueName="[FactMOCCallLog].[EventDateKey]" caption="EventDateKey" attribute="1" defaultMemberUniqueName="[FactMOCCallLog].[EventDateKey].[All]" allUniqueName="[FactMOCCallLog].[EventDateKey].[All]" dimensionUniqueName="[FactMOCCallLog]" displayFolder="" count="0" unbalanced="0" hidden="1"/>
    <cacheHierarchy uniqueName="[FactMOCCallLog].[InsertAuditKey]" caption="InsertAuditKey" attribute="1" defaultMemberUniqueName="[FactMOCCallLog].[InsertAuditKey].[All]" allUniqueName="[FactMOCCallLog].[InsertAuditKey].[All]" dimensionUniqueName="[FactMOCCallLog]" displayFolder="" count="0" unbalanced="0" hidden="1"/>
    <cacheHierarchy uniqueName="[FactMOCCallLog].[MOCCallLogKey]" caption="MOCCallLogKey" attribute="1" defaultMemberUniqueName="[FactMOCCallLog].[MOCCallLogKey].[All]" allUniqueName="[FactMOCCallLog].[MOCCallLogKey].[All]" dimensionUniqueName="[FactMOCCallLog]" displayFolder="" count="0" unbalanced="0" hidden="1"/>
    <cacheHierarchy uniqueName="[FactMOCCallLog].[UpdateAuditKey]" caption="UpdateAuditKey" attribute="1" defaultMemberUniqueName="[FactMOCCallLog].[UpdateAuditKey].[All]" allUniqueName="[FactMOCCallLog].[UpdateAuditKey].[All]" dimensionUniqueName="[FactMOCCallLog]" displayFolder="" count="0" unbalanced="0" hidden="1"/>
    <cacheHierarchy uniqueName="[FactMOCCallLog].[UserKey]" caption="UserKey" attribute="1" defaultMemberUniqueName="[FactMOCCallLog].[UserKey].[All]" allUniqueName="[FactMOCCallLog].[UserKey].[All]" dimensionUniqueName="[FactMOCCallLog]" displayFolder="" count="0" unbalanced="0" hidden="1"/>
    <cacheHierarchy uniqueName="[FactMOCLead].[AccountKey]" caption="AccountKey" attribute="1" defaultMemberUniqueName="[FactMOCLead].[AccountKey].[All]" allUniqueName="[FactMOCLead].[AccountKey].[All]" dimensionUniqueName="[FactMOCLead]" displayFolder="" count="0" unbalanced="0" hidden="1"/>
    <cacheHierarchy uniqueName="[FactMOCLead].[CreatedDateKey]" caption="CreatedDateKey" attribute="1" defaultMemberUniqueName="[FactMOCLead].[CreatedDateKey].[All]" allUniqueName="[FactMOCLead].[CreatedDateKey].[All]" dimensionUniqueName="[FactMOCLead]" displayFolder="" count="0" unbalanced="0" hidden="1"/>
    <cacheHierarchy uniqueName="[FactMOCLead].[DQScoreKey]" caption="DQScoreKey" attribute="1" defaultMemberUniqueName="[FactMOCLead].[DQScoreKey].[All]" allUniqueName="[FactMOCLead].[DQScoreKey].[All]" dimensionUniqueName="[FactMOCLead]" displayFolder="" count="0" unbalanced="0" hidden="1"/>
    <cacheHierarchy uniqueName="[FactMOCLead].[InsertAuditKey]" caption="InsertAuditKey" attribute="1" defaultMemberUniqueName="[FactMOCLead].[InsertAuditKey].[All]" allUniqueName="[FactMOCLead].[InsertAuditKey].[All]" dimensionUniqueName="[FactMOCLead]" displayFolder="" count="0" unbalanced="0" hidden="1"/>
    <cacheHierarchy uniqueName="[FactMOCLead].[MOCLeadKey]" caption="MOCLeadKey" attribute="1" defaultMemberUniqueName="[FactMOCLead].[MOCLeadKey].[All]" allUniqueName="[FactMOCLead].[MOCLeadKey].[All]" dimensionUniqueName="[FactMOCLead]" displayFolder="" count="0" unbalanced="0" hidden="1"/>
    <cacheHierarchy uniqueName="[FactMOCLead].[UpdateAuditKey]" caption="UpdateAuditKey" attribute="1" defaultMemberUniqueName="[FactMOCLead].[UpdateAuditKey].[All]" allUniqueName="[FactMOCLead].[UpdateAuditKey].[All]" dimensionUniqueName="[FactMOCLead]" displayFolder="" count="0" unbalanced="0" hidden="1"/>
    <cacheHierarchy uniqueName="[FactMOCLead].[UserKey]" caption="UserKey" attribute="1" defaultMemberUniqueName="[FactMOCLead].[UserKey].[All]" allUniqueName="[FactMOCLead].[UserKey].[All]" dimensionUniqueName="[FactMOCLead]" displayFolder="" count="0" unbalanced="0" hidden="1"/>
    <cacheHierarchy uniqueName="[FactPipeline].[FactPipelineMeasureKey]" caption="FactPipelineMeasureKey" attribute="1" defaultMemberUniqueName="[FactPipeline].[FactPipelineMeasureKey].[All]" allUniqueName="[FactPipeline].[FactPipelineMeasureKey].[All]" dimensionUniqueName="[FactPipeline]" displayFolder="" count="0" unbalanced="0" hidden="1"/>
    <cacheHierarchy uniqueName="[FactPipeline].[InsertAuditKey]" caption="InsertAuditKey" attribute="1" defaultMemberUniqueName="[FactPipeline].[InsertAuditKey].[All]" allUniqueName="[FactPipeline].[InsertAuditKey].[All]" dimensionUniqueName="[FactPipeline]" displayFolder="" count="0" unbalanced="0" hidden="1"/>
    <cacheHierarchy uniqueName="[FactPipeline].[InvoiceDateKey]" caption="InvoiceDateKey" attribute="1" defaultMemberUniqueName="[FactPipeline].[InvoiceDateKey].[All]" allUniqueName="[FactPipeline].[InvoiceDateKey].[All]" dimensionUniqueName="[FactPipeline]" displayFolder="" count="0" unbalanced="0" hidden="1"/>
    <cacheHierarchy uniqueName="[FactPipeline].[MeasureGroupKey]" caption="MeasureGroupKey" attribute="1" defaultMemberUniqueName="[FactPipeline].[MeasureGroupKey].[All]" allUniqueName="[FactPipeline].[MeasureGroupKey].[All]" dimensionUniqueName="[FactPipeline]" displayFolder="" count="0" unbalanced="0" hidden="1"/>
    <cacheHierarchy uniqueName="[FactPipeline].[PipelineAccountkey]" caption="PipelineAccountkey" attribute="1" defaultMemberUniqueName="[FactPipeline].[PipelineAccountkey].[All]" allUniqueName="[FactPipeline].[PipelineAccountkey].[All]" dimensionUniqueName="[FactPipeline]" displayFolder="" count="0" unbalanced="0" hidden="1"/>
    <cacheHierarchy uniqueName="[FactPipeline].[PipeLineStatusKey]" caption="PipeLineStatusKey" attribute="1" defaultMemberUniqueName="[FactPipeline].[PipeLineStatusKey].[All]" allUniqueName="[FactPipeline].[PipeLineStatusKey].[All]" dimensionUniqueName="[FactPipeline]" displayFolder="" count="0" unbalanced="0" hidden="1"/>
    <cacheHierarchy uniqueName="[FactPipeline].[PMTProgramKey]" caption="PMTProgramKey" attribute="1" defaultMemberUniqueName="[FactPipeline].[PMTProgramKey].[All]" allUniqueName="[FactPipeline].[PMTProgramKey].[All]" dimensionUniqueName="[FactPipeline]" displayFolder="" count="0" unbalanced="0" hidden="1"/>
    <cacheHierarchy uniqueName="[FactPipeline].[PUPMeasure_Hashkey]" caption="PUPMeasure_Hashkey" attribute="1" defaultMemberUniqueName="[FactPipeline].[PUPMeasure_Hashkey].[All]" allUniqueName="[FactPipeline].[PUPMeasure_Hashkey].[All]" dimensionUniqueName="[FactPipeline]" displayFolder="" count="0" unbalanced="0" hidden="1"/>
    <cacheHierarchy uniqueName="[FactPipeline].[UpdateAuditKey]" caption="UpdateAuditKey" attribute="1" defaultMemberUniqueName="[FactPipeline].[UpdateAuditKey].[All]" allUniqueName="[FactPipeline].[UpdateAuditKey].[All]" dimensionUniqueName="[FactPipeline]" displayFolder="" count="0" unbalanced="0" hidden="1"/>
    <cacheHierarchy uniqueName="[FactPredictiveAnalytics].[DQScoreKey]" caption="DQScoreKey" attribute="1" defaultMemberUniqueName="[FactPredictiveAnalytics].[DQScoreKey].[All]" allUniqueName="[FactPredictiveAnalytics].[DQScoreKey].[All]" dimensionUniqueName="[FactPredictiveAnalytics]" displayFolder="" count="0" unbalanced="0" hidden="1"/>
    <cacheHierarchy uniqueName="[FactPredictiveAnalytics].[FactPMTMeasureKey]" caption="FactPMTMeasureKey" attribute="1" defaultMemberUniqueName="[FactPredictiveAnalytics].[FactPMTMeasureKey].[All]" allUniqueName="[FactPredictiveAnalytics].[FactPMTMeasureKey].[All]" dimensionUniqueName="[FactPredictiveAnalytics]" displayFolder="" count="0" unbalanced="0" hidden="1"/>
    <cacheHierarchy uniqueName="[FactPredictiveAnalytics].[InsertAuditKey]" caption="InsertAuditKey" attribute="1" defaultMemberUniqueName="[FactPredictiveAnalytics].[InsertAuditKey].[All]" allUniqueName="[FactPredictiveAnalytics].[InsertAuditKey].[All]" dimensionUniqueName="[FactPredictiveAnalytics]" displayFolder="" count="0" unbalanced="0" hidden="1"/>
    <cacheHierarchy uniqueName="[FactPredictiveAnalytics].[MeasureGroupKey]" caption="MeasureGroupKey" attribute="1" defaultMemberUniqueName="[FactPredictiveAnalytics].[MeasureGroupKey].[All]" allUniqueName="[FactPredictiveAnalytics].[MeasureGroupKey].[All]" dimensionUniqueName="[FactPredictiveAnalytics]" displayFolder="" count="0" unbalanced="0" hidden="1"/>
    <cacheHierarchy uniqueName="[FactPredictiveAnalytics].[PMTProgramKey]" caption="PMTProgramKey" attribute="1" defaultMemberUniqueName="[FactPredictiveAnalytics].[PMTProgramKey].[All]" allUniqueName="[FactPredictiveAnalytics].[PMTProgramKey].[All]" dimensionUniqueName="[FactPredictiveAnalytics]" displayFolder="" count="0" unbalanced="0" hidden="1"/>
    <cacheHierarchy uniqueName="[FactPredictiveAnalytics].[PredictiveAnalyticsKey]" caption="PredictiveAnalyticsKey" attribute="1" defaultMemberUniqueName="[FactPredictiveAnalytics].[PredictiveAnalyticsKey].[All]" allUniqueName="[FactPredictiveAnalytics].[PredictiveAnalyticsKey].[All]" dimensionUniqueName="[FactPredictiveAnalytics]" displayFolder="" count="0" unbalanced="0" hidden="1"/>
    <cacheHierarchy uniqueName="[FactPredictiveAnalytics].[UpdateAuditKey]" caption="UpdateAuditKey" attribute="1" defaultMemberUniqueName="[FactPredictiveAnalytics].[UpdateAuditKey].[All]" allUniqueName="[FactPredictiveAnalytics].[UpdateAuditKey].[All]" dimensionUniqueName="[FactPredictiveAnalytics]" displayFolder="" count="0" unbalanced="0" hidden="1"/>
    <cacheHierarchy uniqueName="[FactSilverPopSurvey].[DQScoreKey]" caption="DQScoreKey" attribute="1" defaultMemberUniqueName="[FactSilverPopSurvey].[DQScoreKey].[All]" allUniqueName="[FactSilverPopSurvey].[DQScoreKey].[All]" dimensionUniqueName="[FactSilverPopSurvey]" displayFolder="" count="0" unbalanced="0" hidden="1"/>
    <cacheHierarchy uniqueName="[FactSilverPopSurvey].[InsertAuditKey]" caption="InsertAuditKey" attribute="1" defaultMemberUniqueName="[FactSilverPopSurvey].[InsertAuditKey].[All]" allUniqueName="[FactSilverPopSurvey].[InsertAuditKey].[All]" dimensionUniqueName="[FactSilverPopSurvey]" displayFolder="" count="0" unbalanced="0" hidden="1"/>
    <cacheHierarchy uniqueName="[FactSilverPopSurvey].[UpdateAuditKey]" caption="UpdateAuditKey" attribute="1" defaultMemberUniqueName="[FactSilverPopSurvey].[UpdateAuditKey].[All]" allUniqueName="[FactSilverPopSurvey].[UpdateAuditKey].[All]" dimensionUniqueName="[FactSilverPopSurvey]" displayFolder="" count="0" unbalanced="0" hidden="1"/>
    <cacheHierarchy uniqueName="[FactUsage].[AccountingDateKey]" caption="AccountingDateKey" attribute="1" defaultMemberUniqueName="[FactUsage].[AccountingDateKey].[All]" allUniqueName="[FactUsage].[AccountingDateKey].[All]" dimensionUniqueName="[FactUsage]" displayFolder="" count="0" unbalanced="0" hidden="1"/>
    <cacheHierarchy uniqueName="[FactUsage].[AccountKey]" caption="AccountKey" attribute="1" defaultMemberUniqueName="[FactUsage].[AccountKey].[All]" allUniqueName="[FactUsage].[AccountKey].[All]" dimensionUniqueName="[FactUsage]" displayFolder="" count="0" unbalanced="0" hidden="1"/>
    <cacheHierarchy uniqueName="[FactUsage].[BatchBusinessDateKey]" caption="BatchBusinessDateKey" attribute="1" defaultMemberUniqueName="[FactUsage].[BatchBusinessDateKey].[All]" allUniqueName="[FactUsage].[BatchBusinessDateKey].[All]" dimensionUniqueName="[FactUsage]" displayFolder="" count="0" unbalanced="0" hidden="1"/>
    <cacheHierarchy uniqueName="[FactUsage].[BillSegmentEndDateKey]" caption="BillSegmentEndDateKey" attribute="1" defaultMemberUniqueName="[FactUsage].[BillSegmentEndDateKey].[All]" allUniqueName="[FactUsage].[BillSegmentEndDateKey].[All]" dimensionUniqueName="[FactUsage]" displayFolder="" count="0" unbalanced="0" hidden="1"/>
    <cacheHierarchy uniqueName="[FactUsage].[BillSegmentStartDateKey]" caption="BillSegmentStartDateKey" attribute="1" defaultMemberUniqueName="[FactUsage].[BillSegmentStartDateKey].[All]" allUniqueName="[FactUsage].[BillSegmentStartDateKey].[All]" dimensionUniqueName="[FactUsage]" displayFolder="" count="0" unbalanced="0" hidden="1"/>
    <cacheHierarchy uniqueName="[FactUsage].[CustomerSelectSupplierKey]" caption="CustomerSelectSupplierKey" attribute="1" defaultMemberUniqueName="[FactUsage].[CustomerSelectSupplierKey].[All]" allUniqueName="[FactUsage].[CustomerSelectSupplierKey].[All]" dimensionUniqueName="[FactUsage]" displayFolder="" count="0" unbalanced="0" hidden="1"/>
    <cacheHierarchy uniqueName="[FactUsage].[FinancialTransactionKeyID]" caption="FinancialTransactionKeyID" attribute="1" defaultMemberUniqueName="[FactUsage].[FinancialTransactionKeyID].[All]" allUniqueName="[FactUsage].[FinancialTransactionKeyID].[All]" dimensionUniqueName="[FactUsage]" displayFolder="" count="0" unbalanced="0" hidden="1"/>
    <cacheHierarchy uniqueName="[FactUsage].[RateScheduleKey]" caption="RateScheduleKey" attribute="1" defaultMemberUniqueName="[FactUsage].[RateScheduleKey].[All]" allUniqueName="[FactUsage].[RateScheduleKey].[All]" dimensionUniqueName="[FactUsage]" displayFolder="" count="0" unbalanced="0" hidden="1"/>
    <cacheHierarchy uniqueName="[FactUsage].[ReadTypeKey]" caption="ReadTypeKey" attribute="1" defaultMemberUniqueName="[FactUsage].[ReadTypeKey].[All]" allUniqueName="[FactUsage].[ReadTypeKey].[All]" dimensionUniqueName="[FactUsage]" displayFolder="" count="0" unbalanced="0" hidden="1"/>
    <cacheHierarchy uniqueName="[FactUsage].[ServiceAgreementKey]" caption="ServiceAgreementKey" attribute="1" defaultMemberUniqueName="[FactUsage].[ServiceAgreementKey].[All]" allUniqueName="[FactUsage].[ServiceAgreementKey].[All]" dimensionUniqueName="[FactUsage]" displayFolder="" count="0" unbalanced="0" hidden="1"/>
    <cacheHierarchy uniqueName="[FactUsage].[ServiceAgreementTypeKey]" caption="ServiceAgreementTypeKey" attribute="1" defaultMemberUniqueName="[FactUsage].[ServiceAgreementTypeKey].[All]" allUniqueName="[FactUsage].[ServiceAgreementTypeKey].[All]" dimensionUniqueName="[FactUsage]" displayFolder="" count="0" unbalanced="0" hidden="1"/>
    <cacheHierarchy uniqueName="[FactUsage].[ServiceCountyKey]" caption="ServiceCountyKey" attribute="1" defaultMemberUniqueName="[FactUsage].[ServiceCountyKey].[All]" allUniqueName="[FactUsage].[ServiceCountyKey].[All]" dimensionUniqueName="[FactUsage]" displayFolder="" count="0" unbalanced="0" hidden="1"/>
    <cacheHierarchy uniqueName="[FactUsage].[ServicePointTypeKey]" caption="ServicePointTypeKey" attribute="1" defaultMemberUniqueName="[FactUsage].[ServicePointTypeKey].[All]" allUniqueName="[FactUsage].[ServicePointTypeKey].[All]" dimensionUniqueName="[FactUsage]" displayFolder="" count="0" unbalanced="0" hidden="1"/>
    <cacheHierarchy uniqueName="[FactUsage].[ServiceTownKey]" caption="ServiceTownKey" attribute="1" defaultMemberUniqueName="[FactUsage].[ServiceTownKey].[All]" allUniqueName="[FactUsage].[ServiceTownKey].[All]" dimensionUniqueName="[FactUsage]" displayFolder="" count="0" unbalanced="0" hidden="1"/>
    <cacheHierarchy uniqueName="[FactUsage].[UsageKey]" caption="UsageKey" attribute="1" defaultMemberUniqueName="[FactUsage].[UsageKey].[All]" allUniqueName="[FactUsage].[UsageKey].[All]" dimensionUniqueName="[FactUsage]" displayFolder="" count="0" unbalanced="0" hidden="1"/>
    <cacheHierarchy uniqueName="[HierProgramProjectMeasure].[AccountKey]" caption="AccountKey" attribute="1" defaultMemberUniqueName="[HierProgramProjectMeasure].[AccountKey].[All]" allUniqueName="[HierProgramProjectMeasure].[AccountKey].[All]" dimensionUniqueName="[HierProgramProjectMeasure]" displayFolder="" count="0" unbalanced="0" hidden="1"/>
    <cacheHierarchy uniqueName="[HierProgramProjectMeasure].[FactPMTMeasureKey]" caption="FactPMTMeasureKey" attribute="1" defaultMemberUniqueName="[HierProgramProjectMeasure].[FactPMTMeasureKey].[All]" allUniqueName="[HierProgramProjectMeasure].[FactPMTMeasureKey].[All]" dimensionUniqueName="[HierProgramProjectMeasure]" displayFolder="" count="0" unbalanced="0" hidden="1"/>
    <cacheHierarchy uniqueName="[HierProgramProjectMeasure].[PMTMeasureKey]" caption="PMTMeasureKey" attribute="1" defaultMemberUniqueName="[HierProgramProjectMeasure].[PMTMeasureKey].[All]" allUniqueName="[HierProgramProjectMeasure].[PMTMeasureKey].[All]" dimensionUniqueName="[HierProgramProjectMeasure]" displayFolder="" count="0" unbalanced="0" hidden="1"/>
    <cacheHierarchy uniqueName="[HierProgramProjectMeasure].[PMTProgramKey]" caption="PMTProgramKey" attribute="1" defaultMemberUniqueName="[HierProgramProjectMeasure].[PMTProgramKey].[All]" allUniqueName="[HierProgramProjectMeasure].[PMTProgramKey].[All]" dimensionUniqueName="[HierProgramProjectMeasure]" displayFolder="" count="0" unbalanced="0" hidden="1"/>
    <cacheHierarchy uniqueName="[HierProgramProjectMeasure].[PMTProjectKey]" caption="PMTProjectKey" attribute="1" defaultMemberUniqueName="[HierProgramProjectMeasure].[PMTProjectKey].[All]" allUniqueName="[HierProgramProjectMeasure].[PMTProjectKey].[All]" dimensionUniqueName="[HierProgramProjectMeasure]" displayFolder="" count="0" unbalanced="0" hidden="1"/>
    <cacheHierarchy uniqueName="[PMTInstallDate].[DateKey]" caption="DateKey" attribute="1" defaultMemberUniqueName="[PMTInstallDate].[DateKey].[All]" allUniqueName="[PMTInstallDate].[DateKey].[All]" dimensionUniqueName="[PMTInstallDate]" displayFolder="" count="0" unbalanced="0" hidden="1"/>
    <cacheHierarchy uniqueName="[PMTInvoiceDate].[Datekey]" caption="Datekey" attribute="1" defaultMemberUniqueName="[PMTInvoiceDate].[Datekey].[All]" allUniqueName="[PMTInvoiceDate].[Datekey].[All]" dimensionUniqueName="[PMTInvoiceDate]" displayFolder="" count="0" unbalanced="0" hidden="1"/>
    <cacheHierarchy uniqueName="[PMTProject_Contact_Contact].[AccountKey]" caption="AccountKey" attribute="1" defaultMemberUniqueName="[PMTProject_Contact_Contact].[AccountKey].[All]" allUniqueName="[PMTProject_Contact_Contact].[AccountKey].[All]" dimensionUniqueName="[PMTProject_Contact_Contact]" displayFolder="" count="0" unbalanced="0" hidden="1"/>
    <cacheHierarchy uniqueName="[PMTProject_Contact_Contact].[ContactKey]" caption="ContactKey" attribute="1" defaultMemberUniqueName="[PMTProject_Contact_Contact].[ContactKey].[All]" allUniqueName="[PMTProject_Contact_Contact].[ContactKey].[All]" dimensionUniqueName="[PMTProject_Contact_Contact]" displayFolder="" count="0" unbalanced="0" hidden="1"/>
    <cacheHierarchy uniqueName="[PMTProject_Contact_Contact].[PMTProjectKey]" caption="PMTProjectKey" attribute="1" defaultMemberUniqueName="[PMTProject_Contact_Contact].[PMTProjectKey].[All]" allUniqueName="[PMTProject_Contact_Contact].[PMTProjectKey].[All]" dimensionUniqueName="[PMTProject_Contact_Contact]" displayFolder="" count="0" unbalanced="0" hidden="1"/>
    <cacheHierarchy uniqueName="[PMTProject_Contact_Customer].[AccountKey]" caption="AccountKey" attribute="1" defaultMemberUniqueName="[PMTProject_Contact_Customer].[AccountKey].[All]" allUniqueName="[PMTProject_Contact_Customer].[AccountKey].[All]" dimensionUniqueName="[PMTProject_Contact_Customer]" displayFolder="" count="0" unbalanced="0" hidden="1"/>
    <cacheHierarchy uniqueName="[PMTProject_Contact_Customer].[ContactKey]" caption="ContactKey" attribute="1" defaultMemberUniqueName="[PMTProject_Contact_Customer].[ContactKey].[All]" allUniqueName="[PMTProject_Contact_Customer].[ContactKey].[All]" dimensionUniqueName="[PMTProject_Contact_Customer]" displayFolder="" count="0" unbalanced="0" hidden="1"/>
    <cacheHierarchy uniqueName="[PMTProject_Contact_Customer].[PMTProjectKey]" caption="PMTProjectKey" attribute="1" defaultMemberUniqueName="[PMTProject_Contact_Customer].[PMTProjectKey].[All]" allUniqueName="[PMTProject_Contact_Customer].[PMTProjectKey].[All]" dimensionUniqueName="[PMTProject_Contact_Customer]" displayFolder="" count="0" unbalanced="0" hidden="1"/>
    <cacheHierarchy uniqueName="[PMTProject_Contact_Landlord].[AccountKey]" caption="AccountKey" attribute="1" defaultMemberUniqueName="[PMTProject_Contact_Landlord].[AccountKey].[All]" allUniqueName="[PMTProject_Contact_Landlord].[AccountKey].[All]" dimensionUniqueName="[PMTProject_Contact_Landlord]" displayFolder="" count="0" unbalanced="0" hidden="1"/>
    <cacheHierarchy uniqueName="[PMTProject_Contact_Landlord].[ContactKey]" caption="ContactKey" attribute="1" defaultMemberUniqueName="[PMTProject_Contact_Landlord].[ContactKey].[All]" allUniqueName="[PMTProject_Contact_Landlord].[ContactKey].[All]" dimensionUniqueName="[PMTProject_Contact_Landlord]" displayFolder="" count="0" unbalanced="0" hidden="1"/>
    <cacheHierarchy uniqueName="[PMTProject_Contact_Landlord].[PMTProjectKey]" caption="PMTProjectKey" attribute="1" defaultMemberUniqueName="[PMTProject_Contact_Landlord].[PMTProjectKey].[All]" allUniqueName="[PMTProject_Contact_Landlord].[PMTProjectKey].[All]" dimensionUniqueName="[PMTProject_Contact_Landlord]" displayFolder="" count="0" unbalanced="0" hidden="1"/>
    <cacheHierarchy uniqueName="[PMTRptRefDate].[Datekey]" caption="Datekey" attribute="1" defaultMemberUniqueName="[PMTRptRefDate].[Datekey].[All]" allUniqueName="[PMTRptRefDate].[Datekey].[All]" dimensionUniqueName="[PMTRptRefDate]" displayFolder="" count="0" unbalanced="0" hidden="1"/>
    <cacheHierarchy uniqueName="[PMTYearBuiltLevelFilter].[ContructionYearLevelSort]" caption="ContructionYearLevelSort" attribute="1" defaultMemberUniqueName="[PMTYearBuiltLevelFilter].[ContructionYearLevelSort].[All]" allUniqueName="[PMTYearBuiltLevelFilter].[ContructionYearLevelSort].[All]" dimensionUniqueName="[PMTYearBuiltLevelFilter]" displayFolder="" count="0" unbalanced="0" hidden="1"/>
    <cacheHierarchy uniqueName="[PMTYearBuiltLevelFilter].[PMTProjectKey]" caption="PMTProjectKey" attribute="1" defaultMemberUniqueName="[PMTYearBuiltLevelFilter].[PMTProjectKey].[All]" allUniqueName="[PMTYearBuiltLevelFilter].[PMTProjectKey].[All]" dimensionUniqueName="[PMTYearBuiltLevelFilter]" displayFolder="" count="0" unbalanced="0" hidden="1"/>
    <cacheHierarchy uniqueName="[Project_LastRenovationDate].[Datekey]" caption="Datekey" attribute="1" defaultMemberUniqueName="[Project_LastRenovationDate].[Datekey].[All]" allUniqueName="[Project_LastRenovationDate].[Datekey].[All]" dimensionUniqueName="[Project_LastRenovationDate]" displayFolder="" count="0" unbalanced="0" hidden="1"/>
    <cacheHierarchy uniqueName="[ServiceAgreement_Account].[AccountKey]" caption="AccountKey" attribute="1" defaultMemberUniqueName="[ServiceAgreement_Account].[AccountKey].[All]" allUniqueName="[ServiceAgreement_Account].[AccountKey].[All]" dimensionUniqueName="[ServiceAgreement_Account]" displayFolder="" count="0" unbalanced="0" hidden="1"/>
    <cacheHierarchy uniqueName="[ServiceAgreement_Account].[ServiceAgreementKey]" caption="ServiceAgreementKey" attribute="1" defaultMemberUniqueName="[ServiceAgreement_Account].[ServiceAgreementKey].[All]" allUniqueName="[ServiceAgreement_Account].[ServiceAgreementKey].[All]" dimensionUniqueName="[ServiceAgreement_Account]" displayFolder="" count="0" unbalanced="0" hidden="1"/>
    <cacheHierarchy uniqueName="[ServiceAgreement_Usage].[AccountKey]" caption="AccountKey" attribute="1" defaultMemberUniqueName="[ServiceAgreement_Usage].[AccountKey].[All]" allUniqueName="[ServiceAgreement_Usage].[AccountKey].[All]" dimensionUniqueName="[ServiceAgreement_Usage]" displayFolder="" count="0" unbalanced="0" hidden="1"/>
    <cacheHierarchy uniqueName="[ServiceAgreement_Usage].[ServiceAgreementKey]" caption="ServiceAgreementKey" attribute="1" defaultMemberUniqueName="[ServiceAgreement_Usage].[ServiceAgreementKey].[All]" allUniqueName="[ServiceAgreement_Usage].[ServiceAgreementKey].[All]" dimensionUniqueName="[ServiceAgreement_Usage]" displayFolder="" count="0" unbalanced="0" hidden="1"/>
    <cacheHierarchy uniqueName="[UniqueContactMarketSegment].[ContactKey]" caption="ContactKey" attribute="1" defaultMemberUniqueName="[UniqueContactMarketSegment].[ContactKey].[All]" allUniqueName="[UniqueContactMarketSegment].[ContactKey].[All]" dimensionUniqueName="[UniqueContactMarketSegment]" displayFolder="" count="0" unbalanced="0" hidden="1"/>
    <cacheHierarchy uniqueName="[UniqueContactMarketSegment].[MarketSegmentKey]" caption="MarketSegmentKey" attribute="1" defaultMemberUniqueName="[UniqueContactMarketSegment].[MarketSegmentKey].[All]" allUniqueName="[UniqueContactMarketSegment].[MarketSegmentKey].[All]" dimensionUniqueName="[UniqueContactMarketSegment]" displayFolder="" count="0" unbalanced="0" hidden="1"/>
    <cacheHierarchy uniqueName="[UniqueMarketSegment].[ApplicationCategoryKey]" caption="ApplicationCategoryKey" attribute="1" defaultMemberUniqueName="[UniqueMarketSegment].[ApplicationCategoryKey].[All]" allUniqueName="[UniqueMarketSegment].[ApplicationCategoryKey].[All]" dimensionUniqueName="[UniqueMarketSegment]" displayFolder="" count="0" unbalanced="0" hidden="1"/>
    <cacheHierarchy uniqueName="[UniqueMarketSegment].[MarketSegmentKey]" caption="MarketSegmentKey" attribute="1" defaultMemberUniqueName="[UniqueMarketSegment].[MarketSegmentKey].[All]" allUniqueName="[UniqueMarketSegment].[MarketSegmentKey].[All]" dimensionUniqueName="[UniqueMarketSegment]" displayFolder="" count="0" unbalanced="0" hidden="1"/>
    <cacheHierarchy uniqueName="[UniqueYearBuiltLevelFilter].[AccountKey]" caption="AccountKey" attribute="1" defaultMemberUniqueName="[UniqueYearBuiltLevelFilter].[AccountKey].[All]" allUniqueName="[UniqueYearBuiltLevelFilter].[AccountKey].[All]" dimensionUniqueName="[UniqueYearBuiltLevelFilter]" displayFolder="" count="0" unbalanced="0" hidden="1"/>
    <cacheHierarchy uniqueName="[UniqueYearBuiltLevelFilter].[ContructionYearLevelSort]" caption="ContructionYearLevelSort" attribute="1" defaultMemberUniqueName="[UniqueYearBuiltLevelFilter].[ContructionYearLevelSort].[All]" allUniqueName="[UniqueYearBuiltLevelFilter].[ContructionYearLevelSort].[All]" dimensionUniqueName="[UniqueYearBuiltLevelFilter]" displayFolder="" count="0" unbalanced="0" hidden="1"/>
    <cacheHierarchy uniqueName="[UsageAcctgDate].[Datekey]" caption="Datekey" attribute="1" defaultMemberUniqueName="[UsageAcctgDate].[Datekey].[All]" allUniqueName="[UsageAcctgDate].[Datekey].[All]" dimensionUniqueName="[UsageAcctgDate]" displayFolder="" count="0" unbalanced="0" hidden="1"/>
    <cacheHierarchy uniqueName="[UsageBatchBusDate].[Datekey]" caption="Datekey" attribute="1" defaultMemberUniqueName="[UsageBatchBusDate].[Datekey].[All]" allUniqueName="[UsageBatchBusDate].[Datekey].[All]" dimensionUniqueName="[UsageBatchBusDate]" displayFolder="" count="0" unbalanced="0" hidden="1"/>
    <cacheHierarchy uniqueName="[UsageBillEndDate].[Datekey]" caption="Datekey" attribute="1" defaultMemberUniqueName="[UsageBillEndDate].[Datekey].[All]" allUniqueName="[UsageBillEndDate].[Datekey].[All]" dimensionUniqueName="[UsageBillEndDate]" displayFolder="" count="0" unbalanced="0" hidden="1"/>
    <cacheHierarchy uniqueName="[UsageBillStartDate].[Datekey]" caption="Datekey" attribute="1" defaultMemberUniqueName="[UsageBillStartDate].[Datekey].[All]" allUniqueName="[UsageBillStartDate].[Datekey].[All]" dimensionUniqueName="[UsageBillStartDate]" displayFolder="" count="0" unbalanced="0" hidden="1"/>
    <cacheHierarchy uniqueName="[Measures].[Count of NAICS VerificationDate]" caption="Count of NAICS VerificationDate" measure="1" displayFolder="Customer Account" measureGroup="DimAccount" count="0"/>
    <cacheHierarchy uniqueName="[Measures].[Count of Account ID]" caption="Count of Account ID" measure="1" displayFolder="Customer Account" measureGroup="DimAccount" count="0"/>
    <cacheHierarchy uniqueName="[Measures].[Distinct Count of Account ID]" caption="Distinct Count of Account ID" measure="1" displayFolder="Customer Account" measureGroup="DimAccount" count="0"/>
    <cacheHierarchy uniqueName="[Measures].[Count of Last Major RenovationDate]" caption="Count of Last Major RenovationDate" measure="1" displayFolder="" measureGroup="DimPMTProject" count="0"/>
    <cacheHierarchy uniqueName="[Measures].[Distinct Count of Project Account]" caption="Distinct Count of Project Account" measure="1" displayFolder="" measureGroup="DimPMTProject" count="0"/>
    <cacheHierarchy uniqueName="[Measures].[Count of Project Account]" caption="Count of Project Account" measure="1" displayFolder="" measureGroup="DimPMTProject" count="0"/>
    <cacheHierarchy uniqueName="[Measures].[Sum of Number Of Pieces]" caption="Sum of Number Of Pieces" measure="1" displayFolder="" measureGroup="FactEquipment" count="0"/>
    <cacheHierarchy uniqueName="[Measures].[Sum of MBTU Hour]" caption="Sum of MBTU Hour" measure="1" displayFolder="" measureGroup="FactEquipment" count="0"/>
    <cacheHierarchy uniqueName="[Measures].[Sum of KW Hour]" caption="Sum of KW Hour" measure="1" displayFolder="" measureGroup="FactEquipment" count="0"/>
    <cacheHierarchy uniqueName="[Measures].[Sum of Equipment Cost]" caption="Sum of Equipment Cost" measure="1" displayFolder="" measureGroup="FactEquipment" count="0"/>
    <cacheHierarchy uniqueName="[Measures].[Sum of Usage Hours Year]" caption="Sum of Usage Hours Year" measure="1" displayFolder="" measureGroup="FactEquipment" count="0"/>
    <cacheHierarchy uniqueName="[Measures].[Sum of Usage Hours Day]" caption="Sum of Usage Hours Day" measure="1" displayFolder="" measureGroup="FactEquipment" count="0"/>
    <cacheHierarchy uniqueName="[Measures].[Average of Number Of Pieces]" caption="Average of Number Of Pieces" measure="1" displayFolder="" measureGroup="FactEquipment" count="0"/>
    <cacheHierarchy uniqueName="[Measures].[Average of MBTU Hour]" caption="Average of MBTU Hour" measure="1" displayFolder="" measureGroup="FactEquipment" count="0"/>
    <cacheHierarchy uniqueName="[Measures].[Average of KW Hour]" caption="Average of KW Hour" measure="1" displayFolder="" measureGroup="FactEquipment" count="0"/>
    <cacheHierarchy uniqueName="[Measures].[Average of Equipment Cost]" caption="Average of Equipment Cost" measure="1" displayFolder="" measureGroup="FactEquipment" count="0"/>
    <cacheHierarchy uniqueName="[Measures].[Average of Usage Hours Year]" caption="Average of Usage Hours Year" measure="1" displayFolder="" measureGroup="FactEquipment" count="0"/>
    <cacheHierarchy uniqueName="[Measures].[Average of Usage Hours Day]" caption="Average of Usage Hours Day" measure="1" displayFolder="" measureGroup="FactEquipment" count="0"/>
    <cacheHierarchy uniqueName="[Measures].[Distinct Count of Equipment Account]" caption="Distinct Count of Equipment Account" measure="1" displayFolder="" measureGroup="FactEquipment" count="0"/>
    <cacheHierarchy uniqueName="[Measures].[Count of Equipment Account]" caption="Count of Equipment Account" measure="1" displayFolder="" measureGroup="FactEquipment" count="0"/>
    <cacheHierarchy uniqueName="[Measures].[Sum of Participation]" caption="Sum of Participation" measure="1" displayFolder="" measureGroup="FactMeasureParticipation" count="0"/>
    <cacheHierarchy uniqueName="[Measures].[Sum of Participation Incentives]" caption="Sum of Participation Incentives" measure="1" displayFolder="" measureGroup="FactMeasureParticipation" count="0"/>
    <cacheHierarchy uniqueName="[Measures].[Average of Participation]" caption="Average of Participation" measure="1" displayFolder="" measureGroup="FactMeasureParticipation" count="0"/>
    <cacheHierarchy uniqueName="[Measures].[Average of Participation Incentives]" caption="Average of Participation Incentives" measure="1" displayFolder="" measureGroup="FactMeasureParticipation" count="0"/>
    <cacheHierarchy uniqueName="[Measures].[Sum of Direct Install Labor]" caption="Sum of Direct Install Labor" measure="1" displayFolder="" measureGroup="FactMeasureParticipation" count="0"/>
    <cacheHierarchy uniqueName="[Measures].[Sum of Direct Install Materials]" caption="Sum of Direct Install Materials" measure="1" displayFolder="" measureGroup="FactMeasureParticipation" count="0"/>
    <cacheHierarchy uniqueName="[Measures].[Count of AccountingDate]" caption="Count of AccountingDate" measure="1" displayFolder="" measureGroup="FactUsage" count="0"/>
    <cacheHierarchy uniqueName="[Measures].[Count of Batch BusinessDate]" caption="Count of Batch BusinessDate" measure="1" displayFolder="" measureGroup="FactUsage" count="0"/>
    <cacheHierarchy uniqueName="[Measures].[Count of Bill Segment StartDate]" caption="Count of Bill Segment StartDate" measure="1" displayFolder="" measureGroup="FactUsage" count="0"/>
    <cacheHierarchy uniqueName="[Measures].[Average of Billed Days Count]" caption="Average of Billed Days Count" measure="1" displayFolder="" measureGroup="FactUsage" count="0"/>
    <cacheHierarchy uniqueName="[Measures].[Total Sales Gas Quantity]" caption="Total Sales Gas Quantity" measure="1" displayFolder="" measureGroup="FactUsage" count="0"/>
    <cacheHierarchy uniqueName="[Measures].[Average of Sales Gas Quantity]" caption="Average of Sales Gas Quantity" measure="1" displayFolder="" measureGroup="FactUsage" count="0"/>
    <cacheHierarchy uniqueName="[Measures].[Total Transportation Gas Quantity]" caption="Total Transportation Gas Quantity" measure="1" displayFolder="" measureGroup="FactUsage" count="0"/>
    <cacheHierarchy uniqueName="[Measures].[Average of Transportation Gas Quantity]" caption="Average of Transportation Gas Quantity" measure="1" displayFolder="" measureGroup="FactUsage" count="0"/>
    <cacheHierarchy uniqueName="[Measures].[Sum of Customer Select Gas Quantity]" caption="Sum of Customer Select Gas Quantity" measure="1" displayFolder="" measureGroup="FactUsage" count="0"/>
    <cacheHierarchy uniqueName="[Measures].[Average of Customer Select Gas Quantity]" caption="Average of Customer Select Gas Quantity" measure="1" displayFolder="" measureGroup="FactUsage" count="0"/>
    <cacheHierarchy uniqueName="[Measures].[Sum of Franchise Gas Quantity]" caption="Sum of Franchise Gas Quantity" measure="1" displayFolder="" measureGroup="FactUsage" count="0"/>
    <cacheHierarchy uniqueName="[Measures].[Average of Franchise Gas Quantity]" caption="Average of Franchise Gas Quantity" measure="1" displayFolder="" measureGroup="FactUsage" count="0"/>
    <cacheHierarchy uniqueName="[Measures].[Sum of Other Gas Quantity]" caption="Sum of Other Gas Quantity" measure="1" displayFolder="" measureGroup="FactUsage" count="0"/>
    <cacheHierarchy uniqueName="[Measures].[Average of Other Gas Quantity]" caption="Average of Other Gas Quantity" measure="1" displayFolder="" measureGroup="FactUsage" count="0"/>
    <cacheHierarchy uniqueName="[Measures].[Average of Total Gas Quantity]" caption="Average of Total Gas Quantity" measure="1" displayFolder="" measureGroup="FactUsage" count="0"/>
    <cacheHierarchy uniqueName="[Measures].[Count of Bill Segment EndDate]" caption="Count of Bill Segment EndDate" measure="1" displayFolder="" measureGroup="FactUsage" count="0"/>
    <cacheHierarchy uniqueName="[Measures].[Count of Usage Account]" caption="Count of Usage Account" measure="1" displayFolder="" measureGroup="FactUsage" count="0"/>
    <cacheHierarchy uniqueName="[Measures].[Distinct Count of Usage Account]" caption="Distinct Count of Usage Account" measure="1" displayFolder="" measureGroup="FactUsage" count="0"/>
    <cacheHierarchy uniqueName="[Measures].[Sum of Current Total Bill Amount]" caption="Sum of Current Total Bill Amount" measure="1" displayFolder="" measureGroup="FactUsage" count="0"/>
    <cacheHierarchy uniqueName="[Measures].[Count of PMTProject Contact]" caption="Count of PMTProject Contact" measure="1" displayFolder="" measureGroup="PMTProject_Contact_Contact" count="0"/>
    <cacheHierarchy uniqueName="[Measures].[Count of PMTProject Customer]" caption="Count of PMTProject Customer" measure="1" displayFolder="" measureGroup="PMTProject_Contact_Customer" count="0"/>
    <cacheHierarchy uniqueName="[Measures].[Count of PMTProject Landlord]" caption="Count of PMTProject Landlord" measure="1" displayFolder="" measureGroup="PMTProject_Contact_Landlord" count="0"/>
    <cacheHierarchy uniqueName="[Measures].[Average of AdministrationCost]" caption="Average of AdministrationCost" measure="1" displayFolder="" measureGroup="FactEEPData" count="0"/>
    <cacheHierarchy uniqueName="[Measures].[Average of IncentiveCost]" caption="Average of IncentiveCost" measure="1" displayFolder="" measureGroup="FactEEPData" count="0"/>
    <cacheHierarchy uniqueName="[Measures].[Average of MarketingCost]" caption="Average of MarketingCost" measure="1" displayFolder="" measureGroup="FactEEPData" count="0"/>
    <cacheHierarchy uniqueName="[Measures].[Average of ActualProgramDollarCost]" caption="Average of ActualProgramDollarCost" measure="1" displayFolder="" measureGroup="FactEEPData" count="0"/>
    <cacheHierarchy uniqueName="[Measures].[Average of CustomerCopay]" caption="Average of CustomerCopay" measure="1" displayFolder="" measureGroup="FactEEPData" count="0"/>
    <cacheHierarchy uniqueName="[Measures].[Average of GrossAnnualThermSavings]" caption="Average of GrossAnnualThermSavings" measure="1" displayFolder="" measureGroup="FactEEPData" count="0"/>
    <cacheHierarchy uniqueName="[Measures].[Average of IncrementalCost]" caption="Average of IncrementalCost" measure="1" displayFolder="" measureGroup="FactEEPData" count="0"/>
    <cacheHierarchy uniqueName="[Measures].[Average of InstallationEquipmentCost]" caption="Average of InstallationEquipmentCost" measure="1" displayFolder="" measureGroup="FactEEPData" count="0"/>
    <cacheHierarchy uniqueName="[Measures].[Average of NetAnnualThermsMeasure]" caption="Average of NetAnnualThermsMeasure" measure="1" displayFolder="" measureGroup="FactEEPData" count="0"/>
    <cacheHierarchy uniqueName="[Measures].[Sum of NetAnnualThermsMeasure]" caption="Sum of NetAnnualThermsMeasure" measure="1" displayFolder="" measureGroup="FactEEPData" count="0"/>
    <cacheHierarchy uniqueName="[Measures].[Average of NetAnnualThermsProgram]" caption="Average of NetAnnualThermsProgram" measure="1" displayFolder="" measureGroup="FactEEPData" count="0"/>
    <cacheHierarchy uniqueName="[Measures].[Sum of NetAnnualThermsProgram]" caption="Sum of NetAnnualThermsProgram" measure="1" displayFolder="" measureGroup="FactEEPData" count="0"/>
    <cacheHierarchy uniqueName="[Measures].[Average of Quantity]" caption="Average of Quantity" measure="1" displayFolder="" measureGroup="FactEEPData" count="0"/>
    <cacheHierarchy uniqueName="[Measures].[Sum of Quantity]" caption="Sum of Quantity" measure="1" displayFolder="" measureGroup="FactEEPData" count="0" oneField="1">
      <fieldsUsage count="1">
        <fieldUsage x="6"/>
      </fieldsUsage>
    </cacheHierarchy>
    <cacheHierarchy uniqueName="[Measures].[Average of SquareFeet]" caption="Average of SquareFeet" measure="1" displayFolder="" measureGroup="FactEEPData" count="0"/>
    <cacheHierarchy uniqueName="[Measures].[Average of TotalMeasureCost]" caption="Average of TotalMeasureCost" measure="1" displayFolder="" measureGroup="FactEEPData" count="0"/>
    <cacheHierarchy uniqueName="[Measures].[Sum of TotalMeasureCost]" caption="Sum of TotalMeasureCost" measure="1" displayFolder="" measureGroup="FactEEPData" count="0"/>
    <cacheHierarchy uniqueName="[Measures].[Count of InstallationDate]" caption="Count of InstallationDate" measure="1" displayFolder="" measureGroup="FactEEPData" count="0"/>
    <cacheHierarchy uniqueName="[Measures].[Sum of ActualProgramDollarCost]" caption="Sum of ActualProgramDollarCost" measure="1" displayFolder="" measureGroup="FactEEPData" count="0" oneField="1">
      <fieldsUsage count="1">
        <fieldUsage x="11"/>
      </fieldsUsage>
    </cacheHierarchy>
    <cacheHierarchy uniqueName="[Measures].[Sum of AdministrationCost]" caption="Sum of AdministrationCost" measure="1" displayFolder="" measureGroup="FactEEPData" count="0"/>
    <cacheHierarchy uniqueName="[Measures].[Sum of GrossAnnualThermSavings]" caption="Sum of GrossAnnualThermSavings" measure="1" displayFolder="" measureGroup="FactEEPData" count="0" oneField="1">
      <fieldsUsage count="1">
        <fieldUsage x="13"/>
      </fieldsUsage>
    </cacheHierarchy>
    <cacheHierarchy uniqueName="[Measures].[Sum of IncentiveCost]" caption="Sum of IncentiveCost" measure="1" displayFolder="" measureGroup="FactEEPData" count="0"/>
    <cacheHierarchy uniqueName="[Measures].[Sum of IncrementalCost]" caption="Sum of IncrementalCost" measure="1" displayFolder="" measureGroup="FactEEPData" count="0" oneField="1">
      <fieldsUsage count="1">
        <fieldUsage x="14"/>
      </fieldsUsage>
    </cacheHierarchy>
    <cacheHierarchy uniqueName="[Measures].[Sum of InstallationEquipmentCost]" caption="Sum of InstallationEquipmentCost" measure="1" displayFolder="" measureGroup="FactEEPData" count="0"/>
    <cacheHierarchy uniqueName="[Measures].[Sum of MarketingCost]" caption="Sum of MarketingCost" measure="1" displayFolder="" measureGroup="FactEEPData" count="0"/>
    <cacheHierarchy uniqueName="[Measures].[Sum of SquareFeet]" caption="Sum of SquareFeet" measure="1" displayFolder="" measureGroup="FactEEPData" count="0"/>
    <cacheHierarchy uniqueName="[Measures].[Sum of CustomerCopay]" caption="Sum of CustomerCopay" measure="1" displayFolder="" measureGroup="FactEEPData" count="0"/>
    <cacheHierarchy uniqueName="[Measures].[Average ActualProgramDollarCost Per NetAnnualTherm]" caption="Average ActualProgramDollarCost Per NetAnnualTherm" measure="1" displayFolder="Financial" measureGroup="FactEEPData" count="0"/>
    <cacheHierarchy uniqueName="[Measures].[Count of Measure]" caption="Count of Measure" measure="1" displayFolder="" measureGroup="FactEEPData" count="0"/>
    <cacheHierarchy uniqueName="[Measures].[Count of Project]" caption="Count of Project" measure="1" displayFolder="" measureGroup="FactEEPData" count="0" oneField="1">
      <fieldsUsage count="1">
        <fieldUsage x="5"/>
      </fieldsUsage>
    </cacheHierarchy>
    <cacheHierarchy uniqueName="[Measures].[Distinct Count of Project]" caption="Distinct Count of Project" measure="1" displayFolder="" measureGroup="FactEEPData" count="0"/>
    <cacheHierarchy uniqueName="[Measures].[Distinct Count of Measure]" caption="Distinct Count of Measure" measure="1" displayFolder="" measureGroup="FactEEPData" count="0"/>
    <cacheHierarchy uniqueName="[Measures].[Total Cost Actual]" caption="Total Cost Actual" measure="1" displayFolder="" measureGroup="FactEEPData" count="0"/>
    <cacheHierarchy uniqueName="[Measures].[Total Cost Planned]" caption="Total Cost Planned" measure="1" displayFolder="" measureGroup="FactEEPData" count="0"/>
    <cacheHierarchy uniqueName="[Measures].[Total Cost Filed Plan]" caption="Total Cost Filed Plan" measure="1" displayFolder="" measureGroup="FactEEPData" count="0"/>
    <cacheHierarchy uniqueName="[Measures].[Total Cost Annual Plan]" caption="Total Cost Annual Plan" measure="1" displayFolder="" measureGroup="FactEEPData" count="0"/>
    <cacheHierarchy uniqueName="[Measures].[Total Cost Accounting Budget]" caption="Total Cost Accounting Budget" measure="1" displayFolder="" measureGroup="FactEEPData" count="0"/>
    <cacheHierarchy uniqueName="[Measures].[Total Cost Forecast]" caption="Total Cost Forecast" measure="1" displayFolder="" measureGroup="FactEEPData" count="0"/>
    <cacheHierarchy uniqueName="[Measures].[Total Cost Informational]" caption="Total Cost Informational" measure="1" displayFolder="" measureGroup="FactEEPData" count="0"/>
    <cacheHierarchy uniqueName="[Measures].[Total Gross Therm Savings Actual]" caption="Total Gross Therm Savings Actual" measure="1" displayFolder="" measureGroup="FactEEPData" count="0"/>
    <cacheHierarchy uniqueName="[Measures].[Total Gross Therm Savings Budget]" caption="Total Gross Therm Savings Budget" measure="1" displayFolder="" measureGroup="FactEEPData" count="0"/>
    <cacheHierarchy uniqueName="[Measures].[Total Net Therms Achieved]" caption="Total Net Therms Achieved" measure="1" displayFolder="" measureGroup="FactEEPData" count="0"/>
    <cacheHierarchy uniqueName="[Measures].[Total Net Therms Budget]" caption="Total Net Therms Budget" measure="1" displayFolder="" measureGroup="FactEEPData" count="0"/>
    <cacheHierarchy uniqueName="[Measures].[Total Actual Incentive Paid]" caption="Total Actual Incentive Paid" measure="1" displayFolder="Financial" measureGroup="FactEEPData" count="0"/>
    <cacheHierarchy uniqueName="[Measures].[Total Budget Incentive Cost]" caption="Total Budget Incentive Cost" measure="1" displayFolder="" measureGroup="FactEEPData" count="0"/>
    <cacheHierarchy uniqueName="[Measures].[Total Actual Admin Paid]" caption="Total Actual Admin Paid" measure="1" displayFolder="Financial" measureGroup="FactEEPData" count="0"/>
    <cacheHierarchy uniqueName="[Measures].[Total Budget Admin Cost]" caption="Total Budget Admin Cost" measure="1" displayFolder="" measureGroup="FactEEPData" count="0"/>
    <cacheHierarchy uniqueName="[Measures].[Total Actual Marketing Paid]" caption="Total Actual Marketing Paid" measure="1" displayFolder="Financial" measureGroup="FactEEPData" count="0"/>
    <cacheHierarchy uniqueName="[Measures].[Total Budget Marketing Cost]" caption="Total Budget Marketing Cost" measure="1" displayFolder="" measureGroup="FactEEPData" count="0"/>
    <cacheHierarchy uniqueName="[Measures].[Total Delivered Budgeted Cost By Therm]" caption="Total Delivered Budgeted Cost By Therm" measure="1" displayFolder="" measureGroup="FactEEPData" count="0"/>
    <cacheHierarchy uniqueName="[Measures].[Total Delivered Actual Cost By Therm]" caption="Total Delivered Actual Cost By Therm" measure="1" displayFolder="" measureGroup="FactEEPData" count="0"/>
    <cacheHierarchy uniqueName="[Measures].[Total Net Therms PY PCT Achieved]" caption="Total Net Therms PY PCT Achieved" measure="1" displayFolder="" measureGroup="FactEEPData" count="0"/>
    <cacheHierarchy uniqueName="[Measures].[Total Program Cost PY PCT Achieved]" caption="Total Program Cost PY PCT Achieved" measure="1" displayFolder="" measureGroup="FactEEPData" count="0"/>
    <cacheHierarchy uniqueName="[Measures].[Total Net Lifecycle Therms Achieved]" caption="Total Net Lifecycle Therms Achieved" measure="1" displayFolder="" measureGroup="FactEEPData" count="0"/>
    <cacheHierarchy uniqueName="[Measures].[Total Weighted Average Measure Life]" caption="Total Weighted Average Measure Life" measure="1" displayFolder="" measureGroup="FactEEPData" count="0"/>
    <cacheHierarchy uniqueName="[Measures].[Sum of BudgetProgramDollarCost]" caption="Sum of BudgetProgramDollarCost" measure="1" displayFolder="" measureGroup="FactEEPData" count="0"/>
    <cacheHierarchy uniqueName="[Measures].[Count of PMTProject IC]" caption="Count of PMTProject IC" measure="1" displayFolder="" measureGroup="PMTProject_Contact_IC" count="0"/>
    <cacheHierarchy uniqueName="[Measures].[__Default measure]" caption="__Default measure" measure="1" displayFolder="" count="0" hidden="1"/>
  </cacheHierarchies>
  <kpis count="0"/>
  <dimensions count="87">
    <dimension name="Account_Contact" uniqueName="[Account_Contact]" caption="Account_Contact"/>
    <dimension name="AccountCountyHierArchy" uniqueName="[AccountCountyHierArchy]" caption="AccountCountyHierArchy"/>
    <dimension name="AcctA44Ranking" uniqueName="[AcctA44Ranking]" caption="AcctA44Ranking"/>
    <dimension name="AcctContactRules" uniqueName="[AcctContactRules]" caption="AcctContactRules"/>
    <dimension name="AcctDualFuelType" uniqueName="[AcctDualFuelType]" caption="AcctDualFuelType"/>
    <dimension name="AcctGasLDC" uniqueName="[AcctGasLDC]" caption="AcctGasLDC"/>
    <dimension name="AcctMarketCode" uniqueName="[AcctMarketCode]" caption="AcctMarketCode"/>
    <dimension name="AcctNAICSVerificationDate" uniqueName="[AcctNAICSVerificationDate]" caption="AcctNAICSVerificationDate"/>
    <dimension name="AcctUsageLevelFilter" uniqueName="[AcctUsageLevelFilter]" caption="AcctUsageLevelFilter"/>
    <dimension name="Budget ProgramYear" uniqueName="[Budget ProgramYear]" caption="Budget ProgramYear"/>
    <dimension name="DimAccount" uniqueName="[DimAccount]" caption="DimAccount"/>
    <dimension name="DimAccountingCodeCostClassification" uniqueName="[DimAccountingCodeCostClassification]" caption="DimAccountingCodeCostClassification"/>
    <dimension name="DimAccountingCodeProgramName" uniqueName="[DimAccountingCodeProgramName]" caption="DimAccountingCodeProgramName"/>
    <dimension name="DimAccountUsageLevel" uniqueName="[DimAccountUsageLevel]" caption="DimAccountUsageLevel"/>
    <dimension name="DimBuildingType" uniqueName="[DimBuildingType]" caption="DimBuildingType"/>
    <dimension name="DimBusinessAccountSegment" uniqueName="[DimBusinessAccountSegment]" caption="DimBusinessAccountSegment"/>
    <dimension name="DimBusinessPremiseSegment" uniqueName="[DimBusinessPremiseSegment]" caption="DimBusinessPremiseSegment"/>
    <dimension name="DimContactMailer" uniqueName="[DimContactMailer]" caption="DimContactMailer"/>
    <dimension name="DimCustomerSelectSupplier" uniqueName="[DimCustomerSelectSupplier]" caption="DimCustomerSelectSupplier"/>
    <dimension name="DimDate" uniqueName="[DimDate]" caption="DimDate"/>
    <dimension name="DimEquipmentCode" uniqueName="[DimEquipmentCode]" caption="DimEquipmentCode"/>
    <dimension name="DimMeasureGroup" uniqueName="[DimMeasureGroup]" caption="DimMeasureGroup"/>
    <dimension name="DimPayee" uniqueName="[DimPayee]" caption="DimPayee"/>
    <dimension name="DimPipeLineStatus" uniqueName="[DimPipeLineStatus]" caption="DimPipeLineStatus"/>
    <dimension name="DimPMTIC" uniqueName="[DimPMTIC]" caption="DimPMTIC"/>
    <dimension name="DimPMTMeasure" uniqueName="[DimPMTMeasure]" caption="DimPMTMeasure"/>
    <dimension name="DimPMTProgram" uniqueName="[DimPMTProgram]" caption="DimPMTProgram"/>
    <dimension name="DimPMTProgramAccounting" uniqueName="[DimPMTProgramAccounting]" caption="DimPMTProgramAccounting"/>
    <dimension name="DimPMTProject" uniqueName="[DimPMTProject]" caption="DimPMTProject"/>
    <dimension name="DimPMTSystem" uniqueName="[DimPMTSystem]" caption="DimPMTSystem"/>
    <dimension name="DimProjectTradeAlly" uniqueName="[DimProjectTradeAlly]" caption="DimProjectTradeAlly"/>
    <dimension name="DimRateSchedule" uniqueName="[DimRateSchedule]" caption="DimRateSchedule"/>
    <dimension name="DimReadType" uniqueName="[DimReadType]" caption="DimReadType"/>
    <dimension name="DimReferralSource" uniqueName="[DimReferralSource]" caption="DimReferralSource"/>
    <dimension name="DimResidentialAccountSegment" uniqueName="[DimResidentialAccountSegment]" caption="DimResidentialAccountSegment"/>
    <dimension name="DimResidentialPremiseSegment" uniqueName="[DimResidentialPremiseSegment]" caption="DimResidentialPremiseSegment"/>
    <dimension name="DimScenario" uniqueName="[DimScenario]" caption="DimScenario"/>
    <dimension name="DimServiceAgreementType" uniqueName="[DimServiceAgreementType]" caption="DimServiceAgreementType"/>
    <dimension name="DimServiceCounty" uniqueName="[DimServiceCounty]" caption="DimServiceCounty"/>
    <dimension name="DimServicePointType" uniqueName="[DimServicePointType]" caption="DimServicePointType"/>
    <dimension name="DimServiceTown" uniqueName="[DimServiceTown]" caption="DimServiceTown"/>
    <dimension name="DimSilverPopSurvey" uniqueName="[DimSilverPopSurvey]" caption="DimSilverPopSurvey"/>
    <dimension name="DimSubProgramType" uniqueName="[DimSubProgramType]" caption="DimSubProgramType"/>
    <dimension name="DimTradeAlly_Parent" uniqueName="[DimTradeAlly_Parent]" caption="DimTradeAlly_Parent"/>
    <dimension name="DimTradeAllyType" uniqueName="[DimTradeAllyType]" caption="DimTradeAllyType"/>
    <dimension name="DimUser" uniqueName="[DimUser]" caption="DimUser"/>
    <dimension name="DimUserType" uniqueName="[DimUserType]" caption="DimUserType"/>
    <dimension name="EquipmentDualFuel" uniqueName="[EquipmentDualFuel]" caption="EquipmentDualFuel"/>
    <dimension name="EquipmentFuel" uniqueName="[EquipmentFuel]" caption="EquipmentFuel"/>
    <dimension name="EquipmentManufacture" uniqueName="[EquipmentManufacture]" caption="EquipmentManufacture"/>
    <dimension name="FactCostEffectiveness" uniqueName="[FactCostEffectiveness]" caption="FactCostEffectiveness"/>
    <dimension name="FactCostSavings" uniqueName="[FactCostSavings]" caption="FactCostSavings"/>
    <dimension name="FactEEPData" uniqueName="[FactEEPData]" caption="FactEEPData"/>
    <dimension name="FactEquipment" uniqueName="[FactEquipment]" caption="FactEquipment"/>
    <dimension name="FactForecastTotalThermSavings" uniqueName="[FactForecastTotalThermSavings]" caption="FactForecastTotalThermSavings"/>
    <dimension name="FactMeasureParticipation" uniqueName="[FactMeasureParticipation]" caption="FactMeasureParticipation"/>
    <dimension name="FactMOCCallLog" uniqueName="[FactMOCCallLog]" caption="FactMOCCallLog"/>
    <dimension name="FactMOCLead" uniqueName="[FactMOCLead]" caption="FactMOCLead"/>
    <dimension name="FactPipeline" uniqueName="[FactPipeline]" caption="FactPipeline"/>
    <dimension name="FactPredictiveAnalytics" uniqueName="[FactPredictiveAnalytics]" caption="FactPredictiveAnalytics"/>
    <dimension name="FactSilverpopEmailActivity" uniqueName="[FactSilverpopEmailActivity]" caption="FactSilverpopEmailActivity"/>
    <dimension name="FactSilverPopSurvey" uniqueName="[FactSilverPopSurvey]" caption="FactSilverPopSurvey"/>
    <dimension name="FactUsage" uniqueName="[FactUsage]" caption="FactUsage"/>
    <dimension name="HierProgramProjectMeasure" uniqueName="[HierProgramProjectMeasure]" caption="HierProgramProjectMeasure"/>
    <dimension measure="1" name="Measures" uniqueName="[Measures]" caption="Measures"/>
    <dimension name="MOCActivityDate" uniqueName="[MOCActivityDate]" caption="MOCActivityDate"/>
    <dimension name="MOCAssessmentDate" uniqueName="[MOCAssessmentDate]" caption="MOCAssessmentDate"/>
    <dimension name="MOCEventDate" uniqueName="[MOCEventDate]" caption="MOCEventDate"/>
    <dimension name="PMTInstallDate" uniqueName="[PMTInstallDate]" caption="PMTInstallDate"/>
    <dimension name="PMTInvoiceDate" uniqueName="[PMTInvoiceDate]" caption="PMTInvoiceDate"/>
    <dimension name="PMTProject_Contact_Contact" uniqueName="[PMTProject_Contact_Contact]" caption="PMTProject_Contact_Contact"/>
    <dimension name="PMTProject_Contact_Customer" uniqueName="[PMTProject_Contact_Customer]" caption="PMTProject_Contact_Customer"/>
    <dimension name="PMTProject_Contact_IC" uniqueName="[PMTProject_Contact_IC]" caption="PMTProject_Contact_IC"/>
    <dimension name="PMTProject_Contact_Landlord" uniqueName="[PMTProject_Contact_Landlord]" caption="PMTProject_Contact_Landlord"/>
    <dimension name="PMTPurchaseDate" uniqueName="[PMTPurchaseDate]" caption="PMTPurchaseDate"/>
    <dimension name="PMTRptRefDate" uniqueName="[PMTRptRefDate]" caption="PMTRptRefDate"/>
    <dimension name="PMTYearBuiltLevelFilter" uniqueName="[PMTYearBuiltLevelFilter]" caption="PMTYearBuiltLevelFilter"/>
    <dimension name="Project_LastRenovationDate" uniqueName="[Project_LastRenovationDate]" caption="Project_LastRenovationDate"/>
    <dimension name="ServiceAgreement_Account" uniqueName="[ServiceAgreement_Account]" caption="ServiceAgreement_Account"/>
    <dimension name="ServiceAgreement_Usage" uniqueName="[ServiceAgreement_Usage]" caption="ServiceAgreement_Usage"/>
    <dimension name="UniqueContactMarketSegment" uniqueName="[UniqueContactMarketSegment]" caption="UniqueContactMarketSegment"/>
    <dimension name="UniqueMarketSegment" uniqueName="[UniqueMarketSegment]" caption="UniqueMarketSegment"/>
    <dimension name="UniqueYearBuiltLevelFilter" uniqueName="[UniqueYearBuiltLevelFilter]" caption="UniqueYearBuiltLevelFilter"/>
    <dimension name="UsageAcctgDate" uniqueName="[UsageAcctgDate]" caption="UsageAcctgDate"/>
    <dimension name="UsageBatchBusDate" uniqueName="[UsageBatchBusDate]" caption="UsageBatchBusDate"/>
    <dimension name="UsageBillEndDate" uniqueName="[UsageBillEndDate]" caption="UsageBillEndDate"/>
    <dimension name="UsageBillStartDate" uniqueName="[UsageBillStartDate]" caption="UsageBillStartDate"/>
  </dimensions>
  <measureGroups count="87">
    <measureGroup name="Account_Contact" caption="Account_Contact"/>
    <measureGroup name="AccountCountyHierArchy" caption="AccountCountyHierArchy"/>
    <measureGroup name="AcctA44Ranking" caption="AcctA44Ranking"/>
    <measureGroup name="AcctContactRules" caption="AcctContactRules"/>
    <measureGroup name="AcctDualFuelType" caption="AcctDualFuelType"/>
    <measureGroup name="AcctGasLDC" caption="AcctGasLDC"/>
    <measureGroup name="AcctMarketCode" caption="AcctMarketCode"/>
    <measureGroup name="AcctNAICSVerificationDate" caption="AcctNAICSVerificationDate"/>
    <measureGroup name="AcctUsageLevelFilter" caption="AcctUsageLevelFilter"/>
    <measureGroup name="Budget ProgramYear" caption="Budget ProgramYear"/>
    <measureGroup name="DimAccount" caption="DimAccount"/>
    <measureGroup name="DimAccountingCodeCostClassification" caption="DimAccountingCodeCostClassification"/>
    <measureGroup name="DimAccountingCodeProgramName" caption="DimAccountingCodeProgramName"/>
    <measureGroup name="DimAccountUsageLevel" caption="DimAccountUsageLevel"/>
    <measureGroup name="DimBuildingType" caption="DimBuildingType"/>
    <measureGroup name="DimBusinessAccountSegment" caption="DimBusinessAccountSegment"/>
    <measureGroup name="DimBusinessPremiseSegment" caption="DimBusinessPremiseSegment"/>
    <measureGroup name="DimContactMailer" caption="DimContactMailer"/>
    <measureGroup name="DimCustomerSelectSupplier" caption="DimCustomerSelectSupplier"/>
    <measureGroup name="DimDate" caption="DimDate"/>
    <measureGroup name="DimEquipmentCode" caption="DimEquipmentCode"/>
    <measureGroup name="DimMeasureGroup" caption="DimMeasureGroup"/>
    <measureGroup name="DimNAICSCode" caption="DimNAICSCode"/>
    <measureGroup name="DimPayee" caption="DimPayee"/>
    <measureGroup name="DimPipeLineStatus" caption="DimPipeLineStatus"/>
    <measureGroup name="DimPMTIC" caption="DimPMTIC"/>
    <measureGroup name="DimPMTMeasure" caption="DimPMTMeasure"/>
    <measureGroup name="DimPMTProgram" caption="DimPMTProgram"/>
    <measureGroup name="DimPMTProgramAccounting" caption="DimPMTProgramAccounting"/>
    <measureGroup name="DimPMTProject" caption="DimPMTProject"/>
    <measureGroup name="DimPMTSystem" caption="DimPMTSystem"/>
    <measureGroup name="DimProjectTradeAlly" caption="DimProjectTradeAlly"/>
    <measureGroup name="DimRateSchedule" caption="DimRateSchedule"/>
    <measureGroup name="DimReadType" caption="DimReadType"/>
    <measureGroup name="DimReferralSource" caption="DimReferralSource"/>
    <measureGroup name="DimResidentialAccountSegment" caption="DimResidentialAccountSegment"/>
    <measureGroup name="DimResidentialPremiseSegment" caption="DimResidentialPremiseSegment"/>
    <measureGroup name="DimScenario" caption="DimScenario"/>
    <measureGroup name="DimServiceAgreementType" caption="DimServiceAgreementType"/>
    <measureGroup name="DimServiceCounty" caption="DimServiceCounty"/>
    <measureGroup name="DimServicePointType" caption="DimServicePointType"/>
    <measureGroup name="DimServiceTown" caption="DimServiceTown"/>
    <measureGroup name="DimSilverPopSurvey" caption="DimSilverPopSurvey"/>
    <measureGroup name="DimSubProgramType" caption="DimSubProgramType"/>
    <measureGroup name="DimTradeAlly_Parent" caption="DimTradeAlly_Parent"/>
    <measureGroup name="DimTradeAllyType" caption="DimTradeAllyType"/>
    <measureGroup name="DimUser" caption="DimUser"/>
    <measureGroup name="DimUserType" caption="DimUserType"/>
    <measureGroup name="EquipmentDualFuel" caption="EquipmentDualFuel"/>
    <measureGroup name="EquipmentFuel" caption="EquipmentFuel"/>
    <measureGroup name="EquipmentManufacture" caption="EquipmentManufacture"/>
    <measureGroup name="FactCostEffectiveness" caption="FactCostEffectiveness"/>
    <measureGroup name="FactCostSavings" caption="FactCostSavings"/>
    <measureGroup name="FactEEPData" caption="FactEEPData"/>
    <measureGroup name="FactEquipment" caption="FactEquipment"/>
    <measureGroup name="FactForecastTotalThermSavings" caption="FactForecastTotalThermSavings"/>
    <measureGroup name="FactMeasureParticipation" caption="FactMeasureParticipation"/>
    <measureGroup name="FactMOCCallLog" caption="FactMOCCallLog"/>
    <measureGroup name="FactMOCLead" caption="FactMOCLead"/>
    <measureGroup name="FactPipeline" caption="FactPipeline"/>
    <measureGroup name="FactPredictiveAnalytics" caption="FactPredictiveAnalytics"/>
    <measureGroup name="FactSilverpopEmailActivity" caption="FactSilverpopEmailActivity"/>
    <measureGroup name="FactSilverPopSurvey" caption="FactSilverPopSurvey"/>
    <measureGroup name="FactUsage" caption="FactUsage"/>
    <measureGroup name="HierProgramProjectMeasure" caption="HierProgramProjectMeasure"/>
    <measureGroup name="MOCActivityDate" caption="MOCActivityDate"/>
    <measureGroup name="MOCAssessmentDate" caption="MOCAssessmentDate"/>
    <measureGroup name="MOCEventDate" caption="MOCEventDate"/>
    <measureGroup name="PMTInstallDate" caption="PMTInstallDate"/>
    <measureGroup name="PMTInvoiceDate" caption="PMTInvoiceDate"/>
    <measureGroup name="PMTProject_Contact_Contact" caption="PMTProject_Contact_Contact"/>
    <measureGroup name="PMTProject_Contact_Customer" caption="PMTProject_Contact_Customer"/>
    <measureGroup name="PMTProject_Contact_IC" caption="PMTProject_Contact_IC"/>
    <measureGroup name="PMTProject_Contact_Landlord" caption="PMTProject_Contact_Landlord"/>
    <measureGroup name="PMTPurchaseDate" caption="PMTPurchaseDate"/>
    <measureGroup name="PMTRptRefDate" caption="PMTRptRefDate"/>
    <measureGroup name="PMTYearBuiltLevelFilter" caption="PMTYearBuiltLevelFilter"/>
    <measureGroup name="Project_LastRenovationDate" caption="Project_LastRenovationDate"/>
    <measureGroup name="ServiceAgreement_Account" caption="ServiceAgreement_Account"/>
    <measureGroup name="ServiceAgreement_Usage" caption="ServiceAgreement_Usage"/>
    <measureGroup name="UniqueContactMarketSegment" caption="UniqueContactMarketSegment"/>
    <measureGroup name="UniqueMarketSegment" caption="UniqueMarketSegment"/>
    <measureGroup name="UniqueYearBuiltLevelFilter" caption="UniqueYearBuiltLevelFilter"/>
    <measureGroup name="UsageAcctgDate" caption="UsageAcctgDate"/>
    <measureGroup name="UsageBatchBusDate" caption="UsageBatchBusDate"/>
    <measureGroup name="UsageBillEndDate" caption="UsageBillEndDate"/>
    <measureGroup name="UsageBillStartDate" caption="UsageBillStartDate"/>
  </measureGroups>
  <maps count="626">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10"/>
    <map measureGroup="0" dimension="15"/>
    <map measureGroup="0" dimension="16"/>
    <map measureGroup="0" dimension="21"/>
    <map measureGroup="0" dimension="26"/>
    <map measureGroup="0" dimension="34"/>
    <map measureGroup="0" dimension="35"/>
    <map measureGroup="0" dimension="59"/>
    <map measureGroup="0" dimension="82"/>
    <map measureGroup="1" dimension="1"/>
    <map measureGroup="2" dimension="2"/>
    <map measureGroup="3" dimension="3"/>
    <map measureGroup="4" dimension="4"/>
    <map measureGroup="5" dimension="5"/>
    <map measureGroup="6" dimension="6"/>
    <map measureGroup="7" dimension="7"/>
    <map measureGroup="8" dimension="8"/>
    <map measureGroup="9" dimension="9"/>
    <map measureGroup="10" dimension="1"/>
    <map measureGroup="10" dimension="2"/>
    <map measureGroup="10" dimension="3"/>
    <map measureGroup="10" dimension="4"/>
    <map measureGroup="10" dimension="5"/>
    <map measureGroup="10" dimension="6"/>
    <map measureGroup="10" dimension="7"/>
    <map measureGroup="10" dimension="8"/>
    <map measureGroup="10" dimension="10"/>
    <map measureGroup="10" dimension="15"/>
    <map measureGroup="10" dimension="16"/>
    <map measureGroup="10" dimension="21"/>
    <map measureGroup="10" dimension="26"/>
    <map measureGroup="10" dimension="34"/>
    <map measureGroup="10" dimension="35"/>
    <map measureGroup="10" dimension="59"/>
    <map measureGroup="10" dimension="82"/>
    <map measureGroup="11" dimension="11"/>
    <map measureGroup="12" dimension="12"/>
    <map measureGroup="13" dimension="1"/>
    <map measureGroup="13" dimension="2"/>
    <map measureGroup="13" dimension="3"/>
    <map measureGroup="13" dimension="4"/>
    <map measureGroup="13" dimension="5"/>
    <map measureGroup="13" dimension="6"/>
    <map measureGroup="13" dimension="7"/>
    <map measureGroup="13" dimension="8"/>
    <map measureGroup="13" dimension="10"/>
    <map measureGroup="13" dimension="13"/>
    <map measureGroup="13" dimension="15"/>
    <map measureGroup="13" dimension="16"/>
    <map measureGroup="13" dimension="21"/>
    <map measureGroup="13" dimension="26"/>
    <map measureGroup="13" dimension="34"/>
    <map measureGroup="13" dimension="35"/>
    <map measureGroup="13" dimension="59"/>
    <map measureGroup="13" dimension="82"/>
    <map measureGroup="14" dimension="14"/>
    <map measureGroup="15" dimension="15"/>
    <map measureGroup="16" dimension="16"/>
    <map measureGroup="17" dimension="0"/>
    <map measureGroup="17" dimension="1"/>
    <map measureGroup="17" dimension="2"/>
    <map measureGroup="17" dimension="3"/>
    <map measureGroup="17" dimension="4"/>
    <map measureGroup="17" dimension="5"/>
    <map measureGroup="17" dimension="6"/>
    <map measureGroup="17" dimension="7"/>
    <map measureGroup="17" dimension="8"/>
    <map measureGroup="17" dimension="10"/>
    <map measureGroup="17" dimension="15"/>
    <map measureGroup="17" dimension="16"/>
    <map measureGroup="17" dimension="17"/>
    <map measureGroup="17" dimension="21"/>
    <map measureGroup="17" dimension="26"/>
    <map measureGroup="17" dimension="34"/>
    <map measureGroup="17" dimension="35"/>
    <map measureGroup="17" dimension="59"/>
    <map measureGroup="17" dimension="82"/>
    <map measureGroup="18" dimension="18"/>
    <map measureGroup="19" dimension="19"/>
    <map measureGroup="20" dimension="20"/>
    <map measureGroup="21" dimension="21"/>
    <map measureGroup="23" dimension="22"/>
    <map measureGroup="24" dimension="23"/>
    <map measureGroup="25" dimension="24"/>
    <map measureGroup="26" dimension="25"/>
    <map measureGroup="27" dimension="26"/>
    <map measureGroup="28" dimension="27"/>
    <map measureGroup="29" dimension="1"/>
    <map measureGroup="29" dimension="2"/>
    <map measureGroup="29" dimension="3"/>
    <map measureGroup="29" dimension="4"/>
    <map measureGroup="29" dimension="5"/>
    <map measureGroup="29" dimension="6"/>
    <map measureGroup="29" dimension="7"/>
    <map measureGroup="29" dimension="8"/>
    <map measureGroup="29" dimension="10"/>
    <map measureGroup="29" dimension="14"/>
    <map measureGroup="29" dimension="15"/>
    <map measureGroup="29" dimension="16"/>
    <map measureGroup="29" dimension="21"/>
    <map measureGroup="29" dimension="24"/>
    <map measureGroup="29" dimension="26"/>
    <map measureGroup="29" dimension="27"/>
    <map measureGroup="29" dimension="28"/>
    <map measureGroup="29" dimension="30"/>
    <map measureGroup="29" dimension="33"/>
    <map measureGroup="29" dimension="34"/>
    <map measureGroup="29" dimension="35"/>
    <map measureGroup="29" dimension="42"/>
    <map measureGroup="29" dimension="43"/>
    <map measureGroup="29" dimension="44"/>
    <map measureGroup="29" dimension="59"/>
    <map measureGroup="29" dimension="76"/>
    <map measureGroup="29" dimension="77"/>
    <map measureGroup="29" dimension="82"/>
    <map measureGroup="30" dimension="1"/>
    <map measureGroup="30" dimension="2"/>
    <map measureGroup="30" dimension="3"/>
    <map measureGroup="30" dimension="4"/>
    <map measureGroup="30" dimension="5"/>
    <map measureGroup="30" dimension="6"/>
    <map measureGroup="30" dimension="7"/>
    <map measureGroup="30" dimension="8"/>
    <map measureGroup="30" dimension="10"/>
    <map measureGroup="30" dimension="14"/>
    <map measureGroup="30" dimension="15"/>
    <map measureGroup="30" dimension="16"/>
    <map measureGroup="30" dimension="21"/>
    <map measureGroup="30" dimension="24"/>
    <map measureGroup="30" dimension="26"/>
    <map measureGroup="30" dimension="27"/>
    <map measureGroup="30" dimension="28"/>
    <map measureGroup="30" dimension="29"/>
    <map measureGroup="30" dimension="30"/>
    <map measureGroup="30" dimension="33"/>
    <map measureGroup="30" dimension="34"/>
    <map measureGroup="30" dimension="35"/>
    <map measureGroup="30" dimension="42"/>
    <map measureGroup="30" dimension="43"/>
    <map measureGroup="30" dimension="44"/>
    <map measureGroup="30" dimension="59"/>
    <map measureGroup="30" dimension="76"/>
    <map measureGroup="30" dimension="77"/>
    <map measureGroup="30" dimension="82"/>
    <map measureGroup="31" dimension="1"/>
    <map measureGroup="31" dimension="2"/>
    <map measureGroup="31" dimension="3"/>
    <map measureGroup="31" dimension="4"/>
    <map measureGroup="31" dimension="5"/>
    <map measureGroup="31" dimension="6"/>
    <map measureGroup="31" dimension="7"/>
    <map measureGroup="31" dimension="8"/>
    <map measureGroup="31" dimension="10"/>
    <map measureGroup="31" dimension="14"/>
    <map measureGroup="31" dimension="15"/>
    <map measureGroup="31" dimension="16"/>
    <map measureGroup="31" dimension="21"/>
    <map measureGroup="31" dimension="24"/>
    <map measureGroup="31" dimension="26"/>
    <map measureGroup="31" dimension="27"/>
    <map measureGroup="31" dimension="28"/>
    <map measureGroup="31" dimension="30"/>
    <map measureGroup="31" dimension="33"/>
    <map measureGroup="31" dimension="34"/>
    <map measureGroup="31" dimension="35"/>
    <map measureGroup="31" dimension="42"/>
    <map measureGroup="31" dimension="43"/>
    <map measureGroup="31" dimension="44"/>
    <map measureGroup="31" dimension="59"/>
    <map measureGroup="31" dimension="76"/>
    <map measureGroup="31" dimension="77"/>
    <map measureGroup="31" dimension="82"/>
    <map measureGroup="32" dimension="31"/>
    <map measureGroup="33" dimension="32"/>
    <map measureGroup="34" dimension="33"/>
    <map measureGroup="35" dimension="34"/>
    <map measureGroup="36" dimension="35"/>
    <map measureGroup="37" dimension="36"/>
    <map measureGroup="38" dimension="37"/>
    <map measureGroup="39" dimension="38"/>
    <map measureGroup="40" dimension="39"/>
    <map measureGroup="41" dimension="40"/>
    <map measureGroup="42" dimension="21"/>
    <map measureGroup="42" dimension="26"/>
    <map measureGroup="42" dimension="41"/>
    <map measureGroup="43" dimension="42"/>
    <map measureGroup="44" dimension="43"/>
    <map measureGroup="45" dimension="1"/>
    <map measureGroup="45" dimension="2"/>
    <map measureGroup="45" dimension="3"/>
    <map measureGroup="45" dimension="4"/>
    <map measureGroup="45" dimension="5"/>
    <map measureGroup="45" dimension="6"/>
    <map measureGroup="45" dimension="7"/>
    <map measureGroup="45" dimension="8"/>
    <map measureGroup="45" dimension="10"/>
    <map measureGroup="45" dimension="14"/>
    <map measureGroup="45" dimension="15"/>
    <map measureGroup="45" dimension="16"/>
    <map measureGroup="45" dimension="21"/>
    <map measureGroup="45" dimension="24"/>
    <map measureGroup="45" dimension="26"/>
    <map measureGroup="45" dimension="27"/>
    <map measureGroup="45" dimension="28"/>
    <map measureGroup="45" dimension="30"/>
    <map measureGroup="45" dimension="33"/>
    <map measureGroup="45" dimension="34"/>
    <map measureGroup="45" dimension="35"/>
    <map measureGroup="45" dimension="42"/>
    <map measureGroup="45" dimension="43"/>
    <map measureGroup="45" dimension="44"/>
    <map measureGroup="45" dimension="59"/>
    <map measureGroup="45" dimension="76"/>
    <map measureGroup="45" dimension="77"/>
    <map measureGroup="45" dimension="82"/>
    <map measureGroup="46" dimension="45"/>
    <map measureGroup="46" dimension="46"/>
    <map measureGroup="47" dimension="46"/>
    <map measureGroup="48" dimension="47"/>
    <map measureGroup="49" dimension="48"/>
    <map measureGroup="50" dimension="49"/>
    <map measureGroup="51" dimension="26"/>
    <map measureGroup="51" dimension="27"/>
    <map measureGroup="51" dimension="50"/>
    <map measureGroup="52" dimension="26"/>
    <map measureGroup="52" dimension="51"/>
    <map measureGroup="53" dimension="1"/>
    <map measureGroup="53" dimension="2"/>
    <map measureGroup="53" dimension="3"/>
    <map measureGroup="53" dimension="4"/>
    <map measureGroup="53" dimension="5"/>
    <map measureGroup="53" dimension="6"/>
    <map measureGroup="53" dimension="7"/>
    <map measureGroup="53" dimension="8"/>
    <map measureGroup="53" dimension="9"/>
    <map measureGroup="53" dimension="10"/>
    <map measureGroup="53" dimension="11"/>
    <map measureGroup="53" dimension="12"/>
    <map measureGroup="53" dimension="14"/>
    <map measureGroup="53" dimension="15"/>
    <map measureGroup="53" dimension="16"/>
    <map measureGroup="53" dimension="19"/>
    <map measureGroup="53" dimension="21"/>
    <map measureGroup="53" dimension="22"/>
    <map measureGroup="53" dimension="24"/>
    <map measureGroup="53" dimension="26"/>
    <map measureGroup="53" dimension="27"/>
    <map measureGroup="53" dimension="28"/>
    <map measureGroup="53" dimension="30"/>
    <map measureGroup="53" dimension="33"/>
    <map measureGroup="53" dimension="34"/>
    <map measureGroup="53" dimension="35"/>
    <map measureGroup="53" dimension="36"/>
    <map measureGroup="53" dimension="42"/>
    <map measureGroup="53" dimension="43"/>
    <map measureGroup="53" dimension="44"/>
    <map measureGroup="53" dimension="52"/>
    <map measureGroup="53" dimension="59"/>
    <map measureGroup="53" dimension="63"/>
    <map measureGroup="53" dimension="68"/>
    <map measureGroup="53" dimension="69"/>
    <map measureGroup="53" dimension="74"/>
    <map measureGroup="53" dimension="75"/>
    <map measureGroup="53" dimension="76"/>
    <map measureGroup="53" dimension="77"/>
    <map measureGroup="53" dimension="82"/>
    <map measureGroup="54" dimension="1"/>
    <map measureGroup="54" dimension="2"/>
    <map measureGroup="54" dimension="3"/>
    <map measureGroup="54" dimension="4"/>
    <map measureGroup="54" dimension="5"/>
    <map measureGroup="54" dimension="6"/>
    <map measureGroup="54" dimension="7"/>
    <map measureGroup="54" dimension="8"/>
    <map measureGroup="54" dimension="10"/>
    <map measureGroup="54" dimension="15"/>
    <map measureGroup="54" dimension="16"/>
    <map measureGroup="54" dimension="20"/>
    <map measureGroup="54" dimension="21"/>
    <map measureGroup="54" dimension="26"/>
    <map measureGroup="54" dimension="34"/>
    <map measureGroup="54" dimension="35"/>
    <map measureGroup="54" dimension="47"/>
    <map measureGroup="54" dimension="48"/>
    <map measureGroup="54" dimension="49"/>
    <map measureGroup="54" dimension="53"/>
    <map measureGroup="54" dimension="59"/>
    <map measureGroup="54" dimension="81"/>
    <map measureGroup="54" dimension="82"/>
    <map measureGroup="55" dimension="26"/>
    <map measureGroup="55" dimension="54"/>
    <map measureGroup="56" dimension="9"/>
    <map measureGroup="56" dimension="25"/>
    <map measureGroup="56" dimension="26"/>
    <map measureGroup="56" dimension="36"/>
    <map measureGroup="56" dimension="55"/>
    <map measureGroup="57" dimension="1"/>
    <map measureGroup="57" dimension="2"/>
    <map measureGroup="57" dimension="3"/>
    <map measureGroup="57" dimension="4"/>
    <map measureGroup="57" dimension="5"/>
    <map measureGroup="57" dimension="6"/>
    <map measureGroup="57" dimension="7"/>
    <map measureGroup="57" dimension="8"/>
    <map measureGroup="57" dimension="10"/>
    <map measureGroup="57" dimension="15"/>
    <map measureGroup="57" dimension="16"/>
    <map measureGroup="57" dimension="19"/>
    <map measureGroup="57" dimension="21"/>
    <map measureGroup="57" dimension="26"/>
    <map measureGroup="57" dimension="34"/>
    <map measureGroup="57" dimension="35"/>
    <map measureGroup="57" dimension="45"/>
    <map measureGroup="57" dimension="46"/>
    <map measureGroup="57" dimension="56"/>
    <map measureGroup="57" dimension="59"/>
    <map measureGroup="57" dimension="65"/>
    <map measureGroup="57" dimension="66"/>
    <map measureGroup="57" dimension="67"/>
    <map measureGroup="57" dimension="82"/>
    <map measureGroup="58" dimension="1"/>
    <map measureGroup="58" dimension="2"/>
    <map measureGroup="58" dimension="3"/>
    <map measureGroup="58" dimension="4"/>
    <map measureGroup="58" dimension="5"/>
    <map measureGroup="58" dimension="6"/>
    <map measureGroup="58" dimension="7"/>
    <map measureGroup="58" dimension="8"/>
    <map measureGroup="58" dimension="10"/>
    <map measureGroup="58" dimension="15"/>
    <map measureGroup="58" dimension="16"/>
    <map measureGroup="58" dimension="19"/>
    <map measureGroup="58" dimension="21"/>
    <map measureGroup="58" dimension="26"/>
    <map measureGroup="58" dimension="34"/>
    <map measureGroup="58" dimension="35"/>
    <map measureGroup="58" dimension="45"/>
    <map measureGroup="58" dimension="46"/>
    <map measureGroup="58" dimension="57"/>
    <map measureGroup="58" dimension="59"/>
    <map measureGroup="58" dimension="82"/>
    <map measureGroup="59" dimension="1"/>
    <map measureGroup="59" dimension="2"/>
    <map measureGroup="59" dimension="3"/>
    <map measureGroup="59" dimension="4"/>
    <map measureGroup="59" dimension="5"/>
    <map measureGroup="59" dimension="6"/>
    <map measureGroup="59" dimension="7"/>
    <map measureGroup="59" dimension="8"/>
    <map measureGroup="59" dimension="10"/>
    <map measureGroup="59" dimension="15"/>
    <map measureGroup="59" dimension="16"/>
    <map measureGroup="59" dimension="19"/>
    <map measureGroup="59" dimension="21"/>
    <map measureGroup="59" dimension="23"/>
    <map measureGroup="59" dimension="26"/>
    <map measureGroup="59" dimension="34"/>
    <map measureGroup="59" dimension="35"/>
    <map measureGroup="59" dimension="58"/>
    <map measureGroup="59" dimension="59"/>
    <map measureGroup="59" dimension="82"/>
    <map measureGroup="60" dimension="1"/>
    <map measureGroup="60" dimension="2"/>
    <map measureGroup="60" dimension="3"/>
    <map measureGroup="60" dimension="4"/>
    <map measureGroup="60" dimension="5"/>
    <map measureGroup="60" dimension="6"/>
    <map measureGroup="60" dimension="7"/>
    <map measureGroup="60" dimension="8"/>
    <map measureGroup="60" dimension="10"/>
    <map measureGroup="60" dimension="15"/>
    <map measureGroup="60" dimension="16"/>
    <map measureGroup="60" dimension="21"/>
    <map measureGroup="60" dimension="26"/>
    <map measureGroup="60" dimension="34"/>
    <map measureGroup="60" dimension="35"/>
    <map measureGroup="60" dimension="59"/>
    <map measureGroup="60" dimension="82"/>
    <map measureGroup="61" dimension="1"/>
    <map measureGroup="61" dimension="2"/>
    <map measureGroup="61" dimension="3"/>
    <map measureGroup="61" dimension="4"/>
    <map measureGroup="61" dimension="5"/>
    <map measureGroup="61" dimension="6"/>
    <map measureGroup="61" dimension="7"/>
    <map measureGroup="61" dimension="8"/>
    <map measureGroup="61" dimension="10"/>
    <map measureGroup="61" dimension="15"/>
    <map measureGroup="61" dimension="16"/>
    <map measureGroup="61" dimension="19"/>
    <map measureGroup="61" dimension="21"/>
    <map measureGroup="61" dimension="26"/>
    <map measureGroup="61" dimension="34"/>
    <map measureGroup="61" dimension="35"/>
    <map measureGroup="61" dimension="59"/>
    <map measureGroup="61" dimension="60"/>
    <map measureGroup="61" dimension="82"/>
    <map measureGroup="62" dimension="1"/>
    <map measureGroup="62" dimension="2"/>
    <map measureGroup="62" dimension="3"/>
    <map measureGroup="62" dimension="4"/>
    <map measureGroup="62" dimension="5"/>
    <map measureGroup="62" dimension="6"/>
    <map measureGroup="62" dimension="7"/>
    <map measureGroup="62" dimension="8"/>
    <map measureGroup="62" dimension="10"/>
    <map measureGroup="62" dimension="15"/>
    <map measureGroup="62" dimension="16"/>
    <map measureGroup="62" dimension="21"/>
    <map measureGroup="62" dimension="26"/>
    <map measureGroup="62" dimension="34"/>
    <map measureGroup="62" dimension="35"/>
    <map measureGroup="62" dimension="59"/>
    <map measureGroup="62" dimension="61"/>
    <map measureGroup="62" dimension="82"/>
    <map measureGroup="63" dimension="1"/>
    <map measureGroup="63" dimension="2"/>
    <map measureGroup="63" dimension="3"/>
    <map measureGroup="63" dimension="4"/>
    <map measureGroup="63" dimension="5"/>
    <map measureGroup="63" dimension="6"/>
    <map measureGroup="63" dimension="7"/>
    <map measureGroup="63" dimension="8"/>
    <map measureGroup="63" dimension="10"/>
    <map measureGroup="63" dimension="15"/>
    <map measureGroup="63" dimension="16"/>
    <map measureGroup="63" dimension="18"/>
    <map measureGroup="63" dimension="19"/>
    <map measureGroup="63" dimension="21"/>
    <map measureGroup="63" dimension="26"/>
    <map measureGroup="63" dimension="31"/>
    <map measureGroup="63" dimension="32"/>
    <map measureGroup="63" dimension="34"/>
    <map measureGroup="63" dimension="35"/>
    <map measureGroup="63" dimension="37"/>
    <map measureGroup="63" dimension="38"/>
    <map measureGroup="63" dimension="39"/>
    <map measureGroup="63" dimension="40"/>
    <map measureGroup="63" dimension="59"/>
    <map measureGroup="63" dimension="62"/>
    <map measureGroup="63" dimension="79"/>
    <map measureGroup="63" dimension="82"/>
    <map measureGroup="63" dimension="83"/>
    <map measureGroup="63" dimension="84"/>
    <map measureGroup="63" dimension="85"/>
    <map measureGroup="63" dimension="86"/>
    <map measureGroup="64" dimension="63"/>
    <map measureGroup="65" dimension="65"/>
    <map measureGroup="66" dimension="66"/>
    <map measureGroup="67" dimension="67"/>
    <map measureGroup="68" dimension="68"/>
    <map measureGroup="69" dimension="69"/>
    <map measureGroup="70" dimension="1"/>
    <map measureGroup="70" dimension="2"/>
    <map measureGroup="70" dimension="3"/>
    <map measureGroup="70" dimension="4"/>
    <map measureGroup="70" dimension="5"/>
    <map measureGroup="70" dimension="6"/>
    <map measureGroup="70" dimension="7"/>
    <map measureGroup="70" dimension="8"/>
    <map measureGroup="70" dimension="10"/>
    <map measureGroup="70" dimension="14"/>
    <map measureGroup="70" dimension="15"/>
    <map measureGroup="70" dimension="16"/>
    <map measureGroup="70" dimension="21"/>
    <map measureGroup="70" dimension="24"/>
    <map measureGroup="70" dimension="26"/>
    <map measureGroup="70" dimension="27"/>
    <map measureGroup="70" dimension="28"/>
    <map measureGroup="70" dimension="30"/>
    <map measureGroup="70" dimension="33"/>
    <map measureGroup="70" dimension="34"/>
    <map measureGroup="70" dimension="35"/>
    <map measureGroup="70" dimension="42"/>
    <map measureGroup="70" dimension="43"/>
    <map measureGroup="70" dimension="44"/>
    <map measureGroup="70" dimension="59"/>
    <map measureGroup="70" dimension="70"/>
    <map measureGroup="70" dimension="76"/>
    <map measureGroup="70" dimension="77"/>
    <map measureGroup="70" dimension="82"/>
    <map measureGroup="71" dimension="1"/>
    <map measureGroup="71" dimension="2"/>
    <map measureGroup="71" dimension="3"/>
    <map measureGroup="71" dimension="4"/>
    <map measureGroup="71" dimension="5"/>
    <map measureGroup="71" dimension="6"/>
    <map measureGroup="71" dimension="7"/>
    <map measureGroup="71" dimension="8"/>
    <map measureGroup="71" dimension="10"/>
    <map measureGroup="71" dimension="14"/>
    <map measureGroup="71" dimension="15"/>
    <map measureGroup="71" dimension="16"/>
    <map measureGroup="71" dimension="21"/>
    <map measureGroup="71" dimension="24"/>
    <map measureGroup="71" dimension="26"/>
    <map measureGroup="71" dimension="27"/>
    <map measureGroup="71" dimension="28"/>
    <map measureGroup="71" dimension="30"/>
    <map measureGroup="71" dimension="33"/>
    <map measureGroup="71" dimension="34"/>
    <map measureGroup="71" dimension="35"/>
    <map measureGroup="71" dimension="42"/>
    <map measureGroup="71" dimension="43"/>
    <map measureGroup="71" dimension="44"/>
    <map measureGroup="71" dimension="59"/>
    <map measureGroup="71" dimension="71"/>
    <map measureGroup="71" dimension="76"/>
    <map measureGroup="71" dimension="77"/>
    <map measureGroup="71" dimension="82"/>
    <map measureGroup="72" dimension="1"/>
    <map measureGroup="72" dimension="2"/>
    <map measureGroup="72" dimension="3"/>
    <map measureGroup="72" dimension="4"/>
    <map measureGroup="72" dimension="5"/>
    <map measureGroup="72" dimension="6"/>
    <map measureGroup="72" dimension="7"/>
    <map measureGroup="72" dimension="8"/>
    <map measureGroup="72" dimension="10"/>
    <map measureGroup="72" dimension="14"/>
    <map measureGroup="72" dimension="15"/>
    <map measureGroup="72" dimension="16"/>
    <map measureGroup="72" dimension="21"/>
    <map measureGroup="72" dimension="24"/>
    <map measureGroup="72" dimension="26"/>
    <map measureGroup="72" dimension="27"/>
    <map measureGroup="72" dimension="28"/>
    <map measureGroup="72" dimension="30"/>
    <map measureGroup="72" dimension="33"/>
    <map measureGroup="72" dimension="34"/>
    <map measureGroup="72" dimension="35"/>
    <map measureGroup="72" dimension="42"/>
    <map measureGroup="72" dimension="43"/>
    <map measureGroup="72" dimension="44"/>
    <map measureGroup="72" dimension="59"/>
    <map measureGroup="72" dimension="72"/>
    <map measureGroup="72" dimension="76"/>
    <map measureGroup="72" dimension="77"/>
    <map measureGroup="72" dimension="82"/>
    <map measureGroup="73" dimension="1"/>
    <map measureGroup="73" dimension="2"/>
    <map measureGroup="73" dimension="3"/>
    <map measureGroup="73" dimension="4"/>
    <map measureGroup="73" dimension="5"/>
    <map measureGroup="73" dimension="6"/>
    <map measureGroup="73" dimension="7"/>
    <map measureGroup="73" dimension="8"/>
    <map measureGroup="73" dimension="10"/>
    <map measureGroup="73" dimension="14"/>
    <map measureGroup="73" dimension="15"/>
    <map measureGroup="73" dimension="16"/>
    <map measureGroup="73" dimension="21"/>
    <map measureGroup="73" dimension="24"/>
    <map measureGroup="73" dimension="26"/>
    <map measureGroup="73" dimension="27"/>
    <map measureGroup="73" dimension="28"/>
    <map measureGroup="73" dimension="30"/>
    <map measureGroup="73" dimension="33"/>
    <map measureGroup="73" dimension="34"/>
    <map measureGroup="73" dimension="35"/>
    <map measureGroup="73" dimension="42"/>
    <map measureGroup="73" dimension="43"/>
    <map measureGroup="73" dimension="44"/>
    <map measureGroup="73" dimension="59"/>
    <map measureGroup="73" dimension="73"/>
    <map measureGroup="73" dimension="76"/>
    <map measureGroup="73" dimension="77"/>
    <map measureGroup="73" dimension="82"/>
    <map measureGroup="74" dimension="74"/>
    <map measureGroup="75" dimension="9"/>
    <map measureGroup="75" dimension="75"/>
    <map measureGroup="76" dimension="76"/>
    <map measureGroup="77" dimension="77"/>
    <map measureGroup="78" dimension="1"/>
    <map measureGroup="78" dimension="2"/>
    <map measureGroup="78" dimension="3"/>
    <map measureGroup="78" dimension="4"/>
    <map measureGroup="78" dimension="5"/>
    <map measureGroup="78" dimension="6"/>
    <map measureGroup="78" dimension="7"/>
    <map measureGroup="78" dimension="8"/>
    <map measureGroup="78" dimension="10"/>
    <map measureGroup="78" dimension="15"/>
    <map measureGroup="78" dimension="16"/>
    <map measureGroup="78" dimension="21"/>
    <map measureGroup="78" dimension="26"/>
    <map measureGroup="78" dimension="34"/>
    <map measureGroup="78" dimension="35"/>
    <map measureGroup="78" dimension="59"/>
    <map measureGroup="78" dimension="78"/>
    <map measureGroup="78" dimension="82"/>
    <map measureGroup="79" dimension="79"/>
    <map measureGroup="80" dimension="0"/>
    <map measureGroup="80" dimension="1"/>
    <map measureGroup="80" dimension="2"/>
    <map measureGroup="80" dimension="3"/>
    <map measureGroup="80" dimension="4"/>
    <map measureGroup="80" dimension="5"/>
    <map measureGroup="80" dimension="6"/>
    <map measureGroup="80" dimension="7"/>
    <map measureGroup="80" dimension="8"/>
    <map measureGroup="80" dimension="10"/>
    <map measureGroup="80" dimension="15"/>
    <map measureGroup="80" dimension="16"/>
    <map measureGroup="80" dimension="21"/>
    <map measureGroup="80" dimension="26"/>
    <map measureGroup="80" dimension="34"/>
    <map measureGroup="80" dimension="35"/>
    <map measureGroup="80" dimension="59"/>
    <map measureGroup="80" dimension="80"/>
    <map measureGroup="80" dimension="82"/>
    <map measureGroup="81" dimension="81"/>
    <map measureGroup="82" dimension="82"/>
    <map measureGroup="83" dimension="83"/>
    <map measureGroup="84" dimension="84"/>
    <map measureGroup="85" dimension="85"/>
    <map measureGroup="86" dimension="8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ndy Opdyke" refreshedDate="44034.473589467591" backgroundQuery="1" createdVersion="6" refreshedVersion="6" minRefreshableVersion="3" recordCount="0" supportSubquery="1" supportAdvancedDrill="1" xr:uid="{A64590CB-573E-41DE-9E7A-04CB9BB505D8}">
  <cacheSource type="external" connectionId="1"/>
  <cacheFields count="15">
    <cacheField name="[DimScenario].[Scenario Name].[Scenario Name]" caption="Scenario Name" numFmtId="0" hierarchy="626" level="1">
      <sharedItems containsSemiMixedTypes="0" containsString="0"/>
    </cacheField>
    <cacheField name="[DimMeasureGroup].[ProgramYear].[ProgramYear]" caption="ProgramYear" numFmtId="0" hierarchy="313" level="1">
      <sharedItems containsSemiMixedTypes="0" containsString="0"/>
    </cacheField>
    <cacheField name="[FactEEPData].[VariableCostIdentifier].[VariableCostIdentifier]" caption="VariableCostIdentifier" numFmtId="0" hierarchy="918" level="1">
      <sharedItems containsSemiMixedTypes="0" containsString="0"/>
    </cacheField>
    <cacheField name="[DimPMTProgram].[Program Acronym].[Program Acronym]" caption="Program Acronym" numFmtId="0" hierarchy="344" level="1">
      <sharedItems containsSemiMixedTypes="0" containsString="0"/>
    </cacheField>
    <cacheField name="[DimMeasureGroup].[MeasureGroupName].[MeasureGroupName]" caption="MeasureGroupName" numFmtId="0" hierarchy="311" level="1">
      <sharedItems count="7">
        <s v="[DimMeasureGroup].[MeasureGroupName].&amp;[Air Sealing]" c="Air Sealing"/>
        <s v="[DimMeasureGroup].[MeasureGroupName].&amp;[Attic Insulation]" c="Attic Insulation"/>
        <s v="[DimMeasureGroup].[MeasureGroupName].&amp;[Basement/Sidewall Insulation]" c="Basement/Sidewall Insulation"/>
        <s v="[DimMeasureGroup].[MeasureGroupName].&amp;[Duct Sealing]" c="Duct Sealing"/>
        <s v="[DimMeasureGroup].[MeasureGroupName].&amp;[Pipe Insulation, Indoor Hot Water DHW]" u="1" c="Pipe Insulation, Indoor Hot Water DHW"/>
        <s v="[DimMeasureGroup].[MeasureGroupName].&amp;[Pipe Insulation, Indoor HW Space Heat]" u="1" c="Pipe Insulation, Indoor HW Space Heat"/>
        <s v="[DimMeasureGroup].[MeasureGroupName].&amp;[Pipe Insulation, Indoor LPS Space Heat]" u="1" c="Pipe Insulation, Indoor LPS Space Heat"/>
      </sharedItems>
    </cacheField>
    <cacheField name="[Measures].[Count of Project]" caption="Count of Project" numFmtId="0" hierarchy="1990" level="32767"/>
    <cacheField name="[Measures].[Sum of Quantity]" caption="Sum of Quantity" numFmtId="0" hierarchy="1974" level="32767"/>
    <cacheField name="[DimPMTProject].[Project Type].[Project Type]" caption="Project Type" numFmtId="0" hierarchy="448" level="1">
      <sharedItems count="3">
        <s v="[DimPMTProject].[Project Type].&amp;[Contractor Channel MF]" c="Contractor Channel MF"/>
        <s v="[DimPMTProject].[Project Type].&amp;[MF]" c="MF"/>
        <s v="[DimPMTProject].[Project Type].&amp;[Public Housing]" c="Public Housing"/>
      </sharedItems>
    </cacheField>
    <cacheField name="[DimDate].[CalendarYear].[CalendarYear]" caption="CalendarYear" numFmtId="0" hierarchy="291" level="1">
      <sharedItems count="4">
        <s v="[DimDate].[CalendarYear].&amp;[2018]" c="2018"/>
        <s v="[DimDate].[CalendarYear].&amp;[2019]" c="2019"/>
        <s v="[DimDate].[CalendarYear].&amp;[2020]" c="2020"/>
        <s v="[DimDate].[CalendarYear].&amp;[2017]" u="1" c="2017"/>
      </sharedItems>
    </cacheField>
    <cacheField name="[DimPMTProject].[Program Year].[Program Year]" caption="Program Year" numFmtId="0" hierarchy="441" level="1">
      <sharedItems containsSemiMixedTypes="0" containsString="0"/>
    </cacheField>
    <cacheField name="[DimPMTProject].[PropertySector].[PropertySector]" caption="PropertySector" numFmtId="0" hierarchy="453" level="1">
      <sharedItems containsSemiMixedTypes="0" containsString="0"/>
    </cacheField>
    <cacheField name="[Measures].[Sum of ActualProgramDollarCost]" caption="Sum of ActualProgramDollarCost" numFmtId="0" hierarchy="1979" level="32767"/>
    <cacheField name="[DimPMTProject].[JointProject].[JointProject]" caption="JointProject" numFmtId="0" hierarchy="402" level="1">
      <sharedItems count="2">
        <s v="[DimPMTProject].[JointProject].&amp;[Gas only]" c="Gas only"/>
        <s v="[DimPMTProject].[JointProject].&amp;[Joint customer]" c="Joint customer"/>
      </sharedItems>
    </cacheField>
    <cacheField name="[Measures].[Sum of GrossAnnualThermSavings]" caption="Sum of GrossAnnualThermSavings" numFmtId="0" hierarchy="1981" level="32767"/>
    <cacheField name="[Measures].[Sum of IncrementalCost]" caption="Sum of IncrementalCost" numFmtId="0" hierarchy="1983" level="32767"/>
  </cacheFields>
  <cacheHierarchies count="2019">
    <cacheHierarchy uniqueName="[Account_Contact].[Account Contact  Bday Date]" caption="Account Contact  Bday Date" attribute="1" defaultMemberUniqueName="[Account_Contact].[Account Contact  Bday Date].[All]" allUniqueName="[Account_Contact].[Account Contact  Bday Date].[All]" dimensionUniqueName="[Account_Contact]" displayFolder="Customer Account" count="0" unbalanced="0"/>
    <cacheHierarchy uniqueName="[Account_Contact].[Account Contact A44 Contact Indicator]" caption="Account Contact A44 Contact Indicator" attribute="1" defaultMemberUniqueName="[Account_Contact].[Account Contact A44 Contact Indicator].[All]" allUniqueName="[Account_Contact].[Account Contact A44 Contact Indicator].[All]" dimensionUniqueName="[Account_Contact]" displayFolder="Customer Account" count="0" unbalanced="0"/>
    <cacheHierarchy uniqueName="[Account_Contact].[Account Contact Address1]" caption="Account Contact Address1" attribute="1" defaultMemberUniqueName="[Account_Contact].[Account Contact Address1].[All]" allUniqueName="[Account_Contact].[Account Contact Address1].[All]" dimensionUniqueName="[Account_Contact]" displayFolder="Customer Account" count="0" unbalanced="0"/>
    <cacheHierarchy uniqueName="[Account_Contact].[Account Contact Address2]" caption="Account Contact Address2" attribute="1" defaultMemberUniqueName="[Account_Contact].[Account Contact Address2].[All]" allUniqueName="[Account_Contact].[Account Contact Address2].[All]" dimensionUniqueName="[Account_Contact]" displayFolder="Customer Account" count="0" unbalanced="0"/>
    <cacheHierarchy uniqueName="[Account_Contact].[Account Contact Cell Phone IsPrimary Code]" caption="Account Contact Cell Phone IsPrimary Code" attribute="1" defaultMemberUniqueName="[Account_Contact].[Account Contact Cell Phone IsPrimary Code].[All]" allUniqueName="[Account_Contact].[Account Contact Cell Phone IsPrimary Code].[All]" dimensionUniqueName="[Account_Contact]" displayFolder="" count="0" unbalanced="0"/>
    <cacheHierarchy uniqueName="[Account_Contact].[Account Contact Cell Phone Number]" caption="Account Contact Cell Phone Number" attribute="1" defaultMemberUniqueName="[Account_Contact].[Account Contact Cell Phone Number].[All]" allUniqueName="[Account_Contact].[Account Contact Cell Phone Number].[All]" dimensionUniqueName="[Account_Contact]" displayFolder="" count="0" unbalanced="0"/>
    <cacheHierarchy uniqueName="[Account_Contact].[Account Contact Cell Phone Verif Code]" caption="Account Contact Cell Phone Verif Code" attribute="1" defaultMemberUniqueName="[Account_Contact].[Account Contact Cell Phone Verif Code].[All]" allUniqueName="[Account_Contact].[Account Contact Cell Phone Verif Code].[All]" dimensionUniqueName="[Account_Contact]" displayFolder="" count="0" unbalanced="0"/>
    <cacheHierarchy uniqueName="[Account_Contact].[Account Contact City Name]" caption="Account Contact City Name" attribute="1" defaultMemberUniqueName="[Account_Contact].[Account Contact City Name].[All]" allUniqueName="[Account_Contact].[Account Contact City Name].[All]" dimensionUniqueName="[Account_Contact]" displayFolder="" count="0" unbalanced="0"/>
    <cacheHierarchy uniqueName="[Account_Contact].[Account Contact Company Code]" caption="Account Contact Company Code" attribute="1" defaultMemberUniqueName="[Account_Contact].[Account Contact Company Code].[All]" allUniqueName="[Account_Contact].[Account Contact Company Code].[All]" dimensionUniqueName="[Account_Contact]" displayFolder="" count="0" unbalanced="0"/>
    <cacheHierarchy uniqueName="[Account_Contact].[Account Contact Company Description]" caption="Account Contact Company Description" attribute="1" defaultMemberUniqueName="[Account_Contact].[Account Contact Company Description].[All]" allUniqueName="[Account_Contact].[Account Contact Company Description].[All]" dimensionUniqueName="[Account_Contact]" displayFolder="" count="0" unbalanced="0"/>
    <cacheHierarchy uniqueName="[Account_Contact].[Account Contact Contact LastService Wk Date]" caption="Account Contact Contact LastService Wk Date" attribute="1" defaultMemberUniqueName="[Account_Contact].[Account Contact Contact LastService Wk Date].[All]" allUniqueName="[Account_Contact].[Account Contact Contact LastService Wk Date].[All]" dimensionUniqueName="[Account_Contact]" displayFolder="" count="0" unbalanced="0"/>
    <cacheHierarchy uniqueName="[Account_Contact].[Account Contact Contact Type Code]" caption="Account Contact Contact Type Code" attribute="1" defaultMemberUniqueName="[Account_Contact].[Account Contact Contact Type Code].[All]" allUniqueName="[Account_Contact].[Account Contact Contact Type Code].[All]" dimensionUniqueName="[Account_Contact]" displayFolder="" count="0" unbalanced="0"/>
    <cacheHierarchy uniqueName="[Account_Contact].[Account Contact Contact Type Description]" caption="Account Contact Contact Type Description" attribute="1" defaultMemberUniqueName="[Account_Contact].[Account Contact Contact Type Description].[All]" allUniqueName="[Account_Contact].[Account Contact Contact Type Description].[All]" dimensionUniqueName="[Account_Contact]" displayFolder="" count="0" unbalanced="0"/>
    <cacheHierarchy uniqueName="[Account_Contact].[Account Contact Do Not Email Indicator]" caption="Account Contact Do Not Email Indicator" attribute="1" defaultMemberUniqueName="[Account_Contact].[Account Contact Do Not Email Indicator].[All]" allUniqueName="[Account_Contact].[Account Contact Do Not Email Indicator].[All]" dimensionUniqueName="[Account_Contact]" displayFolder="" count="0" unbalanced="0"/>
    <cacheHierarchy uniqueName="[Account_Contact].[Account Contact Do Not Mail Indicator]" caption="Account Contact Do Not Mail Indicator" attribute="1" defaultMemberUniqueName="[Account_Contact].[Account Contact Do Not Mail Indicator].[All]" allUniqueName="[Account_Contact].[Account Contact Do Not Mail Indicator].[All]" dimensionUniqueName="[Account_Contact]" displayFolder="" count="0" unbalanced="0"/>
    <cacheHierarchy uniqueName="[Account_Contact].[Account Contact Email Address]" caption="Account Contact Email Address" attribute="1" defaultMemberUniqueName="[Account_Contact].[Account Contact Email Address].[All]" allUniqueName="[Account_Contact].[Account Contact Email Address].[All]" dimensionUniqueName="[Account_Contact]" displayFolder="" count="0" unbalanced="0"/>
    <cacheHierarchy uniqueName="[Account_Contact].[Account Contact Email OptOut Code]" caption="Account Contact Email OptOut Code" attribute="1" defaultMemberUniqueName="[Account_Contact].[Account Contact Email OptOut Code].[All]" allUniqueName="[Account_Contact].[Account Contact Email OptOut Code].[All]" dimensionUniqueName="[Account_Contact]" displayFolder="" count="0" unbalanced="0"/>
    <cacheHierarchy uniqueName="[Account_Contact].[Account Contact Email OptOut Description]" caption="Account Contact Email OptOut Description" attribute="1" defaultMemberUniqueName="[Account_Contact].[Account Contact Email OptOut Description].[All]" allUniqueName="[Account_Contact].[Account Contact Email OptOut Description].[All]" dimensionUniqueName="[Account_Contact]" displayFolder="" count="0" unbalanced="0"/>
    <cacheHierarchy uniqueName="[Account_Contact].[Account Contact FAX Number]" caption="Account Contact FAX Number" attribute="1" defaultMemberUniqueName="[Account_Contact].[Account Contact FAX Number].[All]" allUniqueName="[Account_Contact].[Account Contact FAX Number].[All]" dimensionUniqueName="[Account_Contact]" displayFolder="" count="0" unbalanced="0"/>
    <cacheHierarchy uniqueName="[Account_Contact].[Account Contact Home Phone IsPrimary Code]" caption="Account Contact Home Phone IsPrimary Code" attribute="1" defaultMemberUniqueName="[Account_Contact].[Account Contact Home Phone IsPrimary Code].[All]" allUniqueName="[Account_Contact].[Account Contact Home Phone IsPrimary Code].[All]" dimensionUniqueName="[Account_Contact]" displayFolder="" count="0" unbalanced="0"/>
    <cacheHierarchy uniqueName="[Account_Contact].[Account Contact Home Phone Number]" caption="Account Contact Home Phone Number" attribute="1" defaultMemberUniqueName="[Account_Contact].[Account Contact Home Phone Number].[All]" allUniqueName="[Account_Contact].[Account Contact Home Phone Number].[All]" dimensionUniqueName="[Account_Contact]" displayFolder="" count="0" unbalanced="0"/>
    <cacheHierarchy uniqueName="[Account_Contact].[Account Contact Home Phone Number Ext]" caption="Account Contact Home Phone Number Ext" attribute="1" defaultMemberUniqueName="[Account_Contact].[Account Contact Home Phone Number Ext].[All]" allUniqueName="[Account_Contact].[Account Contact Home Phone Number Ext].[All]" dimensionUniqueName="[Account_Contact]" displayFolder="" count="0" unbalanced="0"/>
    <cacheHierarchy uniqueName="[Account_Contact].[Account Contact Home Phone Verif Code]" caption="Account Contact Home Phone Verif Code" attribute="1" defaultMemberUniqueName="[Account_Contact].[Account Contact Home Phone Verif Code].[All]" allUniqueName="[Account_Contact].[Account Contact Home Phone Verif Code].[All]" dimensionUniqueName="[Account_Contact]" displayFolder="" count="0" unbalanced="0"/>
    <cacheHierarchy uniqueName="[Account_Contact].[Account Contact Invalid Email Code]" caption="Account Contact Invalid Email Code" attribute="1" defaultMemberUniqueName="[Account_Contact].[Account Contact Invalid Email Code].[All]" allUniqueName="[Account_Contact].[Account Contact Invalid Email Code].[All]" dimensionUniqueName="[Account_Contact]" displayFolder="" count="0" unbalanced="0"/>
    <cacheHierarchy uniqueName="[Account_Contact].[Account Contact Other Phone IsPrimary Code]" caption="Account Contact Other Phone IsPrimary Code" attribute="1" defaultMemberUniqueName="[Account_Contact].[Account Contact Other Phone IsPrimary Code].[All]" allUniqueName="[Account_Contact].[Account Contact Other Phone IsPrimary Code].[All]" dimensionUniqueName="[Account_Contact]" displayFolder="" count="0" unbalanced="0"/>
    <cacheHierarchy uniqueName="[Account_Contact].[Account Contact Other Phone Number]" caption="Account Contact Other Phone Number" attribute="1" defaultMemberUniqueName="[Account_Contact].[Account Contact Other Phone Number].[All]" allUniqueName="[Account_Contact].[Account Contact Other Phone Number].[All]" dimensionUniqueName="[Account_Contact]" displayFolder="" count="0" unbalanced="0"/>
    <cacheHierarchy uniqueName="[Account_Contact].[Account Contact Other Phone Verif Code]" caption="Account Contact Other Phone Verif Code" attribute="1" defaultMemberUniqueName="[Account_Contact].[Account Contact Other Phone Verif Code].[All]" allUniqueName="[Account_Contact].[Account Contact Other Phone Verif Code].[All]" dimensionUniqueName="[Account_Contact]" displayFolder="" count="0" unbalanced="0"/>
    <cacheHierarchy uniqueName="[Account_Contact].[Account Contact Person Or Business Code]" caption="Account Contact Person Or Business Code" attribute="1" defaultMemberUniqueName="[Account_Contact].[Account Contact Person Or Business Code].[All]" allUniqueName="[Account_Contact].[Account Contact Person Or Business Code].[All]" dimensionUniqueName="[Account_Contact]" displayFolder="" count="0" unbalanced="0"/>
    <cacheHierarchy uniqueName="[Account_Contact].[Account Contact Person Or Business First Name]" caption="Account Contact Person Or Business First Name" attribute="1" defaultMemberUniqueName="[Account_Contact].[Account Contact Person Or Business First Name].[All]" allUniqueName="[Account_Contact].[Account Contact Person Or Business First Name].[All]" dimensionUniqueName="[Account_Contact]" displayFolder="" count="0" unbalanced="0"/>
    <cacheHierarchy uniqueName="[Account_Contact].[Account Contact Person Or Business Last Name]" caption="Account Contact Person Or Business Last Name" attribute="1" defaultMemberUniqueName="[Account_Contact].[Account Contact Person Or Business Last Name].[All]" allUniqueName="[Account_Contact].[Account Contact Person Or Business Last Name].[All]" dimensionUniqueName="[Account_Contact]" displayFolder="" count="0" unbalanced="0"/>
    <cacheHierarchy uniqueName="[Account_Contact].[Account Contact PersonID]" caption="Account Contact PersonID" attribute="1" defaultMemberUniqueName="[Account_Contact].[Account Contact PersonID].[All]" allUniqueName="[Account_Contact].[Account Contact PersonID].[All]" dimensionUniqueName="[Account_Contact]" displayFolder="" count="0" unbalanced="0"/>
    <cacheHierarchy uniqueName="[Account_Contact].[Account Contact Position Code]" caption="Account Contact Position Code" attribute="1" defaultMemberUniqueName="[Account_Contact].[Account Contact Position Code].[All]" allUniqueName="[Account_Contact].[Account Contact Position Code].[All]" dimensionUniqueName="[Account_Contact]" displayFolder="" count="0" unbalanced="0"/>
    <cacheHierarchy uniqueName="[Account_Contact].[Account Contact Position Description]" caption="Account Contact Position Description" attribute="1" defaultMemberUniqueName="[Account_Contact].[Account Contact Position Description].[All]" allUniqueName="[Account_Contact].[Account Contact Position Description].[All]" dimensionUniqueName="[Account_Contact]" displayFolder="" count="0" unbalanced="0"/>
    <cacheHierarchy uniqueName="[Account_Contact].[Account Contact Postal Code]" caption="Account Contact Postal Code" attribute="1" defaultMemberUniqueName="[Account_Contact].[Account Contact Postal Code].[All]" allUniqueName="[Account_Contact].[Account Contact Postal Code].[All]" dimensionUniqueName="[Account_Contact]" displayFolder="" count="0" unbalanced="0"/>
    <cacheHierarchy uniqueName="[Account_Contact].[Account Contact Priority Code]" caption="Account Contact Priority Code" attribute="1" defaultMemberUniqueName="[Account_Contact].[Account Contact Priority Code].[All]" allUniqueName="[Account_Contact].[Account Contact Priority Code].[All]" dimensionUniqueName="[Account_Contact]" displayFolder="" count="0" unbalanced="0"/>
    <cacheHierarchy uniqueName="[Account_Contact].[Account Contact Priority Description]" caption="Account Contact Priority Description" attribute="1" defaultMemberUniqueName="[Account_Contact].[Account Contact Priority Description].[All]" allUniqueName="[Account_Contact].[Account Contact Priority Description].[All]" dimensionUniqueName="[Account_Contact]" displayFolder="" count="0" unbalanced="0"/>
    <cacheHierarchy uniqueName="[Account_Contact].[Account Contact Referred By]" caption="Account Contact Referred By" attribute="1" defaultMemberUniqueName="[Account_Contact].[Account Contact Referred By].[All]" allUniqueName="[Account_Contact].[Account Contact Referred By].[All]" dimensionUniqueName="[Account_Contact]" displayFolder="" count="0" unbalanced="0"/>
    <cacheHierarchy uniqueName="[Account_Contact].[Account Contact Salesforce MOC ContactID]" caption="Account Contact Salesforce MOC ContactID" attribute="1" defaultMemberUniqueName="[Account_Contact].[Account Contact Salesforce MOC ContactID].[All]" allUniqueName="[Account_Contact].[Account Contact Salesforce MOC ContactID].[All]" dimensionUniqueName="[Account_Contact]" displayFolder="" count="0" unbalanced="0"/>
    <cacheHierarchy uniqueName="[Account_Contact].[Account Contact Source System]" caption="Account Contact Source System" attribute="1" defaultMemberUniqueName="[Account_Contact].[Account Contact Source System].[All]" allUniqueName="[Account_Contact].[Account Contact Source System].[All]" dimensionUniqueName="[Account_Contact]" displayFolder="" count="0" unbalanced="0"/>
    <cacheHierarchy uniqueName="[Account_Contact].[Account Contact State Code]" caption="Account Contact State Code" attribute="1" defaultMemberUniqueName="[Account_Contact].[Account Contact State Code].[All]" allUniqueName="[Account_Contact].[Account Contact State Code].[All]" dimensionUniqueName="[Account_Contact]" displayFolder="" count="0" unbalanced="0"/>
    <cacheHierarchy uniqueName="[Account_Contact].[Account Contact Title]" caption="Account Contact Title" attribute="1" defaultMemberUniqueName="[Account_Contact].[Account Contact Title].[All]" allUniqueName="[Account_Contact].[Account Contact Title].[All]" dimensionUniqueName="[Account_Contact]" displayFolder="" count="0" unbalanced="0"/>
    <cacheHierarchy uniqueName="[Account_Contact].[Account Contact Unique Business Key]" caption="Account Contact Unique Business Key" attribute="1" defaultMemberUniqueName="[Account_Contact].[Account Contact Unique Business Key].[All]" allUniqueName="[Account_Contact].[Account Contact Unique Business Key].[All]" dimensionUniqueName="[Account_Contact]" displayFolder="" count="0" unbalanced="0"/>
    <cacheHierarchy uniqueName="[Account_Contact].[Account Contact Unique Contact Key]" caption="Account Contact Unique Contact Key" attribute="1" defaultMemberUniqueName="[Account_Contact].[Account Contact Unique Contact Key].[All]" allUniqueName="[Account_Contact].[Account Contact Unique Contact Key].[All]" dimensionUniqueName="[Account_Contact]" displayFolder="" count="0" unbalanced="0"/>
    <cacheHierarchy uniqueName="[Account_Contact].[Account Contact Work Phone Extension]" caption="Account Contact Work Phone Extension" attribute="1" defaultMemberUniqueName="[Account_Contact].[Account Contact Work Phone Extension].[All]" allUniqueName="[Account_Contact].[Account Contact Work Phone Extension].[All]" dimensionUniqueName="[Account_Contact]" displayFolder="" count="0" unbalanced="0"/>
    <cacheHierarchy uniqueName="[Account_Contact].[Account Contact Work Phone IsPrimary Code]" caption="Account Contact Work Phone IsPrimary Code" attribute="1" defaultMemberUniqueName="[Account_Contact].[Account Contact Work Phone IsPrimary Code].[All]" allUniqueName="[Account_Contact].[Account Contact Work Phone IsPrimary Code].[All]" dimensionUniqueName="[Account_Contact]" displayFolder="" count="0" unbalanced="0"/>
    <cacheHierarchy uniqueName="[Account_Contact].[Account Contact Work Phone Number]" caption="Account Contact Work Phone Number" attribute="1" defaultMemberUniqueName="[Account_Contact].[Account Contact Work Phone Number].[All]" allUniqueName="[Account_Contact].[Account Contact Work Phone Number].[All]" dimensionUniqueName="[Account_Contact]" displayFolder="" count="0" unbalanced="0"/>
    <cacheHierarchy uniqueName="[Account_Contact].[Account Contact Work Phone Verif Code]" caption="Account Contact Work Phone Verif Code" attribute="1" defaultMemberUniqueName="[Account_Contact].[Account Contact Work Phone Verif Code].[All]" allUniqueName="[Account_Contact].[Account Contact Work Phone Verif Code].[All]" dimensionUniqueName="[Account_Contact]" displayFolder="" count="0" unbalanced="0"/>
    <cacheHierarchy uniqueName="[Account_Contact].[Account Unique Contact Type Code]" caption="Account Unique Contact Type Code" attribute="1" defaultMemberUniqueName="[Account_Contact].[Account Unique Contact Type Code].[All]" allUniqueName="[Account_Contact].[Account Unique Contact Type Code].[All]" dimensionUniqueName="[Account_Contact]" displayFolder="" count="0" unbalanced="0"/>
    <cacheHierarchy uniqueName="[Account_Contact].[Account Unique Contact Type Description]" caption="Account Unique Contact Type Description" attribute="1" defaultMemberUniqueName="[Account_Contact].[Account Unique Contact Type Description].[All]" allUniqueName="[Account_Contact].[Account Unique Contact Type Description].[All]" dimensionUniqueName="[Account_Contact]" displayFolder="" count="0" unbalanced="0"/>
    <cacheHierarchy uniqueName="[Account_Contact].[AccountKey]" caption="AccountKey" attribute="1" defaultMemberUniqueName="[Account_Contact].[AccountKey].[All]" allUniqueName="[Account_Contact].[AccountKey].[All]" dimensionUniqueName="[Account_Contact]" displayFolder="" count="0" unbalanced="0"/>
    <cacheHierarchy uniqueName="[Account_Contact].[ContactKey]" caption="ContactKey" attribute="1" defaultMemberUniqueName="[Account_Contact].[ContactKey].[All]" allUniqueName="[Account_Contact].[ContactKey].[All]" dimensionUniqueName="[Account_Contact]" displayFolder="" count="0" unbalanced="0"/>
    <cacheHierarchy uniqueName="[AccountCountyHierArchy].[AccountCountyCityZip]" caption="AccountCountyCityZip" defaultMemberUniqueName="[AccountCountyHierArchy].[AccountCountyCityZip].[All]" allUniqueName="[AccountCountyHierArchy].[AccountCountyCityZip].[All]" dimensionUniqueName="[AccountCountyHierArchy]" displayFolder="" count="4" unbalanced="0"/>
    <cacheHierarchy uniqueName="[AccountCountyHierArchy].[Service City]" caption="Service City" attribute="1" defaultMemberUniqueName="[AccountCountyHierArchy].[Service City].[All]" allUniqueName="[AccountCountyHierArchy].[Service City].[All]" dimensionUniqueName="[AccountCountyHierArchy]" displayFolder="" count="0" unbalanced="0"/>
    <cacheHierarchy uniqueName="[AccountCountyHierArchy].[Service County]" caption="Service County" attribute="1" defaultMemberUniqueName="[AccountCountyHierArchy].[Service County].[All]" allUniqueName="[AccountCountyHierArchy].[Service County].[All]" dimensionUniqueName="[AccountCountyHierArchy]" displayFolder="" count="0" unbalanced="0"/>
    <cacheHierarchy uniqueName="[AccountCountyHierArchy].[Service Postal Code]" caption="Service Postal Code" attribute="1" defaultMemberUniqueName="[AccountCountyHierArchy].[Service Postal Code].[All]" allUniqueName="[AccountCountyHierArchy].[Service Postal Code].[All]" dimensionUniqueName="[AccountCountyHierArchy]" displayFolder="" count="0" unbalanced="0"/>
    <cacheHierarchy uniqueName="[AcctA44Ranking].[A44 Ranking]" caption="A44 Ranking" attribute="1" defaultMemberUniqueName="[AcctA44Ranking].[A44 Ranking].[All]" allUniqueName="[AcctA44Ranking].[A44 Ranking].[All]" dimensionUniqueName="[AcctA44Ranking]" displayFolder="" count="0" unbalanced="0"/>
    <cacheHierarchy uniqueName="[AcctA44Ranking].[A44 Ranking Description]" caption="A44 Ranking Description" attribute="1" defaultMemberUniqueName="[AcctA44Ranking].[A44 Ranking Description].[All]" allUniqueName="[AcctA44Ranking].[A44 Ranking Description].[All]" dimensionUniqueName="[AcctA44Ranking]" displayFolder="" count="0" unbalanced="0"/>
    <cacheHierarchy uniqueName="[AcctContactRules].[Contact Rules Code]" caption="Contact Rules Code" attribute="1" defaultMemberUniqueName="[AcctContactRules].[Contact Rules Code].[All]" allUniqueName="[AcctContactRules].[Contact Rules Code].[All]" dimensionUniqueName="[AcctContactRules]" displayFolder="" count="0" unbalanced="0"/>
    <cacheHierarchy uniqueName="[AcctContactRules].[Contact Rules Desc]" caption="Contact Rules Desc" attribute="1" defaultMemberUniqueName="[AcctContactRules].[Contact Rules Desc].[All]" allUniqueName="[AcctContactRules].[Contact Rules Desc].[All]" dimensionUniqueName="[AcctContactRules]" displayFolder="" count="0" unbalanced="0"/>
    <cacheHierarchy uniqueName="[AcctDualFuelType].[Dual Fuel Type Code]" caption="Dual Fuel Type Code" attribute="1" defaultMemberUniqueName="[AcctDualFuelType].[Dual Fuel Type Code].[All]" allUniqueName="[AcctDualFuelType].[Dual Fuel Type Code].[All]" dimensionUniqueName="[AcctDualFuelType]" displayFolder="" count="0" unbalanced="0"/>
    <cacheHierarchy uniqueName="[AcctDualFuelType].[Dual Fuel Type Desc]" caption="Dual Fuel Type Desc" attribute="1" defaultMemberUniqueName="[AcctDualFuelType].[Dual Fuel Type Desc].[All]" allUniqueName="[AcctDualFuelType].[Dual Fuel Type Desc].[All]" dimensionUniqueName="[AcctDualFuelType]" displayFolder="" count="0" unbalanced="0"/>
    <cacheHierarchy uniqueName="[AcctGasLDC].[Gas LDC Code]" caption="Gas LDC Code" attribute="1" defaultMemberUniqueName="[AcctGasLDC].[Gas LDC Code].[All]" allUniqueName="[AcctGasLDC].[Gas LDC Code].[All]" dimensionUniqueName="[AcctGasLDC]" displayFolder="" count="0" unbalanced="0"/>
    <cacheHierarchy uniqueName="[AcctGasLDC].[Gas LDC Desc]" caption="Gas LDC Desc" attribute="1" defaultMemberUniqueName="[AcctGasLDC].[Gas LDC Desc].[All]" allUniqueName="[AcctGasLDC].[Gas LDC Desc].[All]" dimensionUniqueName="[AcctGasLDC]" displayFolder="" count="0" unbalanced="0"/>
    <cacheHierarchy uniqueName="[AcctMarketCode].[Acct Market Code]" caption="Acct Market Code" attribute="1" defaultMemberUniqueName="[AcctMarketCode].[Acct Market Code].[All]" allUniqueName="[AcctMarketCode].[Acct Market Code].[All]" dimensionUniqueName="[AcctMarketCode]" displayFolder="" count="0" unbalanced="0"/>
    <cacheHierarchy uniqueName="[AcctMarketCode].[Acct Market Desc]" caption="Acct Market Desc" attribute="1" defaultMemberUniqueName="[AcctMarketCode].[Acct Market Desc].[All]" allUniqueName="[AcctMarketCode].[Acct Market Desc].[All]" dimensionUniqueName="[AcctMarketCode]" displayFolder="" count="0" unbalanced="0"/>
    <cacheHierarchy uniqueName="[AcctNAICSVerificationDate].[HierNAICSVerificationDatePY]" caption="HierNAICSVerificationDatePY" defaultMemberUniqueName="[AcctNAICSVerificationDate].[HierNAICSVerificationDatePY].[All]" allUniqueName="[AcctNAICSVerificationDate].[HierNAICSVerificationDatePY].[All]" dimensionUniqueName="[AcctNAICSVerificationDate]" displayFolder="" count="4" unbalanced="0"/>
    <cacheHierarchy uniqueName="[AcctNAICSVerificationDate].[HierNAICSVerificationDateYear]" caption="HierNAICSVerificationDateYear" defaultMemberUniqueName="[AcctNAICSVerificationDate].[HierNAICSVerificationDateYear].[All]" allUniqueName="[AcctNAICSVerificationDate].[HierNAICSVerificationDateYear].[All]" dimensionUniqueName="[AcctNAICSVerificationDate]" displayFolder="" count="4" unbalanced="0"/>
    <cacheHierarchy uniqueName="[AcctNAICSVerificationDate].[NAICS Date]" caption="NAICS Date" attribute="1" defaultMemberUniqueName="[AcctNAICSVerificationDate].[NAICS Date].[All]" allUniqueName="[AcctNAICSVerificationDate].[NAICS Date].[All]" dimensionUniqueName="[AcctNAICSVerificationDate]" displayFolder="" count="0" unbalanced="0"/>
    <cacheHierarchy uniqueName="[AcctNAICSVerificationDate].[NAICS Day Of Month]" caption="NAICS Day Of Month" attribute="1" defaultMemberUniqueName="[AcctNAICSVerificationDate].[NAICS Day Of Month].[All]" allUniqueName="[AcctNAICSVerificationDate].[NAICS Day Of Month].[All]" dimensionUniqueName="[AcctNAICSVerificationDate]" displayFolder="" count="0" unbalanced="0"/>
    <cacheHierarchy uniqueName="[AcctNAICSVerificationDate].[NAICS Day Of Week]" caption="NAICS Day Of Week" attribute="1" defaultMemberUniqueName="[AcctNAICSVerificationDate].[NAICS Day Of Week].[All]" allUniqueName="[AcctNAICSVerificationDate].[NAICS Day Of Week].[All]" dimensionUniqueName="[AcctNAICSVerificationDate]" displayFolder="" count="0" unbalanced="0"/>
    <cacheHierarchy uniqueName="[AcctNAICSVerificationDate].[NAICS Day Of Week Name]" caption="NAICS Day Of Week Name" attribute="1" defaultMemberUniqueName="[AcctNAICSVerificationDate].[NAICS Day Of Week Name].[All]" allUniqueName="[AcctNAICSVerificationDate].[NAICS Day Of Week Name].[All]" dimensionUniqueName="[AcctNAICSVerificationDate]" displayFolder="" count="0" unbalanced="0"/>
    <cacheHierarchy uniqueName="[AcctNAICSVerificationDate].[NAICS Day Of Year]" caption="NAICS Day Of Year" attribute="1" defaultMemberUniqueName="[AcctNAICSVerificationDate].[NAICS Day Of Year].[All]" allUniqueName="[AcctNAICSVerificationDate].[NAICS Day Of Year].[All]" dimensionUniqueName="[AcctNAICSVerificationDate]" displayFolder="" count="0" unbalanced="0"/>
    <cacheHierarchy uniqueName="[AcctNAICSVerificationDate].[NAICS Holiday Ind]" caption="NAICS Holiday Ind" attribute="1" defaultMemberUniqueName="[AcctNAICSVerificationDate].[NAICS Holiday Ind].[All]" allUniqueName="[AcctNAICSVerificationDate].[NAICS Holiday Ind].[All]" dimensionUniqueName="[AcctNAICSVerificationDate]" displayFolder="" count="0" unbalanced="0"/>
    <cacheHierarchy uniqueName="[AcctNAICSVerificationDate].[NAICS Holiday Name]" caption="NAICS Holiday Name" attribute="1" defaultMemberUniqueName="[AcctNAICSVerificationDate].[NAICS Holiday Name].[All]" allUniqueName="[AcctNAICSVerificationDate].[NAICS Holiday Name].[All]" dimensionUniqueName="[AcctNAICSVerificationDate]" displayFolder="" count="0" unbalanced="0"/>
    <cacheHierarchy uniqueName="[AcctNAICSVerificationDate].[NAICS Last Date Of Month]" caption="NAICS Last Date Of Month" attribute="1" defaultMemberUniqueName="[AcctNAICSVerificationDate].[NAICS Last Date Of Month].[All]" allUniqueName="[AcctNAICSVerificationDate].[NAICS Last Date Of Month].[All]" dimensionUniqueName="[AcctNAICSVerificationDate]" displayFolder="" count="0" unbalanced="0"/>
    <cacheHierarchy uniqueName="[AcctNAICSVerificationDate].[NAICS Last Day Of Month Indicator]" caption="NAICS Last Day Of Month Indicator" attribute="1" defaultMemberUniqueName="[AcctNAICSVerificationDate].[NAICS Last Day Of Month Indicator].[All]" allUniqueName="[AcctNAICSVerificationDate].[NAICS Last Day Of Month Indicator].[All]" dimensionUniqueName="[AcctNAICSVerificationDate]" displayFolder="" count="0" unbalanced="0"/>
    <cacheHierarchy uniqueName="[AcctNAICSVerificationDate].[NAICS Month]" caption="NAICS Month" attribute="1" defaultMemberUniqueName="[AcctNAICSVerificationDate].[NAICS Month].[All]" allUniqueName="[AcctNAICSVerificationDate].[NAICS Month].[All]" dimensionUniqueName="[AcctNAICSVerificationDate]" displayFolder="" count="0" unbalanced="0"/>
    <cacheHierarchy uniqueName="[AcctNAICSVerificationDate].[NAICS Month Nbr]" caption="NAICS Month Nbr" attribute="1" defaultMemberUniqueName="[AcctNAICSVerificationDate].[NAICS Month Nbr].[All]" allUniqueName="[AcctNAICSVerificationDate].[NAICS Month Nbr].[All]" dimensionUniqueName="[AcctNAICSVerificationDate]" displayFolder="" count="0" unbalanced="0"/>
    <cacheHierarchy uniqueName="[AcctNAICSVerificationDate].[NAICS Plan Month and Year]" caption="NAICS Plan Month and Year" attribute="1" defaultMemberUniqueName="[AcctNAICSVerificationDate].[NAICS Plan Month and Year].[All]" allUniqueName="[AcctNAICSVerificationDate].[NAICS Plan Month and Year].[All]" dimensionUniqueName="[AcctNAICSVerificationDate]" displayFolder="" count="0" unbalanced="0"/>
    <cacheHierarchy uniqueName="[AcctNAICSVerificationDate].[NAICS Plan Month Number]" caption="NAICS Plan Month Number" attribute="1" defaultMemberUniqueName="[AcctNAICSVerificationDate].[NAICS Plan Month Number].[All]" allUniqueName="[AcctNAICSVerificationDate].[NAICS Plan Month Number].[All]" dimensionUniqueName="[AcctNAICSVerificationDate]" displayFolder="" count="0" unbalanced="0"/>
    <cacheHierarchy uniqueName="[AcctNAICSVerificationDate].[NAICS Plan Quarter Number]" caption="NAICS Plan Quarter Number" attribute="1" defaultMemberUniqueName="[AcctNAICSVerificationDate].[NAICS Plan Quarter Number].[All]" allUniqueName="[AcctNAICSVerificationDate].[NAICS Plan Quarter Number].[All]" dimensionUniqueName="[AcctNAICSVerificationDate]" displayFolder="" count="0" unbalanced="0"/>
    <cacheHierarchy uniqueName="[AcctNAICSVerificationDate].[NAICS PY]" caption="NAICS PY" attribute="1" defaultMemberUniqueName="[AcctNAICSVerificationDate].[NAICS PY].[All]" allUniqueName="[AcctNAICSVerificationDate].[NAICS PY].[All]" dimensionUniqueName="[AcctNAICSVerificationDate]" displayFolder="" count="0" unbalanced="0"/>
    <cacheHierarchy uniqueName="[AcctNAICSVerificationDate].[NAICS Qtr]" caption="NAICS Qtr" attribute="1" defaultMemberUniqueName="[AcctNAICSVerificationDate].[NAICS Qtr].[All]" allUniqueName="[AcctNAICSVerificationDate].[NAICS Qtr].[All]" dimensionUniqueName="[AcctNAICSVerificationDate]" displayFolder="" count="0" unbalanced="0"/>
    <cacheHierarchy uniqueName="[AcctNAICSVerificationDate].[NAICS Semester]" caption="NAICS Semester" attribute="1" defaultMemberUniqueName="[AcctNAICSVerificationDate].[NAICS Semester].[All]" allUniqueName="[AcctNAICSVerificationDate].[NAICS Semester].[All]" dimensionUniqueName="[AcctNAICSVerificationDate]" displayFolder="" count="0" unbalanced="0"/>
    <cacheHierarchy uniqueName="[AcctNAICSVerificationDate].[NAICS Week Of Month]" caption="NAICS Week Of Month" attribute="1" defaultMemberUniqueName="[AcctNAICSVerificationDate].[NAICS Week Of Month].[All]" allUniqueName="[AcctNAICSVerificationDate].[NAICS Week Of Month].[All]" dimensionUniqueName="[AcctNAICSVerificationDate]" displayFolder="" count="0" unbalanced="0"/>
    <cacheHierarchy uniqueName="[AcctNAICSVerificationDate].[NAICS Weekday Weekend]" caption="NAICS Weekday Weekend" attribute="1" defaultMemberUniqueName="[AcctNAICSVerificationDate].[NAICS Weekday Weekend].[All]" allUniqueName="[AcctNAICSVerificationDate].[NAICS Weekday Weekend].[All]" dimensionUniqueName="[AcctNAICSVerificationDate]" displayFolder="" count="0" unbalanced="0"/>
    <cacheHierarchy uniqueName="[AcctNAICSVerificationDate].[NAICS WeekOfYear]" caption="NAICS WeekOfYear" attribute="1" defaultMemberUniqueName="[AcctNAICSVerificationDate].[NAICS WeekOfYear].[All]" allUniqueName="[AcctNAICSVerificationDate].[NAICS WeekOfYear].[All]" dimensionUniqueName="[AcctNAICSVerificationDate]" displayFolder="" count="0" unbalanced="0"/>
    <cacheHierarchy uniqueName="[AcctNAICSVerificationDate].[NAICS Working Day Ind]" caption="NAICS Working Day Ind" attribute="1" defaultMemberUniqueName="[AcctNAICSVerificationDate].[NAICS Working Day Ind].[All]" allUniqueName="[AcctNAICSVerificationDate].[NAICS Working Day Ind].[All]" dimensionUniqueName="[AcctNAICSVerificationDate]" displayFolder="" count="0" unbalanced="0"/>
    <cacheHierarchy uniqueName="[AcctNAICSVerificationDate].[NAICS Year]" caption="NAICS Year" attribute="1" defaultMemberUniqueName="[AcctNAICSVerificationDate].[NAICS Year].[All]" allUniqueName="[AcctNAICSVerificationDate].[NAICS Year].[All]" dimensionUniqueName="[AcctNAICSVerificationDate]" displayFolder="" count="0" unbalanced="0"/>
    <cacheHierarchy uniqueName="[AcctNAICSVerificationDate].[NAICS Year Month As Integer]" caption="NAICS Year Month As Integer" attribute="1" defaultMemberUniqueName="[AcctNAICSVerificationDate].[NAICS Year Month As Integer].[All]" allUniqueName="[AcctNAICSVerificationDate].[NAICS Year Month As Integer].[All]" dimensionUniqueName="[AcctNAICSVerificationDate]" displayFolder="" count="0" unbalanced="0"/>
    <cacheHierarchy uniqueName="[AcctNAICSVerificationDate].[NAICS Year Quarter As Integer]" caption="NAICS Year Quarter As Integer" attribute="1" defaultMemberUniqueName="[AcctNAICSVerificationDate].[NAICS Year Quarter As Integer].[All]" allUniqueName="[AcctNAICSVerificationDate].[NAICS Year Quarter As Integer].[All]" dimensionUniqueName="[AcctNAICSVerificationDate]" displayFolder="" count="0" unbalanced="0"/>
    <cacheHierarchy uniqueName="[AcctNAICSVerificationDate].[NAICS Year Semester As Integer]" caption="NAICS Year Semester As Integer" attribute="1" defaultMemberUniqueName="[AcctNAICSVerificationDate].[NAICS Year Semester As Integer].[All]" allUniqueName="[AcctNAICSVerificationDate].[NAICS Year Semester As Integer].[All]" dimensionUniqueName="[AcctNAICSVerificationDate]" displayFolder="" count="0" unbalanced="0"/>
    <cacheHierarchy uniqueName="[AcctUsageLevelFilter].[Usage Tier]" caption="Usage Tier" attribute="1" defaultMemberUniqueName="[AcctUsageLevelFilter].[Usage Tier].[All]" allUniqueName="[AcctUsageLevelFilter].[Usage Tier].[All]" dimensionUniqueName="[AcctUsageLevelFilter]" displayFolder="" count="0" unbalanced="0"/>
    <cacheHierarchy uniqueName="[Budget ProgramYear].[Budget Date]" caption="Budget Date" attribute="1" defaultMemberUniqueName="[Budget ProgramYear].[Budget Date].[All]" allUniqueName="[Budget ProgramYear].[Budget Date].[All]" dimensionUniqueName="[Budget ProgramYear]" displayFolder="" count="0" unbalanced="0"/>
    <cacheHierarchy uniqueName="[Budget ProgramYear].[Budget DayOfMonth]" caption="Budget DayOfMonth" attribute="1" defaultMemberUniqueName="[Budget ProgramYear].[Budget DayOfMonth].[All]" allUniqueName="[Budget ProgramYear].[Budget DayOfMonth].[All]" dimensionUniqueName="[Budget ProgramYear]" displayFolder="" count="0" unbalanced="0"/>
    <cacheHierarchy uniqueName="[Budget ProgramYear].[Budget DayOfWeek]" caption="Budget DayOfWeek" attribute="1" defaultMemberUniqueName="[Budget ProgramYear].[Budget DayOfWeek].[All]" allUniqueName="[Budget ProgramYear].[Budget DayOfWeek].[All]" dimensionUniqueName="[Budget ProgramYear]" displayFolder="" count="0" unbalanced="0"/>
    <cacheHierarchy uniqueName="[Budget ProgramYear].[Budget DayOfWeekName]" caption="Budget DayOfWeekName" attribute="1" defaultMemberUniqueName="[Budget ProgramYear].[Budget DayOfWeekName].[All]" allUniqueName="[Budget ProgramYear].[Budget DayOfWeekName].[All]" dimensionUniqueName="[Budget ProgramYear]" displayFolder="" count="0" unbalanced="0"/>
    <cacheHierarchy uniqueName="[Budget ProgramYear].[Budget DayOfYear]" caption="Budget DayOfYear" attribute="1" defaultMemberUniqueName="[Budget ProgramYear].[Budget DayOfYear].[All]" allUniqueName="[Budget ProgramYear].[Budget DayOfYear].[All]" dimensionUniqueName="[Budget ProgramYear]" displayFolder="" count="0" unbalanced="0"/>
    <cacheHierarchy uniqueName="[Budget ProgramYear].[Budget HolidayInd]" caption="Budget HolidayInd" attribute="1" defaultMemberUniqueName="[Budget ProgramYear].[Budget HolidayInd].[All]" allUniqueName="[Budget ProgramYear].[Budget HolidayInd].[All]" dimensionUniqueName="[Budget ProgramYear]" displayFolder="" count="0" unbalanced="0"/>
    <cacheHierarchy uniqueName="[Budget ProgramYear].[Budget HolidayName]" caption="Budget HolidayName" attribute="1" defaultMemberUniqueName="[Budget ProgramYear].[Budget HolidayName].[All]" allUniqueName="[Budget ProgramYear].[Budget HolidayName].[All]" dimensionUniqueName="[Budget ProgramYear]" displayFolder="" count="0" unbalanced="0"/>
    <cacheHierarchy uniqueName="[Budget ProgramYear].[Budget LastDateOfMonth]" caption="Budget LastDateOfMonth" attribute="1" defaultMemberUniqueName="[Budget ProgramYear].[Budget LastDateOfMonth].[All]" allUniqueName="[Budget ProgramYear].[Budget LastDateOfMonth].[All]" dimensionUniqueName="[Budget ProgramYear]" displayFolder="" count="0" unbalanced="0"/>
    <cacheHierarchy uniqueName="[Budget ProgramYear].[Budget LastDayOfMonthIndicator]" caption="Budget LastDayOfMonthIndicator" attribute="1" defaultMemberUniqueName="[Budget ProgramYear].[Budget LastDayOfMonthIndicator].[All]" allUniqueName="[Budget ProgramYear].[Budget LastDayOfMonthIndicator].[All]" dimensionUniqueName="[Budget ProgramYear]" displayFolder="" count="0" unbalanced="0"/>
    <cacheHierarchy uniqueName="[Budget ProgramYear].[Budget Month]" caption="Budget Month" attribute="1" defaultMemberUniqueName="[Budget ProgramYear].[Budget Month].[All]" allUniqueName="[Budget ProgramYear].[Budget Month].[All]" dimensionUniqueName="[Budget ProgramYear]" displayFolder="" count="0" unbalanced="0"/>
    <cacheHierarchy uniqueName="[Budget ProgramYear].[Budget MonthNbr]" caption="Budget MonthNbr" attribute="1" defaultMemberUniqueName="[Budget ProgramYear].[Budget MonthNbr].[All]" allUniqueName="[Budget ProgramYear].[Budget MonthNbr].[All]" dimensionUniqueName="[Budget ProgramYear]" displayFolder="" count="0" unbalanced="0"/>
    <cacheHierarchy uniqueName="[Budget ProgramYear].[Budget Plan Month and Year]" caption="Budget Plan Month and Year" attribute="1" defaultMemberUniqueName="[Budget ProgramYear].[Budget Plan Month and Year].[All]" allUniqueName="[Budget ProgramYear].[Budget Plan Month and Year].[All]" dimensionUniqueName="[Budget ProgramYear]" displayFolder="" count="0" unbalanced="0"/>
    <cacheHierarchy uniqueName="[Budget ProgramYear].[Budget Plan Month Number]" caption="Budget Plan Month Number" attribute="1" defaultMemberUniqueName="[Budget ProgramYear].[Budget Plan Month Number].[All]" allUniqueName="[Budget ProgramYear].[Budget Plan Month Number].[All]" dimensionUniqueName="[Budget ProgramYear]" displayFolder="" count="0" unbalanced="0"/>
    <cacheHierarchy uniqueName="[Budget ProgramYear].[Budget Plan Quarter Number]" caption="Budget Plan Quarter Number" attribute="1" defaultMemberUniqueName="[Budget ProgramYear].[Budget Plan Quarter Number].[All]" allUniqueName="[Budget ProgramYear].[Budget Plan Quarter Number].[All]" dimensionUniqueName="[Budget ProgramYear]" displayFolder="" count="0" unbalanced="0"/>
    <cacheHierarchy uniqueName="[Budget ProgramYear].[Budget PQ]" caption="Budget PQ" attribute="1" defaultMemberUniqueName="[Budget ProgramYear].[Budget PQ].[All]" allUniqueName="[Budget ProgramYear].[Budget PQ].[All]" dimensionUniqueName="[Budget ProgramYear]" displayFolder="" count="0" unbalanced="0"/>
    <cacheHierarchy uniqueName="[Budget ProgramYear].[Budget PY]" caption="Budget PY" attribute="1" defaultMemberUniqueName="[Budget ProgramYear].[Budget PY].[All]" allUniqueName="[Budget ProgramYear].[Budget PY].[All]" dimensionUniqueName="[Budget ProgramYear]" displayFolder="" count="0" unbalanced="0"/>
    <cacheHierarchy uniqueName="[Budget ProgramYear].[Budget Qtr]" caption="Budget Qtr" attribute="1" defaultMemberUniqueName="[Budget ProgramYear].[Budget Qtr].[All]" allUniqueName="[Budget ProgramYear].[Budget Qtr].[All]" dimensionUniqueName="[Budget ProgramYear]" displayFolder="" count="0" unbalanced="0"/>
    <cacheHierarchy uniqueName="[Budget ProgramYear].[Budget Semester]" caption="Budget Semester" attribute="1" defaultMemberUniqueName="[Budget ProgramYear].[Budget Semester].[All]" allUniqueName="[Budget ProgramYear].[Budget Semester].[All]" dimensionUniqueName="[Budget ProgramYear]" displayFolder="" count="0" unbalanced="0"/>
    <cacheHierarchy uniqueName="[Budget ProgramYear].[Budget WeekdayWeekend]" caption="Budget WeekdayWeekend" attribute="1" defaultMemberUniqueName="[Budget ProgramYear].[Budget WeekdayWeekend].[All]" allUniqueName="[Budget ProgramYear].[Budget WeekdayWeekend].[All]" dimensionUniqueName="[Budget ProgramYear]" displayFolder="" count="0" unbalanced="0"/>
    <cacheHierarchy uniqueName="[Budget ProgramYear].[Budget WeekOfMonth]" caption="Budget WeekOfMonth" attribute="1" defaultMemberUniqueName="[Budget ProgramYear].[Budget WeekOfMonth].[All]" allUniqueName="[Budget ProgramYear].[Budget WeekOfMonth].[All]" dimensionUniqueName="[Budget ProgramYear]" displayFolder="" count="0" unbalanced="0"/>
    <cacheHierarchy uniqueName="[Budget ProgramYear].[Budget WeekOfYear]" caption="Budget WeekOfYear" attribute="1" defaultMemberUniqueName="[Budget ProgramYear].[Budget WeekOfYear].[All]" allUniqueName="[Budget ProgramYear].[Budget WeekOfYear].[All]" dimensionUniqueName="[Budget ProgramYear]" displayFolder="" count="0" unbalanced="0"/>
    <cacheHierarchy uniqueName="[Budget ProgramYear].[Budget WorkingDayInd]" caption="Budget WorkingDayInd" attribute="1" defaultMemberUniqueName="[Budget ProgramYear].[Budget WorkingDayInd].[All]" allUniqueName="[Budget ProgramYear].[Budget WorkingDayInd].[All]" dimensionUniqueName="[Budget ProgramYear]" displayFolder="" count="0" unbalanced="0"/>
    <cacheHierarchy uniqueName="[Budget ProgramYear].[Budget Year]" caption="Budget Year" attribute="1" defaultMemberUniqueName="[Budget ProgramYear].[Budget Year].[All]" allUniqueName="[Budget ProgramYear].[Budget Year].[All]" dimensionUniqueName="[Budget ProgramYear]" displayFolder="" count="0" unbalanced="0"/>
    <cacheHierarchy uniqueName="[Budget ProgramYear].[Budget YearMonthAsInteger]" caption="Budget YearMonthAsInteger" attribute="1" defaultMemberUniqueName="[Budget ProgramYear].[Budget YearMonthAsInteger].[All]" allUniqueName="[Budget ProgramYear].[Budget YearMonthAsInteger].[All]" dimensionUniqueName="[Budget ProgramYear]" displayFolder="" count="0" unbalanced="0"/>
    <cacheHierarchy uniqueName="[Budget ProgramYear].[Budget YearQuarterAsInteger]" caption="Budget YearQuarterAsInteger" attribute="1" defaultMemberUniqueName="[Budget ProgramYear].[Budget YearQuarterAsInteger].[All]" allUniqueName="[Budget ProgramYear].[Budget YearQuarterAsInteger].[All]" dimensionUniqueName="[Budget ProgramYear]" displayFolder="" count="0" unbalanced="0"/>
    <cacheHierarchy uniqueName="[Budget ProgramYear].[Budget YearSemesterAsInteger]" caption="Budget YearSemesterAsInteger" attribute="1" defaultMemberUniqueName="[Budget ProgramYear].[Budget YearSemesterAsInteger].[All]" allUniqueName="[Budget ProgramYear].[Budget YearSemesterAsInteger].[All]" dimensionUniqueName="[Budget ProgramYear]" displayFolder="" count="0" unbalanced="0"/>
    <cacheHierarchy uniqueName="[DimAccount].[Account Active Indicator]" caption="Account Active Indicator" attribute="1" defaultMemberUniqueName="[DimAccount].[Account Active Indicator].[All]" allUniqueName="[DimAccount].[Account Active Indicator].[All]" dimensionUniqueName="[DimAccount]" displayFolder="" count="0" unbalanced="0"/>
    <cacheHierarchy uniqueName="[DimAccount].[Account ID]" caption="Account ID" attribute="1" defaultMemberUniqueName="[DimAccount].[Account ID].[All]" allUniqueName="[DimAccount].[Account ID].[All]" dimensionUniqueName="[DimAccount]" displayFolder="" count="0" unbalanced="0"/>
    <cacheHierarchy uniqueName="[DimAccount].[Account Relationship Type Code]" caption="Account Relationship Type Code" attribute="1" defaultMemberUniqueName="[DimAccount].[Account Relationship Type Code].[All]" allUniqueName="[DimAccount].[Account Relationship Type Code].[All]" dimensionUniqueName="[DimAccount]" displayFolder="" count="0" unbalanced="0"/>
    <cacheHierarchy uniqueName="[DimAccount].[Account Setup Date]" caption="Account Setup Date" attribute="1" defaultMemberUniqueName="[DimAccount].[Account Setup Date].[All]" allUniqueName="[DimAccount].[Account Setup Date].[All]" dimensionUniqueName="[DimAccount]" displayFolder="" count="0" unbalanced="0"/>
    <cacheHierarchy uniqueName="[DimAccount].[Addition Year]" caption="Addition Year" attribute="1" defaultMemberUniqueName="[DimAccount].[Addition Year].[All]" allUniqueName="[DimAccount].[Addition Year].[All]" dimensionUniqueName="[DimAccount]" displayFolder="" count="0" unbalanced="0"/>
    <cacheHierarchy uniqueName="[DimAccount].[Building Name]" caption="Building Name" attribute="1" defaultMemberUniqueName="[DimAccount].[Building Name].[All]" allUniqueName="[DimAccount].[Building Name].[All]" dimensionUniqueName="[DimAccount]" displayFolder="" count="0" unbalanced="0"/>
    <cacheHierarchy uniqueName="[DimAccount].[Business Group ID]" caption="Business Group ID" attribute="1" defaultMemberUniqueName="[DimAccount].[Business Group ID].[All]" allUniqueName="[DimAccount].[Business Group ID].[All]" dimensionUniqueName="[DimAccount]" displayFolder="" count="0" unbalanced="0"/>
    <cacheHierarchy uniqueName="[DimAccount].[Business Group Name]" caption="Business Group Name" attribute="1" defaultMemberUniqueName="[DimAccount].[Business Group Name].[All]" allUniqueName="[DimAccount].[Business Group Name].[All]" dimensionUniqueName="[DimAccount]" displayFolder="" count="0" unbalanced="0"/>
    <cacheHierarchy uniqueName="[DimAccount].[Business Hours]" caption="Business Hours" attribute="1" defaultMemberUniqueName="[DimAccount].[Business Hours].[All]" allUniqueName="[DimAccount].[Business Hours].[All]" dimensionUniqueName="[DimAccount]" displayFolder="" count="0" unbalanced="0"/>
    <cacheHierarchy uniqueName="[DimAccount].[Business Load Date]" caption="Business Load Date" attribute="1" defaultMemberUniqueName="[DimAccount].[Business Load Date].[All]" allUniqueName="[DimAccount].[Business Load Date].[All]" dimensionUniqueName="[DimAccount]" displayFolder="" count="0" unbalanced="0"/>
    <cacheHierarchy uniqueName="[DimAccount].[Business Name]" caption="Business Name" attribute="1" defaultMemberUniqueName="[DimAccount].[Business Name].[All]" allUniqueName="[DimAccount].[Business Name].[All]" dimensionUniqueName="[DimAccount]" displayFolder="" count="0" unbalanced="0"/>
    <cacheHierarchy uniqueName="[DimAccount].[Chain Store Indicator]" caption="Chain Store Indicator" attribute="1" defaultMemberUniqueName="[DimAccount].[Chain Store Indicator].[All]" allUniqueName="[DimAccount].[Chain Store Indicator].[All]" dimensionUniqueName="[DimAccount]" displayFolder="" count="0" unbalanced="0"/>
    <cacheHierarchy uniqueName="[DimAccount].[CIS Division]" caption="CIS Division" attribute="1" defaultMemberUniqueName="[DimAccount].[CIS Division].[All]" allUniqueName="[DimAccount].[CIS Division].[All]" dimensionUniqueName="[DimAccount]" displayFolder="" count="0" unbalanced="0"/>
    <cacheHierarchy uniqueName="[DimAccount].[Classification]" caption="Classification" attribute="1" defaultMemberUniqueName="[DimAccount].[Classification].[All]" allUniqueName="[DimAccount].[Classification].[All]" dimensionUniqueName="[DimAccount]" displayFolder="" count="0" unbalanced="0"/>
    <cacheHierarchy uniqueName="[DimAccount].[Co-generation Indicator]" caption="Co-generation Indicator" attribute="1" defaultMemberUniqueName="[DimAccount].[Co-generation Indicator].[All]" allUniqueName="[DimAccount].[Co-generation Indicator].[All]" dimensionUniqueName="[DimAccount]" displayFolder="" count="0" unbalanced="0"/>
    <cacheHierarchy uniqueName="[DimAccount].[CollectionClassCode]" caption="CollectionClassCode" attribute="1" defaultMemberUniqueName="[DimAccount].[CollectionClassCode].[All]" allUniqueName="[DimAccount].[CollectionClassCode].[All]" dimensionUniqueName="[DimAccount]" displayFolder="" count="0" unbalanced="0"/>
    <cacheHierarchy uniqueName="[DimAccount].[Construction Year]" caption="Construction Year" attribute="1" defaultMemberUniqueName="[DimAccount].[Construction Year].[All]" allUniqueName="[DimAccount].[Construction Year].[All]" dimensionUniqueName="[DimAccount]" displayFolder="" count="0" unbalanced="0"/>
    <cacheHierarchy uniqueName="[DimAccount].[CRD Rank]" caption="CRD Rank" attribute="1" defaultMemberUniqueName="[DimAccount].[CRD Rank].[All]" allUniqueName="[DimAccount].[CRD Rank].[All]" dimensionUniqueName="[DimAccount]" displayFolder="" count="0" unbalanced="0"/>
    <cacheHierarchy uniqueName="[DimAccount].[CRD Rep First Name]" caption="CRD Rep First Name" attribute="1" defaultMemberUniqueName="[DimAccount].[CRD Rep First Name].[All]" allUniqueName="[DimAccount].[CRD Rep First Name].[All]" dimensionUniqueName="[DimAccount]" displayFolder="" count="0" unbalanced="0"/>
    <cacheHierarchy uniqueName="[DimAccount].[CRD Rep Last Name]" caption="CRD Rep Last Name" attribute="1" defaultMemberUniqueName="[DimAccount].[CRD Rep Last Name].[All]" allUniqueName="[DimAccount].[CRD Rep Last Name].[All]" dimensionUniqueName="[DimAccount]" displayFolder="" count="0" unbalanced="0"/>
    <cacheHierarchy uniqueName="[DimAccount].[Customer Prospect Indicator]" caption="Customer Prospect Indicator" attribute="1" defaultMemberUniqueName="[DimAccount].[Customer Prospect Indicator].[All]" allUniqueName="[DimAccount].[Customer Prospect Indicator].[All]" dimensionUniqueName="[DimAccount]" displayFolder="" count="0" unbalanced="0"/>
    <cacheHierarchy uniqueName="[DimAccount].[Do Not Email MKT Campaign Code]" caption="Do Not Email MKT Campaign Code" attribute="1" defaultMemberUniqueName="[DimAccount].[Do Not Email MKT Campaign Code].[All]" allUniqueName="[DimAccount].[Do Not Email MKT Campaign Code].[All]" dimensionUniqueName="[DimAccount]" displayFolder="" count="0" unbalanced="0"/>
    <cacheHierarchy uniqueName="[DimAccount].[Do Not Solicit Code]" caption="Do Not Solicit Code" attribute="1" defaultMemberUniqueName="[DimAccount].[Do Not Solicit Code].[All]" allUniqueName="[DimAccount].[Do Not Solicit Code].[All]" dimensionUniqueName="[DimAccount]" displayFolder="" count="0" unbalanced="0"/>
    <cacheHierarchy uniqueName="[DimAccount].[Dua lFuel Indicator]" caption="Dua lFuel Indicator" attribute="1" defaultMemberUniqueName="[DimAccount].[Dua lFuel Indicator].[All]" allUniqueName="[DimAccount].[Dua lFuel Indicator].[All]" dimensionUniqueName="[DimAccount]" displayFolder="" count="0" unbalanced="0"/>
    <cacheHierarchy uniqueName="[DimAccount].[Electric Provider]" caption="Electric Provider" attribute="1" defaultMemberUniqueName="[DimAccount].[Electric Provider].[All]" allUniqueName="[DimAccount].[Electric Provider].[All]" dimensionUniqueName="[DimAccount]" displayFolder="" count="0" unbalanced="0"/>
    <cacheHierarchy uniqueName="[DimAccount].[Energy Efficiency OptOut]" caption="Energy Efficiency OptOut" attribute="1" defaultMemberUniqueName="[DimAccount].[Energy Efficiency OptOut].[All]" allUniqueName="[DimAccount].[Energy Efficiency OptOut].[All]" dimensionUniqueName="[DimAccount]" displayFolder="" count="0" unbalanced="0"/>
    <cacheHierarchy uniqueName="[DimAccount].[Enrolled In Customer Select Code]" caption="Enrolled In Customer Select Code" attribute="1" defaultMemberUniqueName="[DimAccount].[Enrolled In Customer Select Code].[All]" allUniqueName="[DimAccount].[Enrolled In Customer Select Code].[All]" dimensionUniqueName="[DimAccount]" displayFolder="" count="0" unbalanced="0"/>
    <cacheHierarchy uniqueName="[DimAccount].[Enrolled In My Account Code]" caption="Enrolled In My Account Code" attribute="1" defaultMemberUniqueName="[DimAccount].[Enrolled In My Account Code].[All]" allUniqueName="[DimAccount].[Enrolled In My Account Code].[All]" dimensionUniqueName="[DimAccount]" displayFolder="" count="0" unbalanced="0"/>
    <cacheHierarchy uniqueName="[DimAccount].[Fleet Size]" caption="Fleet Size" attribute="1" defaultMemberUniqueName="[DimAccount].[Fleet Size].[All]" allUniqueName="[DimAccount].[Fleet Size].[All]" dimensionUniqueName="[DimAccount]" displayFolder="" count="0" unbalanced="0"/>
    <cacheHierarchy uniqueName="[DimAccount].[GovernmentTypeCode]" caption="GovernmentTypeCode" attribute="1" defaultMemberUniqueName="[DimAccount].[GovernmentTypeCode].[All]" allUniqueName="[DimAccount].[GovernmentTypeCode].[All]" dimensionUniqueName="[DimAccount]" displayFolder="" count="0" unbalanced="0"/>
    <cacheHierarchy uniqueName="[DimAccount].[HERFlag]" caption="HERFlag" attribute="1" defaultMemberUniqueName="[DimAccount].[HERFlag].[All]" allUniqueName="[DimAccount].[HERFlag].[All]" dimensionUniqueName="[DimAccount]" displayFolder="" count="0" unbalanced="0"/>
    <cacheHierarchy uniqueName="[DimAccount].[In Arrears Indicator]" caption="In Arrears Indicator" attribute="1" defaultMemberUniqueName="[DimAccount].[In Arrears Indicator].[All]" allUniqueName="[DimAccount].[In Arrears Indicator].[All]" dimensionUniqueName="[DimAccount]" displayFolder="" count="0" unbalanced="0"/>
    <cacheHierarchy uniqueName="[DimAccount].[In City Limit]" caption="In City Limit" attribute="1" defaultMemberUniqueName="[DimAccount].[In City Limit].[All]" allUniqueName="[DimAccount].[In City Limit].[All]" dimensionUniqueName="[DimAccount]" displayFolder="" count="0" unbalanced="0"/>
    <cacheHierarchy uniqueName="[DimAccount].[Leased Or Owned Indicator]" caption="Leased Or Owned Indicator" attribute="1" defaultMemberUniqueName="[DimAccount].[Leased Or Owned Indicator].[All]" allUniqueName="[DimAccount].[Leased Or Owned Indicator].[All]" dimensionUniqueName="[DimAccount]" displayFolder="" count="0" unbalanced="0"/>
    <cacheHierarchy uniqueName="[DimAccount].[Load Reduction Time To Reduce Hours]" caption="Load Reduction Time To Reduce Hours" attribute="1" defaultMemberUniqueName="[DimAccount].[Load Reduction Time To Reduce Hours].[All]" allUniqueName="[DimAccount].[Load Reduction Time To Reduce Hours].[All]" dimensionUniqueName="[DimAccount]" displayFolder="" count="0" unbalanced="0"/>
    <cacheHierarchy uniqueName="[DimAccount].[Load Reduction Winter Therms Per Day]" caption="Load Reduction Winter Therms Per Day" attribute="1" defaultMemberUniqueName="[DimAccount].[Load Reduction Winter Therms Per Day].[All]" allUniqueName="[DimAccount].[Load Reduction Winter Therms Per Day].[All]" dimensionUniqueName="[DimAccount]" displayFolder="" count="0" unbalanced="0"/>
    <cacheHierarchy uniqueName="[DimAccount].[Location]" caption="Location" attribute="1" defaultMemberUniqueName="[DimAccount].[Location].[All]" allUniqueName="[DimAccount].[Location].[All]" dimensionUniqueName="[DimAccount]" displayFolder="" count="0" unbalanced="0"/>
    <cacheHierarchy uniqueName="[DimAccount].[Meter Number]" caption="Meter Number" attribute="1" defaultMemberUniqueName="[DimAccount].[Meter Number].[All]" allUniqueName="[DimAccount].[Meter Number].[All]" dimensionUniqueName="[DimAccount]" displayFolder="" count="0" unbalanced="0"/>
    <cacheHierarchy uniqueName="[DimAccount].[MeterNumber_CCB]" caption="MeterNumber_CCB" attribute="1" defaultMemberUniqueName="[DimAccount].[MeterNumber_CCB].[All]" allUniqueName="[DimAccount].[MeterNumber_CCB].[All]" dimensionUniqueName="[DimAccount]" displayFolder="" count="0" unbalanced="0"/>
    <cacheHierarchy uniqueName="[DimAccount].[NAICSCode]" caption="NAICSCode" attribute="1" defaultMemberUniqueName="[DimAccount].[NAICSCode].[All]" allUniqueName="[DimAccount].[NAICSCode].[All]" dimensionUniqueName="[DimAccount]" displayFolder="" count="0" unbalanced="0"/>
    <cacheHierarchy uniqueName="[DimAccount].[NAICSCodeDescription]" caption="NAICSCodeDescription" attribute="1" defaultMemberUniqueName="[DimAccount].[NAICSCodeDescription].[All]" allUniqueName="[DimAccount].[NAICSCodeDescription].[All]" dimensionUniqueName="[DimAccount]" displayFolder="" count="0" unbalanced="0"/>
    <cacheHierarchy uniqueName="[DimAccount].[Number Of Beds]" caption="Number Of Beds" attribute="1" defaultMemberUniqueName="[DimAccount].[Number Of Beds].[All]" allUniqueName="[DimAccount].[Number Of Beds].[All]" dimensionUniqueName="[DimAccount]" displayFolder="" count="0" unbalanced="0"/>
    <cacheHierarchy uniqueName="[DimAccount].[Number Of Floors]" caption="Number Of Floors" attribute="1" defaultMemberUniqueName="[DimAccount].[Number Of Floors].[All]" allUniqueName="[DimAccount].[Number Of Floors].[All]" dimensionUniqueName="[DimAccount]" displayFolder="" count="0" unbalanced="0"/>
    <cacheHierarchy uniqueName="[DimAccount].[On-Bill Financing Customer Code]" caption="On-Bill Financing Customer Code" attribute="1" defaultMemberUniqueName="[DimAccount].[On-Bill Financing Customer Code].[All]" allUniqueName="[DimAccount].[On-Bill Financing Customer Code].[All]" dimensionUniqueName="[DimAccount]" displayFolder="" count="0" unbalanced="0"/>
    <cacheHierarchy uniqueName="[DimAccount].[On-Bill Financing Monthly Payment Amount]" caption="On-Bill Financing Monthly Payment Amount" attribute="1" defaultMemberUniqueName="[DimAccount].[On-Bill Financing Monthly Payment Amount].[All]" allUniqueName="[DimAccount].[On-Bill Financing Monthly Payment Amount].[All]" dimensionUniqueName="[DimAccount]" displayFolder="" count="0" unbalanced="0"/>
    <cacheHierarchy uniqueName="[DimAccount].[Operation Hour From Day]" caption="Operation Hour From Day" attribute="1" defaultMemberUniqueName="[DimAccount].[Operation Hour From Day].[All]" allUniqueName="[DimAccount].[Operation Hour From Day].[All]" dimensionUniqueName="[DimAccount]" displayFolder="" count="0" unbalanced="0"/>
    <cacheHierarchy uniqueName="[DimAccount].[Operation Hour From Time]" caption="Operation Hour From Time" attribute="1" defaultMemberUniqueName="[DimAccount].[Operation Hour From Time].[All]" allUniqueName="[DimAccount].[Operation Hour From Time].[All]" dimensionUniqueName="[DimAccount]" displayFolder="" count="0" unbalanced="0"/>
    <cacheHierarchy uniqueName="[DimAccount].[Operation Hour To Day]" caption="Operation Hour To Day" attribute="1" defaultMemberUniqueName="[DimAccount].[Operation Hour To Day].[All]" allUniqueName="[DimAccount].[Operation Hour To Day].[All]" dimensionUniqueName="[DimAccount]" displayFolder="" count="0" unbalanced="0"/>
    <cacheHierarchy uniqueName="[DimAccount].[Operation Hour To Time]" caption="Operation Hour To Time" attribute="1" defaultMemberUniqueName="[DimAccount].[Operation Hour To Time].[All]" allUniqueName="[DimAccount].[Operation Hour To Time].[All]" dimensionUniqueName="[DimAccount]" displayFolder="" count="0" unbalanced="0"/>
    <cacheHierarchy uniqueName="[DimAccount].[Premise ID]" caption="Premise ID" attribute="1" defaultMemberUniqueName="[DimAccount].[Premise ID].[All]" allUniqueName="[DimAccount].[Premise ID].[All]" dimensionUniqueName="[DimAccount]" displayFolder="" count="0" unbalanced="0"/>
    <cacheHierarchy uniqueName="[DimAccount].[Premise Type Code]" caption="Premise Type Code" attribute="1" defaultMemberUniqueName="[DimAccount].[Premise Type Code].[All]" allUniqueName="[DimAccount].[Premise Type Code].[All]" dimensionUniqueName="[DimAccount]" displayFolder="" count="0" unbalanced="0"/>
    <cacheHierarchy uniqueName="[DimAccount].[Primary Meter Indicator]" caption="Primary Meter Indicator" attribute="1" defaultMemberUniqueName="[DimAccount].[Primary Meter Indicator].[All]" allUniqueName="[DimAccount].[Primary Meter Indicator].[All]" dimensionUniqueName="[DimAccount]" displayFolder="" count="0" unbalanced="0"/>
    <cacheHierarchy uniqueName="[DimAccount].[Respondent Name]" caption="Respondent Name" attribute="1" defaultMemberUniqueName="[DimAccount].[Respondent Name].[All]" allUniqueName="[DimAccount].[Respondent Name].[All]" dimensionUniqueName="[DimAccount]" displayFolder="" count="0" unbalanced="0"/>
    <cacheHierarchy uniqueName="[DimAccount].[RIDER30_CD]" caption="RIDER30_CD" attribute="1" defaultMemberUniqueName="[DimAccount].[RIDER30_CD].[All]" allUniqueName="[DimAccount].[RIDER30_CD].[All]" dimensionUniqueName="[DimAccount]" displayFolder="" count="0" unbalanced="0"/>
    <cacheHierarchy uniqueName="[DimAccount].[Sales Rep First Name]" caption="Sales Rep First Name" attribute="1" defaultMemberUniqueName="[DimAccount].[Sales Rep First Name].[All]" allUniqueName="[DimAccount].[Sales Rep First Name].[All]" dimensionUniqueName="[DimAccount]" displayFolder="" count="0" unbalanced="0"/>
    <cacheHierarchy uniqueName="[DimAccount].[Sales Rep Last Name]" caption="Sales Rep Last Name" attribute="1" defaultMemberUniqueName="[DimAccount].[Sales Rep Last Name].[All]" allUniqueName="[DimAccount].[Sales Rep Last Name].[All]" dimensionUniqueName="[DimAccount]" displayFolder="" count="0" unbalanced="0"/>
    <cacheHierarchy uniqueName="[DimAccount].[Service Address1]" caption="Service Address1" attribute="1" defaultMemberUniqueName="[DimAccount].[Service Address1].[All]" allUniqueName="[DimAccount].[Service Address1].[All]" dimensionUniqueName="[DimAccount]" displayFolder="" count="0" unbalanced="0"/>
    <cacheHierarchy uniqueName="[DimAccount].[Service Address2]" caption="Service Address2" attribute="1" defaultMemberUniqueName="[DimAccount].[Service Address2].[All]" allUniqueName="[DimAccount].[Service Address2].[All]" dimensionUniqueName="[DimAccount]" displayFolder="" count="0" unbalanced="0"/>
    <cacheHierarchy uniqueName="[DimAccount].[Service Address3]" caption="Service Address3" attribute="1" defaultMemberUniqueName="[DimAccount].[Service Address3].[All]" allUniqueName="[DimAccount].[Service Address3].[All]" dimensionUniqueName="[DimAccount]" displayFolder="" count="0" unbalanced="0"/>
    <cacheHierarchy uniqueName="[DimAccount].[Service Address4]" caption="Service Address4" attribute="1" defaultMemberUniqueName="[DimAccount].[Service Address4].[All]" allUniqueName="[DimAccount].[Service Address4].[All]" dimensionUniqueName="[DimAccount]" displayFolder="" count="0" unbalanced="0"/>
    <cacheHierarchy uniqueName="[DimAccount].[Service City]" caption="Service City" attribute="1" defaultMemberUniqueName="[DimAccount].[Service City].[All]" allUniqueName="[DimAccount].[Service City].[All]" dimensionUniqueName="[DimAccount]" displayFolder="" count="0" unbalanced="0"/>
    <cacheHierarchy uniqueName="[DimAccount].[Service State]" caption="Service State" attribute="1" defaultMemberUniqueName="[DimAccount].[Service State].[All]" allUniqueName="[DimAccount].[Service State].[All]" dimensionUniqueName="[DimAccount]" displayFolder="" count="0" unbalanced="0"/>
    <cacheHierarchy uniqueName="[DimAccount].[Service Zip]" caption="Service Zip" attribute="1" defaultMemberUniqueName="[DimAccount].[Service Zip].[All]" allUniqueName="[DimAccount].[Service Zip].[All]" dimensionUniqueName="[DimAccount]" displayFolder="" count="0" unbalanced="0"/>
    <cacheHierarchy uniqueName="[DimAccount].[SIC Code]" caption="SIC Code" attribute="1" defaultMemberUniqueName="[DimAccount].[SIC Code].[All]" allUniqueName="[DimAccount].[SIC Code].[All]" dimensionUniqueName="[DimAccount]" displayFolder="" count="0" unbalanced="0"/>
    <cacheHierarchy uniqueName="[DimAccount].[Total Square Footage]" caption="Total Square Footage" attribute="1" defaultMemberUniqueName="[DimAccount].[Total Square Footage].[All]" allUniqueName="[DimAccount].[Total Square Footage].[All]" dimensionUniqueName="[DimAccount]" displayFolder="" count="0" unbalanced="0"/>
    <cacheHierarchy uniqueName="[DimAccount].[Unique Business Key]" caption="Unique Business Key" attribute="1" defaultMemberUniqueName="[DimAccount].[Unique Business Key].[All]" allUniqueName="[DimAccount].[Unique Business Key].[All]" dimensionUniqueName="[DimAccount]" displayFolder="" count="0" unbalanced="0"/>
    <cacheHierarchy uniqueName="[DimAccount].[Web Address Unique]" caption="Web Address Unique" attribute="1" defaultMemberUniqueName="[DimAccount].[Web Address Unique].[All]" allUniqueName="[DimAccount].[Web Address Unique].[All]" dimensionUniqueName="[DimAccount]" displayFolder="" count="0" unbalanced="0"/>
    <cacheHierarchy uniqueName="[DimAccountingCodeCostClassification].[AccountingCode]" caption="AccountingCode" attribute="1" defaultMemberUniqueName="[DimAccountingCodeCostClassification].[AccountingCode].[All]" allUniqueName="[DimAccountingCodeCostClassification].[AccountingCode].[All]" dimensionUniqueName="[DimAccountingCodeCostClassification]" displayFolder="" count="0" unbalanced="0"/>
    <cacheHierarchy uniqueName="[DimAccountingCodeCostClassification].[AccountingCodeDescription]" caption="AccountingCodeDescription" attribute="1" defaultMemberUniqueName="[DimAccountingCodeCostClassification].[AccountingCodeDescription].[All]" allUniqueName="[DimAccountingCodeCostClassification].[AccountingCodeDescription].[All]" dimensionUniqueName="[DimAccountingCodeCostClassification]" displayFolder="" count="0" unbalanced="0"/>
    <cacheHierarchy uniqueName="[DimAccountingCodeCostClassification].[CostClassification]" caption="CostClassification" attribute="1" defaultMemberUniqueName="[DimAccountingCodeCostClassification].[CostClassification].[All]" allUniqueName="[DimAccountingCodeCostClassification].[CostClassification].[All]" dimensionUniqueName="[DimAccountingCodeCostClassification]" displayFolder="" count="0" unbalanced="0"/>
    <cacheHierarchy uniqueName="[DimAccountingCodeProgramName].[AccountingCode]" caption="AccountingCode" attribute="1" defaultMemberUniqueName="[DimAccountingCodeProgramName].[AccountingCode].[All]" allUniqueName="[DimAccountingCodeProgramName].[AccountingCode].[All]" dimensionUniqueName="[DimAccountingCodeProgramName]" displayFolder="" count="0" unbalanced="0"/>
    <cacheHierarchy uniqueName="[DimAccountingCodeProgramName].[NewProgramName]" caption="NewProgramName" attribute="1" defaultMemberUniqueName="[DimAccountingCodeProgramName].[NewProgramName].[All]" allUniqueName="[DimAccountingCodeProgramName].[NewProgramName].[All]" dimensionUniqueName="[DimAccountingCodeProgramName]" displayFolder="" count="0" unbalanced="0"/>
    <cacheHierarchy uniqueName="[DimAccountingCodeProgramName].[ProgramName]" caption="ProgramName" attribute="1" defaultMemberUniqueName="[DimAccountingCodeProgramName].[ProgramName].[All]" allUniqueName="[DimAccountingCodeProgramName].[ProgramName].[All]" dimensionUniqueName="[DimAccountingCodeProgramName]" displayFolder="" count="0" unbalanced="0"/>
    <cacheHierarchy uniqueName="[DimAccountUsageLevel].[GasRateSchedule]" caption="GasRateSchedule" attribute="1" defaultMemberUniqueName="[DimAccountUsageLevel].[GasRateSchedule].[All]" allUniqueName="[DimAccountUsageLevel].[GasRateSchedule].[All]" dimensionUniqueName="[DimAccountUsageLevel]" displayFolder="" count="0" unbalanced="0"/>
    <cacheHierarchy uniqueName="[DimAccountUsageLevel].[RateScheduleCode]" caption="RateScheduleCode" attribute="1" defaultMemberUniqueName="[DimAccountUsageLevel].[RateScheduleCode].[All]" allUniqueName="[DimAccountUsageLevel].[RateScheduleCode].[All]" dimensionUniqueName="[DimAccountUsageLevel]" displayFolder="" count="0" unbalanced="0"/>
    <cacheHierarchy uniqueName="[DimAccountUsageLevel].[ServiceAgreementTypeCode]" caption="ServiceAgreementTypeCode" attribute="1" defaultMemberUniqueName="[DimAccountUsageLevel].[ServiceAgreementTypeCode].[All]" allUniqueName="[DimAccountUsageLevel].[ServiceAgreementTypeCode].[All]" dimensionUniqueName="[DimAccountUsageLevel]" displayFolder="" count="0" unbalanced="0"/>
    <cacheHierarchy uniqueName="[DimAccountUsageLevel].[ServiceAgreementTypeDesc]" caption="ServiceAgreementTypeDesc" attribute="1" defaultMemberUniqueName="[DimAccountUsageLevel].[ServiceAgreementTypeDesc].[All]" allUniqueName="[DimAccountUsageLevel].[ServiceAgreementTypeDesc].[All]" dimensionUniqueName="[DimAccountUsageLevel]" displayFolder="" count="0" unbalanced="0"/>
    <cacheHierarchy uniqueName="[DimAccountUsageLevel].[Usage Tier]" caption="Usage Tier" attribute="1" defaultMemberUniqueName="[DimAccountUsageLevel].[Usage Tier].[All]" allUniqueName="[DimAccountUsageLevel].[Usage Tier].[All]" dimensionUniqueName="[DimAccountUsageLevel]" displayFolder="" count="0" unbalanced="0"/>
    <cacheHierarchy uniqueName="[DimAccountUsageLevel].[UsageTierOrder]" caption="UsageTierOrder" attribute="1" defaultMemberUniqueName="[DimAccountUsageLevel].[UsageTierOrder].[All]" allUniqueName="[DimAccountUsageLevel].[UsageTierOrder].[All]" dimensionUniqueName="[DimAccountUsageLevel]" displayFolder="" count="0" unbalanced="0"/>
    <cacheHierarchy uniqueName="[DimAccountUsageLevel].[UsageTotal]" caption="UsageTotal" attribute="1" defaultMemberUniqueName="[DimAccountUsageLevel].[UsageTotal].[All]" allUniqueName="[DimAccountUsageLevel].[UsageTotal].[All]" dimensionUniqueName="[DimAccountUsageLevel]" displayFolder="" count="0" unbalanced="0"/>
    <cacheHierarchy uniqueName="[DimBuildingType].[Building Type Code]" caption="Building Type Code" attribute="1" defaultMemberUniqueName="[DimBuildingType].[Building Type Code].[All]" allUniqueName="[DimBuildingType].[Building Type Code].[All]" dimensionUniqueName="[DimBuildingType]" displayFolder="" count="0" unbalanced="0"/>
    <cacheHierarchy uniqueName="[DimBusinessAccountSegment].[AccountID]" caption="AccountID" attribute="1" defaultMemberUniqueName="[DimBusinessAccountSegment].[AccountID].[All]" allUniqueName="[DimBusinessAccountSegment].[AccountID].[All]" dimensionUniqueName="[DimBusinessAccountSegment]" displayFolder="" count="0" unbalanced="0"/>
    <cacheHierarchy uniqueName="[DimBusinessAccountSegment].[AllNAICSCodes]" caption="AllNAICSCodes" attribute="1" defaultMemberUniqueName="[DimBusinessAccountSegment].[AllNAICSCodes].[All]" allUniqueName="[DimBusinessAccountSegment].[AllNAICSCodes].[All]" dimensionUniqueName="[DimBusinessAccountSegment]" displayFolder="" count="0" unbalanced="0"/>
    <cacheHierarchy uniqueName="[DimBusinessAccountSegment].[AllUSSICCodes]" caption="AllUSSICCodes" attribute="1" defaultMemberUniqueName="[DimBusinessAccountSegment].[AllUSSICCodes].[All]" allUniqueName="[DimBusinessAccountSegment].[AllUSSICCodes].[All]" dimensionUniqueName="[DimBusinessAccountSegment]" displayFolder="" count="0" unbalanced="0"/>
    <cacheHierarchy uniqueName="[DimBusinessAccountSegment].[BusinessName]" caption="BusinessName" attribute="1" defaultMemberUniqueName="[DimBusinessAccountSegment].[BusinessName].[All]" allUniqueName="[DimBusinessAccountSegment].[BusinessName].[All]" dimensionUniqueName="[DimBusinessAccountSegment]" displayFolder="" count="0" unbalanced="0"/>
    <cacheHierarchy uniqueName="[DimBusinessAccountSegment].[CompanyName]" caption="CompanyName" attribute="1" defaultMemberUniqueName="[DimBusinessAccountSegment].[CompanyName].[All]" allUniqueName="[DimBusinessAccountSegment].[CompanyName].[All]" dimensionUniqueName="[DimBusinessAccountSegment]" displayFolder="" count="0" unbalanced="0"/>
    <cacheHierarchy uniqueName="[DimBusinessAccountSegment].[DNBPrescreenScore]" caption="DNBPrescreenScore" attribute="1" defaultMemberUniqueName="[DimBusinessAccountSegment].[DNBPrescreenScore].[All]" allUniqueName="[DimBusinessAccountSegment].[DNBPrescreenScore].[All]" dimensionUniqueName="[DimBusinessAccountSegment]" displayFolder="" count="0" unbalanced="0"/>
    <cacheHierarchy uniqueName="[DimBusinessAccountSegment].[FacilitySizeSqFt]" caption="FacilitySizeSqFt" attribute="1" defaultMemberUniqueName="[DimBusinessAccountSegment].[FacilitySizeSqFt].[All]" allUniqueName="[DimBusinessAccountSegment].[FacilitySizeSqFt].[All]" dimensionUniqueName="[DimBusinessAccountSegment]" displayFolder="" count="0" unbalanced="0"/>
    <cacheHierarchy uniqueName="[DimBusinessAccountSegment].[LineOfBusiness]" caption="LineOfBusiness" attribute="1" defaultMemberUniqueName="[DimBusinessAccountSegment].[LineOfBusiness].[All]" allUniqueName="[DimBusinessAccountSegment].[LineOfBusiness].[All]" dimensionUniqueName="[DimBusinessAccountSegment]" displayFolder="" count="0" unbalanced="0"/>
    <cacheHierarchy uniqueName="[DimBusinessAccountSegment].[LocationType]" caption="LocationType" attribute="1" defaultMemberUniqueName="[DimBusinessAccountSegment].[LocationType].[All]" allUniqueName="[DimBusinessAccountSegment].[LocationType].[All]" dimensionUniqueName="[DimBusinessAccountSegment]" displayFolder="" count="0" unbalanced="0"/>
    <cacheHierarchy uniqueName="[DimBusinessAccountSegment].[Manufacturing]" caption="Manufacturing" attribute="1" defaultMemberUniqueName="[DimBusinessAccountSegment].[Manufacturing].[All]" allUniqueName="[DimBusinessAccountSegment].[Manufacturing].[All]" dimensionUniqueName="[DimBusinessAccountSegment]" displayFolder="" count="0" unbalanced="0"/>
    <cacheHierarchy uniqueName="[DimBusinessAccountSegment].[MinorityOwned]" caption="MinorityOwned" attribute="1" defaultMemberUniqueName="[DimBusinessAccountSegment].[MinorityOwned].[All]" allUniqueName="[DimBusinessAccountSegment].[MinorityOwned].[All]" dimensionUniqueName="[DimBusinessAccountSegment]" displayFolder="" count="0" unbalanced="0"/>
    <cacheHierarchy uniqueName="[DimBusinessAccountSegment].[PhoneNumber]" caption="PhoneNumber" attribute="1" defaultMemberUniqueName="[DimBusinessAccountSegment].[PhoneNumber].[All]" allUniqueName="[DimBusinessAccountSegment].[PhoneNumber].[All]" dimensionUniqueName="[DimBusinessAccountSegment]" displayFolder="" count="0" unbalanced="0"/>
    <cacheHierarchy uniqueName="[DimBusinessAccountSegment].[PrimaryAddress1]" caption="PrimaryAddress1" attribute="1" defaultMemberUniqueName="[DimBusinessAccountSegment].[PrimaryAddress1].[All]" allUniqueName="[DimBusinessAccountSegment].[PrimaryAddress1].[All]" dimensionUniqueName="[DimBusinessAccountSegment]" displayFolder="" count="0" unbalanced="0"/>
    <cacheHierarchy uniqueName="[DimBusinessAccountSegment].[PrimaryAddress2]" caption="PrimaryAddress2" attribute="1" defaultMemberUniqueName="[DimBusinessAccountSegment].[PrimaryAddress2].[All]" allUniqueName="[DimBusinessAccountSegment].[PrimaryAddress2].[All]" dimensionUniqueName="[DimBusinessAccountSegment]" displayFolder="" count="0" unbalanced="0"/>
    <cacheHierarchy uniqueName="[DimBusinessAccountSegment].[PrimaryCity]" caption="PrimaryCity" attribute="1" defaultMemberUniqueName="[DimBusinessAccountSegment].[PrimaryCity].[All]" allUniqueName="[DimBusinessAccountSegment].[PrimaryCity].[All]" dimensionUniqueName="[DimBusinessAccountSegment]" displayFolder="" count="0" unbalanced="0"/>
    <cacheHierarchy uniqueName="[DimBusinessAccountSegment].[PrimaryCounty]" caption="PrimaryCounty" attribute="1" defaultMemberUniqueName="[DimBusinessAccountSegment].[PrimaryCounty].[All]" allUniqueName="[DimBusinessAccountSegment].[PrimaryCounty].[All]" dimensionUniqueName="[DimBusinessAccountSegment]" displayFolder="" count="0" unbalanced="0"/>
    <cacheHierarchy uniqueName="[DimBusinessAccountSegment].[PrimaryIndustry]" caption="PrimaryIndustry" attribute="1" defaultMemberUniqueName="[DimBusinessAccountSegment].[PrimaryIndustry].[All]" allUniqueName="[DimBusinessAccountSegment].[PrimaryIndustry].[All]" dimensionUniqueName="[DimBusinessAccountSegment]" displayFolder="" count="0" unbalanced="0"/>
    <cacheHierarchy uniqueName="[DimBusinessAccountSegment].[PrimaryState]" caption="PrimaryState" attribute="1" defaultMemberUniqueName="[DimBusinessAccountSegment].[PrimaryState].[All]" allUniqueName="[DimBusinessAccountSegment].[PrimaryState].[All]" dimensionUniqueName="[DimBusinessAccountSegment]" displayFolder="" count="0" unbalanced="0"/>
    <cacheHierarchy uniqueName="[DimBusinessAccountSegment].[PrimaryUSNAICSCode]" caption="PrimaryUSNAICSCode" attribute="1" defaultMemberUniqueName="[DimBusinessAccountSegment].[PrimaryUSNAICSCode].[All]" allUniqueName="[DimBusinessAccountSegment].[PrimaryUSNAICSCode].[All]" dimensionUniqueName="[DimBusinessAccountSegment]" displayFolder="" count="0" unbalanced="0"/>
    <cacheHierarchy uniqueName="[DimBusinessAccountSegment].[PrimaryUSNAICSCodeDescription]" caption="PrimaryUSNAICSCodeDescription" attribute="1" defaultMemberUniqueName="[DimBusinessAccountSegment].[PrimaryUSNAICSCodeDescription].[All]" allUniqueName="[DimBusinessAccountSegment].[PrimaryUSNAICSCodeDescription].[All]" dimensionUniqueName="[DimBusinessAccountSegment]" displayFolder="" count="0" unbalanced="0"/>
    <cacheHierarchy uniqueName="[DimBusinessAccountSegment].[PrimaryUSSICCode]" caption="PrimaryUSSICCode" attribute="1" defaultMemberUniqueName="[DimBusinessAccountSegment].[PrimaryUSSICCode].[All]" allUniqueName="[DimBusinessAccountSegment].[PrimaryUSSICCode].[All]" dimensionUniqueName="[DimBusinessAccountSegment]" displayFolder="" count="0" unbalanced="0"/>
    <cacheHierarchy uniqueName="[DimBusinessAccountSegment].[PrimaryZip]" caption="PrimaryZip" attribute="1" defaultMemberUniqueName="[DimBusinessAccountSegment].[PrimaryZip].[All]" allUniqueName="[DimBusinessAccountSegment].[PrimaryZip].[All]" dimensionUniqueName="[DimBusinessAccountSegment]" displayFolder="" count="0" unbalanced="0"/>
    <cacheHierarchy uniqueName="[DimBusinessAccountSegment].[PrimaryZipExt]" caption="PrimaryZipExt" attribute="1" defaultMemberUniqueName="[DimBusinessAccountSegment].[PrimaryZipExt].[All]" allUniqueName="[DimBusinessAccountSegment].[PrimaryZipExt].[All]" dimensionUniqueName="[DimBusinessAccountSegment]" displayFolder="" count="0" unbalanced="0"/>
    <cacheHierarchy uniqueName="[DimBusinessAccountSegment].[RevenueGrowth]" caption="RevenueGrowth" attribute="1" defaultMemberUniqueName="[DimBusinessAccountSegment].[RevenueGrowth].[All]" allUniqueName="[DimBusinessAccountSegment].[RevenueGrowth].[All]" dimensionUniqueName="[DimBusinessAccountSegment]" displayFolder="" count="0" unbalanced="0"/>
    <cacheHierarchy uniqueName="[DimBusinessAccountSegment].[Revenues]" caption="Revenues" attribute="1" defaultMemberUniqueName="[DimBusinessAccountSegment].[Revenues].[All]" allUniqueName="[DimBusinessAccountSegment].[Revenues].[All]" dimensionUniqueName="[DimBusinessAccountSegment]" displayFolder="" count="0" unbalanced="0"/>
    <cacheHierarchy uniqueName="[DimBusinessAccountSegment].[Subsidiary]" caption="Subsidiary" attribute="1" defaultMemberUniqueName="[DimBusinessAccountSegment].[Subsidiary].[All]" allUniqueName="[DimBusinessAccountSegment].[Subsidiary].[All]" dimensionUniqueName="[DimBusinessAccountSegment]" displayFolder="" count="0" unbalanced="0"/>
    <cacheHierarchy uniqueName="[DimBusinessAccountSegment].[WomenOwned]" caption="WomenOwned" attribute="1" defaultMemberUniqueName="[DimBusinessAccountSegment].[WomenOwned].[All]" allUniqueName="[DimBusinessAccountSegment].[WomenOwned].[All]" dimensionUniqueName="[DimBusinessAccountSegment]" displayFolder="" count="0" unbalanced="0"/>
    <cacheHierarchy uniqueName="[DimBusinessAccountSegment].[YearofFounding]" caption="YearofFounding" attribute="1" defaultMemberUniqueName="[DimBusinessAccountSegment].[YearofFounding].[All]" allUniqueName="[DimBusinessAccountSegment].[YearofFounding].[All]" dimensionUniqueName="[DimBusinessAccountSegment]" displayFolder="" count="0" unbalanced="0"/>
    <cacheHierarchy uniqueName="[DimBusinessPremiseSegment].[AbsenteeOwnerIndicator]" caption="AbsenteeOwnerIndicator" attribute="1" defaultMemberUniqueName="[DimBusinessPremiseSegment].[AbsenteeOwnerIndicator].[All]" allUniqueName="[DimBusinessPremiseSegment].[AbsenteeOwnerIndicator].[All]" dimensionUniqueName="[DimBusinessPremiseSegment]" displayFolder="" count="0" unbalanced="0"/>
    <cacheHierarchy uniqueName="[DimBusinessPremiseSegment].[BasementSqFootage]" caption="BasementSqFootage" attribute="1" defaultMemberUniqueName="[DimBusinessPremiseSegment].[BasementSqFootage].[All]" allUniqueName="[DimBusinessPremiseSegment].[BasementSqFootage].[All]" dimensionUniqueName="[DimBusinessPremiseSegment]" displayFolder="" count="0" unbalanced="0"/>
    <cacheHierarchy uniqueName="[DimBusinessPremiseSegment].[BasementType]" caption="BasementType" attribute="1" defaultMemberUniqueName="[DimBusinessPremiseSegment].[BasementType].[All]" allUniqueName="[DimBusinessPremiseSegment].[BasementType].[All]" dimensionUniqueName="[DimBusinessPremiseSegment]" displayFolder="" count="0" unbalanced="0"/>
    <cacheHierarchy uniqueName="[DimBusinessPremiseSegment].[BuildingSquareFeet]" caption="BuildingSquareFeet" attribute="1" defaultMemberUniqueName="[DimBusinessPremiseSegment].[BuildingSquareFeet].[All]" allUniqueName="[DimBusinessPremiseSegment].[BuildingSquareFeet].[All]" dimensionUniqueName="[DimBusinessPremiseSegment]" displayFolder="" count="0" unbalanced="0"/>
    <cacheHierarchy uniqueName="[DimBusinessPremiseSegment].[BuildingSquareFootage]" caption="BuildingSquareFootage" attribute="1" defaultMemberUniqueName="[DimBusinessPremiseSegment].[BuildingSquareFootage].[All]" allUniqueName="[DimBusinessPremiseSegment].[BuildingSquareFootage].[All]" dimensionUniqueName="[DimBusinessPremiseSegment]" displayFolder="" count="0" unbalanced="0"/>
    <cacheHierarchy uniqueName="[DimBusinessPremiseSegment].[BuildingType]" caption="BuildingType" attribute="1" defaultMemberUniqueName="[DimBusinessPremiseSegment].[BuildingType].[All]" allUniqueName="[DimBusinessPremiseSegment].[BuildingType].[All]" dimensionUniqueName="[DimBusinessPremiseSegment]" displayFolder="" count="0" unbalanced="0"/>
    <cacheHierarchy uniqueName="[DimBusinessPremiseSegment].[BusinessOwnerIndicator]" caption="BusinessOwnerIndicator" attribute="1" defaultMemberUniqueName="[DimBusinessPremiseSegment].[BusinessOwnerIndicator].[All]" allUniqueName="[DimBusinessPremiseSegment].[BusinessOwnerIndicator].[All]" dimensionUniqueName="[DimBusinessPremiseSegment]" displayFolder="" count="0" unbalanced="0"/>
    <cacheHierarchy uniqueName="[DimBusinessPremiseSegment].[EffectiveYearBuilt]" caption="EffectiveYearBuilt" attribute="1" defaultMemberUniqueName="[DimBusinessPremiseSegment].[EffectiveYearBuilt].[All]" allUniqueName="[DimBusinessPremiseSegment].[EffectiveYearBuilt].[All]" dimensionUniqueName="[DimBusinessPremiseSegment]" displayFolder="" count="0" unbalanced="0"/>
    <cacheHierarchy uniqueName="[DimBusinessPremiseSegment].[EquityInProperty]" caption="EquityInProperty" attribute="1" defaultMemberUniqueName="[DimBusinessPremiseSegment].[EquityInProperty].[All]" allUniqueName="[DimBusinessPremiseSegment].[EquityInProperty].[All]" dimensionUniqueName="[DimBusinessPremiseSegment]" displayFolder="" count="0" unbalanced="0"/>
    <cacheHierarchy uniqueName="[DimBusinessPremiseSegment].[ExteriorWallsType]" caption="ExteriorWallsType" attribute="1" defaultMemberUniqueName="[DimBusinessPremiseSegment].[ExteriorWallsType].[All]" allUniqueName="[DimBusinessPremiseSegment].[ExteriorWallsType].[All]" dimensionUniqueName="[DimBusinessPremiseSegment]" displayFolder="" count="0" unbalanced="0"/>
    <cacheHierarchy uniqueName="[DimBusinessPremiseSegment].[FloorConstructionType]" caption="FloorConstructionType" attribute="1" defaultMemberUniqueName="[DimBusinessPremiseSegment].[FloorConstructionType].[All]" allUniqueName="[DimBusinessPremiseSegment].[FloorConstructionType].[All]" dimensionUniqueName="[DimBusinessPremiseSegment]" displayFolder="" count="0" unbalanced="0"/>
    <cacheHierarchy uniqueName="[DimBusinessPremiseSegment].[HeatingFuelType]" caption="HeatingFuelType" attribute="1" defaultMemberUniqueName="[DimBusinessPremiseSegment].[HeatingFuelType].[All]" allUniqueName="[DimBusinessPremiseSegment].[HeatingFuelType].[All]" dimensionUniqueName="[DimBusinessPremiseSegment]" displayFolder="" count="0" unbalanced="0"/>
    <cacheHierarchy uniqueName="[DimBusinessPremiseSegment].[LandSquareFeet]" caption="LandSquareFeet" attribute="1" defaultMemberUniqueName="[DimBusinessPremiseSegment].[LandSquareFeet].[All]" allUniqueName="[DimBusinessPremiseSegment].[LandSquareFeet].[All]" dimensionUniqueName="[DimBusinessPremiseSegment]" displayFolder="" count="0" unbalanced="0"/>
    <cacheHierarchy uniqueName="[DimBusinessPremiseSegment].[LandUseCode]" caption="LandUseCode" attribute="1" defaultMemberUniqueName="[DimBusinessPremiseSegment].[LandUseCode].[All]" allUniqueName="[DimBusinessPremiseSegment].[LandUseCode].[All]" dimensionUniqueName="[DimBusinessPremiseSegment]" displayFolder="" count="0" unbalanced="0"/>
    <cacheHierarchy uniqueName="[DimBusinessPremiseSegment].[Latitude]" caption="Latitude" attribute="1" defaultMemberUniqueName="[DimBusinessPremiseSegment].[Latitude].[All]" allUniqueName="[DimBusinessPremiseSegment].[Latitude].[All]" dimensionUniqueName="[DimBusinessPremiseSegment]" displayFolder="" count="0" unbalanced="0"/>
    <cacheHierarchy uniqueName="[DimBusinessPremiseSegment].[LivingSquarefeet]" caption="LivingSquarefeet" attribute="1" defaultMemberUniqueName="[DimBusinessPremiseSegment].[LivingSquarefeet].[All]" allUniqueName="[DimBusinessPremiseSegment].[LivingSquarefeet].[All]" dimensionUniqueName="[DimBusinessPremiseSegment]" displayFolder="" count="0" unbalanced="0"/>
    <cacheHierarchy uniqueName="[DimBusinessPremiseSegment].[Longitude]" caption="Longitude" attribute="1" defaultMemberUniqueName="[DimBusinessPremiseSegment].[Longitude].[All]" allUniqueName="[DimBusinessPremiseSegment].[Longitude].[All]" dimensionUniqueName="[DimBusinessPremiseSegment]" displayFolder="" count="0" unbalanced="0"/>
    <cacheHierarchy uniqueName="[DimBusinessPremiseSegment].[MethodofHeating]" caption="MethodofHeating" attribute="1" defaultMemberUniqueName="[DimBusinessPremiseSegment].[MethodofHeating].[All]" allUniqueName="[DimBusinessPremiseSegment].[MethodofHeating].[All]" dimensionUniqueName="[DimBusinessPremiseSegment]" displayFolder="" count="0" unbalanced="0"/>
    <cacheHierarchy uniqueName="[DimBusinessPremiseSegment].[NameofMunicipality]" caption="NameofMunicipality" attribute="1" defaultMemberUniqueName="[DimBusinessPremiseSegment].[NameofMunicipality].[All]" allUniqueName="[DimBusinessPremiseSegment].[NameofMunicipality].[All]" dimensionUniqueName="[DimBusinessPremiseSegment]" displayFolder="" count="0" unbalanced="0"/>
    <cacheHierarchy uniqueName="[DimBusinessPremiseSegment].[NumberofBuildings]" caption="NumberofBuildings" attribute="1" defaultMemberUniqueName="[DimBusinessPremiseSegment].[NumberofBuildings].[All]" allUniqueName="[DimBusinessPremiseSegment].[NumberofBuildings].[All]" dimensionUniqueName="[DimBusinessPremiseSegment]" displayFolder="" count="0" unbalanced="0"/>
    <cacheHierarchy uniqueName="[DimBusinessPremiseSegment].[NumberofFireplaceOpenings]" caption="NumberofFireplaceOpenings" attribute="1" defaultMemberUniqueName="[DimBusinessPremiseSegment].[NumberofFireplaceOpenings].[All]" allUniqueName="[DimBusinessPremiseSegment].[NumberofFireplaceOpenings].[All]" dimensionUniqueName="[DimBusinessPremiseSegment]" displayFolder="" count="0" unbalanced="0"/>
    <cacheHierarchy uniqueName="[DimBusinessPremiseSegment].[NumberofStories]" caption="NumberofStories" attribute="1" defaultMemberUniqueName="[DimBusinessPremiseSegment].[NumberofStories].[All]" allUniqueName="[DimBusinessPremiseSegment].[NumberofStories].[All]" dimensionUniqueName="[DimBusinessPremiseSegment]" displayFolder="" count="0" unbalanced="0"/>
    <cacheHierarchy uniqueName="[DimBusinessPremiseSegment].[NumberofStoriesinBuilding]" caption="NumberofStoriesinBuilding" attribute="1" defaultMemberUniqueName="[DimBusinessPremiseSegment].[NumberofStoriesinBuilding].[All]" allUniqueName="[DimBusinessPremiseSegment].[NumberofStoriesinBuilding].[All]" dimensionUniqueName="[DimBusinessPremiseSegment]" displayFolder="" count="0" unbalanced="0"/>
    <cacheHierarchy uniqueName="[DimBusinessPremiseSegment].[OwnerType]" caption="OwnerType" attribute="1" defaultMemberUniqueName="[DimBusinessPremiseSegment].[OwnerType].[All]" allUniqueName="[DimBusinessPremiseSegment].[OwnerType].[All]" dimensionUniqueName="[DimBusinessPremiseSegment]" displayFolder="" count="0" unbalanced="0"/>
    <cacheHierarchy uniqueName="[DimBusinessPremiseSegment].[PoolType]" caption="PoolType" attribute="1" defaultMemberUniqueName="[DimBusinessPremiseSegment].[PoolType].[All]" allUniqueName="[DimBusinessPremiseSegment].[PoolType].[All]" dimensionUniqueName="[DimBusinessPremiseSegment]" displayFolder="" count="0" unbalanced="0"/>
    <cacheHierarchy uniqueName="[DimBusinessPremiseSegment].[PresenceofFireplace]" caption="PresenceofFireplace" attribute="1" defaultMemberUniqueName="[DimBusinessPremiseSegment].[PresenceofFireplace].[All]" allUniqueName="[DimBusinessPremiseSegment].[PresenceofFireplace].[All]" dimensionUniqueName="[DimBusinessPremiseSegment]" displayFolder="" count="0" unbalanced="0"/>
    <cacheHierarchy uniqueName="[DimBusinessPremiseSegment].[PresenceofPool]" caption="PresenceofPool" attribute="1" defaultMemberUniqueName="[DimBusinessPremiseSegment].[PresenceofPool].[All]" allUniqueName="[DimBusinessPremiseSegment].[PresenceofPool].[All]" dimensionUniqueName="[DimBusinessPremiseSegment]" displayFolder="" count="0" unbalanced="0"/>
    <cacheHierarchy uniqueName="[DimBusinessPremiseSegment].[PrimaryImprovementType]" caption="PrimaryImprovementType" attribute="1" defaultMemberUniqueName="[DimBusinessPremiseSegment].[PrimaryImprovementType].[All]" allUniqueName="[DimBusinessPremiseSegment].[PrimaryImprovementType].[All]" dimensionUniqueName="[DimBusinessPremiseSegment]" displayFolder="" count="0" unbalanced="0"/>
    <cacheHierarchy uniqueName="[DimBusinessPremiseSegment].[PropertyCondition]" caption="PropertyCondition" attribute="1" defaultMemberUniqueName="[DimBusinessPremiseSegment].[PropertyCondition].[All]" allUniqueName="[DimBusinessPremiseSegment].[PropertyCondition].[All]" dimensionUniqueName="[DimBusinessPremiseSegment]" displayFolder="" count="0" unbalanced="0"/>
    <cacheHierarchy uniqueName="[DimBusinessPremiseSegment].[PropertyTypeIndicator]" caption="PropertyTypeIndicator" attribute="1" defaultMemberUniqueName="[DimBusinessPremiseSegment].[PropertyTypeIndicator].[All]" allUniqueName="[DimBusinessPremiseSegment].[PropertyTypeIndicator].[All]" dimensionUniqueName="[DimBusinessPremiseSegment]" displayFolder="" count="0" unbalanced="0"/>
    <cacheHierarchy uniqueName="[DimBusinessPremiseSegment].[RefiType]" caption="RefiType" attribute="1" defaultMemberUniqueName="[DimBusinessPremiseSegment].[RefiType].[All]" allUniqueName="[DimBusinessPremiseSegment].[RefiType].[All]" dimensionUniqueName="[DimBusinessPremiseSegment]" displayFolder="" count="0" unbalanced="0"/>
    <cacheHierarchy uniqueName="[DimBusinessPremiseSegment].[ResidentialBased]" caption="ResidentialBased" attribute="1" defaultMemberUniqueName="[DimBusinessPremiseSegment].[ResidentialBased].[All]" allUniqueName="[DimBusinessPremiseSegment].[ResidentialBased].[All]" dimensionUniqueName="[DimBusinessPremiseSegment]" displayFolder="" count="0" unbalanced="0"/>
    <cacheHierarchy uniqueName="[DimBusinessPremiseSegment].[RoofType]" caption="RoofType" attribute="1" defaultMemberUniqueName="[DimBusinessPremiseSegment].[RoofType].[All]" allUniqueName="[DimBusinessPremiseSegment].[RoofType].[All]" dimensionUniqueName="[DimBusinessPremiseSegment]" displayFolder="" count="0" unbalanced="0"/>
    <cacheHierarchy uniqueName="[DimBusinessPremiseSegment].[SaleDate]" caption="SaleDate" attribute="1" defaultMemberUniqueName="[DimBusinessPremiseSegment].[SaleDate].[All]" allUniqueName="[DimBusinessPremiseSegment].[SaleDate].[All]" dimensionUniqueName="[DimBusinessPremiseSegment]" displayFolder="" count="0" unbalanced="0"/>
    <cacheHierarchy uniqueName="[DimBusinessPremiseSegment].[SaleYear]" caption="SaleYear" attribute="1" defaultMemberUniqueName="[DimBusinessPremiseSegment].[SaleYear].[All]" allUniqueName="[DimBusinessPremiseSegment].[SaleYear].[All]" dimensionUniqueName="[DimBusinessPremiseSegment]" displayFolder="" count="0" unbalanced="0"/>
    <cacheHierarchy uniqueName="[DimBusinessPremiseSegment].[SellPrice]" caption="SellPrice" attribute="1" defaultMemberUniqueName="[DimBusinessPremiseSegment].[SellPrice].[All]" allUniqueName="[DimBusinessPremiseSegment].[SellPrice].[All]" dimensionUniqueName="[DimBusinessPremiseSegment]" displayFolder="" count="0" unbalanced="0"/>
    <cacheHierarchy uniqueName="[DimBusinessPremiseSegment].[SewerType]" caption="SewerType" attribute="1" defaultMemberUniqueName="[DimBusinessPremiseSegment].[SewerType].[All]" allUniqueName="[DimBusinessPremiseSegment].[SewerType].[All]" dimensionUniqueName="[DimBusinessPremiseSegment]" displayFolder="" count="0" unbalanced="0"/>
    <cacheHierarchy uniqueName="[DimBusinessPremiseSegment].[SiteAddressIndicator]" caption="SiteAddressIndicator" attribute="1" defaultMemberUniqueName="[DimBusinessPremiseSegment].[SiteAddressIndicator].[All]" allUniqueName="[DimBusinessPremiseSegment].[SiteAddressIndicator].[All]" dimensionUniqueName="[DimBusinessPremiseSegment]" displayFolder="" count="0" unbalanced="0"/>
    <cacheHierarchy uniqueName="[DimBusinessPremiseSegment].[SiteAddressUnitNumber]" caption="SiteAddressUnitNumber" attribute="1" defaultMemberUniqueName="[DimBusinessPremiseSegment].[SiteAddressUnitNumber].[All]" allUniqueName="[DimBusinessPremiseSegment].[SiteAddressUnitNumber].[All]" dimensionUniqueName="[DimBusinessPremiseSegment]" displayFolder="" count="0" unbalanced="0"/>
    <cacheHierarchy uniqueName="[DimBusinessPremiseSegment].[SquareFootTypeIndicator]" caption="SquareFootTypeIndicator" attribute="1" defaultMemberUniqueName="[DimBusinessPremiseSegment].[SquareFootTypeIndicator].[All]" allUniqueName="[DimBusinessPremiseSegment].[SquareFootTypeIndicator].[All]" dimensionUniqueName="[DimBusinessPremiseSegment]" displayFolder="" count="0" unbalanced="0"/>
    <cacheHierarchy uniqueName="[DimBusinessPremiseSegment].[StyleIndicator]" caption="StyleIndicator" attribute="1" defaultMemberUniqueName="[DimBusinessPremiseSegment].[StyleIndicator].[All]" allUniqueName="[DimBusinessPremiseSegment].[StyleIndicator].[All]" dimensionUniqueName="[DimBusinessPremiseSegment]" displayFolder="" count="0" unbalanced="0"/>
    <cacheHierarchy uniqueName="[DimBusinessPremiseSegment].[TotalMarketValue]" caption="TotalMarketValue" attribute="1" defaultMemberUniqueName="[DimBusinessPremiseSegment].[TotalMarketValue].[All]" allUniqueName="[DimBusinessPremiseSegment].[TotalMarketValue].[All]" dimensionUniqueName="[DimBusinessPremiseSegment]" displayFolder="" count="0" unbalanced="0"/>
    <cacheHierarchy uniqueName="[DimBusinessPremiseSegment].[TypeofElectricity]" caption="TypeofElectricity" attribute="1" defaultMemberUniqueName="[DimBusinessPremiseSegment].[TypeofElectricity].[All]" allUniqueName="[DimBusinessPremiseSegment].[TypeofElectricity].[All]" dimensionUniqueName="[DimBusinessPremiseSegment]" displayFolder="" count="0" unbalanced="0"/>
    <cacheHierarchy uniqueName="[DimBusinessPremiseSegment].[TypeofFireplace]" caption="TypeofFireplace" attribute="1" defaultMemberUniqueName="[DimBusinessPremiseSegment].[TypeofFireplace].[All]" allUniqueName="[DimBusinessPremiseSegment].[TypeofFireplace].[All]" dimensionUniqueName="[DimBusinessPremiseSegment]" displayFolder="" count="0" unbalanced="0"/>
    <cacheHierarchy uniqueName="[DimBusinessPremiseSegment].[TypeofFoundation]" caption="TypeofFoundation" attribute="1" defaultMemberUniqueName="[DimBusinessPremiseSegment].[TypeofFoundation].[All]" allUniqueName="[DimBusinessPremiseSegment].[TypeofFoundation].[All]" dimensionUniqueName="[DimBusinessPremiseSegment]" displayFolder="" count="0" unbalanced="0"/>
    <cacheHierarchy uniqueName="[DimBusinessPremiseSegment].[TypeofGarage]" caption="TypeofGarage" attribute="1" defaultMemberUniqueName="[DimBusinessPremiseSegment].[TypeofGarage].[All]" allUniqueName="[DimBusinessPremiseSegment].[TypeofGarage].[All]" dimensionUniqueName="[DimBusinessPremiseSegment]" displayFolder="" count="0" unbalanced="0"/>
    <cacheHierarchy uniqueName="[DimBusinessPremiseSegment].[TypeofRoofFraming]" caption="TypeofRoofFraming" attribute="1" defaultMemberUniqueName="[DimBusinessPremiseSegment].[TypeofRoofFraming].[All]" allUniqueName="[DimBusinessPremiseSegment].[TypeofRoofFraming].[All]" dimensionUniqueName="[DimBusinessPremiseSegment]" displayFolder="" count="0" unbalanced="0"/>
    <cacheHierarchy uniqueName="[DimBusinessPremiseSegment].[WaterSupplyType]" caption="WaterSupplyType" attribute="1" defaultMemberUniqueName="[DimBusinessPremiseSegment].[WaterSupplyType].[All]" allUniqueName="[DimBusinessPremiseSegment].[WaterSupplyType].[All]" dimensionUniqueName="[DimBusinessPremiseSegment]" displayFolder="" count="0" unbalanced="0"/>
    <cacheHierarchy uniqueName="[DimBusinessPremiseSegment].[YearBuilt]" caption="YearBuilt" attribute="1" defaultMemberUniqueName="[DimBusinessPremiseSegment].[YearBuilt].[All]" allUniqueName="[DimBusinessPremiseSegment].[YearBuilt].[All]" dimensionUniqueName="[DimBusinessPremiseSegment]" displayFolder="" count="0" unbalanced="0"/>
    <cacheHierarchy uniqueName="[DimContactMailer].[Mailer Name]" caption="Mailer Name" attribute="1" defaultMemberUniqueName="[DimContactMailer].[Mailer Name].[All]" allUniqueName="[DimContactMailer].[Mailer Name].[All]" dimensionUniqueName="[DimContactMailer]" displayFolder="" count="0" unbalanced="0"/>
    <cacheHierarchy uniqueName="[DimCustomerSelectSupplier].[Customer Select Supplier Code]" caption="Customer Select Supplier Code" attribute="1" defaultMemberUniqueName="[DimCustomerSelectSupplier].[Customer Select Supplier Code].[All]" allUniqueName="[DimCustomerSelectSupplier].[Customer Select Supplier Code].[All]" dimensionUniqueName="[DimCustomerSelectSupplier]" displayFolder="" count="0" unbalanced="0"/>
    <cacheHierarchy uniqueName="[DimCustomerSelectSupplier].[Customer Select Supplier Name]" caption="Customer Select Supplier Name" attribute="1" defaultMemberUniqueName="[DimCustomerSelectSupplier].[Customer Select Supplier Name].[All]" allUniqueName="[DimCustomerSelectSupplier].[Customer Select Supplier Name].[All]" dimensionUniqueName="[DimCustomerSelectSupplier]" displayFolder="" count="0" unbalanced="0"/>
    <cacheHierarchy uniqueName="[DimDate].[CalendarDate]" caption="CalendarDate" attribute="1" time="1" keyAttribute="1" defaultMemberUniqueName="[DimDate].[CalendarDate].[All]" allUniqueName="[DimDate].[CalendarDate].[All]" dimensionUniqueName="[DimDate]" displayFolder="" count="0" memberValueDatatype="7" unbalanced="0"/>
    <cacheHierarchy uniqueName="[DimDate].[CalendarDayOfMonth]" caption="CalendarDayOfMonth" attribute="1" time="1" defaultMemberUniqueName="[DimDate].[CalendarDayOfMonth].[All]" allUniqueName="[DimDate].[CalendarDayOfMonth].[All]" dimensionUniqueName="[DimDate]" displayFolder="" count="0" unbalanced="0"/>
    <cacheHierarchy uniqueName="[DimDate].[CalendarDayOfWeek]" caption="CalendarDayOfWeek" attribute="1" time="1" defaultMemberUniqueName="[DimDate].[CalendarDayOfWeek].[All]" allUniqueName="[DimDate].[CalendarDayOfWeek].[All]" dimensionUniqueName="[DimDate]" displayFolder="" count="0" unbalanced="0"/>
    <cacheHierarchy uniqueName="[DimDate].[CalendarDayOfWeekName]" caption="CalendarDayOfWeekName" attribute="1" time="1" defaultMemberUniqueName="[DimDate].[CalendarDayOfWeekName].[All]" allUniqueName="[DimDate].[CalendarDayOfWeekName].[All]" dimensionUniqueName="[DimDate]" displayFolder="" count="0" unbalanced="0"/>
    <cacheHierarchy uniqueName="[DimDate].[CalendarDayOfYear]" caption="CalendarDayOfYear" attribute="1" time="1" defaultMemberUniqueName="[DimDate].[CalendarDayOfYear].[All]" allUniqueName="[DimDate].[CalendarDayOfYear].[All]" dimensionUniqueName="[DimDate]" displayFolder="" count="0" unbalanced="0"/>
    <cacheHierarchy uniqueName="[DimDate].[CalendarMonthName]" caption="CalendarMonthName" attribute="1" time="1" defaultMemberUniqueName="[DimDate].[CalendarMonthName].[All]" allUniqueName="[DimDate].[CalendarMonthName].[All]" dimensionUniqueName="[DimDate]" displayFolder="" count="0" unbalanced="0"/>
    <cacheHierarchy uniqueName="[DimDate].[CalendarMonthNumber]" caption="CalendarMonthNumber" attribute="1" time="1" defaultMemberUniqueName="[DimDate].[CalendarMonthNumber].[All]" allUniqueName="[DimDate].[CalendarMonthNumber].[All]" dimensionUniqueName="[DimDate]" displayFolder="" count="0" unbalanced="0"/>
    <cacheHierarchy uniqueName="[DimDate].[CalendarQuarter]" caption="CalendarQuarter" attribute="1" time="1" defaultMemberUniqueName="[DimDate].[CalendarQuarter].[All]" allUniqueName="[DimDate].[CalendarQuarter].[All]" dimensionUniqueName="[DimDate]" displayFolder="" count="0" unbalanced="0"/>
    <cacheHierarchy uniqueName="[DimDate].[CalendarSemester]" caption="CalendarSemester" attribute="1" time="1" defaultMemberUniqueName="[DimDate].[CalendarSemester].[All]" allUniqueName="[DimDate].[CalendarSemester].[All]" dimensionUniqueName="[DimDate]" displayFolder="" count="0" unbalanced="0"/>
    <cacheHierarchy uniqueName="[DimDate].[CalendarWeekOfMonth]" caption="CalendarWeekOfMonth" attribute="1" time="1" defaultMemberUniqueName="[DimDate].[CalendarWeekOfMonth].[All]" allUniqueName="[DimDate].[CalendarWeekOfMonth].[All]" dimensionUniqueName="[DimDate]" displayFolder="" count="0" unbalanced="0"/>
    <cacheHierarchy uniqueName="[DimDate].[CalendarWeekOfYear]" caption="CalendarWeekOfYear" attribute="1" time="1" defaultMemberUniqueName="[DimDate].[CalendarWeekOfYear].[All]" allUniqueName="[DimDate].[CalendarWeekOfYear].[All]" dimensionUniqueName="[DimDate]" displayFolder="" count="0" unbalanced="0"/>
    <cacheHierarchy uniqueName="[DimDate].[CalendarYear]" caption="CalendarYear" attribute="1" time="1" defaultMemberUniqueName="[DimDate].[CalendarYear].[All]" allUniqueName="[DimDate].[CalendarYear].[All]" dimensionUniqueName="[DimDate]" displayFolder="" count="2" unbalanced="0">
      <fieldsUsage count="2">
        <fieldUsage x="-1"/>
        <fieldUsage x="8"/>
      </fieldsUsage>
    </cacheHierarchy>
    <cacheHierarchy uniqueName="[DimDate].[CalendarYearMonthAsInteger]" caption="CalendarYearMonthAsInteger" attribute="1" time="1" defaultMemberUniqueName="[DimDate].[CalendarYearMonthAsInteger].[All]" allUniqueName="[DimDate].[CalendarYearMonthAsInteger].[All]" dimensionUniqueName="[DimDate]" displayFolder="" count="0" unbalanced="0"/>
    <cacheHierarchy uniqueName="[DimDate].[CalendarYearQuarterAsInteger]" caption="CalendarYearQuarterAsInteger" attribute="1" time="1" defaultMemberUniqueName="[DimDate].[CalendarYearQuarterAsInteger].[All]" allUniqueName="[DimDate].[CalendarYearQuarterAsInteger].[All]" dimensionUniqueName="[DimDate]" displayFolder="" count="0" unbalanced="0"/>
    <cacheHierarchy uniqueName="[DimDate].[CalendarYearSemesterAsInteger]" caption="CalendarYearSemesterAsInteger" attribute="1" time="1" defaultMemberUniqueName="[DimDate].[CalendarYearSemesterAsInteger].[All]" allUniqueName="[DimDate].[CalendarYearSemesterAsInteger].[All]" dimensionUniqueName="[DimDate]" displayFolder="" count="0" unbalanced="0"/>
    <cacheHierarchy uniqueName="[DimDate].[DateKey]" caption="DateKey" attribute="1" time="1" defaultMemberUniqueName="[DimDate].[DateKey].[All]" allUniqueName="[DimDate].[DateKey].[All]" dimensionUniqueName="[DimDate]" displayFolder="" count="0" unbalanced="0"/>
    <cacheHierarchy uniqueName="[DimDate].[HolidayIndicator]" caption="HolidayIndicator" attribute="1" time="1" defaultMemberUniqueName="[DimDate].[HolidayIndicator].[All]" allUniqueName="[DimDate].[HolidayIndicator].[All]" dimensionUniqueName="[DimDate]" displayFolder="" count="0" unbalanced="0"/>
    <cacheHierarchy uniqueName="[DimDate].[HolidayName]" caption="HolidayName" attribute="1" time="1" defaultMemberUniqueName="[DimDate].[HolidayName].[All]" allUniqueName="[DimDate].[HolidayName].[All]" dimensionUniqueName="[DimDate]" displayFolder="" count="0" unbalanced="0"/>
    <cacheHierarchy uniqueName="[DimDate].[LastDateOfCalendarMonth]" caption="LastDateOfCalendarMonth" attribute="1" time="1" defaultMemberUniqueName="[DimDate].[LastDateOfCalendarMonth].[All]" allUniqueName="[DimDate].[LastDateOfCalendarMonth].[All]" dimensionUniqueName="[DimDate]" displayFolder="" count="0" unbalanced="0"/>
    <cacheHierarchy uniqueName="[DimDate].[LastDayOfCalendarMonthIndicator]" caption="LastDayOfCalendarMonthIndicator" attribute="1" time="1" defaultMemberUniqueName="[DimDate].[LastDayOfCalendarMonthIndicator].[All]" allUniqueName="[DimDate].[LastDayOfCalendarMonthIndicator].[All]" dimensionUniqueName="[DimDate]" displayFolder="" count="0" unbalanced="0"/>
    <cacheHierarchy uniqueName="[DimDate].[PlanMonthNumber]" caption="PlanMonthNumber" attribute="1" time="1" defaultMemberUniqueName="[DimDate].[PlanMonthNumber].[All]" allUniqueName="[DimDate].[PlanMonthNumber].[All]" dimensionUniqueName="[DimDate]" displayFolder="" count="0" unbalanced="0"/>
    <cacheHierarchy uniqueName="[DimDate].[PlanQuarter]" caption="PlanQuarter" attribute="1" time="1" defaultMemberUniqueName="[DimDate].[PlanQuarter].[All]" allUniqueName="[DimDate].[PlanQuarter].[All]" dimensionUniqueName="[DimDate]" displayFolder="" count="0" unbalanced="0"/>
    <cacheHierarchy uniqueName="[DimDate].[ProgramQuarterAsInteger]" caption="ProgramQuarterAsInteger" attribute="1" time="1" defaultMemberUniqueName="[DimDate].[ProgramQuarterAsInteger].[All]" allUniqueName="[DimDate].[ProgramQuarterAsInteger].[All]" dimensionUniqueName="[DimDate]" displayFolder="" count="0" unbalanced="0"/>
    <cacheHierarchy uniqueName="[DimDate].[ProgramYear]" caption="ProgramYear" attribute="1" time="1" defaultMemberUniqueName="[DimDate].[ProgramYear].[All]" allUniqueName="[DimDate].[ProgramYear].[All]" dimensionUniqueName="[DimDate]" displayFolder="" count="0" unbalanced="0"/>
    <cacheHierarchy uniqueName="[DimDate].[ProgramYearSort]" caption="ProgramYearSort" attribute="1" time="1" defaultMemberUniqueName="[DimDate].[ProgramYearSort].[All]" allUniqueName="[DimDate].[ProgramYearSort].[All]" dimensionUniqueName="[DimDate]" displayFolder="" count="0" unbalanced="0"/>
    <cacheHierarchy uniqueName="[DimDate].[WeekdayWeekend]" caption="WeekdayWeekend" attribute="1" time="1" defaultMemberUniqueName="[DimDate].[WeekdayWeekend].[All]" allUniqueName="[DimDate].[WeekdayWeekend].[All]" dimensionUniqueName="[DimDate]" displayFolder="" count="0" unbalanced="0"/>
    <cacheHierarchy uniqueName="[DimDate].[WorkingDayIndicator]" caption="WorkingDayIndicator" attribute="1" time="1" defaultMemberUniqueName="[DimDate].[WorkingDayIndicator].[All]" allUniqueName="[DimDate].[WorkingDayIndicator].[All]" dimensionUniqueName="[DimDate]" displayFolder="" count="0" unbalanced="0"/>
    <cacheHierarchy uniqueName="[DimEquipmentCode].[Equipment Code]" caption="Equipment Code" attribute="1" defaultMemberUniqueName="[DimEquipmentCode].[Equipment Code].[All]" allUniqueName="[DimEquipmentCode].[Equipment Code].[All]" dimensionUniqueName="[DimEquipmentCode]" displayFolder="" count="0" unbalanced="0"/>
    <cacheHierarchy uniqueName="[DimEquipmentCode].[Equipment Description]" caption="Equipment Description" attribute="1" defaultMemberUniqueName="[DimEquipmentCode].[Equipment Description].[All]" allUniqueName="[DimEquipmentCode].[Equipment Description].[All]" dimensionUniqueName="[DimEquipmentCode]" displayFolder="" count="0" unbalanced="0"/>
    <cacheHierarchy uniqueName="[DimMeasureGroup].[AccountingCode]" caption="AccountingCode" attribute="1" defaultMemberUniqueName="[DimMeasureGroup].[AccountingCode].[All]" allUniqueName="[DimMeasureGroup].[AccountingCode].[All]" dimensionUniqueName="[DimMeasureGroup]" displayFolder="" count="0" unbalanced="0"/>
    <cacheHierarchy uniqueName="[DimMeasureGroup].[CostUnit]" caption="CostUnit" attribute="1" defaultMemberUniqueName="[DimMeasureGroup].[CostUnit].[All]" allUniqueName="[DimMeasureGroup].[CostUnit].[All]" dimensionUniqueName="[DimMeasureGroup]" displayFolder="" count="0" unbalanced="0"/>
    <cacheHierarchy uniqueName="[DimMeasureGroup].[MeasureGroupName]" caption="MeasureGroupName" attribute="1" defaultMemberUniqueName="[DimMeasureGroup].[MeasureGroupName].[All]" allUniqueName="[DimMeasureGroup].[MeasureGroupName].[All]" dimensionUniqueName="[DimMeasureGroup]" displayFolder="" count="2" unbalanced="0">
      <fieldsUsage count="2">
        <fieldUsage x="-1"/>
        <fieldUsage x="4"/>
      </fieldsUsage>
    </cacheHierarchy>
    <cacheHierarchy uniqueName="[DimMeasureGroup].[MeasureLife]" caption="MeasureLife" attribute="1" defaultMemberUniqueName="[DimMeasureGroup].[MeasureLife].[All]" allUniqueName="[DimMeasureGroup].[MeasureLife].[All]" dimensionUniqueName="[DimMeasureGroup]" displayFolder="" count="2" unbalanced="0"/>
    <cacheHierarchy uniqueName="[DimMeasureGroup].[ProgramYear]" caption="ProgramYear" attribute="1" defaultMemberUniqueName="[DimMeasureGroup].[ProgramYear].[All]" allUniqueName="[DimMeasureGroup].[ProgramYear].[All]" dimensionUniqueName="[DimMeasureGroup]" displayFolder="" count="2" unbalanced="0">
      <fieldsUsage count="2">
        <fieldUsage x="-1"/>
        <fieldUsage x="1"/>
      </fieldsUsage>
    </cacheHierarchy>
    <cacheHierarchy uniqueName="[DimMeasureGroup].[ProgramYearSort]" caption="ProgramYearSort" attribute="1" defaultMemberUniqueName="[DimMeasureGroup].[ProgramYearSort].[All]" allUniqueName="[DimMeasureGroup].[ProgramYearSort].[All]" dimensionUniqueName="[DimMeasureGroup]" displayFolder="" count="0" unbalanced="0"/>
    <cacheHierarchy uniqueName="[DimMeasureGroup].[Version]" caption="Version" attribute="1" defaultMemberUniqueName="[DimMeasureGroup].[Version].[All]" allUniqueName="[DimMeasureGroup].[Version].[All]" dimensionUniqueName="[DimMeasureGroup]" displayFolder="" count="0" unbalanced="0"/>
    <cacheHierarchy uniqueName="[DimPayee].[Payee Address1]" caption="Payee Address1" attribute="1" defaultMemberUniqueName="[DimPayee].[Payee Address1].[All]" allUniqueName="[DimPayee].[Payee Address1].[All]" dimensionUniqueName="[DimPayee]" displayFolder="" count="0" unbalanced="0"/>
    <cacheHierarchy uniqueName="[DimPayee].[Payee Address2]" caption="Payee Address2" attribute="1" defaultMemberUniqueName="[DimPayee].[Payee Address2].[All]" allUniqueName="[DimPayee].[Payee Address2].[All]" dimensionUniqueName="[DimPayee]" displayFolder="" count="0" unbalanced="0"/>
    <cacheHierarchy uniqueName="[DimPayee].[Payee City]" caption="Payee City" attribute="1" defaultMemberUniqueName="[DimPayee].[Payee City].[All]" allUniqueName="[DimPayee].[Payee City].[All]" dimensionUniqueName="[DimPayee]" displayFolder="" count="0" unbalanced="0"/>
    <cacheHierarchy uniqueName="[DimPayee].[Payee Postal Code]" caption="Payee Postal Code" attribute="1" defaultMemberUniqueName="[DimPayee].[Payee Postal Code].[All]" allUniqueName="[DimPayee].[Payee Postal Code].[All]" dimensionUniqueName="[DimPayee]" displayFolder="" count="0" unbalanced="0"/>
    <cacheHierarchy uniqueName="[DimPayee].[Payee State]" caption="Payee State" attribute="1" defaultMemberUniqueName="[DimPayee].[Payee State].[All]" allUniqueName="[DimPayee].[Payee State].[All]" dimensionUniqueName="[DimPayee]" displayFolder="" count="0" unbalanced="0"/>
    <cacheHierarchy uniqueName="[DimPayee].[Person Or Business First Name]" caption="Person Or Business First Name" attribute="1" defaultMemberUniqueName="[DimPayee].[Person Or Business First Name].[All]" allUniqueName="[DimPayee].[Person Or Business First Name].[All]" dimensionUniqueName="[DimPayee]" displayFolder="" count="0" unbalanced="0"/>
    <cacheHierarchy uniqueName="[DimPayee].[Person Or Business Last Name]" caption="Person Or Business Last Name" attribute="1" defaultMemberUniqueName="[DimPayee].[Person Or Business Last Name].[All]" allUniqueName="[DimPayee].[Person Or Business Last Name].[All]" dimensionUniqueName="[DimPayee]" displayFolder="" count="0" unbalanced="0"/>
    <cacheHierarchy uniqueName="[DimPipeLineStatus].[SourceSystemStatus]" caption="SourceSystemStatus" attribute="1" defaultMemberUniqueName="[DimPipeLineStatus].[SourceSystemStatus].[All]" allUniqueName="[DimPipeLineStatus].[SourceSystemStatus].[All]" dimensionUniqueName="[DimPipeLineStatus]" displayFolder="" count="0" unbalanced="0"/>
    <cacheHierarchy uniqueName="[DimPipeLineStatus].[StatusCode]" caption="StatusCode" attribute="1" defaultMemberUniqueName="[DimPipeLineStatus].[StatusCode].[All]" allUniqueName="[DimPipeLineStatus].[StatusCode].[All]" dimensionUniqueName="[DimPipeLineStatus]" displayFolder="" count="0" unbalanced="0"/>
    <cacheHierarchy uniqueName="[DimPipeLineStatus].[StatusDescription]" caption="StatusDescription" attribute="1" defaultMemberUniqueName="[DimPipeLineStatus].[StatusDescription].[All]" allUniqueName="[DimPipeLineStatus].[StatusDescription].[All]" dimensionUniqueName="[DimPipeLineStatus]" displayFolder="" count="0" unbalanced="0"/>
    <cacheHierarchy uniqueName="[DimPipeLineStatus].[StatusSequence]" caption="StatusSequence" attribute="1" defaultMemberUniqueName="[DimPipeLineStatus].[StatusSequence].[All]" allUniqueName="[DimPipeLineStatus].[StatusSequence].[All]" dimensionUniqueName="[DimPipeLineStatus]" displayFolder="" count="0" unbalanced="0"/>
    <cacheHierarchy uniqueName="[DimPMTIC].[ICName]" caption="ICName" attribute="1" defaultMemberUniqueName="[DimPMTIC].[ICName].[All]" allUniqueName="[DimPMTIC].[ICName].[All]" dimensionUniqueName="[DimPMTIC]" displayFolder="" count="0" unbalanced="0"/>
    <cacheHierarchy uniqueName="[DimPMTMeasure].[AccountingCode]" caption="AccountingCode" attribute="1" defaultMemberUniqueName="[DimPMTMeasure].[AccountingCode].[All]" allUniqueName="[DimPMTMeasure].[AccountingCode].[All]" dimensionUniqueName="[DimPMTMeasure]" displayFolder="" count="0" unbalanced="0"/>
    <cacheHierarchy uniqueName="[DimPMTMeasure].[CostUnit]" caption="CostUnit" attribute="1" defaultMemberUniqueName="[DimPMTMeasure].[CostUnit].[All]" allUniqueName="[DimPMTMeasure].[CostUnit].[All]" dimensionUniqueName="[DimPMTMeasure]" displayFolder="" count="0" unbalanced="0"/>
    <cacheHierarchy uniqueName="[DimPMTMeasure].[Gallons]" caption="Gallons" attribute="1" defaultMemberUniqueName="[DimPMTMeasure].[Gallons].[All]" allUniqueName="[DimPMTMeasure].[Gallons].[All]" dimensionUniqueName="[DimPMTMeasure]" displayFolder="" count="0" unbalanced="0"/>
    <cacheHierarchy uniqueName="[DimPMTMeasure].[IncrementalCost]" caption="IncrementalCost" attribute="1" defaultMemberUniqueName="[DimPMTMeasure].[IncrementalCost].[All]" allUniqueName="[DimPMTMeasure].[IncrementalCost].[All]" dimensionUniqueName="[DimPMTMeasure]" displayFolder="" count="0" unbalanced="0"/>
    <cacheHierarchy uniqueName="[DimPMTMeasure].[KiloWatt]" caption="KiloWatt" attribute="1" defaultMemberUniqueName="[DimPMTMeasure].[KiloWatt].[All]" allUniqueName="[DimPMTMeasure].[KiloWatt].[All]" dimensionUniqueName="[DimPMTMeasure]" displayFolder="" count="0" unbalanced="0"/>
    <cacheHierarchy uniqueName="[DimPMTMeasure].[KiloWattHour]" caption="KiloWattHour" attribute="1" defaultMemberUniqueName="[DimPMTMeasure].[KiloWattHour].[All]" allUniqueName="[DimPMTMeasure].[KiloWattHour].[All]" dimensionUniqueName="[DimPMTMeasure]" displayFolder="" count="0" unbalanced="0"/>
    <cacheHierarchy uniqueName="[DimPMTMeasure].[MeasureGrouping]" caption="MeasureGrouping" attribute="1" defaultMemberUniqueName="[DimPMTMeasure].[MeasureGrouping].[All]" allUniqueName="[DimPMTMeasure].[MeasureGrouping].[All]" dimensionUniqueName="[DimPMTMeasure]" displayFolder="" count="0" unbalanced="0"/>
    <cacheHierarchy uniqueName="[DimPMTMeasure].[MeasureLife]" caption="MeasureLife" attribute="1" defaultMemberUniqueName="[DimPMTMeasure].[MeasureLife].[All]" allUniqueName="[DimPMTMeasure].[MeasureLife].[All]" dimensionUniqueName="[DimPMTMeasure]" displayFolder="" count="0" unbalanced="0"/>
    <cacheHierarchy uniqueName="[DimPMTMeasure].[MeasureName]" caption="MeasureName" attribute="1" defaultMemberUniqueName="[DimPMTMeasure].[MeasureName].[All]" allUniqueName="[DimPMTMeasure].[MeasureName].[All]" dimensionUniqueName="[DimPMTMeasure]" displayFolder="" count="0" unbalanced="0"/>
    <cacheHierarchy uniqueName="[DimPMTMeasure].[MeasureType]" caption="MeasureType" attribute="1" defaultMemberUniqueName="[DimPMTMeasure].[MeasureType].[All]" allUniqueName="[DimPMTMeasure].[MeasureType].[All]" dimensionUniqueName="[DimPMTMeasure]" displayFolder="" count="0" unbalanced="0"/>
    <cacheHierarchy uniqueName="[DimPMTMeasure].[PMT Measure UI]" caption="PMT Measure UI" attribute="1" defaultMemberUniqueName="[DimPMTMeasure].[PMT Measure UI].[All]" allUniqueName="[DimPMTMeasure].[PMT Measure UI].[All]" dimensionUniqueName="[DimPMTMeasure]" displayFolder="" count="0" unbalanced="0"/>
    <cacheHierarchy uniqueName="[DimPMTMeasure].[Sector]" caption="Sector" attribute="1" defaultMemberUniqueName="[DimPMTMeasure].[Sector].[All]" allUniqueName="[DimPMTMeasure].[Sector].[All]" dimensionUniqueName="[DimPMTMeasure]" displayFolder="" count="0" unbalanced="0"/>
    <cacheHierarchy uniqueName="[DimPMTMeasure].[Therms]" caption="Therms" attribute="1" defaultMemberUniqueName="[DimPMTMeasure].[Therms].[All]" allUniqueName="[DimPMTMeasure].[Therms].[All]" dimensionUniqueName="[DimPMTMeasure]" displayFolder="" count="0" unbalanced="0"/>
    <cacheHierarchy uniqueName="[DimPMTMeasure].[TRMCode]" caption="TRMCode" attribute="1" defaultMemberUniqueName="[DimPMTMeasure].[TRMCode].[All]" allUniqueName="[DimPMTMeasure].[TRMCode].[All]" dimensionUniqueName="[DimPMTMeasure]" displayFolder="" count="0" unbalanced="0"/>
    <cacheHierarchy uniqueName="[DimPMTMeasure].[UniqueIdentifier]" caption="UniqueIdentifier" attribute="1" defaultMemberUniqueName="[DimPMTMeasure].[UniqueIdentifier].[All]" allUniqueName="[DimPMTMeasure].[UniqueIdentifier].[All]" dimensionUniqueName="[DimPMTMeasure]" displayFolder="" count="0" unbalanced="0"/>
    <cacheHierarchy uniqueName="[DimPMTMeasure].[Version]" caption="Version" attribute="1" defaultMemberUniqueName="[DimPMTMeasure].[Version].[All]" allUniqueName="[DimPMTMeasure].[Version].[All]" dimensionUniqueName="[DimPMTMeasure]" displayFolder="" count="0" unbalanced="0"/>
    <cacheHierarchy uniqueName="[DimPMTProgram].[Program Acronym]" caption="Program Acronym" attribute="1" defaultMemberUniqueName="[DimPMTProgram].[Program Acronym].[All]" allUniqueName="[DimPMTProgram].[Program Acronym].[All]" dimensionUniqueName="[DimPMTProgram]" displayFolder="" count="2" unbalanced="0">
      <fieldsUsage count="2">
        <fieldUsage x="-1"/>
        <fieldUsage x="3"/>
      </fieldsUsage>
    </cacheHierarchy>
    <cacheHierarchy uniqueName="[DimPMTProgram].[Program Description]" caption="Program Description" attribute="1" defaultMemberUniqueName="[DimPMTProgram].[Program Description].[All]" allUniqueName="[DimPMTProgram].[Program Description].[All]" dimensionUniqueName="[DimPMTProgram]" displayFolder="" count="0" unbalanced="0"/>
    <cacheHierarchy uniqueName="[DimPMTProgram].[Program Name]" caption="Program Name" attribute="1" defaultMemberUniqueName="[DimPMTProgram].[Program Name].[All]" allUniqueName="[DimPMTProgram].[Program Name].[All]" dimensionUniqueName="[DimPMTProgram]" displayFolder="" count="0" unbalanced="0"/>
    <cacheHierarchy uniqueName="[DimPMTProgram].[Program Type]" caption="Program Type" attribute="1" defaultMemberUniqueName="[DimPMTProgram].[Program Type].[All]" allUniqueName="[DimPMTProgram].[Program Type].[All]" dimensionUniqueName="[DimPMTProgram]" displayFolder="" count="0" unbalanced="0"/>
    <cacheHierarchy uniqueName="[DimPMTProgramAccounting].[Description]" caption="Description" attribute="1" defaultMemberUniqueName="[DimPMTProgramAccounting].[Description].[All]" allUniqueName="[DimPMTProgramAccounting].[Description].[All]" dimensionUniqueName="[DimPMTProgramAccounting]" displayFolder="" count="0" unbalanced="0"/>
    <cacheHierarchy uniqueName="[DimPMTProgramAccounting].[ID]" caption="ID" attribute="1" defaultMemberUniqueName="[DimPMTProgramAccounting].[ID].[All]" allUniqueName="[DimPMTProgramAccounting].[ID].[All]" dimensionUniqueName="[DimPMTProgramAccounting]" displayFolder="" count="0" unbalanced="0"/>
    <cacheHierarchy uniqueName="[DimPMTProgramAccounting].[ProgramGrouping]" caption="ProgramGrouping" attribute="1" defaultMemberUniqueName="[DimPMTProgramAccounting].[ProgramGrouping].[All]" allUniqueName="[DimPMTProgramAccounting].[ProgramGrouping].[All]" dimensionUniqueName="[DimPMTProgramAccounting]" displayFolder="" count="0" unbalanced="0"/>
    <cacheHierarchy uniqueName="[DimPMTProgramAccounting].[ProgramGroupingSortOrder]" caption="ProgramGroupingSortOrder" attribute="1" defaultMemberUniqueName="[DimPMTProgramAccounting].[ProgramGroupingSortOrder].[All]" allUniqueName="[DimPMTProgramAccounting].[ProgramGroupingSortOrder].[All]" dimensionUniqueName="[DimPMTProgramAccounting]" displayFolder="" count="0" unbalanced="0"/>
    <cacheHierarchy uniqueName="[DimPMTProgramAccounting].[ProgramYear]" caption="ProgramYear" attribute="1" defaultMemberUniqueName="[DimPMTProgramAccounting].[ProgramYear].[All]" allUniqueName="[DimPMTProgramAccounting].[ProgramYear].[All]" dimensionUniqueName="[DimPMTProgramAccounting]" displayFolder="" count="0" unbalanced="0"/>
    <cacheHierarchy uniqueName="[DimPMTProgramAccounting].[ProjectID]" caption="ProjectID" attribute="1" defaultMemberUniqueName="[DimPMTProgramAccounting].[ProjectID].[All]" allUniqueName="[DimPMTProgramAccounting].[ProjectID].[All]" dimensionUniqueName="[DimPMTProgramAccounting]" displayFolder="" count="0" unbalanced="0"/>
    <cacheHierarchy uniqueName="[DimPMTProgramAccounting].[RiderName]" caption="RiderName" attribute="1" defaultMemberUniqueName="[DimPMTProgramAccounting].[RiderName].[All]" allUniqueName="[DimPMTProgramAccounting].[RiderName].[All]" dimensionUniqueName="[DimPMTProgramAccounting]" displayFolder="" count="0" unbalanced="0"/>
    <cacheHierarchy uniqueName="[DimPMTProgramAccounting].[SortOrder]" caption="SortOrder" attribute="1" defaultMemberUniqueName="[DimPMTProgramAccounting].[SortOrder].[All]" allUniqueName="[DimPMTProgramAccounting].[SortOrder].[All]" dimensionUniqueName="[DimPMTProgramAccounting]" displayFolder="" count="0" unbalanced="0"/>
    <cacheHierarchy uniqueName="[DimPMTProgramAccounting].[Type]" caption="Type" attribute="1" defaultMemberUniqueName="[DimPMTProgramAccounting].[Type].[All]" allUniqueName="[DimPMTProgramAccounting].[Type].[All]" dimensionUniqueName="[DimPMTProgramAccounting]" displayFolder="" count="0" unbalanced="0"/>
    <cacheHierarchy uniqueName="[DimPMTProject].[ActivityType]" caption="ActivityType" attribute="1" defaultMemberUniqueName="[DimPMTProject].[ActivityType].[All]" allUniqueName="[DimPMTProject].[ActivityType].[All]" dimensionUniqueName="[DimPMTProject]" displayFolder="" count="0" unbalanced="0"/>
    <cacheHierarchy uniqueName="[DimPMTProject].[ActualProjectCost]" caption="ActualProjectCost" attribute="1" defaultMemberUniqueName="[DimPMTProject].[ActualProjectCost].[All]" allUniqueName="[DimPMTProject].[ActualProjectCost].[All]" dimensionUniqueName="[DimPMTProject]" displayFolder="" count="0" unbalanced="0"/>
    <cacheHierarchy uniqueName="[DimPMTProject].[Application Number]" caption="Application Number" attribute="1" defaultMemberUniqueName="[DimPMTProject].[Application Number].[All]" allUniqueName="[DimPMTProject].[Application Number].[All]" dimensionUniqueName="[DimPMTProject]" displayFolder="" count="0" unbalanced="0"/>
    <cacheHierarchy uniqueName="[DimPMTProject].[Application Status]" caption="Application Status" attribute="1" defaultMemberUniqueName="[DimPMTProject].[Application Status].[All]" allUniqueName="[DimPMTProject].[Application Status].[All]" dimensionUniqueName="[DimPMTProject]" displayFolder="" count="0" unbalanced="0"/>
    <cacheHierarchy uniqueName="[DimPMTProject].[ApplicationCompletedDate]" caption="ApplicationCompletedDate" attribute="1" defaultMemberUniqueName="[DimPMTProject].[ApplicationCompletedDate].[All]" allUniqueName="[DimPMTProject].[ApplicationCompletedDate].[All]" dimensionUniqueName="[DimPMTProject]" displayFolder="" count="0" unbalanced="0"/>
    <cacheHierarchy uniqueName="[DimPMTProject].[ApplicationReceivedDate]" caption="ApplicationReceivedDate" attribute="1" defaultMemberUniqueName="[DimPMTProject].[ApplicationReceivedDate].[All]" allUniqueName="[DimPMTProject].[ApplicationReceivedDate].[All]" dimensionUniqueName="[DimPMTProject]" displayFolder="" count="0" unbalanced="0"/>
    <cacheHierarchy uniqueName="[DimPMTProject].[ApplicationType]" caption="ApplicationType" attribute="1" defaultMemberUniqueName="[DimPMTProject].[ApplicationType].[All]" allUniqueName="[DimPMTProject].[ApplicationType].[All]" dimensionUniqueName="[DimPMTProject]" displayFolder="" count="0" unbalanced="0"/>
    <cacheHierarchy uniqueName="[DimPMTProject].[AssumedCostPerkWh]" caption="AssumedCostPerkWh" attribute="1" defaultMemberUniqueName="[DimPMTProject].[AssumedCostPerkWh].[All]" allUniqueName="[DimPMTProject].[AssumedCostPerkWh].[All]" dimensionUniqueName="[DimPMTProject]" displayFolder="" count="0" unbalanced="0"/>
    <cacheHierarchy uniqueName="[DimPMTProject].[AssumedCostPerTherm]" caption="AssumedCostPerTherm" attribute="1" defaultMemberUniqueName="[DimPMTProject].[AssumedCostPerTherm].[All]" allUniqueName="[DimPMTProject].[AssumedCostPerTherm].[All]" dimensionUniqueName="[DimPMTProject]" displayFolder="" count="0" unbalanced="0"/>
    <cacheHierarchy uniqueName="[DimPMTProject].[Building Square Footage]" caption="Building Square Footage" attribute="1" defaultMemberUniqueName="[DimPMTProject].[Building Square Footage].[All]" allUniqueName="[DimPMTProject].[Building Square Footage].[All]" dimensionUniqueName="[DimPMTProject]" displayFolder="" count="0" unbalanced="0"/>
    <cacheHierarchy uniqueName="[DimPMTProject].[BuildingCode]" caption="BuildingCode" attribute="1" defaultMemberUniqueName="[DimPMTProject].[BuildingCode].[All]" allUniqueName="[DimPMTProject].[BuildingCode].[All]" dimensionUniqueName="[DimPMTProject]" displayFolder="" count="0" unbalanced="0"/>
    <cacheHierarchy uniqueName="[DimPMTProject].[BuildingMaterial]" caption="BuildingMaterial" attribute="1" defaultMemberUniqueName="[DimPMTProject].[BuildingMaterial].[All]" allUniqueName="[DimPMTProject].[BuildingMaterial].[All]" dimensionUniqueName="[DimPMTProject]" displayFolder="" count="0" unbalanced="0"/>
    <cacheHierarchy uniqueName="[DimPMTProject].[BusinessType]" caption="BusinessType" attribute="1" defaultMemberUniqueName="[DimPMTProject].[BusinessType].[All]" allUniqueName="[DimPMTProject].[BusinessType].[All]" dimensionUniqueName="[DimPMTProject]" displayFolder="" count="0" unbalanced="0"/>
    <cacheHierarchy uniqueName="[DimPMTProject].[CentralHotWaterSystem]" caption="CentralHotWaterSystem" attribute="1" defaultMemberUniqueName="[DimPMTProject].[CentralHotWaterSystem].[All]" allUniqueName="[DimPMTProject].[CentralHotWaterSystem].[All]" dimensionUniqueName="[DimPMTProject]" displayFolder="" count="0" unbalanced="0"/>
    <cacheHierarchy uniqueName="[DimPMTProject].[ClimateZone]" caption="ClimateZone" attribute="1" defaultMemberUniqueName="[DimPMTProject].[ClimateZone].[All]" allUniqueName="[DimPMTProject].[ClimateZone].[All]" dimensionUniqueName="[DimPMTProject]" displayFolder="" count="0" unbalanced="0"/>
    <cacheHierarchy uniqueName="[DimPMTProject].[CombinedComEdNicorKitCost]" caption="CombinedComEdNicorKitCost" attribute="1" defaultMemberUniqueName="[DimPMTProject].[CombinedComEdNicorKitCost].[All]" allUniqueName="[DimPMTProject].[CombinedComEdNicorKitCost].[All]" dimensionUniqueName="[DimPMTProject]" displayFolder="" count="0" unbalanced="0"/>
    <cacheHierarchy uniqueName="[DimPMTProject].[CostEffectivenessScore]" caption="CostEffectivenessScore" attribute="1" defaultMemberUniqueName="[DimPMTProject].[CostEffectivenessScore].[All]" allUniqueName="[DimPMTProject].[CostEffectivenessScore].[All]" dimensionUniqueName="[DimPMTProject]" displayFolder="" count="0" unbalanced="0"/>
    <cacheHierarchy uniqueName="[DimPMTProject].[County]" caption="County" attribute="1" defaultMemberUniqueName="[DimPMTProject].[County].[All]" allUniqueName="[DimPMTProject].[County].[All]" dimensionUniqueName="[DimPMTProject]" displayFolder="" count="0" unbalanced="0"/>
    <cacheHierarchy uniqueName="[DimPMTProject].[DateOfIntake]" caption="DateOfIntake" attribute="1" defaultMemberUniqueName="[DimPMTProject].[DateOfIntake].[All]" allUniqueName="[DimPMTProject].[DateOfIntake].[All]" dimensionUniqueName="[DimPMTProject]" displayFolder="" count="0" unbalanced="0"/>
    <cacheHierarchy uniqueName="[DimPMTProject].[DateScoreFinalized]" caption="DateScoreFinalized" attribute="1" defaultMemberUniqueName="[DimPMTProject].[DateScoreFinalized].[All]" allUniqueName="[DimPMTProject].[DateScoreFinalized].[All]" dimensionUniqueName="[DimPMTProject]" displayFolder="" count="0" unbalanced="0"/>
    <cacheHierarchy uniqueName="[DimPMTProject].[DCEOProgram]" caption="DCEOProgram" attribute="1" defaultMemberUniqueName="[DimPMTProject].[DCEOProgram].[All]" allUniqueName="[DimPMTProject].[DCEOProgram].[All]" dimensionUniqueName="[DimPMTProject]" displayFolder="" count="0" unbalanced="0"/>
    <cacheHierarchy uniqueName="[DimPMTProject].[DescriptionOfProject]" caption="DescriptionOfProject" attribute="1" defaultMemberUniqueName="[DimPMTProject].[DescriptionOfProject].[All]" allUniqueName="[DimPMTProject].[DescriptionOfProject].[All]" dimensionUniqueName="[DimPMTProject]" displayFolder="" count="0" unbalanced="0"/>
    <cacheHierarchy uniqueName="[DimPMTProject].[DesignStartDate]" caption="DesignStartDate" attribute="1" defaultMemberUniqueName="[DimPMTProject].[DesignStartDate].[All]" allUniqueName="[DimPMTProject].[DesignStartDate].[All]" dimensionUniqueName="[DimPMTProject]" displayFolder="" count="0" unbalanced="0"/>
    <cacheHierarchy uniqueName="[DimPMTProject].[DirectInstallCompletionDate]" caption="DirectInstallCompletionDate" attribute="1" defaultMemberUniqueName="[DimPMTProject].[DirectInstallCompletionDate].[All]" allUniqueName="[DimPMTProject].[DirectInstallCompletionDate].[All]" dimensionUniqueName="[DimPMTProject]" displayFolder="" count="0" unbalanced="0"/>
    <cacheHierarchy uniqueName="[DimPMTProject].[DistributionScore]" caption="DistributionScore" attribute="1" defaultMemberUniqueName="[DimPMTProject].[DistributionScore].[All]" allUniqueName="[DimPMTProject].[DistributionScore].[All]" dimensionUniqueName="[DimPMTProject]" displayFolder="" count="0" unbalanced="0"/>
    <cacheHierarchy uniqueName="[DimPMTProject].[EETargetProgram]" caption="EETargetProgram" attribute="1" defaultMemberUniqueName="[DimPMTProject].[EETargetProgram].[All]" allUniqueName="[DimPMTProject].[EETargetProgram].[All]" dimensionUniqueName="[DimPMTProject]" displayFolder="" count="0" unbalanced="0"/>
    <cacheHierarchy uniqueName="[DimPMTProject].[EstimatedBidReleaseDate]" caption="EstimatedBidReleaseDate" attribute="1" defaultMemberUniqueName="[DimPMTProject].[EstimatedBidReleaseDate].[All]" allUniqueName="[DimPMTProject].[EstimatedBidReleaseDate].[All]" dimensionUniqueName="[DimPMTProject]" displayFolder="" count="0" unbalanced="0"/>
    <cacheHierarchy uniqueName="[DimPMTProject].[EstimatedConstructionStartDate]" caption="EstimatedConstructionStartDate" attribute="1" defaultMemberUniqueName="[DimPMTProject].[EstimatedConstructionStartDate].[All]" allUniqueName="[DimPMTProject].[EstimatedConstructionStartDate].[All]" dimensionUniqueName="[DimPMTProject]" displayFolder="" count="0" unbalanced="0"/>
    <cacheHierarchy uniqueName="[DimPMTProject].[EstimatedOccupancyDate]" caption="EstimatedOccupancyDate" attribute="1" defaultMemberUniqueName="[DimPMTProject].[EstimatedOccupancyDate].[All]" allUniqueName="[DimPMTProject].[EstimatedOccupancyDate].[All]" dimensionUniqueName="[DimPMTProject]" displayFolder="" count="0" unbalanced="0"/>
    <cacheHierarchy uniqueName="[DimPMTProject].[EstimatedProjectCompletionDate]" caption="EstimatedProjectCompletionDate" attribute="1" defaultMemberUniqueName="[DimPMTProject].[EstimatedProjectCompletionDate].[All]" allUniqueName="[DimPMTProject].[EstimatedProjectCompletionDate].[All]" dimensionUniqueName="[DimPMTProject]" displayFolder="" count="0" unbalanced="0"/>
    <cacheHierarchy uniqueName="[DimPMTProject].[EstimatedProjectCost]" caption="EstimatedProjectCost" attribute="1" defaultMemberUniqueName="[DimPMTProject].[EstimatedProjectCost].[All]" allUniqueName="[DimPMTProject].[EstimatedProjectCost].[All]" dimensionUniqueName="[DimPMTProject]" displayFolder="" count="0" unbalanced="0"/>
    <cacheHierarchy uniqueName="[DimPMTProject].[EstimatedProjectStartDate]" caption="EstimatedProjectStartDate" attribute="1" defaultMemberUniqueName="[DimPMTProject].[EstimatedProjectStartDate].[All]" allUniqueName="[DimPMTProject].[EstimatedProjectStartDate].[All]" dimensionUniqueName="[DimPMTProject]" displayFolder="" count="0" unbalanced="0"/>
    <cacheHierarchy uniqueName="[DimPMTProject].[EstimatedRebate]" caption="EstimatedRebate" attribute="1" defaultMemberUniqueName="[DimPMTProject].[EstimatedRebate].[All]" allUniqueName="[DimPMTProject].[EstimatedRebate].[All]" dimensionUniqueName="[DimPMTProject]" displayFolder="" count="0" unbalanced="0"/>
    <cacheHierarchy uniqueName="[DimPMTProject].[ExistingProgrammableThermostat]" caption="ExistingProgrammableThermostat" attribute="1" defaultMemberUniqueName="[DimPMTProject].[ExistingProgrammableThermostat].[All]" allUniqueName="[DimPMTProject].[ExistingProgrammableThermostat].[All]" dimensionUniqueName="[DimPMTProject]" displayFolder="" count="0" unbalanced="0"/>
    <cacheHierarchy uniqueName="[DimPMTProject].[FinalApprovalDate]" caption="FinalApprovalDate" attribute="1" defaultMemberUniqueName="[DimPMTProject].[FinalApprovalDate].[All]" allUniqueName="[DimPMTProject].[FinalApprovalDate].[All]" dimensionUniqueName="[DimPMTProject]" displayFolder="" count="0" unbalanced="0"/>
    <cacheHierarchy uniqueName="[DimPMTProject].[GasSavingsScore]" caption="GasSavingsScore" attribute="1" defaultMemberUniqueName="[DimPMTProject].[GasSavingsScore].[All]" allUniqueName="[DimPMTProject].[GasSavingsScore].[All]" dimensionUniqueName="[DimPMTProject]" displayFolder="" count="0" unbalanced="0"/>
    <cacheHierarchy uniqueName="[DimPMTProject].[GrantDocumentation]" caption="GrantDocumentation" attribute="1" defaultMemberUniqueName="[DimPMTProject].[GrantDocumentation].[All]" allUniqueName="[DimPMTProject].[GrantDocumentation].[All]" dimensionUniqueName="[DimPMTProject]" displayFolder="" count="0" unbalanced="0"/>
    <cacheHierarchy uniqueName="[DimPMTProject].[GranteeName]" caption="GranteeName" attribute="1" defaultMemberUniqueName="[DimPMTProject].[GranteeName].[All]" allUniqueName="[DimPMTProject].[GranteeName].[All]" dimensionUniqueName="[DimPMTProject]" displayFolder="" count="0" unbalanced="0"/>
    <cacheHierarchy uniqueName="[DimPMTProject].[GrantNumber]" caption="GrantNumber" attribute="1" defaultMemberUniqueName="[DimPMTProject].[GrantNumber].[All]" allUniqueName="[DimPMTProject].[GrantNumber].[All]" dimensionUniqueName="[DimPMTProject]" displayFolder="" count="0" unbalanced="0"/>
    <cacheHierarchy uniqueName="[DimPMTProject].[HERSIndex]" caption="HERSIndex" attribute="1" defaultMemberUniqueName="[DimPMTProject].[HERSIndex].[All]" allUniqueName="[DimPMTProject].[HERSIndex].[All]" dimensionUniqueName="[DimPMTProject]" displayFolder="" count="0" unbalanced="0"/>
    <cacheHierarchy uniqueName="[DimPMTProject].[HomeownerAssociation]" caption="HomeownerAssociation" attribute="1" defaultMemberUniqueName="[DimPMTProject].[HomeownerAssociation].[All]" allUniqueName="[DimPMTProject].[HomeownerAssociation].[All]" dimensionUniqueName="[DimPMTProject]" displayFolder="" count="0" unbalanced="0"/>
    <cacheHierarchy uniqueName="[DimPMTProject].[HotWaterFuelSource]" caption="HotWaterFuelSource" attribute="1" defaultMemberUniqueName="[DimPMTProject].[HotWaterFuelSource].[All]" allUniqueName="[DimPMTProject].[HotWaterFuelSource].[All]" dimensionUniqueName="[DimPMTProject]" displayFolder="" count="0" unbalanced="0"/>
    <cacheHierarchy uniqueName="[DimPMTProject].[HowDidYouHearAboutUs]" caption="HowDidYouHearAboutUs" attribute="1" defaultMemberUniqueName="[DimPMTProject].[HowDidYouHearAboutUs].[All]" allUniqueName="[DimPMTProject].[HowDidYouHearAboutUs].[All]" dimensionUniqueName="[DimPMTProject]" displayFolder="" count="0" unbalanced="0"/>
    <cacheHierarchy uniqueName="[DimPMTProject].[Independentlessthan10locations]" caption="Independentlessthan10locations" attribute="1" defaultMemberUniqueName="[DimPMTProject].[Independentlessthan10locations].[All]" allUniqueName="[DimPMTProject].[Independentlessthan10locations].[All]" dimensionUniqueName="[DimPMTProject]" displayFolder="" count="0" unbalanced="0"/>
    <cacheHierarchy uniqueName="[DimPMTProject].[InspectionRequired]" caption="InspectionRequired" attribute="1" defaultMemberUniqueName="[DimPMTProject].[InspectionRequired].[All]" allUniqueName="[DimPMTProject].[InspectionRequired].[All]" dimensionUniqueName="[DimPMTProject]" displayFolder="" count="0" unbalanced="0"/>
    <cacheHierarchy uniqueName="[DimPMTProject].[JointProject]" caption="JointProject" attribute="1" defaultMemberUniqueName="[DimPMTProject].[JointProject].[All]" allUniqueName="[DimPMTProject].[JointProject].[All]" dimensionUniqueName="[DimPMTProject]" displayFolder="" count="2" unbalanced="0">
      <fieldsUsage count="2">
        <fieldUsage x="-1"/>
        <fieldUsage x="12"/>
      </fieldsUsage>
    </cacheHierarchy>
    <cacheHierarchy uniqueName="[DimPMTProject].[LEED Certification]" caption="LEED Certification" attribute="1" defaultMemberUniqueName="[DimPMTProject].[LEED Certification].[All]" allUniqueName="[DimPMTProject].[LEED Certification].[All]" dimensionUniqueName="[DimPMTProject]" displayFolder="" count="0" unbalanced="0"/>
    <cacheHierarchy uniqueName="[DimPMTProject].[LegalStatus]" caption="LegalStatus" attribute="1" defaultMemberUniqueName="[DimPMTProject].[LegalStatus].[All]" allUniqueName="[DimPMTProject].[LegalStatus].[All]" dimensionUniqueName="[DimPMTProject]" displayFolder="" count="0" unbalanced="0"/>
    <cacheHierarchy uniqueName="[DimPMTProject].[LegalStatusCode]" caption="LegalStatusCode" attribute="1" defaultMemberUniqueName="[DimPMTProject].[LegalStatusCode].[All]" allUniqueName="[DimPMTProject].[LegalStatusCode].[All]" dimensionUniqueName="[DimPMTProject]" displayFolder="" count="0" unbalanced="0"/>
    <cacheHierarchy uniqueName="[DimPMTProject].[MarketAdoptionScore]" caption="MarketAdoptionScore" attribute="1" defaultMemberUniqueName="[DimPMTProject].[MarketAdoptionScore].[All]" allUniqueName="[DimPMTProject].[MarketAdoptionScore].[All]" dimensionUniqueName="[DimPMTProject]" displayFolder="" count="0" unbalanced="0"/>
    <cacheHierarchy uniqueName="[DimPMTProject].[MarketSegment]" caption="MarketSegment" attribute="1" defaultMemberUniqueName="[DimPMTProject].[MarketSegment].[All]" allUniqueName="[DimPMTProject].[MarketSegment].[All]" dimensionUniqueName="[DimPMTProject]" displayFolder="" count="0" unbalanced="0"/>
    <cacheHierarchy uniqueName="[DimPMTProject].[Nicor Account ID]" caption="Nicor Account ID" attribute="1" defaultMemberUniqueName="[DimPMTProject].[Nicor Account ID].[All]" allUniqueName="[DimPMTProject].[Nicor Account ID].[All]" dimensionUniqueName="[DimPMTProject]" displayFolder="" count="0" unbalanced="0"/>
    <cacheHierarchy uniqueName="[DimPMTProject].[NicorElementaryEdKitCost]" caption="NicorElementaryEdKitCost" attribute="1" defaultMemberUniqueName="[DimPMTProject].[NicorElementaryEdKitCost].[All]" allUniqueName="[DimPMTProject].[NicorElementaryEdKitCost].[All]" dimensionUniqueName="[DimPMTProject]" displayFolder="" count="0" unbalanced="0"/>
    <cacheHierarchy uniqueName="[DimPMTProject].[NonEnergyBenefitsScore]" caption="NonEnergyBenefitsScore" attribute="1" defaultMemberUniqueName="[DimPMTProject].[NonEnergyBenefitsScore].[All]" allUniqueName="[DimPMTProject].[NonEnergyBenefitsScore].[All]" dimensionUniqueName="[DimPMTProject]" displayFolder="" count="0" unbalanced="0"/>
    <cacheHierarchy uniqueName="[DimPMTProject].[NumberInHousehold]" caption="NumberInHousehold" attribute="1" defaultMemberUniqueName="[DimPMTProject].[NumberInHousehold].[All]" allUniqueName="[DimPMTProject].[NumberInHousehold].[All]" dimensionUniqueName="[DimPMTProject]" displayFolder="" count="0" unbalanced="0"/>
    <cacheHierarchy uniqueName="[DimPMTProject].[NumberOfBathrooms]" caption="NumberOfBathrooms" attribute="1" defaultMemberUniqueName="[DimPMTProject].[NumberOfBathrooms].[All]" allUniqueName="[DimPMTProject].[NumberOfBathrooms].[All]" dimensionUniqueName="[DimPMTProject]" displayFolder="" count="0" unbalanced="0"/>
    <cacheHierarchy uniqueName="[DimPMTProject].[NumberOfBedrooms]" caption="NumberOfBedrooms" attribute="1" defaultMemberUniqueName="[DimPMTProject].[NumberOfBedrooms].[All]" allUniqueName="[DimPMTProject].[NumberOfBedrooms].[All]" dimensionUniqueName="[DimPMTProject]" displayFolder="" count="0" unbalanced="0"/>
    <cacheHierarchy uniqueName="[DimPMTProject].[NumberOfBuildings]" caption="NumberOfBuildings" attribute="1" defaultMemberUniqueName="[DimPMTProject].[NumberOfBuildings].[All]" allUniqueName="[DimPMTProject].[NumberOfBuildings].[All]" dimensionUniqueName="[DimPMTProject]" displayFolder="" count="0" unbalanced="0"/>
    <cacheHierarchy uniqueName="[DimPMTProject].[NumberOfShowerheads]" caption="NumberOfShowerheads" attribute="1" defaultMemberUniqueName="[DimPMTProject].[NumberOfShowerheads].[All]" allUniqueName="[DimPMTProject].[NumberOfShowerheads].[All]" dimensionUniqueName="[DimPMTProject]" displayFolder="" count="0" unbalanced="0"/>
    <cacheHierarchy uniqueName="[DimPMTProject].[NumberOfSites]" caption="NumberOfSites" attribute="1" defaultMemberUniqueName="[DimPMTProject].[NumberOfSites].[All]" allUniqueName="[DimPMTProject].[NumberOfSites].[All]" dimensionUniqueName="[DimPMTProject]" displayFolder="" count="0" unbalanced="0"/>
    <cacheHierarchy uniqueName="[DimPMTProject].[NumberOfStories]" caption="NumberOfStories" attribute="1" defaultMemberUniqueName="[DimPMTProject].[NumberOfStories].[All]" allUniqueName="[DimPMTProject].[NumberOfStories].[All]" dimensionUniqueName="[DimPMTProject]" displayFolder="" count="0" unbalanced="0"/>
    <cacheHierarchy uniqueName="[DimPMTProject].[NumberOfTotalUnits]" caption="NumberOfTotalUnits" attribute="1" defaultMemberUniqueName="[DimPMTProject].[NumberOfTotalUnits].[All]" allUniqueName="[DimPMTProject].[NumberOfTotalUnits].[All]" dimensionUniqueName="[DimPMTProject]" displayFolder="" count="0" unbalanced="0"/>
    <cacheHierarchy uniqueName="[DimPMTProject].[NumberOfUnitsInBuilding]" caption="NumberOfUnitsInBuilding" attribute="1" defaultMemberUniqueName="[DimPMTProject].[NumberOfUnitsInBuilding].[All]" allUniqueName="[DimPMTProject].[NumberOfUnitsInBuilding].[All]" dimensionUniqueName="[DimPMTProject]" displayFolder="" count="0" unbalanced="0"/>
    <cacheHierarchy uniqueName="[DimPMTProject].[Other Project Source]" caption="Other Project Source" attribute="1" defaultMemberUniqueName="[DimPMTProject].[Other Project Source].[All]" allUniqueName="[DimPMTProject].[Other Project Source].[All]" dimensionUniqueName="[DimPMTProject]" displayFolder="" count="0" unbalanced="0"/>
    <cacheHierarchy uniqueName="[DimPMTProject].[PayeeCode]" caption="PayeeCode" attribute="1" defaultMemberUniqueName="[DimPMTProject].[PayeeCode].[All]" allUniqueName="[DimPMTProject].[PayeeCode].[All]" dimensionUniqueName="[DimPMTProject]" displayFolder="" count="0" unbalanced="0"/>
    <cacheHierarchy uniqueName="[DimPMTProject].[PercentGasDHW]" caption="PercentGasDHW" attribute="1" defaultMemberUniqueName="[DimPMTProject].[PercentGasDHW].[All]" allUniqueName="[DimPMTProject].[PercentGasDHW].[All]" dimensionUniqueName="[DimPMTProject]" displayFolder="" count="0" unbalanced="0"/>
    <cacheHierarchy uniqueName="[DimPMTProject].[PercentSingleFamily]" caption="PercentSingleFamily" attribute="1" defaultMemberUniqueName="[DimPMTProject].[PercentSingleFamily].[All]" allUniqueName="[DimPMTProject].[PercentSingleFamily].[All]" dimensionUniqueName="[DimPMTProject]" displayFolder="" count="0" unbalanced="0"/>
    <cacheHierarchy uniqueName="[DimPMTProject].[PMTICKey]" caption="PMTICKey" attribute="1" defaultMemberUniqueName="[DimPMTProject].[PMTICKey].[All]" allUniqueName="[DimPMTProject].[PMTICKey].[All]" dimensionUniqueName="[DimPMTProject]" displayFolder="" count="0" unbalanced="0"/>
    <cacheHierarchy uniqueName="[DimPMTProject].[PostInstallationInspectionApprovalDate]" caption="PostInstallationInspectionApprovalDate" attribute="1" defaultMemberUniqueName="[DimPMTProject].[PostInstallationInspectionApprovalDate].[All]" allUniqueName="[DimPMTProject].[PostInstallationInspectionApprovalDate].[All]" dimensionUniqueName="[DimPMTProject]" displayFolder="" count="0" unbalanced="0"/>
    <cacheHierarchy uniqueName="[DimPMTProject].[PostInstallationInspectionComments]" caption="PostInstallationInspectionComments" attribute="1" defaultMemberUniqueName="[DimPMTProject].[PostInstallationInspectionComments].[All]" allUniqueName="[DimPMTProject].[PostInstallationInspectionComments].[All]" dimensionUniqueName="[DimPMTProject]" displayFolder="" count="0" unbalanced="0"/>
    <cacheHierarchy uniqueName="[DimPMTProject].[PostInstallationInspectionDate]" caption="PostInstallationInspectionDate" attribute="1" defaultMemberUniqueName="[DimPMTProject].[PostInstallationInspectionDate].[All]" allUniqueName="[DimPMTProject].[PostInstallationInspectionDate].[All]" dimensionUniqueName="[DimPMTProject]" displayFolder="" count="0" unbalanced="0"/>
    <cacheHierarchy uniqueName="[DimPMTProject].[PostInstallationInspectorName]" caption="PostInstallationInspectorName" attribute="1" defaultMemberUniqueName="[DimPMTProject].[PostInstallationInspectorName].[All]" allUniqueName="[DimPMTProject].[PostInstallationInspectorName].[All]" dimensionUniqueName="[DimPMTProject]" displayFolder="" count="0" unbalanced="0"/>
    <cacheHierarchy uniqueName="[DimPMTProject].[PreInstallationInspectionApprovalDate]" caption="PreInstallationInspectionApprovalDate" attribute="1" defaultMemberUniqueName="[DimPMTProject].[PreInstallationInspectionApprovalDate].[All]" allUniqueName="[DimPMTProject].[PreInstallationInspectionApprovalDate].[All]" dimensionUniqueName="[DimPMTProject]" displayFolder="" count="0" unbalanced="0"/>
    <cacheHierarchy uniqueName="[DimPMTProject].[PreInstallationInspectionComments]" caption="PreInstallationInspectionComments" attribute="1" defaultMemberUniqueName="[DimPMTProject].[PreInstallationInspectionComments].[All]" allUniqueName="[DimPMTProject].[PreInstallationInspectionComments].[All]" dimensionUniqueName="[DimPMTProject]" displayFolder="" count="0" unbalanced="0"/>
    <cacheHierarchy uniqueName="[DimPMTProject].[PreInstallationInspectionDate]" caption="PreInstallationInspectionDate" attribute="1" defaultMemberUniqueName="[DimPMTProject].[PreInstallationInspectionDate].[All]" allUniqueName="[DimPMTProject].[PreInstallationInspectionDate].[All]" dimensionUniqueName="[DimPMTProject]" displayFolder="" count="0" unbalanced="0"/>
    <cacheHierarchy uniqueName="[DimPMTProject].[PreInstallationInspectorName]" caption="PreInstallationInspectorName" attribute="1" defaultMemberUniqueName="[DimPMTProject].[PreInstallationInspectorName].[All]" allUniqueName="[DimPMTProject].[PreInstallationInspectorName].[All]" dimensionUniqueName="[DimPMTProject]" displayFolder="" count="0" unbalanced="0"/>
    <cacheHierarchy uniqueName="[DimPMTProject].[Premise Address1]" caption="Premise Address1" attribute="1" defaultMemberUniqueName="[DimPMTProject].[Premise Address1].[All]" allUniqueName="[DimPMTProject].[Premise Address1].[All]" dimensionUniqueName="[DimPMTProject]" displayFolder="" count="0" unbalanced="0"/>
    <cacheHierarchy uniqueName="[DimPMTProject].[Premise Address2]" caption="Premise Address2" attribute="1" defaultMemberUniqueName="[DimPMTProject].[Premise Address2].[All]" allUniqueName="[DimPMTProject].[Premise Address2].[All]" dimensionUniqueName="[DimPMTProject]" displayFolder="" count="0" unbalanced="0"/>
    <cacheHierarchy uniqueName="[DimPMTProject].[Premise City]" caption="Premise City" attribute="1" defaultMemberUniqueName="[DimPMTProject].[Premise City].[All]" allUniqueName="[DimPMTProject].[Premise City].[All]" dimensionUniqueName="[DimPMTProject]" displayFolder="" count="0" unbalanced="0"/>
    <cacheHierarchy uniqueName="[DimPMTProject].[Premise ID]" caption="Premise ID" attribute="1" defaultMemberUniqueName="[DimPMTProject].[Premise ID].[All]" allUniqueName="[DimPMTProject].[Premise ID].[All]" dimensionUniqueName="[DimPMTProject]" displayFolder="" count="0" unbalanced="0"/>
    <cacheHierarchy uniqueName="[DimPMTProject].[Premise Name]" caption="Premise Name" attribute="1" defaultMemberUniqueName="[DimPMTProject].[Premise Name].[All]" allUniqueName="[DimPMTProject].[Premise Name].[All]" dimensionUniqueName="[DimPMTProject]" displayFolder="" count="0" unbalanced="0"/>
    <cacheHierarchy uniqueName="[DimPMTProject].[Premise Phone Number]" caption="Premise Phone Number" attribute="1" defaultMemberUniqueName="[DimPMTProject].[Premise Phone Number].[All]" allUniqueName="[DimPMTProject].[Premise Phone Number].[All]" dimensionUniqueName="[DimPMTProject]" displayFolder="" count="0" unbalanced="0"/>
    <cacheHierarchy uniqueName="[DimPMTProject].[Premise State]" caption="Premise State" attribute="1" defaultMemberUniqueName="[DimPMTProject].[Premise State].[All]" allUniqueName="[DimPMTProject].[Premise State].[All]" dimensionUniqueName="[DimPMTProject]" displayFolder="" count="0" unbalanced="0"/>
    <cacheHierarchy uniqueName="[DimPMTProject].[Premise Zip]" caption="Premise Zip" attribute="1" defaultMemberUniqueName="[DimPMTProject].[Premise Zip].[All]" allUniqueName="[DimPMTProject].[Premise Zip].[All]" dimensionUniqueName="[DimPMTProject]" displayFolder="" count="0" unbalanced="0"/>
    <cacheHierarchy uniqueName="[DimPMTProject].[Program Year]" caption="Program Year" attribute="1" defaultMemberUniqueName="[DimPMTProject].[Program Year].[All]" allUniqueName="[DimPMTProject].[Program Year].[All]" dimensionUniqueName="[DimPMTProject]" displayFolder="" count="2" unbalanced="0">
      <fieldsUsage count="2">
        <fieldUsage x="-1"/>
        <fieldUsage x="9"/>
      </fieldsUsage>
    </cacheHierarchy>
    <cacheHierarchy uniqueName="[DimPMTProject].[ProgramAccountingID]" caption="ProgramAccountingID" attribute="1" defaultMemberUniqueName="[DimPMTProject].[ProgramAccountingID].[All]" allUniqueName="[DimPMTProject].[ProgramAccountingID].[All]" dimensionUniqueName="[DimPMTProject]" displayFolder="" count="0" unbalanced="0"/>
    <cacheHierarchy uniqueName="[DimPMTProject].[ProgramCategory]" caption="ProgramCategory" attribute="1" defaultMemberUniqueName="[DimPMTProject].[ProgramCategory].[All]" allUniqueName="[DimPMTProject].[ProgramCategory].[All]" dimensionUniqueName="[DimPMTProject]" displayFolder="" count="0" unbalanced="0"/>
    <cacheHierarchy uniqueName="[DimPMTProject].[ProgramYearSort]" caption="ProgramYearSort" attribute="1" defaultMemberUniqueName="[DimPMTProject].[ProgramYearSort].[All]" allUniqueName="[DimPMTProject].[ProgramYearSort].[All]" dimensionUniqueName="[DimPMTProject]" displayFolder="" count="0" unbalanced="0"/>
    <cacheHierarchy uniqueName="[DimPMTProject].[Project ID]" caption="Project ID" attribute="1" defaultMemberUniqueName="[DimPMTProject].[Project ID].[All]" allUniqueName="[DimPMTProject].[Project ID].[All]" dimensionUniqueName="[DimPMTProject]" displayFolder="" count="0" unbalanced="0"/>
    <cacheHierarchy uniqueName="[DimPMTProject].[Project Name]" caption="Project Name" attribute="1" defaultMemberUniqueName="[DimPMTProject].[Project Name].[All]" allUniqueName="[DimPMTProject].[Project Name].[All]" dimensionUniqueName="[DimPMTProject]" displayFolder="" count="0" unbalanced="0"/>
    <cacheHierarchy uniqueName="[DimPMTProject].[Project Source]" caption="Project Source" attribute="1" defaultMemberUniqueName="[DimPMTProject].[Project Source].[All]" allUniqueName="[DimPMTProject].[Project Source].[All]" dimensionUniqueName="[DimPMTProject]" displayFolder="" count="0" unbalanced="0"/>
    <cacheHierarchy uniqueName="[DimPMTProject].[Project Type]" caption="Project Type" attribute="1" defaultMemberUniqueName="[DimPMTProject].[Project Type].[All]" allUniqueName="[DimPMTProject].[Project Type].[All]" dimensionUniqueName="[DimPMTProject]" displayFolder="" count="2" unbalanced="0">
      <fieldsUsage count="2">
        <fieldUsage x="-1"/>
        <fieldUsage x="7"/>
      </fieldsUsage>
    </cacheHierarchy>
    <cacheHierarchy uniqueName="[DimPMTProject].[ProjectBuildingOrFacility]" caption="ProjectBuildingOrFacility" attribute="1" defaultMemberUniqueName="[DimPMTProject].[ProjectBuildingOrFacility].[All]" allUniqueName="[DimPMTProject].[ProjectBuildingOrFacility].[All]" dimensionUniqueName="[DimPMTProject]" displayFolder="" count="0" unbalanced="0"/>
    <cacheHierarchy uniqueName="[DimPMTProject].[ProjectCategory]" caption="ProjectCategory" attribute="1" defaultMemberUniqueName="[DimPMTProject].[ProjectCategory].[All]" allUniqueName="[DimPMTProject].[ProjectCategory].[All]" dimensionUniqueName="[DimPMTProject]" displayFolder="" count="0" unbalanced="0"/>
    <cacheHierarchy uniqueName="[DimPMTProject].[ProjectShortTitle]" caption="ProjectShortTitle" attribute="1" defaultMemberUniqueName="[DimPMTProject].[ProjectShortTitle].[All]" allUniqueName="[DimPMTProject].[ProjectShortTitle].[All]" dimensionUniqueName="[DimPMTProject]" displayFolder="" count="0" unbalanced="0"/>
    <cacheHierarchy uniqueName="[DimPMTProject].[PromoCode]" caption="PromoCode" attribute="1" defaultMemberUniqueName="[DimPMTProject].[PromoCode].[All]" allUniqueName="[DimPMTProject].[PromoCode].[All]" dimensionUniqueName="[DimPMTProject]" displayFolder="" count="0" unbalanced="0"/>
    <cacheHierarchy uniqueName="[DimPMTProject].[PropertySector]" caption="PropertySector" attribute="1" defaultMemberUniqueName="[DimPMTProject].[PropertySector].[All]" allUniqueName="[DimPMTProject].[PropertySector].[All]" dimensionUniqueName="[DimPMTProject]" displayFolder="" count="2" unbalanced="0">
      <fieldsUsage count="2">
        <fieldUsage x="-1"/>
        <fieldUsage x="10"/>
      </fieldsUsage>
    </cacheHierarchy>
    <cacheHierarchy uniqueName="[DimPMTProject].[PublicSectorClass]" caption="PublicSectorClass" attribute="1" defaultMemberUniqueName="[DimPMTProject].[PublicSectorClass].[All]" allUniqueName="[DimPMTProject].[PublicSectorClass].[All]" dimensionUniqueName="[DimPMTProject]" displayFolder="" count="0" unbalanced="0"/>
    <cacheHierarchy uniqueName="[DimPMTProject].[ReportingReferenceDate]" caption="ReportingReferenceDate" attribute="1" defaultMemberUniqueName="[DimPMTProject].[ReportingReferenceDate].[All]" allUniqueName="[DimPMTProject].[ReportingReferenceDate].[All]" dimensionUniqueName="[DimPMTProject]" displayFolder="" count="0" unbalanced="0"/>
    <cacheHierarchy uniqueName="[DimPMTProject].[ResAnnualkWhSavings]" caption="ResAnnualkWhSavings" attribute="1" defaultMemberUniqueName="[DimPMTProject].[ResAnnualkWhSavings].[All]" allUniqueName="[DimPMTProject].[ResAnnualkWhSavings].[All]" dimensionUniqueName="[DimPMTProject]" displayFolder="" count="0" unbalanced="0"/>
    <cacheHierarchy uniqueName="[DimPMTProject].[ResAnnualPeakkWReduction]" caption="ResAnnualPeakkWReduction" attribute="1" defaultMemberUniqueName="[DimPMTProject].[ResAnnualPeakkWReduction].[All]" allUniqueName="[DimPMTProject].[ResAnnualPeakkWReduction].[All]" dimensionUniqueName="[DimPMTProject]" displayFolder="" count="0" unbalanced="0"/>
    <cacheHierarchy uniqueName="[DimPMTProject].[ResDesignIncentive]" caption="ResDesignIncentive" attribute="1" defaultMemberUniqueName="[DimPMTProject].[ResDesignIncentive].[All]" allUniqueName="[DimPMTProject].[ResDesignIncentive].[All]" dimensionUniqueName="[DimPMTProject]" displayFolder="" count="0" unbalanced="0"/>
    <cacheHierarchy uniqueName="[DimPMTProject].[ResDesignIncentiveAgreementDate]" caption="ResDesignIncentiveAgreementDate" attribute="1" defaultMemberUniqueName="[DimPMTProject].[ResDesignIncentiveAgreementDate].[All]" allUniqueName="[DimPMTProject].[ResDesignIncentiveAgreementDate].[All]" dimensionUniqueName="[DimPMTProject]" displayFolder="" count="0" unbalanced="0"/>
    <cacheHierarchy uniqueName="[DimPMTProject].[ResElectricMeasureIncentive]" caption="ResElectricMeasureIncentive" attribute="1" defaultMemberUniqueName="[DimPMTProject].[ResElectricMeasureIncentive].[All]" allUniqueName="[DimPMTProject].[ResElectricMeasureIncentive].[All]" dimensionUniqueName="[DimPMTProject]" displayFolder="" count="0" unbalanced="0"/>
    <cacheHierarchy uniqueName="[DimPMTProject].[ReservationInteractivekwhSavings]" caption="ReservationInteractivekwhSavings" attribute="1" defaultMemberUniqueName="[DimPMTProject].[ReservationInteractivekwhSavings].[All]" allUniqueName="[DimPMTProject].[ReservationInteractivekwhSavings].[All]" dimensionUniqueName="[DimPMTProject]" displayFolder="" count="0" unbalanced="0"/>
    <cacheHierarchy uniqueName="[DimPMTProject].[ReservationInteractiveThermSavings]" caption="ReservationInteractiveThermSavings" attribute="1" defaultMemberUniqueName="[DimPMTProject].[ReservationInteractiveThermSavings].[All]" allUniqueName="[DimPMTProject].[ReservationInteractiveThermSavings].[All]" dimensionUniqueName="[DimPMTProject]" displayFolder="" count="0" unbalanced="0"/>
    <cacheHierarchy uniqueName="[DimPMTProject].[ReservationkwhIncrease]" caption="ReservationkwhIncrease" attribute="1" defaultMemberUniqueName="[DimPMTProject].[ReservationkwhIncrease].[All]" allUniqueName="[DimPMTProject].[ReservationkwhIncrease].[All]" dimensionUniqueName="[DimPMTProject]" displayFolder="" count="0" unbalanced="0"/>
    <cacheHierarchy uniqueName="[DimPMTProject].[ReservationThermIncrease]" caption="ReservationThermIncrease" attribute="1" defaultMemberUniqueName="[DimPMTProject].[ReservationThermIncrease].[All]" allUniqueName="[DimPMTProject].[ReservationThermIncrease].[All]" dimensionUniqueName="[DimPMTProject]" displayFolder="" count="0" unbalanced="0"/>
    <cacheHierarchy uniqueName="[DimPMTProject].[ResEstAnnualThermSavings]" caption="ResEstAnnualThermSavings" attribute="1" defaultMemberUniqueName="[DimPMTProject].[ResEstAnnualThermSavings].[All]" allUniqueName="[DimPMTProject].[ResEstAnnualThermSavings].[All]" dimensionUniqueName="[DimPMTProject]" displayFolder="" count="0" unbalanced="0"/>
    <cacheHierarchy uniqueName="[DimPMTProject].[ResEstimatedNicorIncentive]" caption="ResEstimatedNicorIncentive" attribute="1" defaultMemberUniqueName="[DimPMTProject].[ResEstimatedNicorIncentive].[All]" allUniqueName="[DimPMTProject].[ResEstimatedNicorIncentive].[All]" dimensionUniqueName="[DimPMTProject]" displayFolder="" count="0" unbalanced="0"/>
    <cacheHierarchy uniqueName="[DimPMTProject].[ResidentialBuildingTypeKey]" caption="ResidentialBuildingTypeKey" attribute="1" defaultMemberUniqueName="[DimPMTProject].[ResidentialBuildingTypeKey].[All]" allUniqueName="[DimPMTProject].[ResidentialBuildingTypeKey].[All]" dimensionUniqueName="[DimPMTProject]" displayFolder="" count="0" unbalanced="0"/>
    <cacheHierarchy uniqueName="[DimPMTProject].[ResMeasureIncentiveAgreementDate]" caption="ResMeasureIncentiveAgreementDate" attribute="1" defaultMemberUniqueName="[DimPMTProject].[ResMeasureIncentiveAgreementDate].[All]" allUniqueName="[DimPMTProject].[ResMeasureIncentiveAgreementDate].[All]" dimensionUniqueName="[DimPMTProject]" displayFolder="" count="0" unbalanced="0"/>
    <cacheHierarchy uniqueName="[DimPMTProject].[ResponseRate]" caption="ResponseRate" attribute="1" defaultMemberUniqueName="[DimPMTProject].[ResponseRate].[All]" allUniqueName="[DimPMTProject].[ResponseRate].[All]" dimensionUniqueName="[DimPMTProject]" displayFolder="" count="0" unbalanced="0"/>
    <cacheHierarchy uniqueName="[DimPMTProject].[RoofType]" caption="RoofType" attribute="1" defaultMemberUniqueName="[DimPMTProject].[RoofType].[All]" allUniqueName="[DimPMTProject].[RoofType].[All]" dimensionUniqueName="[DimPMTProject]" displayFolder="" count="0" unbalanced="0"/>
    <cacheHierarchy uniqueName="[DimPMTProject].[SchoolType]" caption="SchoolType" attribute="1" defaultMemberUniqueName="[DimPMTProject].[SchoolType].[All]" allUniqueName="[DimPMTProject].[SchoolType].[All]" dimensionUniqueName="[DimPMTProject]" displayFolder="" count="0" unbalanced="0"/>
    <cacheHierarchy uniqueName="[DimPMTProject].[Sector]" caption="Sector" attribute="1" defaultMemberUniqueName="[DimPMTProject].[Sector].[All]" allUniqueName="[DimPMTProject].[Sector].[All]" dimensionUniqueName="[DimPMTProject]" displayFolder="" count="0" unbalanced="0"/>
    <cacheHierarchy uniqueName="[DimPMTProject].[SelectedForQAQC]" caption="SelectedForQAQC" attribute="1" defaultMemberUniqueName="[DimPMTProject].[SelectedForQAQC].[All]" allUniqueName="[DimPMTProject].[SelectedForQAQC].[All]" dimensionUniqueName="[DimPMTProject]" displayFolder="" count="0" unbalanced="0"/>
    <cacheHierarchy uniqueName="[DimPMTProject].[SignedServiceAgreementDate]" caption="SignedServiceAgreementDate" attribute="1" defaultMemberUniqueName="[DimPMTProject].[SignedServiceAgreementDate].[All]" allUniqueName="[DimPMTProject].[SignedServiceAgreementDate].[All]" dimensionUniqueName="[DimPMTProject]" displayFolder="" count="0" unbalanced="0"/>
    <cacheHierarchy uniqueName="[DimPMTProject].[SubProgramTypeKey]" caption="SubProgramTypeKey" attribute="1" defaultMemberUniqueName="[DimPMTProject].[SubProgramTypeKey].[All]" allUniqueName="[DimPMTProject].[SubProgramTypeKey].[All]" dimensionUniqueName="[DimPMTProject]" displayFolder="" count="0" unbalanced="0"/>
    <cacheHierarchy uniqueName="[DimPMTProject].[TAAnalysisDeliveryDate]" caption="TAAnalysisDeliveryDate" attribute="1" defaultMemberUniqueName="[DimPMTProject].[TAAnalysisDeliveryDate].[All]" allUniqueName="[DimPMTProject].[TAAnalysisDeliveryDate].[All]" dimensionUniqueName="[DimPMTProject]" displayFolder="" count="0" unbalanced="0"/>
    <cacheHierarchy uniqueName="[DimPMTProject].[TAAnnualEstimatedThermSavings]" caption="TAAnnualEstimatedThermSavings" attribute="1" defaultMemberUniqueName="[DimPMTProject].[TAAnnualEstimatedThermSavings].[All]" allUniqueName="[DimPMTProject].[TAAnnualEstimatedThermSavings].[All]" dimensionUniqueName="[DimPMTProject]" displayFolder="" count="0" unbalanced="0"/>
    <cacheHierarchy uniqueName="[DimPMTProject].[TAAnnualkWhSavings]" caption="TAAnnualkWhSavings" attribute="1" defaultMemberUniqueName="[DimPMTProject].[TAAnnualkWhSavings].[All]" allUniqueName="[DimPMTProject].[TAAnnualkWhSavings].[All]" dimensionUniqueName="[DimPMTProject]" displayFolder="" count="0" unbalanced="0"/>
    <cacheHierarchy uniqueName="[DimPMTProject].[TAAnnualPeakkWReduction]" caption="TAAnnualPeakkWReduction" attribute="1" defaultMemberUniqueName="[DimPMTProject].[TAAnnualPeakkWReduction].[All]" allUniqueName="[DimPMTProject].[TAAnnualPeakkWReduction].[All]" dimensionUniqueName="[DimPMTProject]" displayFolder="" count="0" unbalanced="0"/>
    <cacheHierarchy uniqueName="[DimPMTProject].[TAElectricMeasureIncentive]" caption="TAElectricMeasureIncentive" attribute="1" defaultMemberUniqueName="[DimPMTProject].[TAElectricMeasureIncentive].[All]" allUniqueName="[DimPMTProject].[TAElectricMeasureIncentive].[All]" dimensionUniqueName="[DimPMTProject]" displayFolder="" count="0" unbalanced="0"/>
    <cacheHierarchy uniqueName="[DimPMTProject].[TAEstimatedDesignIncentive]" caption="TAEstimatedDesignIncentive" attribute="1" defaultMemberUniqueName="[DimPMTProject].[TAEstimatedDesignIncentive].[All]" allUniqueName="[DimPMTProject].[TAEstimatedDesignIncentive].[All]" dimensionUniqueName="[DimPMTProject]" displayFolder="" count="0" unbalanced="0"/>
    <cacheHierarchy uniqueName="[DimPMTProject].[TAEstimatedNicorIncentive]" caption="TAEstimatedNicorIncentive" attribute="1" defaultMemberUniqueName="[DimPMTProject].[TAEstimatedNicorIncentive].[All]" allUniqueName="[DimPMTProject].[TAEstimatedNicorIncentive].[All]" dimensionUniqueName="[DimPMTProject]" displayFolder="" count="0" unbalanced="0"/>
    <cacheHierarchy uniqueName="[DimPMTProject].[TAInteractivekwhSavings]" caption="TAInteractivekwhSavings" attribute="1" defaultMemberUniqueName="[DimPMTProject].[TAInteractivekwhSavings].[All]" allUniqueName="[DimPMTProject].[TAInteractivekwhSavings].[All]" dimensionUniqueName="[DimPMTProject]" displayFolder="" count="0" unbalanced="0"/>
    <cacheHierarchy uniqueName="[DimPMTProject].[TAInteractiveThermSavings]" caption="TAInteractiveThermSavings" attribute="1" defaultMemberUniqueName="[DimPMTProject].[TAInteractiveThermSavings].[All]" allUniqueName="[DimPMTProject].[TAInteractiveThermSavings].[All]" dimensionUniqueName="[DimPMTProject]" displayFolder="" count="0" unbalanced="0"/>
    <cacheHierarchy uniqueName="[DimPMTProject].[TAkwhIncrease]" caption="TAkwhIncrease" attribute="1" defaultMemberUniqueName="[DimPMTProject].[TAkwhIncrease].[All]" allUniqueName="[DimPMTProject].[TAkwhIncrease].[All]" dimensionUniqueName="[DimPMTProject]" displayFolder="" count="0" unbalanced="0"/>
    <cacheHierarchy uniqueName="[DimPMTProject].[TAStartDate]" caption="TAStartDate" attribute="1" defaultMemberUniqueName="[DimPMTProject].[TAStartDate].[All]" allUniqueName="[DimPMTProject].[TAStartDate].[All]" dimensionUniqueName="[DimPMTProject]" displayFolder="" count="0" unbalanced="0"/>
    <cacheHierarchy uniqueName="[DimPMTProject].[TAThermIncrease]" caption="TAThermIncrease" attribute="1" defaultMemberUniqueName="[DimPMTProject].[TAThermIncrease].[All]" allUniqueName="[DimPMTProject].[TAThermIncrease].[All]" dimensionUniqueName="[DimPMTProject]" displayFolder="" count="0" unbalanced="0"/>
    <cacheHierarchy uniqueName="[DimPMTProject].[TechnologicalMaturityScore]" caption="TechnologicalMaturityScore" attribute="1" defaultMemberUniqueName="[DimPMTProject].[TechnologicalMaturityScore].[All]" allUniqueName="[DimPMTProject].[TechnologicalMaturityScore].[All]" dimensionUniqueName="[DimPMTProject]" displayFolder="" count="0" unbalanced="0"/>
    <cacheHierarchy uniqueName="[DimPMTProject].[TenantHotWaterFuelSource]" caption="TenantHotWaterFuelSource" attribute="1" defaultMemberUniqueName="[DimPMTProject].[TenantHotWaterFuelSource].[All]" allUniqueName="[DimPMTProject].[TenantHotWaterFuelSource].[All]" dimensionUniqueName="[DimPMTProject]" displayFolder="" count="0" unbalanced="0"/>
    <cacheHierarchy uniqueName="[DimPMTProject].[TenantType]" caption="TenantType" attribute="1" defaultMemberUniqueName="[DimPMTProject].[TenantType].[All]" allUniqueName="[DimPMTProject].[TenantType].[All]" dimensionUniqueName="[DimPMTProject]" displayFolder="" count="0" unbalanced="0"/>
    <cacheHierarchy uniqueName="[DimPMTProject].[TotalWeightedScore]" caption="TotalWeightedScore" attribute="1" defaultMemberUniqueName="[DimPMTProject].[TotalWeightedScore].[All]" allUniqueName="[DimPMTProject].[TotalWeightedScore].[All]" dimensionUniqueName="[DimPMTProject]" displayFolder="" count="0" unbalanced="0"/>
    <cacheHierarchy uniqueName="[DimPMTProject].[UnitCeilingHeight]" caption="UnitCeilingHeight" attribute="1" defaultMemberUniqueName="[DimPMTProject].[UnitCeilingHeight].[All]" allUniqueName="[DimPMTProject].[UnitCeilingHeight].[All]" dimensionUniqueName="[DimPMTProject]" displayFolder="" count="0" unbalanced="0"/>
    <cacheHierarchy uniqueName="[DimPMTProject].[UnitNumber]" caption="UnitNumber" attribute="1" defaultMemberUniqueName="[DimPMTProject].[UnitNumber].[All]" allUniqueName="[DimPMTProject].[UnitNumber].[All]" dimensionUniqueName="[DimPMTProject]" displayFolder="" count="0" unbalanced="0"/>
    <cacheHierarchy uniqueName="[DimPMTProject].[ValueScore]" caption="ValueScore" attribute="1" defaultMemberUniqueName="[DimPMTProject].[ValueScore].[All]" allUniqueName="[DimPMTProject].[ValueScore].[All]" dimensionUniqueName="[DimPMTProject]" displayFolder="" count="0" unbalanced="0"/>
    <cacheHierarchy uniqueName="[DimPMTProject].[VerAnnualkWhSavings]" caption="VerAnnualkWhSavings" attribute="1" defaultMemberUniqueName="[DimPMTProject].[VerAnnualkWhSavings].[All]" allUniqueName="[DimPMTProject].[VerAnnualkWhSavings].[All]" dimensionUniqueName="[DimPMTProject]" displayFolder="" count="0" unbalanced="0"/>
    <cacheHierarchy uniqueName="[DimPMTProject].[VerAnnualPeakkWReduction]" caption="VerAnnualPeakkWReduction" attribute="1" defaultMemberUniqueName="[DimPMTProject].[VerAnnualPeakkWReduction].[All]" allUniqueName="[DimPMTProject].[VerAnnualPeakkWReduction].[All]" dimensionUniqueName="[DimPMTProject]" displayFolder="" count="0" unbalanced="0"/>
    <cacheHierarchy uniqueName="[DimPMTProject].[VerAnnualThermSavings]" caption="VerAnnualThermSavings" attribute="1" defaultMemberUniqueName="[DimPMTProject].[VerAnnualThermSavings].[All]" allUniqueName="[DimPMTProject].[VerAnnualThermSavings].[All]" dimensionUniqueName="[DimPMTProject]" displayFolder="" count="0" unbalanced="0"/>
    <cacheHierarchy uniqueName="[DimPMTProject].[VerDesignIncentive]" caption="VerDesignIncentive" attribute="1" defaultMemberUniqueName="[DimPMTProject].[VerDesignIncentive].[All]" allUniqueName="[DimPMTProject].[VerDesignIncentive].[All]" dimensionUniqueName="[DimPMTProject]" displayFolder="" count="0" unbalanced="0"/>
    <cacheHierarchy uniqueName="[DimPMTProject].[VerElectricMeasureIncentive]" caption="VerElectricMeasureIncentive" attribute="1" defaultMemberUniqueName="[DimPMTProject].[VerElectricMeasureIncentive].[All]" allUniqueName="[DimPMTProject].[VerElectricMeasureIncentive].[All]" dimensionUniqueName="[DimPMTProject]" displayFolder="" count="0" unbalanced="0"/>
    <cacheHierarchy uniqueName="[DimPMTProject].[VerificationInteractivekwhSavings]" caption="VerificationInteractivekwhSavings" attribute="1" defaultMemberUniqueName="[DimPMTProject].[VerificationInteractivekwhSavings].[All]" allUniqueName="[DimPMTProject].[VerificationInteractivekwhSavings].[All]" dimensionUniqueName="[DimPMTProject]" displayFolder="" count="0" unbalanced="0"/>
    <cacheHierarchy uniqueName="[DimPMTProject].[VerificationInteractiveThermSavings]" caption="VerificationInteractiveThermSavings" attribute="1" defaultMemberUniqueName="[DimPMTProject].[VerificationInteractiveThermSavings].[All]" allUniqueName="[DimPMTProject].[VerificationInteractiveThermSavings].[All]" dimensionUniqueName="[DimPMTProject]" displayFolder="" count="0" unbalanced="0"/>
    <cacheHierarchy uniqueName="[DimPMTProject].[VerificationkwhIncrease]" caption="VerificationkwhIncrease" attribute="1" defaultMemberUniqueName="[DimPMTProject].[VerificationkwhIncrease].[All]" allUniqueName="[DimPMTProject].[VerificationkwhIncrease].[All]" dimensionUniqueName="[DimPMTProject]" displayFolder="" count="0" unbalanced="0"/>
    <cacheHierarchy uniqueName="[DimPMTProject].[VerificationPhaseDate]" caption="VerificationPhaseDate" attribute="1" defaultMemberUniqueName="[DimPMTProject].[VerificationPhaseDate].[All]" allUniqueName="[DimPMTProject].[VerificationPhaseDate].[All]" dimensionUniqueName="[DimPMTProject]" displayFolder="" count="0" unbalanced="0"/>
    <cacheHierarchy uniqueName="[DimPMTProject].[VerificationThermIncrease]" caption="VerificationThermIncrease" attribute="1" defaultMemberUniqueName="[DimPMTProject].[VerificationThermIncrease].[All]" allUniqueName="[DimPMTProject].[VerificationThermIncrease].[All]" dimensionUniqueName="[DimPMTProject]" displayFolder="" count="0" unbalanced="0"/>
    <cacheHierarchy uniqueName="[DimPMTProject].[VerificationType]" caption="VerificationType" attribute="1" defaultMemberUniqueName="[DimPMTProject].[VerificationType].[All]" allUniqueName="[DimPMTProject].[VerificationType].[All]" dimensionUniqueName="[DimPMTProject]" displayFolder="" count="0" unbalanced="0"/>
    <cacheHierarchy uniqueName="[DimPMTProject].[VerNicorIncentive]" caption="VerNicorIncentive" attribute="1" defaultMemberUniqueName="[DimPMTProject].[VerNicorIncentive].[All]" allUniqueName="[DimPMTProject].[VerNicorIncentive].[All]" dimensionUniqueName="[DimPMTProject]" displayFolder="" count="0" unbalanced="0"/>
    <cacheHierarchy uniqueName="[DimPMTProject].[VerSiteVisitDate]" caption="VerSiteVisitDate" attribute="1" defaultMemberUniqueName="[DimPMTProject].[VerSiteVisitDate].[All]" allUniqueName="[DimPMTProject].[VerSiteVisitDate].[All]" dimensionUniqueName="[DimPMTProject]" displayFolder="" count="0" unbalanced="0"/>
    <cacheHierarchy uniqueName="[DimPMTProject].[Year Built]" caption="Year Built" attribute="1" defaultMemberUniqueName="[DimPMTProject].[Year Built].[All]" allUniqueName="[DimPMTProject].[Year Built].[All]" dimensionUniqueName="[DimPMTProject]" displayFolder="" count="0" unbalanced="0"/>
    <cacheHierarchy uniqueName="[DimPMTSystem].[Age]" caption="Age" attribute="1" defaultMemberUniqueName="[DimPMTSystem].[Age].[All]" allUniqueName="[DimPMTSystem].[Age].[All]" dimensionUniqueName="[DimPMTSystem]" displayFolder="" count="0" unbalanced="0"/>
    <cacheHierarchy uniqueName="[DimPMTSystem].[Cooling System Type]" caption="Cooling System Type" attribute="1" defaultMemberUniqueName="[DimPMTSystem].[Cooling System Type].[All]" allUniqueName="[DimPMTSystem].[Cooling System Type].[All]" dimensionUniqueName="[DimPMTSystem]" displayFolder="" count="0" unbalanced="0"/>
    <cacheHierarchy uniqueName="[DimPMTSystem].[DHW System Type]" caption="DHW System Type" attribute="1" defaultMemberUniqueName="[DimPMTSystem].[DHW System Type].[All]" allUniqueName="[DimPMTSystem].[DHW System Type].[All]" dimensionUniqueName="[DimPMTSystem]" displayFolder="" count="0" unbalanced="0"/>
    <cacheHierarchy uniqueName="[DimPMTSystem].[Equipment AFUE]" caption="Equipment AFUE" attribute="1" defaultMemberUniqueName="[DimPMTSystem].[Equipment AFUE].[All]" allUniqueName="[DimPMTSystem].[Equipment AFUE].[All]" dimensionUniqueName="[DimPMTSystem]" displayFolder="" count="0" unbalanced="0"/>
    <cacheHierarchy uniqueName="[DimPMTSystem].[Fuel Type]" caption="Fuel Type" attribute="1" defaultMemberUniqueName="[DimPMTSystem].[Fuel Type].[All]" allUniqueName="[DimPMTSystem].[Fuel Type].[All]" dimensionUniqueName="[DimPMTSystem]" displayFolder="" count="0" unbalanced="0"/>
    <cacheHierarchy uniqueName="[DimPMTSystem].[Heating System type]" caption="Heating System type" attribute="1" defaultMemberUniqueName="[DimPMTSystem].[Heating System type].[All]" allUniqueName="[DimPMTSystem].[Heating System type].[All]" dimensionUniqueName="[DimPMTSystem]" displayFolder="" count="0" unbalanced="0"/>
    <cacheHierarchy uniqueName="[DimPMTSystem].[Input kBTUh]" caption="Input kBTUh" attribute="1" defaultMemberUniqueName="[DimPMTSystem].[Input kBTUh].[All]" allUniqueName="[DimPMTSystem].[Input kBTUh].[All]" dimensionUniqueName="[DimPMTSystem]" displayFolder="" count="0" unbalanced="0"/>
    <cacheHierarchy uniqueName="[DimPMTSystem].[OutputCapactity KBTUh]" caption="OutputCapactity KBTUh" attribute="1" defaultMemberUniqueName="[DimPMTSystem].[OutputCapactity KBTUh].[All]" allUniqueName="[DimPMTSystem].[OutputCapactity KBTUh].[All]" dimensionUniqueName="[DimPMTSystem]" displayFolder="" count="0" unbalanced="0"/>
    <cacheHierarchy uniqueName="[DimPMTSystem].[Type]" caption="Type" attribute="1" defaultMemberUniqueName="[DimPMTSystem].[Type].[All]" allUniqueName="[DimPMTSystem].[Type].[All]" dimensionUniqueName="[DimPMTSystem]" displayFolder="" count="0" unbalanced="0"/>
    <cacheHierarchy uniqueName="[DimProjectTradeAlly].[TradeAllyKey]" caption="TradeAllyKey" attribute="1" defaultMemberUniqueName="[DimProjectTradeAlly].[TradeAllyKey].[All]" allUniqueName="[DimProjectTradeAlly].[TradeAllyKey].[All]" dimensionUniqueName="[DimProjectTradeAlly]" displayFolder="" count="0" unbalanced="0"/>
    <cacheHierarchy uniqueName="[DimRateSchedule].[RateSchedule Code]" caption="RateSchedule Code" attribute="1" defaultMemberUniqueName="[DimRateSchedule].[RateSchedule Code].[All]" allUniqueName="[DimRateSchedule].[RateSchedule Code].[All]" dimensionUniqueName="[DimRateSchedule]" displayFolder="" count="0" unbalanced="0"/>
    <cacheHierarchy uniqueName="[DimRateSchedule].[RateSchedule Description]" caption="RateSchedule Description" attribute="1" defaultMemberUniqueName="[DimRateSchedule].[RateSchedule Description].[All]" allUniqueName="[DimRateSchedule].[RateSchedule Description].[All]" dimensionUniqueName="[DimRateSchedule]" displayFolder="" count="0" unbalanced="0"/>
    <cacheHierarchy uniqueName="[DimRateSchedule].[RateSchedule GroupCode]" caption="RateSchedule GroupCode" attribute="1" defaultMemberUniqueName="[DimRateSchedule].[RateSchedule GroupCode].[All]" allUniqueName="[DimRateSchedule].[RateSchedule GroupCode].[All]" dimensionUniqueName="[DimRateSchedule]" displayFolder="" count="0" unbalanced="0"/>
    <cacheHierarchy uniqueName="[DimReadType].[ReadType Code]" caption="ReadType Code" attribute="1" defaultMemberUniqueName="[DimReadType].[ReadType Code].[All]" allUniqueName="[DimReadType].[ReadType Code].[All]" dimensionUniqueName="[DimReadType]" displayFolder="" count="0" unbalanced="0"/>
    <cacheHierarchy uniqueName="[DimReadType].[ReadType Description]" caption="ReadType Description" attribute="1" defaultMemberUniqueName="[DimReadType].[ReadType Description].[All]" allUniqueName="[DimReadType].[ReadType Description].[All]" dimensionUniqueName="[DimReadType]" displayFolder="" count="0" unbalanced="0"/>
    <cacheHierarchy uniqueName="[DimReferralSource].[Referral Source Code]" caption="Referral Source Code" attribute="1" defaultMemberUniqueName="[DimReferralSource].[Referral Source Code].[All]" allUniqueName="[DimReferralSource].[Referral Source Code].[All]" dimensionUniqueName="[DimReferralSource]" displayFolder="" count="0" unbalanced="0"/>
    <cacheHierarchy uniqueName="[DimResidentialAccountSegment].[AccountID]" caption="AccountID" attribute="1" defaultMemberUniqueName="[DimResidentialAccountSegment].[AccountID].[All]" allUniqueName="[DimResidentialAccountSegment].[AccountID].[All]" dimensionUniqueName="[DimResidentialAccountSegment]" displayFolder="" count="0" unbalanced="0"/>
    <cacheHierarchy uniqueName="[DimResidentialAccountSegment].[ADLTCNT]" caption="ADLTCNT" attribute="1" defaultMemberUniqueName="[DimResidentialAccountSegment].[ADLTCNT].[All]" allUniqueName="[DimResidentialAccountSegment].[ADLTCNT].[All]" dimensionUniqueName="[DimResidentialAccountSegment]" displayFolder="" count="0" unbalanced="0"/>
    <cacheHierarchy uniqueName="[DimResidentialAccountSegment].[Age]" caption="Age" attribute="1" defaultMemberUniqueName="[DimResidentialAccountSegment].[Age].[All]" allUniqueName="[DimResidentialAccountSegment].[Age].[All]" dimensionUniqueName="[DimResidentialAccountSegment]" displayFolder="" count="0" unbalanced="0"/>
    <cacheHierarchy uniqueName="[DimResidentialAccountSegment].[ArtBundle]" caption="ArtBundle" attribute="1" defaultMemberUniqueName="[DimResidentialAccountSegment].[ArtBundle].[All]" allUniqueName="[DimResidentialAccountSegment].[ArtBundle].[All]" dimensionUniqueName="[DimResidentialAccountSegment]" displayFolder="" count="0" unbalanced="0"/>
    <cacheHierarchy uniqueName="[DimResidentialAccountSegment].[AutomotiveDIY]" caption="AutomotiveDIY" attribute="1" defaultMemberUniqueName="[DimResidentialAccountSegment].[AutomotiveDIY].[All]" allUniqueName="[DimResidentialAccountSegment].[AutomotiveDIY].[All]" dimensionUniqueName="[DimResidentialAccountSegment]" displayFolder="" count="0" unbalanced="0"/>
    <cacheHierarchy uniqueName="[DimResidentialAccountSegment].[AvidInterestinBoating]" caption="AvidInterestinBoating" attribute="1" defaultMemberUniqueName="[DimResidentialAccountSegment].[AvidInterestinBoating].[All]" allUniqueName="[DimResidentialAccountSegment].[AvidInterestinBoating].[All]" dimensionUniqueName="[DimResidentialAccountSegment]" displayFolder="" count="0" unbalanced="0"/>
    <cacheHierarchy uniqueName="[DimResidentialAccountSegment].[AvidInterestinMotorcycling]" caption="AvidInterestinMotorcycling" attribute="1" defaultMemberUniqueName="[DimResidentialAccountSegment].[AvidInterestinMotorcycling].[All]" allUniqueName="[DimResidentialAccountSegment].[AvidInterestinMotorcycling].[All]" dimensionUniqueName="[DimResidentialAccountSegment]" displayFolder="" count="0" unbalanced="0"/>
    <cacheHierarchy uniqueName="[DimResidentialAccountSegment].[AvidInvestors]" caption="AvidInvestors" attribute="1" defaultMemberUniqueName="[DimResidentialAccountSegment].[AvidInvestors].[All]" allUniqueName="[DimResidentialAccountSegment].[AvidInvestors].[All]" dimensionUniqueName="[DimResidentialAccountSegment]" displayFolder="" count="0" unbalanced="0"/>
    <cacheHierarchy uniqueName="[DimResidentialAccountSegment].[BookBuyers]" caption="BookBuyers" attribute="1" defaultMemberUniqueName="[DimResidentialAccountSegment].[BookBuyers].[All]" allUniqueName="[DimResidentialAccountSegment].[BookBuyers].[All]" dimensionUniqueName="[DimResidentialAccountSegment]" displayFolder="" count="0" unbalanced="0"/>
    <cacheHierarchy uniqueName="[DimResidentialAccountSegment].[BookReaders]" caption="BookReaders" attribute="1" defaultMemberUniqueName="[DimResidentialAccountSegment].[BookReaders].[All]" allUniqueName="[DimResidentialAccountSegment].[BookReaders].[All]" dimensionUniqueName="[DimResidentialAccountSegment]" displayFolder="" count="0" unbalanced="0"/>
    <cacheHierarchy uniqueName="[DimResidentialAccountSegment].[CHLDCNT]" caption="CHLDCNT" attribute="1" defaultMemberUniqueName="[DimResidentialAccountSegment].[CHLDCNT].[All]" allUniqueName="[DimResidentialAccountSegment].[CHLDCNT].[All]" dimensionUniqueName="[DimResidentialAccountSegment]" displayFolder="" count="0" unbalanced="0"/>
    <cacheHierarchy uniqueName="[DimResidentialAccountSegment].[CollectiblesBundle]" caption="CollectiblesBundle" attribute="1" defaultMemberUniqueName="[DimResidentialAccountSegment].[CollectiblesBundle].[All]" allUniqueName="[DimResidentialAccountSegment].[CollectiblesBundle].[All]" dimensionUniqueName="[DimResidentialAccountSegment]" displayFolder="" count="0" unbalanced="0"/>
    <cacheHierarchy uniqueName="[DimResidentialAccountSegment].[ConsumerSegment]" caption="ConsumerSegment" attribute="1" defaultMemberUniqueName="[DimResidentialAccountSegment].[ConsumerSegment].[All]" allUniqueName="[DimResidentialAccountSegment].[ConsumerSegment].[All]" dimensionUniqueName="[DimResidentialAccountSegment]" displayFolder="" count="0" unbalanced="0"/>
    <cacheHierarchy uniqueName="[DimResidentialAccountSegment].[CookingandWine]" caption="CookingandWine" attribute="1" defaultMemberUniqueName="[DimResidentialAccountSegment].[CookingandWine].[All]" allUniqueName="[DimResidentialAccountSegment].[CookingandWine].[All]" dimensionUniqueName="[DimResidentialAccountSegment]" displayFolder="" count="0" unbalanced="0"/>
    <cacheHierarchy uniqueName="[DimResidentialAccountSegment].[CreditCardUser]" caption="CreditCardUser" attribute="1" defaultMemberUniqueName="[DimResidentialAccountSegment].[CreditCardUser].[All]" allUniqueName="[DimResidentialAccountSegment].[CreditCardUser].[All]" dimensionUniqueName="[DimResidentialAccountSegment]" displayFolder="" count="0" unbalanced="0"/>
    <cacheHierarchy uniqueName="[DimResidentialAccountSegment].[DonatortoCharityorCauses]" caption="DonatortoCharityorCauses" attribute="1" defaultMemberUniqueName="[DimResidentialAccountSegment].[DonatortoCharityorCauses].[All]" allUniqueName="[DimResidentialAccountSegment].[DonatortoCharityorCauses].[All]" dimensionUniqueName="[DimResidentialAccountSegment]" displayFolder="" count="0" unbalanced="0"/>
    <cacheHierarchy uniqueName="[DimResidentialAccountSegment].[DwellingType]" caption="DwellingType" attribute="1" defaultMemberUniqueName="[DimResidentialAccountSegment].[DwellingType].[All]" allUniqueName="[DimResidentialAccountSegment].[DwellingType].[All]" dimensionUniqueName="[DimResidentialAccountSegment]" displayFolder="" count="0" unbalanced="0"/>
    <cacheHierarchy uniqueName="[DimResidentialAccountSegment].[Education]" caption="Education" attribute="1" defaultMemberUniqueName="[DimResidentialAccountSegment].[Education].[All]" allUniqueName="[DimResidentialAccountSegment].[Education].[All]" dimensionUniqueName="[DimResidentialAccountSegment]" displayFolder="" count="0" unbalanced="0"/>
    <cacheHierarchy uniqueName="[DimResidentialAccountSegment].[Email]" caption="Email" attribute="1" defaultMemberUniqueName="[DimResidentialAccountSegment].[Email].[All]" allUniqueName="[DimResidentialAccountSegment].[Email].[All]" dimensionUniqueName="[DimResidentialAccountSegment]" displayFolder="" count="0" unbalanced="0"/>
    <cacheHierarchy uniqueName="[DimResidentialAccountSegment].[EMFlag]" caption="EMFlag" attribute="1" defaultMemberUniqueName="[DimResidentialAccountSegment].[EMFlag].[All]" allUniqueName="[DimResidentialAccountSegment].[EMFlag].[All]" dimensionUniqueName="[DimResidentialAccountSegment]" displayFolder="" count="0" unbalanced="0"/>
    <cacheHierarchy uniqueName="[DimResidentialAccountSegment].[EnergyScore]" caption="EnergyScore" attribute="1" defaultMemberUniqueName="[DimResidentialAccountSegment].[EnergyScore].[All]" allUniqueName="[DimResidentialAccountSegment].[EnergyScore].[All]" dimensionUniqueName="[DimResidentialAccountSegment]" displayFolder="" count="0" unbalanced="0"/>
    <cacheHierarchy uniqueName="[DimResidentialAccountSegment].[Ethnicity]" caption="Ethnicity" attribute="1" defaultMemberUniqueName="[DimResidentialAccountSegment].[Ethnicity].[All]" allUniqueName="[DimResidentialAccountSegment].[Ethnicity].[All]" dimensionUniqueName="[DimResidentialAccountSegment]" displayFolder="" count="0" unbalanced="0"/>
    <cacheHierarchy uniqueName="[DimResidentialAccountSegment].[FAMCNT]" caption="FAMCNT" attribute="1" defaultMemberUniqueName="[DimResidentialAccountSegment].[FAMCNT].[All]" allUniqueName="[DimResidentialAccountSegment].[FAMCNT].[All]" dimensionUniqueName="[DimResidentialAccountSegment]" displayFolder="" count="0" unbalanced="0"/>
    <cacheHierarchy uniqueName="[DimResidentialAccountSegment].[FireplaceinHome]" caption="FireplaceinHome" attribute="1" defaultMemberUniqueName="[DimResidentialAccountSegment].[FireplaceinHome].[All]" allUniqueName="[DimResidentialAccountSegment].[FireplaceinHome].[All]" dimensionUniqueName="[DimResidentialAccountSegment]" displayFolder="" count="0" unbalanced="0"/>
    <cacheHierarchy uniqueName="[DimResidentialAccountSegment].[GamingandGambling]" caption="GamingandGambling" attribute="1" defaultMemberUniqueName="[DimResidentialAccountSegment].[GamingandGambling].[All]" allUniqueName="[DimResidentialAccountSegment].[GamingandGambling].[All]" dimensionUniqueName="[DimResidentialAccountSegment]" displayFolder="" count="0" unbalanced="0"/>
    <cacheHierarchy uniqueName="[DimResidentialAccountSegment].[Gender]" caption="Gender" attribute="1" defaultMemberUniqueName="[DimResidentialAccountSegment].[Gender].[All]" allUniqueName="[DimResidentialAccountSegment].[Gender].[All]" dimensionUniqueName="[DimResidentialAccountSegment]" displayFolder="" count="0" unbalanced="0"/>
    <cacheHierarchy uniqueName="[DimResidentialAccountSegment].[HiTech]" caption="HiTech" attribute="1" defaultMemberUniqueName="[DimResidentialAccountSegment].[HiTech].[All]" allUniqueName="[DimResidentialAccountSegment].[HiTech].[All]" dimensionUniqueName="[DimResidentialAccountSegment]" displayFolder="" count="0" unbalanced="0"/>
    <cacheHierarchy uniqueName="[DimResidentialAccountSegment].[HobbiesHomeandGardenBundle]" caption="HobbiesHomeandGardenBundle" attribute="1" defaultMemberUniqueName="[DimResidentialAccountSegment].[HobbiesHomeandGardenBundle].[All]" allUniqueName="[DimResidentialAccountSegment].[HobbiesHomeandGardenBundle].[All]" dimensionUniqueName="[DimResidentialAccountSegment]" displayFolder="" count="0" unbalanced="0"/>
    <cacheHierarchy uniqueName="[DimResidentialAccountSegment].[HomeImprovement]" caption="HomeImprovement" attribute="1" defaultMemberUniqueName="[DimResidentialAccountSegment].[HomeImprovement].[All]" allUniqueName="[DimResidentialAccountSegment].[HomeImprovement].[All]" dimensionUniqueName="[DimResidentialAccountSegment]" displayFolder="" count="0" unbalanced="0"/>
    <cacheHierarchy uniqueName="[DimResidentialAccountSegment].[HomeMarketValue]" caption="HomeMarketValue" attribute="1" defaultMemberUniqueName="[DimResidentialAccountSegment].[HomeMarketValue].[All]" allUniqueName="[DimResidentialAccountSegment].[HomeMarketValue].[All]" dimensionUniqueName="[DimResidentialAccountSegment]" displayFolder="" count="0" unbalanced="0"/>
    <cacheHierarchy uniqueName="[DimResidentialAccountSegment].[Homeowner]" caption="Homeowner" attribute="1" defaultMemberUniqueName="[DimResidentialAccountSegment].[Homeowner].[All]" allUniqueName="[DimResidentialAccountSegment].[Homeowner].[All]" dimensionUniqueName="[DimResidentialAccountSegment]" displayFolder="" count="0" unbalanced="0"/>
    <cacheHierarchy uniqueName="[DimResidentialAccountSegment].[LengthofRes]" caption="LengthofRes" attribute="1" defaultMemberUniqueName="[DimResidentialAccountSegment].[LengthofRes].[All]" allUniqueName="[DimResidentialAccountSegment].[LengthofRes].[All]" dimensionUniqueName="[DimResidentialAccountSegment]" displayFolder="" count="0" unbalanced="0"/>
    <cacheHierarchy uniqueName="[DimResidentialAccountSegment].[LuxuryVehicleOwner]" caption="LuxuryVehicleOwner" attribute="1" defaultMemberUniqueName="[DimResidentialAccountSegment].[LuxuryVehicleOwner].[All]" allUniqueName="[DimResidentialAccountSegment].[LuxuryVehicleOwner].[All]" dimensionUniqueName="[DimResidentialAccountSegment]" displayFolder="" count="0" unbalanced="0"/>
    <cacheHierarchy uniqueName="[DimResidentialAccountSegment].[MaritalStatus]" caption="MaritalStatus" attribute="1" defaultMemberUniqueName="[DimResidentialAccountSegment].[MaritalStatus].[All]" allUniqueName="[DimResidentialAccountSegment].[MaritalStatus].[All]" dimensionUniqueName="[DimResidentialAccountSegment]" displayFolder="" count="0" unbalanced="0"/>
    <cacheHierarchy uniqueName="[DimResidentialAccountSegment].[MensApparelPurchasingIndicator]" caption="MensApparelPurchasingIndicator" attribute="1" defaultMemberUniqueName="[DimResidentialAccountSegment].[MensApparelPurchasingIndicator].[All]" allUniqueName="[DimResidentialAccountSegment].[MensApparelPurchasingIndicator].[All]" dimensionUniqueName="[DimResidentialAccountSegment]" displayFolder="" count="0" unbalanced="0"/>
    <cacheHierarchy uniqueName="[DimResidentialAccountSegment].[MobileHomeIndicator]" caption="MobileHomeIndicator" attribute="1" defaultMemberUniqueName="[DimResidentialAccountSegment].[MobileHomeIndicator].[All]" allUniqueName="[DimResidentialAccountSegment].[MobileHomeIndicator].[All]" dimensionUniqueName="[DimResidentialAccountSegment]" displayFolder="" count="0" unbalanced="0"/>
    <cacheHierarchy uniqueName="[DimResidentialAccountSegment].[Outdoors]" caption="Outdoors" attribute="1" defaultMemberUniqueName="[DimResidentialAccountSegment].[Outdoors].[All]" allUniqueName="[DimResidentialAccountSegment].[Outdoors].[All]" dimensionUniqueName="[DimResidentialAccountSegment]" displayFolder="" count="0" unbalanced="0"/>
    <cacheHierarchy uniqueName="[DimResidentialAccountSegment].[ParentingandChldrensInterestBundle]" caption="ParentingandChldrensInterestBundle" attribute="1" defaultMemberUniqueName="[DimResidentialAccountSegment].[ParentingandChldrensInterestBundle].[All]" allUniqueName="[DimResidentialAccountSegment].[ParentingandChldrensInterestBundle].[All]" dimensionUniqueName="[DimResidentialAccountSegment]" displayFolder="" count="0" unbalanced="0"/>
    <cacheHierarchy uniqueName="[DimResidentialAccountSegment].[PetLoversorOwners]" caption="PetLoversorOwners" attribute="1" defaultMemberUniqueName="[DimResidentialAccountSegment].[PetLoversorOwners].[All]" allUniqueName="[DimResidentialAccountSegment].[PetLoversorOwners].[All]" dimensionUniqueName="[DimResidentialAccountSegment]" displayFolder="" count="0" unbalanced="0"/>
    <cacheHierarchy uniqueName="[DimResidentialAccountSegment].[PhysicalFitness]" caption="PhysicalFitness" attribute="1" defaultMemberUniqueName="[DimResidentialAccountSegment].[PhysicalFitness].[All]" allUniqueName="[DimResidentialAccountSegment].[PhysicalFitness].[All]" dimensionUniqueName="[DimResidentialAccountSegment]" displayFolder="" count="0" unbalanced="0"/>
    <cacheHierarchy uniqueName="[DimResidentialAccountSegment].[PickupTruckOwner]" caption="PickupTruckOwner" attribute="1" defaultMemberUniqueName="[DimResidentialAccountSegment].[PickupTruckOwner].[All]" allUniqueName="[DimResidentialAccountSegment].[PickupTruckOwner].[All]" dimensionUniqueName="[DimResidentialAccountSegment]" displayFolder="" count="0" unbalanced="0"/>
    <cacheHierarchy uniqueName="[DimResidentialAccountSegment].[PoolOwner]" caption="PoolOwner" attribute="1" defaultMemberUniqueName="[DimResidentialAccountSegment].[PoolOwner].[All]" allUniqueName="[DimResidentialAccountSegment].[PoolOwner].[All]" dimensionUniqueName="[DimResidentialAccountSegment]" displayFolder="" count="0" unbalanced="0"/>
    <cacheHierarchy uniqueName="[DimResidentialAccountSegment].[PovertyThreshold]" caption="PovertyThreshold" attribute="1" defaultMemberUniqueName="[DimResidentialAccountSegment].[PovertyThreshold].[All]" allUniqueName="[DimResidentialAccountSegment].[PovertyThreshold].[All]" dimensionUniqueName="[DimResidentialAccountSegment]" displayFolder="" count="0" unbalanced="0"/>
    <cacheHierarchy uniqueName="[DimResidentialAccountSegment].[PriceClubandvaluePurchasingIndicator]" caption="PriceClubandvaluePurchasingIndicator" attribute="1" defaultMemberUniqueName="[DimResidentialAccountSegment].[PriceClubandvaluePurchasingIndicator].[All]" allUniqueName="[DimResidentialAccountSegment].[PriceClubandvaluePurchasingIndicator].[All]" dimensionUniqueName="[DimResidentialAccountSegment]" displayFolder="" count="0" unbalanced="0"/>
    <cacheHierarchy uniqueName="[DimResidentialAccountSegment].[PurchasingPowerScore]" caption="PurchasingPowerScore" attribute="1" defaultMemberUniqueName="[DimResidentialAccountSegment].[PurchasingPowerScore].[All]" allUniqueName="[DimResidentialAccountSegment].[PurchasingPowerScore].[All]" dimensionUniqueName="[DimResidentialAccountSegment]" displayFolder="" count="0" unbalanced="0"/>
    <cacheHierarchy uniqueName="[DimResidentialAccountSegment].[SelfImprovement]" caption="SelfImprovement" attribute="1" defaultMemberUniqueName="[DimResidentialAccountSegment].[SelfImprovement].[All]" allUniqueName="[DimResidentialAccountSegment].[SelfImprovement].[All]" dimensionUniqueName="[DimResidentialAccountSegment]" displayFolder="" count="0" unbalanced="0"/>
    <cacheHierarchy uniqueName="[DimResidentialAccountSegment].[SeniorinHouseHold]" caption="SeniorinHouseHold" attribute="1" defaultMemberUniqueName="[DimResidentialAccountSegment].[SeniorinHouseHold].[All]" allUniqueName="[DimResidentialAccountSegment].[SeniorinHouseHold].[All]" dimensionUniqueName="[DimResidentialAccountSegment]" displayFolder="" count="0" unbalanced="0"/>
    <cacheHierarchy uniqueName="[DimResidentialAccountSegment].[SingleParent]" caption="SingleParent" attribute="1" defaultMemberUniqueName="[DimResidentialAccountSegment].[SingleParent].[All]" allUniqueName="[DimResidentialAccountSegment].[SingleParent].[All]" dimensionUniqueName="[DimResidentialAccountSegment]" displayFolder="" count="0" unbalanced="0"/>
    <cacheHierarchy uniqueName="[DimResidentialAccountSegment].[SpectatorSportsInterest]" caption="SpectatorSportsInterest" attribute="1" defaultMemberUniqueName="[DimResidentialAccountSegment].[SpectatorSportsInterest].[All]" allUniqueName="[DimResidentialAccountSegment].[SpectatorSportsInterest].[All]" dimensionUniqueName="[DimResidentialAccountSegment]" displayFolder="" count="0" unbalanced="0"/>
    <cacheHierarchy uniqueName="[DimResidentialAccountSegment].[SUVOwner]" caption="SUVOwner" attribute="1" defaultMemberUniqueName="[DimResidentialAccountSegment].[SUVOwner].[All]" allUniqueName="[DimResidentialAccountSegment].[SUVOwner].[All]" dimensionUniqueName="[DimResidentialAccountSegment]" displayFolder="" count="0" unbalanced="0"/>
    <cacheHierarchy uniqueName="[DimResidentialAccountSegment].[TravelEnthusiasts]" caption="TravelEnthusiasts" attribute="1" defaultMemberUniqueName="[DimResidentialAccountSegment].[TravelEnthusiasts].[All]" allUniqueName="[DimResidentialAccountSegment].[TravelEnthusiasts].[All]" dimensionUniqueName="[DimResidentialAccountSegment]" displayFolder="" count="0" unbalanced="0"/>
    <cacheHierarchy uniqueName="[DimResidentialAccountSegment].[WomensApparelPurchasingIndicator]" caption="WomensApparelPurchasingIndicator" attribute="1" defaultMemberUniqueName="[DimResidentialAccountSegment].[WomensApparelPurchasingIndicator].[All]" allUniqueName="[DimResidentialAccountSegment].[WomensApparelPurchasingIndicator].[All]" dimensionUniqueName="[DimResidentialAccountSegment]" displayFolder="" count="0" unbalanced="0"/>
    <cacheHierarchy uniqueName="[DimResidentialPremiseSegment].[AbsenteeOwnerIndicator]" caption="AbsenteeOwnerIndicator" attribute="1" defaultMemberUniqueName="[DimResidentialPremiseSegment].[AbsenteeOwnerIndicator].[All]" allUniqueName="[DimResidentialPremiseSegment].[AbsenteeOwnerIndicator].[All]" dimensionUniqueName="[DimResidentialPremiseSegment]" displayFolder="" count="0" unbalanced="0"/>
    <cacheHierarchy uniqueName="[DimResidentialPremiseSegment].[AirConditioningType]" caption="AirConditioningType" attribute="1" defaultMemberUniqueName="[DimResidentialPremiseSegment].[AirConditioningType].[All]" allUniqueName="[DimResidentialPremiseSegment].[AirConditioningType].[All]" dimensionUniqueName="[DimResidentialPremiseSegment]" displayFolder="" count="0" unbalanced="0"/>
    <cacheHierarchy uniqueName="[DimResidentialPremiseSegment].[BasementSquareFootage]" caption="BasementSquareFootage" attribute="1" defaultMemberUniqueName="[DimResidentialPremiseSegment].[BasementSquareFootage].[All]" allUniqueName="[DimResidentialPremiseSegment].[BasementSquareFootage].[All]" dimensionUniqueName="[DimResidentialPremiseSegment]" displayFolder="" count="0" unbalanced="0"/>
    <cacheHierarchy uniqueName="[DimResidentialPremiseSegment].[BasementType]" caption="BasementType" attribute="1" defaultMemberUniqueName="[DimResidentialPremiseSegment].[BasementType].[All]" allUniqueName="[DimResidentialPremiseSegment].[BasementType].[All]" dimensionUniqueName="[DimResidentialPremiseSegment]" displayFolder="" count="0" unbalanced="0"/>
    <cacheHierarchy uniqueName="[DimResidentialPremiseSegment].[BuildingSquareFootage]" caption="BuildingSquareFootage" attribute="1" defaultMemberUniqueName="[DimResidentialPremiseSegment].[BuildingSquareFootage].[All]" allUniqueName="[DimResidentialPremiseSegment].[BuildingSquareFootage].[All]" dimensionUniqueName="[DimResidentialPremiseSegment]" displayFolder="" count="0" unbalanced="0"/>
    <cacheHierarchy uniqueName="[DimResidentialPremiseSegment].[BuildingType]" caption="BuildingType" attribute="1" defaultMemberUniqueName="[DimResidentialPremiseSegment].[BuildingType].[All]" allUniqueName="[DimResidentialPremiseSegment].[BuildingType].[All]" dimensionUniqueName="[DimResidentialPremiseSegment]" displayFolder="" count="0" unbalanced="0"/>
    <cacheHierarchy uniqueName="[DimResidentialPremiseSegment].[BusinessOwnerIndicator]" caption="BusinessOwnerIndicator" attribute="1" defaultMemberUniqueName="[DimResidentialPremiseSegment].[BusinessOwnerIndicator].[All]" allUniqueName="[DimResidentialPremiseSegment].[BusinessOwnerIndicator].[All]" dimensionUniqueName="[DimResidentialPremiseSegment]" displayFolder="" count="0" unbalanced="0"/>
    <cacheHierarchy uniqueName="[DimResidentialPremiseSegment].[ConstructionQuality]" caption="ConstructionQuality" attribute="1" defaultMemberUniqueName="[DimResidentialPremiseSegment].[ConstructionQuality].[All]" allUniqueName="[DimResidentialPremiseSegment].[ConstructionQuality].[All]" dimensionUniqueName="[DimResidentialPremiseSegment]" displayFolder="" count="0" unbalanced="0"/>
    <cacheHierarchy uniqueName="[DimResidentialPremiseSegment].[ConstructionType]" caption="ConstructionType" attribute="1" defaultMemberUniqueName="[DimResidentialPremiseSegment].[ConstructionType].[All]" allUniqueName="[DimResidentialPremiseSegment].[ConstructionType].[All]" dimensionUniqueName="[DimResidentialPremiseSegment]" displayFolder="" count="0" unbalanced="0"/>
    <cacheHierarchy uniqueName="[DimResidentialPremiseSegment].[ExteriorWallsType]" caption="ExteriorWallsType" attribute="1" defaultMemberUniqueName="[DimResidentialPremiseSegment].[ExteriorWallsType].[All]" allUniqueName="[DimResidentialPremiseSegment].[ExteriorWallsType].[All]" dimensionUniqueName="[DimResidentialPremiseSegment]" displayFolder="" count="0" unbalanced="0"/>
    <cacheHierarchy uniqueName="[DimResidentialPremiseSegment].[FloorConstructionType]" caption="FloorConstructionType" attribute="1" defaultMemberUniqueName="[DimResidentialPremiseSegment].[FloorConstructionType].[All]" allUniqueName="[DimResidentialPremiseSegment].[FloorConstructionType].[All]" dimensionUniqueName="[DimResidentialPremiseSegment]" displayFolder="" count="0" unbalanced="0"/>
    <cacheHierarchy uniqueName="[DimResidentialPremiseSegment].[HeatingFuelType]" caption="HeatingFuelType" attribute="1" defaultMemberUniqueName="[DimResidentialPremiseSegment].[HeatingFuelType].[All]" allUniqueName="[DimResidentialPremiseSegment].[HeatingFuelType].[All]" dimensionUniqueName="[DimResidentialPremiseSegment]" displayFolder="" count="0" unbalanced="0"/>
    <cacheHierarchy uniqueName="[DimResidentialPremiseSegment].[ImprovementValue]" caption="ImprovementValue" attribute="1" defaultMemberUniqueName="[DimResidentialPremiseSegment].[ImprovementValue].[All]" allUniqueName="[DimResidentialPremiseSegment].[ImprovementValue].[All]" dimensionUniqueName="[DimResidentialPremiseSegment]" displayFolder="" count="0" unbalanced="0"/>
    <cacheHierarchy uniqueName="[DimResidentialPremiseSegment].[ImprovementValueIIndicator]" caption="ImprovementValueIIndicator" attribute="1" defaultMemberUniqueName="[DimResidentialPremiseSegment].[ImprovementValueIIndicator].[All]" allUniqueName="[DimResidentialPremiseSegment].[ImprovementValueIIndicator].[All]" dimensionUniqueName="[DimResidentialPremiseSegment]" displayFolder="" count="0" unbalanced="0"/>
    <cacheHierarchy uniqueName="[DimResidentialPremiseSegment].[LandplusImprovementValue]" caption="LandplusImprovementValue" attribute="1" defaultMemberUniqueName="[DimResidentialPremiseSegment].[LandplusImprovementValue].[All]" allUniqueName="[DimResidentialPremiseSegment].[LandplusImprovementValue].[All]" dimensionUniqueName="[DimResidentialPremiseSegment]" displayFolder="" count="0" unbalanced="0"/>
    <cacheHierarchy uniqueName="[DimResidentialPremiseSegment].[Latitude]" caption="Latitude" attribute="1" defaultMemberUniqueName="[DimResidentialPremiseSegment].[Latitude].[All]" allUniqueName="[DimResidentialPremiseSegment].[Latitude].[All]" dimensionUniqueName="[DimResidentialPremiseSegment]" displayFolder="" count="0" unbalanced="0"/>
    <cacheHierarchy uniqueName="[DimResidentialPremiseSegment].[LivingSquarefeet]" caption="LivingSquarefeet" attribute="1" defaultMemberUniqueName="[DimResidentialPremiseSegment].[LivingSquarefeet].[All]" allUniqueName="[DimResidentialPremiseSegment].[LivingSquarefeet].[All]" dimensionUniqueName="[DimResidentialPremiseSegment]" displayFolder="" count="0" unbalanced="0"/>
    <cacheHierarchy uniqueName="[DimResidentialPremiseSegment].[Longitude]" caption="Longitude" attribute="1" defaultMemberUniqueName="[DimResidentialPremiseSegment].[Longitude].[All]" allUniqueName="[DimResidentialPremiseSegment].[Longitude].[All]" dimensionUniqueName="[DimResidentialPremiseSegment]" displayFolder="" count="0" unbalanced="0"/>
    <cacheHierarchy uniqueName="[DimResidentialPremiseSegment].[MethodofHeating]" caption="MethodofHeating" attribute="1" defaultMemberUniqueName="[DimResidentialPremiseSegment].[MethodofHeating].[All]" allUniqueName="[DimResidentialPremiseSegment].[MethodofHeating].[All]" dimensionUniqueName="[DimResidentialPremiseSegment]" displayFolder="" count="0" unbalanced="0"/>
    <cacheHierarchy uniqueName="[DimResidentialPremiseSegment].[MobileHome]" caption="MobileHome" attribute="1" defaultMemberUniqueName="[DimResidentialPremiseSegment].[MobileHome].[All]" allUniqueName="[DimResidentialPremiseSegment].[MobileHome].[All]" dimensionUniqueName="[DimResidentialPremiseSegment]" displayFolder="" count="0" unbalanced="0"/>
    <cacheHierarchy uniqueName="[DimResidentialPremiseSegment].[NumberofBathrooms]" caption="NumberofBathrooms" attribute="1" defaultMemberUniqueName="[DimResidentialPremiseSegment].[NumberofBathrooms].[All]" allUniqueName="[DimResidentialPremiseSegment].[NumberofBathrooms].[All]" dimensionUniqueName="[DimResidentialPremiseSegment]" displayFolder="" count="0" unbalanced="0"/>
    <cacheHierarchy uniqueName="[DimResidentialPremiseSegment].[NumberofBathrooms2]" caption="NumberofBathrooms2" attribute="1" defaultMemberUniqueName="[DimResidentialPremiseSegment].[NumberofBathrooms2].[All]" allUniqueName="[DimResidentialPremiseSegment].[NumberofBathrooms2].[All]" dimensionUniqueName="[DimResidentialPremiseSegment]" displayFolder="" count="0" unbalanced="0"/>
    <cacheHierarchy uniqueName="[DimResidentialPremiseSegment].[NumberofBedrooms]" caption="NumberofBedrooms" attribute="1" defaultMemberUniqueName="[DimResidentialPremiseSegment].[NumberofBedrooms].[All]" allUniqueName="[DimResidentialPremiseSegment].[NumberofBedrooms].[All]" dimensionUniqueName="[DimResidentialPremiseSegment]" displayFolder="" count="0" unbalanced="0"/>
    <cacheHierarchy uniqueName="[DimResidentialPremiseSegment].[NumberofBuildings]" caption="NumberofBuildings" attribute="1" defaultMemberUniqueName="[DimResidentialPremiseSegment].[NumberofBuildings].[All]" allUniqueName="[DimResidentialPremiseSegment].[NumberofBuildings].[All]" dimensionUniqueName="[DimResidentialPremiseSegment]" displayFolder="" count="0" unbalanced="0"/>
    <cacheHierarchy uniqueName="[DimResidentialPremiseSegment].[NumberofFireplaceOpenings]" caption="NumberofFireplaceOpenings" attribute="1" defaultMemberUniqueName="[DimResidentialPremiseSegment].[NumberofFireplaceOpenings].[All]" allUniqueName="[DimResidentialPremiseSegment].[NumberofFireplaceOpenings].[All]" dimensionUniqueName="[DimResidentialPremiseSegment]" displayFolder="" count="0" unbalanced="0"/>
    <cacheHierarchy uniqueName="[DimResidentialPremiseSegment].[NumberofRooms]" caption="NumberofRooms" attribute="1" defaultMemberUniqueName="[DimResidentialPremiseSegment].[NumberofRooms].[All]" allUniqueName="[DimResidentialPremiseSegment].[NumberofRooms].[All]" dimensionUniqueName="[DimResidentialPremiseSegment]" displayFolder="" count="0" unbalanced="0"/>
    <cacheHierarchy uniqueName="[DimResidentialPremiseSegment].[NumberofStories]" caption="NumberofStories" attribute="1" defaultMemberUniqueName="[DimResidentialPremiseSegment].[NumberofStories].[All]" allUniqueName="[DimResidentialPremiseSegment].[NumberofStories].[All]" dimensionUniqueName="[DimResidentialPremiseSegment]" displayFolder="" count="0" unbalanced="0"/>
    <cacheHierarchy uniqueName="[DimResidentialPremiseSegment].[NumberofStoriesinBuilding]" caption="NumberofStoriesinBuilding" attribute="1" defaultMemberUniqueName="[DimResidentialPremiseSegment].[NumberofStoriesinBuilding].[All]" allUniqueName="[DimResidentialPremiseSegment].[NumberofStoriesinBuilding].[All]" dimensionUniqueName="[DimResidentialPremiseSegment]" displayFolder="" count="0" unbalanced="0"/>
    <cacheHierarchy uniqueName="[DimResidentialPremiseSegment].[PoolType]" caption="PoolType" attribute="1" defaultMemberUniqueName="[DimResidentialPremiseSegment].[PoolType].[All]" allUniqueName="[DimResidentialPremiseSegment].[PoolType].[All]" dimensionUniqueName="[DimResidentialPremiseSegment]" displayFolder="" count="0" unbalanced="0"/>
    <cacheHierarchy uniqueName="[DimResidentialPremiseSegment].[PremiseID]" caption="PremiseID" attribute="1" defaultMemberUniqueName="[DimResidentialPremiseSegment].[PremiseID].[All]" allUniqueName="[DimResidentialPremiseSegment].[PremiseID].[All]" dimensionUniqueName="[DimResidentialPremiseSegment]" displayFolder="" count="0" unbalanced="0"/>
    <cacheHierarchy uniqueName="[DimResidentialPremiseSegment].[PresenceofFireplace]" caption="PresenceofFireplace" attribute="1" defaultMemberUniqueName="[DimResidentialPremiseSegment].[PresenceofFireplace].[All]" allUniqueName="[DimResidentialPremiseSegment].[PresenceofFireplace].[All]" dimensionUniqueName="[DimResidentialPremiseSegment]" displayFolder="" count="0" unbalanced="0"/>
    <cacheHierarchy uniqueName="[DimResidentialPremiseSegment].[PresenceofPool]" caption="PresenceofPool" attribute="1" defaultMemberUniqueName="[DimResidentialPremiseSegment].[PresenceofPool].[All]" allUniqueName="[DimResidentialPremiseSegment].[PresenceofPool].[All]" dimensionUniqueName="[DimResidentialPremiseSegment]" displayFolder="" count="0" unbalanced="0"/>
    <cacheHierarchy uniqueName="[DimResidentialPremiseSegment].[PrimaryImprovementType]" caption="PrimaryImprovementType" attribute="1" defaultMemberUniqueName="[DimResidentialPremiseSegment].[PrimaryImprovementType].[All]" allUniqueName="[DimResidentialPremiseSegment].[PrimaryImprovementType].[All]" dimensionUniqueName="[DimResidentialPremiseSegment]" displayFolder="" count="0" unbalanced="0"/>
    <cacheHierarchy uniqueName="[DimResidentialPremiseSegment].[PropertyCondition]" caption="PropertyCondition" attribute="1" defaultMemberUniqueName="[DimResidentialPremiseSegment].[PropertyCondition].[All]" allUniqueName="[DimResidentialPremiseSegment].[PropertyCondition].[All]" dimensionUniqueName="[DimResidentialPremiseSegment]" displayFolder="" count="0" unbalanced="0"/>
    <cacheHierarchy uniqueName="[DimResidentialPremiseSegment].[PropertyTypeIndicator]" caption="PropertyTypeIndicator" attribute="1" defaultMemberUniqueName="[DimResidentialPremiseSegment].[PropertyTypeIndicator].[All]" allUniqueName="[DimResidentialPremiseSegment].[PropertyTypeIndicator].[All]" dimensionUniqueName="[DimResidentialPremiseSegment]" displayFolder="" count="0" unbalanced="0"/>
    <cacheHierarchy uniqueName="[DimResidentialPremiseSegment].[ResidentialBased]" caption="ResidentialBased" attribute="1" defaultMemberUniqueName="[DimResidentialPremiseSegment].[ResidentialBased].[All]" allUniqueName="[DimResidentialPremiseSegment].[ResidentialBased].[All]" dimensionUniqueName="[DimResidentialPremiseSegment]" displayFolder="" count="0" unbalanced="0"/>
    <cacheHierarchy uniqueName="[DimResidentialPremiseSegment].[RoofType]" caption="RoofType" attribute="1" defaultMemberUniqueName="[DimResidentialPremiseSegment].[RoofType].[All]" allUniqueName="[DimResidentialPremiseSegment].[RoofType].[All]" dimensionUniqueName="[DimResidentialPremiseSegment]" displayFolder="" count="0" unbalanced="0"/>
    <cacheHierarchy uniqueName="[DimResidentialPremiseSegment].[SiteAddressIndicator]" caption="SiteAddressIndicator" attribute="1" defaultMemberUniqueName="[DimResidentialPremiseSegment].[SiteAddressIndicator].[All]" allUniqueName="[DimResidentialPremiseSegment].[SiteAddressIndicator].[All]" dimensionUniqueName="[DimResidentialPremiseSegment]" displayFolder="" count="0" unbalanced="0"/>
    <cacheHierarchy uniqueName="[DimResidentialPremiseSegment].[SiteAddressUnitNumber]" caption="SiteAddressUnitNumber" attribute="1" defaultMemberUniqueName="[DimResidentialPremiseSegment].[SiteAddressUnitNumber].[All]" allUniqueName="[DimResidentialPremiseSegment].[SiteAddressUnitNumber].[All]" dimensionUniqueName="[DimResidentialPremiseSegment]" displayFolder="" count="0" unbalanced="0"/>
    <cacheHierarchy uniqueName="[DimResidentialPremiseSegment].[StyleIndicator]" caption="StyleIndicator" attribute="1" defaultMemberUniqueName="[DimResidentialPremiseSegment].[StyleIndicator].[All]" allUniqueName="[DimResidentialPremiseSegment].[StyleIndicator].[All]" dimensionUniqueName="[DimResidentialPremiseSegment]" displayFolder="" count="0" unbalanced="0"/>
    <cacheHierarchy uniqueName="[DimResidentialPremiseSegment].[TotalFullbaths]" caption="TotalFullbaths" attribute="1" defaultMemberUniqueName="[DimResidentialPremiseSegment].[TotalFullbaths].[All]" allUniqueName="[DimResidentialPremiseSegment].[TotalFullbaths].[All]" dimensionUniqueName="[DimResidentialPremiseSegment]" displayFolder="" count="0" unbalanced="0"/>
    <cacheHierarchy uniqueName="[DimResidentialPremiseSegment].[TotalHalfbaths]" caption="TotalHalfbaths" attribute="1" defaultMemberUniqueName="[DimResidentialPremiseSegment].[TotalHalfbaths].[All]" allUniqueName="[DimResidentialPremiseSegment].[TotalHalfbaths].[All]" dimensionUniqueName="[DimResidentialPremiseSegment]" displayFolder="" count="0" unbalanced="0"/>
    <cacheHierarchy uniqueName="[DimResidentialPremiseSegment].[TotalMarketValue]" caption="TotalMarketValue" attribute="1" defaultMemberUniqueName="[DimResidentialPremiseSegment].[TotalMarketValue].[All]" allUniqueName="[DimResidentialPremiseSegment].[TotalMarketValue].[All]" dimensionUniqueName="[DimResidentialPremiseSegment]" displayFolder="" count="0" unbalanced="0"/>
    <cacheHierarchy uniqueName="[DimResidentialPremiseSegment].[TypeofElectricity]" caption="TypeofElectricity" attribute="1" defaultMemberUniqueName="[DimResidentialPremiseSegment].[TypeofElectricity].[All]" allUniqueName="[DimResidentialPremiseSegment].[TypeofElectricity].[All]" dimensionUniqueName="[DimResidentialPremiseSegment]" displayFolder="" count="0" unbalanced="0"/>
    <cacheHierarchy uniqueName="[DimResidentialPremiseSegment].[TypeofFireplace]" caption="TypeofFireplace" attribute="1" defaultMemberUniqueName="[DimResidentialPremiseSegment].[TypeofFireplace].[All]" allUniqueName="[DimResidentialPremiseSegment].[TypeofFireplace].[All]" dimensionUniqueName="[DimResidentialPremiseSegment]" displayFolder="" count="0" unbalanced="0"/>
    <cacheHierarchy uniqueName="[DimResidentialPremiseSegment].[TypeofFoundation]" caption="TypeofFoundation" attribute="1" defaultMemberUniqueName="[DimResidentialPremiseSegment].[TypeofFoundation].[All]" allUniqueName="[DimResidentialPremiseSegment].[TypeofFoundation].[All]" dimensionUniqueName="[DimResidentialPremiseSegment]" displayFolder="" count="0" unbalanced="0"/>
    <cacheHierarchy uniqueName="[DimResidentialPremiseSegment].[TypeofGarage]" caption="TypeofGarage" attribute="1" defaultMemberUniqueName="[DimResidentialPremiseSegment].[TypeofGarage].[All]" allUniqueName="[DimResidentialPremiseSegment].[TypeofGarage].[All]" dimensionUniqueName="[DimResidentialPremiseSegment]" displayFolder="" count="0" unbalanced="0"/>
    <cacheHierarchy uniqueName="[DimResidentialPremiseSegment].[TypeofRoofFraming]" caption="TypeofRoofFraming" attribute="1" defaultMemberUniqueName="[DimResidentialPremiseSegment].[TypeofRoofFraming].[All]" allUniqueName="[DimResidentialPremiseSegment].[TypeofRoofFraming].[All]" dimensionUniqueName="[DimResidentialPremiseSegment]" displayFolder="" count="0" unbalanced="0"/>
    <cacheHierarchy uniqueName="[DimResidentialPremiseSegment].[YearBuilt]" caption="YearBuilt" attribute="1" defaultMemberUniqueName="[DimResidentialPremiseSegment].[YearBuilt].[All]" allUniqueName="[DimResidentialPremiseSegment].[YearBuilt].[All]" dimensionUniqueName="[DimResidentialPremiseSegment]" displayFolder="" count="0" unbalanced="0"/>
    <cacheHierarchy uniqueName="[DimScenario].[Scenario Name]" caption="Scenario Name" attribute="1" defaultMemberUniqueName="[DimScenario].[Scenario Name].[All]" allUniqueName="[DimScenario].[Scenario Name].[All]" dimensionUniqueName="[DimScenario]" displayFolder="" count="2" unbalanced="0">
      <fieldsUsage count="2">
        <fieldUsage x="-1"/>
        <fieldUsage x="0"/>
      </fieldsUsage>
    </cacheHierarchy>
    <cacheHierarchy uniqueName="[DimServiceAgreementType].[CIS Division]" caption="CIS Division" attribute="1" defaultMemberUniqueName="[DimServiceAgreementType].[CIS Division].[All]" allUniqueName="[DimServiceAgreementType].[CIS Division].[All]" dimensionUniqueName="[DimServiceAgreementType]" displayFolder="" count="0" unbalanced="0"/>
    <cacheHierarchy uniqueName="[DimServiceAgreementType].[ServiceAgreement Type Code]" caption="ServiceAgreement Type Code" attribute="1" defaultMemberUniqueName="[DimServiceAgreementType].[ServiceAgreement Type Code].[All]" allUniqueName="[DimServiceAgreementType].[ServiceAgreement Type Code].[All]" dimensionUniqueName="[DimServiceAgreementType]" displayFolder="" count="0" unbalanced="0"/>
    <cacheHierarchy uniqueName="[DimServiceAgreementType].[ServiceAgreement Type Desc]" caption="ServiceAgreement Type Desc" attribute="1" defaultMemberUniqueName="[DimServiceAgreementType].[ServiceAgreement Type Desc].[All]" allUniqueName="[DimServiceAgreementType].[ServiceAgreement Type Desc].[All]" dimensionUniqueName="[DimServiceAgreementType]" displayFolder="" count="0" unbalanced="0"/>
    <cacheHierarchy uniqueName="[DimServiceAgreementType].[Utility Indicator]" caption="Utility Indicator" attribute="1" defaultMemberUniqueName="[DimServiceAgreementType].[Utility Indicator].[All]" allUniqueName="[DimServiceAgreementType].[Utility Indicator].[All]" dimensionUniqueName="[DimServiceAgreementType]" displayFolder="" count="0" unbalanced="0"/>
    <cacheHierarchy uniqueName="[DimServiceCounty].[Service County Code]" caption="Service County Code" attribute="1" defaultMemberUniqueName="[DimServiceCounty].[Service County Code].[All]" allUniqueName="[DimServiceCounty].[Service County Code].[All]" dimensionUniqueName="[DimServiceCounty]" displayFolder="" count="0" unbalanced="0"/>
    <cacheHierarchy uniqueName="[DimServiceCounty].[Service County Name]" caption="Service County Name" attribute="1" defaultMemberUniqueName="[DimServiceCounty].[Service County Name].[All]" allUniqueName="[DimServiceCounty].[Service County Name].[All]" dimensionUniqueName="[DimServiceCounty]" displayFolder="" count="0" unbalanced="0"/>
    <cacheHierarchy uniqueName="[DimServicePointType].[ServicePoint Type Code]" caption="ServicePoint Type Code" attribute="1" defaultMemberUniqueName="[DimServicePointType].[ServicePoint Type Code].[All]" allUniqueName="[DimServicePointType].[ServicePoint Type Code].[All]" dimensionUniqueName="[DimServicePointType]" displayFolder="" count="0" unbalanced="0"/>
    <cacheHierarchy uniqueName="[DimServicePointType].[ServicePoint Type Desc]" caption="ServicePoint Type Desc" attribute="1" defaultMemberUniqueName="[DimServicePointType].[ServicePoint Type Desc].[All]" allUniqueName="[DimServicePointType].[ServicePoint Type Desc].[All]" dimensionUniqueName="[DimServicePointType]" displayFolder="" count="0" unbalanced="0"/>
    <cacheHierarchy uniqueName="[DimServiceTown].[ServiceTown Code]" caption="ServiceTown Code" attribute="1" defaultMemberUniqueName="[DimServiceTown].[ServiceTown Code].[All]" allUniqueName="[DimServiceTown].[ServiceTown Code].[All]" dimensionUniqueName="[DimServiceTown]" displayFolder="" count="0" unbalanced="0"/>
    <cacheHierarchy uniqueName="[DimServiceTown].[ServiceTown Name]" caption="ServiceTown Name" attribute="1" defaultMemberUniqueName="[DimServiceTown].[ServiceTown Name].[All]" allUniqueName="[DimServiceTown].[ServiceTown Name].[All]" dimensionUniqueName="[DimServiceTown]" displayFolder="" count="0" unbalanced="0"/>
    <cacheHierarchy uniqueName="[DimSilverPopSurvey].[DimSilverPopSurveyKey]" caption="DimSilverPopSurveyKey" attribute="1" defaultMemberUniqueName="[DimSilverPopSurvey].[DimSilverPopSurveyKey].[All]" allUniqueName="[DimSilverPopSurvey].[DimSilverPopSurveyKey].[All]" dimensionUniqueName="[DimSilverPopSurvey]" displayFolder="" count="0" unbalanced="0"/>
    <cacheHierarchy uniqueName="[DimSilverPopSurvey].[MeasureGroupKey]" caption="MeasureGroupKey" attribute="1" defaultMemberUniqueName="[DimSilverPopSurvey].[MeasureGroupKey].[All]" allUniqueName="[DimSilverPopSurvey].[MeasureGroupKey].[All]" dimensionUniqueName="[DimSilverPopSurvey]" displayFolder="" count="0" unbalanced="0"/>
    <cacheHierarchy uniqueName="[DimSilverPopSurvey].[PMTProgramKey]" caption="PMTProgramKey" attribute="1" defaultMemberUniqueName="[DimSilverPopSurvey].[PMTProgramKey].[All]" allUniqueName="[DimSilverPopSurvey].[PMTProgramKey].[All]" dimensionUniqueName="[DimSilverPopSurvey]" displayFolder="" count="0" unbalanced="0"/>
    <cacheHierarchy uniqueName="[DimSilverPopSurvey].[ProgramYear]" caption="ProgramYear" attribute="1" defaultMemberUniqueName="[DimSilverPopSurvey].[ProgramYear].[All]" allUniqueName="[DimSilverPopSurvey].[ProgramYear].[All]" dimensionUniqueName="[DimSilverPopSurvey]" displayFolder="" count="0" unbalanced="0"/>
    <cacheHierarchy uniqueName="[DimSilverPopSurvey].[SilverPopOrder]" caption="SilverPopOrder" attribute="1" defaultMemberUniqueName="[DimSilverPopSurvey].[SilverPopOrder].[All]" allUniqueName="[DimSilverPopSurvey].[SilverPopOrder].[All]" dimensionUniqueName="[DimSilverPopSurvey]" displayFolder="" count="0" unbalanced="0"/>
    <cacheHierarchy uniqueName="[DimSilverPopSurvey].[SilverPopSurvey]" caption="SilverPopSurvey" attribute="1" defaultMemberUniqueName="[DimSilverPopSurvey].[SilverPopSurvey].[All]" allUniqueName="[DimSilverPopSurvey].[SilverPopSurvey].[All]" dimensionUniqueName="[DimSilverPopSurvey]" displayFolder="" count="0" unbalanced="0"/>
    <cacheHierarchy uniqueName="[DimSubProgramType].[SubProgramType]" caption="SubProgramType" attribute="1" defaultMemberUniqueName="[DimSubProgramType].[SubProgramType].[All]" allUniqueName="[DimSubProgramType].[SubProgramType].[All]" dimensionUniqueName="[DimSubProgramType]" displayFolder="" count="0" unbalanced="0"/>
    <cacheHierarchy uniqueName="[DimSubProgramType].[SubProgramTypeKey]" caption="SubProgramTypeKey" attribute="1" defaultMemberUniqueName="[DimSubProgramType].[SubProgramTypeKey].[All]" allUniqueName="[DimSubProgramType].[SubProgramTypeKey].[All]" dimensionUniqueName="[DimSubProgramType]" displayFolder="" count="0" unbalanced="0"/>
    <cacheHierarchy uniqueName="[DimTradeAlly_Parent].[Address1]" caption="Address1" attribute="1" defaultMemberUniqueName="[DimTradeAlly_Parent].[Address1].[All]" allUniqueName="[DimTradeAlly_Parent].[Address1].[All]" dimensionUniqueName="[DimTradeAlly_Parent]" displayFolder="" count="0" unbalanced="0"/>
    <cacheHierarchy uniqueName="[DimTradeAlly_Parent].[Address2]" caption="Address2" attribute="1" defaultMemberUniqueName="[DimTradeAlly_Parent].[Address2].[All]" allUniqueName="[DimTradeAlly_Parent].[Address2].[All]" dimensionUniqueName="[DimTradeAlly_Parent]" displayFolder="" count="0" unbalanced="0"/>
    <cacheHierarchy uniqueName="[DimTradeAlly_Parent].[ApplicationCount]" caption="ApplicationCount" attribute="1" defaultMemberUniqueName="[DimTradeAlly_Parent].[ApplicationCount].[All]" allUniqueName="[DimTradeAlly_Parent].[ApplicationCount].[All]" dimensionUniqueName="[DimTradeAlly_Parent]" displayFolder="" count="0" unbalanced="0"/>
    <cacheHierarchy uniqueName="[DimTradeAlly_Parent].[BusinessName]" caption="BusinessName" attribute="1" defaultMemberUniqueName="[DimTradeAlly_Parent].[BusinessName].[All]" allUniqueName="[DimTradeAlly_Parent].[BusinessName].[All]" dimensionUniqueName="[DimTradeAlly_Parent]" displayFolder="" count="0" unbalanced="0"/>
    <cacheHierarchy uniqueName="[DimTradeAlly_Parent].[CityName]" caption="CityName" attribute="1" defaultMemberUniqueName="[DimTradeAlly_Parent].[CityName].[All]" allUniqueName="[DimTradeAlly_Parent].[CityName].[All]" dimensionUniqueName="[DimTradeAlly_Parent]" displayFolder="" count="0" unbalanced="0"/>
    <cacheHierarchy uniqueName="[DimTradeAlly_Parent].[ContractorCircleStatus]" caption="ContractorCircleStatus" attribute="1" defaultMemberUniqueName="[DimTradeAlly_Parent].[ContractorCircleStatus].[All]" allUniqueName="[DimTradeAlly_Parent].[ContractorCircleStatus].[All]" dimensionUniqueName="[DimTradeAlly_Parent]" displayFolder="" count="0" unbalanced="0"/>
    <cacheHierarchy uniqueName="[DimTradeAlly_Parent].[ContractorCircleStatusCount]" caption="ContractorCircleStatusCount" attribute="1" defaultMemberUniqueName="[DimTradeAlly_Parent].[ContractorCircleStatusCount].[All]" allUniqueName="[DimTradeAlly_Parent].[ContractorCircleStatusCount].[All]" dimensionUniqueName="[DimTradeAlly_Parent]" displayFolder="" count="0" unbalanced="0"/>
    <cacheHierarchy uniqueName="[DimTradeAlly_Parent].[EmailAddress]" caption="EmailAddress" attribute="1" defaultMemberUniqueName="[DimTradeAlly_Parent].[EmailAddress].[All]" allUniqueName="[DimTradeAlly_Parent].[EmailAddress].[All]" dimensionUniqueName="[DimTradeAlly_Parent]" displayFolder="" count="0" unbalanced="0"/>
    <cacheHierarchy uniqueName="[DimTradeAlly_Parent].[NAME]" caption="NAME" attribute="1" defaultMemberUniqueName="[DimTradeAlly_Parent].[NAME].[All]" allUniqueName="[DimTradeAlly_Parent].[NAME].[All]" dimensionUniqueName="[DimTradeAlly_Parent]" displayFolder="" count="0" unbalanced="0"/>
    <cacheHierarchy uniqueName="[DimTradeAlly_Parent].[OBFLoanStatus]" caption="OBFLoanStatus" attribute="1" defaultMemberUniqueName="[DimTradeAlly_Parent].[OBFLoanStatus].[All]" allUniqueName="[DimTradeAlly_Parent].[OBFLoanStatus].[All]" dimensionUniqueName="[DimTradeAlly_Parent]" displayFolder="" count="0" unbalanced="0"/>
    <cacheHierarchy uniqueName="[DimTradeAlly_Parent].[Parent or Child]" caption="Parent or Child" attribute="1" defaultMemberUniqueName="[DimTradeAlly_Parent].[Parent or Child].[All]" allUniqueName="[DimTradeAlly_Parent].[Parent or Child].[All]" dimensionUniqueName="[DimTradeAlly_Parent]" displayFolder="" count="0" unbalanced="0"/>
    <cacheHierarchy uniqueName="[DimTradeAlly_Parent].[ParentTradeAllyKey]" caption="ParentTradeAllyKey" attribute="1" defaultMemberUniqueName="[DimTradeAlly_Parent].[ParentTradeAllyKey].[All]" allUniqueName="[DimTradeAlly_Parent].[ParentTradeAllyKey].[All]" dimensionUniqueName="[DimTradeAlly_Parent]" displayFolder="" count="0" unbalanced="0"/>
    <cacheHierarchy uniqueName="[DimTradeAlly_Parent].[Personfirstname]" caption="Personfirstname" attribute="1" defaultMemberUniqueName="[DimTradeAlly_Parent].[Personfirstname].[All]" allUniqueName="[DimTradeAlly_Parent].[Personfirstname].[All]" dimensionUniqueName="[DimTradeAlly_Parent]" displayFolder="" count="0" unbalanced="0"/>
    <cacheHierarchy uniqueName="[DimTradeAlly_Parent].[Personlastname]" caption="Personlastname" attribute="1" defaultMemberUniqueName="[DimTradeAlly_Parent].[Personlastname].[All]" allUniqueName="[DimTradeAlly_Parent].[Personlastname].[All]" dimensionUniqueName="[DimTradeAlly_Parent]" displayFolder="" count="0" unbalanced="0"/>
    <cacheHierarchy uniqueName="[DimTradeAlly_Parent].[PostalCode]" caption="PostalCode" attribute="1" defaultMemberUniqueName="[DimTradeAlly_Parent].[PostalCode].[All]" allUniqueName="[DimTradeAlly_Parent].[PostalCode].[All]" dimensionUniqueName="[DimTradeAlly_Parent]" displayFolder="" count="0" unbalanced="0"/>
    <cacheHierarchy uniqueName="[DimTradeAlly_Parent].[StateCode]" caption="StateCode" attribute="1" defaultMemberUniqueName="[DimTradeAlly_Parent].[StateCode].[All]" allUniqueName="[DimTradeAlly_Parent].[StateCode].[All]" dimensionUniqueName="[DimTradeAlly_Parent]" displayFolder="" count="0" unbalanced="0"/>
    <cacheHierarchy uniqueName="[DimTradeAlly_Parent].[TradeAllyKey]" caption="TradeAllyKey" attribute="1" defaultMemberUniqueName="[DimTradeAlly_Parent].[TradeAllyKey].[All]" allUniqueName="[DimTradeAlly_Parent].[TradeAllyKey].[All]" dimensionUniqueName="[DimTradeAlly_Parent]" displayFolder="" count="0" unbalanced="0"/>
    <cacheHierarchy uniqueName="[DimTradeAlly_Parent].[WorkPhoneExtension]" caption="WorkPhoneExtension" attribute="1" defaultMemberUniqueName="[DimTradeAlly_Parent].[WorkPhoneExtension].[All]" allUniqueName="[DimTradeAlly_Parent].[WorkPhoneExtension].[All]" dimensionUniqueName="[DimTradeAlly_Parent]" displayFolder="" count="0" unbalanced="0"/>
    <cacheHierarchy uniqueName="[DimTradeAlly_Parent].[WorkPhoneNumber]" caption="WorkPhoneNumber" attribute="1" defaultMemberUniqueName="[DimTradeAlly_Parent].[WorkPhoneNumber].[All]" allUniqueName="[DimTradeAlly_Parent].[WorkPhoneNumber].[All]" dimensionUniqueName="[DimTradeAlly_Parent]" displayFolder="" count="0" unbalanced="0"/>
    <cacheHierarchy uniqueName="[DimTradeAllyType].[TradeAllyTypeCode]" caption="TradeAllyTypeCode" attribute="1" defaultMemberUniqueName="[DimTradeAllyType].[TradeAllyTypeCode].[All]" allUniqueName="[DimTradeAllyType].[TradeAllyTypeCode].[All]" dimensionUniqueName="[DimTradeAllyType]" displayFolder="" count="0" unbalanced="0"/>
    <cacheHierarchy uniqueName="[DimTradeAllyType].[TradeAllyTypeDescription]" caption="TradeAllyTypeDescription" attribute="1" defaultMemberUniqueName="[DimTradeAllyType].[TradeAllyTypeDescription].[All]" allUniqueName="[DimTradeAllyType].[TradeAllyTypeDescription].[All]" dimensionUniqueName="[DimTradeAllyType]" displayFolder="" count="0" unbalanced="0"/>
    <cacheHierarchy uniqueName="[DimUser].[Name]" caption="Name" attribute="1" defaultMemberUniqueName="[DimUser].[Name].[All]" allUniqueName="[DimUser].[Name].[All]" dimensionUniqueName="[DimUser]" displayFolder="" count="0" unbalanced="0"/>
    <cacheHierarchy uniqueName="[DimUserType].[UserTypeCode]" caption="UserTypeCode" attribute="1" defaultMemberUniqueName="[DimUserType].[UserTypeCode].[All]" allUniqueName="[DimUserType].[UserTypeCode].[All]" dimensionUniqueName="[DimUserType]" displayFolder="" count="0" unbalanced="0"/>
    <cacheHierarchy uniqueName="[DimUserType].[UserTypeDescription]" caption="UserTypeDescription" attribute="1" defaultMemberUniqueName="[DimUserType].[UserTypeDescription].[All]" allUniqueName="[DimUserType].[UserTypeDescription].[All]" dimensionUniqueName="[DimUserType]" displayFolder="" count="0" unbalanced="0"/>
    <cacheHierarchy uniqueName="[EquipmentDualFuel].[Equip Dual Fuel Code]" caption="Equip Dual Fuel Code" attribute="1" defaultMemberUniqueName="[EquipmentDualFuel].[Equip Dual Fuel Code].[All]" allUniqueName="[EquipmentDualFuel].[Equip Dual Fuel Code].[All]" dimensionUniqueName="[EquipmentDualFuel]" displayFolder="" count="0" unbalanced="0"/>
    <cacheHierarchy uniqueName="[EquipmentDualFuel].[Equip Dual Fuel Desc]" caption="Equip Dual Fuel Desc" attribute="1" defaultMemberUniqueName="[EquipmentDualFuel].[Equip Dual Fuel Desc].[All]" allUniqueName="[EquipmentDualFuel].[Equip Dual Fuel Desc].[All]" dimensionUniqueName="[EquipmentDualFuel]" displayFolder="" count="0" unbalanced="0"/>
    <cacheHierarchy uniqueName="[EquipmentFuel].[Equip Fuel Code]" caption="Equip Fuel Code" attribute="1" defaultMemberUniqueName="[EquipmentFuel].[Equip Fuel Code].[All]" allUniqueName="[EquipmentFuel].[Equip Fuel Code].[All]" dimensionUniqueName="[EquipmentFuel]" displayFolder="" count="0" unbalanced="0"/>
    <cacheHierarchy uniqueName="[EquipmentFuel].[Equip Fuel Desc]" caption="Equip Fuel Desc" attribute="1" defaultMemberUniqueName="[EquipmentFuel].[Equip Fuel Desc].[All]" allUniqueName="[EquipmentFuel].[Equip Fuel Desc].[All]" dimensionUniqueName="[EquipmentFuel]" displayFolder="" count="0" unbalanced="0"/>
    <cacheHierarchy uniqueName="[EquipmentManufacture].[Equip Manuf Code]" caption="Equip Manuf Code" attribute="1" defaultMemberUniqueName="[EquipmentManufacture].[Equip Manuf Code].[All]" allUniqueName="[EquipmentManufacture].[Equip Manuf Code].[All]" dimensionUniqueName="[EquipmentManufacture]" displayFolder="" count="0" unbalanced="0"/>
    <cacheHierarchy uniqueName="[EquipmentManufacture].[Equip Manuf Desc]" caption="Equip Manuf Desc" attribute="1" defaultMemberUniqueName="[EquipmentManufacture].[Equip Manuf Desc].[All]" allUniqueName="[EquipmentManufacture].[Equip Manuf Desc].[All]" dimensionUniqueName="[EquipmentManufacture]" displayFolder="" count="0" unbalanced="0"/>
    <cacheHierarchy uniqueName="[FactCostEffectiveness].[AvoidedGasSavings]" caption="AvoidedGasSavings" attribute="1" defaultMemberUniqueName="[FactCostEffectiveness].[AvoidedGasSavings].[All]" allUniqueName="[FactCostEffectiveness].[AvoidedGasSavings].[All]" dimensionUniqueName="[FactCostEffectiveness]" displayFolder="" count="0" unbalanced="0"/>
    <cacheHierarchy uniqueName="[FactCostEffectiveness].[Benefits]" caption="Benefits" attribute="1" defaultMemberUniqueName="[FactCostEffectiveness].[Benefits].[All]" allUniqueName="[FactCostEffectiveness].[Benefits].[All]" dimensionUniqueName="[FactCostEffectiveness]" displayFolder="" count="0" unbalanced="0"/>
    <cacheHierarchy uniqueName="[FactCostEffectiveness].[Costs]" caption="Costs" attribute="1" defaultMemberUniqueName="[FactCostEffectiveness].[Costs].[All]" allUniqueName="[FactCostEffectiveness].[Costs].[All]" dimensionUniqueName="[FactCostEffectiveness]" displayFolder="" count="0" unbalanced="0"/>
    <cacheHierarchy uniqueName="[FactCostEffectiveness].[CostType]" caption="CostType" attribute="1" defaultMemberUniqueName="[FactCostEffectiveness].[CostType].[All]" allUniqueName="[FactCostEffectiveness].[CostType].[All]" dimensionUniqueName="[FactCostEffectiveness]" displayFolder="" count="0" unbalanced="0"/>
    <cacheHierarchy uniqueName="[FactCostEffectiveness].[DQScoreKey]" caption="DQScoreKey" attribute="1" defaultMemberUniqueName="[FactCostEffectiveness].[DQScoreKey].[All]" allUniqueName="[FactCostEffectiveness].[DQScoreKey].[All]" dimensionUniqueName="[FactCostEffectiveness]" displayFolder="" count="0" unbalanced="0"/>
    <cacheHierarchy uniqueName="[FactCostEffectiveness].[FactCostEffectivenessKey]" caption="FactCostEffectivenessKey" attribute="1" defaultMemberUniqueName="[FactCostEffectiveness].[FactCostEffectivenessKey].[All]" allUniqueName="[FactCostEffectiveness].[FactCostEffectivenessKey].[All]" dimensionUniqueName="[FactCostEffectiveness]" displayFolder="" count="0" unbalanced="0"/>
    <cacheHierarchy uniqueName="[FactCostEffectiveness].[IncentiveCosts]" caption="IncentiveCosts" attribute="1" defaultMemberUniqueName="[FactCostEffectiveness].[IncentiveCosts].[All]" allUniqueName="[FactCostEffectiveness].[IncentiveCosts].[All]" dimensionUniqueName="[FactCostEffectiveness]" displayFolder="" count="0" unbalanced="0"/>
    <cacheHierarchy uniqueName="[FactCostEffectiveness].[IncrementalCosts_Net]" caption="IncrementalCosts_Net" attribute="1" defaultMemberUniqueName="[FactCostEffectiveness].[IncrementalCosts_Net].[All]" allUniqueName="[FactCostEffectiveness].[IncrementalCosts_Net].[All]" dimensionUniqueName="[FactCostEffectiveness]" displayFolder="" count="0" unbalanced="0"/>
    <cacheHierarchy uniqueName="[FactCostEffectiveness].[NonIncentiveCosts]" caption="NonIncentiveCosts" attribute="1" defaultMemberUniqueName="[FactCostEffectiveness].[NonIncentiveCosts].[All]" allUniqueName="[FactCostEffectiveness].[NonIncentiveCosts].[All]" dimensionUniqueName="[FactCostEffectiveness]" displayFolder="" count="0" unbalanced="0"/>
    <cacheHierarchy uniqueName="[FactCostEffectiveness].[OtherBenefits]" caption="OtherBenefits" attribute="1" defaultMemberUniqueName="[FactCostEffectiveness].[OtherBenefits].[All]" allUniqueName="[FactCostEffectiveness].[OtherBenefits].[All]" dimensionUniqueName="[FactCostEffectiveness]" displayFolder="" count="0" unbalanced="0"/>
    <cacheHierarchy uniqueName="[FactCostEffectiveness].[OtherBenefitsText]" caption="OtherBenefitsText" attribute="1" defaultMemberUniqueName="[FactCostEffectiveness].[OtherBenefitsText].[All]" allUniqueName="[FactCostEffectiveness].[OtherBenefitsText].[All]" dimensionUniqueName="[FactCostEffectiveness]" displayFolder="" count="0" unbalanced="0"/>
    <cacheHierarchy uniqueName="[FactCostEffectiveness].[PMTProgramKey]" caption="PMTProgramKey" attribute="1" defaultMemberUniqueName="[FactCostEffectiveness].[PMTProgramKey].[All]" allUniqueName="[FactCostEffectiveness].[PMTProgramKey].[All]" dimensionUniqueName="[FactCostEffectiveness]" displayFolder="" count="0" unbalanced="0"/>
    <cacheHierarchy uniqueName="[FactCostEffectiveness].[Program]" caption="Program" attribute="1" defaultMemberUniqueName="[FactCostEffectiveness].[Program].[All]" allUniqueName="[FactCostEffectiveness].[Program].[All]" dimensionUniqueName="[FactCostEffectiveness]" displayFolder="" count="0" unbalanced="0"/>
    <cacheHierarchy uniqueName="[FactCostEffectiveness].[ProgramAccountingDescription]" caption="ProgramAccountingDescription" attribute="1" defaultMemberUniqueName="[FactCostEffectiveness].[ProgramAccountingDescription].[All]" allUniqueName="[FactCostEffectiveness].[ProgramAccountingDescription].[All]" dimensionUniqueName="[FactCostEffectiveness]" displayFolder="" count="0" unbalanced="0"/>
    <cacheHierarchy uniqueName="[FactCostEffectiveness].[ProgramAccountingID]" caption="ProgramAccountingID" attribute="1" defaultMemberUniqueName="[FactCostEffectiveness].[ProgramAccountingID].[All]" allUniqueName="[FactCostEffectiveness].[ProgramAccountingID].[All]" dimensionUniqueName="[FactCostEffectiveness]" displayFolder="" count="0" unbalanced="0"/>
    <cacheHierarchy uniqueName="[FactCostEffectiveness].[ProgramYear]" caption="ProgramYear" attribute="1" defaultMemberUniqueName="[FactCostEffectiveness].[ProgramYear].[All]" allUniqueName="[FactCostEffectiveness].[ProgramYear].[All]" dimensionUniqueName="[FactCostEffectiveness]" displayFolder="" count="0" unbalanced="0"/>
    <cacheHierarchy uniqueName="[FactCostEffectiveness].[ProjectID]" caption="ProjectID" attribute="1" defaultMemberUniqueName="[FactCostEffectiveness].[ProjectID].[All]" allUniqueName="[FactCostEffectiveness].[ProjectID].[All]" dimensionUniqueName="[FactCostEffectiveness]" displayFolder="" count="0" unbalanced="0"/>
    <cacheHierarchy uniqueName="[FactCostEffectiveness].[Test]" caption="Test" attribute="1" defaultMemberUniqueName="[FactCostEffectiveness].[Test].[All]" allUniqueName="[FactCostEffectiveness].[Test].[All]" dimensionUniqueName="[FactCostEffectiveness]" displayFolder="" count="0" unbalanced="0"/>
    <cacheHierarchy uniqueName="[FactCostEffectiveness].[TestNetBenefits]" caption="TestNetBenefits" attribute="1" defaultMemberUniqueName="[FactCostEffectiveness].[TestNetBenefits].[All]" allUniqueName="[FactCostEffectiveness].[TestNetBenefits].[All]" dimensionUniqueName="[FactCostEffectiveness]" displayFolder="" count="0" unbalanced="0"/>
    <cacheHierarchy uniqueName="[FactCostSavings].[Average_MeasureLife]" caption="Average_MeasureLife" attribute="1" defaultMemberUniqueName="[FactCostSavings].[Average_MeasureLife].[All]" allUniqueName="[FactCostSavings].[Average_MeasureLife].[All]" dimensionUniqueName="[FactCostSavings]" displayFolder="" count="0" unbalanced="0"/>
    <cacheHierarchy uniqueName="[FactCostSavings].[AverageActualProgramDollarCost]" caption="AverageActualProgramDollarCost" attribute="1" defaultMemberUniqueName="[FactCostSavings].[AverageActualProgramDollarCost].[All]" allUniqueName="[FactCostSavings].[AverageActualProgramDollarCost].[All]" dimensionUniqueName="[FactCostSavings]" displayFolder="" count="0" unbalanced="0"/>
    <cacheHierarchy uniqueName="[FactCostSavings].[Avg_Gross_Savings]" caption="Avg_Gross_Savings" attribute="1" defaultMemberUniqueName="[FactCostSavings].[Avg_Gross_Savings].[All]" allUniqueName="[FactCostSavings].[Avg_Gross_Savings].[All]" dimensionUniqueName="[FactCostSavings]" displayFolder="" count="0" unbalanced="0"/>
    <cacheHierarchy uniqueName="[FactCostSavings].[Avg_Net_Savings]" caption="Avg_Net_Savings" attribute="1" defaultMemberUniqueName="[FactCostSavings].[Avg_Net_Savings].[All]" allUniqueName="[FactCostSavings].[Avg_Net_Savings].[All]" dimensionUniqueName="[FactCostSavings]" displayFolder="" count="0" unbalanced="0"/>
    <cacheHierarchy uniqueName="[FactCostSavings].[CostSavingsKey]" caption="CostSavingsKey" attribute="1" defaultMemberUniqueName="[FactCostSavings].[CostSavingsKey].[All]" allUniqueName="[FactCostSavings].[CostSavingsKey].[All]" dimensionUniqueName="[FactCostSavings]" displayFolder="" count="0" unbalanced="0"/>
    <cacheHierarchy uniqueName="[FactCostSavings].[Count]" caption="Count" attribute="1" defaultMemberUniqueName="[FactCostSavings].[Count].[All]" allUniqueName="[FactCostSavings].[Count].[All]" dimensionUniqueName="[FactCostSavings]" displayFolder="" count="0" unbalanced="0"/>
    <cacheHierarchy uniqueName="[FactCostSavings].[Gross_Therm_Unit_Cost]" caption="Gross_Therm_Unit_Cost" attribute="1" defaultMemberUniqueName="[FactCostSavings].[Gross_Therm_Unit_Cost].[All]" allUniqueName="[FactCostSavings].[Gross_Therm_Unit_Cost].[All]" dimensionUniqueName="[FactCostSavings]" displayFolder="" count="0" unbalanced="0"/>
    <cacheHierarchy uniqueName="[FactCostSavings].[GrossSavings]" caption="GrossSavings" attribute="1" defaultMemberUniqueName="[FactCostSavings].[GrossSavings].[All]" allUniqueName="[FactCostSavings].[GrossSavings].[All]" dimensionUniqueName="[FactCostSavings]" displayFolder="" count="0" unbalanced="0"/>
    <cacheHierarchy uniqueName="[FactCostSavings].[MaxMeasureLife]" caption="MaxMeasureLife" attribute="1" defaultMemberUniqueName="[FactCostSavings].[MaxMeasureLife].[All]" allUniqueName="[FactCostSavings].[MaxMeasureLife].[All]" dimensionUniqueName="[FactCostSavings]" displayFolder="" count="0" unbalanced="0"/>
    <cacheHierarchy uniqueName="[FactCostSavings].[MeasureName]" caption="MeasureName" attribute="1" defaultMemberUniqueName="[FactCostSavings].[MeasureName].[All]" allUniqueName="[FactCostSavings].[MeasureName].[All]" dimensionUniqueName="[FactCostSavings]" displayFolder="" count="0" unbalanced="0"/>
    <cacheHierarchy uniqueName="[FactCostSavings].[MinMeasureLife]" caption="MinMeasureLife" attribute="1" defaultMemberUniqueName="[FactCostSavings].[MinMeasureLife].[All]" allUniqueName="[FactCostSavings].[MinMeasureLife].[All]" dimensionUniqueName="[FactCostSavings]" displayFolder="" count="0" unbalanced="0"/>
    <cacheHierarchy uniqueName="[FactCostSavings].[Net_Therm_Unit_Cost]" caption="Net_Therm_Unit_Cost" attribute="1" defaultMemberUniqueName="[FactCostSavings].[Net_Therm_Unit_Cost].[All]" allUniqueName="[FactCostSavings].[Net_Therm_Unit_Cost].[All]" dimensionUniqueName="[FactCostSavings]" displayFolder="" count="0" unbalanced="0"/>
    <cacheHierarchy uniqueName="[FactCostSavings].[NetSavings]" caption="NetSavings" attribute="1" defaultMemberUniqueName="[FactCostSavings].[NetSavings].[All]" allUniqueName="[FactCostSavings].[NetSavings].[All]" dimensionUniqueName="[FactCostSavings]" displayFolder="" count="0" unbalanced="0"/>
    <cacheHierarchy uniqueName="[FactCostSavings].[PMTProgramKey]" caption="PMTProgramKey" attribute="1" defaultMemberUniqueName="[FactCostSavings].[PMTProgramKey].[All]" allUniqueName="[FactCostSavings].[PMTProgramKey].[All]" dimensionUniqueName="[FactCostSavings]" displayFolder="" count="0" unbalanced="0"/>
    <cacheHierarchy uniqueName="[FactCostSavings].[ProgramYear]" caption="ProgramYear" attribute="1" defaultMemberUniqueName="[FactCostSavings].[ProgramYear].[All]" allUniqueName="[FactCostSavings].[ProgramYear].[All]" dimensionUniqueName="[FactCostSavings]" displayFolder="" count="0" unbalanced="0"/>
    <cacheHierarchy uniqueName="[FactEEPData].[AccountingCode]" caption="AccountingCode" attribute="1" defaultMemberUniqueName="[FactEEPData].[AccountingCode].[All]" allUniqueName="[FactEEPData].[AccountingCode].[All]" dimensionUniqueName="[FactEEPData]" displayFolder="" count="0" unbalanced="0"/>
    <cacheHierarchy uniqueName="[FactEEPData].[AccountingCodeDescription]" caption="AccountingCodeDescription" attribute="1" defaultMemberUniqueName="[FactEEPData].[AccountingCodeDescription].[All]" allUniqueName="[FactEEPData].[AccountingCodeDescription].[All]" dimensionUniqueName="[FactEEPData]" displayFolder="" count="0" unbalanced="0"/>
    <cacheHierarchy uniqueName="[FactEEPData].[ActualProgramDollarCost]" caption="ActualProgramDollarCost" attribute="1" defaultMemberUniqueName="[FactEEPData].[ActualProgramDollarCost].[All]" allUniqueName="[FactEEPData].[ActualProgramDollarCost].[All]" dimensionUniqueName="[FactEEPData]" displayFolder="" count="0" unbalanced="0"/>
    <cacheHierarchy uniqueName="[FactEEPData].[AdjustmentFactor]" caption="AdjustmentFactor" attribute="1" defaultMemberUniqueName="[FactEEPData].[AdjustmentFactor].[All]" allUniqueName="[FactEEPData].[AdjustmentFactor].[All]" dimensionUniqueName="[FactEEPData]" displayFolder="" count="0" unbalanced="0"/>
    <cacheHierarchy uniqueName="[FactEEPData].[AdjustmentFactorAtttic]" caption="AdjustmentFactorAtttic" attribute="1" defaultMemberUniqueName="[FactEEPData].[AdjustmentFactorAtttic].[All]" allUniqueName="[FactEEPData].[AdjustmentFactorAtttic].[All]" dimensionUniqueName="[FactEEPData]" displayFolder="" count="0" unbalanced="0"/>
    <cacheHierarchy uniqueName="[FactEEPData].[AdministrationCost]" caption="AdministrationCost" attribute="1" defaultMemberUniqueName="[FactEEPData].[AdministrationCost].[All]" allUniqueName="[FactEEPData].[AdministrationCost].[All]" dimensionUniqueName="[FactEEPData]" displayFolder="" count="0" unbalanced="0"/>
    <cacheHierarchy uniqueName="[FactEEPData].[AgeOfEquipment]" caption="AgeOfEquipment" attribute="1" defaultMemberUniqueName="[FactEEPData].[AgeOfEquipment].[All]" allUniqueName="[FactEEPData].[AgeOfEquipment].[All]" dimensionUniqueName="[FactEEPData]" displayFolder="" count="0" unbalanced="0"/>
    <cacheHierarchy uniqueName="[FactEEPData].[AllocatedDeliveryDollars]" caption="AllocatedDeliveryDollars" attribute="1" defaultMemberUniqueName="[FactEEPData].[AllocatedDeliveryDollars].[All]" allUniqueName="[FactEEPData].[AllocatedDeliveryDollars].[All]" dimensionUniqueName="[FactEEPData]" displayFolder="" count="0" unbalanced="0"/>
    <cacheHierarchy uniqueName="[FactEEPData].[AnnualSewerSavings]" caption="AnnualSewerSavings" attribute="1" defaultMemberUniqueName="[FactEEPData].[AnnualSewerSavings].[All]" allUniqueName="[FactEEPData].[AnnualSewerSavings].[All]" dimensionUniqueName="[FactEEPData]" displayFolder="" count="0" unbalanced="0"/>
    <cacheHierarchy uniqueName="[FactEEPData].[AnnualThermConsumption]" caption="AnnualThermConsumption" attribute="1" defaultMemberUniqueName="[FactEEPData].[AnnualThermConsumption].[All]" allUniqueName="[FactEEPData].[AnnualThermConsumption].[All]" dimensionUniqueName="[FactEEPData]" displayFolder="" count="0" unbalanced="0"/>
    <cacheHierarchy uniqueName="[FactEEPData].[AnnualWaterSavings_GallonsPerYear]" caption="AnnualWaterSavings_GallonsPerYear" attribute="1" defaultMemberUniqueName="[FactEEPData].[AnnualWaterSavings_GallonsPerYear].[All]" allUniqueName="[FactEEPData].[AnnualWaterSavings_GallonsPerYear].[All]" dimensionUniqueName="[FactEEPData]" displayFolder="" count="0" unbalanced="0"/>
    <cacheHierarchy uniqueName="[FactEEPData].[ApprovalDate]" caption="ApprovalDate" attribute="1" defaultMemberUniqueName="[FactEEPData].[ApprovalDate].[All]" allUniqueName="[FactEEPData].[ApprovalDate].[All]" dimensionUniqueName="[FactEEPData]" displayFolder="" count="0" unbalanced="0"/>
    <cacheHierarchy uniqueName="[FactEEPData].[AreaOfInsulatedCeiling_Attic]" caption="AreaOfInsulatedCeiling_Attic" attribute="1" defaultMemberUniqueName="[FactEEPData].[AreaOfInsulatedCeiling_Attic].[All]" allUniqueName="[FactEEPData].[AreaOfInsulatedCeiling_Attic].[All]" dimensionUniqueName="[FactEEPData]" displayFolder="" count="0" unbalanced="0"/>
    <cacheHierarchy uniqueName="[FactEEPData].[AreaOfInsulatedWall]" caption="AreaOfInsulatedWall" attribute="1" defaultMemberUniqueName="[FactEEPData].[AreaOfInsulatedWall].[All]" allUniqueName="[FactEEPData].[AreaOfInsulatedWall].[All]" dimensionUniqueName="[FactEEPData]" displayFolder="" count="0" unbalanced="0"/>
    <cacheHierarchy uniqueName="[FactEEPData].[AsBuiltkWH]" caption="AsBuiltkWH" attribute="1" defaultMemberUniqueName="[FactEEPData].[AsBuiltkWH].[All]" allUniqueName="[FactEEPData].[AsBuiltkWH].[All]" dimensionUniqueName="[FactEEPData]" displayFolder="" count="0" unbalanced="0"/>
    <cacheHierarchy uniqueName="[FactEEPData].[AsBuiltTherms]" caption="AsBuiltTherms" attribute="1" defaultMemberUniqueName="[FactEEPData].[AsBuiltTherms].[All]" allUniqueName="[FactEEPData].[AsBuiltTherms].[All]" dimensionUniqueName="[FactEEPData]" displayFolder="" count="0" unbalanced="0"/>
    <cacheHierarchy uniqueName="[FactEEPData].[ASTMEnergyToFood]" caption="ASTMEnergyToFood" attribute="1" defaultMemberUniqueName="[FactEEPData].[ASTMEnergyToFood].[All]" allUniqueName="[FactEEPData].[ASTMEnergyToFood].[All]" dimensionUniqueName="[FactEEPData]" displayFolder="" count="0" unbalanced="0"/>
    <cacheHierarchy uniqueName="[FactEEPData].[AuditDate]" caption="AuditDate" attribute="1" defaultMemberUniqueName="[FactEEPData].[AuditDate].[All]" allUniqueName="[FactEEPData].[AuditDate].[All]" dimensionUniqueName="[FactEEPData]" displayFolder="" count="0" unbalanced="0"/>
    <cacheHierarchy uniqueName="[FactEEPData].[AverageTempDiff]" caption="AverageTempDiff" attribute="1" defaultMemberUniqueName="[FactEEPData].[AverageTempDiff].[All]" allUniqueName="[FactEEPData].[AverageTempDiff].[All]" dimensionUniqueName="[FactEEPData]" displayFolder="" count="0" unbalanced="0"/>
    <cacheHierarchy uniqueName="[FactEEPData].[BarePipeHeatLoss]" caption="BarePipeHeatLoss" attribute="1" defaultMemberUniqueName="[FactEEPData].[BarePipeHeatLoss].[All]" allUniqueName="[FactEEPData].[BarePipeHeatLoss].[All]" dimensionUniqueName="[FactEEPData]" displayFolder="" count="0" unbalanced="0"/>
    <cacheHierarchy uniqueName="[FactEEPData].[BasekWh]" caption="BasekWh" attribute="1" defaultMemberUniqueName="[FactEEPData].[BasekWh].[All]" allUniqueName="[FactEEPData].[BasekWh].[All]" dimensionUniqueName="[FactEEPData]" displayFolder="" count="0" unbalanced="0"/>
    <cacheHierarchy uniqueName="[FactEEPData].[BaselineEfficiency]" caption="BaselineEfficiency" attribute="1" defaultMemberUniqueName="[FactEEPData].[BaselineEfficiency].[All]" allUniqueName="[FactEEPData].[BaselineEfficiency].[All]" dimensionUniqueName="[FactEEPData]" displayFolder="" count="0" unbalanced="0"/>
    <cacheHierarchy uniqueName="[FactEEPData].[BaselineIdleEnergyRate]" caption="BaselineIdleEnergyRate" attribute="1" defaultMemberUniqueName="[FactEEPData].[BaselineIdleEnergyRate].[All]" allUniqueName="[FactEEPData].[BaselineIdleEnergyRate].[All]" dimensionUniqueName="[FactEEPData]" displayFolder="" count="0" unbalanced="0"/>
    <cacheHierarchy uniqueName="[FactEEPData].[BaselineIdleTime]" caption="BaselineIdleTime" attribute="1" defaultMemberUniqueName="[FactEEPData].[BaselineIdleTime].[All]" allUniqueName="[FactEEPData].[BaselineIdleTime].[All]" dimensionUniqueName="[FactEEPData]" displayFolder="" count="0" unbalanced="0"/>
    <cacheHierarchy uniqueName="[FactEEPData].[BaselineNumberOfPreheatsPerDay]" caption="BaselineNumberOfPreheatsPerDay" attribute="1" defaultMemberUniqueName="[FactEEPData].[BaselineNumberOfPreheatsPerDay].[All]" allUniqueName="[FactEEPData].[BaselineNumberOfPreheatsPerDay].[All]" dimensionUniqueName="[FactEEPData]" displayFolder="" count="0" unbalanced="0"/>
    <cacheHierarchy uniqueName="[FactEEPData].[BaselinePreheatRate]" caption="BaselinePreheatRate" attribute="1" defaultMemberUniqueName="[FactEEPData].[BaselinePreheatRate].[All]" allUniqueName="[FactEEPData].[BaselinePreheatRate].[All]" dimensionUniqueName="[FactEEPData]" displayFolder="" count="0" unbalanced="0"/>
    <cacheHierarchy uniqueName="[FactEEPData].[BaselinePreheatTime]" caption="BaselinePreheatTime" attribute="1" defaultMemberUniqueName="[FactEEPData].[BaselinePreheatTime].[All]" allUniqueName="[FactEEPData].[BaselinePreheatTime].[All]" dimensionUniqueName="[FactEEPData]" displayFolder="" count="0" unbalanced="0"/>
    <cacheHierarchy uniqueName="[FactEEPData].[BaselineProductionCapacity]" caption="BaselineProductionCapacity" attribute="1" defaultMemberUniqueName="[FactEEPData].[BaselineProductionCapacity].[All]" allUniqueName="[FactEEPData].[BaselineProductionCapacity].[All]" dimensionUniqueName="[FactEEPData]" displayFolder="" count="0" unbalanced="0"/>
    <cacheHierarchy uniqueName="[FactEEPData].[BaseTherms]" caption="BaseTherms" attribute="1" defaultMemberUniqueName="[FactEEPData].[BaseTherms].[All]" allUniqueName="[FactEEPData].[BaseTherms].[All]" dimensionUniqueName="[FactEEPData]" displayFolder="" count="0" unbalanced="0"/>
    <cacheHierarchy uniqueName="[FactEEPData].[BlowerDoorResults_ACH50]" caption="BlowerDoorResults_ACH50" attribute="1" defaultMemberUniqueName="[FactEEPData].[BlowerDoorResults_ACH50].[All]" allUniqueName="[FactEEPData].[BlowerDoorResults_ACH50].[All]" dimensionUniqueName="[FactEEPData]" displayFolder="" count="0" unbalanced="0"/>
    <cacheHierarchy uniqueName="[FactEEPData].[BudgetProgramDollarCost]" caption="BudgetProgramDollarCost" attribute="1" defaultMemberUniqueName="[FactEEPData].[BudgetProgramDollarCost].[All]" allUniqueName="[FactEEPData].[BudgetProgramDollarCost].[All]" dimensionUniqueName="[FactEEPData]" displayFolder="" count="0" unbalanced="0"/>
    <cacheHierarchy uniqueName="[FactEEPData].[BuilderIncentive]" caption="BuilderIncentive" attribute="1" defaultMemberUniqueName="[FactEEPData].[BuilderIncentive].[All]" allUniqueName="[FactEEPData].[BuilderIncentive].[All]" dimensionUniqueName="[FactEEPData]" displayFolder="" count="0" unbalanced="0"/>
    <cacheHierarchy uniqueName="[FactEEPData].[BuildingExposure]" caption="BuildingExposure" attribute="1" defaultMemberUniqueName="[FactEEPData].[BuildingExposure].[All]" allUniqueName="[FactEEPData].[BuildingExposure].[All]" dimensionUniqueName="[FactEEPData]" displayFolder="" count="0" unbalanced="0"/>
    <cacheHierarchy uniqueName="[FactEEPData].[BundleComponent]" caption="BundleComponent" attribute="1" defaultMemberUniqueName="[FactEEPData].[BundleComponent].[All]" allUniqueName="[FactEEPData].[BundleComponent].[All]" dimensionUniqueName="[FactEEPData]" displayFolder="" count="0" unbalanced="0"/>
    <cacheHierarchy uniqueName="[FactEEPData].[CalculatedDeltaSavingsPercent]" caption="CalculatedDeltaSavingsPercent" attribute="1" defaultMemberUniqueName="[FactEEPData].[CalculatedDeltaSavingsPercent].[All]" allUniqueName="[FactEEPData].[CalculatedDeltaSavingsPercent].[All]" dimensionUniqueName="[FactEEPData]" displayFolder="" count="0" unbalanced="0"/>
    <cacheHierarchy uniqueName="[FactEEPData].[CalculationMethod]" caption="CalculationMethod" attribute="1" defaultMemberUniqueName="[FactEEPData].[CalculationMethod].[All]" allUniqueName="[FactEEPData].[CalculationMethod].[All]" dimensionUniqueName="[FactEEPData]" displayFolder="" count="0" unbalanced="0"/>
    <cacheHierarchy uniqueName="[FactEEPData].[Circumference1]" caption="Circumference1" attribute="1" defaultMemberUniqueName="[FactEEPData].[Circumference1].[All]" allUniqueName="[FactEEPData].[Circumference1].[All]" dimensionUniqueName="[FactEEPData]" displayFolder="" count="0" unbalanced="0"/>
    <cacheHierarchy uniqueName="[FactEEPData].[Circumference2]" caption="Circumference2" attribute="1" defaultMemberUniqueName="[FactEEPData].[Circumference2].[All]" allUniqueName="[FactEEPData].[Circumference2].[All]" dimensionUniqueName="[FactEEPData]" displayFolder="" count="0" unbalanced="0"/>
    <cacheHierarchy uniqueName="[FactEEPData].[Classification]" caption="Classification" attribute="1" defaultMemberUniqueName="[FactEEPData].[Classification].[All]" allUniqueName="[FactEEPData].[Classification].[All]" dimensionUniqueName="[FactEEPData]" displayFolder="" count="0" unbalanced="0"/>
    <cacheHierarchy uniqueName="[FactEEPData].[ConditionedBasement]" caption="ConditionedBasement" attribute="1" defaultMemberUniqueName="[FactEEPData].[ConditionedBasement].[All]" allUniqueName="[FactEEPData].[ConditionedBasement].[All]" dimensionUniqueName="[FactEEPData]" displayFolder="" count="0" unbalanced="0"/>
    <cacheHierarchy uniqueName="[FactEEPData].[CustomerCopay]" caption="CustomerCopay" attribute="1" defaultMemberUniqueName="[FactEEPData].[CustomerCopay].[All]" allUniqueName="[FactEEPData].[CustomerCopay].[All]" dimensionUniqueName="[FactEEPData]" displayFolder="" count="0" unbalanced="0"/>
    <cacheHierarchy uniqueName="[FactEEPData].[CustomerCost]" caption="CustomerCost" attribute="1" defaultMemberUniqueName="[FactEEPData].[CustomerCost].[All]" allUniqueName="[FactEEPData].[CustomerCost].[All]" dimensionUniqueName="[FactEEPData]" displayFolder="" count="0" unbalanced="0"/>
    <cacheHierarchy uniqueName="[FactEEPData].[DailyCookingEnergyDiff]" caption="DailyCookingEnergyDiff" attribute="1" defaultMemberUniqueName="[FactEEPData].[DailyCookingEnergyDiff].[All]" allUniqueName="[FactEEPData].[DailyCookingEnergyDiff].[All]" dimensionUniqueName="[FactEEPData]" displayFolder="" count="0" unbalanced="0"/>
    <cacheHierarchy uniqueName="[FactEEPData].[DailyIdleEnergyDiff]" caption="DailyIdleEnergyDiff" attribute="1" defaultMemberUniqueName="[FactEEPData].[DailyIdleEnergyDiff].[All]" allUniqueName="[FactEEPData].[DailyIdleEnergyDiff].[All]" dimensionUniqueName="[FactEEPData]" displayFolder="" count="0" unbalanced="0"/>
    <cacheHierarchy uniqueName="[FactEEPData].[DailyPreheatEnergyDiff]" caption="DailyPreheatEnergyDiff" attribute="1" defaultMemberUniqueName="[FactEEPData].[DailyPreheatEnergyDiff].[All]" allUniqueName="[FactEEPData].[DailyPreheatEnergyDiff].[All]" dimensionUniqueName="[FactEEPData]" displayFolder="" count="0" unbalanced="0"/>
    <cacheHierarchy uniqueName="[FactEEPData].[DeemedThermSavings]" caption="DeemedThermSavings" attribute="1" defaultMemberUniqueName="[FactEEPData].[DeemedThermSavings].[All]" allUniqueName="[FactEEPData].[DeemedThermSavings].[All]" dimensionUniqueName="[FactEEPData]" displayFolder="" count="0" unbalanced="0"/>
    <cacheHierarchy uniqueName="[FactEEPData].[DegreeOfSetback]" caption="DegreeOfSetback" attribute="1" defaultMemberUniqueName="[FactEEPData].[DegreeOfSetback].[All]" allUniqueName="[FactEEPData].[DegreeOfSetback].[All]" dimensionUniqueName="[FactEEPData]" displayFolder="" count="0" unbalanced="0"/>
    <cacheHierarchy uniqueName="[FactEEPData].[DeltaMBTUH]" caption="DeltaMBTUH" attribute="1" defaultMemberUniqueName="[FactEEPData].[DeltaMBTUH].[All]" allUniqueName="[FactEEPData].[DeltaMBTUH].[All]" dimensionUniqueName="[FactEEPData]" displayFolder="" count="0" unbalanced="0"/>
    <cacheHierarchy uniqueName="[FactEEPData].[Derating_Base]" caption="Derating_Base" attribute="1" defaultMemberUniqueName="[FactEEPData].[Derating_Base].[All]" allUniqueName="[FactEEPData].[Derating_Base].[All]" dimensionUniqueName="[FactEEPData]" displayFolder="" count="0" unbalanced="0"/>
    <cacheHierarchy uniqueName="[FactEEPData].[Derating_Eff]" caption="Derating_Eff" attribute="1" defaultMemberUniqueName="[FactEEPData].[Derating_Eff].[All]" allUniqueName="[FactEEPData].[Derating_Eff].[All]" dimensionUniqueName="[FactEEPData]" displayFolder="" count="0" unbalanced="0"/>
    <cacheHierarchy uniqueName="[FactEEPData].[DrainFactor]" caption="DrainFactor" attribute="1" defaultMemberUniqueName="[FactEEPData].[DrainFactor].[All]" allUniqueName="[FactEEPData].[DrainFactor].[All]" dimensionUniqueName="[FactEEPData]" displayFolder="" count="0" unbalanced="0"/>
    <cacheHierarchy uniqueName="[FactEEPData].[DuctLeakageReduction]" caption="DuctLeakageReduction" attribute="1" defaultMemberUniqueName="[FactEEPData].[DuctLeakageReduction].[All]" allUniqueName="[FactEEPData].[DuctLeakageReduction].[All]" dimensionUniqueName="[FactEEPData]" displayFolder="" count="0" unbalanced="0"/>
    <cacheHierarchy uniqueName="[FactEEPData].[Duty]" caption="Duty" attribute="1" defaultMemberUniqueName="[FactEEPData].[Duty].[All]" allUniqueName="[FactEEPData].[Duty].[All]" dimensionUniqueName="[FactEEPData]" displayFolder="" count="0" unbalanced="0"/>
    <cacheHierarchy uniqueName="[FactEEPData].[EEPGrossTherms]" caption="EEPGrossTherms" attribute="1" defaultMemberUniqueName="[FactEEPData].[EEPGrossTherms].[All]" allUniqueName="[FactEEPData].[EEPGrossTherms].[All]" dimensionUniqueName="[FactEEPData]" displayFolder="" count="0" unbalanced="0"/>
    <cacheHierarchy uniqueName="[FactEEPData].[EfficiencyDHW]" caption="EfficiencyDHW" attribute="1" defaultMemberUniqueName="[FactEEPData].[EfficiencyDHW].[All]" allUniqueName="[FactEEPData].[EfficiencyDHW].[All]" dimensionUniqueName="[FactEEPData]" displayFolder="" count="0" unbalanced="0"/>
    <cacheHierarchy uniqueName="[FactEEPData].[EmergingTechnologyDollars]" caption="EmergingTechnologyDollars" attribute="1" defaultMemberUniqueName="[FactEEPData].[EmergingTechnologyDollars].[All]" allUniqueName="[FactEEPData].[EmergingTechnologyDollars].[All]" dimensionUniqueName="[FactEEPData]" displayFolder="" count="0" unbalanced="0"/>
    <cacheHierarchy uniqueName="[FactEEPData].[EndDate]" caption="EndDate" attribute="1" defaultMemberUniqueName="[FactEEPData].[EndDate].[All]" allUniqueName="[FactEEPData].[EndDate].[All]" dimensionUniqueName="[FactEEPData]" displayFolder="" count="0" unbalanced="0"/>
    <cacheHierarchy uniqueName="[FactEEPData].[EnergyPerGallon]" caption="EnergyPerGallon" attribute="1" defaultMemberUniqueName="[FactEEPData].[EnergyPerGallon].[All]" allUniqueName="[FactEEPData].[EnergyPerGallon].[All]" dimensionUniqueName="[FactEEPData]" displayFolder="" count="0" unbalanced="0"/>
    <cacheHierarchy uniqueName="[FactEEPData].[EnergySavingsPerPreheat]" caption="EnergySavingsPerPreheat" attribute="1" defaultMemberUniqueName="[FactEEPData].[EnergySavingsPerPreheat].[All]" allUniqueName="[FactEEPData].[EnergySavingsPerPreheat].[All]" dimensionUniqueName="[FactEEPData]" displayFolder="" count="0" unbalanced="0"/>
    <cacheHierarchy uniqueName="[FactEEPData].[ENERGYSTAR_EquipmentNumberOfPreheatsPerDay]" caption="ENERGYSTAR_EquipmentNumberOfPreheatsPerDay" attribute="1" defaultMemberUniqueName="[FactEEPData].[ENERGYSTAR_EquipmentNumberOfPreheatsPerDay].[All]" allUniqueName="[FactEEPData].[ENERGYSTAR_EquipmentNumberOfPreheatsPerDay].[All]" dimensionUniqueName="[FactEEPData]" displayFolder="" count="0" unbalanced="0"/>
    <cacheHierarchy uniqueName="[FactEEPData].[ENERGYSTAR_IdleEnergyRate]" caption="ENERGYSTAR_IdleEnergyRate" attribute="1" defaultMemberUniqueName="[FactEEPData].[ENERGYSTAR_IdleEnergyRate].[All]" allUniqueName="[FactEEPData].[ENERGYSTAR_IdleEnergyRate].[All]" dimensionUniqueName="[FactEEPData]" displayFolder="" count="0" unbalanced="0"/>
    <cacheHierarchy uniqueName="[FactEEPData].[ENERGYSTAR_IdleTime]" caption="ENERGYSTAR_IdleTime" attribute="1" defaultMemberUniqueName="[FactEEPData].[ENERGYSTAR_IdleTime].[All]" allUniqueName="[FactEEPData].[ENERGYSTAR_IdleTime].[All]" dimensionUniqueName="[FactEEPData]" displayFolder="" count="0" unbalanced="0"/>
    <cacheHierarchy uniqueName="[FactEEPData].[ENERGYSTAR_PreheatRate]" caption="ENERGYSTAR_PreheatRate" attribute="1" defaultMemberUniqueName="[FactEEPData].[ENERGYSTAR_PreheatRate].[All]" allUniqueName="[FactEEPData].[ENERGYSTAR_PreheatRate].[All]" dimensionUniqueName="[FactEEPData]" displayFolder="" count="0" unbalanced="0"/>
    <cacheHierarchy uniqueName="[FactEEPData].[ENERGYSTAR_PreheatTime]" caption="ENERGYSTAR_PreheatTime" attribute="1" defaultMemberUniqueName="[FactEEPData].[ENERGYSTAR_PreheatTime].[All]" allUniqueName="[FactEEPData].[ENERGYSTAR_PreheatTime].[All]" dimensionUniqueName="[FactEEPData]" displayFolder="" count="0" unbalanced="0"/>
    <cacheHierarchy uniqueName="[FactEEPData].[EquipmentEfficiency%]" caption="EquipmentEfficiency%" attribute="1" defaultMemberUniqueName="[FactEEPData].[EquipmentEfficiency%].[All]" allUniqueName="[FactEEPData].[EquipmentEfficiency%].[All]" dimensionUniqueName="[FactEEPData]" displayFolder="" count="0" unbalanced="0"/>
    <cacheHierarchy uniqueName="[FactEEPData].[EquipmentLocation]" caption="EquipmentLocation" attribute="1" defaultMemberUniqueName="[FactEEPData].[EquipmentLocation].[All]" allUniqueName="[FactEEPData].[EquipmentLocation].[All]" dimensionUniqueName="[FactEEPData]" displayFolder="" count="0" unbalanced="0"/>
    <cacheHierarchy uniqueName="[FactEEPData].[EquivalentFullLoadHours]" caption="EquivalentFullLoadHours" attribute="1" defaultMemberUniqueName="[FactEEPData].[EquivalentFullLoadHours].[All]" allUniqueName="[FactEEPData].[EquivalentFullLoadHours].[All]" dimensionUniqueName="[FactEEPData]" displayFolder="" count="0" unbalanced="0"/>
    <cacheHierarchy uniqueName="[FactEEPData].[EstimatedAnnualSewerSavings_Gallons]" caption="EstimatedAnnualSewerSavings_Gallons" attribute="1" defaultMemberUniqueName="[FactEEPData].[EstimatedAnnualSewerSavings_Gallons].[All]" allUniqueName="[FactEEPData].[EstimatedAnnualSewerSavings_Gallons].[All]" dimensionUniqueName="[FactEEPData]" displayFolder="" count="0" unbalanced="0"/>
    <cacheHierarchy uniqueName="[FactEEPData].[EstimatedAnnualWaterSavings_Gallons]" caption="EstimatedAnnualWaterSavings_Gallons" attribute="1" defaultMemberUniqueName="[FactEEPData].[EstimatedAnnualWaterSavings_Gallons].[All]" allUniqueName="[FactEEPData].[EstimatedAnnualWaterSavings_Gallons].[All]" dimensionUniqueName="[FactEEPData]" displayFolder="" count="0" unbalanced="0"/>
    <cacheHierarchy uniqueName="[FactEEPData].[EstimatedGrossAnnualThermSavings]" caption="EstimatedGrossAnnualThermSavings" attribute="1" defaultMemberUniqueName="[FactEEPData].[EstimatedGrossAnnualThermSavings].[All]" allUniqueName="[FactEEPData].[EstimatedGrossAnnualThermSavings].[All]" dimensionUniqueName="[FactEEPData]" displayFolder="" count="0" unbalanced="0"/>
    <cacheHierarchy uniqueName="[FactEEPData].[EstimatedGrosskWhSavings]" caption="EstimatedGrosskWhSavings" attribute="1" defaultMemberUniqueName="[FactEEPData].[EstimatedGrosskWhSavings].[All]" allUniqueName="[FactEEPData].[EstimatedGrosskWhSavings].[All]" dimensionUniqueName="[FactEEPData]" displayFolder="" count="0" unbalanced="0"/>
    <cacheHierarchy uniqueName="[FactEEPData].[EstimatedInstallationCost]" caption="EstimatedInstallationCost" attribute="1" defaultMemberUniqueName="[FactEEPData].[EstimatedInstallationCost].[All]" allUniqueName="[FactEEPData].[EstimatedInstallationCost].[All]" dimensionUniqueName="[FactEEPData]" displayFolder="" count="0" unbalanced="0"/>
    <cacheHierarchy uniqueName="[FactEEPData].[EstimatedMaintenanceCost]" caption="EstimatedMaintenanceCost" attribute="1" defaultMemberUniqueName="[FactEEPData].[EstimatedMaintenanceCost].[All]" allUniqueName="[FactEEPData].[EstimatedMaintenanceCost].[All]" dimensionUniqueName="[FactEEPData]" displayFolder="" count="0" unbalanced="0"/>
    <cacheHierarchy uniqueName="[FactEEPData].[EstimatedRebate]" caption="EstimatedRebate" attribute="1" defaultMemberUniqueName="[FactEEPData].[EstimatedRebate].[All]" allUniqueName="[FactEEPData].[EstimatedRebate].[All]" dimensionUniqueName="[FactEEPData]" displayFolder="" count="0" unbalanced="0"/>
    <cacheHierarchy uniqueName="[FactEEPData].[EstimatedSimplePayback]" caption="EstimatedSimplePayback" attribute="1" defaultMemberUniqueName="[FactEEPData].[EstimatedSimplePayback].[All]" allUniqueName="[FactEEPData].[EstimatedSimplePayback].[All]" dimensionUniqueName="[FactEEPData]" displayFolder="" count="0" unbalanced="0"/>
    <cacheHierarchy uniqueName="[FactEEPData].[ExistingMBTUH]" caption="ExistingMBTUH" attribute="1" defaultMemberUniqueName="[FactEEPData].[ExistingMBTUH].[All]" allUniqueName="[FactEEPData].[ExistingMBTUH].[All]" dimensionUniqueName="[FactEEPData]" displayFolder="" count="0" unbalanced="0"/>
    <cacheHierarchy uniqueName="[FactEEPData].[ExistingUnitStatus]" caption="ExistingUnitStatus" attribute="1" defaultMemberUniqueName="[FactEEPData].[ExistingUnitStatus].[All]" allUniqueName="[FactEEPData].[ExistingUnitStatus].[All]" dimensionUniqueName="[FactEEPData]" displayFolder="" count="0" unbalanced="0"/>
    <cacheHierarchy uniqueName="[FactEEPData].[ExternalRebateProcessorID]" caption="ExternalRebateProcessorID" attribute="1" defaultMemberUniqueName="[FactEEPData].[ExternalRebateProcessorID].[All]" allUniqueName="[FactEEPData].[ExternalRebateProcessorID].[All]" dimensionUniqueName="[FactEEPData]" displayFolder="" count="0" unbalanced="0"/>
    <cacheHierarchy uniqueName="[FactEEPData].[FaucetsPerHousehold]" caption="FaucetsPerHousehold" attribute="1" defaultMemberUniqueName="[FactEEPData].[FaucetsPerHousehold].[All]" allUniqueName="[FactEEPData].[FaucetsPerHousehold].[All]" dimensionUniqueName="[FactEEPData]" displayFolder="" count="0" unbalanced="0"/>
    <cacheHierarchy uniqueName="[FactEEPData].[FramingFactorAttic]" caption="FramingFactorAttic" attribute="1" defaultMemberUniqueName="[FactEEPData].[FramingFactorAttic].[All]" allUniqueName="[FactEEPData].[FramingFactorAttic].[All]" dimensionUniqueName="[FactEEPData]" displayFolder="" count="0" unbalanced="0"/>
    <cacheHierarchy uniqueName="[FactEEPData].[FramingFactorWall]" caption="FramingFactorWall" attribute="1" defaultMemberUniqueName="[FactEEPData].[FramingFactorWall].[All]" allUniqueName="[FactEEPData].[FramingFactorWall].[All]" dimensionUniqueName="[FactEEPData]" displayFolder="" count="0" unbalanced="0"/>
    <cacheHierarchy uniqueName="[FactEEPData].[FurnaceHeatingLoad]" caption="FurnaceHeatingLoad" attribute="1" defaultMemberUniqueName="[FactEEPData].[FurnaceHeatingLoad].[All]" allUniqueName="[FactEEPData].[FurnaceHeatingLoad].[All]" dimensionUniqueName="[FactEEPData]" displayFolder="" count="0" unbalanced="0"/>
    <cacheHierarchy uniqueName="[FactEEPData].[GallonsPerDay]" caption="GallonsPerDay" attribute="1" defaultMemberUniqueName="[FactEEPData].[GallonsPerDay].[All]" allUniqueName="[FactEEPData].[GallonsPerDay].[All]" dimensionUniqueName="[FactEEPData]" displayFolder="" count="0" unbalanced="0"/>
    <cacheHierarchy uniqueName="[FactEEPData].[GriddleDepth]" caption="GriddleDepth" attribute="1" defaultMemberUniqueName="[FactEEPData].[GriddleDepth].[All]" allUniqueName="[FactEEPData].[GriddleDepth].[All]" dimensionUniqueName="[FactEEPData]" displayFolder="" count="0" unbalanced="0"/>
    <cacheHierarchy uniqueName="[FactEEPData].[GriddleWidth]" caption="GriddleWidth" attribute="1" defaultMemberUniqueName="[FactEEPData].[GriddleWidth].[All]" allUniqueName="[FactEEPData].[GriddleWidth].[All]" dimensionUniqueName="[FactEEPData]" displayFolder="" count="0" unbalanced="0"/>
    <cacheHierarchy uniqueName="[FactEEPData].[GrossAnnualkWhSavings]" caption="GrossAnnualkWhSavings" attribute="1" defaultMemberUniqueName="[FactEEPData].[GrossAnnualkWhSavings].[All]" allUniqueName="[FactEEPData].[GrossAnnualkWhSavings].[All]" dimensionUniqueName="[FactEEPData]" displayFolder="" count="0" unbalanced="0"/>
    <cacheHierarchy uniqueName="[FactEEPData].[GrossAnnualThermSavings]" caption="GrossAnnualThermSavings" attribute="1" defaultMemberUniqueName="[FactEEPData].[GrossAnnualThermSavings].[All]" allUniqueName="[FactEEPData].[GrossAnnualThermSavings].[All]" dimensionUniqueName="[FactEEPData]" displayFolder="" count="0" unbalanced="0"/>
    <cacheHierarchy uniqueName="[FactEEPData].[HDD]" caption="HDD" attribute="1" defaultMemberUniqueName="[FactEEPData].[HDD].[All]" allUniqueName="[FactEEPData].[HDD].[All]" dimensionUniqueName="[FactEEPData]" displayFolder="" count="0" unbalanced="0"/>
    <cacheHierarchy uniqueName="[FactEEPData].[HeatingReduction]" caption="HeatingReduction" attribute="1" defaultMemberUniqueName="[FactEEPData].[HeatingReduction].[All]" allUniqueName="[FactEEPData].[HeatingReduction].[All]" dimensionUniqueName="[FactEEPData]" displayFolder="" count="0" unbalanced="0"/>
    <cacheHierarchy uniqueName="[FactEEPData].[HeatOfVaporization]" caption="HeatOfVaporization" attribute="1" defaultMemberUniqueName="[FactEEPData].[HeatOfVaporization].[All]" allUniqueName="[FactEEPData].[HeatOfVaporization].[All]" dimensionUniqueName="[FactEEPData]" displayFolder="" count="0" unbalanced="0"/>
    <cacheHierarchy uniqueName="[FactEEPData].[HeightOfWallAboveGrade]" caption="HeightOfWallAboveGrade" attribute="1" defaultMemberUniqueName="[FactEEPData].[HeightOfWallAboveGrade].[All]" allUniqueName="[FactEEPData].[HeightOfWallAboveGrade].[All]" dimensionUniqueName="[FactEEPData]" displayFolder="" count="0" unbalanced="0"/>
    <cacheHierarchy uniqueName="[FactEEPData].[Horsepower]" caption="Horsepower" attribute="1" defaultMemberUniqueName="[FactEEPData].[Horsepower].[All]" allUniqueName="[FactEEPData].[Horsepower].[All]" dimensionUniqueName="[FactEEPData]" displayFolder="" count="0" unbalanced="0"/>
    <cacheHierarchy uniqueName="[FactEEPData].[HotWaterReductionFactor]" caption="HotWaterReductionFactor" attribute="1" defaultMemberUniqueName="[FactEEPData].[HotWaterReductionFactor].[All]" allUniqueName="[FactEEPData].[HotWaterReductionFactor].[All]" dimensionUniqueName="[FactEEPData]" displayFolder="" count="0" unbalanced="0"/>
    <cacheHierarchy uniqueName="[FactEEPData].[HouseholdFactor]" caption="HouseholdFactor" attribute="1" defaultMemberUniqueName="[FactEEPData].[HouseholdFactor].[All]" allUniqueName="[FactEEPData].[HouseholdFactor].[All]" dimensionUniqueName="[FactEEPData]" displayFolder="" count="0" unbalanced="0"/>
    <cacheHierarchy uniqueName="[FactEEPData].[Incentive_OtherNonUtility]" caption="Incentive_OtherNonUtility" attribute="1" defaultMemberUniqueName="[FactEEPData].[Incentive_OtherNonUtility].[All]" allUniqueName="[FactEEPData].[Incentive_OtherNonUtility].[All]" dimensionUniqueName="[FactEEPData]" displayFolder="" count="0" unbalanced="0"/>
    <cacheHierarchy uniqueName="[FactEEPData].[Incentive_OtherUtility]" caption="Incentive_OtherUtility" attribute="1" defaultMemberUniqueName="[FactEEPData].[Incentive_OtherUtility].[All]" allUniqueName="[FactEEPData].[Incentive_OtherUtility].[All]" dimensionUniqueName="[FactEEPData]" displayFolder="" count="0" unbalanced="0"/>
    <cacheHierarchy uniqueName="[FactEEPData].[IncentiveCap]" caption="IncentiveCap" attribute="1" defaultMemberUniqueName="[FactEEPData].[IncentiveCap].[All]" allUniqueName="[FactEEPData].[IncentiveCap].[All]" dimensionUniqueName="[FactEEPData]" displayFolder="" count="0" unbalanced="0"/>
    <cacheHierarchy uniqueName="[FactEEPData].[IncentiveCost]" caption="IncentiveCost" attribute="1" defaultMemberUniqueName="[FactEEPData].[IncentiveCost].[All]" allUniqueName="[FactEEPData].[IncentiveCost].[All]" dimensionUniqueName="[FactEEPData]" displayFolder="" count="0" unbalanced="0"/>
    <cacheHierarchy uniqueName="[FactEEPData].[IncentivePaidDate]" caption="IncentivePaidDate" attribute="1" defaultMemberUniqueName="[FactEEPData].[IncentivePaidDate].[All]" allUniqueName="[FactEEPData].[IncentivePaidDate].[All]" dimensionUniqueName="[FactEEPData]" displayFolder="" count="0" unbalanced="0"/>
    <cacheHierarchy uniqueName="[FactEEPData].[IncentiveRate]" caption="IncentiveRate" attribute="1" defaultMemberUniqueName="[FactEEPData].[IncentiveRate].[All]" allUniqueName="[FactEEPData].[IncentiveRate].[All]" dimensionUniqueName="[FactEEPData]" displayFolder="" count="0" unbalanced="0"/>
    <cacheHierarchy uniqueName="[FactEEPData].[IncrementalCost]" caption="IncrementalCost" attribute="1" defaultMemberUniqueName="[FactEEPData].[IncrementalCost].[All]" allUniqueName="[FactEEPData].[IncrementalCost].[All]" dimensionUniqueName="[FactEEPData]" displayFolder="" count="0" unbalanced="0"/>
    <cacheHierarchy uniqueName="[FactEEPData].[InServiceRate]" caption="InServiceRate" attribute="1" defaultMemberUniqueName="[FactEEPData].[InServiceRate].[All]" allUniqueName="[FactEEPData].[InServiceRate].[All]" dimensionUniqueName="[FactEEPData]" displayFolder="" count="0" unbalanced="0"/>
    <cacheHierarchy uniqueName="[FactEEPData].[InstallationDate]" caption="InstallationDate" attribute="1" defaultMemberUniqueName="[FactEEPData].[InstallationDate].[All]" allUniqueName="[FactEEPData].[InstallationDate].[All]" dimensionUniqueName="[FactEEPData]" displayFolder="" count="0" unbalanced="0"/>
    <cacheHierarchy uniqueName="[FactEEPData].[InstallationEquipmentCost]" caption="InstallationEquipmentCost" attribute="1" defaultMemberUniqueName="[FactEEPData].[InstallationEquipmentCost].[All]" allUniqueName="[FactEEPData].[InstallationEquipmentCost].[All]" dimensionUniqueName="[FactEEPData]" displayFolder="" count="0" unbalanced="0"/>
    <cacheHierarchy uniqueName="[FactEEPData].[InsulatedPipeHeatLoss]" caption="InsulatedPipeHeatLoss" attribute="1" defaultMemberUniqueName="[FactEEPData].[InsulatedPipeHeatLoss].[All]" allUniqueName="[FactEEPData].[InsulatedPipeHeatLoss].[All]" dimensionUniqueName="[FactEEPData]" displayFolder="" count="0" unbalanced="0"/>
    <cacheHierarchy uniqueName="[FactEEPData].[InsulationType]" caption="InsulationType" attribute="1" defaultMemberUniqueName="[FactEEPData].[InsulationType].[All]" allUniqueName="[FactEEPData].[InsulationType].[All]" dimensionUniqueName="[FactEEPData]" displayFolder="" count="0" unbalanced="0"/>
    <cacheHierarchy uniqueName="[FactEEPData].[InvoiceNumber]" caption="InvoiceNumber" attribute="1" defaultMemberUniqueName="[FactEEPData].[InvoiceNumber].[All]" allUniqueName="[FactEEPData].[InvoiceNumber].[All]" dimensionUniqueName="[FactEEPData]" displayFolder="" count="0" unbalanced="0"/>
    <cacheHierarchy uniqueName="[FactEEPData].[Lbs]" caption="Lbs" attribute="1" defaultMemberUniqueName="[FactEEPData].[Lbs].[All]" allUniqueName="[FactEEPData].[Lbs].[All]" dimensionUniqueName="[FactEEPData]" displayFolder="" count="0" unbalanced="0"/>
    <cacheHierarchy uniqueName="[FactEEPData].[LeakingAndBlowThru]" caption="LeakingAndBlowThru" attribute="1" defaultMemberUniqueName="[FactEEPData].[LeakingAndBlowThru].[All]" allUniqueName="[FactEEPData].[LeakingAndBlowThru].[All]" dimensionUniqueName="[FactEEPData]" displayFolder="" count="0" unbalanced="0"/>
    <cacheHierarchy uniqueName="[FactEEPData].[LengthOfBasementWall]" caption="LengthOfBasementWall" attribute="1" defaultMemberUniqueName="[FactEEPData].[LengthOfBasementWall].[All]" allUniqueName="[FactEEPData].[LengthOfBasementWall].[All]" dimensionUniqueName="[FactEEPData]" displayFolder="" count="0" unbalanced="0"/>
    <cacheHierarchy uniqueName="[FactEEPData].[LengthOfFaucetUse]" caption="LengthOfFaucetUse" attribute="1" defaultMemberUniqueName="[FactEEPData].[LengthOfFaucetUse].[All]" allUniqueName="[FactEEPData].[LengthOfFaucetUse].[All]" dimensionUniqueName="[FactEEPData]" displayFolder="" count="0" unbalanced="0"/>
    <cacheHierarchy uniqueName="[FactEEPData].[LengthOfOtherComponents]" caption="LengthOfOtherComponents" attribute="1" defaultMemberUniqueName="[FactEEPData].[LengthOfOtherComponents].[All]" allUniqueName="[FactEEPData].[LengthOfOtherComponents].[All]" dimensionUniqueName="[FactEEPData]" displayFolder="" count="0" unbalanced="0"/>
    <cacheHierarchy uniqueName="[FactEEPData].[LevelOfRepairsCompleted]" caption="LevelOfRepairsCompleted" attribute="1" defaultMemberUniqueName="[FactEEPData].[LevelOfRepairsCompleted].[All]" allUniqueName="[FactEEPData].[LevelOfRepairsCompleted].[All]" dimensionUniqueName="[FactEEPData]" displayFolder="" count="0" unbalanced="0"/>
    <cacheHierarchy uniqueName="[FactEEPData].[LifecycleTherm]" caption="LifecycleTherm" attribute="1" defaultMemberUniqueName="[FactEEPData].[LifecycleTherm].[All]" allUniqueName="[FactEEPData].[LifecycleTherm].[All]" dimensionUniqueName="[FactEEPData]" displayFolder="" count="0" unbalanced="0"/>
    <cacheHierarchy uniqueName="[FactEEPData].[LinearFeet1]" caption="LinearFeet1" attribute="1" defaultMemberUniqueName="[FactEEPData].[LinearFeet1].[All]" allUniqueName="[FactEEPData].[LinearFeet1].[All]" dimensionUniqueName="[FactEEPData]" displayFolder="" count="0" unbalanced="0"/>
    <cacheHierarchy uniqueName="[FactEEPData].[LinearFeet2]" caption="LinearFeet2" attribute="1" defaultMemberUniqueName="[FactEEPData].[LinearFeet2].[All]" allUniqueName="[FactEEPData].[LinearFeet2].[All]" dimensionUniqueName="[FactEEPData]" displayFolder="" count="0" unbalanced="0"/>
    <cacheHierarchy uniqueName="[FactEEPData].[MaintenanceCost]" caption="MaintenanceCost" attribute="1" defaultMemberUniqueName="[FactEEPData].[MaintenanceCost].[All]" allUniqueName="[FactEEPData].[MaintenanceCost].[All]" dimensionUniqueName="[FactEEPData]" displayFolder="" count="0" unbalanced="0"/>
    <cacheHierarchy uniqueName="[FactEEPData].[ManagementDollars]" caption="ManagementDollars" attribute="1" defaultMemberUniqueName="[FactEEPData].[ManagementDollars].[All]" allUniqueName="[FactEEPData].[ManagementDollars].[All]" dimensionUniqueName="[FactEEPData]" displayFolder="" count="0" unbalanced="0"/>
    <cacheHierarchy uniqueName="[FactEEPData].[Manufacturer]" caption="Manufacturer" attribute="1" defaultMemberUniqueName="[FactEEPData].[Manufacturer].[All]" allUniqueName="[FactEEPData].[Manufacturer].[All]" dimensionUniqueName="[FactEEPData]" displayFolder="" count="0" unbalanced="0"/>
    <cacheHierarchy uniqueName="[FactEEPData].[MarketingCost]" caption="MarketingCost" attribute="1" defaultMemberUniqueName="[FactEEPData].[MarketingCost].[All]" allUniqueName="[FactEEPData].[MarketingCost].[All]" dimensionUniqueName="[FactEEPData]" displayFolder="" count="0" unbalanced="0"/>
    <cacheHierarchy uniqueName="[FactEEPData].[MaterialCost]" caption="MaterialCost" attribute="1" defaultMemberUniqueName="[FactEEPData].[MaterialCost].[All]" allUniqueName="[FactEEPData].[MaterialCost].[All]" dimensionUniqueName="[FactEEPData]" displayFolder="" count="0" unbalanced="0"/>
    <cacheHierarchy uniqueName="[FactEEPData].[MBH]" caption="MBH" attribute="1" defaultMemberUniqueName="[FactEEPData].[MBH].[All]" allUniqueName="[FactEEPData].[MBH].[All]" dimensionUniqueName="[FactEEPData]" displayFolder="" count="0" unbalanced="0"/>
    <cacheHierarchy uniqueName="[FactEEPData].[MeasureID_IC]" caption="MeasureID_IC" attribute="1" defaultMemberUniqueName="[FactEEPData].[MeasureID_IC].[All]" allUniqueName="[FactEEPData].[MeasureID_IC].[All]" dimensionUniqueName="[FactEEPData]" displayFolder="" count="0" unbalanced="0"/>
    <cacheHierarchy uniqueName="[FactEEPData].[MeasureLife]" caption="MeasureLife" attribute="1" defaultMemberUniqueName="[FactEEPData].[MeasureLife].[All]" allUniqueName="[FactEEPData].[MeasureLife].[All]" dimensionUniqueName="[FactEEPData]" displayFolder="" count="0" unbalanced="0"/>
    <cacheHierarchy uniqueName="[FactEEPData].[MeasureNotes]" caption="MeasureNotes" attribute="1" defaultMemberUniqueName="[FactEEPData].[MeasureNotes].[All]" allUniqueName="[FactEEPData].[MeasureNotes].[All]" dimensionUniqueName="[FactEEPData]" displayFolder="" count="0" unbalanced="0"/>
    <cacheHierarchy uniqueName="[FactEEPData].[MeasurePhase]" caption="MeasurePhase" attribute="1" defaultMemberUniqueName="[FactEEPData].[MeasurePhase].[All]" allUniqueName="[FactEEPData].[MeasurePhase].[All]" dimensionUniqueName="[FactEEPData]" displayFolder="" count="0" unbalanced="0"/>
    <cacheHierarchy uniqueName="[FactEEPData].[MechanicalVentilationRate_CFM]" caption="MechanicalVentilationRate_CFM" attribute="1" defaultMemberUniqueName="[FactEEPData].[MechanicalVentilationRate_CFM].[All]" allUniqueName="[FactEEPData].[MechanicalVentilationRate_CFM].[All]" dimensionUniqueName="[FactEEPData]" displayFolder="" count="0" unbalanced="0"/>
    <cacheHierarchy uniqueName="[FactEEPData].[MechanicalVentilationType]" caption="MechanicalVentilationType" attribute="1" defaultMemberUniqueName="[FactEEPData].[MechanicalVentilationType].[All]" allUniqueName="[FactEEPData].[MechanicalVentilationType].[All]" dimensionUniqueName="[FactEEPData]" displayFolder="" count="0" unbalanced="0"/>
    <cacheHierarchy uniqueName="[FactEEPData].[MiniGrantAmount]" caption="MiniGrantAmount" attribute="1" defaultMemberUniqueName="[FactEEPData].[MiniGrantAmount].[All]" allUniqueName="[FactEEPData].[MiniGrantAmount].[All]" dimensionUniqueName="[FactEEPData]" displayFolder="" count="0" unbalanced="0"/>
    <cacheHierarchy uniqueName="[FactEEPData].[Model]" caption="Model" attribute="1" defaultMemberUniqueName="[FactEEPData].[Model].[All]" allUniqueName="[FactEEPData].[Model].[All]" dimensionUniqueName="[FactEEPData]" displayFolder="" count="0" unbalanced="0"/>
    <cacheHierarchy uniqueName="[FactEEPData].[N_Heat]" caption="N_Heat" attribute="1" defaultMemberUniqueName="[FactEEPData].[N_Heat].[All]" allUniqueName="[FactEEPData].[N_Heat].[All]" dimensionUniqueName="[FactEEPData]" displayFolder="" count="0" unbalanced="0"/>
    <cacheHierarchy uniqueName="[FactEEPData].[NetAnnualThermsMeasure]" caption="NetAnnualThermsMeasure" attribute="1" defaultMemberUniqueName="[FactEEPData].[NetAnnualThermsMeasure].[All]" allUniqueName="[FactEEPData].[NetAnnualThermsMeasure].[All]" dimensionUniqueName="[FactEEPData]" displayFolder="" count="0" unbalanced="0"/>
    <cacheHierarchy uniqueName="[FactEEPData].[NetAnnualThermsProgram]" caption="NetAnnualThermsProgram" attribute="1" defaultMemberUniqueName="[FactEEPData].[NetAnnualThermsProgram].[All]" allUniqueName="[FactEEPData].[NetAnnualThermsProgram].[All]" dimensionUniqueName="[FactEEPData]" displayFolder="" count="0" unbalanced="0"/>
    <cacheHierarchy uniqueName="[FactEEPData].[NetToGross]" caption="NetToGross" attribute="1" defaultMemberUniqueName="[FactEEPData].[NetToGross].[All]" allUniqueName="[FactEEPData].[NetToGross].[All]" dimensionUniqueName="[FactEEPData]" displayFolder="" count="0" unbalanced="0"/>
    <cacheHierarchy uniqueName="[FactEEPData].[NexantMeasureKey]" caption="NexantMeasureKey" attribute="1" defaultMemberUniqueName="[FactEEPData].[NexantMeasureKey].[All]" allUniqueName="[FactEEPData].[NexantMeasureKey].[All]" dimensionUniqueName="[FactEEPData]" displayFolder="" count="0" unbalanced="0"/>
    <cacheHierarchy uniqueName="[FactEEPData].[NoOfComEdKitsDistributed]" caption="NoOfComEdKitsDistributed" attribute="1" defaultMemberUniqueName="[FactEEPData].[NoOfComEdKitsDistributed].[All]" allUniqueName="[FactEEPData].[NoOfComEdKitsDistributed].[All]" dimensionUniqueName="[FactEEPData]" displayFolder="" count="0" unbalanced="0"/>
    <cacheHierarchy uniqueName="[FactEEPData].[NoOfComEdKitsReceived]" caption="NoOfComEdKitsReceived" attribute="1" defaultMemberUniqueName="[FactEEPData].[NoOfComEdKitsReceived].[All]" allUniqueName="[FactEEPData].[NoOfComEdKitsReceived].[All]" dimensionUniqueName="[FactEEPData]" displayFolder="" count="0" unbalanced="0"/>
    <cacheHierarchy uniqueName="[FactEEPData].[NoOfNicorKitsDistributed]" caption="NoOfNicorKitsDistributed" attribute="1" defaultMemberUniqueName="[FactEEPData].[NoOfNicorKitsDistributed].[All]" allUniqueName="[FactEEPData].[NoOfNicorKitsDistributed].[All]" dimensionUniqueName="[FactEEPData]" displayFolder="" count="0" unbalanced="0"/>
    <cacheHierarchy uniqueName="[FactEEPData].[NoOfNicorKitsReceived]" caption="NoOfNicorKitsReceived" attribute="1" defaultMemberUniqueName="[FactEEPData].[NoOfNicorKitsReceived].[All]" allUniqueName="[FactEEPData].[NoOfNicorKitsReceived].[All]" dimensionUniqueName="[FactEEPData]" displayFolder="" count="0" unbalanced="0"/>
    <cacheHierarchy uniqueName="[FactEEPData].[NoOfScantronsReturned]" caption="NoOfScantronsReturned" attribute="1" defaultMemberUniqueName="[FactEEPData].[NoOfScantronsReturned].[All]" allUniqueName="[FactEEPData].[NoOfScantronsReturned].[All]" dimensionUniqueName="[FactEEPData]" displayFolder="" count="0" unbalanced="0"/>
    <cacheHierarchy uniqueName="[FactEEPData].[NTGRatioMeasure]" caption="NTGRatioMeasure" attribute="1" defaultMemberUniqueName="[FactEEPData].[NTGRatioMeasure].[All]" allUniqueName="[FactEEPData].[NTGRatioMeasure].[All]" dimensionUniqueName="[FactEEPData]" displayFolder="" count="0" unbalanced="0"/>
    <cacheHierarchy uniqueName="[FactEEPData].[NTGRatioProgram]" caption="NTGRatioProgram" attribute="1" defaultMemberUniqueName="[FactEEPData].[NTGRatioProgram].[All]" allUniqueName="[FactEEPData].[NTGRatioProgram].[All]" dimensionUniqueName="[FactEEPData]" displayFolder="" count="0" unbalanced="0"/>
    <cacheHierarchy uniqueName="[FactEEPData].[Numberofboilerscontrolled]" caption="Numberofboilerscontrolled" attribute="1" defaultMemberUniqueName="[FactEEPData].[Numberofboilerscontrolled].[All]" allUniqueName="[FactEEPData].[Numberofboilerscontrolled].[All]" dimensionUniqueName="[FactEEPData]" displayFolder="" count="0" unbalanced="0"/>
    <cacheHierarchy uniqueName="[FactEEPData].[NumberOfPans]" caption="NumberOfPans" attribute="1" defaultMemberUniqueName="[FactEEPData].[NumberOfPans].[All]" allUniqueName="[FactEEPData].[NumberOfPans].[All]" dimensionUniqueName="[FactEEPData]" displayFolder="" count="0" unbalanced="0"/>
    <cacheHierarchy uniqueName="[FactEEPData].[NumberOfRecommendedECMs]" caption="NumberOfRecommendedECMs" attribute="1" defaultMemberUniqueName="[FactEEPData].[NumberOfRecommendedECMs].[All]" allUniqueName="[FactEEPData].[NumberOfRecommendedECMs].[All]" dimensionUniqueName="[FactEEPData]" displayFolder="" count="0" unbalanced="0"/>
    <cacheHierarchy uniqueName="[FactEEPData].[OperationDays/Year]" caption="OperationDays/Year" attribute="1" defaultMemberUniqueName="[FactEEPData].[OperationDays/Year].[All]" allUniqueName="[FactEEPData].[OperationDays/Year].[All]" dimensionUniqueName="[FactEEPData]" displayFolder="" count="0" unbalanced="0"/>
    <cacheHierarchy uniqueName="[FactEEPData].[OperationHours/Day]" caption="OperationHours/Day" attribute="1" defaultMemberUniqueName="[FactEEPData].[OperationHours/Day].[All]" allUniqueName="[FactEEPData].[OperationHours/Day].[All]" dimensionUniqueName="[FactEEPData]" displayFolder="" count="0" unbalanced="0"/>
    <cacheHierarchy uniqueName="[FactEEPData].[OtherUtilityProjectFee]" caption="OtherUtilityProjectFee" attribute="1" defaultMemberUniqueName="[FactEEPData].[OtherUtilityProjectFee].[All]" allUniqueName="[FactEEPData].[OtherUtilityProjectFee].[All]" dimensionUniqueName="[FactEEPData]" displayFolder="" count="0" unbalanced="0"/>
    <cacheHierarchy uniqueName="[FactEEPData].[PercentFossilFuel]" caption="PercentFossilFuel" attribute="1" defaultMemberUniqueName="[FactEEPData].[PercentFossilFuel].[All]" allUniqueName="[FactEEPData].[PercentFossilFuel].[All]" dimensionUniqueName="[FactEEPData]" displayFolder="" count="0" unbalanced="0"/>
    <cacheHierarchy uniqueName="[FactEEPData].[PercentOfScantronsReturnedV02]" caption="PercentOfScantronsReturnedV02" attribute="1" defaultMemberUniqueName="[FactEEPData].[PercentOfScantronsReturnedV02].[All]" allUniqueName="[FactEEPData].[PercentOfScantronsReturnedV02].[All]" dimensionUniqueName="[FactEEPData]" displayFolder="" count="0" unbalanced="0"/>
    <cacheHierarchy uniqueName="[FactEEPData].[PortfolioMarketingDollars]" caption="PortfolioMarketingDollars" attribute="1" defaultMemberUniqueName="[FactEEPData].[PortfolioMarketingDollars].[All]" allUniqueName="[FactEEPData].[PortfolioMarketingDollars].[All]" dimensionUniqueName="[FactEEPData]" displayFolder="" count="0" unbalanced="0"/>
    <cacheHierarchy uniqueName="[FactEEPData].[PortfolioMeasureLife]" caption="PortfolioMeasureLife" attribute="1" defaultMemberUniqueName="[FactEEPData].[PortfolioMeasureLife].[All]" allUniqueName="[FactEEPData].[PortfolioMeasureLife].[All]" dimensionUniqueName="[FactEEPData]" displayFolder="" count="0" unbalanced="0"/>
    <cacheHierarchy uniqueName="[FactEEPData].[PostInstallationEfficiency]" caption="PostInstallationEfficiency" attribute="1" defaultMemberUniqueName="[FactEEPData].[PostInstallationEfficiency].[All]" allUniqueName="[FactEEPData].[PostInstallationEfficiency].[All]" dimensionUniqueName="[FactEEPData]" displayFolder="" count="0" unbalanced="0"/>
    <cacheHierarchy uniqueName="[FactEEPData].[PostInstallValue]" caption="PostInstallValue" attribute="1" defaultMemberUniqueName="[FactEEPData].[PostInstallValue].[All]" allUniqueName="[FactEEPData].[PostInstallValue].[All]" dimensionUniqueName="[FactEEPData]" displayFolder="" count="0" unbalanced="0"/>
    <cacheHierarchy uniqueName="[FactEEPData].[Post-Output Capacity]" caption="Post-Output Capacity" attribute="1" defaultMemberUniqueName="[FactEEPData].[Post-Output Capacity].[All]" allUniqueName="[FactEEPData].[Post-Output Capacity].[All]" dimensionUniqueName="[FactEEPData]" displayFolder="" count="0" unbalanced="0"/>
    <cacheHierarchy uniqueName="[FactEEPData].[PreApprovalNumber]" caption="PreApprovalNumber" attribute="1" defaultMemberUniqueName="[FactEEPData].[PreApprovalNumber].[All]" allUniqueName="[FactEEPData].[PreApprovalNumber].[All]" dimensionUniqueName="[FactEEPData]" displayFolder="" count="0" unbalanced="0"/>
    <cacheHierarchy uniqueName="[FactEEPData].[PreInstallationEfficiency]" caption="PreInstallationEfficiency" attribute="1" defaultMemberUniqueName="[FactEEPData].[PreInstallationEfficiency].[All]" allUniqueName="[FactEEPData].[PreInstallationEfficiency].[All]" dimensionUniqueName="[FactEEPData]" displayFolder="" count="0" unbalanced="0"/>
    <cacheHierarchy uniqueName="[FactEEPData].[PreInstallValue]" caption="PreInstallValue" attribute="1" defaultMemberUniqueName="[FactEEPData].[PreInstallValue].[All]" allUniqueName="[FactEEPData].[PreInstallValue].[All]" dimensionUniqueName="[FactEEPData]" displayFolder="" count="0" unbalanced="0"/>
    <cacheHierarchy uniqueName="[FactEEPData].[Pre-Output Capacity]" caption="Pre-Output Capacity" attribute="1" defaultMemberUniqueName="[FactEEPData].[Pre-Output Capacity].[All]" allUniqueName="[FactEEPData].[Pre-Output Capacity].[All]" dimensionUniqueName="[FactEEPData]" displayFolder="" count="0" unbalanced="0"/>
    <cacheHierarchy uniqueName="[FactEEPData].[ProgramEvaluationDollars]" caption="ProgramEvaluationDollars" attribute="1" defaultMemberUniqueName="[FactEEPData].[ProgramEvaluationDollars].[All]" allUniqueName="[FactEEPData].[ProgramEvaluationDollars].[All]" dimensionUniqueName="[FactEEPData]" displayFolder="" count="0" unbalanced="0"/>
    <cacheHierarchy uniqueName="[FactEEPData].[ProjectManagementFee]" caption="ProjectManagementFee" attribute="1" defaultMemberUniqueName="[FactEEPData].[ProjectManagementFee].[All]" allUniqueName="[FactEEPData].[ProjectManagementFee].[All]" dimensionUniqueName="[FactEEPData]" displayFolder="" count="0" unbalanced="0"/>
    <cacheHierarchy uniqueName="[FactEEPData].[PurchaseDate]" caption="PurchaseDate" attribute="1" defaultMemberUniqueName="[FactEEPData].[PurchaseDate].[All]" allUniqueName="[FactEEPData].[PurchaseDate].[All]" dimensionUniqueName="[FactEEPData]" displayFolder="" count="0" unbalanced="0"/>
    <cacheHierarchy uniqueName="[FactEEPData].[QCEfficiency]" caption="QCEfficiency" attribute="1" defaultMemberUniqueName="[FactEEPData].[QCEfficiency].[All]" allUniqueName="[FactEEPData].[QCEfficiency].[All]" dimensionUniqueName="[FactEEPData]" displayFolder="" count="0" unbalanced="0"/>
    <cacheHierarchy uniqueName="[FactEEPData].[Quantity]" caption="Quantity" attribute="1" defaultMemberUniqueName="[FactEEPData].[Quantity].[All]" allUniqueName="[FactEEPData].[Quantity].[All]" dimensionUniqueName="[FactEEPData]" displayFolder="" count="0" unbalanced="0"/>
    <cacheHierarchy uniqueName="[FactEEPData].[RaterIncentive]" caption="RaterIncentive" attribute="1" defaultMemberUniqueName="[FactEEPData].[RaterIncentive].[All]" allUniqueName="[FactEEPData].[RaterIncentive].[All]" dimensionUniqueName="[FactEEPData]" displayFolder="" count="0" unbalanced="0"/>
    <cacheHierarchy uniqueName="[FactEEPData].[RealizationRate]" caption="RealizationRate" attribute="1" defaultMemberUniqueName="[FactEEPData].[RealizationRate].[All]" allUniqueName="[FactEEPData].[RealizationRate].[All]" dimensionUniqueName="[FactEEPData]" displayFolder="" count="0" unbalanced="0"/>
    <cacheHierarchy uniqueName="[FactEEPData].[RebateUnitOfMeasure]" caption="RebateUnitOfMeasure" attribute="1" defaultMemberUniqueName="[FactEEPData].[RebateUnitOfMeasure].[All]" allUniqueName="[FactEEPData].[RebateUnitOfMeasure].[All]" dimensionUniqueName="[FactEEPData]" displayFolder="" count="0" unbalanced="0"/>
    <cacheHierarchy uniqueName="[FactEEPData].[Recommendation]" caption="Recommendation" attribute="1" defaultMemberUniqueName="[FactEEPData].[Recommendation].[All]" allUniqueName="[FactEEPData].[Recommendation].[All]" dimensionUniqueName="[FactEEPData]" displayFolder="" count="0" unbalanced="0"/>
    <cacheHierarchy uniqueName="[FactEEPData].[ReportingReferenceDate]" caption="ReportingReferenceDate" attribute="1" defaultMemberUniqueName="[FactEEPData].[ReportingReferenceDate].[All]" allUniqueName="[FactEEPData].[ReportingReferenceDate].[All]" dimensionUniqueName="[FactEEPData]" displayFolder="" count="0" unbalanced="0"/>
    <cacheHierarchy uniqueName="[FactEEPData].[RestaurantType]" caption="RestaurantType" attribute="1" defaultMemberUniqueName="[FactEEPData].[RestaurantType].[All]" allUniqueName="[FactEEPData].[RestaurantType].[All]" dimensionUniqueName="[FactEEPData]" displayFolder="" count="0" unbalanced="0"/>
    <cacheHierarchy uniqueName="[FactEEPData].[RetailerForSelfInstall]" caption="RetailerForSelfInstall" attribute="1" defaultMemberUniqueName="[FactEEPData].[RetailerForSelfInstall].[All]" allUniqueName="[FactEEPData].[RetailerForSelfInstall].[All]" dimensionUniqueName="[FactEEPData]" displayFolder="" count="0" unbalanced="0"/>
    <cacheHierarchy uniqueName="[FactEEPData].[R-ValueAdded]" caption="R-ValueAdded" attribute="1" defaultMemberUniqueName="[FactEEPData].[R-ValueAdded].[All]" allUniqueName="[FactEEPData].[R-ValueAdded].[All]" dimensionUniqueName="[FactEEPData]" displayFolder="" count="0" unbalanced="0"/>
    <cacheHierarchy uniqueName="[FactEEPData].[R-ValueExistingAboveground]" caption="R-ValueExistingAboveground" attribute="1" defaultMemberUniqueName="[FactEEPData].[R-ValueExistingAboveground].[All]" allUniqueName="[FactEEPData].[R-ValueExistingAboveground].[All]" dimensionUniqueName="[FactEEPData]" displayFolder="" count="0" unbalanced="0"/>
    <cacheHierarchy uniqueName="[FactEEPData].[R-ValueExistingBelowGround]" caption="R-ValueExistingBelowGround" attribute="1" defaultMemberUniqueName="[FactEEPData].[R-ValueExistingBelowGround].[All]" allUniqueName="[FactEEPData].[R-ValueExistingBelowGround].[All]" dimensionUniqueName="[FactEEPData]" displayFolder="" count="0" unbalanced="0"/>
    <cacheHierarchy uniqueName="[FactEEPData].[SavingsFactor]" caption="SavingsFactor" attribute="1" defaultMemberUniqueName="[FactEEPData].[SavingsFactor].[All]" allUniqueName="[FactEEPData].[SavingsFactor].[All]" dimensionUniqueName="[FactEEPData]" displayFolder="" count="0" unbalanced="0"/>
    <cacheHierarchy uniqueName="[FactEEPData].[SavingsUnitOfMeasure]" caption="SavingsUnitOfMeasure" attribute="1" defaultMemberUniqueName="[FactEEPData].[SavingsUnitOfMeasure].[All]" allUniqueName="[FactEEPData].[SavingsUnitOfMeasure].[All]" dimensionUniqueName="[FactEEPData]" displayFolder="" count="0" unbalanced="0"/>
    <cacheHierarchy uniqueName="[FactEEPData].[Serial#]" caption="Serial#" attribute="1" defaultMemberUniqueName="[FactEEPData].[Serial#].[All]" allUniqueName="[FactEEPData].[Serial#].[All]" dimensionUniqueName="[FactEEPData]" displayFolder="" count="0" unbalanced="0"/>
    <cacheHierarchy uniqueName="[FactEEPData].[ShowersPerPersonPerDay]" caption="ShowersPerPersonPerDay" attribute="1" defaultMemberUniqueName="[FactEEPData].[ShowersPerPersonPerDay].[All]" allUniqueName="[FactEEPData].[ShowersPerPersonPerDay].[All]" dimensionUniqueName="[FactEEPData]" displayFolder="" count="0" unbalanced="0"/>
    <cacheHierarchy uniqueName="[FactEEPData].[SimplePayback]" caption="SimplePayback" attribute="1" defaultMemberUniqueName="[FactEEPData].[SimplePayback].[All]" allUniqueName="[FactEEPData].[SimplePayback].[All]" dimensionUniqueName="[FactEEPData]" displayFolder="" count="0" unbalanced="0"/>
    <cacheHierarchy uniqueName="[FactEEPData].[Size]" caption="Size" attribute="1" defaultMemberUniqueName="[FactEEPData].[Size].[All]" allUniqueName="[FactEEPData].[Size].[All]" dimensionUniqueName="[FactEEPData]" displayFolder="" count="0" unbalanced="0"/>
    <cacheHierarchy uniqueName="[FactEEPData].[SquareFeet]" caption="SquareFeet" attribute="1" defaultMemberUniqueName="[FactEEPData].[SquareFeet].[All]" allUniqueName="[FactEEPData].[SquareFeet].[All]" dimensionUniqueName="[FactEEPData]" displayFolder="" count="0" unbalanced="0"/>
    <cacheHierarchy uniqueName="[FactEEPData].[StandbyLoss]" caption="StandbyLoss" attribute="1" defaultMemberUniqueName="[FactEEPData].[StandbyLoss].[All]" allUniqueName="[FactEEPData].[StandbyLoss].[All]" dimensionUniqueName="[FactEEPData]" displayFolder="" count="0" unbalanced="0"/>
    <cacheHierarchy uniqueName="[FactEEPData].[StartDate]" caption="StartDate" attribute="1" defaultMemberUniqueName="[FactEEPData].[StartDate].[All]" allUniqueName="[FactEEPData].[StartDate].[All]" dimensionUniqueName="[FactEEPData]" displayFolder="" count="0" unbalanced="0"/>
    <cacheHierarchy uniqueName="[FactEEPData].[SteamlossPerTrap]" caption="SteamlossPerTrap" attribute="1" defaultMemberUniqueName="[FactEEPData].[SteamlossPerTrap].[All]" allUniqueName="[FactEEPData].[SteamlossPerTrap].[All]" dimensionUniqueName="[FactEEPData]" displayFolder="" count="0" unbalanced="0"/>
    <cacheHierarchy uniqueName="[FactEEPData].[SteamSystemType]" caption="SteamSystemType" attribute="1" defaultMemberUniqueName="[FactEEPData].[SteamSystemType].[All]" allUniqueName="[FactEEPData].[SteamSystemType].[All]" dimensionUniqueName="[FactEEPData]" displayFolder="" count="0" unbalanced="0"/>
    <cacheHierarchy uniqueName="[FactEEPData].[SteamTrapType]" caption="SteamTrapType" attribute="1" defaultMemberUniqueName="[FactEEPData].[SteamTrapType].[All]" allUniqueName="[FactEEPData].[SteamTrapType].[All]" dimensionUniqueName="[FactEEPData]" displayFolder="" count="0" unbalanced="0"/>
    <cacheHierarchy uniqueName="[FactEEPData].[SubContractorType]" caption="SubContractorType" attribute="1" defaultMemberUniqueName="[FactEEPData].[SubContractorType].[All]" allUniqueName="[FactEEPData].[SubContractorType].[All]" dimensionUniqueName="[FactEEPData]" displayFolder="" count="0" unbalanced="0"/>
    <cacheHierarchy uniqueName="[FactEEPData].[SubMeasure]" caption="SubMeasure" attribute="1" defaultMemberUniqueName="[FactEEPData].[SubMeasure].[All]" allUniqueName="[FactEEPData].[SubMeasure].[All]" dimensionUniqueName="[FactEEPData]" displayFolder="" count="0" unbalanced="0"/>
    <cacheHierarchy uniqueName="[FactEEPData].[SystemType]" caption="SystemType" attribute="1" defaultMemberUniqueName="[FactEEPData].[SystemType].[All]" allUniqueName="[FactEEPData].[SystemType].[All]" dimensionUniqueName="[FactEEPData]" displayFolder="" count="0" unbalanced="0"/>
    <cacheHierarchy uniqueName="[FactEEPData].[TaskStatus]" caption="TaskStatus" attribute="1" defaultMemberUniqueName="[FactEEPData].[TaskStatus].[All]" allUniqueName="[FactEEPData].[TaskStatus].[All]" dimensionUniqueName="[FactEEPData]" displayFolder="" count="0" unbalanced="0"/>
    <cacheHierarchy uniqueName="[FactEEPData].[TeacherName]" caption="TeacherName" attribute="1" defaultMemberUniqueName="[FactEEPData].[TeacherName].[All]" allUniqueName="[FactEEPData].[TeacherName].[All]" dimensionUniqueName="[FactEEPData]" displayFolder="" count="0" unbalanced="0"/>
    <cacheHierarchy uniqueName="[FactEEPData].[TechnologyDollars]" caption="TechnologyDollars" attribute="1" defaultMemberUniqueName="[FactEEPData].[TechnologyDollars].[All]" allUniqueName="[FactEEPData].[TechnologyDollars].[All]" dimensionUniqueName="[FactEEPData]" displayFolder="" count="0" unbalanced="0"/>
    <cacheHierarchy uniqueName="[FactEEPData].[TentativeInstallDate]" caption="TentativeInstallDate" attribute="1" defaultMemberUniqueName="[FactEEPData].[TentativeInstallDate].[All]" allUniqueName="[FactEEPData].[TentativeInstallDate].[All]" dimensionUniqueName="[FactEEPData]" displayFolder="" count="0" unbalanced="0"/>
    <cacheHierarchy uniqueName="[FactEEPData].[ThermalRegainFactor]" caption="ThermalRegainFactor" attribute="1" defaultMemberUniqueName="[FactEEPData].[ThermalRegainFactor].[All]" allUniqueName="[FactEEPData].[ThermalRegainFactor].[All]" dimensionUniqueName="[FactEEPData]" displayFolder="" count="0" unbalanced="0"/>
    <cacheHierarchy uniqueName="[FactEEPData].[Tier]" caption="Tier" attribute="1" defaultMemberUniqueName="[FactEEPData].[Tier].[All]" allUniqueName="[FactEEPData].[Tier].[All]" dimensionUniqueName="[FactEEPData]" displayFolder="" count="0" unbalanced="0"/>
    <cacheHierarchy uniqueName="[FactEEPData].[Tin]" caption="Tin" attribute="1" defaultMemberUniqueName="[FactEEPData].[Tin].[All]" allUniqueName="[FactEEPData].[Tin].[All]" dimensionUniqueName="[FactEEPData]" displayFolder="" count="0" unbalanced="0"/>
    <cacheHierarchy uniqueName="[FactEEPData].[TotalMeasureCost]" caption="TotalMeasureCost" attribute="1" defaultMemberUniqueName="[FactEEPData].[TotalMeasureCost].[All]" allUniqueName="[FactEEPData].[TotalMeasureCost].[All]" dimensionUniqueName="[FactEEPData]" displayFolder="" count="0" unbalanced="0"/>
    <cacheHierarchy uniqueName="[FactEEPData].[TotalRegisteredQuantity]" caption="TotalRegisteredQuantity" attribute="1" defaultMemberUniqueName="[FactEEPData].[TotalRegisteredQuantity].[All]" allUniqueName="[FactEEPData].[TotalRegisteredQuantity].[All]" dimensionUniqueName="[FactEEPData]" displayFolder="" count="0" unbalanced="0"/>
    <cacheHierarchy uniqueName="[FactEEPData].[TotalSqFeetAboveGrade]" caption="TotalSqFeetAboveGrade" attribute="1" defaultMemberUniqueName="[FactEEPData].[TotalSqFeetAboveGrade].[All]" allUniqueName="[FactEEPData].[TotalSqFeetAboveGrade].[All]" dimensionUniqueName="[FactEEPData]" displayFolder="" count="0" unbalanced="0"/>
    <cacheHierarchy uniqueName="[FactEEPData].[TotalSqFeetBelowGrade]" caption="TotalSqFeetBelowGrade" attribute="1" defaultMemberUniqueName="[FactEEPData].[TotalSqFeetBelowGrade].[All]" allUniqueName="[FactEEPData].[TotalSqFeetBelowGrade].[All]" dimensionUniqueName="[FactEEPData]" displayFolder="" count="0" unbalanced="0"/>
    <cacheHierarchy uniqueName="[FactEEPData].[TotalWallHeight]" caption="TotalWallHeight" attribute="1" defaultMemberUniqueName="[FactEEPData].[TotalWallHeight].[All]" allUniqueName="[FactEEPData].[TotalWallHeight].[All]" dimensionUniqueName="[FactEEPData]" displayFolder="" count="0" unbalanced="0"/>
    <cacheHierarchy uniqueName="[FactEEPData].[Tout]" caption="Tout" attribute="1" defaultMemberUniqueName="[FactEEPData].[Tout].[All]" allUniqueName="[FactEEPData].[Tout].[All]" dimensionUniqueName="[FactEEPData]" displayFolder="" count="0" unbalanced="0"/>
    <cacheHierarchy uniqueName="[FactEEPData].[UCoefficient]" caption="UCoefficient" attribute="1" defaultMemberUniqueName="[FactEEPData].[UCoefficient].[All]" allUniqueName="[FactEEPData].[UCoefficient].[All]" dimensionUniqueName="[FactEEPData]" displayFolder="" count="0" unbalanced="0"/>
    <cacheHierarchy uniqueName="[FactEEPData].[UOMLinearFeet]" caption="UOMLinearFeet" attribute="1" defaultMemberUniqueName="[FactEEPData].[UOMLinearFeet].[All]" allUniqueName="[FactEEPData].[UOMLinearFeet].[All]" dimensionUniqueName="[FactEEPData]" displayFolder="" count="0" unbalanced="0"/>
    <cacheHierarchy uniqueName="[FactEEPData].[UOMSquareFeet]" caption="UOMSquareFeet" attribute="1" defaultMemberUniqueName="[FactEEPData].[UOMSquareFeet].[All]" allUniqueName="[FactEEPData].[UOMSquareFeet].[All]" dimensionUniqueName="[FactEEPData]" displayFolder="" count="0" unbalanced="0"/>
    <cacheHierarchy uniqueName="[FactEEPData].[UOMUnits]" caption="UOMUnits" attribute="1" defaultMemberUniqueName="[FactEEPData].[UOMUnits].[All]" allUniqueName="[FactEEPData].[UOMUnits].[All]" dimensionUniqueName="[FactEEPData]" displayFolder="" count="0" unbalanced="0"/>
    <cacheHierarchy uniqueName="[FactEEPData].[Usage]" caption="Usage" attribute="1" defaultMemberUniqueName="[FactEEPData].[Usage].[All]" allUniqueName="[FactEEPData].[Usage].[All]" dimensionUniqueName="[FactEEPData]" displayFolder="" count="0" unbalanced="0"/>
    <cacheHierarchy uniqueName="[FactEEPData].[UtilizationFactor]" caption="UtilizationFactor" attribute="1" defaultMemberUniqueName="[FactEEPData].[UtilizationFactor].[All]" allUniqueName="[FactEEPData].[UtilizationFactor].[All]" dimensionUniqueName="[FactEEPData]" displayFolder="" count="0" unbalanced="0"/>
    <cacheHierarchy uniqueName="[FactEEPData].[VariableCostDescription]" caption="VariableCostDescription" attribute="1" defaultMemberUniqueName="[FactEEPData].[VariableCostDescription].[All]" allUniqueName="[FactEEPData].[VariableCostDescription].[All]" dimensionUniqueName="[FactEEPData]" displayFolder="" count="0" unbalanced="0"/>
    <cacheHierarchy uniqueName="[FactEEPData].[VariableCostIdentifier]" caption="VariableCostIdentifier" attribute="1" defaultMemberUniqueName="[FactEEPData].[VariableCostIdentifier].[All]" allUniqueName="[FactEEPData].[VariableCostIdentifier].[All]" dimensionUniqueName="[FactEEPData]" displayFolder="" count="2" unbalanced="0">
      <fieldsUsage count="2">
        <fieldUsage x="-1"/>
        <fieldUsage x="2"/>
      </fieldsUsage>
    </cacheHierarchy>
    <cacheHierarchy uniqueName="[FactEEPData].[VariableCostName]" caption="VariableCostName" attribute="1" defaultMemberUniqueName="[FactEEPData].[VariableCostName].[All]" allUniqueName="[FactEEPData].[VariableCostName].[All]" dimensionUniqueName="[FactEEPData]" displayFolder="" count="0" unbalanced="0"/>
    <cacheHierarchy uniqueName="[FactEEPData].[VariableCostVendorName]" caption="VariableCostVendorName" attribute="1" defaultMemberUniqueName="[FactEEPData].[VariableCostVendorName].[All]" allUniqueName="[FactEEPData].[VariableCostVendorName].[All]" dimensionUniqueName="[FactEEPData]" displayFolder="" count="0" unbalanced="0"/>
    <cacheHierarchy uniqueName="[FactEEPData].[WeightedAverageMeasureLife]" caption="WeightedAverageMeasureLife" attribute="1" defaultMemberUniqueName="[FactEEPData].[WeightedAverageMeasureLife].[All]" allUniqueName="[FactEEPData].[WeightedAverageMeasureLife].[All]" dimensionUniqueName="[FactEEPData]" displayFolder="" count="0" unbalanced="0"/>
    <cacheHierarchy uniqueName="[FactEEPData].[WeightOfWater]" caption="WeightOfWater" attribute="1" defaultMemberUniqueName="[FactEEPData].[WeightOfWater].[All]" allUniqueName="[FactEEPData].[WeightOfWater].[All]" dimensionUniqueName="[FactEEPData]" displayFolder="" count="0" unbalanced="0"/>
    <cacheHierarchy uniqueName="[FactEquipment].[Div Factor]" caption="Div Factor" attribute="1" defaultMemberUniqueName="[FactEquipment].[Div Factor].[All]" allUniqueName="[FactEquipment].[Div Factor].[All]" dimensionUniqueName="[FactEquipment]" displayFolder="" count="0" unbalanced="0"/>
    <cacheHierarchy uniqueName="[FactEquipment].[Equipment Code]" caption="Equipment Code" attribute="1" defaultMemberUniqueName="[FactEquipment].[Equipment Code].[All]" allUniqueName="[FactEquipment].[Equipment Code].[All]" dimensionUniqueName="[FactEquipment]" displayFolder="" count="0" unbalanced="0"/>
    <cacheHierarchy uniqueName="[FactEquipment].[Equipment Cost]" caption="Equipment Cost" attribute="1" defaultMemberUniqueName="[FactEquipment].[Equipment Cost].[All]" allUniqueName="[FactEquipment].[Equipment Cost].[All]" dimensionUniqueName="[FactEquipment]" displayFolder="" count="0" unbalanced="0"/>
    <cacheHierarchy uniqueName="[FactEquipment].[Equipment Description]" caption="Equipment Description" attribute="1" defaultMemberUniqueName="[FactEquipment].[Equipment Description].[All]" allUniqueName="[FactEquipment].[Equipment Description].[All]" dimensionUniqueName="[FactEquipment]" displayFolder="" count="0" unbalanced="0"/>
    <cacheHierarchy uniqueName="[FactEquipment].[Equipment Note]" caption="Equipment Note" attribute="1" defaultMemberUniqueName="[FactEquipment].[Equipment Note].[All]" allUniqueName="[FactEquipment].[Equipment Note].[All]" dimensionUniqueName="[FactEquipment]" displayFolder="" count="0" unbalanced="0"/>
    <cacheHierarchy uniqueName="[FactEquipment].[Equipment Status Code]" caption="Equipment Status Code" attribute="1" defaultMemberUniqueName="[FactEquipment].[Equipment Status Code].[All]" allUniqueName="[FactEquipment].[Equipment Status Code].[All]" dimensionUniqueName="[FactEquipment]" displayFolder="" count="0" unbalanced="0"/>
    <cacheHierarchy uniqueName="[FactEquipment].[Equipment Type]" caption="Equipment Type" attribute="1" defaultMemberUniqueName="[FactEquipment].[Equipment Type].[All]" allUniqueName="[FactEquipment].[Equipment Type].[All]" dimensionUniqueName="[FactEquipment]" displayFolder="" count="0" unbalanced="0"/>
    <cacheHierarchy uniqueName="[FactEquipment].[Installation Year]" caption="Installation Year" attribute="1" defaultMemberUniqueName="[FactEquipment].[Installation Year].[All]" allUniqueName="[FactEquipment].[Installation Year].[All]" dimensionUniqueName="[FactEquipment]" displayFolder="" count="0" unbalanced="0"/>
    <cacheHierarchy uniqueName="[FactEquipment].[KW Hour]" caption="KW Hour" attribute="1" defaultMemberUniqueName="[FactEquipment].[KW Hour].[All]" allUniqueName="[FactEquipment].[KW Hour].[All]" dimensionUniqueName="[FactEquipment]" displayFolder="" count="0" unbalanced="0"/>
    <cacheHierarchy uniqueName="[FactEquipment].[MBTU Hour]" caption="MBTU Hour" attribute="1" defaultMemberUniqueName="[FactEquipment].[MBTU Hour].[All]" allUniqueName="[FactEquipment].[MBTU Hour].[All]" dimensionUniqueName="[FactEquipment]" displayFolder="" count="0" unbalanced="0"/>
    <cacheHierarchy uniqueName="[FactEquipment].[Number Of Pieces]" caption="Number Of Pieces" attribute="1" defaultMemberUniqueName="[FactEquipment].[Number Of Pieces].[All]" allUniqueName="[FactEquipment].[Number Of Pieces].[All]" dimensionUniqueName="[FactEquipment]" displayFolder="" count="0" unbalanced="0"/>
    <cacheHierarchy uniqueName="[FactEquipment].[Unique BusinessKey]" caption="Unique BusinessKey" attribute="1" defaultMemberUniqueName="[FactEquipment].[Unique BusinessKey].[All]" allUniqueName="[FactEquipment].[Unique BusinessKey].[All]" dimensionUniqueName="[FactEquipment]" displayFolder="" count="0" unbalanced="0"/>
    <cacheHierarchy uniqueName="[FactEquipment].[Unique EquipmentKey]" caption="Unique EquipmentKey" attribute="1" defaultMemberUniqueName="[FactEquipment].[Unique EquipmentKey].[All]" allUniqueName="[FactEquipment].[Unique EquipmentKey].[All]" dimensionUniqueName="[FactEquipment]" displayFolder="" count="0" unbalanced="0"/>
    <cacheHierarchy uniqueName="[FactEquipment].[Unique ProjectKey]" caption="Unique ProjectKey" attribute="1" defaultMemberUniqueName="[FactEquipment].[Unique ProjectKey].[All]" allUniqueName="[FactEquipment].[Unique ProjectKey].[All]" dimensionUniqueName="[FactEquipment]" displayFolder="" count="0" unbalanced="0"/>
    <cacheHierarchy uniqueName="[FactEquipment].[Usage Hours Day]" caption="Usage Hours Day" attribute="1" defaultMemberUniqueName="[FactEquipment].[Usage Hours Day].[All]" allUniqueName="[FactEquipment].[Usage Hours Day].[All]" dimensionUniqueName="[FactEquipment]" displayFolder="" count="0" unbalanced="0"/>
    <cacheHierarchy uniqueName="[FactEquipment].[Usage Hours Year]" caption="Usage Hours Year" attribute="1" defaultMemberUniqueName="[FactEquipment].[Usage Hours Year].[All]" allUniqueName="[FactEquipment].[Usage Hours Year].[All]" dimensionUniqueName="[FactEquipment]" displayFolder="" count="0" unbalanced="0"/>
    <cacheHierarchy uniqueName="[FactForecastTotalThermSavings].[Average_Gross_Savings]" caption="Average_Gross_Savings" attribute="1" defaultMemberUniqueName="[FactForecastTotalThermSavings].[Average_Gross_Savings].[All]" allUniqueName="[FactForecastTotalThermSavings].[Average_Gross_Savings].[All]" dimensionUniqueName="[FactForecastTotalThermSavings]" displayFolder="" count="0" unbalanced="0"/>
    <cacheHierarchy uniqueName="[FactForecastTotalThermSavings].[Average_Net_Savings]" caption="Average_Net_Savings" attribute="1" defaultMemberUniqueName="[FactForecastTotalThermSavings].[Average_Net_Savings].[All]" allUniqueName="[FactForecastTotalThermSavings].[Average_Net_Savings].[All]" dimensionUniqueName="[FactForecastTotalThermSavings]" displayFolder="" count="0" unbalanced="0"/>
    <cacheHierarchy uniqueName="[FactForecastTotalThermSavings].[CalendarYear]" caption="CalendarYear" attribute="1" defaultMemberUniqueName="[FactForecastTotalThermSavings].[CalendarYear].[All]" allUniqueName="[FactForecastTotalThermSavings].[CalendarYear].[All]" dimensionUniqueName="[FactForecastTotalThermSavings]" displayFolder="" count="0" unbalanced="0"/>
    <cacheHierarchy uniqueName="[FactForecastTotalThermSavings].[Count]" caption="Count" attribute="1" defaultMemberUniqueName="[FactForecastTotalThermSavings].[Count].[All]" allUniqueName="[FactForecastTotalThermSavings].[Count].[All]" dimensionUniqueName="[FactForecastTotalThermSavings]" displayFolder="" count="0" unbalanced="0"/>
    <cacheHierarchy uniqueName="[FactForecastTotalThermSavings].[ForecastTotalThermSavingsKey]" caption="ForecastTotalThermSavingsKey" attribute="1" defaultMemberUniqueName="[FactForecastTotalThermSavings].[ForecastTotalThermSavingsKey].[All]" allUniqueName="[FactForecastTotalThermSavings].[ForecastTotalThermSavingsKey].[All]" dimensionUniqueName="[FactForecastTotalThermSavings]" displayFolder="" count="0" unbalanced="0"/>
    <cacheHierarchy uniqueName="[FactForecastTotalThermSavings].[PMTProgramKey]" caption="PMTProgramKey" attribute="1" defaultMemberUniqueName="[FactForecastTotalThermSavings].[PMTProgramKey].[All]" allUniqueName="[FactForecastTotalThermSavings].[PMTProgramKey].[All]" dimensionUniqueName="[FactForecastTotalThermSavings]" displayFolder="" count="0" unbalanced="0"/>
    <cacheHierarchy uniqueName="[FactForecastTotalThermSavings].[Predicted_Total_Gross_Savings]" caption="Predicted_Total_Gross_Savings" attribute="1" defaultMemberUniqueName="[FactForecastTotalThermSavings].[Predicted_Total_Gross_Savings].[All]" allUniqueName="[FactForecastTotalThermSavings].[Predicted_Total_Gross_Savings].[All]" dimensionUniqueName="[FactForecastTotalThermSavings]" displayFolder="" count="0" unbalanced="0"/>
    <cacheHierarchy uniqueName="[FactForecastTotalThermSavings].[Predicted_Total_Net_Savings]" caption="Predicted_Total_Net_Savings" attribute="1" defaultMemberUniqueName="[FactForecastTotalThermSavings].[Predicted_Total_Net_Savings].[All]" allUniqueName="[FactForecastTotalThermSavings].[Predicted_Total_Net_Savings].[All]" dimensionUniqueName="[FactForecastTotalThermSavings]" displayFolder="" count="0" unbalanced="0"/>
    <cacheHierarchy uniqueName="[FactForecastTotalThermSavings].[ProgramYear]" caption="ProgramYear" attribute="1" defaultMemberUniqueName="[FactForecastTotalThermSavings].[ProgramYear].[All]" allUniqueName="[FactForecastTotalThermSavings].[ProgramYear].[All]" dimensionUniqueName="[FactForecastTotalThermSavings]" displayFolder="" count="0" unbalanced="0"/>
    <cacheHierarchy uniqueName="[FactForecastTotalThermSavings].[Total_Gross_Savings]" caption="Total_Gross_Savings" attribute="1" defaultMemberUniqueName="[FactForecastTotalThermSavings].[Total_Gross_Savings].[All]" allUniqueName="[FactForecastTotalThermSavings].[Total_Gross_Savings].[All]" dimensionUniqueName="[FactForecastTotalThermSavings]" displayFolder="" count="0" unbalanced="0"/>
    <cacheHierarchy uniqueName="[FactForecastTotalThermSavings].[Total_net_savings]" caption="Total_net_savings" attribute="1" defaultMemberUniqueName="[FactForecastTotalThermSavings].[Total_net_savings].[All]" allUniqueName="[FactForecastTotalThermSavings].[Total_net_savings].[All]" dimensionUniqueName="[FactForecastTotalThermSavings]" displayFolder="" count="0" unbalanced="0"/>
    <cacheHierarchy uniqueName="[FactMeasureParticipation].[Direct Install Labor]" caption="Direct Install Labor" attribute="1" defaultMemberUniqueName="[FactMeasureParticipation].[Direct Install Labor].[All]" allUniqueName="[FactMeasureParticipation].[Direct Install Labor].[All]" dimensionUniqueName="[FactMeasureParticipation]" displayFolder="" count="0" unbalanced="0"/>
    <cacheHierarchy uniqueName="[FactMeasureParticipation].[Direct Install Materials]" caption="Direct Install Materials" attribute="1" defaultMemberUniqueName="[FactMeasureParticipation].[Direct Install Materials].[All]" allUniqueName="[FactMeasureParticipation].[Direct Install Materials].[All]" dimensionUniqueName="[FactMeasureParticipation]" displayFolder="" count="0" unbalanced="0"/>
    <cacheHierarchy uniqueName="[FactMeasureParticipation].[Electric Avoided Cost Set]" caption="Electric Avoided Cost Set" attribute="1" defaultMemberUniqueName="[FactMeasureParticipation].[Electric Avoided Cost Set].[All]" allUniqueName="[FactMeasureParticipation].[Electric Avoided Cost Set].[All]" dimensionUniqueName="[FactMeasureParticipation]" displayFolder="" count="0" unbalanced="0"/>
    <cacheHierarchy uniqueName="[FactMeasureParticipation].[Electric Rate Schedule]" caption="Electric Rate Schedule" attribute="1" defaultMemberUniqueName="[FactMeasureParticipation].[Electric Rate Schedule].[All]" allUniqueName="[FactMeasureParticipation].[Electric Rate Schedule].[All]" dimensionUniqueName="[FactMeasureParticipation]" displayFolder="" count="0" unbalanced="0"/>
    <cacheHierarchy uniqueName="[FactMeasureParticipation].[Electric Savings Profile]" caption="Electric Savings Profile" attribute="1" defaultMemberUniqueName="[FactMeasureParticipation].[Electric Savings Profile].[All]" allUniqueName="[FactMeasureParticipation].[Electric Savings Profile].[All]" dimensionUniqueName="[FactMeasureParticipation]" displayFolder="" count="0" unbalanced="0"/>
    <cacheHierarchy uniqueName="[FactMeasureParticipation].[Gas Avoided Cost Set]" caption="Gas Avoided Cost Set" attribute="1" defaultMemberUniqueName="[FactMeasureParticipation].[Gas Avoided Cost Set].[All]" allUniqueName="[FactMeasureParticipation].[Gas Avoided Cost Set].[All]" dimensionUniqueName="[FactMeasureParticipation]" displayFolder="" count="0" unbalanced="0"/>
    <cacheHierarchy uniqueName="[FactMeasureParticipation].[Gas Rate Schedule]" caption="Gas Rate Schedule" attribute="1" defaultMemberUniqueName="[FactMeasureParticipation].[Gas Rate Schedule].[All]" allUniqueName="[FactMeasureParticipation].[Gas Rate Schedule].[All]" dimensionUniqueName="[FactMeasureParticipation]" displayFolder="" count="0" unbalanced="0"/>
    <cacheHierarchy uniqueName="[FactMeasureParticipation].[Gas Savings Profile]" caption="Gas Savings Profile" attribute="1" defaultMemberUniqueName="[FactMeasureParticipation].[Gas Savings Profile].[All]" allUniqueName="[FactMeasureParticipation].[Gas Savings Profile].[All]" dimensionUniqueName="[FactMeasureParticipation]" displayFolder="" count="0" unbalanced="0"/>
    <cacheHierarchy uniqueName="[FactMeasureParticipation].[MeasureGrouping]" caption="MeasureGrouping" attribute="1" defaultMemberUniqueName="[FactMeasureParticipation].[MeasureGrouping].[All]" allUniqueName="[FactMeasureParticipation].[MeasureGrouping].[All]" dimensionUniqueName="[FactMeasureParticipation]" displayFolder="" count="0" unbalanced="0"/>
    <cacheHierarchy uniqueName="[FactMeasureParticipation].[Net To Gross]" caption="Net To Gross" attribute="1" defaultMemberUniqueName="[FactMeasureParticipation].[Net To Gross].[All]" allUniqueName="[FactMeasureParticipation].[Net To Gross].[All]" dimensionUniqueName="[FactMeasureParticipation]" displayFolder="" count="0" unbalanced="0"/>
    <cacheHierarchy uniqueName="[FactMeasureParticipation].[Participation]" caption="Participation" attribute="1" defaultMemberUniqueName="[FactMeasureParticipation].[Participation].[All]" allUniqueName="[FactMeasureParticipation].[Participation].[All]" dimensionUniqueName="[FactMeasureParticipation]" displayFolder="" count="0" unbalanced="0"/>
    <cacheHierarchy uniqueName="[FactMeasureParticipation].[Participation Incentives]" caption="Participation Incentives" attribute="1" defaultMemberUniqueName="[FactMeasureParticipation].[Participation Incentives].[All]" allUniqueName="[FactMeasureParticipation].[Participation Incentives].[All]" dimensionUniqueName="[FactMeasureParticipation]" displayFolder="" count="0" unbalanced="0"/>
    <cacheHierarchy uniqueName="[FactMeasureParticipation].[Program Component]" caption="Program Component" attribute="1" defaultMemberUniqueName="[FactMeasureParticipation].[Program Component].[All]" allUniqueName="[FactMeasureParticipation].[Program Component].[All]" dimensionUniqueName="[FactMeasureParticipation]" displayFolder="" count="0" unbalanced="0"/>
    <cacheHierarchy uniqueName="[FactMeasureParticipation].[Program Year]" caption="Program Year" attribute="1" defaultMemberUniqueName="[FactMeasureParticipation].[Program Year].[All]" allUniqueName="[FactMeasureParticipation].[Program Year].[All]" dimensionUniqueName="[FactMeasureParticipation]" displayFolder="" count="0" unbalanced="0"/>
    <cacheHierarchy uniqueName="[FactMeasureParticipation].[ProgramYearSort]" caption="ProgramYearSort" attribute="1" defaultMemberUniqueName="[FactMeasureParticipation].[ProgramYearSort].[All]" allUniqueName="[FactMeasureParticipation].[ProgramYearSort].[All]" dimensionUniqueName="[FactMeasureParticipation]" displayFolder="" count="0" unbalanced="0"/>
    <cacheHierarchy uniqueName="[FactMeasureParticipation].[Realization Rate]" caption="Realization Rate" attribute="1" defaultMemberUniqueName="[FactMeasureParticipation].[Realization Rate].[All]" allUniqueName="[FactMeasureParticipation].[Realization Rate].[All]" dimensionUniqueName="[FactMeasureParticipation]" displayFolder="" count="0" unbalanced="0"/>
    <cacheHierarchy uniqueName="[FactMeasureParticipation].[Source]" caption="Source" attribute="1" defaultMemberUniqueName="[FactMeasureParticipation].[Source].[All]" allUniqueName="[FactMeasureParticipation].[Source].[All]" dimensionUniqueName="[FactMeasureParticipation]" displayFolder="" count="0" unbalanced="0"/>
    <cacheHierarchy uniqueName="[FactMOCCallLog].[CallConductedInSpanishDel]" caption="CallConductedInSpanishDel" attribute="1" defaultMemberUniqueName="[FactMOCCallLog].[CallConductedInSpanishDel].[All]" allUniqueName="[FactMOCCallLog].[CallConductedInSpanishDel].[All]" dimensionUniqueName="[FactMOCCallLog]" displayFolder="" count="0" unbalanced="0"/>
    <cacheHierarchy uniqueName="[FactMOCCallLog].[CommunicationStatus]" caption="CommunicationStatus" attribute="1" defaultMemberUniqueName="[FactMOCCallLog].[CommunicationStatus].[All]" allUniqueName="[FactMOCCallLog].[CommunicationStatus].[All]" dimensionUniqueName="[FactMOCCallLog]" displayFolder="" count="0" unbalanced="0"/>
    <cacheHierarchy uniqueName="[FactMOCCallLog].[CommunicationType]" caption="CommunicationType" attribute="1" defaultMemberUniqueName="[FactMOCCallLog].[CommunicationType].[All]" allUniqueName="[FactMOCCallLog].[CommunicationType].[All]" dimensionUniqueName="[FactMOCCallLog]" displayFolder="" count="0" unbalanced="0"/>
    <cacheHierarchy uniqueName="[FactMOCCallLog].[Communicator]" caption="Communicator" attribute="1" defaultMemberUniqueName="[FactMOCCallLog].[Communicator].[All]" allUniqueName="[FactMOCCallLog].[Communicator].[All]" dimensionUniqueName="[FactMOCCallLog]" displayFolder="" count="0" unbalanced="0"/>
    <cacheHierarchy uniqueName="[FactMOCCallLog].[Description]" caption="Description" attribute="1" defaultMemberUniqueName="[FactMOCCallLog].[Description].[All]" allUniqueName="[FactMOCCallLog].[Description].[All]" dimensionUniqueName="[FactMOCCallLog]" displayFolder="" count="0" unbalanced="0"/>
    <cacheHierarchy uniqueName="[FactMOCCallLog].[Escalation]" caption="Escalation" attribute="1" defaultMemberUniqueName="[FactMOCCallLog].[Escalation].[All]" allUniqueName="[FactMOCCallLog].[Escalation].[All]" dimensionUniqueName="[FactMOCCallLog]" displayFolder="" count="0" unbalanced="0"/>
    <cacheHierarchy uniqueName="[FactMOCCallLog].[EventName]" caption="EventName" attribute="1" defaultMemberUniqueName="[FactMOCCallLog].[EventName].[All]" allUniqueName="[FactMOCCallLog].[EventName].[All]" dimensionUniqueName="[FactMOCCallLog]" displayFolder="" count="0" unbalanced="0"/>
    <cacheHierarchy uniqueName="[FactMOCCallLog].[Exception]" caption="Exception" attribute="1" defaultMemberUniqueName="[FactMOCCallLog].[Exception].[All]" allUniqueName="[FactMOCCallLog].[Exception].[All]" dimensionUniqueName="[FactMOCCallLog]" displayFolder="" count="0" unbalanced="0"/>
    <cacheHierarchy uniqueName="[FactMOCCallLog].[Id]" caption="Id" attribute="1" defaultMemberUniqueName="[FactMOCCallLog].[Id].[All]" allUniqueName="[FactMOCCallLog].[Id].[All]" dimensionUniqueName="[FactMOCCallLog]" displayFolder="" count="0" unbalanced="0"/>
    <cacheHierarchy uniqueName="[FactMOCCallLog].[InvalidReason]" caption="InvalidReason" attribute="1" defaultMemberUniqueName="[FactMOCCallLog].[InvalidReason].[All]" allUniqueName="[FactMOCCallLog].[InvalidReason].[All]" dimensionUniqueName="[FactMOCCallLog]" displayFolder="" count="0" unbalanced="0"/>
    <cacheHierarchy uniqueName="[FactMOCCallLog].[LanguageLine]" caption="LanguageLine" attribute="1" defaultMemberUniqueName="[FactMOCCallLog].[LanguageLine].[All]" allUniqueName="[FactMOCCallLog].[LanguageLine].[All]" dimensionUniqueName="[FactMOCCallLog]" displayFolder="" count="0" unbalanced="0"/>
    <cacheHierarchy uniqueName="[FactMOCCallLog].[LanguageType]" caption="LanguageType" attribute="1" defaultMemberUniqueName="[FactMOCCallLog].[LanguageType].[All]" allUniqueName="[FactMOCCallLog].[LanguageType].[All]" dimensionUniqueName="[FactMOCCallLog]" displayFolder="" count="0" unbalanced="0"/>
    <cacheHierarchy uniqueName="[FactMOCCallLog].[OnBillFinancing]" caption="OnBillFinancing" attribute="1" defaultMemberUniqueName="[FactMOCCallLog].[OnBillFinancing].[All]" allUniqueName="[FactMOCCallLog].[OnBillFinancing].[All]" dimensionUniqueName="[FactMOCCallLog]" displayFolder="" count="0" unbalanced="0"/>
    <cacheHierarchy uniqueName="[FactMOCCallLog].[OwnerId]" caption="OwnerId" attribute="1" defaultMemberUniqueName="[FactMOCCallLog].[OwnerId].[All]" allUniqueName="[FactMOCCallLog].[OwnerId].[All]" dimensionUniqueName="[FactMOCCallLog]" displayFolder="" count="0" unbalanced="0"/>
    <cacheHierarchy uniqueName="[FactMOCCallLog].[ProgramInquiry]" caption="ProgramInquiry" attribute="1" defaultMemberUniqueName="[FactMOCCallLog].[ProgramInquiry].[All]" allUniqueName="[FactMOCCallLog].[ProgramInquiry].[All]" dimensionUniqueName="[FactMOCCallLog]" displayFolder="" count="0" unbalanced="0"/>
    <cacheHierarchy uniqueName="[FactMOCCallLog].[Subject]" caption="Subject" attribute="1" defaultMemberUniqueName="[FactMOCCallLog].[Subject].[All]" allUniqueName="[FactMOCCallLog].[Subject].[All]" dimensionUniqueName="[FactMOCCallLog]" displayFolder="" count="0" unbalanced="0"/>
    <cacheHierarchy uniqueName="[FactMOCCallLog].[Topic]" caption="Topic" attribute="1" defaultMemberUniqueName="[FactMOCCallLog].[Topic].[All]" allUniqueName="[FactMOCCallLog].[Topic].[All]" dimensionUniqueName="[FactMOCCallLog]" displayFolder="" count="0" unbalanced="0"/>
    <cacheHierarchy uniqueName="[FactMOCCallLog].[TransferredTo]" caption="TransferredTo" attribute="1" defaultMemberUniqueName="[FactMOCCallLog].[TransferredTo].[All]" allUniqueName="[FactMOCCallLog].[TransferredTo].[All]" dimensionUniqueName="[FactMOCCallLog]" displayFolder="" count="0" unbalanced="0"/>
    <cacheHierarchy uniqueName="[FactMOCCallLog].[UpsellCommercialAssessment]" caption="UpsellCommercialAssessment" attribute="1" defaultMemberUniqueName="[FactMOCCallLog].[UpsellCommercialAssessment].[All]" allUniqueName="[FactMOCCallLog].[UpsellCommercialAssessment].[All]" dimensionUniqueName="[FactMOCCallLog]" displayFolder="" count="0" unbalanced="0"/>
    <cacheHierarchy uniqueName="[FactMOCCallLog].[UpsellEnergySavingsKit]" caption="UpsellEnergySavingsKit" attribute="1" defaultMemberUniqueName="[FactMOCCallLog].[UpsellEnergySavingsKit].[All]" allUniqueName="[FactMOCCallLog].[UpsellEnergySavingsKit].[All]" dimensionUniqueName="[FactMOCCallLog]" displayFolder="" count="0" unbalanced="0"/>
    <cacheHierarchy uniqueName="[FactMOCCallLog].[UpsellHomeAssessment]" caption="UpsellHomeAssessment" attribute="1" defaultMemberUniqueName="[FactMOCCallLog].[UpsellHomeAssessment].[All]" allUniqueName="[FactMOCCallLog].[UpsellHomeAssessment].[All]" dimensionUniqueName="[FactMOCCallLog]" displayFolder="" count="0" unbalanced="0"/>
    <cacheHierarchy uniqueName="[FactMOCCallLog].[UpsellProgrammableThermostat]" caption="UpsellProgrammableThermostat" attribute="1" defaultMemberUniqueName="[FactMOCCallLog].[UpsellProgrammableThermostat].[All]" allUniqueName="[FactMOCCallLog].[UpsellProgrammableThermostat].[All]" dimensionUniqueName="[FactMOCCallLog]" displayFolder="" count="0" unbalanced="0"/>
    <cacheHierarchy uniqueName="[FactMOCLead].[ConvertedContactId]" caption="ConvertedContactId" attribute="1" defaultMemberUniqueName="[FactMOCLead].[ConvertedContactId].[All]" allUniqueName="[FactMOCLead].[ConvertedContactId].[All]" dimensionUniqueName="[FactMOCLead]" displayFolder="" count="0" unbalanced="0"/>
    <cacheHierarchy uniqueName="[FactMOCLead].[Email]" caption="Email" attribute="1" defaultMemberUniqueName="[FactMOCLead].[Email].[All]" allUniqueName="[FactMOCLead].[Email].[All]" dimensionUniqueName="[FactMOCLead]" displayFolder="" count="0" unbalanced="0"/>
    <cacheHierarchy uniqueName="[FactMOCLead].[Id]" caption="Id" attribute="1" defaultMemberUniqueName="[FactMOCLead].[Id].[All]" allUniqueName="[FactMOCLead].[Id].[All]" dimensionUniqueName="[FactMOCLead]" displayFolder="" count="0" unbalanced="0"/>
    <cacheHierarchy uniqueName="[FactMOCLead].[IHaveAQuestionAbout]" caption="IHaveAQuestionAbout" attribute="1" defaultMemberUniqueName="[FactMOCLead].[IHaveAQuestionAbout].[All]" allUniqueName="[FactMOCLead].[IHaveAQuestionAbout].[All]" dimensionUniqueName="[FactMOCLead]" displayFolder="" count="0" unbalanced="0"/>
    <cacheHierarchy uniqueName="[FactMOCLead].[LeadCategory]" caption="LeadCategory" attribute="1" defaultMemberUniqueName="[FactMOCLead].[LeadCategory].[All]" allUniqueName="[FactMOCLead].[LeadCategory].[All]" dimensionUniqueName="[FactMOCLead]" displayFolder="" count="0" unbalanced="0"/>
    <cacheHierarchy uniqueName="[FactMOCLead].[LeadClassification]" caption="LeadClassification" attribute="1" defaultMemberUniqueName="[FactMOCLead].[LeadClassification].[All]" allUniqueName="[FactMOCLead].[LeadClassification].[All]" dimensionUniqueName="[FactMOCLead]" displayFolder="" count="0" unbalanced="0"/>
    <cacheHierarchy uniqueName="[FactMOCLead].[LeadSourceDescription]" caption="LeadSourceDescription" attribute="1" defaultMemberUniqueName="[FactMOCLead].[LeadSourceDescription].[All]" allUniqueName="[FactMOCLead].[LeadSourceDescription].[All]" dimensionUniqueName="[FactMOCLead]" displayFolder="" count="0" unbalanced="0"/>
    <cacheHierarchy uniqueName="[FactMOCLead].[MoreInformation]" caption="MoreInformation" attribute="1" defaultMemberUniqueName="[FactMOCLead].[MoreInformation].[All]" allUniqueName="[FactMOCLead].[MoreInformation].[All]" dimensionUniqueName="[FactMOCLead]" displayFolder="" count="0" unbalanced="0"/>
    <cacheHierarchy uniqueName="[FactMOCLead].[Name]" caption="Name" attribute="1" defaultMemberUniqueName="[FactMOCLead].[Name].[All]" allUniqueName="[FactMOCLead].[Name].[All]" dimensionUniqueName="[FactMOCLead]" displayFolder="" count="0" unbalanced="0"/>
    <cacheHierarchy uniqueName="[FactMOCLead].[OptOutOfContactFlag]" caption="OptOutOfContactFlag" attribute="1" defaultMemberUniqueName="[FactMOCLead].[OptOutOfContactFlag].[All]" allUniqueName="[FactMOCLead].[OptOutOfContactFlag].[All]" dimensionUniqueName="[FactMOCLead]" displayFolder="" count="0" unbalanced="0"/>
    <cacheHierarchy uniqueName="[FactMOCLead].[OwnerId]" caption="OwnerId" attribute="1" defaultMemberUniqueName="[FactMOCLead].[OwnerId].[All]" allUniqueName="[FactMOCLead].[OwnerId].[All]" dimensionUniqueName="[FactMOCLead]" displayFolder="" count="0" unbalanced="0"/>
    <cacheHierarchy uniqueName="[FactMOCLead].[OwnerName]" caption="OwnerName" attribute="1" defaultMemberUniqueName="[FactMOCLead].[OwnerName].[All]" allUniqueName="[FactMOCLead].[OwnerName].[All]" dimensionUniqueName="[FactMOCLead]" displayFolder="" count="0" unbalanced="0"/>
    <cacheHierarchy uniqueName="[FactMOCLead].[PreferredMethodOfContact]" caption="PreferredMethodOfContact" attribute="1" defaultMemberUniqueName="[FactMOCLead].[PreferredMethodOfContact].[All]" allUniqueName="[FactMOCLead].[PreferredMethodOfContact].[All]" dimensionUniqueName="[FactMOCLead]" displayFolder="" count="0" unbalanced="0"/>
    <cacheHierarchy uniqueName="[FactMOCLead].[Rating]" caption="Rating" attribute="1" defaultMemberUniqueName="[FactMOCLead].[Rating].[All]" allUniqueName="[FactMOCLead].[Rating].[All]" dimensionUniqueName="[FactMOCLead]" displayFolder="" count="0" unbalanced="0"/>
    <cacheHierarchy uniqueName="[FactMOCLead].[ReasonForContactingUs]" caption="ReasonForContactingUs" attribute="1" defaultMemberUniqueName="[FactMOCLead].[ReasonForContactingUs].[All]" allUniqueName="[FactMOCLead].[ReasonForContactingUs].[All]" dimensionUniqueName="[FactMOCLead]" displayFolder="" count="0" unbalanced="0"/>
    <cacheHierarchy uniqueName="[FactMOCLead].[RecordTypeId]" caption="RecordTypeId" attribute="1" defaultMemberUniqueName="[FactMOCLead].[RecordTypeId].[All]" allUniqueName="[FactMOCLead].[RecordTypeId].[All]" dimensionUniqueName="[FactMOCLead]" displayFolder="" count="0" unbalanced="0"/>
    <cacheHierarchy uniqueName="[FactMOCLead].[Status]" caption="Status" attribute="1" defaultMemberUniqueName="[FactMOCLead].[Status].[All]" allUniqueName="[FactMOCLead].[Status].[All]" dimensionUniqueName="[FactMOCLead]" displayFolder="" count="0" unbalanced="0"/>
    <cacheHierarchy uniqueName="[FactMOCLead].[Title]" caption="Title" attribute="1" defaultMemberUniqueName="[FactMOCLead].[Title].[All]" allUniqueName="[FactMOCLead].[Title].[All]" dimensionUniqueName="[FactMOCLead]" displayFolder="" count="0" unbalanced="0"/>
    <cacheHierarchy uniqueName="[FactMOCLead].[TypeOfLead]" caption="TypeOfLead" attribute="1" defaultMemberUniqueName="[FactMOCLead].[TypeOfLead].[All]" allUniqueName="[FactMOCLead].[TypeOfLead].[All]" dimensionUniqueName="[FactMOCLead]" displayFolder="" count="0" unbalanced="0"/>
    <cacheHierarchy uniqueName="[FactPipeline].[CheckorDirectDeposit]" caption="CheckorDirectDeposit" attribute="1" defaultMemberUniqueName="[FactPipeline].[CheckorDirectDeposit].[All]" allUniqueName="[FactPipeline].[CheckorDirectDeposit].[All]" dimensionUniqueName="[FactPipeline]" displayFolder="" count="0" unbalanced="0"/>
    <cacheHierarchy uniqueName="[FactPipeline].[City]" caption="City" attribute="1" defaultMemberUniqueName="[FactPipeline].[City].[All]" allUniqueName="[FactPipeline].[City].[All]" dimensionUniqueName="[FactPipeline]" displayFolder="" count="0" unbalanced="0"/>
    <cacheHierarchy uniqueName="[FactPipeline].[ExternalRebateProcessorID]" caption="ExternalRebateProcessorID" attribute="1" defaultMemberUniqueName="[FactPipeline].[ExternalRebateProcessorID].[All]" allUniqueName="[FactPipeline].[ExternalRebateProcessorID].[All]" dimensionUniqueName="[FactPipeline]" displayFolder="" count="0" unbalanced="0"/>
    <cacheHierarchy uniqueName="[FactPipeline].[FinalIncentive]" caption="FinalIncentive" attribute="1" defaultMemberUniqueName="[FactPipeline].[FinalIncentive].[All]" allUniqueName="[FactPipeline].[FinalIncentive].[All]" dimensionUniqueName="[FactPipeline]" displayFolder="" count="0" unbalanced="0"/>
    <cacheHierarchy uniqueName="[FactPipeline].[FinalTherms]" caption="FinalTherms" attribute="1" defaultMemberUniqueName="[FactPipeline].[FinalTherms].[All]" allUniqueName="[FactPipeline].[FinalTherms].[All]" dimensionUniqueName="[FactPipeline]" displayFolder="" count="0" unbalanced="0"/>
    <cacheHierarchy uniqueName="[FactPipeline].[HawkPiplineID]" caption="HawkPiplineID" attribute="1" defaultMemberUniqueName="[FactPipeline].[HawkPiplineID].[All]" allUniqueName="[FactPipeline].[HawkPiplineID].[All]" dimensionUniqueName="[FactPipeline]" displayFolder="" count="0" unbalanced="0"/>
    <cacheHierarchy uniqueName="[FactPipeline].[IdentifiedIncentive]" caption="IdentifiedIncentive" attribute="1" defaultMemberUniqueName="[FactPipeline].[IdentifiedIncentive].[All]" allUniqueName="[FactPipeline].[IdentifiedIncentive].[All]" dimensionUniqueName="[FactPipeline]" displayFolder="" count="0" unbalanced="0"/>
    <cacheHierarchy uniqueName="[FactPipeline].[IdentifiedThermSavings]" caption="IdentifiedThermSavings" attribute="1" defaultMemberUniqueName="[FactPipeline].[IdentifiedThermSavings].[All]" allUniqueName="[FactPipeline].[IdentifiedThermSavings].[All]" dimensionUniqueName="[FactPipeline]" displayFolder="" count="0" unbalanced="0"/>
    <cacheHierarchy uniqueName="[FactPipeline].[last_update_date]" caption="last_update_date" attribute="1" defaultMemberUniqueName="[FactPipeline].[last_update_date].[All]" allUniqueName="[FactPipeline].[last_update_date].[All]" dimensionUniqueName="[FactPipeline]" displayFolder="" count="0" unbalanced="0"/>
    <cacheHierarchy uniqueName="[FactPipeline].[MeasureGroup]" caption="MeasureGroup" attribute="1" defaultMemberUniqueName="[FactPipeline].[MeasureGroup].[All]" allUniqueName="[FactPipeline].[MeasureGroup].[All]" dimensionUniqueName="[FactPipeline]" displayFolder="" count="0" unbalanced="0"/>
    <cacheHierarchy uniqueName="[FactPipeline].[NicorGasAccountID]" caption="NicorGasAccountID" attribute="1" defaultMemberUniqueName="[FactPipeline].[NicorGasAccountID].[All]" allUniqueName="[FactPipeline].[NicorGasAccountID].[All]" dimensionUniqueName="[FactPipeline]" displayFolder="" count="0" unbalanced="0"/>
    <cacheHierarchy uniqueName="[FactPipeline].[NicorGasPremiseID]" caption="NicorGasPremiseID" attribute="1" defaultMemberUniqueName="[FactPipeline].[NicorGasPremiseID].[All]" allUniqueName="[FactPipeline].[NicorGasPremiseID].[All]" dimensionUniqueName="[FactPipeline]" displayFolder="" count="0" unbalanced="0"/>
    <cacheHierarchy uniqueName="[FactPipeline].[Opportunityidentifier]" caption="Opportunityidentifier" attribute="1" defaultMemberUniqueName="[FactPipeline].[Opportunityidentifier].[All]" allUniqueName="[FactPipeline].[Opportunityidentifier].[All]" dimensionUniqueName="[FactPipeline]" displayFolder="" count="0" unbalanced="0"/>
    <cacheHierarchy uniqueName="[FactPipeline].[PayeeCode]" caption="PayeeCode" attribute="1" defaultMemberUniqueName="[FactPipeline].[PayeeCode].[All]" allUniqueName="[FactPipeline].[PayeeCode].[All]" dimensionUniqueName="[FactPipeline]" displayFolder="" count="0" unbalanced="0"/>
    <cacheHierarchy uniqueName="[FactPipeline].[Quantity]" caption="Quantity" attribute="1" defaultMemberUniqueName="[FactPipeline].[Quantity].[All]" allUniqueName="[FactPipeline].[Quantity].[All]" dimensionUniqueName="[FactPipeline]" displayFolder="" count="0" unbalanced="0"/>
    <cacheHierarchy uniqueName="[FactPipeline].[Status]" caption="Status" attribute="1" defaultMemberUniqueName="[FactPipeline].[Status].[All]" allUniqueName="[FactPipeline].[Status].[All]" dimensionUniqueName="[FactPipeline]" displayFolder="" count="0" unbalanced="0"/>
    <cacheHierarchy uniqueName="[FactPipeline].[SubProgram]" caption="SubProgram" attribute="1" defaultMemberUniqueName="[FactPipeline].[SubProgram].[All]" allUniqueName="[FactPipeline].[SubProgram].[All]" dimensionUniqueName="[FactPipeline]" displayFolder="" count="0" unbalanced="0"/>
    <cacheHierarchy uniqueName="[FactPipeline].[TotalProjectCost]" caption="TotalProjectCost" attribute="1" defaultMemberUniqueName="[FactPipeline].[TotalProjectCost].[All]" allUniqueName="[FactPipeline].[TotalProjectCost].[All]" dimensionUniqueName="[FactPipeline]" displayFolder="" count="0" unbalanced="0"/>
    <cacheHierarchy uniqueName="[FactPipeline].[VendorProjectID]" caption="VendorProjectID" attribute="1" defaultMemberUniqueName="[FactPipeline].[VendorProjectID].[All]" allUniqueName="[FactPipeline].[VendorProjectID].[All]" dimensionUniqueName="[FactPipeline]" displayFolder="" count="0" unbalanced="0"/>
    <cacheHierarchy uniqueName="[FactPredictiveAnalytics].[AccountKey]" caption="AccountKey" attribute="1" defaultMemberUniqueName="[FactPredictiveAnalytics].[AccountKey].[All]" allUniqueName="[FactPredictiveAnalytics].[AccountKey].[All]" dimensionUniqueName="[FactPredictiveAnalytics]" displayFolder="" count="0" unbalanced="0"/>
    <cacheHierarchy uniqueName="[FactPredictiveAnalytics].[CostPerGrossTherm]" caption="CostPerGrossTherm" attribute="1" defaultMemberUniqueName="[FactPredictiveAnalytics].[CostPerGrossTherm].[All]" allUniqueName="[FactPredictiveAnalytics].[CostPerGrossTherm].[All]" dimensionUniqueName="[FactPredictiveAnalytics]" displayFolder="" count="0" unbalanced="0"/>
    <cacheHierarchy uniqueName="[FactPredictiveAnalytics].[CostperNetTherm]" caption="CostperNetTherm" attribute="1" defaultMemberUniqueName="[FactPredictiveAnalytics].[CostperNetTherm].[All]" allUniqueName="[FactPredictiveAnalytics].[CostperNetTherm].[All]" dimensionUniqueName="[FactPredictiveAnalytics]" displayFolder="" count="0" unbalanced="0"/>
    <cacheHierarchy uniqueName="[FactPredictiveAnalytics].[MeasureLife]" caption="MeasureLife" attribute="1" defaultMemberUniqueName="[FactPredictiveAnalytics].[MeasureLife].[All]" allUniqueName="[FactPredictiveAnalytics].[MeasureLife].[All]" dimensionUniqueName="[FactPredictiveAnalytics]" displayFolder="" count="0" unbalanced="0"/>
    <cacheHierarchy uniqueName="[FactPredictiveAnalytics].[ParticipationFlag]" caption="ParticipationFlag" attribute="1" defaultMemberUniqueName="[FactPredictiveAnalytics].[ParticipationFlag].[All]" allUniqueName="[FactPredictiveAnalytics].[ParticipationFlag].[All]" dimensionUniqueName="[FactPredictiveAnalytics]" displayFolder="" count="0" unbalanced="0"/>
    <cacheHierarchy uniqueName="[FactPredictiveAnalytics].[pred_rank_flag]" caption="pred_rank_flag" attribute="1" defaultMemberUniqueName="[FactPredictiveAnalytics].[pred_rank_flag].[All]" allUniqueName="[FactPredictiveAnalytics].[pred_rank_flag].[All]" dimensionUniqueName="[FactPredictiveAnalytics]" displayFolder="" count="0" unbalanced="0"/>
    <cacheHierarchy uniqueName="[FactPredictiveAnalytics].[PredictionMeasure]" caption="PredictionMeasure" attribute="1" defaultMemberUniqueName="[FactPredictiveAnalytics].[PredictionMeasure].[All]" allUniqueName="[FactPredictiveAnalytics].[PredictionMeasure].[All]" dimensionUniqueName="[FactPredictiveAnalytics]" displayFolder="" count="0" unbalanced="0"/>
    <cacheHierarchy uniqueName="[FactPredictiveAnalytics].[PredictiveMeasureName]" caption="PredictiveMeasureName" attribute="1" defaultMemberUniqueName="[FactPredictiveAnalytics].[PredictiveMeasureName].[All]" allUniqueName="[FactPredictiveAnalytics].[PredictiveMeasureName].[All]" dimensionUniqueName="[FactPredictiveAnalytics]" displayFolder="" count="0" unbalanced="0"/>
    <cacheHierarchy uniqueName="[FactPredictiveAnalytics].[ProgramYear]" caption="ProgramYear" attribute="1" defaultMemberUniqueName="[FactPredictiveAnalytics].[ProgramYear].[All]" allUniqueName="[FactPredictiveAnalytics].[ProgramYear].[All]" dimensionUniqueName="[FactPredictiveAnalytics]" displayFolder="" count="0" unbalanced="0"/>
    <cacheHierarchy uniqueName="[FactSilverpopEmailActivity].[AccountKey]" caption="AccountKey" attribute="1" defaultMemberUniqueName="[FactSilverpopEmailActivity].[AccountKey].[All]" allUniqueName="[FactSilverpopEmailActivity].[AccountKey].[All]" dimensionUniqueName="[FactSilverpopEmailActivity]" displayFolder="" count="0" unbalanced="0"/>
    <cacheHierarchy uniqueName="[FactSilverpopEmailActivity].[CreateDateKey]" caption="CreateDateKey" attribute="1" defaultMemberUniqueName="[FactSilverpopEmailActivity].[CreateDateKey].[All]" allUniqueName="[FactSilverpopEmailActivity].[CreateDateKey].[All]" dimensionUniqueName="[FactSilverpopEmailActivity]" displayFolder="" count="0" unbalanced="0"/>
    <cacheHierarchy uniqueName="[FactSilverpopEmailActivity].[CreatedById]" caption="CreatedById" attribute="1" defaultMemberUniqueName="[FactSilverpopEmailActivity].[CreatedById].[All]" allUniqueName="[FactSilverpopEmailActivity].[CreatedById].[All]" dimensionUniqueName="[FactSilverpopEmailActivity]" displayFolder="" count="0" unbalanced="0"/>
    <cacheHierarchy uniqueName="[FactSilverpopEmailActivity].[DQScoreKey]" caption="DQScoreKey" attribute="1" defaultMemberUniqueName="[FactSilverpopEmailActivity].[DQScoreKey].[All]" allUniqueName="[FactSilverpopEmailActivity].[DQScoreKey].[All]" dimensionUniqueName="[FactSilverpopEmailActivity]" displayFolder="" count="0" unbalanced="0"/>
    <cacheHierarchy uniqueName="[FactSilverpopEmailActivity].[FactSilverpopEmailActivityKey]" caption="FactSilverpopEmailActivityKey" attribute="1" defaultMemberUniqueName="[FactSilverpopEmailActivity].[FactSilverpopEmailActivityKey].[All]" allUniqueName="[FactSilverpopEmailActivity].[FactSilverpopEmailActivityKey].[All]" dimensionUniqueName="[FactSilverpopEmailActivity]" displayFolder="" count="0" unbalanced="0"/>
    <cacheHierarchy uniqueName="[FactSilverpopEmailActivity].[Id]" caption="Id" attribute="1" defaultMemberUniqueName="[FactSilverpopEmailActivity].[Id].[All]" allUniqueName="[FactSilverpopEmailActivity].[Id].[All]" dimensionUniqueName="[FactSilverpopEmailActivity]" displayFolder="" count="0" unbalanced="0"/>
    <cacheHierarchy uniqueName="[FactSilverpopEmailActivity].[InsertAuditKey]" caption="InsertAuditKey" attribute="1" defaultMemberUniqueName="[FactSilverpopEmailActivity].[InsertAuditKey].[All]" allUniqueName="[FactSilverpopEmailActivity].[InsertAuditKey].[All]" dimensionUniqueName="[FactSilverpopEmailActivity]" displayFolder="" count="0" unbalanced="0"/>
    <cacheHierarchy uniqueName="[FactSilverpopEmailActivity].[IsDeleted]" caption="IsDeleted" attribute="1" defaultMemberUniqueName="[FactSilverpopEmailActivity].[IsDeleted].[All]" allUniqueName="[FactSilverpopEmailActivity].[IsDeleted].[All]" dimensionUniqueName="[FactSilverpopEmailActivity]" displayFolder="" count="0" unbalanced="0"/>
    <cacheHierarchy uniqueName="[FactSilverpopEmailActivity].[LastModifiedById]" caption="LastModifiedById" attribute="1" defaultMemberUniqueName="[FactSilverpopEmailActivity].[LastModifiedById].[All]" allUniqueName="[FactSilverpopEmailActivity].[LastModifiedById].[All]" dimensionUniqueName="[FactSilverpopEmailActivity]" displayFolder="" count="0" unbalanced="0"/>
    <cacheHierarchy uniqueName="[FactSilverpopEmailActivity].[LastModifiedDate]" caption="LastModifiedDate" attribute="1" defaultMemberUniqueName="[FactSilverpopEmailActivity].[LastModifiedDate].[All]" allUniqueName="[FactSilverpopEmailActivity].[LastModifiedDate].[All]" dimensionUniqueName="[FactSilverpopEmailActivity]" displayFolder="" count="0" unbalanced="0"/>
    <cacheHierarchy uniqueName="[FactSilverpopEmailActivity].[Name]" caption="Name" attribute="1" defaultMemberUniqueName="[FactSilverpopEmailActivity].[Name].[All]" allUniqueName="[FactSilverpopEmailActivity].[Name].[All]" dimensionUniqueName="[FactSilverpopEmailActivity]" displayFolder="" count="0" unbalanced="0"/>
    <cacheHierarchy uniqueName="[FactSilverpopEmailActivity].[OwnerId]" caption="OwnerId" attribute="1" defaultMemberUniqueName="[FactSilverpopEmailActivity].[OwnerId].[All]" allUniqueName="[FactSilverpopEmailActivity].[OwnerId].[All]" dimensionUniqueName="[FactSilverpopEmailActivity]" displayFolder="" count="0" unbalanced="0"/>
    <cacheHierarchy uniqueName="[FactSilverpopEmailActivity].[SilverpopContact]" caption="SilverpopContact" attribute="1" defaultMemberUniqueName="[FactSilverpopEmailActivity].[SilverpopContact].[All]" allUniqueName="[FactSilverpopEmailActivity].[SilverpopContact].[All]" dimensionUniqueName="[FactSilverpopEmailActivity]" displayFolder="" count="0" unbalanced="0"/>
    <cacheHierarchy uniqueName="[FactSilverpopEmailActivity].[SilverpopDateBounced]" caption="SilverpopDateBounced" attribute="1" defaultMemberUniqueName="[FactSilverpopEmailActivity].[SilverpopDateBounced].[All]" allUniqueName="[FactSilverpopEmailActivity].[SilverpopDateBounced].[All]" dimensionUniqueName="[FactSilverpopEmailActivity]" displayFolder="" count="0" unbalanced="0"/>
    <cacheHierarchy uniqueName="[FactSilverpopEmailActivity].[SilverpopDateUnsubscribed]" caption="SilverpopDateUnsubscribed" attribute="1" defaultMemberUniqueName="[FactSilverpopEmailActivity].[SilverpopDateUnsubscribed].[All]" allUniqueName="[FactSilverpopEmailActivity].[SilverpopDateUnsubscribed].[All]" dimensionUniqueName="[FactSilverpopEmailActivity]" displayFolder="" count="0" unbalanced="0"/>
    <cacheHierarchy uniqueName="[FactSilverpopEmailActivity].[SilverpopEmailName]" caption="SilverpopEmailName" attribute="1" defaultMemberUniqueName="[FactSilverpopEmailActivity].[SilverpopEmailName].[All]" allUniqueName="[FactSilverpopEmailActivity].[SilverpopEmailName].[All]" dimensionUniqueName="[FactSilverpopEmailActivity]" displayFolder="" count="0" unbalanced="0"/>
    <cacheHierarchy uniqueName="[FactSilverpopEmailActivity].[SilverpopEngage]" caption="SilverpopEngage" attribute="1" defaultMemberUniqueName="[FactSilverpopEmailActivity].[SilverpopEngage].[All]" allUniqueName="[FactSilverpopEmailActivity].[SilverpopEngage].[All]" dimensionUniqueName="[FactSilverpopEmailActivity]" displayFolder="" count="0" unbalanced="0"/>
    <cacheHierarchy uniqueName="[FactSilverpopEmailActivity].[SilverpopLead]" caption="SilverpopLead" attribute="1" defaultMemberUniqueName="[FactSilverpopEmailActivity].[SilverpopLead].[All]" allUniqueName="[FactSilverpopEmailActivity].[SilverpopLead].[All]" dimensionUniqueName="[FactSilverpopEmailActivity]" displayFolder="" count="0" unbalanced="0"/>
    <cacheHierarchy uniqueName="[FactSilverpopEmailActivity].[SilverpopOpenDateTime]" caption="SilverpopOpenDateTime" attribute="1" defaultMemberUniqueName="[FactSilverpopEmailActivity].[SilverpopOpenDateTime].[All]" allUniqueName="[FactSilverpopEmailActivity].[SilverpopOpenDateTime].[All]" dimensionUniqueName="[FactSilverpopEmailActivity]" displayFolder="" count="0" unbalanced="0"/>
    <cacheHierarchy uniqueName="[FactSilverpopEmailActivity].[SilverpopOpened]" caption="SilverpopOpened" attribute="1" defaultMemberUniqueName="[FactSilverpopEmailActivity].[SilverpopOpened].[All]" allUniqueName="[FactSilverpopEmailActivity].[SilverpopOpened].[All]" dimensionUniqueName="[FactSilverpopEmailActivity]" displayFolder="" count="0" unbalanced="0"/>
    <cacheHierarchy uniqueName="[FactSilverpopEmailActivity].[SilverpopSentDateTime]" caption="SilverpopSentDateTime" attribute="1" defaultMemberUniqueName="[FactSilverpopEmailActivity].[SilverpopSentDateTime].[All]" allUniqueName="[FactSilverpopEmailActivity].[SilverpopSentDateTime].[All]" dimensionUniqueName="[FactSilverpopEmailActivity]" displayFolder="" count="0" unbalanced="0"/>
    <cacheHierarchy uniqueName="[FactSilverpopEmailActivity].[SilverpopSilverpopId]" caption="SilverpopSilverpopId" attribute="1" defaultMemberUniqueName="[FactSilverpopEmailActivity].[SilverpopSilverpopId].[All]" allUniqueName="[FactSilverpopEmailActivity].[SilverpopSilverpopId].[All]" dimensionUniqueName="[FactSilverpopEmailActivity]" displayFolder="" count="0" unbalanced="0"/>
    <cacheHierarchy uniqueName="[FactSilverpopEmailActivity].[SilverpopStatus]" caption="SilverpopStatus" attribute="1" defaultMemberUniqueName="[FactSilverpopEmailActivity].[SilverpopStatus].[All]" allUniqueName="[FactSilverpopEmailActivity].[SilverpopStatus].[All]" dimensionUniqueName="[FactSilverpopEmailActivity]" displayFolder="" count="0" unbalanced="0"/>
    <cacheHierarchy uniqueName="[FactSilverpopEmailActivity].[SilverpopSubject]" caption="SilverpopSubject" attribute="1" defaultMemberUniqueName="[FactSilverpopEmailActivity].[SilverpopSubject].[All]" allUniqueName="[FactSilverpopEmailActivity].[SilverpopSubject].[All]" dimensionUniqueName="[FactSilverpopEmailActivity]" displayFolder="" count="0" unbalanced="0"/>
    <cacheHierarchy uniqueName="[FactSilverpopEmailActivity].[SystemModstamp]" caption="SystemModstamp" attribute="1" defaultMemberUniqueName="[FactSilverpopEmailActivity].[SystemModstamp].[All]" allUniqueName="[FactSilverpopEmailActivity].[SystemModstamp].[All]" dimensionUniqueName="[FactSilverpopEmailActivity]" displayFolder="" count="0" unbalanced="0"/>
    <cacheHierarchy uniqueName="[FactSilverpopEmailActivity].[UpdateAuditKey]" caption="UpdateAuditKey" attribute="1" defaultMemberUniqueName="[FactSilverpopEmailActivity].[UpdateAuditKey].[All]" allUniqueName="[FactSilverpopEmailActivity].[UpdateAuditKey].[All]" dimensionUniqueName="[FactSilverpopEmailActivity]" displayFolder="" count="0" unbalanced="0"/>
    <cacheHierarchy uniqueName="[FactSilverPopSurvey].[AccountKey]" caption="AccountKey" attribute="1" defaultMemberUniqueName="[FactSilverPopSurvey].[AccountKey].[All]" allUniqueName="[FactSilverPopSurvey].[AccountKey].[All]" dimensionUniqueName="[FactSilverPopSurvey]" displayFolder="" count="0" unbalanced="0"/>
    <cacheHierarchy uniqueName="[FactSilverPopSurvey].[DateSent]" caption="DateSent" attribute="1" defaultMemberUniqueName="[FactSilverPopSurvey].[DateSent].[All]" allUniqueName="[FactSilverPopSurvey].[DateSent].[All]" dimensionUniqueName="[FactSilverPopSurvey]" displayFolder="" count="0" unbalanced="0"/>
    <cacheHierarchy uniqueName="[FactSilverPopSurvey].[FactSilverPopSurveyKey]" caption="FactSilverPopSurveyKey" attribute="1" defaultMemberUniqueName="[FactSilverPopSurvey].[FactSilverPopSurveyKey].[All]" allUniqueName="[FactSilverPopSurvey].[FactSilverPopSurveyKey].[All]" dimensionUniqueName="[FactSilverPopSurvey]" displayFolder="" count="0" unbalanced="0"/>
    <cacheHierarchy uniqueName="[FactSilverPopSurvey].[MeasureGroupKey]" caption="MeasureGroupKey" attribute="1" defaultMemberUniqueName="[FactSilverPopSurvey].[MeasureGroupKey].[All]" allUniqueName="[FactSilverPopSurvey].[MeasureGroupKey].[All]" dimensionUniqueName="[FactSilverPopSurvey]" displayFolder="" count="0" unbalanced="0"/>
    <cacheHierarchy uniqueName="[FactSilverPopSurvey].[PMTProgramKey]" caption="PMTProgramKey" attribute="1" defaultMemberUniqueName="[FactSilverPopSurvey].[PMTProgramKey].[All]" allUniqueName="[FactSilverPopSurvey].[PMTProgramKey].[All]" dimensionUniqueName="[FactSilverPopSurvey]" displayFolder="" count="0" unbalanced="0"/>
    <cacheHierarchy uniqueName="[FactSilverPopSurvey].[ProgramYear]" caption="ProgramYear" attribute="1" defaultMemberUniqueName="[FactSilverPopSurvey].[ProgramYear].[All]" allUniqueName="[FactSilverPopSurvey].[ProgramYear].[All]" dimensionUniqueName="[FactSilverPopSurvey]" displayFolder="" count="0" unbalanced="0"/>
    <cacheHierarchy uniqueName="[FactSilverPopSurvey].[SentToSilverPop]" caption="SentToSilverPop" attribute="1" defaultMemberUniqueName="[FactSilverPopSurvey].[SentToSilverPop].[All]" allUniqueName="[FactSilverPopSurvey].[SentToSilverPop].[All]" dimensionUniqueName="[FactSilverPopSurvey]" displayFolder="" count="0" unbalanced="0"/>
    <cacheHierarchy uniqueName="[FactUsage].[Balance Control GroupID]" caption="Balance Control GroupID" attribute="1" defaultMemberUniqueName="[FactUsage].[Balance Control GroupID].[All]" allUniqueName="[FactUsage].[Balance Control GroupID].[All]" dimensionUniqueName="[FactUsage]" displayFolder="" count="0" unbalanced="0"/>
    <cacheHierarchy uniqueName="[FactUsage].[Bill Segment Degree Day Count]" caption="Bill Segment Degree Day Count" attribute="1" defaultMemberUniqueName="[FactUsage].[Bill Segment Degree Day Count].[All]" allUniqueName="[FactUsage].[Bill Segment Degree Day Count].[All]" dimensionUniqueName="[FactUsage]" displayFolder="" count="0" unbalanced="0"/>
    <cacheHierarchy uniqueName="[FactUsage].[Bill Segment Estimated Code]" caption="Bill Segment Estimated Code" attribute="1" defaultMemberUniqueName="[FactUsage].[Bill Segment Estimated Code].[All]" allUniqueName="[FactUsage].[Bill Segment Estimated Code].[All]" dimensionUniqueName="[FactUsage]" displayFolder="" count="0" unbalanced="0"/>
    <cacheHierarchy uniqueName="[FactUsage].[Bill SegmentID]" caption="Bill SegmentID" attribute="1" defaultMemberUniqueName="[FactUsage].[Bill SegmentID].[All]" allUniqueName="[FactUsage].[Bill SegmentID].[All]" dimensionUniqueName="[FactUsage]" displayFolder="" count="0" unbalanced="0"/>
    <cacheHierarchy uniqueName="[FactUsage].[Billed Days Count]" caption="Billed Days Count" attribute="1" defaultMemberUniqueName="[FactUsage].[Billed Days Count].[All]" allUniqueName="[FactUsage].[Billed Days Count].[All]" dimensionUniqueName="[FactUsage]" displayFolder="" count="0" unbalanced="0"/>
    <cacheHierarchy uniqueName="[FactUsage].[CurrentTotalBillAmount]" caption="CurrentTotalBillAmount" attribute="1" defaultMemberUniqueName="[FactUsage].[CurrentTotalBillAmount].[All]" allUniqueName="[FactUsage].[CurrentTotalBillAmount].[All]" dimensionUniqueName="[FactUsage]" displayFolder="" count="0" unbalanced="0"/>
    <cacheHierarchy uniqueName="[FactUsage].[Customer Select Gas Quantity]" caption="Customer Select Gas Quantity" attribute="1" defaultMemberUniqueName="[FactUsage].[Customer Select Gas Quantity].[All]" allUniqueName="[FactUsage].[Customer Select Gas Quantity].[All]" dimensionUniqueName="[FactUsage]" displayFolder="" count="0" unbalanced="0"/>
    <cacheHierarchy uniqueName="[FactUsage].[Customer Select Indicator]" caption="Customer Select Indicator" attribute="1" defaultMemberUniqueName="[FactUsage].[Customer Select Indicator].[All]" allUniqueName="[FactUsage].[Customer Select Indicator].[All]" dimensionUniqueName="[FactUsage]" displayFolder="" count="0" unbalanced="0"/>
    <cacheHierarchy uniqueName="[FactUsage].[DQScoreKey]" caption="DQScoreKey" attribute="1" defaultMemberUniqueName="[FactUsage].[DQScoreKey].[All]" allUniqueName="[FactUsage].[DQScoreKey].[All]" dimensionUniqueName="[FactUsage]" displayFolder="" count="0" unbalanced="0"/>
    <cacheHierarchy uniqueName="[FactUsage].[Financial Transaction Type Code]" caption="Financial Transaction Type Code" attribute="1" defaultMemberUniqueName="[FactUsage].[Financial Transaction Type Code].[All]" allUniqueName="[FactUsage].[Financial Transaction Type Code].[All]" dimensionUniqueName="[FactUsage]" displayFolder="" count="0" unbalanced="0"/>
    <cacheHierarchy uniqueName="[FactUsage].[Franchise Gas Quantity]" caption="Franchise Gas Quantity" attribute="1" defaultMemberUniqueName="[FactUsage].[Franchise Gas Quantity].[All]" allUniqueName="[FactUsage].[Franchise Gas Quantity].[All]" dimensionUniqueName="[FactUsage]" displayFolder="" count="0" unbalanced="0"/>
    <cacheHierarchy uniqueName="[FactUsage].[In City Limit]" caption="In City Limit" attribute="1" defaultMemberUniqueName="[FactUsage].[In City Limit].[All]" allUniqueName="[FactUsage].[In City Limit].[All]" dimensionUniqueName="[FactUsage]" displayFolder="" count="0" unbalanced="0"/>
    <cacheHierarchy uniqueName="[FactUsage].[InsertAuditKey]" caption="InsertAuditKey" attribute="1" defaultMemberUniqueName="[FactUsage].[InsertAuditKey].[All]" allUniqueName="[FactUsage].[InsertAuditKey].[All]" dimensionUniqueName="[FactUsage]" displayFolder="" count="0" unbalanced="0"/>
    <cacheHierarchy uniqueName="[FactUsage].[Other Gas Quantity]" caption="Other Gas Quantity" attribute="1" defaultMemberUniqueName="[FactUsage].[Other Gas Quantity].[All]" allUniqueName="[FactUsage].[Other Gas Quantity].[All]" dimensionUniqueName="[FactUsage]" displayFolder="" count="0" unbalanced="0"/>
    <cacheHierarchy uniqueName="[FactUsage].[RIDER30_CD]" caption="RIDER30_CD" attribute="1" defaultMemberUniqueName="[FactUsage].[RIDER30_CD].[All]" allUniqueName="[FactUsage].[RIDER30_CD].[All]" dimensionUniqueName="[FactUsage]" displayFolder="" count="0" unbalanced="0"/>
    <cacheHierarchy uniqueName="[FactUsage].[Sales Gas Quantity]" caption="Sales Gas Quantity" attribute="1" defaultMemberUniqueName="[FactUsage].[Sales Gas Quantity].[All]" allUniqueName="[FactUsage].[Sales Gas Quantity].[All]" dimensionUniqueName="[FactUsage]" displayFolder="" count="0" unbalanced="0"/>
    <cacheHierarchy uniqueName="[FactUsage].[Total Gas Quantity]" caption="Total Gas Quantity" attribute="1" defaultMemberUniqueName="[FactUsage].[Total Gas Quantity].[All]" allUniqueName="[FactUsage].[Total Gas Quantity].[All]" dimensionUniqueName="[FactUsage]" displayFolder="" count="0" unbalanced="0"/>
    <cacheHierarchy uniqueName="[FactUsage].[Transportation Gas Quantity]" caption="Transportation Gas Quantity" attribute="1" defaultMemberUniqueName="[FactUsage].[Transportation Gas Quantity].[All]" allUniqueName="[FactUsage].[Transportation Gas Quantity].[All]" dimensionUniqueName="[FactUsage]" displayFolder="" count="0" unbalanced="0"/>
    <cacheHierarchy uniqueName="[FactUsage].[UpdateAuditKey]" caption="UpdateAuditKey" attribute="1" defaultMemberUniqueName="[FactUsage].[UpdateAuditKey].[All]" allUniqueName="[FactUsage].[UpdateAuditKey].[All]" dimensionUniqueName="[FactUsage]" displayFolder="" count="0" unbalanced="0"/>
    <cacheHierarchy uniqueName="[HierProgramProjectMeasure].[HierProgramMeasure]" caption="HierProgramMeasure" defaultMemberUniqueName="[HierProgramProjectMeasure].[HierProgramMeasure].[All]" allUniqueName="[HierProgramProjectMeasure].[HierProgramMeasure].[All]" dimensionUniqueName="[HierProgramProjectMeasure]" displayFolder="" count="3" unbalanced="0"/>
    <cacheHierarchy uniqueName="[HierProgramProjectMeasure].[HierProgramProjectMeasure]" caption="HierProgramProjectMeasure" defaultMemberUniqueName="[HierProgramProjectMeasure].[HierProgramProjectMeasure].[All]" allUniqueName="[HierProgramProjectMeasure].[HierProgramProjectMeasure].[All]" dimensionUniqueName="[HierProgramProjectMeasure]" displayFolder="" count="4" unbalanced="0"/>
    <cacheHierarchy uniqueName="[HierProgramProjectMeasure].[Measure Name]" caption="Measure Name" attribute="1" defaultMemberUniqueName="[HierProgramProjectMeasure].[Measure Name].[All]" allUniqueName="[HierProgramProjectMeasure].[Measure Name].[All]" dimensionUniqueName="[HierProgramProjectMeasure]" displayFolder="" count="0" unbalanced="0"/>
    <cacheHierarchy uniqueName="[HierProgramProjectMeasure].[MeasureType]" caption="MeasureType" attribute="1" defaultMemberUniqueName="[HierProgramProjectMeasure].[MeasureType].[All]" allUniqueName="[HierProgramProjectMeasure].[MeasureType].[All]" dimensionUniqueName="[HierProgramProjectMeasure]" displayFolder="" count="0" unbalanced="0"/>
    <cacheHierarchy uniqueName="[HierProgramProjectMeasure].[Program Name]" caption="Program Name" attribute="1" defaultMemberUniqueName="[HierProgramProjectMeasure].[Program Name].[All]" allUniqueName="[HierProgramProjectMeasure].[Program Name].[All]" dimensionUniqueName="[HierProgramProjectMeasure]" displayFolder="" count="0" unbalanced="0"/>
    <cacheHierarchy uniqueName="[HierProgramProjectMeasure].[Project Name]" caption="Project Name" attribute="1" defaultMemberUniqueName="[HierProgramProjectMeasure].[Project Name].[All]" allUniqueName="[HierProgramProjectMeasure].[Project Name].[All]" dimensionUniqueName="[HierProgramProjectMeasure]" displayFolder="" count="0" unbalanced="0"/>
    <cacheHierarchy uniqueName="[MOCActivityDate].[Datekey]" caption="Datekey" attribute="1" defaultMemberUniqueName="[MOCActivityDate].[Datekey].[All]" allUniqueName="[MOCActivityDate].[Datekey].[All]" dimensionUniqueName="[MOCActivityDate]" displayFolder="" count="0" unbalanced="0"/>
    <cacheHierarchy uniqueName="[MOCActivityDate].[HierMOCActivityDatePY]" caption="HierMOCActivityDatePY" defaultMemberUniqueName="[MOCActivityDate].[HierMOCActivityDatePY].[All]" allUniqueName="[MOCActivityDate].[HierMOCActivityDatePY].[All]" dimensionUniqueName="[MOCActivityDate]" displayFolder="" count="4" unbalanced="0"/>
    <cacheHierarchy uniqueName="[MOCActivityDate].[HierMOCActivityDateYear]" caption="HierMOCActivityDateYear" defaultMemberUniqueName="[MOCActivityDate].[HierMOCActivityDateYear].[All]" allUniqueName="[MOCActivityDate].[HierMOCActivityDateYear].[All]" dimensionUniqueName="[MOCActivityDate]" displayFolder="" count="4" unbalanced="0"/>
    <cacheHierarchy uniqueName="[MOCActivityDate].[MOC Call Activity Date]" caption="MOC Call Activity Date" attribute="1" defaultMemberUniqueName="[MOCActivityDate].[MOC Call Activity Date].[All]" allUniqueName="[MOCActivityDate].[MOC Call Activity Date].[All]" dimensionUniqueName="[MOCActivityDate]" displayFolder="" count="0" unbalanced="0"/>
    <cacheHierarchy uniqueName="[MOCActivityDate].[MOC Call Activity DayOfMonth]" caption="MOC Call Activity DayOfMonth" attribute="1" defaultMemberUniqueName="[MOCActivityDate].[MOC Call Activity DayOfMonth].[All]" allUniqueName="[MOCActivityDate].[MOC Call Activity DayOfMonth].[All]" dimensionUniqueName="[MOCActivityDate]" displayFolder="" count="0" unbalanced="0"/>
    <cacheHierarchy uniqueName="[MOCActivityDate].[MOC Call Activity DayOfWeek]" caption="MOC Call Activity DayOfWeek" attribute="1" defaultMemberUniqueName="[MOCActivityDate].[MOC Call Activity DayOfWeek].[All]" allUniqueName="[MOCActivityDate].[MOC Call Activity DayOfWeek].[All]" dimensionUniqueName="[MOCActivityDate]" displayFolder="" count="0" unbalanced="0"/>
    <cacheHierarchy uniqueName="[MOCActivityDate].[MOC Call Activity DayOfWeekName]" caption="MOC Call Activity DayOfWeekName" attribute="1" defaultMemberUniqueName="[MOCActivityDate].[MOC Call Activity DayOfWeekName].[All]" allUniqueName="[MOCActivityDate].[MOC Call Activity DayOfWeekName].[All]" dimensionUniqueName="[MOCActivityDate]" displayFolder="" count="0" unbalanced="0"/>
    <cacheHierarchy uniqueName="[MOCActivityDate].[MOC Call Activity DayOfYear]" caption="MOC Call Activity DayOfYear" attribute="1" defaultMemberUniqueName="[MOCActivityDate].[MOC Call Activity DayOfYear].[All]" allUniqueName="[MOCActivityDate].[MOC Call Activity DayOfYear].[All]" dimensionUniqueName="[MOCActivityDate]" displayFolder="" count="0" unbalanced="0"/>
    <cacheHierarchy uniqueName="[MOCActivityDate].[MOC Call Activity HolidayInd]" caption="MOC Call Activity HolidayInd" attribute="1" defaultMemberUniqueName="[MOCActivityDate].[MOC Call Activity HolidayInd].[All]" allUniqueName="[MOCActivityDate].[MOC Call Activity HolidayInd].[All]" dimensionUniqueName="[MOCActivityDate]" displayFolder="" count="0" unbalanced="0"/>
    <cacheHierarchy uniqueName="[MOCActivityDate].[MOC Call Activity HolidayName]" caption="MOC Call Activity HolidayName" attribute="1" defaultMemberUniqueName="[MOCActivityDate].[MOC Call Activity HolidayName].[All]" allUniqueName="[MOCActivityDate].[MOC Call Activity HolidayName].[All]" dimensionUniqueName="[MOCActivityDate]" displayFolder="" count="0" unbalanced="0"/>
    <cacheHierarchy uniqueName="[MOCActivityDate].[MOC Call Activity LastDateOfMonth]" caption="MOC Call Activity LastDateOfMonth" attribute="1" defaultMemberUniqueName="[MOCActivityDate].[MOC Call Activity LastDateOfMonth].[All]" allUniqueName="[MOCActivityDate].[MOC Call Activity LastDateOfMonth].[All]" dimensionUniqueName="[MOCActivityDate]" displayFolder="" count="0" unbalanced="0"/>
    <cacheHierarchy uniqueName="[MOCActivityDate].[MOC Call Activity LastDayOfMonthIndicator]" caption="MOC Call Activity LastDayOfMonthIndicator" attribute="1" defaultMemberUniqueName="[MOCActivityDate].[MOC Call Activity LastDayOfMonthIndicator].[All]" allUniqueName="[MOCActivityDate].[MOC Call Activity LastDayOfMonthIndicator].[All]" dimensionUniqueName="[MOCActivityDate]" displayFolder="" count="0" unbalanced="0"/>
    <cacheHierarchy uniqueName="[MOCActivityDate].[MOC Call Activity Month]" caption="MOC Call Activity Month" attribute="1" defaultMemberUniqueName="[MOCActivityDate].[MOC Call Activity Month].[All]" allUniqueName="[MOCActivityDate].[MOC Call Activity Month].[All]" dimensionUniqueName="[MOCActivityDate]" displayFolder="" count="0" unbalanced="0"/>
    <cacheHierarchy uniqueName="[MOCActivityDate].[MOC Call Activity MonthNbr]" caption="MOC Call Activity MonthNbr" attribute="1" defaultMemberUniqueName="[MOCActivityDate].[MOC Call Activity MonthNbr].[All]" allUniqueName="[MOCActivityDate].[MOC Call Activity MonthNbr].[All]" dimensionUniqueName="[MOCActivityDate]" displayFolder="" count="0" unbalanced="0"/>
    <cacheHierarchy uniqueName="[MOCActivityDate].[MOC Call Activity Plan Month and Year]" caption="MOC Call Activity Plan Month and Year" attribute="1" defaultMemberUniqueName="[MOCActivityDate].[MOC Call Activity Plan Month and Year].[All]" allUniqueName="[MOCActivityDate].[MOC Call Activity Plan Month and Year].[All]" dimensionUniqueName="[MOCActivityDate]" displayFolder="" count="0" unbalanced="0"/>
    <cacheHierarchy uniqueName="[MOCActivityDate].[MOC Call Activity Plan Month Number]" caption="MOC Call Activity Plan Month Number" attribute="1" defaultMemberUniqueName="[MOCActivityDate].[MOC Call Activity Plan Month Number].[All]" allUniqueName="[MOCActivityDate].[MOC Call Activity Plan Month Number].[All]" dimensionUniqueName="[MOCActivityDate]" displayFolder="" count="0" unbalanced="0"/>
    <cacheHierarchy uniqueName="[MOCActivityDate].[MOC Call Activity Plan Quarter Number]" caption="MOC Call Activity Plan Quarter Number" attribute="1" defaultMemberUniqueName="[MOCActivityDate].[MOC Call Activity Plan Quarter Number].[All]" allUniqueName="[MOCActivityDate].[MOC Call Activity Plan Quarter Number].[All]" dimensionUniqueName="[MOCActivityDate]" displayFolder="" count="0" unbalanced="0"/>
    <cacheHierarchy uniqueName="[MOCActivityDate].[MOC Call Activity PQ]" caption="MOC Call Activity PQ" attribute="1" defaultMemberUniqueName="[MOCActivityDate].[MOC Call Activity PQ].[All]" allUniqueName="[MOCActivityDate].[MOC Call Activity PQ].[All]" dimensionUniqueName="[MOCActivityDate]" displayFolder="" count="0" unbalanced="0"/>
    <cacheHierarchy uniqueName="[MOCActivityDate].[MOC Call Activity PY]" caption="MOC Call Activity PY" attribute="1" defaultMemberUniqueName="[MOCActivityDate].[MOC Call Activity PY].[All]" allUniqueName="[MOCActivityDate].[MOC Call Activity PY].[All]" dimensionUniqueName="[MOCActivityDate]" displayFolder="" count="0" unbalanced="0"/>
    <cacheHierarchy uniqueName="[MOCActivityDate].[MOC Call Activity Qtr]" caption="MOC Call Activity Qtr" attribute="1" defaultMemberUniqueName="[MOCActivityDate].[MOC Call Activity Qtr].[All]" allUniqueName="[MOCActivityDate].[MOC Call Activity Qtr].[All]" dimensionUniqueName="[MOCActivityDate]" displayFolder="" count="0" unbalanced="0"/>
    <cacheHierarchy uniqueName="[MOCActivityDate].[MOC Call Activity Semester]" caption="MOC Call Activity Semester" attribute="1" defaultMemberUniqueName="[MOCActivityDate].[MOC Call Activity Semester].[All]" allUniqueName="[MOCActivityDate].[MOC Call Activity Semester].[All]" dimensionUniqueName="[MOCActivityDate]" displayFolder="" count="0" unbalanced="0"/>
    <cacheHierarchy uniqueName="[MOCActivityDate].[MOC Call Activity WeekdayWeekend]" caption="MOC Call Activity WeekdayWeekend" attribute="1" defaultMemberUniqueName="[MOCActivityDate].[MOC Call Activity WeekdayWeekend].[All]" allUniqueName="[MOCActivityDate].[MOC Call Activity WeekdayWeekend].[All]" dimensionUniqueName="[MOCActivityDate]" displayFolder="" count="0" unbalanced="0"/>
    <cacheHierarchy uniqueName="[MOCActivityDate].[MOC Call Activity WeekOfMonth]" caption="MOC Call Activity WeekOfMonth" attribute="1" defaultMemberUniqueName="[MOCActivityDate].[MOC Call Activity WeekOfMonth].[All]" allUniqueName="[MOCActivityDate].[MOC Call Activity WeekOfMonth].[All]" dimensionUniqueName="[MOCActivityDate]" displayFolder="" count="0" unbalanced="0"/>
    <cacheHierarchy uniqueName="[MOCActivityDate].[MOC Call Activity WeekOfYear]" caption="MOC Call Activity WeekOfYear" attribute="1" defaultMemberUniqueName="[MOCActivityDate].[MOC Call Activity WeekOfYear].[All]" allUniqueName="[MOCActivityDate].[MOC Call Activity WeekOfYear].[All]" dimensionUniqueName="[MOCActivityDate]" displayFolder="" count="0" unbalanced="0"/>
    <cacheHierarchy uniqueName="[MOCActivityDate].[MOC Call Activity WorkingDayInd]" caption="MOC Call Activity WorkingDayInd" attribute="1" defaultMemberUniqueName="[MOCActivityDate].[MOC Call Activity WorkingDayInd].[All]" allUniqueName="[MOCActivityDate].[MOC Call Activity WorkingDayInd].[All]" dimensionUniqueName="[MOCActivityDate]" displayFolder="" count="0" unbalanced="0"/>
    <cacheHierarchy uniqueName="[MOCActivityDate].[MOC Call Activity Year]" caption="MOC Call Activity Year" attribute="1" defaultMemberUniqueName="[MOCActivityDate].[MOC Call Activity Year].[All]" allUniqueName="[MOCActivityDate].[MOC Call Activity Year].[All]" dimensionUniqueName="[MOCActivityDate]" displayFolder="" count="0" unbalanced="0"/>
    <cacheHierarchy uniqueName="[MOCActivityDate].[MOC Call Activity YearMonthAsInteger]" caption="MOC Call Activity YearMonthAsInteger" attribute="1" defaultMemberUniqueName="[MOCActivityDate].[MOC Call Activity YearMonthAsInteger].[All]" allUniqueName="[MOCActivityDate].[MOC Call Activity YearMonthAsInteger].[All]" dimensionUniqueName="[MOCActivityDate]" displayFolder="" count="0" unbalanced="0"/>
    <cacheHierarchy uniqueName="[MOCActivityDate].[MOC Call Activity YearQuarterAsInteger]" caption="MOC Call Activity YearQuarterAsInteger" attribute="1" defaultMemberUniqueName="[MOCActivityDate].[MOC Call Activity YearQuarterAsInteger].[All]" allUniqueName="[MOCActivityDate].[MOC Call Activity YearQuarterAsInteger].[All]" dimensionUniqueName="[MOCActivityDate]" displayFolder="" count="0" unbalanced="0"/>
    <cacheHierarchy uniqueName="[MOCActivityDate].[MOC Call Activity YearSemesterAsInteger]" caption="MOC Call Activity YearSemesterAsInteger" attribute="1" defaultMemberUniqueName="[MOCActivityDate].[MOC Call Activity YearSemesterAsInteger].[All]" allUniqueName="[MOCActivityDate].[MOC Call Activity YearSemesterAsInteger].[All]" dimensionUniqueName="[MOCActivityDate]" displayFolder="" count="0" unbalanced="0"/>
    <cacheHierarchy uniqueName="[MOCAssessmentDate].[Datekey]" caption="Datekey" attribute="1" defaultMemberUniqueName="[MOCAssessmentDate].[Datekey].[All]" allUniqueName="[MOCAssessmentDate].[Datekey].[All]" dimensionUniqueName="[MOCAssessmentDate]" displayFolder="" count="0" unbalanced="0"/>
    <cacheHierarchy uniqueName="[MOCAssessmentDate].[HierMOCAssessDatePY]" caption="HierMOCAssessDatePY" defaultMemberUniqueName="[MOCAssessmentDate].[HierMOCAssessDatePY].[All]" allUniqueName="[MOCAssessmentDate].[HierMOCAssessDatePY].[All]" dimensionUniqueName="[MOCAssessmentDate]" displayFolder="" count="4" unbalanced="0"/>
    <cacheHierarchy uniqueName="[MOCAssessmentDate].[HierMOCAssessDateYear]" caption="HierMOCAssessDateYear" defaultMemberUniqueName="[MOCAssessmentDate].[HierMOCAssessDateYear].[All]" allUniqueName="[MOCAssessmentDate].[HierMOCAssessDateYear].[All]" dimensionUniqueName="[MOCAssessmentDate]" displayFolder="" count="4" unbalanced="0"/>
    <cacheHierarchy uniqueName="[MOCAssessmentDate].[MOC Call Assessment Date]" caption="MOC Call Assessment Date" attribute="1" defaultMemberUniqueName="[MOCAssessmentDate].[MOC Call Assessment Date].[All]" allUniqueName="[MOCAssessmentDate].[MOC Call Assessment Date].[All]" dimensionUniqueName="[MOCAssessmentDate]" displayFolder="" count="0" unbalanced="0"/>
    <cacheHierarchy uniqueName="[MOCAssessmentDate].[MOC Call Assessment DayOfMonth]" caption="MOC Call Assessment DayOfMonth" attribute="1" defaultMemberUniqueName="[MOCAssessmentDate].[MOC Call Assessment DayOfMonth].[All]" allUniqueName="[MOCAssessmentDate].[MOC Call Assessment DayOfMonth].[All]" dimensionUniqueName="[MOCAssessmentDate]" displayFolder="" count="0" unbalanced="0"/>
    <cacheHierarchy uniqueName="[MOCAssessmentDate].[MOC Call Assessment DayOfWeek]" caption="MOC Call Assessment DayOfWeek" attribute="1" defaultMemberUniqueName="[MOCAssessmentDate].[MOC Call Assessment DayOfWeek].[All]" allUniqueName="[MOCAssessmentDate].[MOC Call Assessment DayOfWeek].[All]" dimensionUniqueName="[MOCAssessmentDate]" displayFolder="" count="0" unbalanced="0"/>
    <cacheHierarchy uniqueName="[MOCAssessmentDate].[MOC Call Assessment DayOfWeekName]" caption="MOC Call Assessment DayOfWeekName" attribute="1" defaultMemberUniqueName="[MOCAssessmentDate].[MOC Call Assessment DayOfWeekName].[All]" allUniqueName="[MOCAssessmentDate].[MOC Call Assessment DayOfWeekName].[All]" dimensionUniqueName="[MOCAssessmentDate]" displayFolder="" count="0" unbalanced="0"/>
    <cacheHierarchy uniqueName="[MOCAssessmentDate].[MOC Call Assessment DayOfYear]" caption="MOC Call Assessment DayOfYear" attribute="1" defaultMemberUniqueName="[MOCAssessmentDate].[MOC Call Assessment DayOfYear].[All]" allUniqueName="[MOCAssessmentDate].[MOC Call Assessment DayOfYear].[All]" dimensionUniqueName="[MOCAssessmentDate]" displayFolder="" count="0" unbalanced="0"/>
    <cacheHierarchy uniqueName="[MOCAssessmentDate].[MOC Call Assessment HolidayInd]" caption="MOC Call Assessment HolidayInd" attribute="1" defaultMemberUniqueName="[MOCAssessmentDate].[MOC Call Assessment HolidayInd].[All]" allUniqueName="[MOCAssessmentDate].[MOC Call Assessment HolidayInd].[All]" dimensionUniqueName="[MOCAssessmentDate]" displayFolder="" count="0" unbalanced="0"/>
    <cacheHierarchy uniqueName="[MOCAssessmentDate].[MOC Call Assessment HolidayName]" caption="MOC Call Assessment HolidayName" attribute="1" defaultMemberUniqueName="[MOCAssessmentDate].[MOC Call Assessment HolidayName].[All]" allUniqueName="[MOCAssessmentDate].[MOC Call Assessment HolidayName].[All]" dimensionUniqueName="[MOCAssessmentDate]" displayFolder="" count="0" unbalanced="0"/>
    <cacheHierarchy uniqueName="[MOCAssessmentDate].[MOC Call Assessment LastDateOfMonth]" caption="MOC Call Assessment LastDateOfMonth" attribute="1" defaultMemberUniqueName="[MOCAssessmentDate].[MOC Call Assessment LastDateOfMonth].[All]" allUniqueName="[MOCAssessmentDate].[MOC Call Assessment LastDateOfMonth].[All]" dimensionUniqueName="[MOCAssessmentDate]" displayFolder="" count="0" unbalanced="0"/>
    <cacheHierarchy uniqueName="[MOCAssessmentDate].[MOC Call Assessment LastDayOfMonthIndicator]" caption="MOC Call Assessment LastDayOfMonthIndicator" attribute="1" defaultMemberUniqueName="[MOCAssessmentDate].[MOC Call Assessment LastDayOfMonthIndicator].[All]" allUniqueName="[MOCAssessmentDate].[MOC Call Assessment LastDayOfMonthIndicator].[All]" dimensionUniqueName="[MOCAssessmentDate]" displayFolder="" count="0" unbalanced="0"/>
    <cacheHierarchy uniqueName="[MOCAssessmentDate].[MOC Call Assessment Month]" caption="MOC Call Assessment Month" attribute="1" defaultMemberUniqueName="[MOCAssessmentDate].[MOC Call Assessment Month].[All]" allUniqueName="[MOCAssessmentDate].[MOC Call Assessment Month].[All]" dimensionUniqueName="[MOCAssessmentDate]" displayFolder="" count="0" unbalanced="0"/>
    <cacheHierarchy uniqueName="[MOCAssessmentDate].[MOC Call Assessment MonthNbr]" caption="MOC Call Assessment MonthNbr" attribute="1" defaultMemberUniqueName="[MOCAssessmentDate].[MOC Call Assessment MonthNbr].[All]" allUniqueName="[MOCAssessmentDate].[MOC Call Assessment MonthNbr].[All]" dimensionUniqueName="[MOCAssessmentDate]" displayFolder="" count="0" unbalanced="0"/>
    <cacheHierarchy uniqueName="[MOCAssessmentDate].[MOC Call Assessment Plan Month and Year]" caption="MOC Call Assessment Plan Month and Year" attribute="1" defaultMemberUniqueName="[MOCAssessmentDate].[MOC Call Assessment Plan Month and Year].[All]" allUniqueName="[MOCAssessmentDate].[MOC Call Assessment Plan Month and Year].[All]" dimensionUniqueName="[MOCAssessmentDate]" displayFolder="" count="0" unbalanced="0"/>
    <cacheHierarchy uniqueName="[MOCAssessmentDate].[MOC Call Assessment Plan Month Number]" caption="MOC Call Assessment Plan Month Number" attribute="1" defaultMemberUniqueName="[MOCAssessmentDate].[MOC Call Assessment Plan Month Number].[All]" allUniqueName="[MOCAssessmentDate].[MOC Call Assessment Plan Month Number].[All]" dimensionUniqueName="[MOCAssessmentDate]" displayFolder="" count="0" unbalanced="0"/>
    <cacheHierarchy uniqueName="[MOCAssessmentDate].[MOC Call Assessment Plan Quarter Number]" caption="MOC Call Assessment Plan Quarter Number" attribute="1" defaultMemberUniqueName="[MOCAssessmentDate].[MOC Call Assessment Plan Quarter Number].[All]" allUniqueName="[MOCAssessmentDate].[MOC Call Assessment Plan Quarter Number].[All]" dimensionUniqueName="[MOCAssessmentDate]" displayFolder="" count="0" unbalanced="0"/>
    <cacheHierarchy uniqueName="[MOCAssessmentDate].[MOC Call Assessment PQ]" caption="MOC Call Assessment PQ" attribute="1" defaultMemberUniqueName="[MOCAssessmentDate].[MOC Call Assessment PQ].[All]" allUniqueName="[MOCAssessmentDate].[MOC Call Assessment PQ].[All]" dimensionUniqueName="[MOCAssessmentDate]" displayFolder="" count="0" unbalanced="0"/>
    <cacheHierarchy uniqueName="[MOCAssessmentDate].[MOC Call Assessment PY]" caption="MOC Call Assessment PY" attribute="1" defaultMemberUniqueName="[MOCAssessmentDate].[MOC Call Assessment PY].[All]" allUniqueName="[MOCAssessmentDate].[MOC Call Assessment PY].[All]" dimensionUniqueName="[MOCAssessmentDate]" displayFolder="" count="0" unbalanced="0"/>
    <cacheHierarchy uniqueName="[MOCAssessmentDate].[MOC Call Assessment Qtr]" caption="MOC Call Assessment Qtr" attribute="1" defaultMemberUniqueName="[MOCAssessmentDate].[MOC Call Assessment Qtr].[All]" allUniqueName="[MOCAssessmentDate].[MOC Call Assessment Qtr].[All]" dimensionUniqueName="[MOCAssessmentDate]" displayFolder="" count="0" unbalanced="0"/>
    <cacheHierarchy uniqueName="[MOCAssessmentDate].[MOC Call Assessment Semester]" caption="MOC Call Assessment Semester" attribute="1" defaultMemberUniqueName="[MOCAssessmentDate].[MOC Call Assessment Semester].[All]" allUniqueName="[MOCAssessmentDate].[MOC Call Assessment Semester].[All]" dimensionUniqueName="[MOCAssessmentDate]" displayFolder="" count="0" unbalanced="0"/>
    <cacheHierarchy uniqueName="[MOCAssessmentDate].[MOC Call Assessment WeekdayWeekend]" caption="MOC Call Assessment WeekdayWeekend" attribute="1" defaultMemberUniqueName="[MOCAssessmentDate].[MOC Call Assessment WeekdayWeekend].[All]" allUniqueName="[MOCAssessmentDate].[MOC Call Assessment WeekdayWeekend].[All]" dimensionUniqueName="[MOCAssessmentDate]" displayFolder="" count="0" unbalanced="0"/>
    <cacheHierarchy uniqueName="[MOCAssessmentDate].[MOC Call Assessment WeekOfMonth]" caption="MOC Call Assessment WeekOfMonth" attribute="1" defaultMemberUniqueName="[MOCAssessmentDate].[MOC Call Assessment WeekOfMonth].[All]" allUniqueName="[MOCAssessmentDate].[MOC Call Assessment WeekOfMonth].[All]" dimensionUniqueName="[MOCAssessmentDate]" displayFolder="" count="0" unbalanced="0"/>
    <cacheHierarchy uniqueName="[MOCAssessmentDate].[MOC Call Assessment WeekOfYear]" caption="MOC Call Assessment WeekOfYear" attribute="1" defaultMemberUniqueName="[MOCAssessmentDate].[MOC Call Assessment WeekOfYear].[All]" allUniqueName="[MOCAssessmentDate].[MOC Call Assessment WeekOfYear].[All]" dimensionUniqueName="[MOCAssessmentDate]" displayFolder="" count="0" unbalanced="0"/>
    <cacheHierarchy uniqueName="[MOCAssessmentDate].[MOC Call Assessment WorkingDayInd]" caption="MOC Call Assessment WorkingDayInd" attribute="1" defaultMemberUniqueName="[MOCAssessmentDate].[MOC Call Assessment WorkingDayInd].[All]" allUniqueName="[MOCAssessmentDate].[MOC Call Assessment WorkingDayInd].[All]" dimensionUniqueName="[MOCAssessmentDate]" displayFolder="" count="0" unbalanced="0"/>
    <cacheHierarchy uniqueName="[MOCAssessmentDate].[MOC Call Assessment Year]" caption="MOC Call Assessment Year" attribute="1" defaultMemberUniqueName="[MOCAssessmentDate].[MOC Call Assessment Year].[All]" allUniqueName="[MOCAssessmentDate].[MOC Call Assessment Year].[All]" dimensionUniqueName="[MOCAssessmentDate]" displayFolder="" count="0" unbalanced="0"/>
    <cacheHierarchy uniqueName="[MOCAssessmentDate].[MOC Call Assessment YearMonthAsInteger]" caption="MOC Call Assessment YearMonthAsInteger" attribute="1" defaultMemberUniqueName="[MOCAssessmentDate].[MOC Call Assessment YearMonthAsInteger].[All]" allUniqueName="[MOCAssessmentDate].[MOC Call Assessment YearMonthAsInteger].[All]" dimensionUniqueName="[MOCAssessmentDate]" displayFolder="" count="0" unbalanced="0"/>
    <cacheHierarchy uniqueName="[MOCAssessmentDate].[MOC Call Assessment YearQuarterAsInteger]" caption="MOC Call Assessment YearQuarterAsInteger" attribute="1" defaultMemberUniqueName="[MOCAssessmentDate].[MOC Call Assessment YearQuarterAsInteger].[All]" allUniqueName="[MOCAssessmentDate].[MOC Call Assessment YearQuarterAsInteger].[All]" dimensionUniqueName="[MOCAssessmentDate]" displayFolder="" count="0" unbalanced="0"/>
    <cacheHierarchy uniqueName="[MOCAssessmentDate].[MOC Call Assessment YearSemesterAsInteger]" caption="MOC Call Assessment YearSemesterAsInteger" attribute="1" defaultMemberUniqueName="[MOCAssessmentDate].[MOC Call Assessment YearSemesterAsInteger].[All]" allUniqueName="[MOCAssessmentDate].[MOC Call Assessment YearSemesterAsInteger].[All]" dimensionUniqueName="[MOCAssessmentDate]" displayFolder="" count="0" unbalanced="0"/>
    <cacheHierarchy uniqueName="[MOCEventDate].[Datekey]" caption="Datekey" attribute="1" defaultMemberUniqueName="[MOCEventDate].[Datekey].[All]" allUniqueName="[MOCEventDate].[Datekey].[All]" dimensionUniqueName="[MOCEventDate]" displayFolder="" count="0" unbalanced="0"/>
    <cacheHierarchy uniqueName="[MOCEventDate].[HierMOCEventDatePY]" caption="HierMOCEventDatePY" defaultMemberUniqueName="[MOCEventDate].[HierMOCEventDatePY].[All]" allUniqueName="[MOCEventDate].[HierMOCEventDatePY].[All]" dimensionUniqueName="[MOCEventDate]" displayFolder="" count="4" unbalanced="0"/>
    <cacheHierarchy uniqueName="[MOCEventDate].[HierMOCEventDateYear]" caption="HierMOCEventDateYear" defaultMemberUniqueName="[MOCEventDate].[HierMOCEventDateYear].[All]" allUniqueName="[MOCEventDate].[HierMOCEventDateYear].[All]" dimensionUniqueName="[MOCEventDate]" displayFolder="" count="4" unbalanced="0"/>
    <cacheHierarchy uniqueName="[MOCEventDate].[MOC Call Event Date]" caption="MOC Call Event Date" attribute="1" defaultMemberUniqueName="[MOCEventDate].[MOC Call Event Date].[All]" allUniqueName="[MOCEventDate].[MOC Call Event Date].[All]" dimensionUniqueName="[MOCEventDate]" displayFolder="" count="0" unbalanced="0"/>
    <cacheHierarchy uniqueName="[MOCEventDate].[MOC Call Event DayOfMonth]" caption="MOC Call Event DayOfMonth" attribute="1" defaultMemberUniqueName="[MOCEventDate].[MOC Call Event DayOfMonth].[All]" allUniqueName="[MOCEventDate].[MOC Call Event DayOfMonth].[All]" dimensionUniqueName="[MOCEventDate]" displayFolder="" count="0" unbalanced="0"/>
    <cacheHierarchy uniqueName="[MOCEventDate].[MOC Call Event DayOfWeek]" caption="MOC Call Event DayOfWeek" attribute="1" defaultMemberUniqueName="[MOCEventDate].[MOC Call Event DayOfWeek].[All]" allUniqueName="[MOCEventDate].[MOC Call Event DayOfWeek].[All]" dimensionUniqueName="[MOCEventDate]" displayFolder="" count="0" unbalanced="0"/>
    <cacheHierarchy uniqueName="[MOCEventDate].[MOC Call Event DayOfWeekName]" caption="MOC Call Event DayOfWeekName" attribute="1" defaultMemberUniqueName="[MOCEventDate].[MOC Call Event DayOfWeekName].[All]" allUniqueName="[MOCEventDate].[MOC Call Event DayOfWeekName].[All]" dimensionUniqueName="[MOCEventDate]" displayFolder="" count="0" unbalanced="0"/>
    <cacheHierarchy uniqueName="[MOCEventDate].[MOC Call Event DayOfYear]" caption="MOC Call Event DayOfYear" attribute="1" defaultMemberUniqueName="[MOCEventDate].[MOC Call Event DayOfYear].[All]" allUniqueName="[MOCEventDate].[MOC Call Event DayOfYear].[All]" dimensionUniqueName="[MOCEventDate]" displayFolder="" count="0" unbalanced="0"/>
    <cacheHierarchy uniqueName="[MOCEventDate].[MOC Call Event HolidayInd]" caption="MOC Call Event HolidayInd" attribute="1" defaultMemberUniqueName="[MOCEventDate].[MOC Call Event HolidayInd].[All]" allUniqueName="[MOCEventDate].[MOC Call Event HolidayInd].[All]" dimensionUniqueName="[MOCEventDate]" displayFolder="" count="0" unbalanced="0"/>
    <cacheHierarchy uniqueName="[MOCEventDate].[MOC Call Event HolidayName]" caption="MOC Call Event HolidayName" attribute="1" defaultMemberUniqueName="[MOCEventDate].[MOC Call Event HolidayName].[All]" allUniqueName="[MOCEventDate].[MOC Call Event HolidayName].[All]" dimensionUniqueName="[MOCEventDate]" displayFolder="" count="0" unbalanced="0"/>
    <cacheHierarchy uniqueName="[MOCEventDate].[MOC Call Event LastDateOfMonth]" caption="MOC Call Event LastDateOfMonth" attribute="1" defaultMemberUniqueName="[MOCEventDate].[MOC Call Event LastDateOfMonth].[All]" allUniqueName="[MOCEventDate].[MOC Call Event LastDateOfMonth].[All]" dimensionUniqueName="[MOCEventDate]" displayFolder="" count="0" unbalanced="0"/>
    <cacheHierarchy uniqueName="[MOCEventDate].[MOC Call Event LastDayOfMonthIndicator]" caption="MOC Call Event LastDayOfMonthIndicator" attribute="1" defaultMemberUniqueName="[MOCEventDate].[MOC Call Event LastDayOfMonthIndicator].[All]" allUniqueName="[MOCEventDate].[MOC Call Event LastDayOfMonthIndicator].[All]" dimensionUniqueName="[MOCEventDate]" displayFolder="" count="0" unbalanced="0"/>
    <cacheHierarchy uniqueName="[MOCEventDate].[MOC Call Event Month]" caption="MOC Call Event Month" attribute="1" defaultMemberUniqueName="[MOCEventDate].[MOC Call Event Month].[All]" allUniqueName="[MOCEventDate].[MOC Call Event Month].[All]" dimensionUniqueName="[MOCEventDate]" displayFolder="" count="0" unbalanced="0"/>
    <cacheHierarchy uniqueName="[MOCEventDate].[MOC Call Event MonthNbr]" caption="MOC Call Event MonthNbr" attribute="1" defaultMemberUniqueName="[MOCEventDate].[MOC Call Event MonthNbr].[All]" allUniqueName="[MOCEventDate].[MOC Call Event MonthNbr].[All]" dimensionUniqueName="[MOCEventDate]" displayFolder="" count="0" unbalanced="0"/>
    <cacheHierarchy uniqueName="[MOCEventDate].[MOC Call Event Plan Month and Year]" caption="MOC Call Event Plan Month and Year" attribute="1" defaultMemberUniqueName="[MOCEventDate].[MOC Call Event Plan Month and Year].[All]" allUniqueName="[MOCEventDate].[MOC Call Event Plan Month and Year].[All]" dimensionUniqueName="[MOCEventDate]" displayFolder="" count="0" unbalanced="0"/>
    <cacheHierarchy uniqueName="[MOCEventDate].[MOC Call Event Plan Month Number]" caption="MOC Call Event Plan Month Number" attribute="1" defaultMemberUniqueName="[MOCEventDate].[MOC Call Event Plan Month Number].[All]" allUniqueName="[MOCEventDate].[MOC Call Event Plan Month Number].[All]" dimensionUniqueName="[MOCEventDate]" displayFolder="" count="0" unbalanced="0"/>
    <cacheHierarchy uniqueName="[MOCEventDate].[MOC Call Event Plan Quarter Number]" caption="MOC Call Event Plan Quarter Number" attribute="1" defaultMemberUniqueName="[MOCEventDate].[MOC Call Event Plan Quarter Number].[All]" allUniqueName="[MOCEventDate].[MOC Call Event Plan Quarter Number].[All]" dimensionUniqueName="[MOCEventDate]" displayFolder="" count="0" unbalanced="0"/>
    <cacheHierarchy uniqueName="[MOCEventDate].[MOC Call Event PQ]" caption="MOC Call Event PQ" attribute="1" defaultMemberUniqueName="[MOCEventDate].[MOC Call Event PQ].[All]" allUniqueName="[MOCEventDate].[MOC Call Event PQ].[All]" dimensionUniqueName="[MOCEventDate]" displayFolder="" count="0" unbalanced="0"/>
    <cacheHierarchy uniqueName="[MOCEventDate].[MOC Call Event PY]" caption="MOC Call Event PY" attribute="1" defaultMemberUniqueName="[MOCEventDate].[MOC Call Event PY].[All]" allUniqueName="[MOCEventDate].[MOC Call Event PY].[All]" dimensionUniqueName="[MOCEventDate]" displayFolder="" count="0" unbalanced="0"/>
    <cacheHierarchy uniqueName="[MOCEventDate].[MOC Call Event Qtr]" caption="MOC Call Event Qtr" attribute="1" defaultMemberUniqueName="[MOCEventDate].[MOC Call Event Qtr].[All]" allUniqueName="[MOCEventDate].[MOC Call Event Qtr].[All]" dimensionUniqueName="[MOCEventDate]" displayFolder="" count="0" unbalanced="0"/>
    <cacheHierarchy uniqueName="[MOCEventDate].[MOC Call Event Semester]" caption="MOC Call Event Semester" attribute="1" defaultMemberUniqueName="[MOCEventDate].[MOC Call Event Semester].[All]" allUniqueName="[MOCEventDate].[MOC Call Event Semester].[All]" dimensionUniqueName="[MOCEventDate]" displayFolder="" count="0" unbalanced="0"/>
    <cacheHierarchy uniqueName="[MOCEventDate].[MOC Call Event WeekdayWeekend]" caption="MOC Call Event WeekdayWeekend" attribute="1" defaultMemberUniqueName="[MOCEventDate].[MOC Call Event WeekdayWeekend].[All]" allUniqueName="[MOCEventDate].[MOC Call Event WeekdayWeekend].[All]" dimensionUniqueName="[MOCEventDate]" displayFolder="" count="0" unbalanced="0"/>
    <cacheHierarchy uniqueName="[MOCEventDate].[MOC Call Event WeekOfMonth]" caption="MOC Call Event WeekOfMonth" attribute="1" defaultMemberUniqueName="[MOCEventDate].[MOC Call Event WeekOfMonth].[All]" allUniqueName="[MOCEventDate].[MOC Call Event WeekOfMonth].[All]" dimensionUniqueName="[MOCEventDate]" displayFolder="" count="0" unbalanced="0"/>
    <cacheHierarchy uniqueName="[MOCEventDate].[MOC Call Event WeekOfYear]" caption="MOC Call Event WeekOfYear" attribute="1" defaultMemberUniqueName="[MOCEventDate].[MOC Call Event WeekOfYear].[All]" allUniqueName="[MOCEventDate].[MOC Call Event WeekOfYear].[All]" dimensionUniqueName="[MOCEventDate]" displayFolder="" count="0" unbalanced="0"/>
    <cacheHierarchy uniqueName="[MOCEventDate].[MOC Call Event WorkingDayInd]" caption="MOC Call Event WorkingDayInd" attribute="1" defaultMemberUniqueName="[MOCEventDate].[MOC Call Event WorkingDayInd].[All]" allUniqueName="[MOCEventDate].[MOC Call Event WorkingDayInd].[All]" dimensionUniqueName="[MOCEventDate]" displayFolder="" count="0" unbalanced="0"/>
    <cacheHierarchy uniqueName="[MOCEventDate].[MOC Call Event Year]" caption="MOC Call Event Year" attribute="1" defaultMemberUniqueName="[MOCEventDate].[MOC Call Event Year].[All]" allUniqueName="[MOCEventDate].[MOC Call Event Year].[All]" dimensionUniqueName="[MOCEventDate]" displayFolder="" count="0" unbalanced="0"/>
    <cacheHierarchy uniqueName="[MOCEventDate].[MOC Call Event YearMonthAsInteger]" caption="MOC Call Event YearMonthAsInteger" attribute="1" defaultMemberUniqueName="[MOCEventDate].[MOC Call Event YearMonthAsInteger].[All]" allUniqueName="[MOCEventDate].[MOC Call Event YearMonthAsInteger].[All]" dimensionUniqueName="[MOCEventDate]" displayFolder="" count="0" unbalanced="0"/>
    <cacheHierarchy uniqueName="[MOCEventDate].[MOC Call Event YearQuarterAsInteger]" caption="MOC Call Event YearQuarterAsInteger" attribute="1" defaultMemberUniqueName="[MOCEventDate].[MOC Call Event YearQuarterAsInteger].[All]" allUniqueName="[MOCEventDate].[MOC Call Event YearQuarterAsInteger].[All]" dimensionUniqueName="[MOCEventDate]" displayFolder="" count="0" unbalanced="0"/>
    <cacheHierarchy uniqueName="[MOCEventDate].[MOC Call Event YearSemesterAsInteger]" caption="MOC Call Event YearSemesterAsInteger" attribute="1" defaultMemberUniqueName="[MOCEventDate].[MOC Call Event YearSemesterAsInteger].[All]" allUniqueName="[MOCEventDate].[MOC Call Event YearSemesterAsInteger].[All]" dimensionUniqueName="[MOCEventDate]" displayFolder="" count="0" unbalanced="0"/>
    <cacheHierarchy uniqueName="[PMTInstallDate].[HierPMTInstallDatePY]" caption="HierPMTInstallDatePY" defaultMemberUniqueName="[PMTInstallDate].[HierPMTInstallDatePY].[All]" allUniqueName="[PMTInstallDate].[HierPMTInstallDatePY].[All]" dimensionUniqueName="[PMTInstallDate]" displayFolder="" count="4" unbalanced="0"/>
    <cacheHierarchy uniqueName="[PMTInstallDate].[HierPMTInstallDateYear]" caption="HierPMTInstallDateYear" defaultMemberUniqueName="[PMTInstallDate].[HierPMTInstallDateYear].[All]" allUniqueName="[PMTInstallDate].[HierPMTInstallDateYear].[All]" dimensionUniqueName="[PMTInstallDate]" displayFolder="" count="4" unbalanced="0"/>
    <cacheHierarchy uniqueName="[PMTInstallDate].[PMT Install Date]" caption="PMT Install Date" attribute="1" defaultMemberUniqueName="[PMTInstallDate].[PMT Install Date].[All]" allUniqueName="[PMTInstallDate].[PMT Install Date].[All]" dimensionUniqueName="[PMTInstallDate]" displayFolder="" count="0" unbalanced="0"/>
    <cacheHierarchy uniqueName="[PMTInstallDate].[PMT Install Day Of Year]" caption="PMT Install Day Of Year" attribute="1" defaultMemberUniqueName="[PMTInstallDate].[PMT Install Day Of Year].[All]" allUniqueName="[PMTInstallDate].[PMT Install Day Of Year].[All]" dimensionUniqueName="[PMTInstallDate]" displayFolder="" count="0" unbalanced="0"/>
    <cacheHierarchy uniqueName="[PMTInstallDate].[PMT Install DayOfMonth]" caption="PMT Install DayOfMonth" attribute="1" defaultMemberUniqueName="[PMTInstallDate].[PMT Install DayOfMonth].[All]" allUniqueName="[PMTInstallDate].[PMT Install DayOfMonth].[All]" dimensionUniqueName="[PMTInstallDate]" displayFolder="" count="0" unbalanced="0"/>
    <cacheHierarchy uniqueName="[PMTInstallDate].[PMT Install DayOfWeek]" caption="PMT Install DayOfWeek" attribute="1" defaultMemberUniqueName="[PMTInstallDate].[PMT Install DayOfWeek].[All]" allUniqueName="[PMTInstallDate].[PMT Install DayOfWeek].[All]" dimensionUniqueName="[PMTInstallDate]" displayFolder="" count="0" unbalanced="0"/>
    <cacheHierarchy uniqueName="[PMTInstallDate].[PMT Install DayOfWeekName]" caption="PMT Install DayOfWeekName" attribute="1" defaultMemberUniqueName="[PMTInstallDate].[PMT Install DayOfWeekName].[All]" allUniqueName="[PMTInstallDate].[PMT Install DayOfWeekName].[All]" dimensionUniqueName="[PMTInstallDate]" displayFolder="" count="0" unbalanced="0"/>
    <cacheHierarchy uniqueName="[PMTInstallDate].[PMT Install HolidayInd]" caption="PMT Install HolidayInd" attribute="1" defaultMemberUniqueName="[PMTInstallDate].[PMT Install HolidayInd].[All]" allUniqueName="[PMTInstallDate].[PMT Install HolidayInd].[All]" dimensionUniqueName="[PMTInstallDate]" displayFolder="" count="0" unbalanced="0"/>
    <cacheHierarchy uniqueName="[PMTInstallDate].[PMT Install HolidayName]" caption="PMT Install HolidayName" attribute="1" defaultMemberUniqueName="[PMTInstallDate].[PMT Install HolidayName].[All]" allUniqueName="[PMTInstallDate].[PMT Install HolidayName].[All]" dimensionUniqueName="[PMTInstallDate]" displayFolder="" count="0" unbalanced="0"/>
    <cacheHierarchy uniqueName="[PMTInstallDate].[PMT Install LastDateOfMonth]" caption="PMT Install LastDateOfMonth" attribute="1" defaultMemberUniqueName="[PMTInstallDate].[PMT Install LastDateOfMonth].[All]" allUniqueName="[PMTInstallDate].[PMT Install LastDateOfMonth].[All]" dimensionUniqueName="[PMTInstallDate]" displayFolder="" count="0" unbalanced="0"/>
    <cacheHierarchy uniqueName="[PMTInstallDate].[PMT Install LastDayOfMonthIndicator]" caption="PMT Install LastDayOfMonthIndicator" attribute="1" defaultMemberUniqueName="[PMTInstallDate].[PMT Install LastDayOfMonthIndicator].[All]" allUniqueName="[PMTInstallDate].[PMT Install LastDayOfMonthIndicator].[All]" dimensionUniqueName="[PMTInstallDate]" displayFolder="" count="0" unbalanced="0"/>
    <cacheHierarchy uniqueName="[PMTInstallDate].[PMT Install Month]" caption="PMT Install Month" attribute="1" defaultMemberUniqueName="[PMTInstallDate].[PMT Install Month].[All]" allUniqueName="[PMTInstallDate].[PMT Install Month].[All]" dimensionUniqueName="[PMTInstallDate]" displayFolder="" count="0" unbalanced="0"/>
    <cacheHierarchy uniqueName="[PMTInstallDate].[PMT Install MonthNbr]" caption="PMT Install MonthNbr" attribute="1" defaultMemberUniqueName="[PMTInstallDate].[PMT Install MonthNbr].[All]" allUniqueName="[PMTInstallDate].[PMT Install MonthNbr].[All]" dimensionUniqueName="[PMTInstallDate]" displayFolder="" count="0" unbalanced="0"/>
    <cacheHierarchy uniqueName="[PMTInstallDate].[PMT Install Plan Month and Year]" caption="PMT Install Plan Month and Year" attribute="1" defaultMemberUniqueName="[PMTInstallDate].[PMT Install Plan Month and Year].[All]" allUniqueName="[PMTInstallDate].[PMT Install Plan Month and Year].[All]" dimensionUniqueName="[PMTInstallDate]" displayFolder="" count="0" unbalanced="0"/>
    <cacheHierarchy uniqueName="[PMTInstallDate].[PMT Install Plan Month Number]" caption="PMT Install Plan Month Number" attribute="1" defaultMemberUniqueName="[PMTInstallDate].[PMT Install Plan Month Number].[All]" allUniqueName="[PMTInstallDate].[PMT Install Plan Month Number].[All]" dimensionUniqueName="[PMTInstallDate]" displayFolder="" count="0" unbalanced="0"/>
    <cacheHierarchy uniqueName="[PMTInstallDate].[PMT Install PQ]" caption="PMT Install PQ" attribute="1" defaultMemberUniqueName="[PMTInstallDate].[PMT Install PQ].[All]" allUniqueName="[PMTInstallDate].[PMT Install PQ].[All]" dimensionUniqueName="[PMTInstallDate]" displayFolder="" count="0" unbalanced="0"/>
    <cacheHierarchy uniqueName="[PMTInstallDate].[PMT Install PY]" caption="PMT Install PY" attribute="1" defaultMemberUniqueName="[PMTInstallDate].[PMT Install PY].[All]" allUniqueName="[PMTInstallDate].[PMT Install PY].[All]" dimensionUniqueName="[PMTInstallDate]" displayFolder="" count="0" unbalanced="0"/>
    <cacheHierarchy uniqueName="[PMTInstallDate].[PMT Install Qtr]" caption="PMT Install Qtr" attribute="1" defaultMemberUniqueName="[PMTInstallDate].[PMT Install Qtr].[All]" allUniqueName="[PMTInstallDate].[PMT Install Qtr].[All]" dimensionUniqueName="[PMTInstallDate]" displayFolder="" count="0" unbalanced="0"/>
    <cacheHierarchy uniqueName="[PMTInstallDate].[PMT Install Semester]" caption="PMT Install Semester" attribute="1" defaultMemberUniqueName="[PMTInstallDate].[PMT Install Semester].[All]" allUniqueName="[PMTInstallDate].[PMT Install Semester].[All]" dimensionUniqueName="[PMTInstallDate]" displayFolder="" count="0" unbalanced="0"/>
    <cacheHierarchy uniqueName="[PMTInstallDate].[PMT Install WeekdayWeekend]" caption="PMT Install WeekdayWeekend" attribute="1" defaultMemberUniqueName="[PMTInstallDate].[PMT Install WeekdayWeekend].[All]" allUniqueName="[PMTInstallDate].[PMT Install WeekdayWeekend].[All]" dimensionUniqueName="[PMTInstallDate]" displayFolder="" count="0" unbalanced="0"/>
    <cacheHierarchy uniqueName="[PMTInstallDate].[PMT Install WeekOfMonth]" caption="PMT Install WeekOfMonth" attribute="1" defaultMemberUniqueName="[PMTInstallDate].[PMT Install WeekOfMonth].[All]" allUniqueName="[PMTInstallDate].[PMT Install WeekOfMonth].[All]" dimensionUniqueName="[PMTInstallDate]" displayFolder="" count="0" unbalanced="0"/>
    <cacheHierarchy uniqueName="[PMTInstallDate].[PMT Install WeekOfYear]" caption="PMT Install WeekOfYear" attribute="1" defaultMemberUniqueName="[PMTInstallDate].[PMT Install WeekOfYear].[All]" allUniqueName="[PMTInstallDate].[PMT Install WeekOfYear].[All]" dimensionUniqueName="[PMTInstallDate]" displayFolder="" count="0" unbalanced="0"/>
    <cacheHierarchy uniqueName="[PMTInstallDate].[PMT Install WorkingDayInd]" caption="PMT Install WorkingDayInd" attribute="1" defaultMemberUniqueName="[PMTInstallDate].[PMT Install WorkingDayInd].[All]" allUniqueName="[PMTInstallDate].[PMT Install WorkingDayInd].[All]" dimensionUniqueName="[PMTInstallDate]" displayFolder="" count="0" unbalanced="0"/>
    <cacheHierarchy uniqueName="[PMTInstallDate].[PMT Install Year]" caption="PMT Install Year" attribute="1" defaultMemberUniqueName="[PMTInstallDate].[PMT Install Year].[All]" allUniqueName="[PMTInstallDate].[PMT Install Year].[All]" dimensionUniqueName="[PMTInstallDate]" displayFolder="" count="0" unbalanced="0"/>
    <cacheHierarchy uniqueName="[PMTInstallDate].[PMT Install YearMonthAsInteger]" caption="PMT Install YearMonthAsInteger" attribute="1" defaultMemberUniqueName="[PMTInstallDate].[PMT Install YearMonthAsInteger].[All]" allUniqueName="[PMTInstallDate].[PMT Install YearMonthAsInteger].[All]" dimensionUniqueName="[PMTInstallDate]" displayFolder="" count="0" unbalanced="0"/>
    <cacheHierarchy uniqueName="[PMTInstallDate].[PMT Install YearQuarterAsInteger]" caption="PMT Install YearQuarterAsInteger" attribute="1" defaultMemberUniqueName="[PMTInstallDate].[PMT Install YearQuarterAsInteger].[All]" allUniqueName="[PMTInstallDate].[PMT Install YearQuarterAsInteger].[All]" dimensionUniqueName="[PMTInstallDate]" displayFolder="" count="0" unbalanced="0"/>
    <cacheHierarchy uniqueName="[PMTInstallDate].[PMT Install YearSemesterAsInteger]" caption="PMT Install YearSemesterAsInteger" attribute="1" defaultMemberUniqueName="[PMTInstallDate].[PMT Install YearSemesterAsInteger].[All]" allUniqueName="[PMTInstallDate].[PMT Install YearSemesterAsInteger].[All]" dimensionUniqueName="[PMTInstallDate]" displayFolder="" count="0" unbalanced="0"/>
    <cacheHierarchy uniqueName="[PMTInvoiceDate].[HierPMTInvoiceDatePY]" caption="HierPMTInvoiceDatePY" defaultMemberUniqueName="[PMTInvoiceDate].[HierPMTInvoiceDatePY].[All]" allUniqueName="[PMTInvoiceDate].[HierPMTInvoiceDatePY].[All]" dimensionUniqueName="[PMTInvoiceDate]" displayFolder="" count="4" unbalanced="0"/>
    <cacheHierarchy uniqueName="[PMTInvoiceDate].[HierPMTInvoiceDateYear]" caption="HierPMTInvoiceDateYear" defaultMemberUniqueName="[PMTInvoiceDate].[HierPMTInvoiceDateYear].[All]" allUniqueName="[PMTInvoiceDate].[HierPMTInvoiceDateYear].[All]" dimensionUniqueName="[PMTInvoiceDate]" displayFolder="" count="4" unbalanced="0"/>
    <cacheHierarchy uniqueName="[PMTInvoiceDate].[PMT Invoice Date]" caption="PMT Invoice Date" attribute="1" defaultMemberUniqueName="[PMTInvoiceDate].[PMT Invoice Date].[All]" allUniqueName="[PMTInvoiceDate].[PMT Invoice Date].[All]" dimensionUniqueName="[PMTInvoiceDate]" displayFolder="" count="0" unbalanced="0"/>
    <cacheHierarchy uniqueName="[PMTInvoiceDate].[PMT Invoice DayOfMonth]" caption="PMT Invoice DayOfMonth" attribute="1" defaultMemberUniqueName="[PMTInvoiceDate].[PMT Invoice DayOfMonth].[All]" allUniqueName="[PMTInvoiceDate].[PMT Invoice DayOfMonth].[All]" dimensionUniqueName="[PMTInvoiceDate]" displayFolder="" count="0" unbalanced="0"/>
    <cacheHierarchy uniqueName="[PMTInvoiceDate].[PMT Invoice DayOfWeek]" caption="PMT Invoice DayOfWeek" attribute="1" defaultMemberUniqueName="[PMTInvoiceDate].[PMT Invoice DayOfWeek].[All]" allUniqueName="[PMTInvoiceDate].[PMT Invoice DayOfWeek].[All]" dimensionUniqueName="[PMTInvoiceDate]" displayFolder="" count="0" unbalanced="0"/>
    <cacheHierarchy uniqueName="[PMTInvoiceDate].[PMT Invoice DayOfWeekName]" caption="PMT Invoice DayOfWeekName" attribute="1" defaultMemberUniqueName="[PMTInvoiceDate].[PMT Invoice DayOfWeekName].[All]" allUniqueName="[PMTInvoiceDate].[PMT Invoice DayOfWeekName].[All]" dimensionUniqueName="[PMTInvoiceDate]" displayFolder="" count="0" unbalanced="0"/>
    <cacheHierarchy uniqueName="[PMTInvoiceDate].[PMT Invoice DayOfYear]" caption="PMT Invoice DayOfYear" attribute="1" defaultMemberUniqueName="[PMTInvoiceDate].[PMT Invoice DayOfYear].[All]" allUniqueName="[PMTInvoiceDate].[PMT Invoice DayOfYear].[All]" dimensionUniqueName="[PMTInvoiceDate]" displayFolder="" count="0" unbalanced="0"/>
    <cacheHierarchy uniqueName="[PMTInvoiceDate].[PMT Invoice HolidayInd]" caption="PMT Invoice HolidayInd" attribute="1" defaultMemberUniqueName="[PMTInvoiceDate].[PMT Invoice HolidayInd].[All]" allUniqueName="[PMTInvoiceDate].[PMT Invoice HolidayInd].[All]" dimensionUniqueName="[PMTInvoiceDate]" displayFolder="" count="0" unbalanced="0"/>
    <cacheHierarchy uniqueName="[PMTInvoiceDate].[PMT Invoice HolidayName]" caption="PMT Invoice HolidayName" attribute="1" defaultMemberUniqueName="[PMTInvoiceDate].[PMT Invoice HolidayName].[All]" allUniqueName="[PMTInvoiceDate].[PMT Invoice HolidayName].[All]" dimensionUniqueName="[PMTInvoiceDate]" displayFolder="" count="0" unbalanced="0"/>
    <cacheHierarchy uniqueName="[PMTInvoiceDate].[PMT Invoice LastDateOfMonth]" caption="PMT Invoice LastDateOfMonth" attribute="1" defaultMemberUniqueName="[PMTInvoiceDate].[PMT Invoice LastDateOfMonth].[All]" allUniqueName="[PMTInvoiceDate].[PMT Invoice LastDateOfMonth].[All]" dimensionUniqueName="[PMTInvoiceDate]" displayFolder="" count="0" unbalanced="0"/>
    <cacheHierarchy uniqueName="[PMTInvoiceDate].[PMT Invoice LastDayOfMonthIndicator]" caption="PMT Invoice LastDayOfMonthIndicator" attribute="1" defaultMemberUniqueName="[PMTInvoiceDate].[PMT Invoice LastDayOfMonthIndicator].[All]" allUniqueName="[PMTInvoiceDate].[PMT Invoice LastDayOfMonthIndicator].[All]" dimensionUniqueName="[PMTInvoiceDate]" displayFolder="" count="0" unbalanced="0"/>
    <cacheHierarchy uniqueName="[PMTInvoiceDate].[PMT Invoice Month]" caption="PMT Invoice Month" attribute="1" defaultMemberUniqueName="[PMTInvoiceDate].[PMT Invoice Month].[All]" allUniqueName="[PMTInvoiceDate].[PMT Invoice Month].[All]" dimensionUniqueName="[PMTInvoiceDate]" displayFolder="" count="0" unbalanced="0"/>
    <cacheHierarchy uniqueName="[PMTInvoiceDate].[PMT Invoice MonthNbr]" caption="PMT Invoice MonthNbr" attribute="1" defaultMemberUniqueName="[PMTInvoiceDate].[PMT Invoice MonthNbr].[All]" allUniqueName="[PMTInvoiceDate].[PMT Invoice MonthNbr].[All]" dimensionUniqueName="[PMTInvoiceDate]" displayFolder="" count="0" unbalanced="0"/>
    <cacheHierarchy uniqueName="[PMTInvoiceDate].[PMT Invoice Plan Month and Year]" caption="PMT Invoice Plan Month and Year" attribute="1" defaultMemberUniqueName="[PMTInvoiceDate].[PMT Invoice Plan Month and Year].[All]" allUniqueName="[PMTInvoiceDate].[PMT Invoice Plan Month and Year].[All]" dimensionUniqueName="[PMTInvoiceDate]" displayFolder="" count="0" unbalanced="0"/>
    <cacheHierarchy uniqueName="[PMTInvoiceDate].[PMT Invoice Plan Month Number]" caption="PMT Invoice Plan Month Number" attribute="1" defaultMemberUniqueName="[PMTInvoiceDate].[PMT Invoice Plan Month Number].[All]" allUniqueName="[PMTInvoiceDate].[PMT Invoice Plan Month Number].[All]" dimensionUniqueName="[PMTInvoiceDate]" displayFolder="" count="0" unbalanced="0"/>
    <cacheHierarchy uniqueName="[PMTInvoiceDate].[PMT Invoice Plan Quarter Number]" caption="PMT Invoice Plan Quarter Number" attribute="1" defaultMemberUniqueName="[PMTInvoiceDate].[PMT Invoice Plan Quarter Number].[All]" allUniqueName="[PMTInvoiceDate].[PMT Invoice Plan Quarter Number].[All]" dimensionUniqueName="[PMTInvoiceDate]" displayFolder="" count="0" unbalanced="0"/>
    <cacheHierarchy uniqueName="[PMTInvoiceDate].[PMT Invoice PY]" caption="PMT Invoice PY" attribute="1" defaultMemberUniqueName="[PMTInvoiceDate].[PMT Invoice PY].[All]" allUniqueName="[PMTInvoiceDate].[PMT Invoice PY].[All]" dimensionUniqueName="[PMTInvoiceDate]" displayFolder="" count="0" unbalanced="0"/>
    <cacheHierarchy uniqueName="[PMTInvoiceDate].[PMT Invoice Qtr]" caption="PMT Invoice Qtr" attribute="1" defaultMemberUniqueName="[PMTInvoiceDate].[PMT Invoice Qtr].[All]" allUniqueName="[PMTInvoiceDate].[PMT Invoice Qtr].[All]" dimensionUniqueName="[PMTInvoiceDate]" displayFolder="" count="0" unbalanced="0"/>
    <cacheHierarchy uniqueName="[PMTInvoiceDate].[PMT Invoice Semester]" caption="PMT Invoice Semester" attribute="1" defaultMemberUniqueName="[PMTInvoiceDate].[PMT Invoice Semester].[All]" allUniqueName="[PMTInvoiceDate].[PMT Invoice Semester].[All]" dimensionUniqueName="[PMTInvoiceDate]" displayFolder="" count="0" unbalanced="0"/>
    <cacheHierarchy uniqueName="[PMTInvoiceDate].[PMT Invoice WeekdayWeekend]" caption="PMT Invoice WeekdayWeekend" attribute="1" defaultMemberUniqueName="[PMTInvoiceDate].[PMT Invoice WeekdayWeekend].[All]" allUniqueName="[PMTInvoiceDate].[PMT Invoice WeekdayWeekend].[All]" dimensionUniqueName="[PMTInvoiceDate]" displayFolder="" count="0" unbalanced="0"/>
    <cacheHierarchy uniqueName="[PMTInvoiceDate].[PMT Invoice WeekOfMonth]" caption="PMT Invoice WeekOfMonth" attribute="1" defaultMemberUniqueName="[PMTInvoiceDate].[PMT Invoice WeekOfMonth].[All]" allUniqueName="[PMTInvoiceDate].[PMT Invoice WeekOfMonth].[All]" dimensionUniqueName="[PMTInvoiceDate]" displayFolder="" count="0" unbalanced="0"/>
    <cacheHierarchy uniqueName="[PMTInvoiceDate].[PMT Invoice WeekOfYear]" caption="PMT Invoice WeekOfYear" attribute="1" defaultMemberUniqueName="[PMTInvoiceDate].[PMT Invoice WeekOfYear].[All]" allUniqueName="[PMTInvoiceDate].[PMT Invoice WeekOfYear].[All]" dimensionUniqueName="[PMTInvoiceDate]" displayFolder="" count="0" unbalanced="0"/>
    <cacheHierarchy uniqueName="[PMTInvoiceDate].[PMT Invoice WorkingDayInd]" caption="PMT Invoice WorkingDayInd" attribute="1" defaultMemberUniqueName="[PMTInvoiceDate].[PMT Invoice WorkingDayInd].[All]" allUniqueName="[PMTInvoiceDate].[PMT Invoice WorkingDayInd].[All]" dimensionUniqueName="[PMTInvoiceDate]" displayFolder="" count="0" unbalanced="0"/>
    <cacheHierarchy uniqueName="[PMTInvoiceDate].[PMT Invoice Year]" caption="PMT Invoice Year" attribute="1" defaultMemberUniqueName="[PMTInvoiceDate].[PMT Invoice Year].[All]" allUniqueName="[PMTInvoiceDate].[PMT Invoice Year].[All]" dimensionUniqueName="[PMTInvoiceDate]" displayFolder="" count="0" unbalanced="0"/>
    <cacheHierarchy uniqueName="[PMTInvoiceDate].[PMT Invoice YearMonthAsInteger]" caption="PMT Invoice YearMonthAsInteger" attribute="1" defaultMemberUniqueName="[PMTInvoiceDate].[PMT Invoice YearMonthAsInteger].[All]" allUniqueName="[PMTInvoiceDate].[PMT Invoice YearMonthAsInteger].[All]" dimensionUniqueName="[PMTInvoiceDate]" displayFolder="" count="0" unbalanced="0"/>
    <cacheHierarchy uniqueName="[PMTInvoiceDate].[PMT Invoice YearQuarterAsInteger]" caption="PMT Invoice YearQuarterAsInteger" attribute="1" defaultMemberUniqueName="[PMTInvoiceDate].[PMT Invoice YearQuarterAsInteger].[All]" allUniqueName="[PMTInvoiceDate].[PMT Invoice YearQuarterAsInteger].[All]" dimensionUniqueName="[PMTInvoiceDate]" displayFolder="" count="0" unbalanced="0"/>
    <cacheHierarchy uniqueName="[PMTInvoiceDate].[PMT Invoice YearSemesterAsInteger]" caption="PMT Invoice YearSemesterAsInteger" attribute="1" defaultMemberUniqueName="[PMTInvoiceDate].[PMT Invoice YearSemesterAsInteger].[All]" allUniqueName="[PMTInvoiceDate].[PMT Invoice YearSemesterAsInteger].[All]" dimensionUniqueName="[PMTInvoiceDate]" displayFolder="" count="0" unbalanced="0"/>
    <cacheHierarchy uniqueName="[PMTProject_Contact_Contact].[PMT Contact  Bday Date]" caption="PMT Contact  Bday Date" attribute="1" defaultMemberUniqueName="[PMTProject_Contact_Contact].[PMT Contact  Bday Date].[All]" allUniqueName="[PMTProject_Contact_Contact].[PMT Contact  Bday Date].[All]" dimensionUniqueName="[PMTProject_Contact_Contact]" displayFolder="" count="0" unbalanced="0"/>
    <cacheHierarchy uniqueName="[PMTProject_Contact_Contact].[PMT Contact A44 Contact Indicator]" caption="PMT Contact A44 Contact Indicator" attribute="1" defaultMemberUniqueName="[PMTProject_Contact_Contact].[PMT Contact A44 Contact Indicator].[All]" allUniqueName="[PMTProject_Contact_Contact].[PMT Contact A44 Contact Indicator].[All]" dimensionUniqueName="[PMTProject_Contact_Contact]" displayFolder="" count="0" unbalanced="0"/>
    <cacheHierarchy uniqueName="[PMTProject_Contact_Contact].[PMT Contact Address1]" caption="PMT Contact Address1" attribute="1" defaultMemberUniqueName="[PMTProject_Contact_Contact].[PMT Contact Address1].[All]" allUniqueName="[PMTProject_Contact_Contact].[PMT Contact Address1].[All]" dimensionUniqueName="[PMTProject_Contact_Contact]" displayFolder="" count="0" unbalanced="0"/>
    <cacheHierarchy uniqueName="[PMTProject_Contact_Contact].[PMT Contact Address2]" caption="PMT Contact Address2" attribute="1" defaultMemberUniqueName="[PMTProject_Contact_Contact].[PMT Contact Address2].[All]" allUniqueName="[PMTProject_Contact_Contact].[PMT Contact Address2].[All]" dimensionUniqueName="[PMTProject_Contact_Contact]" displayFolder="" count="0" unbalanced="0"/>
    <cacheHierarchy uniqueName="[PMTProject_Contact_Contact].[PMT Contact Cell Phone Number]" caption="PMT Contact Cell Phone Number" attribute="1" defaultMemberUniqueName="[PMTProject_Contact_Contact].[PMT Contact Cell Phone Number].[All]" allUniqueName="[PMTProject_Contact_Contact].[PMT Contact Cell Phone Number].[All]" dimensionUniqueName="[PMTProject_Contact_Contact]" displayFolder="" count="0" unbalanced="0"/>
    <cacheHierarchy uniqueName="[PMTProject_Contact_Contact].[PMT Contact City Name]" caption="PMT Contact City Name" attribute="1" defaultMemberUniqueName="[PMTProject_Contact_Contact].[PMT Contact City Name].[All]" allUniqueName="[PMTProject_Contact_Contact].[PMT Contact City Name].[All]" dimensionUniqueName="[PMTProject_Contact_Contact]" displayFolder="" count="0" unbalanced="0"/>
    <cacheHierarchy uniqueName="[PMTProject_Contact_Contact].[PMT Contact Company Code]" caption="PMT Contact Company Code" attribute="1" defaultMemberUniqueName="[PMTProject_Contact_Contact].[PMT Contact Company Code].[All]" allUniqueName="[PMTProject_Contact_Contact].[PMT Contact Company Code].[All]" dimensionUniqueName="[PMTProject_Contact_Contact]" displayFolder="" count="0" unbalanced="0"/>
    <cacheHierarchy uniqueName="[PMTProject_Contact_Contact].[PMT Contact Company Description]" caption="PMT Contact Company Description" attribute="1" defaultMemberUniqueName="[PMTProject_Contact_Contact].[PMT Contact Company Description].[All]" allUniqueName="[PMTProject_Contact_Contact].[PMT Contact Company Description].[All]" dimensionUniqueName="[PMTProject_Contact_Contact]" displayFolder="" count="0" unbalanced="0"/>
    <cacheHierarchy uniqueName="[PMTProject_Contact_Contact].[PMT Contact Contact LastService Wk Date]" caption="PMT Contact Contact LastService Wk Date" attribute="1" defaultMemberUniqueName="[PMTProject_Contact_Contact].[PMT Contact Contact LastService Wk Date].[All]" allUniqueName="[PMTProject_Contact_Contact].[PMT Contact Contact LastService Wk Date].[All]" dimensionUniqueName="[PMTProject_Contact_Contact]" displayFolder="" count="0" unbalanced="0"/>
    <cacheHierarchy uniqueName="[PMTProject_Contact_Contact].[PMT Contact Do Not Email Indicator]" caption="PMT Contact Do Not Email Indicator" attribute="1" defaultMemberUniqueName="[PMTProject_Contact_Contact].[PMT Contact Do Not Email Indicator].[All]" allUniqueName="[PMTProject_Contact_Contact].[PMT Contact Do Not Email Indicator].[All]" dimensionUniqueName="[PMTProject_Contact_Contact]" displayFolder="" count="0" unbalanced="0"/>
    <cacheHierarchy uniqueName="[PMTProject_Contact_Contact].[PMT Contact Do Not Mail Indicator]" caption="PMT Contact Do Not Mail Indicator" attribute="1" defaultMemberUniqueName="[PMTProject_Contact_Contact].[PMT Contact Do Not Mail Indicator].[All]" allUniqueName="[PMTProject_Contact_Contact].[PMT Contact Do Not Mail Indicator].[All]" dimensionUniqueName="[PMTProject_Contact_Contact]" displayFolder="" count="0" unbalanced="0"/>
    <cacheHierarchy uniqueName="[PMTProject_Contact_Contact].[PMT Contact Email Address]" caption="PMT Contact Email Address" attribute="1" defaultMemberUniqueName="[PMTProject_Contact_Contact].[PMT Contact Email Address].[All]" allUniqueName="[PMTProject_Contact_Contact].[PMT Contact Email Address].[All]" dimensionUniqueName="[PMTProject_Contact_Contact]" displayFolder="" count="0" unbalanced="0"/>
    <cacheHierarchy uniqueName="[PMTProject_Contact_Contact].[PMT Contact Email OptOut Code]" caption="PMT Contact Email OptOut Code" attribute="1" defaultMemberUniqueName="[PMTProject_Contact_Contact].[PMT Contact Email OptOut Code].[All]" allUniqueName="[PMTProject_Contact_Contact].[PMT Contact Email OptOut Code].[All]" dimensionUniqueName="[PMTProject_Contact_Contact]" displayFolder="" count="0" unbalanced="0"/>
    <cacheHierarchy uniqueName="[PMTProject_Contact_Contact].[PMT Contact Email OptOut Description]" caption="PMT Contact Email OptOut Description" attribute="1" defaultMemberUniqueName="[PMTProject_Contact_Contact].[PMT Contact Email OptOut Description].[All]" allUniqueName="[PMTProject_Contact_Contact].[PMT Contact Email OptOut Description].[All]" dimensionUniqueName="[PMTProject_Contact_Contact]" displayFolder="" count="0" unbalanced="0"/>
    <cacheHierarchy uniqueName="[PMTProject_Contact_Contact].[PMT Contact FAX Number]" caption="PMT Contact FAX Number" attribute="1" defaultMemberUniqueName="[PMTProject_Contact_Contact].[PMT Contact FAX Number].[All]" allUniqueName="[PMTProject_Contact_Contact].[PMT Contact FAX Number].[All]" dimensionUniqueName="[PMTProject_Contact_Contact]" displayFolder="" count="0" unbalanced="0"/>
    <cacheHierarchy uniqueName="[PMTProject_Contact_Contact].[PMT Contact Home Phone Number]" caption="PMT Contact Home Phone Number" attribute="1" defaultMemberUniqueName="[PMTProject_Contact_Contact].[PMT Contact Home Phone Number].[All]" allUniqueName="[PMTProject_Contact_Contact].[PMT Contact Home Phone Number].[All]" dimensionUniqueName="[PMTProject_Contact_Contact]" displayFolder="" count="0" unbalanced="0"/>
    <cacheHierarchy uniqueName="[PMTProject_Contact_Contact].[PMT Contact Invalid Email Code]" caption="PMT Contact Invalid Email Code" attribute="1" defaultMemberUniqueName="[PMTProject_Contact_Contact].[PMT Contact Invalid Email Code].[All]" allUniqueName="[PMTProject_Contact_Contact].[PMT Contact Invalid Email Code].[All]" dimensionUniqueName="[PMTProject_Contact_Contact]" displayFolder="" count="0" unbalanced="0"/>
    <cacheHierarchy uniqueName="[PMTProject_Contact_Contact].[PMT Contact Other Phone Number]" caption="PMT Contact Other Phone Number" attribute="1" defaultMemberUniqueName="[PMTProject_Contact_Contact].[PMT Contact Other Phone Number].[All]" allUniqueName="[PMTProject_Contact_Contact].[PMT Contact Other Phone Number].[All]" dimensionUniqueName="[PMTProject_Contact_Contact]" displayFolder="" count="0" unbalanced="0"/>
    <cacheHierarchy uniqueName="[PMTProject_Contact_Contact].[PMT Contact Person Or Business Code]" caption="PMT Contact Person Or Business Code" attribute="1" defaultMemberUniqueName="[PMTProject_Contact_Contact].[PMT Contact Person Or Business Code].[All]" allUniqueName="[PMTProject_Contact_Contact].[PMT Contact Person Or Business Code].[All]" dimensionUniqueName="[PMTProject_Contact_Contact]" displayFolder="" count="0" unbalanced="0"/>
    <cacheHierarchy uniqueName="[PMTProject_Contact_Contact].[PMT Contact Person Or Business First Name]" caption="PMT Contact Person Or Business First Name" attribute="1" defaultMemberUniqueName="[PMTProject_Contact_Contact].[PMT Contact Person Or Business First Name].[All]" allUniqueName="[PMTProject_Contact_Contact].[PMT Contact Person Or Business First Name].[All]" dimensionUniqueName="[PMTProject_Contact_Contact]" displayFolder="" count="0" unbalanced="0"/>
    <cacheHierarchy uniqueName="[PMTProject_Contact_Contact].[PMT Contact Person Or Business Last Name]" caption="PMT Contact Person Or Business Last Name" attribute="1" defaultMemberUniqueName="[PMTProject_Contact_Contact].[PMT Contact Person Or Business Last Name].[All]" allUniqueName="[PMTProject_Contact_Contact].[PMT Contact Person Or Business Last Name].[All]" dimensionUniqueName="[PMTProject_Contact_Contact]" displayFolder="" count="0" unbalanced="0"/>
    <cacheHierarchy uniqueName="[PMTProject_Contact_Contact].[PMT Contact PersonID]" caption="PMT Contact PersonID" attribute="1" defaultMemberUniqueName="[PMTProject_Contact_Contact].[PMT Contact PersonID].[All]" allUniqueName="[PMTProject_Contact_Contact].[PMT Contact PersonID].[All]" dimensionUniqueName="[PMTProject_Contact_Contact]" displayFolder="" count="0" unbalanced="0"/>
    <cacheHierarchy uniqueName="[PMTProject_Contact_Contact].[PMT Contact Position Code]" caption="PMT Contact Position Code" attribute="1" defaultMemberUniqueName="[PMTProject_Contact_Contact].[PMT Contact Position Code].[All]" allUniqueName="[PMTProject_Contact_Contact].[PMT Contact Position Code].[All]" dimensionUniqueName="[PMTProject_Contact_Contact]" displayFolder="" count="0" unbalanced="0"/>
    <cacheHierarchy uniqueName="[PMTProject_Contact_Contact].[PMT Contact Position Description]" caption="PMT Contact Position Description" attribute="1" defaultMemberUniqueName="[PMTProject_Contact_Contact].[PMT Contact Position Description].[All]" allUniqueName="[PMTProject_Contact_Contact].[PMT Contact Position Description].[All]" dimensionUniqueName="[PMTProject_Contact_Contact]" displayFolder="" count="0" unbalanced="0"/>
    <cacheHierarchy uniqueName="[PMTProject_Contact_Contact].[PMT Contact Postal Code]" caption="PMT Contact Postal Code" attribute="1" defaultMemberUniqueName="[PMTProject_Contact_Contact].[PMT Contact Postal Code].[All]" allUniqueName="[PMTProject_Contact_Contact].[PMT Contact Postal Code].[All]" dimensionUniqueName="[PMTProject_Contact_Contact]" displayFolder="" count="0" unbalanced="0"/>
    <cacheHierarchy uniqueName="[PMTProject_Contact_Contact].[PMT Contact Priority Code]" caption="PMT Contact Priority Code" attribute="1" defaultMemberUniqueName="[PMTProject_Contact_Contact].[PMT Contact Priority Code].[All]" allUniqueName="[PMTProject_Contact_Contact].[PMT Contact Priority Code].[All]" dimensionUniqueName="[PMTProject_Contact_Contact]" displayFolder="" count="0" unbalanced="0"/>
    <cacheHierarchy uniqueName="[PMTProject_Contact_Contact].[PMT Contact Priority Description]" caption="PMT Contact Priority Description" attribute="1" defaultMemberUniqueName="[PMTProject_Contact_Contact].[PMT Contact Priority Description].[All]" allUniqueName="[PMTProject_Contact_Contact].[PMT Contact Priority Description].[All]" dimensionUniqueName="[PMTProject_Contact_Contact]" displayFolder="" count="0" unbalanced="0"/>
    <cacheHierarchy uniqueName="[PMTProject_Contact_Contact].[PMT Contact Referred By]" caption="PMT Contact Referred By" attribute="1" defaultMemberUniqueName="[PMTProject_Contact_Contact].[PMT Contact Referred By].[All]" allUniqueName="[PMTProject_Contact_Contact].[PMT Contact Referred By].[All]" dimensionUniqueName="[PMTProject_Contact_Contact]" displayFolder="" count="0" unbalanced="0"/>
    <cacheHierarchy uniqueName="[PMTProject_Contact_Contact].[PMT Contact Salesforce MOC ContactID]" caption="PMT Contact Salesforce MOC ContactID" attribute="1" defaultMemberUniqueName="[PMTProject_Contact_Contact].[PMT Contact Salesforce MOC ContactID].[All]" allUniqueName="[PMTProject_Contact_Contact].[PMT Contact Salesforce MOC ContactID].[All]" dimensionUniqueName="[PMTProject_Contact_Contact]" displayFolder="" count="0" unbalanced="0"/>
    <cacheHierarchy uniqueName="[PMTProject_Contact_Contact].[PMT Contact Source System]" caption="PMT Contact Source System" attribute="1" defaultMemberUniqueName="[PMTProject_Contact_Contact].[PMT Contact Source System].[All]" allUniqueName="[PMTProject_Contact_Contact].[PMT Contact Source System].[All]" dimensionUniqueName="[PMTProject_Contact_Contact]" displayFolder="" count="0" unbalanced="0"/>
    <cacheHierarchy uniqueName="[PMTProject_Contact_Contact].[PMT Contact State Code]" caption="PMT Contact State Code" attribute="1" defaultMemberUniqueName="[PMTProject_Contact_Contact].[PMT Contact State Code].[All]" allUniqueName="[PMTProject_Contact_Contact].[PMT Contact State Code].[All]" dimensionUniqueName="[PMTProject_Contact_Contact]" displayFolder="" count="0" unbalanced="0"/>
    <cacheHierarchy uniqueName="[PMTProject_Contact_Contact].[PMT Contact Title]" caption="PMT Contact Title" attribute="1" defaultMemberUniqueName="[PMTProject_Contact_Contact].[PMT Contact Title].[All]" allUniqueName="[PMTProject_Contact_Contact].[PMT Contact Title].[All]" dimensionUniqueName="[PMTProject_Contact_Contact]" displayFolder="" count="0" unbalanced="0"/>
    <cacheHierarchy uniqueName="[PMTProject_Contact_Contact].[PMT Contact Type Code]" caption="PMT Contact Type Code" attribute="1" defaultMemberUniqueName="[PMTProject_Contact_Contact].[PMT Contact Type Code].[All]" allUniqueName="[PMTProject_Contact_Contact].[PMT Contact Type Code].[All]" dimensionUniqueName="[PMTProject_Contact_Contact]" displayFolder="" count="0" unbalanced="0"/>
    <cacheHierarchy uniqueName="[PMTProject_Contact_Contact].[PMT Contact Type Description]" caption="PMT Contact Type Description" attribute="1" defaultMemberUniqueName="[PMTProject_Contact_Contact].[PMT Contact Type Description].[All]" allUniqueName="[PMTProject_Contact_Contact].[PMT Contact Type Description].[All]" dimensionUniqueName="[PMTProject_Contact_Contact]" displayFolder="" count="0" unbalanced="0"/>
    <cacheHierarchy uniqueName="[PMTProject_Contact_Contact].[PMT Contact Unique Business Key]" caption="PMT Contact Unique Business Key" attribute="1" defaultMemberUniqueName="[PMTProject_Contact_Contact].[PMT Contact Unique Business Key].[All]" allUniqueName="[PMTProject_Contact_Contact].[PMT Contact Unique Business Key].[All]" dimensionUniqueName="[PMTProject_Contact_Contact]" displayFolder="" count="0" unbalanced="0"/>
    <cacheHierarchy uniqueName="[PMTProject_Contact_Contact].[PMT Contact Unique Contact Key]" caption="PMT Contact Unique Contact Key" attribute="1" defaultMemberUniqueName="[PMTProject_Contact_Contact].[PMT Contact Unique Contact Key].[All]" allUniqueName="[PMTProject_Contact_Contact].[PMT Contact Unique Contact Key].[All]" dimensionUniqueName="[PMTProject_Contact_Contact]" displayFolder="" count="0" unbalanced="0"/>
    <cacheHierarchy uniqueName="[PMTProject_Contact_Contact].[PMT Contact Work Phone Extension]" caption="PMT Contact Work Phone Extension" attribute="1" defaultMemberUniqueName="[PMTProject_Contact_Contact].[PMT Contact Work Phone Extension].[All]" allUniqueName="[PMTProject_Contact_Contact].[PMT Contact Work Phone Extension].[All]" dimensionUniqueName="[PMTProject_Contact_Contact]" displayFolder="" count="0" unbalanced="0"/>
    <cacheHierarchy uniqueName="[PMTProject_Contact_Contact].[PMT Contact Work Phone Number]" caption="PMT Contact Work Phone Number" attribute="1" defaultMemberUniqueName="[PMTProject_Contact_Contact].[PMT Contact Work Phone Number].[All]" allUniqueName="[PMTProject_Contact_Contact].[PMT Contact Work Phone Number].[All]" dimensionUniqueName="[PMTProject_Contact_Contact]" displayFolder="" count="0" unbalanced="0"/>
    <cacheHierarchy uniqueName="[PMTProject_Contact_Customer].[PMT Customer  Bday Date]" caption="PMT Customer  Bday Date" attribute="1" defaultMemberUniqueName="[PMTProject_Contact_Customer].[PMT Customer  Bday Date].[All]" allUniqueName="[PMTProject_Contact_Customer].[PMT Customer  Bday Date].[All]" dimensionUniqueName="[PMTProject_Contact_Customer]" displayFolder="" count="0" unbalanced="0"/>
    <cacheHierarchy uniqueName="[PMTProject_Contact_Customer].[PMT Customer A44 Contact Indicator]" caption="PMT Customer A44 Contact Indicator" attribute="1" defaultMemberUniqueName="[PMTProject_Contact_Customer].[PMT Customer A44 Contact Indicator].[All]" allUniqueName="[PMTProject_Contact_Customer].[PMT Customer A44 Contact Indicator].[All]" dimensionUniqueName="[PMTProject_Contact_Customer]" displayFolder="" count="0" unbalanced="0"/>
    <cacheHierarchy uniqueName="[PMTProject_Contact_Customer].[PMT Customer Address1]" caption="PMT Customer Address1" attribute="1" defaultMemberUniqueName="[PMTProject_Contact_Customer].[PMT Customer Address1].[All]" allUniqueName="[PMTProject_Contact_Customer].[PMT Customer Address1].[All]" dimensionUniqueName="[PMTProject_Contact_Customer]" displayFolder="" count="0" unbalanced="0"/>
    <cacheHierarchy uniqueName="[PMTProject_Contact_Customer].[PMT Customer Address2]" caption="PMT Customer Address2" attribute="1" defaultMemberUniqueName="[PMTProject_Contact_Customer].[PMT Customer Address2].[All]" allUniqueName="[PMTProject_Contact_Customer].[PMT Customer Address2].[All]" dimensionUniqueName="[PMTProject_Contact_Customer]" displayFolder="" count="0" unbalanced="0"/>
    <cacheHierarchy uniqueName="[PMTProject_Contact_Customer].[PMT Customer Cell Phone Number]" caption="PMT Customer Cell Phone Number" attribute="1" defaultMemberUniqueName="[PMTProject_Contact_Customer].[PMT Customer Cell Phone Number].[All]" allUniqueName="[PMTProject_Contact_Customer].[PMT Customer Cell Phone Number].[All]" dimensionUniqueName="[PMTProject_Contact_Customer]" displayFolder="" count="0" unbalanced="0"/>
    <cacheHierarchy uniqueName="[PMTProject_Contact_Customer].[PMT Customer City Name]" caption="PMT Customer City Name" attribute="1" defaultMemberUniqueName="[PMTProject_Contact_Customer].[PMT Customer City Name].[All]" allUniqueName="[PMTProject_Contact_Customer].[PMT Customer City Name].[All]" dimensionUniqueName="[PMTProject_Contact_Customer]" displayFolder="" count="0" unbalanced="0"/>
    <cacheHierarchy uniqueName="[PMTProject_Contact_Customer].[PMT Customer Company Code]" caption="PMT Customer Company Code" attribute="1" defaultMemberUniqueName="[PMTProject_Contact_Customer].[PMT Customer Company Code].[All]" allUniqueName="[PMTProject_Contact_Customer].[PMT Customer Company Code].[All]" dimensionUniqueName="[PMTProject_Contact_Customer]" displayFolder="" count="0" unbalanced="0"/>
    <cacheHierarchy uniqueName="[PMTProject_Contact_Customer].[PMT Customer Company Description]" caption="PMT Customer Company Description" attribute="1" defaultMemberUniqueName="[PMTProject_Contact_Customer].[PMT Customer Company Description].[All]" allUniqueName="[PMTProject_Contact_Customer].[PMT Customer Company Description].[All]" dimensionUniqueName="[PMTProject_Contact_Customer]" displayFolder="" count="0" unbalanced="0"/>
    <cacheHierarchy uniqueName="[PMTProject_Contact_Customer].[PMT Customer Contact LastService Wk Date]" caption="PMT Customer Contact LastService Wk Date" attribute="1" defaultMemberUniqueName="[PMTProject_Contact_Customer].[PMT Customer Contact LastService Wk Date].[All]" allUniqueName="[PMTProject_Contact_Customer].[PMT Customer Contact LastService Wk Date].[All]" dimensionUniqueName="[PMTProject_Contact_Customer]" displayFolder="" count="0" unbalanced="0"/>
    <cacheHierarchy uniqueName="[PMTProject_Contact_Customer].[PMT Customer Do Not Email Indicator]" caption="PMT Customer Do Not Email Indicator" attribute="1" defaultMemberUniqueName="[PMTProject_Contact_Customer].[PMT Customer Do Not Email Indicator].[All]" allUniqueName="[PMTProject_Contact_Customer].[PMT Customer Do Not Email Indicator].[All]" dimensionUniqueName="[PMTProject_Contact_Customer]" displayFolder="" count="0" unbalanced="0"/>
    <cacheHierarchy uniqueName="[PMTProject_Contact_Customer].[PMT Customer Do Not Mail Indicator]" caption="PMT Customer Do Not Mail Indicator" attribute="1" defaultMemberUniqueName="[PMTProject_Contact_Customer].[PMT Customer Do Not Mail Indicator].[All]" allUniqueName="[PMTProject_Contact_Customer].[PMT Customer Do Not Mail Indicator].[All]" dimensionUniqueName="[PMTProject_Contact_Customer]" displayFolder="" count="0" unbalanced="0"/>
    <cacheHierarchy uniqueName="[PMTProject_Contact_Customer].[PMT Customer Email Address]" caption="PMT Customer Email Address" attribute="1" defaultMemberUniqueName="[PMTProject_Contact_Customer].[PMT Customer Email Address].[All]" allUniqueName="[PMTProject_Contact_Customer].[PMT Customer Email Address].[All]" dimensionUniqueName="[PMTProject_Contact_Customer]" displayFolder="" count="0" unbalanced="0"/>
    <cacheHierarchy uniqueName="[PMTProject_Contact_Customer].[PMT Customer Email OptOut Code]" caption="PMT Customer Email OptOut Code" attribute="1" defaultMemberUniqueName="[PMTProject_Contact_Customer].[PMT Customer Email OptOut Code].[All]" allUniqueName="[PMTProject_Contact_Customer].[PMT Customer Email OptOut Code].[All]" dimensionUniqueName="[PMTProject_Contact_Customer]" displayFolder="" count="0" unbalanced="0"/>
    <cacheHierarchy uniqueName="[PMTProject_Contact_Customer].[PMT Customer Email OptOut Description]" caption="PMT Customer Email OptOut Description" attribute="1" defaultMemberUniqueName="[PMTProject_Contact_Customer].[PMT Customer Email OptOut Description].[All]" allUniqueName="[PMTProject_Contact_Customer].[PMT Customer Email OptOut Description].[All]" dimensionUniqueName="[PMTProject_Contact_Customer]" displayFolder="" count="0" unbalanced="0"/>
    <cacheHierarchy uniqueName="[PMTProject_Contact_Customer].[PMT Customer FAX Number]" caption="PMT Customer FAX Number" attribute="1" defaultMemberUniqueName="[PMTProject_Contact_Customer].[PMT Customer FAX Number].[All]" allUniqueName="[PMTProject_Contact_Customer].[PMT Customer FAX Number].[All]" dimensionUniqueName="[PMTProject_Contact_Customer]" displayFolder="" count="0" unbalanced="0"/>
    <cacheHierarchy uniqueName="[PMTProject_Contact_Customer].[PMT Customer Home Phone Number]" caption="PMT Customer Home Phone Number" attribute="1" defaultMemberUniqueName="[PMTProject_Contact_Customer].[PMT Customer Home Phone Number].[All]" allUniqueName="[PMTProject_Contact_Customer].[PMT Customer Home Phone Number].[All]" dimensionUniqueName="[PMTProject_Contact_Customer]" displayFolder="" count="0" unbalanced="0"/>
    <cacheHierarchy uniqueName="[PMTProject_Contact_Customer].[PMT Customer Invalid Email Code]" caption="PMT Customer Invalid Email Code" attribute="1" defaultMemberUniqueName="[PMTProject_Contact_Customer].[PMT Customer Invalid Email Code].[All]" allUniqueName="[PMTProject_Contact_Customer].[PMT Customer Invalid Email Code].[All]" dimensionUniqueName="[PMTProject_Contact_Customer]" displayFolder="" count="0" unbalanced="0"/>
    <cacheHierarchy uniqueName="[PMTProject_Contact_Customer].[PMT Customer Other Phone Number]" caption="PMT Customer Other Phone Number" attribute="1" defaultMemberUniqueName="[PMTProject_Contact_Customer].[PMT Customer Other Phone Number].[All]" allUniqueName="[PMTProject_Contact_Customer].[PMT Customer Other Phone Number].[All]" dimensionUniqueName="[PMTProject_Contact_Customer]" displayFolder="" count="0" unbalanced="0"/>
    <cacheHierarchy uniqueName="[PMTProject_Contact_Customer].[PMT Customer Person Or Business Code]" caption="PMT Customer Person Or Business Code" attribute="1" defaultMemberUniqueName="[PMTProject_Contact_Customer].[PMT Customer Person Or Business Code].[All]" allUniqueName="[PMTProject_Contact_Customer].[PMT Customer Person Or Business Code].[All]" dimensionUniqueName="[PMTProject_Contact_Customer]" displayFolder="" count="0" unbalanced="0"/>
    <cacheHierarchy uniqueName="[PMTProject_Contact_Customer].[PMT Customer Person Or Business First Name]" caption="PMT Customer Person Or Business First Name" attribute="1" defaultMemberUniqueName="[PMTProject_Contact_Customer].[PMT Customer Person Or Business First Name].[All]" allUniqueName="[PMTProject_Contact_Customer].[PMT Customer Person Or Business First Name].[All]" dimensionUniqueName="[PMTProject_Contact_Customer]" displayFolder="" count="0" unbalanced="0"/>
    <cacheHierarchy uniqueName="[PMTProject_Contact_Customer].[PMT Customer Person Or Business Last Name]" caption="PMT Customer Person Or Business Last Name" attribute="1" defaultMemberUniqueName="[PMTProject_Contact_Customer].[PMT Customer Person Or Business Last Name].[All]" allUniqueName="[PMTProject_Contact_Customer].[PMT Customer Person Or Business Last Name].[All]" dimensionUniqueName="[PMTProject_Contact_Customer]" displayFolder="" count="0" unbalanced="0"/>
    <cacheHierarchy uniqueName="[PMTProject_Contact_Customer].[PMT Customer PersonID]" caption="PMT Customer PersonID" attribute="1" defaultMemberUniqueName="[PMTProject_Contact_Customer].[PMT Customer PersonID].[All]" allUniqueName="[PMTProject_Contact_Customer].[PMT Customer PersonID].[All]" dimensionUniqueName="[PMTProject_Contact_Customer]" displayFolder="" count="0" unbalanced="0"/>
    <cacheHierarchy uniqueName="[PMTProject_Contact_Customer].[PMT Customer Position Code]" caption="PMT Customer Position Code" attribute="1" defaultMemberUniqueName="[PMTProject_Contact_Customer].[PMT Customer Position Code].[All]" allUniqueName="[PMTProject_Contact_Customer].[PMT Customer Position Code].[All]" dimensionUniqueName="[PMTProject_Contact_Customer]" displayFolder="" count="0" unbalanced="0"/>
    <cacheHierarchy uniqueName="[PMTProject_Contact_Customer].[PMT Customer Position Description]" caption="PMT Customer Position Description" attribute="1" defaultMemberUniqueName="[PMTProject_Contact_Customer].[PMT Customer Position Description].[All]" allUniqueName="[PMTProject_Contact_Customer].[PMT Customer Position Description].[All]" dimensionUniqueName="[PMTProject_Contact_Customer]" displayFolder="" count="0" unbalanced="0"/>
    <cacheHierarchy uniqueName="[PMTProject_Contact_Customer].[PMT Customer Postal Code]" caption="PMT Customer Postal Code" attribute="1" defaultMemberUniqueName="[PMTProject_Contact_Customer].[PMT Customer Postal Code].[All]" allUniqueName="[PMTProject_Contact_Customer].[PMT Customer Postal Code].[All]" dimensionUniqueName="[PMTProject_Contact_Customer]" displayFolder="" count="0" unbalanced="0"/>
    <cacheHierarchy uniqueName="[PMTProject_Contact_Customer].[PMT Customer Priority Code]" caption="PMT Customer Priority Code" attribute="1" defaultMemberUniqueName="[PMTProject_Contact_Customer].[PMT Customer Priority Code].[All]" allUniqueName="[PMTProject_Contact_Customer].[PMT Customer Priority Code].[All]" dimensionUniqueName="[PMTProject_Contact_Customer]" displayFolder="" count="0" unbalanced="0"/>
    <cacheHierarchy uniqueName="[PMTProject_Contact_Customer].[PMT Customer Priority Description]" caption="PMT Customer Priority Description" attribute="1" defaultMemberUniqueName="[PMTProject_Contact_Customer].[PMT Customer Priority Description].[All]" allUniqueName="[PMTProject_Contact_Customer].[PMT Customer Priority Description].[All]" dimensionUniqueName="[PMTProject_Contact_Customer]" displayFolder="" count="0" unbalanced="0"/>
    <cacheHierarchy uniqueName="[PMTProject_Contact_Customer].[PMT Customer Referred By]" caption="PMT Customer Referred By" attribute="1" defaultMemberUniqueName="[PMTProject_Contact_Customer].[PMT Customer Referred By].[All]" allUniqueName="[PMTProject_Contact_Customer].[PMT Customer Referred By].[All]" dimensionUniqueName="[PMTProject_Contact_Customer]" displayFolder="" count="0" unbalanced="0"/>
    <cacheHierarchy uniqueName="[PMTProject_Contact_Customer].[PMT Customer Salesforce MOC ContactID]" caption="PMT Customer Salesforce MOC ContactID" attribute="1" defaultMemberUniqueName="[PMTProject_Contact_Customer].[PMT Customer Salesforce MOC ContactID].[All]" allUniqueName="[PMTProject_Contact_Customer].[PMT Customer Salesforce MOC ContactID].[All]" dimensionUniqueName="[PMTProject_Contact_Customer]" displayFolder="" count="0" unbalanced="0"/>
    <cacheHierarchy uniqueName="[PMTProject_Contact_Customer].[PMT Customer Source System]" caption="PMT Customer Source System" attribute="1" defaultMemberUniqueName="[PMTProject_Contact_Customer].[PMT Customer Source System].[All]" allUniqueName="[PMTProject_Contact_Customer].[PMT Customer Source System].[All]" dimensionUniqueName="[PMTProject_Contact_Customer]" displayFolder="" count="0" unbalanced="0"/>
    <cacheHierarchy uniqueName="[PMTProject_Contact_Customer].[PMT Customer State Code]" caption="PMT Customer State Code" attribute="1" defaultMemberUniqueName="[PMTProject_Contact_Customer].[PMT Customer State Code].[All]" allUniqueName="[PMTProject_Contact_Customer].[PMT Customer State Code].[All]" dimensionUniqueName="[PMTProject_Contact_Customer]" displayFolder="" count="0" unbalanced="0"/>
    <cacheHierarchy uniqueName="[PMTProject_Contact_Customer].[PMT Customer Title]" caption="PMT Customer Title" attribute="1" defaultMemberUniqueName="[PMTProject_Contact_Customer].[PMT Customer Title].[All]" allUniqueName="[PMTProject_Contact_Customer].[PMT Customer Title].[All]" dimensionUniqueName="[PMTProject_Contact_Customer]" displayFolder="" count="0" unbalanced="0"/>
    <cacheHierarchy uniqueName="[PMTProject_Contact_Customer].[PMT Customer Type Code]" caption="PMT Customer Type Code" attribute="1" defaultMemberUniqueName="[PMTProject_Contact_Customer].[PMT Customer Type Code].[All]" allUniqueName="[PMTProject_Contact_Customer].[PMT Customer Type Code].[All]" dimensionUniqueName="[PMTProject_Contact_Customer]" displayFolder="" count="0" unbalanced="0"/>
    <cacheHierarchy uniqueName="[PMTProject_Contact_Customer].[PMT Customer Type Description]" caption="PMT Customer Type Description" attribute="1" defaultMemberUniqueName="[PMTProject_Contact_Customer].[PMT Customer Type Description].[All]" allUniqueName="[PMTProject_Contact_Customer].[PMT Customer Type Description].[All]" dimensionUniqueName="[PMTProject_Contact_Customer]" displayFolder="" count="0" unbalanced="0"/>
    <cacheHierarchy uniqueName="[PMTProject_Contact_Customer].[PMT Customer Unique Business Key]" caption="PMT Customer Unique Business Key" attribute="1" defaultMemberUniqueName="[PMTProject_Contact_Customer].[PMT Customer Unique Business Key].[All]" allUniqueName="[PMTProject_Contact_Customer].[PMT Customer Unique Business Key].[All]" dimensionUniqueName="[PMTProject_Contact_Customer]" displayFolder="" count="0" unbalanced="0"/>
    <cacheHierarchy uniqueName="[PMTProject_Contact_Customer].[PMT Customer Unique Contact Key]" caption="PMT Customer Unique Contact Key" attribute="1" defaultMemberUniqueName="[PMTProject_Contact_Customer].[PMT Customer Unique Contact Key].[All]" allUniqueName="[PMTProject_Contact_Customer].[PMT Customer Unique Contact Key].[All]" dimensionUniqueName="[PMTProject_Contact_Customer]" displayFolder="" count="0" unbalanced="0"/>
    <cacheHierarchy uniqueName="[PMTProject_Contact_Customer].[PMT Customer Work Phone Extension]" caption="PMT Customer Work Phone Extension" attribute="1" defaultMemberUniqueName="[PMTProject_Contact_Customer].[PMT Customer Work Phone Extension].[All]" allUniqueName="[PMTProject_Contact_Customer].[PMT Customer Work Phone Extension].[All]" dimensionUniqueName="[PMTProject_Contact_Customer]" displayFolder="" count="0" unbalanced="0"/>
    <cacheHierarchy uniqueName="[PMTProject_Contact_Customer].[PMT Customer Work Phone Number]" caption="PMT Customer Work Phone Number" attribute="1" defaultMemberUniqueName="[PMTProject_Contact_Customer].[PMT Customer Work Phone Number].[All]" allUniqueName="[PMTProject_Contact_Customer].[PMT Customer Work Phone Number].[All]" dimensionUniqueName="[PMTProject_Contact_Customer]" displayFolder="" count="0" unbalanced="0"/>
    <cacheHierarchy uniqueName="[PMTProject_Contact_IC].[AccountKey]" caption="AccountKey" attribute="1" defaultMemberUniqueName="[PMTProject_Contact_IC].[AccountKey].[All]" allUniqueName="[PMTProject_Contact_IC].[AccountKey].[All]" dimensionUniqueName="[PMTProject_Contact_IC]" displayFolder="" count="0" unbalanced="0"/>
    <cacheHierarchy uniqueName="[PMTProject_Contact_IC].[ContactKey]" caption="ContactKey" attribute="1" defaultMemberUniqueName="[PMTProject_Contact_IC].[ContactKey].[All]" allUniqueName="[PMTProject_Contact_IC].[ContactKey].[All]" dimensionUniqueName="[PMTProject_Contact_IC]" displayFolder="" count="0" unbalanced="0"/>
    <cacheHierarchy uniqueName="[PMTProject_Contact_IC].[PMT IC  Bday Date]" caption="PMT IC  Bday Date" attribute="1" defaultMemberUniqueName="[PMTProject_Contact_IC].[PMT IC  Bday Date].[All]" allUniqueName="[PMTProject_Contact_IC].[PMT IC  Bday Date].[All]" dimensionUniqueName="[PMTProject_Contact_IC]" displayFolder="" count="0" unbalanced="0"/>
    <cacheHierarchy uniqueName="[PMTProject_Contact_IC].[PMT IC A44 Contact Indicator]" caption="PMT IC A44 Contact Indicator" attribute="1" defaultMemberUniqueName="[PMTProject_Contact_IC].[PMT IC A44 Contact Indicator].[All]" allUniqueName="[PMTProject_Contact_IC].[PMT IC A44 Contact Indicator].[All]" dimensionUniqueName="[PMTProject_Contact_IC]" displayFolder="" count="0" unbalanced="0"/>
    <cacheHierarchy uniqueName="[PMTProject_Contact_IC].[PMT IC Address1]" caption="PMT IC Address1" attribute="1" defaultMemberUniqueName="[PMTProject_Contact_IC].[PMT IC Address1].[All]" allUniqueName="[PMTProject_Contact_IC].[PMT IC Address1].[All]" dimensionUniqueName="[PMTProject_Contact_IC]" displayFolder="" count="0" unbalanced="0"/>
    <cacheHierarchy uniqueName="[PMTProject_Contact_IC].[PMT IC Address2]" caption="PMT IC Address2" attribute="1" defaultMemberUniqueName="[PMTProject_Contact_IC].[PMT IC Address2].[All]" allUniqueName="[PMTProject_Contact_IC].[PMT IC Address2].[All]" dimensionUniqueName="[PMTProject_Contact_IC]" displayFolder="" count="0" unbalanced="0"/>
    <cacheHierarchy uniqueName="[PMTProject_Contact_IC].[PMT IC Cell Phone Number]" caption="PMT IC Cell Phone Number" attribute="1" defaultMemberUniqueName="[PMTProject_Contact_IC].[PMT IC Cell Phone Number].[All]" allUniqueName="[PMTProject_Contact_IC].[PMT IC Cell Phone Number].[All]" dimensionUniqueName="[PMTProject_Contact_IC]" displayFolder="" count="0" unbalanced="0"/>
    <cacheHierarchy uniqueName="[PMTProject_Contact_IC].[PMT IC City Name]" caption="PMT IC City Name" attribute="1" defaultMemberUniqueName="[PMTProject_Contact_IC].[PMT IC City Name].[All]" allUniqueName="[PMTProject_Contact_IC].[PMT IC City Name].[All]" dimensionUniqueName="[PMTProject_Contact_IC]" displayFolder="" count="0" unbalanced="0"/>
    <cacheHierarchy uniqueName="[PMTProject_Contact_IC].[PMT IC Company Code]" caption="PMT IC Company Code" attribute="1" defaultMemberUniqueName="[PMTProject_Contact_IC].[PMT IC Company Code].[All]" allUniqueName="[PMTProject_Contact_IC].[PMT IC Company Code].[All]" dimensionUniqueName="[PMTProject_Contact_IC]" displayFolder="" count="0" unbalanced="0"/>
    <cacheHierarchy uniqueName="[PMTProject_Contact_IC].[PMT IC Company Description]" caption="PMT IC Company Description" attribute="1" defaultMemberUniqueName="[PMTProject_Contact_IC].[PMT IC Company Description].[All]" allUniqueName="[PMTProject_Contact_IC].[PMT IC Company Description].[All]" dimensionUniqueName="[PMTProject_Contact_IC]" displayFolder="" count="0" unbalanced="0"/>
    <cacheHierarchy uniqueName="[PMTProject_Contact_IC].[PMT IC Contact LastService Wk Date]" caption="PMT IC Contact LastService Wk Date" attribute="1" defaultMemberUniqueName="[PMTProject_Contact_IC].[PMT IC Contact LastService Wk Date].[All]" allUniqueName="[PMTProject_Contact_IC].[PMT IC Contact LastService Wk Date].[All]" dimensionUniqueName="[PMTProject_Contact_IC]" displayFolder="" count="0" unbalanced="0"/>
    <cacheHierarchy uniqueName="[PMTProject_Contact_IC].[PMT IC Contact Type Code]" caption="PMT IC Contact Type Code" attribute="1" defaultMemberUniqueName="[PMTProject_Contact_IC].[PMT IC Contact Type Code].[All]" allUniqueName="[PMTProject_Contact_IC].[PMT IC Contact Type Code].[All]" dimensionUniqueName="[PMTProject_Contact_IC]" displayFolder="" count="0" unbalanced="0"/>
    <cacheHierarchy uniqueName="[PMTProject_Contact_IC].[PMT IC Contact Type Description]" caption="PMT IC Contact Type Description" attribute="1" defaultMemberUniqueName="[PMTProject_Contact_IC].[PMT IC Contact Type Description].[All]" allUniqueName="[PMTProject_Contact_IC].[PMT IC Contact Type Description].[All]" dimensionUniqueName="[PMTProject_Contact_IC]" displayFolder="" count="0" unbalanced="0"/>
    <cacheHierarchy uniqueName="[PMTProject_Contact_IC].[PMT IC Do Not Email Indicator]" caption="PMT IC Do Not Email Indicator" attribute="1" defaultMemberUniqueName="[PMTProject_Contact_IC].[PMT IC Do Not Email Indicator].[All]" allUniqueName="[PMTProject_Contact_IC].[PMT IC Do Not Email Indicator].[All]" dimensionUniqueName="[PMTProject_Contact_IC]" displayFolder="" count="0" unbalanced="0"/>
    <cacheHierarchy uniqueName="[PMTProject_Contact_IC].[PMT IC Do Not Mail Indicator]" caption="PMT IC Do Not Mail Indicator" attribute="1" defaultMemberUniqueName="[PMTProject_Contact_IC].[PMT IC Do Not Mail Indicator].[All]" allUniqueName="[PMTProject_Contact_IC].[PMT IC Do Not Mail Indicator].[All]" dimensionUniqueName="[PMTProject_Contact_IC]" displayFolder="" count="0" unbalanced="0"/>
    <cacheHierarchy uniqueName="[PMTProject_Contact_IC].[PMT IC Email Address]" caption="PMT IC Email Address" attribute="1" defaultMemberUniqueName="[PMTProject_Contact_IC].[PMT IC Email Address].[All]" allUniqueName="[PMTProject_Contact_IC].[PMT IC Email Address].[All]" dimensionUniqueName="[PMTProject_Contact_IC]" displayFolder="" count="0" unbalanced="0"/>
    <cacheHierarchy uniqueName="[PMTProject_Contact_IC].[PMT IC Email OptOut Code]" caption="PMT IC Email OptOut Code" attribute="1" defaultMemberUniqueName="[PMTProject_Contact_IC].[PMT IC Email OptOut Code].[All]" allUniqueName="[PMTProject_Contact_IC].[PMT IC Email OptOut Code].[All]" dimensionUniqueName="[PMTProject_Contact_IC]" displayFolder="" count="0" unbalanced="0"/>
    <cacheHierarchy uniqueName="[PMTProject_Contact_IC].[PMT IC Email OptOut Description]" caption="PMT IC Email OptOut Description" attribute="1" defaultMemberUniqueName="[PMTProject_Contact_IC].[PMT IC Email OptOut Description].[All]" allUniqueName="[PMTProject_Contact_IC].[PMT IC Email OptOut Description].[All]" dimensionUniqueName="[PMTProject_Contact_IC]" displayFolder="" count="0" unbalanced="0"/>
    <cacheHierarchy uniqueName="[PMTProject_Contact_IC].[PMT IC FAX Number]" caption="PMT IC FAX Number" attribute="1" defaultMemberUniqueName="[PMTProject_Contact_IC].[PMT IC FAX Number].[All]" allUniqueName="[PMTProject_Contact_IC].[PMT IC FAX Number].[All]" dimensionUniqueName="[PMTProject_Contact_IC]" displayFolder="" count="0" unbalanced="0"/>
    <cacheHierarchy uniqueName="[PMTProject_Contact_IC].[PMT IC Home Phone Number]" caption="PMT IC Home Phone Number" attribute="1" defaultMemberUniqueName="[PMTProject_Contact_IC].[PMT IC Home Phone Number].[All]" allUniqueName="[PMTProject_Contact_IC].[PMT IC Home Phone Number].[All]" dimensionUniqueName="[PMTProject_Contact_IC]" displayFolder="" count="0" unbalanced="0"/>
    <cacheHierarchy uniqueName="[PMTProject_Contact_IC].[PMT IC Invalid Email Code]" caption="PMT IC Invalid Email Code" attribute="1" defaultMemberUniqueName="[PMTProject_Contact_IC].[PMT IC Invalid Email Code].[All]" allUniqueName="[PMTProject_Contact_IC].[PMT IC Invalid Email Code].[All]" dimensionUniqueName="[PMTProject_Contact_IC]" displayFolder="" count="0" unbalanced="0"/>
    <cacheHierarchy uniqueName="[PMTProject_Contact_IC].[PMT IC Other Phone Number]" caption="PMT IC Other Phone Number" attribute="1" defaultMemberUniqueName="[PMTProject_Contact_IC].[PMT IC Other Phone Number].[All]" allUniqueName="[PMTProject_Contact_IC].[PMT IC Other Phone Number].[All]" dimensionUniqueName="[PMTProject_Contact_IC]" displayFolder="" count="0" unbalanced="0"/>
    <cacheHierarchy uniqueName="[PMTProject_Contact_IC].[PMT IC Person Or Business Code]" caption="PMT IC Person Or Business Code" attribute="1" defaultMemberUniqueName="[PMTProject_Contact_IC].[PMT IC Person Or Business Code].[All]" allUniqueName="[PMTProject_Contact_IC].[PMT IC Person Or Business Code].[All]" dimensionUniqueName="[PMTProject_Contact_IC]" displayFolder="" count="0" unbalanced="0"/>
    <cacheHierarchy uniqueName="[PMTProject_Contact_IC].[PMT IC Person Or Business First Name]" caption="PMT IC Person Or Business First Name" attribute="1" defaultMemberUniqueName="[PMTProject_Contact_IC].[PMT IC Person Or Business First Name].[All]" allUniqueName="[PMTProject_Contact_IC].[PMT IC Person Or Business First Name].[All]" dimensionUniqueName="[PMTProject_Contact_IC]" displayFolder="" count="0" unbalanced="0"/>
    <cacheHierarchy uniqueName="[PMTProject_Contact_IC].[PMT IC Person Or Business Last Name]" caption="PMT IC Person Or Business Last Name" attribute="1" defaultMemberUniqueName="[PMTProject_Contact_IC].[PMT IC Person Or Business Last Name].[All]" allUniqueName="[PMTProject_Contact_IC].[PMT IC Person Or Business Last Name].[All]" dimensionUniqueName="[PMTProject_Contact_IC]" displayFolder="" count="0" unbalanced="0"/>
    <cacheHierarchy uniqueName="[PMTProject_Contact_IC].[PMT IC PersonID]" caption="PMT IC PersonID" attribute="1" defaultMemberUniqueName="[PMTProject_Contact_IC].[PMT IC PersonID].[All]" allUniqueName="[PMTProject_Contact_IC].[PMT IC PersonID].[All]" dimensionUniqueName="[PMTProject_Contact_IC]" displayFolder="" count="0" unbalanced="0"/>
    <cacheHierarchy uniqueName="[PMTProject_Contact_IC].[PMT IC Position Code]" caption="PMT IC Position Code" attribute="1" defaultMemberUniqueName="[PMTProject_Contact_IC].[PMT IC Position Code].[All]" allUniqueName="[PMTProject_Contact_IC].[PMT IC Position Code].[All]" dimensionUniqueName="[PMTProject_Contact_IC]" displayFolder="" count="0" unbalanced="0"/>
    <cacheHierarchy uniqueName="[PMTProject_Contact_IC].[PMT IC Position Description]" caption="PMT IC Position Description" attribute="1" defaultMemberUniqueName="[PMTProject_Contact_IC].[PMT IC Position Description].[All]" allUniqueName="[PMTProject_Contact_IC].[PMT IC Position Description].[All]" dimensionUniqueName="[PMTProject_Contact_IC]" displayFolder="" count="0" unbalanced="0"/>
    <cacheHierarchy uniqueName="[PMTProject_Contact_IC].[PMT IC Postal Code]" caption="PMT IC Postal Code" attribute="1" defaultMemberUniqueName="[PMTProject_Contact_IC].[PMT IC Postal Code].[All]" allUniqueName="[PMTProject_Contact_IC].[PMT IC Postal Code].[All]" dimensionUniqueName="[PMTProject_Contact_IC]" displayFolder="" count="0" unbalanced="0"/>
    <cacheHierarchy uniqueName="[PMTProject_Contact_IC].[PMT IC Priority Code]" caption="PMT IC Priority Code" attribute="1" defaultMemberUniqueName="[PMTProject_Contact_IC].[PMT IC Priority Code].[All]" allUniqueName="[PMTProject_Contact_IC].[PMT IC Priority Code].[All]" dimensionUniqueName="[PMTProject_Contact_IC]" displayFolder="" count="0" unbalanced="0"/>
    <cacheHierarchy uniqueName="[PMTProject_Contact_IC].[PMT IC Priority Description]" caption="PMT IC Priority Description" attribute="1" defaultMemberUniqueName="[PMTProject_Contact_IC].[PMT IC Priority Description].[All]" allUniqueName="[PMTProject_Contact_IC].[PMT IC Priority Description].[All]" dimensionUniqueName="[PMTProject_Contact_IC]" displayFolder="" count="0" unbalanced="0"/>
    <cacheHierarchy uniqueName="[PMTProject_Contact_IC].[PMT IC Referred By]" caption="PMT IC Referred By" attribute="1" defaultMemberUniqueName="[PMTProject_Contact_IC].[PMT IC Referred By].[All]" allUniqueName="[PMTProject_Contact_IC].[PMT IC Referred By].[All]" dimensionUniqueName="[PMTProject_Contact_IC]" displayFolder="" count="0" unbalanced="0"/>
    <cacheHierarchy uniqueName="[PMTProject_Contact_IC].[PMT IC Salesforce MOC ContactID]" caption="PMT IC Salesforce MOC ContactID" attribute="1" defaultMemberUniqueName="[PMTProject_Contact_IC].[PMT IC Salesforce MOC ContactID].[All]" allUniqueName="[PMTProject_Contact_IC].[PMT IC Salesforce MOC ContactID].[All]" dimensionUniqueName="[PMTProject_Contact_IC]" displayFolder="" count="0" unbalanced="0"/>
    <cacheHierarchy uniqueName="[PMTProject_Contact_IC].[PMT IC Source System]" caption="PMT IC Source System" attribute="1" defaultMemberUniqueName="[PMTProject_Contact_IC].[PMT IC Source System].[All]" allUniqueName="[PMTProject_Contact_IC].[PMT IC Source System].[All]" dimensionUniqueName="[PMTProject_Contact_IC]" displayFolder="" count="0" unbalanced="0"/>
    <cacheHierarchy uniqueName="[PMTProject_Contact_IC].[PMT IC State Code]" caption="PMT IC State Code" attribute="1" defaultMemberUniqueName="[PMTProject_Contact_IC].[PMT IC State Code].[All]" allUniqueName="[PMTProject_Contact_IC].[PMT IC State Code].[All]" dimensionUniqueName="[PMTProject_Contact_IC]" displayFolder="" count="0" unbalanced="0"/>
    <cacheHierarchy uniqueName="[PMTProject_Contact_IC].[PMT IC Title]" caption="PMT IC Title" attribute="1" defaultMemberUniqueName="[PMTProject_Contact_IC].[PMT IC Title].[All]" allUniqueName="[PMTProject_Contact_IC].[PMT IC Title].[All]" dimensionUniqueName="[PMTProject_Contact_IC]" displayFolder="" count="0" unbalanced="0"/>
    <cacheHierarchy uniqueName="[PMTProject_Contact_IC].[PMT IC Type Code]" caption="PMT IC Type Code" attribute="1" defaultMemberUniqueName="[PMTProject_Contact_IC].[PMT IC Type Code].[All]" allUniqueName="[PMTProject_Contact_IC].[PMT IC Type Code].[All]" dimensionUniqueName="[PMTProject_Contact_IC]" displayFolder="" count="0" unbalanced="0"/>
    <cacheHierarchy uniqueName="[PMTProject_Contact_IC].[PMT IC Type Description]" caption="PMT IC Type Description" attribute="1" defaultMemberUniqueName="[PMTProject_Contact_IC].[PMT IC Type Description].[All]" allUniqueName="[PMTProject_Contact_IC].[PMT IC Type Description].[All]" dimensionUniqueName="[PMTProject_Contact_IC]" displayFolder="" count="0" unbalanced="0"/>
    <cacheHierarchy uniqueName="[PMTProject_Contact_IC].[PMT IC Unique Business Key]" caption="PMT IC Unique Business Key" attribute="1" defaultMemberUniqueName="[PMTProject_Contact_IC].[PMT IC Unique Business Key].[All]" allUniqueName="[PMTProject_Contact_IC].[PMT IC Unique Business Key].[All]" dimensionUniqueName="[PMTProject_Contact_IC]" displayFolder="" count="0" unbalanced="0"/>
    <cacheHierarchy uniqueName="[PMTProject_Contact_IC].[PMT IC Unique Contact Key]" caption="PMT IC Unique Contact Key" attribute="1" defaultMemberUniqueName="[PMTProject_Contact_IC].[PMT IC Unique Contact Key].[All]" allUniqueName="[PMTProject_Contact_IC].[PMT IC Unique Contact Key].[All]" dimensionUniqueName="[PMTProject_Contact_IC]" displayFolder="" count="0" unbalanced="0"/>
    <cacheHierarchy uniqueName="[PMTProject_Contact_IC].[PMT IC Work Phone Extension]" caption="PMT IC Work Phone Extension" attribute="1" defaultMemberUniqueName="[PMTProject_Contact_IC].[PMT IC Work Phone Extension].[All]" allUniqueName="[PMTProject_Contact_IC].[PMT IC Work Phone Extension].[All]" dimensionUniqueName="[PMTProject_Contact_IC]" displayFolder="" count="0" unbalanced="0"/>
    <cacheHierarchy uniqueName="[PMTProject_Contact_IC].[PMT IC Work Phone Number]" caption="PMT IC Work Phone Number" attribute="1" defaultMemberUniqueName="[PMTProject_Contact_IC].[PMT IC Work Phone Number].[All]" allUniqueName="[PMTProject_Contact_IC].[PMT IC Work Phone Number].[All]" dimensionUniqueName="[PMTProject_Contact_IC]" displayFolder="" count="0" unbalanced="0"/>
    <cacheHierarchy uniqueName="[PMTProject_Contact_IC].[PMTProjectKey]" caption="PMTProjectKey" attribute="1" defaultMemberUniqueName="[PMTProject_Contact_IC].[PMTProjectKey].[All]" allUniqueName="[PMTProject_Contact_IC].[PMTProjectKey].[All]" dimensionUniqueName="[PMTProject_Contact_IC]" displayFolder="" count="0" unbalanced="0"/>
    <cacheHierarchy uniqueName="[PMTProject_Contact_Landlord].[PMT Landlord  Bday Date]" caption="PMT Landlord  Bday Date" attribute="1" defaultMemberUniqueName="[PMTProject_Contact_Landlord].[PMT Landlord  Bday Date].[All]" allUniqueName="[PMTProject_Contact_Landlord].[PMT Landlord  Bday Date].[All]" dimensionUniqueName="[PMTProject_Contact_Landlord]" displayFolder="" count="0" unbalanced="0"/>
    <cacheHierarchy uniqueName="[PMTProject_Contact_Landlord].[PMT Landlord A44 Contact Indicator]" caption="PMT Landlord A44 Contact Indicator" attribute="1" defaultMemberUniqueName="[PMTProject_Contact_Landlord].[PMT Landlord A44 Contact Indicator].[All]" allUniqueName="[PMTProject_Contact_Landlord].[PMT Landlord A44 Contact Indicator].[All]" dimensionUniqueName="[PMTProject_Contact_Landlord]" displayFolder="" count="0" unbalanced="0"/>
    <cacheHierarchy uniqueName="[PMTProject_Contact_Landlord].[PMT Landlord Address1]" caption="PMT Landlord Address1" attribute="1" defaultMemberUniqueName="[PMTProject_Contact_Landlord].[PMT Landlord Address1].[All]" allUniqueName="[PMTProject_Contact_Landlord].[PMT Landlord Address1].[All]" dimensionUniqueName="[PMTProject_Contact_Landlord]" displayFolder="" count="0" unbalanced="0"/>
    <cacheHierarchy uniqueName="[PMTProject_Contact_Landlord].[PMT Landlord Address2]" caption="PMT Landlord Address2" attribute="1" defaultMemberUniqueName="[PMTProject_Contact_Landlord].[PMT Landlord Address2].[All]" allUniqueName="[PMTProject_Contact_Landlord].[PMT Landlord Address2].[All]" dimensionUniqueName="[PMTProject_Contact_Landlord]" displayFolder="" count="0" unbalanced="0"/>
    <cacheHierarchy uniqueName="[PMTProject_Contact_Landlord].[PMT Landlord Cell Phone Number]" caption="PMT Landlord Cell Phone Number" attribute="1" defaultMemberUniqueName="[PMTProject_Contact_Landlord].[PMT Landlord Cell Phone Number].[All]" allUniqueName="[PMTProject_Contact_Landlord].[PMT Landlord Cell Phone Number].[All]" dimensionUniqueName="[PMTProject_Contact_Landlord]" displayFolder="" count="0" unbalanced="0"/>
    <cacheHierarchy uniqueName="[PMTProject_Contact_Landlord].[PMT Landlord City Name]" caption="PMT Landlord City Name" attribute="1" defaultMemberUniqueName="[PMTProject_Contact_Landlord].[PMT Landlord City Name].[All]" allUniqueName="[PMTProject_Contact_Landlord].[PMT Landlord City Name].[All]" dimensionUniqueName="[PMTProject_Contact_Landlord]" displayFolder="" count="0" unbalanced="0"/>
    <cacheHierarchy uniqueName="[PMTProject_Contact_Landlord].[PMT Landlord Company Code]" caption="PMT Landlord Company Code" attribute="1" defaultMemberUniqueName="[PMTProject_Contact_Landlord].[PMT Landlord Company Code].[All]" allUniqueName="[PMTProject_Contact_Landlord].[PMT Landlord Company Code].[All]" dimensionUniqueName="[PMTProject_Contact_Landlord]" displayFolder="" count="0" unbalanced="0"/>
    <cacheHierarchy uniqueName="[PMTProject_Contact_Landlord].[PMT Landlord Company Description]" caption="PMT Landlord Company Description" attribute="1" defaultMemberUniqueName="[PMTProject_Contact_Landlord].[PMT Landlord Company Description].[All]" allUniqueName="[PMTProject_Contact_Landlord].[PMT Landlord Company Description].[All]" dimensionUniqueName="[PMTProject_Contact_Landlord]" displayFolder="" count="0" unbalanced="0"/>
    <cacheHierarchy uniqueName="[PMTProject_Contact_Landlord].[PMT Landlord Contact LastService Wk Date]" caption="PMT Landlord Contact LastService Wk Date" attribute="1" defaultMemberUniqueName="[PMTProject_Contact_Landlord].[PMT Landlord Contact LastService Wk Date].[All]" allUniqueName="[PMTProject_Contact_Landlord].[PMT Landlord Contact LastService Wk Date].[All]" dimensionUniqueName="[PMTProject_Contact_Landlord]" displayFolder="" count="0" unbalanced="0"/>
    <cacheHierarchy uniqueName="[PMTProject_Contact_Landlord].[PMT Landlord Do Not Email Indicator]" caption="PMT Landlord Do Not Email Indicator" attribute="1" defaultMemberUniqueName="[PMTProject_Contact_Landlord].[PMT Landlord Do Not Email Indicator].[All]" allUniqueName="[PMTProject_Contact_Landlord].[PMT Landlord Do Not Email Indicator].[All]" dimensionUniqueName="[PMTProject_Contact_Landlord]" displayFolder="" count="0" unbalanced="0"/>
    <cacheHierarchy uniqueName="[PMTProject_Contact_Landlord].[PMT Landlord Do Not Mail Indicator]" caption="PMT Landlord Do Not Mail Indicator" attribute="1" defaultMemberUniqueName="[PMTProject_Contact_Landlord].[PMT Landlord Do Not Mail Indicator].[All]" allUniqueName="[PMTProject_Contact_Landlord].[PMT Landlord Do Not Mail Indicator].[All]" dimensionUniqueName="[PMTProject_Contact_Landlord]" displayFolder="" count="0" unbalanced="0"/>
    <cacheHierarchy uniqueName="[PMTProject_Contact_Landlord].[PMT Landlord Email Address]" caption="PMT Landlord Email Address" attribute="1" defaultMemberUniqueName="[PMTProject_Contact_Landlord].[PMT Landlord Email Address].[All]" allUniqueName="[PMTProject_Contact_Landlord].[PMT Landlord Email Address].[All]" dimensionUniqueName="[PMTProject_Contact_Landlord]" displayFolder="" count="0" unbalanced="0"/>
    <cacheHierarchy uniqueName="[PMTProject_Contact_Landlord].[PMT Landlord Email OptOut Code]" caption="PMT Landlord Email OptOut Code" attribute="1" defaultMemberUniqueName="[PMTProject_Contact_Landlord].[PMT Landlord Email OptOut Code].[All]" allUniqueName="[PMTProject_Contact_Landlord].[PMT Landlord Email OptOut Code].[All]" dimensionUniqueName="[PMTProject_Contact_Landlord]" displayFolder="" count="0" unbalanced="0"/>
    <cacheHierarchy uniqueName="[PMTProject_Contact_Landlord].[PMT Landlord Email OptOut Description]" caption="PMT Landlord Email OptOut Description" attribute="1" defaultMemberUniqueName="[PMTProject_Contact_Landlord].[PMT Landlord Email OptOut Description].[All]" allUniqueName="[PMTProject_Contact_Landlord].[PMT Landlord Email OptOut Description].[All]" dimensionUniqueName="[PMTProject_Contact_Landlord]" displayFolder="" count="0" unbalanced="0"/>
    <cacheHierarchy uniqueName="[PMTProject_Contact_Landlord].[PMT Landlord FAX Number]" caption="PMT Landlord FAX Number" attribute="1" defaultMemberUniqueName="[PMTProject_Contact_Landlord].[PMT Landlord FAX Number].[All]" allUniqueName="[PMTProject_Contact_Landlord].[PMT Landlord FAX Number].[All]" dimensionUniqueName="[PMTProject_Contact_Landlord]" displayFolder="" count="0" unbalanced="0"/>
    <cacheHierarchy uniqueName="[PMTProject_Contact_Landlord].[PMT Landlord Home Phone Number]" caption="PMT Landlord Home Phone Number" attribute="1" defaultMemberUniqueName="[PMTProject_Contact_Landlord].[PMT Landlord Home Phone Number].[All]" allUniqueName="[PMTProject_Contact_Landlord].[PMT Landlord Home Phone Number].[All]" dimensionUniqueName="[PMTProject_Contact_Landlord]" displayFolder="" count="0" unbalanced="0"/>
    <cacheHierarchy uniqueName="[PMTProject_Contact_Landlord].[PMT Landlord Invalid Email Code]" caption="PMT Landlord Invalid Email Code" attribute="1" defaultMemberUniqueName="[PMTProject_Contact_Landlord].[PMT Landlord Invalid Email Code].[All]" allUniqueName="[PMTProject_Contact_Landlord].[PMT Landlord Invalid Email Code].[All]" dimensionUniqueName="[PMTProject_Contact_Landlord]" displayFolder="" count="0" unbalanced="0"/>
    <cacheHierarchy uniqueName="[PMTProject_Contact_Landlord].[PMT Landlord Other Phone Number]" caption="PMT Landlord Other Phone Number" attribute="1" defaultMemberUniqueName="[PMTProject_Contact_Landlord].[PMT Landlord Other Phone Number].[All]" allUniqueName="[PMTProject_Contact_Landlord].[PMT Landlord Other Phone Number].[All]" dimensionUniqueName="[PMTProject_Contact_Landlord]" displayFolder="" count="0" unbalanced="0"/>
    <cacheHierarchy uniqueName="[PMTProject_Contact_Landlord].[PMT Landlord Person Or Business Code]" caption="PMT Landlord Person Or Business Code" attribute="1" defaultMemberUniqueName="[PMTProject_Contact_Landlord].[PMT Landlord Person Or Business Code].[All]" allUniqueName="[PMTProject_Contact_Landlord].[PMT Landlord Person Or Business Code].[All]" dimensionUniqueName="[PMTProject_Contact_Landlord]" displayFolder="" count="0" unbalanced="0"/>
    <cacheHierarchy uniqueName="[PMTProject_Contact_Landlord].[PMT Landlord Person Or Business First Name]" caption="PMT Landlord Person Or Business First Name" attribute="1" defaultMemberUniqueName="[PMTProject_Contact_Landlord].[PMT Landlord Person Or Business First Name].[All]" allUniqueName="[PMTProject_Contact_Landlord].[PMT Landlord Person Or Business First Name].[All]" dimensionUniqueName="[PMTProject_Contact_Landlord]" displayFolder="" count="0" unbalanced="0"/>
    <cacheHierarchy uniqueName="[PMTProject_Contact_Landlord].[PMT Landlord Person Or Business Last Name]" caption="PMT Landlord Person Or Business Last Name" attribute="1" defaultMemberUniqueName="[PMTProject_Contact_Landlord].[PMT Landlord Person Or Business Last Name].[All]" allUniqueName="[PMTProject_Contact_Landlord].[PMT Landlord Person Or Business Last Name].[All]" dimensionUniqueName="[PMTProject_Contact_Landlord]" displayFolder="" count="0" unbalanced="0"/>
    <cacheHierarchy uniqueName="[PMTProject_Contact_Landlord].[PMT Landlord PersonID]" caption="PMT Landlord PersonID" attribute="1" defaultMemberUniqueName="[PMTProject_Contact_Landlord].[PMT Landlord PersonID].[All]" allUniqueName="[PMTProject_Contact_Landlord].[PMT Landlord PersonID].[All]" dimensionUniqueName="[PMTProject_Contact_Landlord]" displayFolder="" count="0" unbalanced="0"/>
    <cacheHierarchy uniqueName="[PMTProject_Contact_Landlord].[PMT Landlord Position Code]" caption="PMT Landlord Position Code" attribute="1" defaultMemberUniqueName="[PMTProject_Contact_Landlord].[PMT Landlord Position Code].[All]" allUniqueName="[PMTProject_Contact_Landlord].[PMT Landlord Position Code].[All]" dimensionUniqueName="[PMTProject_Contact_Landlord]" displayFolder="" count="0" unbalanced="0"/>
    <cacheHierarchy uniqueName="[PMTProject_Contact_Landlord].[PMT Landlord Position Description]" caption="PMT Landlord Position Description" attribute="1" defaultMemberUniqueName="[PMTProject_Contact_Landlord].[PMT Landlord Position Description].[All]" allUniqueName="[PMTProject_Contact_Landlord].[PMT Landlord Position Description].[All]" dimensionUniqueName="[PMTProject_Contact_Landlord]" displayFolder="" count="0" unbalanced="0"/>
    <cacheHierarchy uniqueName="[PMTProject_Contact_Landlord].[PMT Landlord Postal Code]" caption="PMT Landlord Postal Code" attribute="1" defaultMemberUniqueName="[PMTProject_Contact_Landlord].[PMT Landlord Postal Code].[All]" allUniqueName="[PMTProject_Contact_Landlord].[PMT Landlord Postal Code].[All]" dimensionUniqueName="[PMTProject_Contact_Landlord]" displayFolder="" count="0" unbalanced="0"/>
    <cacheHierarchy uniqueName="[PMTProject_Contact_Landlord].[PMT Landlord Priority Code]" caption="PMT Landlord Priority Code" attribute="1" defaultMemberUniqueName="[PMTProject_Contact_Landlord].[PMT Landlord Priority Code].[All]" allUniqueName="[PMTProject_Contact_Landlord].[PMT Landlord Priority Code].[All]" dimensionUniqueName="[PMTProject_Contact_Landlord]" displayFolder="" count="0" unbalanced="0"/>
    <cacheHierarchy uniqueName="[PMTProject_Contact_Landlord].[PMT Landlord Priority Description]" caption="PMT Landlord Priority Description" attribute="1" defaultMemberUniqueName="[PMTProject_Contact_Landlord].[PMT Landlord Priority Description].[All]" allUniqueName="[PMTProject_Contact_Landlord].[PMT Landlord Priority Description].[All]" dimensionUniqueName="[PMTProject_Contact_Landlord]" displayFolder="" count="0" unbalanced="0"/>
    <cacheHierarchy uniqueName="[PMTProject_Contact_Landlord].[PMT Landlord Referred By]" caption="PMT Landlord Referred By" attribute="1" defaultMemberUniqueName="[PMTProject_Contact_Landlord].[PMT Landlord Referred By].[All]" allUniqueName="[PMTProject_Contact_Landlord].[PMT Landlord Referred By].[All]" dimensionUniqueName="[PMTProject_Contact_Landlord]" displayFolder="" count="0" unbalanced="0"/>
    <cacheHierarchy uniqueName="[PMTProject_Contact_Landlord].[PMT Landlord Salesforce MOC ContactID]" caption="PMT Landlord Salesforce MOC ContactID" attribute="1" defaultMemberUniqueName="[PMTProject_Contact_Landlord].[PMT Landlord Salesforce MOC ContactID].[All]" allUniqueName="[PMTProject_Contact_Landlord].[PMT Landlord Salesforce MOC ContactID].[All]" dimensionUniqueName="[PMTProject_Contact_Landlord]" displayFolder="" count="0" unbalanced="0"/>
    <cacheHierarchy uniqueName="[PMTProject_Contact_Landlord].[PMT Landlord Source System]" caption="PMT Landlord Source System" attribute="1" defaultMemberUniqueName="[PMTProject_Contact_Landlord].[PMT Landlord Source System].[All]" allUniqueName="[PMTProject_Contact_Landlord].[PMT Landlord Source System].[All]" dimensionUniqueName="[PMTProject_Contact_Landlord]" displayFolder="" count="0" unbalanced="0"/>
    <cacheHierarchy uniqueName="[PMTProject_Contact_Landlord].[PMT Landlord State Code]" caption="PMT Landlord State Code" attribute="1" defaultMemberUniqueName="[PMTProject_Contact_Landlord].[PMT Landlord State Code].[All]" allUniqueName="[PMTProject_Contact_Landlord].[PMT Landlord State Code].[All]" dimensionUniqueName="[PMTProject_Contact_Landlord]" displayFolder="" count="0" unbalanced="0"/>
    <cacheHierarchy uniqueName="[PMTProject_Contact_Landlord].[PMT Landlord Title]" caption="PMT Landlord Title" attribute="1" defaultMemberUniqueName="[PMTProject_Contact_Landlord].[PMT Landlord Title].[All]" allUniqueName="[PMTProject_Contact_Landlord].[PMT Landlord Title].[All]" dimensionUniqueName="[PMTProject_Contact_Landlord]" displayFolder="" count="0" unbalanced="0"/>
    <cacheHierarchy uniqueName="[PMTProject_Contact_Landlord].[PMT Landlord Type Code]" caption="PMT Landlord Type Code" attribute="1" defaultMemberUniqueName="[PMTProject_Contact_Landlord].[PMT Landlord Type Code].[All]" allUniqueName="[PMTProject_Contact_Landlord].[PMT Landlord Type Code].[All]" dimensionUniqueName="[PMTProject_Contact_Landlord]" displayFolder="" count="0" unbalanced="0"/>
    <cacheHierarchy uniqueName="[PMTProject_Contact_Landlord].[PMT Landlord Type Description]" caption="PMT Landlord Type Description" attribute="1" defaultMemberUniqueName="[PMTProject_Contact_Landlord].[PMT Landlord Type Description].[All]" allUniqueName="[PMTProject_Contact_Landlord].[PMT Landlord Type Description].[All]" dimensionUniqueName="[PMTProject_Contact_Landlord]" displayFolder="" count="0" unbalanced="0"/>
    <cacheHierarchy uniqueName="[PMTProject_Contact_Landlord].[PMT Landlord Unique Business Key]" caption="PMT Landlord Unique Business Key" attribute="1" defaultMemberUniqueName="[PMTProject_Contact_Landlord].[PMT Landlord Unique Business Key].[All]" allUniqueName="[PMTProject_Contact_Landlord].[PMT Landlord Unique Business Key].[All]" dimensionUniqueName="[PMTProject_Contact_Landlord]" displayFolder="" count="0" unbalanced="0"/>
    <cacheHierarchy uniqueName="[PMTProject_Contact_Landlord].[PMT Landlord Unique Contact Key]" caption="PMT Landlord Unique Contact Key" attribute="1" defaultMemberUniqueName="[PMTProject_Contact_Landlord].[PMT Landlord Unique Contact Key].[All]" allUniqueName="[PMTProject_Contact_Landlord].[PMT Landlord Unique Contact Key].[All]" dimensionUniqueName="[PMTProject_Contact_Landlord]" displayFolder="" count="0" unbalanced="0"/>
    <cacheHierarchy uniqueName="[PMTProject_Contact_Landlord].[PMT Landlord Work Phone Extension]" caption="PMT Landlord Work Phone Extension" attribute="1" defaultMemberUniqueName="[PMTProject_Contact_Landlord].[PMT Landlord Work Phone Extension].[All]" allUniqueName="[PMTProject_Contact_Landlord].[PMT Landlord Work Phone Extension].[All]" dimensionUniqueName="[PMTProject_Contact_Landlord]" displayFolder="" count="0" unbalanced="0"/>
    <cacheHierarchy uniqueName="[PMTProject_Contact_Landlord].[PMT Landlord Work Phone Number]" caption="PMT Landlord Work Phone Number" attribute="1" defaultMemberUniqueName="[PMTProject_Contact_Landlord].[PMT Landlord Work Phone Number].[All]" allUniqueName="[PMTProject_Contact_Landlord].[PMT Landlord Work Phone Number].[All]" dimensionUniqueName="[PMTProject_Contact_Landlord]" displayFolder="" count="0" unbalanced="0"/>
    <cacheHierarchy uniqueName="[PMTPurchaseDate].[DateKey]" caption="DateKey" attribute="1" defaultMemberUniqueName="[PMTPurchaseDate].[DateKey].[All]" allUniqueName="[PMTPurchaseDate].[DateKey].[All]" dimensionUniqueName="[PMTPurchaseDate]" displayFolder="" count="0" unbalanced="0"/>
    <cacheHierarchy uniqueName="[PMTPurchaseDate].[HierPMTPurchaseDatePY]" caption="HierPMTPurchaseDatePY" defaultMemberUniqueName="[PMTPurchaseDate].[HierPMTPurchaseDatePY].[All]" allUniqueName="[PMTPurchaseDate].[HierPMTPurchaseDatePY].[All]" dimensionUniqueName="[PMTPurchaseDate]" displayFolder="" count="4" unbalanced="0"/>
    <cacheHierarchy uniqueName="[PMTPurchaseDate].[HierPMTPurchaseDateYear]" caption="HierPMTPurchaseDateYear" defaultMemberUniqueName="[PMTPurchaseDate].[HierPMTPurchaseDateYear].[All]" allUniqueName="[PMTPurchaseDate].[HierPMTPurchaseDateYear].[All]" dimensionUniqueName="[PMTPurchaseDate]" displayFolder="" count="4" unbalanced="0"/>
    <cacheHierarchy uniqueName="[PMTPurchaseDate].[PMT Purchase Date]" caption="PMT Purchase Date" attribute="1" defaultMemberUniqueName="[PMTPurchaseDate].[PMT Purchase Date].[All]" allUniqueName="[PMTPurchaseDate].[PMT Purchase Date].[All]" dimensionUniqueName="[PMTPurchaseDate]" displayFolder="" count="0" unbalanced="0"/>
    <cacheHierarchy uniqueName="[PMTPurchaseDate].[PMT Purchase DayOfMonth]" caption="PMT Purchase DayOfMonth" attribute="1" defaultMemberUniqueName="[PMTPurchaseDate].[PMT Purchase DayOfMonth].[All]" allUniqueName="[PMTPurchaseDate].[PMT Purchase DayOfMonth].[All]" dimensionUniqueName="[PMTPurchaseDate]" displayFolder="" count="0" unbalanced="0"/>
    <cacheHierarchy uniqueName="[PMTPurchaseDate].[PMT Purchase DayOfWeek]" caption="PMT Purchase DayOfWeek" attribute="1" defaultMemberUniqueName="[PMTPurchaseDate].[PMT Purchase DayOfWeek].[All]" allUniqueName="[PMTPurchaseDate].[PMT Purchase DayOfWeek].[All]" dimensionUniqueName="[PMTPurchaseDate]" displayFolder="" count="0" unbalanced="0"/>
    <cacheHierarchy uniqueName="[PMTPurchaseDate].[PMT Purchase DayOfWeekName]" caption="PMT Purchase DayOfWeekName" attribute="1" defaultMemberUniqueName="[PMTPurchaseDate].[PMT Purchase DayOfWeekName].[All]" allUniqueName="[PMTPurchaseDate].[PMT Purchase DayOfWeekName].[All]" dimensionUniqueName="[PMTPurchaseDate]" displayFolder="" count="0" unbalanced="0"/>
    <cacheHierarchy uniqueName="[PMTPurchaseDate].[PMT Purchase DayOfYear]" caption="PMT Purchase DayOfYear" attribute="1" defaultMemberUniqueName="[PMTPurchaseDate].[PMT Purchase DayOfYear].[All]" allUniqueName="[PMTPurchaseDate].[PMT Purchase DayOfYear].[All]" dimensionUniqueName="[PMTPurchaseDate]" displayFolder="" count="0" unbalanced="0"/>
    <cacheHierarchy uniqueName="[PMTPurchaseDate].[PMT Purchase HolidayInd]" caption="PMT Purchase HolidayInd" attribute="1" defaultMemberUniqueName="[PMTPurchaseDate].[PMT Purchase HolidayInd].[All]" allUniqueName="[PMTPurchaseDate].[PMT Purchase HolidayInd].[All]" dimensionUniqueName="[PMTPurchaseDate]" displayFolder="" count="0" unbalanced="0"/>
    <cacheHierarchy uniqueName="[PMTPurchaseDate].[PMT Purchase HolidayName]" caption="PMT Purchase HolidayName" attribute="1" defaultMemberUniqueName="[PMTPurchaseDate].[PMT Purchase HolidayName].[All]" allUniqueName="[PMTPurchaseDate].[PMT Purchase HolidayName].[All]" dimensionUniqueName="[PMTPurchaseDate]" displayFolder="" count="0" unbalanced="0"/>
    <cacheHierarchy uniqueName="[PMTPurchaseDate].[PMT Purchase LastDateOfMonth]" caption="PMT Purchase LastDateOfMonth" attribute="1" defaultMemberUniqueName="[PMTPurchaseDate].[PMT Purchase LastDateOfMonth].[All]" allUniqueName="[PMTPurchaseDate].[PMT Purchase LastDateOfMonth].[All]" dimensionUniqueName="[PMTPurchaseDate]" displayFolder="" count="0" unbalanced="0"/>
    <cacheHierarchy uniqueName="[PMTPurchaseDate].[PMT Purchase LastDayOfMonthIndicator]" caption="PMT Purchase LastDayOfMonthIndicator" attribute="1" defaultMemberUniqueName="[PMTPurchaseDate].[PMT Purchase LastDayOfMonthIndicator].[All]" allUniqueName="[PMTPurchaseDate].[PMT Purchase LastDayOfMonthIndicator].[All]" dimensionUniqueName="[PMTPurchaseDate]" displayFolder="" count="0" unbalanced="0"/>
    <cacheHierarchy uniqueName="[PMTPurchaseDate].[PMT Purchase Month]" caption="PMT Purchase Month" attribute="1" defaultMemberUniqueName="[PMTPurchaseDate].[PMT Purchase Month].[All]" allUniqueName="[PMTPurchaseDate].[PMT Purchase Month].[All]" dimensionUniqueName="[PMTPurchaseDate]" displayFolder="" count="0" unbalanced="0"/>
    <cacheHierarchy uniqueName="[PMTPurchaseDate].[PMT Purchase MonthNbr]" caption="PMT Purchase MonthNbr" attribute="1" defaultMemberUniqueName="[PMTPurchaseDate].[PMT Purchase MonthNbr].[All]" allUniqueName="[PMTPurchaseDate].[PMT Purchase MonthNbr].[All]" dimensionUniqueName="[PMTPurchaseDate]" displayFolder="" count="0" unbalanced="0"/>
    <cacheHierarchy uniqueName="[PMTPurchaseDate].[PMT Purchase Plan Month and Year]" caption="PMT Purchase Plan Month and Year" attribute="1" defaultMemberUniqueName="[PMTPurchaseDate].[PMT Purchase Plan Month and Year].[All]" allUniqueName="[PMTPurchaseDate].[PMT Purchase Plan Month and Year].[All]" dimensionUniqueName="[PMTPurchaseDate]" displayFolder="" count="0" unbalanced="0"/>
    <cacheHierarchy uniqueName="[PMTPurchaseDate].[PMT Purchase Plan Month Number]" caption="PMT Purchase Plan Month Number" attribute="1" defaultMemberUniqueName="[PMTPurchaseDate].[PMT Purchase Plan Month Number].[All]" allUniqueName="[PMTPurchaseDate].[PMT Purchase Plan Month Number].[All]" dimensionUniqueName="[PMTPurchaseDate]" displayFolder="" count="0" unbalanced="0"/>
    <cacheHierarchy uniqueName="[PMTPurchaseDate].[PMT Purchase Plan Quarter Number]" caption="PMT Purchase Plan Quarter Number" attribute="1" defaultMemberUniqueName="[PMTPurchaseDate].[PMT Purchase Plan Quarter Number].[All]" allUniqueName="[PMTPurchaseDate].[PMT Purchase Plan Quarter Number].[All]" dimensionUniqueName="[PMTPurchaseDate]" displayFolder="" count="0" unbalanced="0"/>
    <cacheHierarchy uniqueName="[PMTPurchaseDate].[PMT Purchase PY]" caption="PMT Purchase PY" attribute="1" defaultMemberUniqueName="[PMTPurchaseDate].[PMT Purchase PY].[All]" allUniqueName="[PMTPurchaseDate].[PMT Purchase PY].[All]" dimensionUniqueName="[PMTPurchaseDate]" displayFolder="" count="0" unbalanced="0"/>
    <cacheHierarchy uniqueName="[PMTPurchaseDate].[PMT Purchase Qtr]" caption="PMT Purchase Qtr" attribute="1" defaultMemberUniqueName="[PMTPurchaseDate].[PMT Purchase Qtr].[All]" allUniqueName="[PMTPurchaseDate].[PMT Purchase Qtr].[All]" dimensionUniqueName="[PMTPurchaseDate]" displayFolder="" count="0" unbalanced="0"/>
    <cacheHierarchy uniqueName="[PMTPurchaseDate].[PMT Purchase Semester]" caption="PMT Purchase Semester" attribute="1" defaultMemberUniqueName="[PMTPurchaseDate].[PMT Purchase Semester].[All]" allUniqueName="[PMTPurchaseDate].[PMT Purchase Semester].[All]" dimensionUniqueName="[PMTPurchaseDate]" displayFolder="" count="0" unbalanced="0"/>
    <cacheHierarchy uniqueName="[PMTPurchaseDate].[PMT Purchase WeekdayWeekend]" caption="PMT Purchase WeekdayWeekend" attribute="1" defaultMemberUniqueName="[PMTPurchaseDate].[PMT Purchase WeekdayWeekend].[All]" allUniqueName="[PMTPurchaseDate].[PMT Purchase WeekdayWeekend].[All]" dimensionUniqueName="[PMTPurchaseDate]" displayFolder="" count="0" unbalanced="0"/>
    <cacheHierarchy uniqueName="[PMTPurchaseDate].[PMT Purchase WeekOfMonth]" caption="PMT Purchase WeekOfMonth" attribute="1" defaultMemberUniqueName="[PMTPurchaseDate].[PMT Purchase WeekOfMonth].[All]" allUniqueName="[PMTPurchaseDate].[PMT Purchase WeekOfMonth].[All]" dimensionUniqueName="[PMTPurchaseDate]" displayFolder="" count="0" unbalanced="0"/>
    <cacheHierarchy uniqueName="[PMTPurchaseDate].[PMT Purchase WeekOfYear]" caption="PMT Purchase WeekOfYear" attribute="1" defaultMemberUniqueName="[PMTPurchaseDate].[PMT Purchase WeekOfYear].[All]" allUniqueName="[PMTPurchaseDate].[PMT Purchase WeekOfYear].[All]" dimensionUniqueName="[PMTPurchaseDate]" displayFolder="" count="0" unbalanced="0"/>
    <cacheHierarchy uniqueName="[PMTPurchaseDate].[PMT Purchase WorkingDayInd]" caption="PMT Purchase WorkingDayInd" attribute="1" defaultMemberUniqueName="[PMTPurchaseDate].[PMT Purchase WorkingDayInd].[All]" allUniqueName="[PMTPurchaseDate].[PMT Purchase WorkingDayInd].[All]" dimensionUniqueName="[PMTPurchaseDate]" displayFolder="" count="0" unbalanced="0"/>
    <cacheHierarchy uniqueName="[PMTPurchaseDate].[PMT Purchase Year]" caption="PMT Purchase Year" attribute="1" defaultMemberUniqueName="[PMTPurchaseDate].[PMT Purchase Year].[All]" allUniqueName="[PMTPurchaseDate].[PMT Purchase Year].[All]" dimensionUniqueName="[PMTPurchaseDate]" displayFolder="" count="0" unbalanced="0"/>
    <cacheHierarchy uniqueName="[PMTPurchaseDate].[PMT Purchase YearMonthAsInteger]" caption="PMT Purchase YearMonthAsInteger" attribute="1" defaultMemberUniqueName="[PMTPurchaseDate].[PMT Purchase YearMonthAsInteger].[All]" allUniqueName="[PMTPurchaseDate].[PMT Purchase YearMonthAsInteger].[All]" dimensionUniqueName="[PMTPurchaseDate]" displayFolder="" count="0" unbalanced="0"/>
    <cacheHierarchy uniqueName="[PMTPurchaseDate].[PMT Purchase YearQuarterAsInteger]" caption="PMT Purchase YearQuarterAsInteger" attribute="1" defaultMemberUniqueName="[PMTPurchaseDate].[PMT Purchase YearQuarterAsInteger].[All]" allUniqueName="[PMTPurchaseDate].[PMT Purchase YearQuarterAsInteger].[All]" dimensionUniqueName="[PMTPurchaseDate]" displayFolder="" count="0" unbalanced="0"/>
    <cacheHierarchy uniqueName="[PMTPurchaseDate].[PMT Purchase YearSemesterAsInteger]" caption="PMT Purchase YearSemesterAsInteger" attribute="1" defaultMemberUniqueName="[PMTPurchaseDate].[PMT Purchase YearSemesterAsInteger].[All]" allUniqueName="[PMTPurchaseDate].[PMT Purchase YearSemesterAsInteger].[All]" dimensionUniqueName="[PMTPurchaseDate]" displayFolder="" count="0" unbalanced="0"/>
    <cacheHierarchy uniqueName="[PMTRptRefDate].[HierPMTRptRefDatePY]" caption="HierPMTRptRefDatePY" defaultMemberUniqueName="[PMTRptRefDate].[HierPMTRptRefDatePY].[All]" allUniqueName="[PMTRptRefDate].[HierPMTRptRefDatePY].[All]" dimensionUniqueName="[PMTRptRefDate]" displayFolder="" count="4" unbalanced="0"/>
    <cacheHierarchy uniqueName="[PMTRptRefDate].[HierPMTRptRefDateYear]" caption="HierPMTRptRefDateYear" defaultMemberUniqueName="[PMTRptRefDate].[HierPMTRptRefDateYear].[All]" allUniqueName="[PMTRptRefDate].[HierPMTRptRefDateYear].[All]" dimensionUniqueName="[PMTRptRefDate]" displayFolder="" count="4" unbalanced="0"/>
    <cacheHierarchy uniqueName="[PMTRptRefDate].[PMT RptRef Date]" caption="PMT RptRef Date" attribute="1" defaultMemberUniqueName="[PMTRptRefDate].[PMT RptRef Date].[All]" allUniqueName="[PMTRptRefDate].[PMT RptRef Date].[All]" dimensionUniqueName="[PMTRptRefDate]" displayFolder="" count="0" unbalanced="0"/>
    <cacheHierarchy uniqueName="[PMTRptRefDate].[PMT RptRef DayOfMonth]" caption="PMT RptRef DayOfMonth" attribute="1" defaultMemberUniqueName="[PMTRptRefDate].[PMT RptRef DayOfMonth].[All]" allUniqueName="[PMTRptRefDate].[PMT RptRef DayOfMonth].[All]" dimensionUniqueName="[PMTRptRefDate]" displayFolder="" count="0" unbalanced="0"/>
    <cacheHierarchy uniqueName="[PMTRptRefDate].[PMT RptRef DayOfWeek]" caption="PMT RptRef DayOfWeek" attribute="1" defaultMemberUniqueName="[PMTRptRefDate].[PMT RptRef DayOfWeek].[All]" allUniqueName="[PMTRptRefDate].[PMT RptRef DayOfWeek].[All]" dimensionUniqueName="[PMTRptRefDate]" displayFolder="" count="0" unbalanced="0"/>
    <cacheHierarchy uniqueName="[PMTRptRefDate].[PMT RptRef DayOfWeekName]" caption="PMT RptRef DayOfWeekName" attribute="1" defaultMemberUniqueName="[PMTRptRefDate].[PMT RptRef DayOfWeekName].[All]" allUniqueName="[PMTRptRefDate].[PMT RptRef DayOfWeekName].[All]" dimensionUniqueName="[PMTRptRefDate]" displayFolder="" count="0" unbalanced="0"/>
    <cacheHierarchy uniqueName="[PMTRptRefDate].[PMT RptRef DayOfYear]" caption="PMT RptRef DayOfYear" attribute="1" defaultMemberUniqueName="[PMTRptRefDate].[PMT RptRef DayOfYear].[All]" allUniqueName="[PMTRptRefDate].[PMT RptRef DayOfYear].[All]" dimensionUniqueName="[PMTRptRefDate]" displayFolder="" count="0" unbalanced="0"/>
    <cacheHierarchy uniqueName="[PMTRptRefDate].[PMT RptRef HolidayInd]" caption="PMT RptRef HolidayInd" attribute="1" defaultMemberUniqueName="[PMTRptRefDate].[PMT RptRef HolidayInd].[All]" allUniqueName="[PMTRptRefDate].[PMT RptRef HolidayInd].[All]" dimensionUniqueName="[PMTRptRefDate]" displayFolder="" count="0" unbalanced="0"/>
    <cacheHierarchy uniqueName="[PMTRptRefDate].[PMT RptRef HolidayName]" caption="PMT RptRef HolidayName" attribute="1" defaultMemberUniqueName="[PMTRptRefDate].[PMT RptRef HolidayName].[All]" allUniqueName="[PMTRptRefDate].[PMT RptRef HolidayName].[All]" dimensionUniqueName="[PMTRptRefDate]" displayFolder="" count="0" unbalanced="0"/>
    <cacheHierarchy uniqueName="[PMTRptRefDate].[PMT RptRef LastDateOfMonth]" caption="PMT RptRef LastDateOfMonth" attribute="1" defaultMemberUniqueName="[PMTRptRefDate].[PMT RptRef LastDateOfMonth].[All]" allUniqueName="[PMTRptRefDate].[PMT RptRef LastDateOfMonth].[All]" dimensionUniqueName="[PMTRptRefDate]" displayFolder="" count="0" unbalanced="0"/>
    <cacheHierarchy uniqueName="[PMTRptRefDate].[PMT RptRef LastDayOfMonthIndicator]" caption="PMT RptRef LastDayOfMonthIndicator" attribute="1" defaultMemberUniqueName="[PMTRptRefDate].[PMT RptRef LastDayOfMonthIndicator].[All]" allUniqueName="[PMTRptRefDate].[PMT RptRef LastDayOfMonthIndicator].[All]" dimensionUniqueName="[PMTRptRefDate]" displayFolder="" count="0" unbalanced="0"/>
    <cacheHierarchy uniqueName="[PMTRptRefDate].[PMT RptRef Month]" caption="PMT RptRef Month" attribute="1" defaultMemberUniqueName="[PMTRptRefDate].[PMT RptRef Month].[All]" allUniqueName="[PMTRptRefDate].[PMT RptRef Month].[All]" dimensionUniqueName="[PMTRptRefDate]" displayFolder="" count="0" unbalanced="0"/>
    <cacheHierarchy uniqueName="[PMTRptRefDate].[PMT RptRef MonthNbr]" caption="PMT RptRef MonthNbr" attribute="1" defaultMemberUniqueName="[PMTRptRefDate].[PMT RptRef MonthNbr].[All]" allUniqueName="[PMTRptRefDate].[PMT RptRef MonthNbr].[All]" dimensionUniqueName="[PMTRptRefDate]" displayFolder="" count="0" unbalanced="0"/>
    <cacheHierarchy uniqueName="[PMTRptRefDate].[PMT RptRef Plan Month and Year]" caption="PMT RptRef Plan Month and Year" attribute="1" defaultMemberUniqueName="[PMTRptRefDate].[PMT RptRef Plan Month and Year].[All]" allUniqueName="[PMTRptRefDate].[PMT RptRef Plan Month and Year].[All]" dimensionUniqueName="[PMTRptRefDate]" displayFolder="" count="0" unbalanced="0"/>
    <cacheHierarchy uniqueName="[PMTRptRefDate].[PMT RptRef Plan Month Number]" caption="PMT RptRef Plan Month Number" attribute="1" defaultMemberUniqueName="[PMTRptRefDate].[PMT RptRef Plan Month Number].[All]" allUniqueName="[PMTRptRefDate].[PMT RptRef Plan Month Number].[All]" dimensionUniqueName="[PMTRptRefDate]" displayFolder="" count="0" unbalanced="0"/>
    <cacheHierarchy uniqueName="[PMTRptRefDate].[PMT RptRef Plan Quarter Number]" caption="PMT RptRef Plan Quarter Number" attribute="1" defaultMemberUniqueName="[PMTRptRefDate].[PMT RptRef Plan Quarter Number].[All]" allUniqueName="[PMTRptRefDate].[PMT RptRef Plan Quarter Number].[All]" dimensionUniqueName="[PMTRptRefDate]" displayFolder="" count="0" unbalanced="0"/>
    <cacheHierarchy uniqueName="[PMTRptRefDate].[PMT RptRef PY]" caption="PMT RptRef PY" attribute="1" defaultMemberUniqueName="[PMTRptRefDate].[PMT RptRef PY].[All]" allUniqueName="[PMTRptRefDate].[PMT RptRef PY].[All]" dimensionUniqueName="[PMTRptRefDate]" displayFolder="" count="0" unbalanced="0"/>
    <cacheHierarchy uniqueName="[PMTRptRefDate].[PMT RptRef Qtr]" caption="PMT RptRef Qtr" attribute="1" defaultMemberUniqueName="[PMTRptRefDate].[PMT RptRef Qtr].[All]" allUniqueName="[PMTRptRefDate].[PMT RptRef Qtr].[All]" dimensionUniqueName="[PMTRptRefDate]" displayFolder="" count="0" unbalanced="0"/>
    <cacheHierarchy uniqueName="[PMTRptRefDate].[PMT RptRef Semester]" caption="PMT RptRef Semester" attribute="1" defaultMemberUniqueName="[PMTRptRefDate].[PMT RptRef Semester].[All]" allUniqueName="[PMTRptRefDate].[PMT RptRef Semester].[All]" dimensionUniqueName="[PMTRptRefDate]" displayFolder="" count="0" unbalanced="0"/>
    <cacheHierarchy uniqueName="[PMTRptRefDate].[PMT RptRef WeekdayWeekend]" caption="PMT RptRef WeekdayWeekend" attribute="1" defaultMemberUniqueName="[PMTRptRefDate].[PMT RptRef WeekdayWeekend].[All]" allUniqueName="[PMTRptRefDate].[PMT RptRef WeekdayWeekend].[All]" dimensionUniqueName="[PMTRptRefDate]" displayFolder="" count="0" unbalanced="0"/>
    <cacheHierarchy uniqueName="[PMTRptRefDate].[PMT RptRef WeekOfMonth]" caption="PMT RptRef WeekOfMonth" attribute="1" defaultMemberUniqueName="[PMTRptRefDate].[PMT RptRef WeekOfMonth].[All]" allUniqueName="[PMTRptRefDate].[PMT RptRef WeekOfMonth].[All]" dimensionUniqueName="[PMTRptRefDate]" displayFolder="" count="0" unbalanced="0"/>
    <cacheHierarchy uniqueName="[PMTRptRefDate].[PMT RptRef WeekOfYear]" caption="PMT RptRef WeekOfYear" attribute="1" defaultMemberUniqueName="[PMTRptRefDate].[PMT RptRef WeekOfYear].[All]" allUniqueName="[PMTRptRefDate].[PMT RptRef WeekOfYear].[All]" dimensionUniqueName="[PMTRptRefDate]" displayFolder="" count="0" unbalanced="0"/>
    <cacheHierarchy uniqueName="[PMTRptRefDate].[PMT RptRef WorkingDayInd]" caption="PMT RptRef WorkingDayInd" attribute="1" defaultMemberUniqueName="[PMTRptRefDate].[PMT RptRef WorkingDayInd].[All]" allUniqueName="[PMTRptRefDate].[PMT RptRef WorkingDayInd].[All]" dimensionUniqueName="[PMTRptRefDate]" displayFolder="" count="0" unbalanced="0"/>
    <cacheHierarchy uniqueName="[PMTRptRefDate].[PMT RptRef Year]" caption="PMT RptRef Year" attribute="1" defaultMemberUniqueName="[PMTRptRefDate].[PMT RptRef Year].[All]" allUniqueName="[PMTRptRefDate].[PMT RptRef Year].[All]" dimensionUniqueName="[PMTRptRefDate]" displayFolder="" count="0" unbalanced="0"/>
    <cacheHierarchy uniqueName="[PMTRptRefDate].[PMT RptRef YearMonthAsInteger]" caption="PMT RptRef YearMonthAsInteger" attribute="1" defaultMemberUniqueName="[PMTRptRefDate].[PMT RptRef YearMonthAsInteger].[All]" allUniqueName="[PMTRptRefDate].[PMT RptRef YearMonthAsInteger].[All]" dimensionUniqueName="[PMTRptRefDate]" displayFolder="" count="0" unbalanced="0"/>
    <cacheHierarchy uniqueName="[PMTRptRefDate].[PMT RptRef YearQuarterAsInteger]" caption="PMT RptRef YearQuarterAsInteger" attribute="1" defaultMemberUniqueName="[PMTRptRefDate].[PMT RptRef YearQuarterAsInteger].[All]" allUniqueName="[PMTRptRefDate].[PMT RptRef YearQuarterAsInteger].[All]" dimensionUniqueName="[PMTRptRefDate]" displayFolder="" count="0" unbalanced="0"/>
    <cacheHierarchy uniqueName="[PMTRptRefDate].[PMT RptRef YearSemesterAsInteger]" caption="PMT RptRef YearSemesterAsInteger" attribute="1" defaultMemberUniqueName="[PMTRptRefDate].[PMT RptRef YearSemesterAsInteger].[All]" allUniqueName="[PMTRptRefDate].[PMT RptRef YearSemesterAsInteger].[All]" dimensionUniqueName="[PMTRptRefDate]" displayFolder="" count="0" unbalanced="0"/>
    <cacheHierarchy uniqueName="[PMTYearBuiltLevelFilter].[PMT Contruction Year Level]" caption="PMT Contruction Year Level" attribute="1" defaultMemberUniqueName="[PMTYearBuiltLevelFilter].[PMT Contruction Year Level].[All]" allUniqueName="[PMTYearBuiltLevelFilter].[PMT Contruction Year Level].[All]" dimensionUniqueName="[PMTYearBuiltLevelFilter]" displayFolder="" count="0" unbalanced="0"/>
    <cacheHierarchy uniqueName="[Project_LastRenovationDate].[HierLastMajorRenovationDatePY]" caption="HierLastMajorRenovationDatePY" defaultMemberUniqueName="[Project_LastRenovationDate].[HierLastMajorRenovationDatePY].[All]" allUniqueName="[Project_LastRenovationDate].[HierLastMajorRenovationDatePY].[All]" dimensionUniqueName="[Project_LastRenovationDate]" displayFolder="" count="4" unbalanced="0"/>
    <cacheHierarchy uniqueName="[Project_LastRenovationDate].[HierLastMajorRenovationDateYear]" caption="HierLastMajorRenovationDateYear" defaultMemberUniqueName="[Project_LastRenovationDate].[HierLastMajorRenovationDateYear].[All]" allUniqueName="[Project_LastRenovationDate].[HierLastMajorRenovationDateYear].[All]" dimensionUniqueName="[Project_LastRenovationDate]" displayFolder="" count="4" unbalanced="0"/>
    <cacheHierarchy uniqueName="[Project_LastRenovationDate].[LastRenovation  Day Of Year]" caption="LastRenovation  Day Of Year" attribute="1" defaultMemberUniqueName="[Project_LastRenovationDate].[LastRenovation  Day Of Year].[All]" allUniqueName="[Project_LastRenovationDate].[LastRenovation  Day Of Year].[All]" dimensionUniqueName="[Project_LastRenovationDate]" displayFolder="" count="0" unbalanced="0"/>
    <cacheHierarchy uniqueName="[Project_LastRenovationDate].[LastRenovation  Holiday Name]" caption="LastRenovation  Holiday Name" attribute="1" defaultMemberUniqueName="[Project_LastRenovationDate].[LastRenovation  Holiday Name].[All]" allUniqueName="[Project_LastRenovationDate].[LastRenovation  Holiday Name].[All]" dimensionUniqueName="[Project_LastRenovationDate]" displayFolder="" count="0" unbalanced="0"/>
    <cacheHierarchy uniqueName="[Project_LastRenovationDate].[LastRenovation  Month]" caption="LastRenovation  Month" attribute="1" defaultMemberUniqueName="[Project_LastRenovationDate].[LastRenovation  Month].[All]" allUniqueName="[Project_LastRenovationDate].[LastRenovation  Month].[All]" dimensionUniqueName="[Project_LastRenovationDate]" displayFolder="" count="0" unbalanced="0"/>
    <cacheHierarchy uniqueName="[Project_LastRenovationDate].[LastRenovation  Month Nbr]" caption="LastRenovation  Month Nbr" attribute="1" defaultMemberUniqueName="[Project_LastRenovationDate].[LastRenovation  Month Nbr].[All]" allUniqueName="[Project_LastRenovationDate].[LastRenovation  Month Nbr].[All]" dimensionUniqueName="[Project_LastRenovationDate]" displayFolder="" count="0" unbalanced="0"/>
    <cacheHierarchy uniqueName="[Project_LastRenovationDate].[LastRenovation  PY]" caption="LastRenovation  PY" attribute="1" defaultMemberUniqueName="[Project_LastRenovationDate].[LastRenovation  PY].[All]" allUniqueName="[Project_LastRenovationDate].[LastRenovation  PY].[All]" dimensionUniqueName="[Project_LastRenovationDate]" displayFolder="" count="0" unbalanced="0"/>
    <cacheHierarchy uniqueName="[Project_LastRenovationDate].[LastRenovation  Qtr]" caption="LastRenovation  Qtr" attribute="1" defaultMemberUniqueName="[Project_LastRenovationDate].[LastRenovation  Qtr].[All]" allUniqueName="[Project_LastRenovationDate].[LastRenovation  Qtr].[All]" dimensionUniqueName="[Project_LastRenovationDate]" displayFolder="" count="0" unbalanced="0"/>
    <cacheHierarchy uniqueName="[Project_LastRenovationDate].[LastRenovation  Semester]" caption="LastRenovation  Semester" attribute="1" defaultMemberUniqueName="[Project_LastRenovationDate].[LastRenovation  Semester].[All]" allUniqueName="[Project_LastRenovationDate].[LastRenovation  Semester].[All]" dimensionUniqueName="[Project_LastRenovationDate]" displayFolder="" count="0" unbalanced="0"/>
    <cacheHierarchy uniqueName="[Project_LastRenovationDate].[LastRenovation  Weekday Weekend]" caption="LastRenovation  Weekday Weekend" attribute="1" defaultMemberUniqueName="[Project_LastRenovationDate].[LastRenovation  Weekday Weekend].[All]" allUniqueName="[Project_LastRenovationDate].[LastRenovation  Weekday Weekend].[All]" dimensionUniqueName="[Project_LastRenovationDate]" displayFolder="" count="0" unbalanced="0"/>
    <cacheHierarchy uniqueName="[Project_LastRenovationDate].[LastRenovation  Working Day Ind]" caption="LastRenovation  Working Day Ind" attribute="1" defaultMemberUniqueName="[Project_LastRenovationDate].[LastRenovation  Working Day Ind].[All]" allUniqueName="[Project_LastRenovationDate].[LastRenovation  Working Day Ind].[All]" dimensionUniqueName="[Project_LastRenovationDate]" displayFolder="" count="0" unbalanced="0"/>
    <cacheHierarchy uniqueName="[Project_LastRenovationDate].[LastRenovation Date]" caption="LastRenovation Date" attribute="1" defaultMemberUniqueName="[Project_LastRenovationDate].[LastRenovation Date].[All]" allUniqueName="[Project_LastRenovationDate].[LastRenovation Date].[All]" dimensionUniqueName="[Project_LastRenovationDate]" displayFolder="" count="0" unbalanced="0"/>
    <cacheHierarchy uniqueName="[Project_LastRenovationDate].[LastRenovation Day Of Month]" caption="LastRenovation Day Of Month" attribute="1" defaultMemberUniqueName="[Project_LastRenovationDate].[LastRenovation Day Of Month].[All]" allUniqueName="[Project_LastRenovationDate].[LastRenovation Day Of Month].[All]" dimensionUniqueName="[Project_LastRenovationDate]" displayFolder="" count="0" unbalanced="0"/>
    <cacheHierarchy uniqueName="[Project_LastRenovationDate].[LastRenovation Day Of Week]" caption="LastRenovation Day Of Week" attribute="1" defaultMemberUniqueName="[Project_LastRenovationDate].[LastRenovation Day Of Week].[All]" allUniqueName="[Project_LastRenovationDate].[LastRenovation Day Of Week].[All]" dimensionUniqueName="[Project_LastRenovationDate]" displayFolder="" count="0" unbalanced="0"/>
    <cacheHierarchy uniqueName="[Project_LastRenovationDate].[LastRenovation Day Of Week Name]" caption="LastRenovation Day Of Week Name" attribute="1" defaultMemberUniqueName="[Project_LastRenovationDate].[LastRenovation Day Of Week Name].[All]" allUniqueName="[Project_LastRenovationDate].[LastRenovation Day Of Week Name].[All]" dimensionUniqueName="[Project_LastRenovationDate]" displayFolder="" count="0" unbalanced="0"/>
    <cacheHierarchy uniqueName="[Project_LastRenovationDate].[LastRenovation Holiday Ind]" caption="LastRenovation Holiday Ind" attribute="1" defaultMemberUniqueName="[Project_LastRenovationDate].[LastRenovation Holiday Ind].[All]" allUniqueName="[Project_LastRenovationDate].[LastRenovation Holiday Ind].[All]" dimensionUniqueName="[Project_LastRenovationDate]" displayFolder="" count="0" unbalanced="0"/>
    <cacheHierarchy uniqueName="[Project_LastRenovationDate].[LastRenovation Last Date Of Month]" caption="LastRenovation Last Date Of Month" attribute="1" defaultMemberUniqueName="[Project_LastRenovationDate].[LastRenovation Last Date Of Month].[All]" allUniqueName="[Project_LastRenovationDate].[LastRenovation Last Date Of Month].[All]" dimensionUniqueName="[Project_LastRenovationDate]" displayFolder="" count="0" unbalanced="0"/>
    <cacheHierarchy uniqueName="[Project_LastRenovationDate].[LastRenovation Last Day Of Month Indicator]" caption="LastRenovation Last Day Of Month Indicator" attribute="1" defaultMemberUniqueName="[Project_LastRenovationDate].[LastRenovation Last Day Of Month Indicator].[All]" allUniqueName="[Project_LastRenovationDate].[LastRenovation Last Day Of Month Indicator].[All]" dimensionUniqueName="[Project_LastRenovationDate]" displayFolder="" count="0" unbalanced="0"/>
    <cacheHierarchy uniqueName="[Project_LastRenovationDate].[LastRenovation Plan Month and Year]" caption="LastRenovation Plan Month and Year" attribute="1" defaultMemberUniqueName="[Project_LastRenovationDate].[LastRenovation Plan Month and Year].[All]" allUniqueName="[Project_LastRenovationDate].[LastRenovation Plan Month and Year].[All]" dimensionUniqueName="[Project_LastRenovationDate]" displayFolder="" count="0" unbalanced="0"/>
    <cacheHierarchy uniqueName="[Project_LastRenovationDate].[LastRenovation Plan Month Number]" caption="LastRenovation Plan Month Number" attribute="1" defaultMemberUniqueName="[Project_LastRenovationDate].[LastRenovation Plan Month Number].[All]" allUniqueName="[Project_LastRenovationDate].[LastRenovation Plan Month Number].[All]" dimensionUniqueName="[Project_LastRenovationDate]" displayFolder="" count="0" unbalanced="0"/>
    <cacheHierarchy uniqueName="[Project_LastRenovationDate].[LastRenovation Plan Quarter Number]" caption="LastRenovation Plan Quarter Number" attribute="1" defaultMemberUniqueName="[Project_LastRenovationDate].[LastRenovation Plan Quarter Number].[All]" allUniqueName="[Project_LastRenovationDate].[LastRenovation Plan Quarter Number].[All]" dimensionUniqueName="[Project_LastRenovationDate]" displayFolder="" count="0" unbalanced="0"/>
    <cacheHierarchy uniqueName="[Project_LastRenovationDate].[LastRenovation Week Of Month]" caption="LastRenovation Week Of Month" attribute="1" defaultMemberUniqueName="[Project_LastRenovationDate].[LastRenovation Week Of Month].[All]" allUniqueName="[Project_LastRenovationDate].[LastRenovation Week Of Month].[All]" dimensionUniqueName="[Project_LastRenovationDate]" displayFolder="" count="0" unbalanced="0"/>
    <cacheHierarchy uniqueName="[Project_LastRenovationDate].[LastRenovation Week Of Year]" caption="LastRenovation Week Of Year" attribute="1" defaultMemberUniqueName="[Project_LastRenovationDate].[LastRenovation Week Of Year].[All]" allUniqueName="[Project_LastRenovationDate].[LastRenovation Week Of Year].[All]" dimensionUniqueName="[Project_LastRenovationDate]" displayFolder="" count="0" unbalanced="0"/>
    <cacheHierarchy uniqueName="[Project_LastRenovationDate].[LastRenovation Year]" caption="LastRenovation Year" attribute="1" defaultMemberUniqueName="[Project_LastRenovationDate].[LastRenovation Year].[All]" allUniqueName="[Project_LastRenovationDate].[LastRenovation Year].[All]" dimensionUniqueName="[Project_LastRenovationDate]" displayFolder="" count="0" unbalanced="0"/>
    <cacheHierarchy uniqueName="[Project_LastRenovationDate].[LastRenovation Year Month As Integer]" caption="LastRenovation Year Month As Integer" attribute="1" defaultMemberUniqueName="[Project_LastRenovationDate].[LastRenovation Year Month As Integer].[All]" allUniqueName="[Project_LastRenovationDate].[LastRenovation Year Month As Integer].[All]" dimensionUniqueName="[Project_LastRenovationDate]" displayFolder="" count="0" unbalanced="0"/>
    <cacheHierarchy uniqueName="[Project_LastRenovationDate].[LastRenovation Year Quarter As Integer]" caption="LastRenovation Year Quarter As Integer" attribute="1" defaultMemberUniqueName="[Project_LastRenovationDate].[LastRenovation Year Quarter As Integer].[All]" allUniqueName="[Project_LastRenovationDate].[LastRenovation Year Quarter As Integer].[All]" dimensionUniqueName="[Project_LastRenovationDate]" displayFolder="" count="0" unbalanced="0"/>
    <cacheHierarchy uniqueName="[Project_LastRenovationDate].[LastRenovation Year Semester As Integer]" caption="LastRenovation Year Semester As Integer" attribute="1" defaultMemberUniqueName="[Project_LastRenovationDate].[LastRenovation Year Semester As Integer].[All]" allUniqueName="[Project_LastRenovationDate].[LastRenovation Year Semester As Integer].[All]" dimensionUniqueName="[Project_LastRenovationDate]" displayFolder="" count="0" unbalanced="0"/>
    <cacheHierarchy uniqueName="[ServiceAgreement_Account].[Bill Cycle Code]" caption="Bill Cycle Code" attribute="1" defaultMemberUniqueName="[ServiceAgreement_Account].[Bill Cycle Code].[All]" allUniqueName="[ServiceAgreement_Account].[Bill Cycle Code].[All]" dimensionUniqueName="[ServiceAgreement_Account]" displayFolder="" count="0" unbalanced="0"/>
    <cacheHierarchy uniqueName="[ServiceAgreement_Account].[Budget Plan Code]" caption="Budget Plan Code" attribute="1" defaultMemberUniqueName="[ServiceAgreement_Account].[Budget Plan Code].[All]" allUniqueName="[ServiceAgreement_Account].[Budget Plan Code].[All]" dimensionUniqueName="[ServiceAgreement_Account]" displayFolder="" count="0" unbalanced="0"/>
    <cacheHierarchy uniqueName="[ServiceAgreement_Account].[Customer Select PoolID]" caption="Customer Select PoolID" attribute="1" defaultMemberUniqueName="[ServiceAgreement_Account].[Customer Select PoolID].[All]" allUniqueName="[ServiceAgreement_Account].[Customer Select PoolID].[All]" dimensionUniqueName="[ServiceAgreement_Account]" displayFolder="" count="0" unbalanced="0"/>
    <cacheHierarchy uniqueName="[ServiceAgreement_Account].[Customer Select Supplier Code]" caption="Customer Select Supplier Code" attribute="1" defaultMemberUniqueName="[ServiceAgreement_Account].[Customer Select Supplier Code].[All]" allUniqueName="[ServiceAgreement_Account].[Customer Select Supplier Code].[All]" dimensionUniqueName="[ServiceAgreement_Account]" displayFolder="" count="0" unbalanced="0"/>
    <cacheHierarchy uniqueName="[ServiceAgreement_Account].[Customer Select Supplier Name]" caption="Customer Select Supplier Name" attribute="1" defaultMemberUniqueName="[ServiceAgreement_Account].[Customer Select Supplier Name].[All]" allUniqueName="[ServiceAgreement_Account].[Customer Select Supplier Name].[All]" dimensionUniqueName="[ServiceAgreement_Account]" displayFolder="" count="0" unbalanced="0"/>
    <cacheHierarchy uniqueName="[ServiceAgreement_Account].[Rate Eff Date]" caption="Rate Eff Date" attribute="1" defaultMemberUniqueName="[ServiceAgreement_Account].[Rate Eff Date].[All]" allUniqueName="[ServiceAgreement_Account].[Rate Eff Date].[All]" dimensionUniqueName="[ServiceAgreement_Account]" displayFolder="" count="0" unbalanced="0"/>
    <cacheHierarchy uniqueName="[ServiceAgreement_Account].[Rate Schedule Code]" caption="Rate Schedule Code" attribute="1" defaultMemberUniqueName="[ServiceAgreement_Account].[Rate Schedule Code].[All]" allUniqueName="[ServiceAgreement_Account].[Rate Schedule Code].[All]" dimensionUniqueName="[ServiceAgreement_Account]" displayFolder="" count="0" unbalanced="0"/>
    <cacheHierarchy uniqueName="[ServiceAgreement_Account].[Rate Schedule Description]" caption="Rate Schedule Description" attribute="1" defaultMemberUniqueName="[ServiceAgreement_Account].[Rate Schedule Description].[All]" allUniqueName="[ServiceAgreement_Account].[Rate Schedule Description].[All]" dimensionUniqueName="[ServiceAgreement_Account]" displayFolder="" count="0" unbalanced="0"/>
    <cacheHierarchy uniqueName="[ServiceAgreement_Account].[Rate Schedule Group Code]" caption="Rate Schedule Group Code" attribute="1" defaultMemberUniqueName="[ServiceAgreement_Account].[Rate Schedule Group Code].[All]" allUniqueName="[ServiceAgreement_Account].[Rate Schedule Group Code].[All]" dimensionUniqueName="[ServiceAgreement_Account]" displayFolder="" count="0" unbalanced="0"/>
    <cacheHierarchy uniqueName="[ServiceAgreement_Account].[SA Active Date]" caption="SA Active Date" attribute="1" defaultMemberUniqueName="[ServiceAgreement_Account].[SA Active Date].[All]" allUniqueName="[ServiceAgreement_Account].[SA Active Date].[All]" dimensionUniqueName="[ServiceAgreement_Account]" displayFolder="" count="0" unbalanced="0"/>
    <cacheHierarchy uniqueName="[ServiceAgreement_Account].[SA End Date]" caption="SA End Date" attribute="1" defaultMemberUniqueName="[ServiceAgreement_Account].[SA End Date].[All]" allUniqueName="[ServiceAgreement_Account].[SA End Date].[All]" dimensionUniqueName="[ServiceAgreement_Account]" displayFolder="" count="0" unbalanced="0"/>
    <cacheHierarchy uniqueName="[ServiceAgreement_Account].[SA Install Date]" caption="SA Install Date" attribute="1" defaultMemberUniqueName="[ServiceAgreement_Account].[SA Install Date].[All]" allUniqueName="[ServiceAgreement_Account].[SA Install Date].[All]" dimensionUniqueName="[ServiceAgreement_Account]" displayFolder="" count="0" unbalanced="0"/>
    <cacheHierarchy uniqueName="[ServiceAgreement_Account].[SA Start Date]" caption="SA Start Date" attribute="1" defaultMemberUniqueName="[ServiceAgreement_Account].[SA Start Date].[All]" allUniqueName="[ServiceAgreement_Account].[SA Start Date].[All]" dimensionUniqueName="[ServiceAgreement_Account]" displayFolder="" count="0" unbalanced="0"/>
    <cacheHierarchy uniqueName="[ServiceAgreement_Account].[Service Agreement CIS Division]" caption="Service Agreement CIS Division" attribute="1" defaultMemberUniqueName="[ServiceAgreement_Account].[Service Agreement CIS Division].[All]" allUniqueName="[ServiceAgreement_Account].[Service Agreement CIS Division].[All]" dimensionUniqueName="[ServiceAgreement_Account]" displayFolder="" count="0" unbalanced="0"/>
    <cacheHierarchy uniqueName="[ServiceAgreement_Account].[Service Agreement Contract Type]" caption="Service Agreement Contract Type" attribute="1" defaultMemberUniqueName="[ServiceAgreement_Account].[Service Agreement Contract Type].[All]" allUniqueName="[ServiceAgreement_Account].[Service Agreement Contract Type].[All]" dimensionUniqueName="[ServiceAgreement_Account]" displayFolder="" count="0" unbalanced="0"/>
    <cacheHierarchy uniqueName="[ServiceAgreement_Account].[Service Agreement Status Code]" caption="Service Agreement Status Code" attribute="1" defaultMemberUniqueName="[ServiceAgreement_Account].[Service Agreement Status Code].[All]" allUniqueName="[ServiceAgreement_Account].[Service Agreement Status Code].[All]" dimensionUniqueName="[ServiceAgreement_Account]" displayFolder="" count="0" unbalanced="0"/>
    <cacheHierarchy uniqueName="[ServiceAgreement_Account].[Service Agreement Type Code]" caption="Service Agreement Type Code" attribute="1" defaultMemberUniqueName="[ServiceAgreement_Account].[Service Agreement Type Code].[All]" allUniqueName="[ServiceAgreement_Account].[Service Agreement Type Code].[All]" dimensionUniqueName="[ServiceAgreement_Account]" displayFolder="" count="0" unbalanced="0"/>
    <cacheHierarchy uniqueName="[ServiceAgreement_Account].[Service Agreement Type Desc]" caption="Service Agreement Type Desc" attribute="1" defaultMemberUniqueName="[ServiceAgreement_Account].[Service Agreement Type Desc].[All]" allUniqueName="[ServiceAgreement_Account].[Service Agreement Type Desc].[All]" dimensionUniqueName="[ServiceAgreement_Account]" displayFolder="" count="0" unbalanced="0"/>
    <cacheHierarchy uniqueName="[ServiceAgreement_Account].[Service Agreement Utility Indicator]" caption="Service Agreement Utility Indicator" attribute="1" defaultMemberUniqueName="[ServiceAgreement_Account].[Service Agreement Utility Indicator].[All]" allUniqueName="[ServiceAgreement_Account].[Service Agreement Utility Indicator].[All]" dimensionUniqueName="[ServiceAgreement_Account]" displayFolder="" count="0" unbalanced="0"/>
    <cacheHierarchy uniqueName="[ServiceAgreement_Account].[Service AgreementID]" caption="Service AgreementID" attribute="1" defaultMemberUniqueName="[ServiceAgreement_Account].[Service AgreementID].[All]" allUniqueName="[ServiceAgreement_Account].[Service AgreementID].[All]" dimensionUniqueName="[ServiceAgreement_Account]" displayFolder="" count="0" unbalanced="0"/>
    <cacheHierarchy uniqueName="[ServiceAgreement_Account].[Service Point Type Code]" caption="Service Point Type Code" attribute="1" defaultMemberUniqueName="[ServiceAgreement_Account].[Service Point Type Code].[All]" allUniqueName="[ServiceAgreement_Account].[Service Point Type Code].[All]" dimensionUniqueName="[ServiceAgreement_Account]" displayFolder="" count="0" unbalanced="0"/>
    <cacheHierarchy uniqueName="[ServiceAgreement_Account].[Service Point Type Desc]" caption="Service Point Type Desc" attribute="1" defaultMemberUniqueName="[ServiceAgreement_Account].[Service Point Type Desc].[All]" allUniqueName="[ServiceAgreement_Account].[Service Point Type Desc].[All]" dimensionUniqueName="[ServiceAgreement_Account]" displayFolder="" count="0" unbalanced="0"/>
    <cacheHierarchy uniqueName="[ServiceAgreement_Account].[Service PointID]" caption="Service PointID" attribute="1" defaultMemberUniqueName="[ServiceAgreement_Account].[Service PointID].[All]" allUniqueName="[ServiceAgreement_Account].[Service PointID].[All]" dimensionUniqueName="[ServiceAgreement_Account]" displayFolder="" count="0" unbalanced="0"/>
    <cacheHierarchy uniqueName="[ServiceAgreement_Usage].[Bill Cycle Code]" caption="Bill Cycle Code" attribute="1" defaultMemberUniqueName="[ServiceAgreement_Usage].[Bill Cycle Code].[All]" allUniqueName="[ServiceAgreement_Usage].[Bill Cycle Code].[All]" dimensionUniqueName="[ServiceAgreement_Usage]" displayFolder="" count="0" unbalanced="0"/>
    <cacheHierarchy uniqueName="[ServiceAgreement_Usage].[Budget Plan Code]" caption="Budget Plan Code" attribute="1" defaultMemberUniqueName="[ServiceAgreement_Usage].[Budget Plan Code].[All]" allUniqueName="[ServiceAgreement_Usage].[Budget Plan Code].[All]" dimensionUniqueName="[ServiceAgreement_Usage]" displayFolder="" count="0" unbalanced="0"/>
    <cacheHierarchy uniqueName="[ServiceAgreement_Usage].[Customer Select PoolID]" caption="Customer Select PoolID" attribute="1" defaultMemberUniqueName="[ServiceAgreement_Usage].[Customer Select PoolID].[All]" allUniqueName="[ServiceAgreement_Usage].[Customer Select PoolID].[All]" dimensionUniqueName="[ServiceAgreement_Usage]" displayFolder="" count="0" unbalanced="0"/>
    <cacheHierarchy uniqueName="[ServiceAgreement_Usage].[Customer Select Supplier Code]" caption="Customer Select Supplier Code" attribute="1" defaultMemberUniqueName="[ServiceAgreement_Usage].[Customer Select Supplier Code].[All]" allUniqueName="[ServiceAgreement_Usage].[Customer Select Supplier Code].[All]" dimensionUniqueName="[ServiceAgreement_Usage]" displayFolder="" count="0" unbalanced="0"/>
    <cacheHierarchy uniqueName="[ServiceAgreement_Usage].[Customer Select Supplier Name]" caption="Customer Select Supplier Name" attribute="1" defaultMemberUniqueName="[ServiceAgreement_Usage].[Customer Select Supplier Name].[All]" allUniqueName="[ServiceAgreement_Usage].[Customer Select Supplier Name].[All]" dimensionUniqueName="[ServiceAgreement_Usage]" displayFolder="" count="0" unbalanced="0"/>
    <cacheHierarchy uniqueName="[ServiceAgreement_Usage].[Rate Eff Date]" caption="Rate Eff Date" attribute="1" defaultMemberUniqueName="[ServiceAgreement_Usage].[Rate Eff Date].[All]" allUniqueName="[ServiceAgreement_Usage].[Rate Eff Date].[All]" dimensionUniqueName="[ServiceAgreement_Usage]" displayFolder="" count="0" unbalanced="0"/>
    <cacheHierarchy uniqueName="[ServiceAgreement_Usage].[Rate Schedule Code]" caption="Rate Schedule Code" attribute="1" defaultMemberUniqueName="[ServiceAgreement_Usage].[Rate Schedule Code].[All]" allUniqueName="[ServiceAgreement_Usage].[Rate Schedule Code].[All]" dimensionUniqueName="[ServiceAgreement_Usage]" displayFolder="" count="0" unbalanced="0"/>
    <cacheHierarchy uniqueName="[ServiceAgreement_Usage].[Rate Schedule Description]" caption="Rate Schedule Description" attribute="1" defaultMemberUniqueName="[ServiceAgreement_Usage].[Rate Schedule Description].[All]" allUniqueName="[ServiceAgreement_Usage].[Rate Schedule Description].[All]" dimensionUniqueName="[ServiceAgreement_Usage]" displayFolder="" count="0" unbalanced="0"/>
    <cacheHierarchy uniqueName="[ServiceAgreement_Usage].[Rate Schedule Group Code]" caption="Rate Schedule Group Code" attribute="1" defaultMemberUniqueName="[ServiceAgreement_Usage].[Rate Schedule Group Code].[All]" allUniqueName="[ServiceAgreement_Usage].[Rate Schedule Group Code].[All]" dimensionUniqueName="[ServiceAgreement_Usage]" displayFolder="" count="0" unbalanced="0"/>
    <cacheHierarchy uniqueName="[ServiceAgreement_Usage].[SA Active Date]" caption="SA Active Date" attribute="1" defaultMemberUniqueName="[ServiceAgreement_Usage].[SA Active Date].[All]" allUniqueName="[ServiceAgreement_Usage].[SA Active Date].[All]" dimensionUniqueName="[ServiceAgreement_Usage]" displayFolder="" count="0" unbalanced="0"/>
    <cacheHierarchy uniqueName="[ServiceAgreement_Usage].[SA End Date]" caption="SA End Date" attribute="1" defaultMemberUniqueName="[ServiceAgreement_Usage].[SA End Date].[All]" allUniqueName="[ServiceAgreement_Usage].[SA End Date].[All]" dimensionUniqueName="[ServiceAgreement_Usage]" displayFolder="" count="0" unbalanced="0"/>
    <cacheHierarchy uniqueName="[ServiceAgreement_Usage].[SA Install Date]" caption="SA Install Date" attribute="1" defaultMemberUniqueName="[ServiceAgreement_Usage].[SA Install Date].[All]" allUniqueName="[ServiceAgreement_Usage].[SA Install Date].[All]" dimensionUniqueName="[ServiceAgreement_Usage]" displayFolder="" count="0" unbalanced="0"/>
    <cacheHierarchy uniqueName="[ServiceAgreement_Usage].[SA Start Date]" caption="SA Start Date" attribute="1" defaultMemberUniqueName="[ServiceAgreement_Usage].[SA Start Date].[All]" allUniqueName="[ServiceAgreement_Usage].[SA Start Date].[All]" dimensionUniqueName="[ServiceAgreement_Usage]" displayFolder="" count="0" unbalanced="0"/>
    <cacheHierarchy uniqueName="[ServiceAgreement_Usage].[Service Agreement CIS Division]" caption="Service Agreement CIS Division" attribute="1" defaultMemberUniqueName="[ServiceAgreement_Usage].[Service Agreement CIS Division].[All]" allUniqueName="[ServiceAgreement_Usage].[Service Agreement CIS Division].[All]" dimensionUniqueName="[ServiceAgreement_Usage]" displayFolder="" count="0" unbalanced="0"/>
    <cacheHierarchy uniqueName="[ServiceAgreement_Usage].[Service Agreement Contract Type]" caption="Service Agreement Contract Type" attribute="1" defaultMemberUniqueName="[ServiceAgreement_Usage].[Service Agreement Contract Type].[All]" allUniqueName="[ServiceAgreement_Usage].[Service Agreement Contract Type].[All]" dimensionUniqueName="[ServiceAgreement_Usage]" displayFolder="" count="0" unbalanced="0"/>
    <cacheHierarchy uniqueName="[ServiceAgreement_Usage].[Service Agreement Status Code]" caption="Service Agreement Status Code" attribute="1" defaultMemberUniqueName="[ServiceAgreement_Usage].[Service Agreement Status Code].[All]" allUniqueName="[ServiceAgreement_Usage].[Service Agreement Status Code].[All]" dimensionUniqueName="[ServiceAgreement_Usage]" displayFolder="" count="0" unbalanced="0"/>
    <cacheHierarchy uniqueName="[ServiceAgreement_Usage].[Service Agreement Type Code]" caption="Service Agreement Type Code" attribute="1" defaultMemberUniqueName="[ServiceAgreement_Usage].[Service Agreement Type Code].[All]" allUniqueName="[ServiceAgreement_Usage].[Service Agreement Type Code].[All]" dimensionUniqueName="[ServiceAgreement_Usage]" displayFolder="" count="0" unbalanced="0"/>
    <cacheHierarchy uniqueName="[ServiceAgreement_Usage].[Service Agreement Type Desc]" caption="Service Agreement Type Desc" attribute="1" defaultMemberUniqueName="[ServiceAgreement_Usage].[Service Agreement Type Desc].[All]" allUniqueName="[ServiceAgreement_Usage].[Service Agreement Type Desc].[All]" dimensionUniqueName="[ServiceAgreement_Usage]" displayFolder="" count="0" unbalanced="0"/>
    <cacheHierarchy uniqueName="[ServiceAgreement_Usage].[Service Agreement Utility Indicator]" caption="Service Agreement Utility Indicator" attribute="1" defaultMemberUniqueName="[ServiceAgreement_Usage].[Service Agreement Utility Indicator].[All]" allUniqueName="[ServiceAgreement_Usage].[Service Agreement Utility Indicator].[All]" dimensionUniqueName="[ServiceAgreement_Usage]" displayFolder="" count="0" unbalanced="0"/>
    <cacheHierarchy uniqueName="[ServiceAgreement_Usage].[Service AgreementID]" caption="Service AgreementID" attribute="1" defaultMemberUniqueName="[ServiceAgreement_Usage].[Service AgreementID].[All]" allUniqueName="[ServiceAgreement_Usage].[Service AgreementID].[All]" dimensionUniqueName="[ServiceAgreement_Usage]" displayFolder="" count="0" unbalanced="0"/>
    <cacheHierarchy uniqueName="[ServiceAgreement_Usage].[Service Point Type Code]" caption="Service Point Type Code" attribute="1" defaultMemberUniqueName="[ServiceAgreement_Usage].[Service Point Type Code].[All]" allUniqueName="[ServiceAgreement_Usage].[Service Point Type Code].[All]" dimensionUniqueName="[ServiceAgreement_Usage]" displayFolder="" count="0" unbalanced="0"/>
    <cacheHierarchy uniqueName="[ServiceAgreement_Usage].[Service Point Type Desc]" caption="Service Point Type Desc" attribute="1" defaultMemberUniqueName="[ServiceAgreement_Usage].[Service Point Type Desc].[All]" allUniqueName="[ServiceAgreement_Usage].[Service Point Type Desc].[All]" dimensionUniqueName="[ServiceAgreement_Usage]" displayFolder="" count="0" unbalanced="0"/>
    <cacheHierarchy uniqueName="[ServiceAgreement_Usage].[Service PointID]" caption="Service PointID" attribute="1" defaultMemberUniqueName="[ServiceAgreement_Usage].[Service PointID].[All]" allUniqueName="[ServiceAgreement_Usage].[Service PointID].[All]" dimensionUniqueName="[ServiceAgreement_Usage]" displayFolder="" count="0" unbalanced="0"/>
    <cacheHierarchy uniqueName="[UniqueContactMarketSegment].[Market Segment Code]" caption="Market Segment Code" attribute="1" defaultMemberUniqueName="[UniqueContactMarketSegment].[Market Segment Code].[All]" allUniqueName="[UniqueContactMarketSegment].[Market Segment Code].[All]" dimensionUniqueName="[UniqueContactMarketSegment]" displayFolder="" count="0" unbalanced="0"/>
    <cacheHierarchy uniqueName="[UniqueContactMarketSegment].[Market Segment Description]" caption="Market Segment Description" attribute="1" defaultMemberUniqueName="[UniqueContactMarketSegment].[Market Segment Description].[All]" allUniqueName="[UniqueContactMarketSegment].[Market Segment Description].[All]" dimensionUniqueName="[UniqueContactMarketSegment]" displayFolder="" count="0" unbalanced="0"/>
    <cacheHierarchy uniqueName="[UniqueMarketSegment].[Application Category Code]" caption="Application Category Code" attribute="1" defaultMemberUniqueName="[UniqueMarketSegment].[Application Category Code].[All]" allUniqueName="[UniqueMarketSegment].[Application Category Code].[All]" dimensionUniqueName="[UniqueMarketSegment]" displayFolder="" count="0" unbalanced="0"/>
    <cacheHierarchy uniqueName="[UniqueMarketSegment].[Application Category Description]" caption="Application Category Description" attribute="1" defaultMemberUniqueName="[UniqueMarketSegment].[Application Category Description].[All]" allUniqueName="[UniqueMarketSegment].[Application Category Description].[All]" dimensionUniqueName="[UniqueMarketSegment]" displayFolder="" count="0" unbalanced="0"/>
    <cacheHierarchy uniqueName="[UniqueMarketSegment].[HierUniqueMarketApplicationCategoryCode]" caption="HierUniqueMarketApplicationCategoryCode" defaultMemberUniqueName="[UniqueMarketSegment].[HierUniqueMarketApplicationCategoryCode].[All]" allUniqueName="[UniqueMarketSegment].[HierUniqueMarketApplicationCategoryCode].[All]" dimensionUniqueName="[UniqueMarketSegment]" displayFolder="" count="3" unbalanced="0"/>
    <cacheHierarchy uniqueName="[UniqueMarketSegment].[HierUniqueMarketApplicationCategoryDesc]" caption="HierUniqueMarketApplicationCategoryDesc" defaultMemberUniqueName="[UniqueMarketSegment].[HierUniqueMarketApplicationCategoryDesc].[All]" allUniqueName="[UniqueMarketSegment].[HierUniqueMarketApplicationCategoryDesc].[All]" dimensionUniqueName="[UniqueMarketSegment]" displayFolder="" count="3" unbalanced="0"/>
    <cacheHierarchy uniqueName="[UniqueMarketSegment].[Market Segment Code]" caption="Market Segment Code" attribute="1" defaultMemberUniqueName="[UniqueMarketSegment].[Market Segment Code].[All]" allUniqueName="[UniqueMarketSegment].[Market Segment Code].[All]" dimensionUniqueName="[UniqueMarketSegment]" displayFolder="" count="0" unbalanced="0"/>
    <cacheHierarchy uniqueName="[UniqueMarketSegment].[Market Segment Description]" caption="Market Segment Description" attribute="1" defaultMemberUniqueName="[UniqueMarketSegment].[Market Segment Description].[All]" allUniqueName="[UniqueMarketSegment].[Market Segment Description].[All]" dimensionUniqueName="[UniqueMarketSegment]" displayFolder="" count="0" unbalanced="0"/>
    <cacheHierarchy uniqueName="[UniqueYearBuiltLevelFilter].[Unique Contruction Year Level]" caption="Unique Contruction Year Level" attribute="1" defaultMemberUniqueName="[UniqueYearBuiltLevelFilter].[Unique Contruction Year Level].[All]" allUniqueName="[UniqueYearBuiltLevelFilter].[Unique Contruction Year Level].[All]" dimensionUniqueName="[UniqueYearBuiltLevelFilter]" displayFolder="" count="0" unbalanced="0"/>
    <cacheHierarchy uniqueName="[UsageAcctgDate].[HierAccountingDatePY]" caption="HierAccountingDatePY" defaultMemberUniqueName="[UsageAcctgDate].[HierAccountingDatePY].[All]" allUniqueName="[UsageAcctgDate].[HierAccountingDatePY].[All]" dimensionUniqueName="[UsageAcctgDate]" displayFolder="" count="4" unbalanced="0"/>
    <cacheHierarchy uniqueName="[UsageAcctgDate].[HierAccountingDateYear]" caption="HierAccountingDateYear" defaultMemberUniqueName="[UsageAcctgDate].[HierAccountingDateYear].[All]" allUniqueName="[UsageAcctgDate].[HierAccountingDateYear].[All]" dimensionUniqueName="[UsageAcctgDate]" displayFolder="" count="4" unbalanced="0"/>
    <cacheHierarchy uniqueName="[UsageAcctgDate].[Usage Acctg Date]" caption="Usage Acctg Date" attribute="1" defaultMemberUniqueName="[UsageAcctgDate].[Usage Acctg Date].[All]" allUniqueName="[UsageAcctgDate].[Usage Acctg Date].[All]" dimensionUniqueName="[UsageAcctgDate]" displayFolder="" count="0" unbalanced="0"/>
    <cacheHierarchy uniqueName="[UsageAcctgDate].[Usage Acctg DayOfMonth]" caption="Usage Acctg DayOfMonth" attribute="1" defaultMemberUniqueName="[UsageAcctgDate].[Usage Acctg DayOfMonth].[All]" allUniqueName="[UsageAcctgDate].[Usage Acctg DayOfMonth].[All]" dimensionUniqueName="[UsageAcctgDate]" displayFolder="" count="0" unbalanced="0"/>
    <cacheHierarchy uniqueName="[UsageAcctgDate].[Usage Acctg DayOfWeek]" caption="Usage Acctg DayOfWeek" attribute="1" defaultMemberUniqueName="[UsageAcctgDate].[Usage Acctg DayOfWeek].[All]" allUniqueName="[UsageAcctgDate].[Usage Acctg DayOfWeek].[All]" dimensionUniqueName="[UsageAcctgDate]" displayFolder="" count="0" unbalanced="0"/>
    <cacheHierarchy uniqueName="[UsageAcctgDate].[Usage Acctg DayOfWeekName]" caption="Usage Acctg DayOfWeekName" attribute="1" defaultMemberUniqueName="[UsageAcctgDate].[Usage Acctg DayOfWeekName].[All]" allUniqueName="[UsageAcctgDate].[Usage Acctg DayOfWeekName].[All]" dimensionUniqueName="[UsageAcctgDate]" displayFolder="" count="0" unbalanced="0"/>
    <cacheHierarchy uniqueName="[UsageAcctgDate].[Usage Acctg DayOfYear]" caption="Usage Acctg DayOfYear" attribute="1" defaultMemberUniqueName="[UsageAcctgDate].[Usage Acctg DayOfYear].[All]" allUniqueName="[UsageAcctgDate].[Usage Acctg DayOfYear].[All]" dimensionUniqueName="[UsageAcctgDate]" displayFolder="" count="0" unbalanced="0"/>
    <cacheHierarchy uniqueName="[UsageAcctgDate].[Usage Acctg HolidayInd]" caption="Usage Acctg HolidayInd" attribute="1" defaultMemberUniqueName="[UsageAcctgDate].[Usage Acctg HolidayInd].[All]" allUniqueName="[UsageAcctgDate].[Usage Acctg HolidayInd].[All]" dimensionUniqueName="[UsageAcctgDate]" displayFolder="" count="0" unbalanced="0"/>
    <cacheHierarchy uniqueName="[UsageAcctgDate].[Usage Acctg HolidayName]" caption="Usage Acctg HolidayName" attribute="1" defaultMemberUniqueName="[UsageAcctgDate].[Usage Acctg HolidayName].[All]" allUniqueName="[UsageAcctgDate].[Usage Acctg HolidayName].[All]" dimensionUniqueName="[UsageAcctgDate]" displayFolder="" count="0" unbalanced="0"/>
    <cacheHierarchy uniqueName="[UsageAcctgDate].[Usage Acctg LastDateOfMonth]" caption="Usage Acctg LastDateOfMonth" attribute="1" defaultMemberUniqueName="[UsageAcctgDate].[Usage Acctg LastDateOfMonth].[All]" allUniqueName="[UsageAcctgDate].[Usage Acctg LastDateOfMonth].[All]" dimensionUniqueName="[UsageAcctgDate]" displayFolder="" count="0" unbalanced="0"/>
    <cacheHierarchy uniqueName="[UsageAcctgDate].[Usage Acctg LastDayOfMonthIndicator]" caption="Usage Acctg LastDayOfMonthIndicator" attribute="1" defaultMemberUniqueName="[UsageAcctgDate].[Usage Acctg LastDayOfMonthIndicator].[All]" allUniqueName="[UsageAcctgDate].[Usage Acctg LastDayOfMonthIndicator].[All]" dimensionUniqueName="[UsageAcctgDate]" displayFolder="" count="0" unbalanced="0"/>
    <cacheHierarchy uniqueName="[UsageAcctgDate].[Usage Acctg Month]" caption="Usage Acctg Month" attribute="1" defaultMemberUniqueName="[UsageAcctgDate].[Usage Acctg Month].[All]" allUniqueName="[UsageAcctgDate].[Usage Acctg Month].[All]" dimensionUniqueName="[UsageAcctgDate]" displayFolder="" count="0" unbalanced="0"/>
    <cacheHierarchy uniqueName="[UsageAcctgDate].[Usage Acctg MonthNbr]" caption="Usage Acctg MonthNbr" attribute="1" defaultMemberUniqueName="[UsageAcctgDate].[Usage Acctg MonthNbr].[All]" allUniqueName="[UsageAcctgDate].[Usage Acctg MonthNbr].[All]" dimensionUniqueName="[UsageAcctgDate]" displayFolder="" count="0" unbalanced="0"/>
    <cacheHierarchy uniqueName="[UsageAcctgDate].[Usage Acctg Plan Month and Year]" caption="Usage Acctg Plan Month and Year" attribute="1" defaultMemberUniqueName="[UsageAcctgDate].[Usage Acctg Plan Month and Year].[All]" allUniqueName="[UsageAcctgDate].[Usage Acctg Plan Month and Year].[All]" dimensionUniqueName="[UsageAcctgDate]" displayFolder="" count="0" unbalanced="0"/>
    <cacheHierarchy uniqueName="[UsageAcctgDate].[Usage Acctg Plan Month Number]" caption="Usage Acctg Plan Month Number" attribute="1" defaultMemberUniqueName="[UsageAcctgDate].[Usage Acctg Plan Month Number].[All]" allUniqueName="[UsageAcctgDate].[Usage Acctg Plan Month Number].[All]" dimensionUniqueName="[UsageAcctgDate]" displayFolder="" count="0" unbalanced="0"/>
    <cacheHierarchy uniqueName="[UsageAcctgDate].[Usage Acctg Plan Quarter Number]" caption="Usage Acctg Plan Quarter Number" attribute="1" defaultMemberUniqueName="[UsageAcctgDate].[Usage Acctg Plan Quarter Number].[All]" allUniqueName="[UsageAcctgDate].[Usage Acctg Plan Quarter Number].[All]" dimensionUniqueName="[UsageAcctgDate]" displayFolder="" count="0" unbalanced="0"/>
    <cacheHierarchy uniqueName="[UsageAcctgDate].[Usage Acctg PY]" caption="Usage Acctg PY" attribute="1" defaultMemberUniqueName="[UsageAcctgDate].[Usage Acctg PY].[All]" allUniqueName="[UsageAcctgDate].[Usage Acctg PY].[All]" dimensionUniqueName="[UsageAcctgDate]" displayFolder="" count="0" unbalanced="0"/>
    <cacheHierarchy uniqueName="[UsageAcctgDate].[Usage Acctg Qtr]" caption="Usage Acctg Qtr" attribute="1" defaultMemberUniqueName="[UsageAcctgDate].[Usage Acctg Qtr].[All]" allUniqueName="[UsageAcctgDate].[Usage Acctg Qtr].[All]" dimensionUniqueName="[UsageAcctgDate]" displayFolder="" count="0" unbalanced="0"/>
    <cacheHierarchy uniqueName="[UsageAcctgDate].[Usage Acctg Semester]" caption="Usage Acctg Semester" attribute="1" defaultMemberUniqueName="[UsageAcctgDate].[Usage Acctg Semester].[All]" allUniqueName="[UsageAcctgDate].[Usage Acctg Semester].[All]" dimensionUniqueName="[UsageAcctgDate]" displayFolder="" count="0" unbalanced="0"/>
    <cacheHierarchy uniqueName="[UsageAcctgDate].[Usage Acctg WeekdayWeekend]" caption="Usage Acctg WeekdayWeekend" attribute="1" defaultMemberUniqueName="[UsageAcctgDate].[Usage Acctg WeekdayWeekend].[All]" allUniqueName="[UsageAcctgDate].[Usage Acctg WeekdayWeekend].[All]" dimensionUniqueName="[UsageAcctgDate]" displayFolder="" count="0" unbalanced="0"/>
    <cacheHierarchy uniqueName="[UsageAcctgDate].[Usage Acctg WeekOfMonth]" caption="Usage Acctg WeekOfMonth" attribute="1" defaultMemberUniqueName="[UsageAcctgDate].[Usage Acctg WeekOfMonth].[All]" allUniqueName="[UsageAcctgDate].[Usage Acctg WeekOfMonth].[All]" dimensionUniqueName="[UsageAcctgDate]" displayFolder="" count="0" unbalanced="0"/>
    <cacheHierarchy uniqueName="[UsageAcctgDate].[Usage Acctg WeekOfYear]" caption="Usage Acctg WeekOfYear" attribute="1" defaultMemberUniqueName="[UsageAcctgDate].[Usage Acctg WeekOfYear].[All]" allUniqueName="[UsageAcctgDate].[Usage Acctg WeekOfYear].[All]" dimensionUniqueName="[UsageAcctgDate]" displayFolder="" count="0" unbalanced="0"/>
    <cacheHierarchy uniqueName="[UsageAcctgDate].[Usage Acctg WorkingDayInd]" caption="Usage Acctg WorkingDayInd" attribute="1" defaultMemberUniqueName="[UsageAcctgDate].[Usage Acctg WorkingDayInd].[All]" allUniqueName="[UsageAcctgDate].[Usage Acctg WorkingDayInd].[All]" dimensionUniqueName="[UsageAcctgDate]" displayFolder="" count="0" unbalanced="0"/>
    <cacheHierarchy uniqueName="[UsageAcctgDate].[Usage Acctg Year]" caption="Usage Acctg Year" attribute="1" defaultMemberUniqueName="[UsageAcctgDate].[Usage Acctg Year].[All]" allUniqueName="[UsageAcctgDate].[Usage Acctg Year].[All]" dimensionUniqueName="[UsageAcctgDate]" displayFolder="" count="0" unbalanced="0"/>
    <cacheHierarchy uniqueName="[UsageAcctgDate].[Usage Acctg YearMonthAsInteger]" caption="Usage Acctg YearMonthAsInteger" attribute="1" defaultMemberUniqueName="[UsageAcctgDate].[Usage Acctg YearMonthAsInteger].[All]" allUniqueName="[UsageAcctgDate].[Usage Acctg YearMonthAsInteger].[All]" dimensionUniqueName="[UsageAcctgDate]" displayFolder="" count="0" unbalanced="0"/>
    <cacheHierarchy uniqueName="[UsageAcctgDate].[Usage Acctg YearQuarterAsInteger]" caption="Usage Acctg YearQuarterAsInteger" attribute="1" defaultMemberUniqueName="[UsageAcctgDate].[Usage Acctg YearQuarterAsInteger].[All]" allUniqueName="[UsageAcctgDate].[Usage Acctg YearQuarterAsInteger].[All]" dimensionUniqueName="[UsageAcctgDate]" displayFolder="" count="0" unbalanced="0"/>
    <cacheHierarchy uniqueName="[UsageAcctgDate].[Usage Acctg YearSemesterAsInteger]" caption="Usage Acctg YearSemesterAsInteger" attribute="1" defaultMemberUniqueName="[UsageAcctgDate].[Usage Acctg YearSemesterAsInteger].[All]" allUniqueName="[UsageAcctgDate].[Usage Acctg YearSemesterAsInteger].[All]" dimensionUniqueName="[UsageAcctgDate]" displayFolder="" count="0" unbalanced="0"/>
    <cacheHierarchy uniqueName="[UsageBatchBusDate].[Bus Acctg WorkingDayInd]" caption="Bus Acctg WorkingDayInd" attribute="1" defaultMemberUniqueName="[UsageBatchBusDate].[Bus Acctg WorkingDayInd].[All]" allUniqueName="[UsageBatchBusDate].[Bus Acctg WorkingDayInd].[All]" dimensionUniqueName="[UsageBatchBusDate]" displayFolder="" count="0" unbalanced="0"/>
    <cacheHierarchy uniqueName="[UsageBatchBusDate].[HierBatchBusDatePY]" caption="HierBatchBusDatePY" defaultMemberUniqueName="[UsageBatchBusDate].[HierBatchBusDatePY].[All]" allUniqueName="[UsageBatchBusDate].[HierBatchBusDatePY].[All]" dimensionUniqueName="[UsageBatchBusDate]" displayFolder="" count="4" unbalanced="0"/>
    <cacheHierarchy uniqueName="[UsageBatchBusDate].[HierBatchBusDateYear]" caption="HierBatchBusDateYear" defaultMemberUniqueName="[UsageBatchBusDate].[HierBatchBusDateYear].[All]" allUniqueName="[UsageBatchBusDate].[HierBatchBusDateYear].[All]" dimensionUniqueName="[UsageBatchBusDate]" displayFolder="" count="4" unbalanced="0"/>
    <cacheHierarchy uniqueName="[UsageBatchBusDate].[Usage Bus Date]" caption="Usage Bus Date" attribute="1" defaultMemberUniqueName="[UsageBatchBusDate].[Usage Bus Date].[All]" allUniqueName="[UsageBatchBusDate].[Usage Bus Date].[All]" dimensionUniqueName="[UsageBatchBusDate]" displayFolder="" count="0" unbalanced="0"/>
    <cacheHierarchy uniqueName="[UsageBatchBusDate].[Usage Bus DayOfMonth]" caption="Usage Bus DayOfMonth" attribute="1" defaultMemberUniqueName="[UsageBatchBusDate].[Usage Bus DayOfMonth].[All]" allUniqueName="[UsageBatchBusDate].[Usage Bus DayOfMonth].[All]" dimensionUniqueName="[UsageBatchBusDate]" displayFolder="" count="0" unbalanced="0"/>
    <cacheHierarchy uniqueName="[UsageBatchBusDate].[Usage Bus DayOfWeek]" caption="Usage Bus DayOfWeek" attribute="1" defaultMemberUniqueName="[UsageBatchBusDate].[Usage Bus DayOfWeek].[All]" allUniqueName="[UsageBatchBusDate].[Usage Bus DayOfWeek].[All]" dimensionUniqueName="[UsageBatchBusDate]" displayFolder="" count="0" unbalanced="0"/>
    <cacheHierarchy uniqueName="[UsageBatchBusDate].[Usage Bus DayOfWeekName]" caption="Usage Bus DayOfWeekName" attribute="1" defaultMemberUniqueName="[UsageBatchBusDate].[Usage Bus DayOfWeekName].[All]" allUniqueName="[UsageBatchBusDate].[Usage Bus DayOfWeekName].[All]" dimensionUniqueName="[UsageBatchBusDate]" displayFolder="" count="0" unbalanced="0"/>
    <cacheHierarchy uniqueName="[UsageBatchBusDate].[Usage Bus DayOfYear]" caption="Usage Bus DayOfYear" attribute="1" defaultMemberUniqueName="[UsageBatchBusDate].[Usage Bus DayOfYear].[All]" allUniqueName="[UsageBatchBusDate].[Usage Bus DayOfYear].[All]" dimensionUniqueName="[UsageBatchBusDate]" displayFolder="" count="0" unbalanced="0"/>
    <cacheHierarchy uniqueName="[UsageBatchBusDate].[Usage Bus HolidayInd]" caption="Usage Bus HolidayInd" attribute="1" defaultMemberUniqueName="[UsageBatchBusDate].[Usage Bus HolidayInd].[All]" allUniqueName="[UsageBatchBusDate].[Usage Bus HolidayInd].[All]" dimensionUniqueName="[UsageBatchBusDate]" displayFolder="" count="0" unbalanced="0"/>
    <cacheHierarchy uniqueName="[UsageBatchBusDate].[Usage Bus HolidayName]" caption="Usage Bus HolidayName" attribute="1" defaultMemberUniqueName="[UsageBatchBusDate].[Usage Bus HolidayName].[All]" allUniqueName="[UsageBatchBusDate].[Usage Bus HolidayName].[All]" dimensionUniqueName="[UsageBatchBusDate]" displayFolder="" count="0" unbalanced="0"/>
    <cacheHierarchy uniqueName="[UsageBatchBusDate].[Usage Bus LastDateOfMonth]" caption="Usage Bus LastDateOfMonth" attribute="1" defaultMemberUniqueName="[UsageBatchBusDate].[Usage Bus LastDateOfMonth].[All]" allUniqueName="[UsageBatchBusDate].[Usage Bus LastDateOfMonth].[All]" dimensionUniqueName="[UsageBatchBusDate]" displayFolder="" count="0" unbalanced="0"/>
    <cacheHierarchy uniqueName="[UsageBatchBusDate].[Usage Bus LastDayOfMonthIndicator]" caption="Usage Bus LastDayOfMonthIndicator" attribute="1" defaultMemberUniqueName="[UsageBatchBusDate].[Usage Bus LastDayOfMonthIndicator].[All]" allUniqueName="[UsageBatchBusDate].[Usage Bus LastDayOfMonthIndicator].[All]" dimensionUniqueName="[UsageBatchBusDate]" displayFolder="" count="0" unbalanced="0"/>
    <cacheHierarchy uniqueName="[UsageBatchBusDate].[Usage Bus Month]" caption="Usage Bus Month" attribute="1" defaultMemberUniqueName="[UsageBatchBusDate].[Usage Bus Month].[All]" allUniqueName="[UsageBatchBusDate].[Usage Bus Month].[All]" dimensionUniqueName="[UsageBatchBusDate]" displayFolder="" count="0" unbalanced="0"/>
    <cacheHierarchy uniqueName="[UsageBatchBusDate].[Usage Bus MonthNbr]" caption="Usage Bus MonthNbr" attribute="1" defaultMemberUniqueName="[UsageBatchBusDate].[Usage Bus MonthNbr].[All]" allUniqueName="[UsageBatchBusDate].[Usage Bus MonthNbr].[All]" dimensionUniqueName="[UsageBatchBusDate]" displayFolder="" count="0" unbalanced="0"/>
    <cacheHierarchy uniqueName="[UsageBatchBusDate].[Usage Bus Plan Month and Year]" caption="Usage Bus Plan Month and Year" attribute="1" defaultMemberUniqueName="[UsageBatchBusDate].[Usage Bus Plan Month and Year].[All]" allUniqueName="[UsageBatchBusDate].[Usage Bus Plan Month and Year].[All]" dimensionUniqueName="[UsageBatchBusDate]" displayFolder="" count="0" unbalanced="0"/>
    <cacheHierarchy uniqueName="[UsageBatchBusDate].[Usage Bus Plan Month Number]" caption="Usage Bus Plan Month Number" attribute="1" defaultMemberUniqueName="[UsageBatchBusDate].[Usage Bus Plan Month Number].[All]" allUniqueName="[UsageBatchBusDate].[Usage Bus Plan Month Number].[All]" dimensionUniqueName="[UsageBatchBusDate]" displayFolder="" count="0" unbalanced="0"/>
    <cacheHierarchy uniqueName="[UsageBatchBusDate].[Usage Bus Plan Quarter Number]" caption="Usage Bus Plan Quarter Number" attribute="1" defaultMemberUniqueName="[UsageBatchBusDate].[Usage Bus Plan Quarter Number].[All]" allUniqueName="[UsageBatchBusDate].[Usage Bus Plan Quarter Number].[All]" dimensionUniqueName="[UsageBatchBusDate]" displayFolder="" count="0" unbalanced="0"/>
    <cacheHierarchy uniqueName="[UsageBatchBusDate].[Usage Bus PY]" caption="Usage Bus PY" attribute="1" defaultMemberUniqueName="[UsageBatchBusDate].[Usage Bus PY].[All]" allUniqueName="[UsageBatchBusDate].[Usage Bus PY].[All]" dimensionUniqueName="[UsageBatchBusDate]" displayFolder="" count="0" unbalanced="0"/>
    <cacheHierarchy uniqueName="[UsageBatchBusDate].[Usage Bus Qtr]" caption="Usage Bus Qtr" attribute="1" defaultMemberUniqueName="[UsageBatchBusDate].[Usage Bus Qtr].[All]" allUniqueName="[UsageBatchBusDate].[Usage Bus Qtr].[All]" dimensionUniqueName="[UsageBatchBusDate]" displayFolder="" count="0" unbalanced="0"/>
    <cacheHierarchy uniqueName="[UsageBatchBusDate].[Usage Bus Semester]" caption="Usage Bus Semester" attribute="1" defaultMemberUniqueName="[UsageBatchBusDate].[Usage Bus Semester].[All]" allUniqueName="[UsageBatchBusDate].[Usage Bus Semester].[All]" dimensionUniqueName="[UsageBatchBusDate]" displayFolder="" count="0" unbalanced="0"/>
    <cacheHierarchy uniqueName="[UsageBatchBusDate].[Usage Bus WeekdayWeekend]" caption="Usage Bus WeekdayWeekend" attribute="1" defaultMemberUniqueName="[UsageBatchBusDate].[Usage Bus WeekdayWeekend].[All]" allUniqueName="[UsageBatchBusDate].[Usage Bus WeekdayWeekend].[All]" dimensionUniqueName="[UsageBatchBusDate]" displayFolder="" count="0" unbalanced="0"/>
    <cacheHierarchy uniqueName="[UsageBatchBusDate].[Usage Bus WeekOfMonth]" caption="Usage Bus WeekOfMonth" attribute="1" defaultMemberUniqueName="[UsageBatchBusDate].[Usage Bus WeekOfMonth].[All]" allUniqueName="[UsageBatchBusDate].[Usage Bus WeekOfMonth].[All]" dimensionUniqueName="[UsageBatchBusDate]" displayFolder="" count="0" unbalanced="0"/>
    <cacheHierarchy uniqueName="[UsageBatchBusDate].[Usage Bus WeekOfYear]" caption="Usage Bus WeekOfYear" attribute="1" defaultMemberUniqueName="[UsageBatchBusDate].[Usage Bus WeekOfYear].[All]" allUniqueName="[UsageBatchBusDate].[Usage Bus WeekOfYear].[All]" dimensionUniqueName="[UsageBatchBusDate]" displayFolder="" count="0" unbalanced="0"/>
    <cacheHierarchy uniqueName="[UsageBatchBusDate].[Usage Bus Year]" caption="Usage Bus Year" attribute="1" defaultMemberUniqueName="[UsageBatchBusDate].[Usage Bus Year].[All]" allUniqueName="[UsageBatchBusDate].[Usage Bus Year].[All]" dimensionUniqueName="[UsageBatchBusDate]" displayFolder="" count="0" unbalanced="0"/>
    <cacheHierarchy uniqueName="[UsageBatchBusDate].[Usage Bus YearMonthAsInteger]" caption="Usage Bus YearMonthAsInteger" attribute="1" defaultMemberUniqueName="[UsageBatchBusDate].[Usage Bus YearMonthAsInteger].[All]" allUniqueName="[UsageBatchBusDate].[Usage Bus YearMonthAsInteger].[All]" dimensionUniqueName="[UsageBatchBusDate]" displayFolder="" count="0" unbalanced="0"/>
    <cacheHierarchy uniqueName="[UsageBatchBusDate].[Usage Bus YearQuarterAsInteger]" caption="Usage Bus YearQuarterAsInteger" attribute="1" defaultMemberUniqueName="[UsageBatchBusDate].[Usage Bus YearQuarterAsInteger].[All]" allUniqueName="[UsageBatchBusDate].[Usage Bus YearQuarterAsInteger].[All]" dimensionUniqueName="[UsageBatchBusDate]" displayFolder="" count="0" unbalanced="0"/>
    <cacheHierarchy uniqueName="[UsageBatchBusDate].[Usage Bus YearSemesterAsInteger]" caption="Usage Bus YearSemesterAsInteger" attribute="1" defaultMemberUniqueName="[UsageBatchBusDate].[Usage Bus YearSemesterAsInteger].[All]" allUniqueName="[UsageBatchBusDate].[Usage Bus YearSemesterAsInteger].[All]" dimensionUniqueName="[UsageBatchBusDate]" displayFolder="" count="0" unbalanced="0"/>
    <cacheHierarchy uniqueName="[UsageBillEndDate].[HierBillSegEndDatePY]" caption="HierBillSegEndDatePY" defaultMemberUniqueName="[UsageBillEndDate].[HierBillSegEndDatePY].[All]" allUniqueName="[UsageBillEndDate].[HierBillSegEndDatePY].[All]" dimensionUniqueName="[UsageBillEndDate]" displayFolder="" count="4" unbalanced="0"/>
    <cacheHierarchy uniqueName="[UsageBillEndDate].[HierBillSegEndDateYear]" caption="HierBillSegEndDateYear" defaultMemberUniqueName="[UsageBillEndDate].[HierBillSegEndDateYear].[All]" allUniqueName="[UsageBillEndDate].[HierBillSegEndDateYear].[All]" dimensionUniqueName="[UsageBillEndDate]" displayFolder="" count="4" unbalanced="0"/>
    <cacheHierarchy uniqueName="[UsageBillEndDate].[Usage BillEnd Date]" caption="Usage BillEnd Date" attribute="1" defaultMemberUniqueName="[UsageBillEndDate].[Usage BillEnd Date].[All]" allUniqueName="[UsageBillEndDate].[Usage BillEnd Date].[All]" dimensionUniqueName="[UsageBillEndDate]" displayFolder="" count="0" unbalanced="0"/>
    <cacheHierarchy uniqueName="[UsageBillEndDate].[Usage BillEnd DayOfMonth]" caption="Usage BillEnd DayOfMonth" attribute="1" defaultMemberUniqueName="[UsageBillEndDate].[Usage BillEnd DayOfMonth].[All]" allUniqueName="[UsageBillEndDate].[Usage BillEnd DayOfMonth].[All]" dimensionUniqueName="[UsageBillEndDate]" displayFolder="" count="0" unbalanced="0"/>
    <cacheHierarchy uniqueName="[UsageBillEndDate].[Usage BillEnd DayOfWeek]" caption="Usage BillEnd DayOfWeek" attribute="1" defaultMemberUniqueName="[UsageBillEndDate].[Usage BillEnd DayOfWeek].[All]" allUniqueName="[UsageBillEndDate].[Usage BillEnd DayOfWeek].[All]" dimensionUniqueName="[UsageBillEndDate]" displayFolder="" count="0" unbalanced="0"/>
    <cacheHierarchy uniqueName="[UsageBillEndDate].[Usage BillEnd DayOfWeekName]" caption="Usage BillEnd DayOfWeekName" attribute="1" defaultMemberUniqueName="[UsageBillEndDate].[Usage BillEnd DayOfWeekName].[All]" allUniqueName="[UsageBillEndDate].[Usage BillEnd DayOfWeekName].[All]" dimensionUniqueName="[UsageBillEndDate]" displayFolder="" count="0" unbalanced="0"/>
    <cacheHierarchy uniqueName="[UsageBillEndDate].[Usage BillEnd DayOfYear]" caption="Usage BillEnd DayOfYear" attribute="1" defaultMemberUniqueName="[UsageBillEndDate].[Usage BillEnd DayOfYear].[All]" allUniqueName="[UsageBillEndDate].[Usage BillEnd DayOfYear].[All]" dimensionUniqueName="[UsageBillEndDate]" displayFolder="" count="0" unbalanced="0"/>
    <cacheHierarchy uniqueName="[UsageBillEndDate].[Usage BillEnd HolidayInd]" caption="Usage BillEnd HolidayInd" attribute="1" defaultMemberUniqueName="[UsageBillEndDate].[Usage BillEnd HolidayInd].[All]" allUniqueName="[UsageBillEndDate].[Usage BillEnd HolidayInd].[All]" dimensionUniqueName="[UsageBillEndDate]" displayFolder="" count="0" unbalanced="0"/>
    <cacheHierarchy uniqueName="[UsageBillEndDate].[Usage BillEnd HolidayName]" caption="Usage BillEnd HolidayName" attribute="1" defaultMemberUniqueName="[UsageBillEndDate].[Usage BillEnd HolidayName].[All]" allUniqueName="[UsageBillEndDate].[Usage BillEnd HolidayName].[All]" dimensionUniqueName="[UsageBillEndDate]" displayFolder="" count="0" unbalanced="0"/>
    <cacheHierarchy uniqueName="[UsageBillEndDate].[Usage BillEnd LastDateOfMonth]" caption="Usage BillEnd LastDateOfMonth" attribute="1" defaultMemberUniqueName="[UsageBillEndDate].[Usage BillEnd LastDateOfMonth].[All]" allUniqueName="[UsageBillEndDate].[Usage BillEnd LastDateOfMonth].[All]" dimensionUniqueName="[UsageBillEndDate]" displayFolder="" count="0" unbalanced="0"/>
    <cacheHierarchy uniqueName="[UsageBillEndDate].[Usage BillEnd LastDayOfMonthIndicator]" caption="Usage BillEnd LastDayOfMonthIndicator" attribute="1" defaultMemberUniqueName="[UsageBillEndDate].[Usage BillEnd LastDayOfMonthIndicator].[All]" allUniqueName="[UsageBillEndDate].[Usage BillEnd LastDayOfMonthIndicator].[All]" dimensionUniqueName="[UsageBillEndDate]" displayFolder="" count="0" unbalanced="0"/>
    <cacheHierarchy uniqueName="[UsageBillEndDate].[Usage BillEnd Month]" caption="Usage BillEnd Month" attribute="1" defaultMemberUniqueName="[UsageBillEndDate].[Usage BillEnd Month].[All]" allUniqueName="[UsageBillEndDate].[Usage BillEnd Month].[All]" dimensionUniqueName="[UsageBillEndDate]" displayFolder="" count="0" unbalanced="0"/>
    <cacheHierarchy uniqueName="[UsageBillEndDate].[Usage BillEnd MonthNbr]" caption="Usage BillEnd MonthNbr" attribute="1" defaultMemberUniqueName="[UsageBillEndDate].[Usage BillEnd MonthNbr].[All]" allUniqueName="[UsageBillEndDate].[Usage BillEnd MonthNbr].[All]" dimensionUniqueName="[UsageBillEndDate]" displayFolder="" count="0" unbalanced="0"/>
    <cacheHierarchy uniqueName="[UsageBillEndDate].[Usage BillEnd Plan Month and Year]" caption="Usage BillEnd Plan Month and Year" attribute="1" defaultMemberUniqueName="[UsageBillEndDate].[Usage BillEnd Plan Month and Year].[All]" allUniqueName="[UsageBillEndDate].[Usage BillEnd Plan Month and Year].[All]" dimensionUniqueName="[UsageBillEndDate]" displayFolder="" count="0" unbalanced="0"/>
    <cacheHierarchy uniqueName="[UsageBillEndDate].[Usage BillEnd Plan Month Number]" caption="Usage BillEnd Plan Month Number" attribute="1" defaultMemberUniqueName="[UsageBillEndDate].[Usage BillEnd Plan Month Number].[All]" allUniqueName="[UsageBillEndDate].[Usage BillEnd Plan Month Number].[All]" dimensionUniqueName="[UsageBillEndDate]" displayFolder="" count="0" unbalanced="0"/>
    <cacheHierarchy uniqueName="[UsageBillEndDate].[Usage BillEnd Plan Quarter Number]" caption="Usage BillEnd Plan Quarter Number" attribute="1" defaultMemberUniqueName="[UsageBillEndDate].[Usage BillEnd Plan Quarter Number].[All]" allUniqueName="[UsageBillEndDate].[Usage BillEnd Plan Quarter Number].[All]" dimensionUniqueName="[UsageBillEndDate]" displayFolder="" count="0" unbalanced="0"/>
    <cacheHierarchy uniqueName="[UsageBillEndDate].[Usage BillEnd PY]" caption="Usage BillEnd PY" attribute="1" defaultMemberUniqueName="[UsageBillEndDate].[Usage BillEnd PY].[All]" allUniqueName="[UsageBillEndDate].[Usage BillEnd PY].[All]" dimensionUniqueName="[UsageBillEndDate]" displayFolder="" count="0" unbalanced="0"/>
    <cacheHierarchy uniqueName="[UsageBillEndDate].[Usage BillEnd Qtr]" caption="Usage BillEnd Qtr" attribute="1" defaultMemberUniqueName="[UsageBillEndDate].[Usage BillEnd Qtr].[All]" allUniqueName="[UsageBillEndDate].[Usage BillEnd Qtr].[All]" dimensionUniqueName="[UsageBillEndDate]" displayFolder="" count="0" unbalanced="0"/>
    <cacheHierarchy uniqueName="[UsageBillEndDate].[Usage BillEnd Semester]" caption="Usage BillEnd Semester" attribute="1" defaultMemberUniqueName="[UsageBillEndDate].[Usage BillEnd Semester].[All]" allUniqueName="[UsageBillEndDate].[Usage BillEnd Semester].[All]" dimensionUniqueName="[UsageBillEndDate]" displayFolder="" count="0" unbalanced="0"/>
    <cacheHierarchy uniqueName="[UsageBillEndDate].[Usage BillEnd WeekdayWeekend]" caption="Usage BillEnd WeekdayWeekend" attribute="1" defaultMemberUniqueName="[UsageBillEndDate].[Usage BillEnd WeekdayWeekend].[All]" allUniqueName="[UsageBillEndDate].[Usage BillEnd WeekdayWeekend].[All]" dimensionUniqueName="[UsageBillEndDate]" displayFolder="" count="0" unbalanced="0"/>
    <cacheHierarchy uniqueName="[UsageBillEndDate].[Usage BillEnd WeekOfMonth]" caption="Usage BillEnd WeekOfMonth" attribute="1" defaultMemberUniqueName="[UsageBillEndDate].[Usage BillEnd WeekOfMonth].[All]" allUniqueName="[UsageBillEndDate].[Usage BillEnd WeekOfMonth].[All]" dimensionUniqueName="[UsageBillEndDate]" displayFolder="" count="0" unbalanced="0"/>
    <cacheHierarchy uniqueName="[UsageBillEndDate].[Usage BillEnd WeekOfYear]" caption="Usage BillEnd WeekOfYear" attribute="1" defaultMemberUniqueName="[UsageBillEndDate].[Usage BillEnd WeekOfYear].[All]" allUniqueName="[UsageBillEndDate].[Usage BillEnd WeekOfYear].[All]" dimensionUniqueName="[UsageBillEndDate]" displayFolder="" count="0" unbalanced="0"/>
    <cacheHierarchy uniqueName="[UsageBillEndDate].[Usage BillEnd WorkingDayInd]" caption="Usage BillEnd WorkingDayInd" attribute="1" defaultMemberUniqueName="[UsageBillEndDate].[Usage BillEnd WorkingDayInd].[All]" allUniqueName="[UsageBillEndDate].[Usage BillEnd WorkingDayInd].[All]" dimensionUniqueName="[UsageBillEndDate]" displayFolder="" count="0" unbalanced="0"/>
    <cacheHierarchy uniqueName="[UsageBillEndDate].[Usage BillEnd Year]" caption="Usage BillEnd Year" attribute="1" defaultMemberUniqueName="[UsageBillEndDate].[Usage BillEnd Year].[All]" allUniqueName="[UsageBillEndDate].[Usage BillEnd Year].[All]" dimensionUniqueName="[UsageBillEndDate]" displayFolder="" count="0" unbalanced="0"/>
    <cacheHierarchy uniqueName="[UsageBillEndDate].[Usage BillEnd YearMonthAsInteger]" caption="Usage BillEnd YearMonthAsInteger" attribute="1" defaultMemberUniqueName="[UsageBillEndDate].[Usage BillEnd YearMonthAsInteger].[All]" allUniqueName="[UsageBillEndDate].[Usage BillEnd YearMonthAsInteger].[All]" dimensionUniqueName="[UsageBillEndDate]" displayFolder="" count="0" unbalanced="0"/>
    <cacheHierarchy uniqueName="[UsageBillEndDate].[Usage BillEnd YearQuarterAsInteger]" caption="Usage BillEnd YearQuarterAsInteger" attribute="1" defaultMemberUniqueName="[UsageBillEndDate].[Usage BillEnd YearQuarterAsInteger].[All]" allUniqueName="[UsageBillEndDate].[Usage BillEnd YearQuarterAsInteger].[All]" dimensionUniqueName="[UsageBillEndDate]" displayFolder="" count="0" unbalanced="0"/>
    <cacheHierarchy uniqueName="[UsageBillEndDate].[Usage BillEnd YearSemesterAsInteger]" caption="Usage BillEnd YearSemesterAsInteger" attribute="1" defaultMemberUniqueName="[UsageBillEndDate].[Usage BillEnd YearSemesterAsInteger].[All]" allUniqueName="[UsageBillEndDate].[Usage BillEnd YearSemesterAsInteger].[All]" dimensionUniqueName="[UsageBillEndDate]" displayFolder="" count="0" unbalanced="0"/>
    <cacheHierarchy uniqueName="[UsageBillStartDate].[HierBillSegStartDatePY]" caption="HierBillSegStartDatePY" defaultMemberUniqueName="[UsageBillStartDate].[HierBillSegStartDatePY].[All]" allUniqueName="[UsageBillStartDate].[HierBillSegStartDatePY].[All]" dimensionUniqueName="[UsageBillStartDate]" displayFolder="" count="4" unbalanced="0"/>
    <cacheHierarchy uniqueName="[UsageBillStartDate].[HierBillSegStartDateYear]" caption="HierBillSegStartDateYear" defaultMemberUniqueName="[UsageBillStartDate].[HierBillSegStartDateYear].[All]" allUniqueName="[UsageBillStartDate].[HierBillSegStartDateYear].[All]" dimensionUniqueName="[UsageBillStartDate]" displayFolder="" count="4" unbalanced="0"/>
    <cacheHierarchy uniqueName="[UsageBillStartDate].[Usage BillStart Date]" caption="Usage BillStart Date" attribute="1" defaultMemberUniqueName="[UsageBillStartDate].[Usage BillStart Date].[All]" allUniqueName="[UsageBillStartDate].[Usage BillStart Date].[All]" dimensionUniqueName="[UsageBillStartDate]" displayFolder="" count="0" unbalanced="0"/>
    <cacheHierarchy uniqueName="[UsageBillStartDate].[Usage BillStart DayOfMonth]" caption="Usage BillStart DayOfMonth" attribute="1" defaultMemberUniqueName="[UsageBillStartDate].[Usage BillStart DayOfMonth].[All]" allUniqueName="[UsageBillStartDate].[Usage BillStart DayOfMonth].[All]" dimensionUniqueName="[UsageBillStartDate]" displayFolder="" count="0" unbalanced="0"/>
    <cacheHierarchy uniqueName="[UsageBillStartDate].[Usage BillStart DayOfWeek]" caption="Usage BillStart DayOfWeek" attribute="1" defaultMemberUniqueName="[UsageBillStartDate].[Usage BillStart DayOfWeek].[All]" allUniqueName="[UsageBillStartDate].[Usage BillStart DayOfWeek].[All]" dimensionUniqueName="[UsageBillStartDate]" displayFolder="" count="0" unbalanced="0"/>
    <cacheHierarchy uniqueName="[UsageBillStartDate].[Usage BillStart DayOfWeekName]" caption="Usage BillStart DayOfWeekName" attribute="1" defaultMemberUniqueName="[UsageBillStartDate].[Usage BillStart DayOfWeekName].[All]" allUniqueName="[UsageBillStartDate].[Usage BillStart DayOfWeekName].[All]" dimensionUniqueName="[UsageBillStartDate]" displayFolder="" count="0" unbalanced="0"/>
    <cacheHierarchy uniqueName="[UsageBillStartDate].[Usage BillStart DayOfYear]" caption="Usage BillStart DayOfYear" attribute="1" defaultMemberUniqueName="[UsageBillStartDate].[Usage BillStart DayOfYear].[All]" allUniqueName="[UsageBillStartDate].[Usage BillStart DayOfYear].[All]" dimensionUniqueName="[UsageBillStartDate]" displayFolder="" count="0" unbalanced="0"/>
    <cacheHierarchy uniqueName="[UsageBillStartDate].[Usage BillStart HolidayInd]" caption="Usage BillStart HolidayInd" attribute="1" defaultMemberUniqueName="[UsageBillStartDate].[Usage BillStart HolidayInd].[All]" allUniqueName="[UsageBillStartDate].[Usage BillStart HolidayInd].[All]" dimensionUniqueName="[UsageBillStartDate]" displayFolder="" count="0" unbalanced="0"/>
    <cacheHierarchy uniqueName="[UsageBillStartDate].[Usage BillStart HolidayName]" caption="Usage BillStart HolidayName" attribute="1" defaultMemberUniqueName="[UsageBillStartDate].[Usage BillStart HolidayName].[All]" allUniqueName="[UsageBillStartDate].[Usage BillStart HolidayName].[All]" dimensionUniqueName="[UsageBillStartDate]" displayFolder="" count="0" unbalanced="0"/>
    <cacheHierarchy uniqueName="[UsageBillStartDate].[Usage BillStart LastDateOfMonth]" caption="Usage BillStart LastDateOfMonth" attribute="1" defaultMemberUniqueName="[UsageBillStartDate].[Usage BillStart LastDateOfMonth].[All]" allUniqueName="[UsageBillStartDate].[Usage BillStart LastDateOfMonth].[All]" dimensionUniqueName="[UsageBillStartDate]" displayFolder="" count="0" unbalanced="0"/>
    <cacheHierarchy uniqueName="[UsageBillStartDate].[Usage BillStart LastDayOfMonthIndicator]" caption="Usage BillStart LastDayOfMonthIndicator" attribute="1" defaultMemberUniqueName="[UsageBillStartDate].[Usage BillStart LastDayOfMonthIndicator].[All]" allUniqueName="[UsageBillStartDate].[Usage BillStart LastDayOfMonthIndicator].[All]" dimensionUniqueName="[UsageBillStartDate]" displayFolder="" count="0" unbalanced="0"/>
    <cacheHierarchy uniqueName="[UsageBillStartDate].[Usage BillStart Month]" caption="Usage BillStart Month" attribute="1" defaultMemberUniqueName="[UsageBillStartDate].[Usage BillStart Month].[All]" allUniqueName="[UsageBillStartDate].[Usage BillStart Month].[All]" dimensionUniqueName="[UsageBillStartDate]" displayFolder="" count="0" unbalanced="0"/>
    <cacheHierarchy uniqueName="[UsageBillStartDate].[Usage BillStart MonthNbr]" caption="Usage BillStart MonthNbr" attribute="1" defaultMemberUniqueName="[UsageBillStartDate].[Usage BillStart MonthNbr].[All]" allUniqueName="[UsageBillStartDate].[Usage BillStart MonthNbr].[All]" dimensionUniqueName="[UsageBillStartDate]" displayFolder="" count="0" unbalanced="0"/>
    <cacheHierarchy uniqueName="[UsageBillStartDate].[Usage BillStart Plan Month and Year]" caption="Usage BillStart Plan Month and Year" attribute="1" defaultMemberUniqueName="[UsageBillStartDate].[Usage BillStart Plan Month and Year].[All]" allUniqueName="[UsageBillStartDate].[Usage BillStart Plan Month and Year].[All]" dimensionUniqueName="[UsageBillStartDate]" displayFolder="" count="0" unbalanced="0"/>
    <cacheHierarchy uniqueName="[UsageBillStartDate].[Usage BillStart Plan Month Number]" caption="Usage BillStart Plan Month Number" attribute="1" defaultMemberUniqueName="[UsageBillStartDate].[Usage BillStart Plan Month Number].[All]" allUniqueName="[UsageBillStartDate].[Usage BillStart Plan Month Number].[All]" dimensionUniqueName="[UsageBillStartDate]" displayFolder="" count="0" unbalanced="0"/>
    <cacheHierarchy uniqueName="[UsageBillStartDate].[Usage BillStart Plan Quarter Number]" caption="Usage BillStart Plan Quarter Number" attribute="1" defaultMemberUniqueName="[UsageBillStartDate].[Usage BillStart Plan Quarter Number].[All]" allUniqueName="[UsageBillStartDate].[Usage BillStart Plan Quarter Number].[All]" dimensionUniqueName="[UsageBillStartDate]" displayFolder="" count="0" unbalanced="0"/>
    <cacheHierarchy uniqueName="[UsageBillStartDate].[Usage BillStart PY]" caption="Usage BillStart PY" attribute="1" defaultMemberUniqueName="[UsageBillStartDate].[Usage BillStart PY].[All]" allUniqueName="[UsageBillStartDate].[Usage BillStart PY].[All]" dimensionUniqueName="[UsageBillStartDate]" displayFolder="" count="0" unbalanced="0"/>
    <cacheHierarchy uniqueName="[UsageBillStartDate].[Usage BillStart Qtr]" caption="Usage BillStart Qtr" attribute="1" defaultMemberUniqueName="[UsageBillStartDate].[Usage BillStart Qtr].[All]" allUniqueName="[UsageBillStartDate].[Usage BillStart Qtr].[All]" dimensionUniqueName="[UsageBillStartDate]" displayFolder="" count="0" unbalanced="0"/>
    <cacheHierarchy uniqueName="[UsageBillStartDate].[Usage BillStart Semester]" caption="Usage BillStart Semester" attribute="1" defaultMemberUniqueName="[UsageBillStartDate].[Usage BillStart Semester].[All]" allUniqueName="[UsageBillStartDate].[Usage BillStart Semester].[All]" dimensionUniqueName="[UsageBillStartDate]" displayFolder="" count="0" unbalanced="0"/>
    <cacheHierarchy uniqueName="[UsageBillStartDate].[Usage BillStart WeekdayWeekend]" caption="Usage BillStart WeekdayWeekend" attribute="1" defaultMemberUniqueName="[UsageBillStartDate].[Usage BillStart WeekdayWeekend].[All]" allUniqueName="[UsageBillStartDate].[Usage BillStart WeekdayWeekend].[All]" dimensionUniqueName="[UsageBillStartDate]" displayFolder="" count="0" unbalanced="0"/>
    <cacheHierarchy uniqueName="[UsageBillStartDate].[Usage BillStart WeekOfMonth]" caption="Usage BillStart WeekOfMonth" attribute="1" defaultMemberUniqueName="[UsageBillStartDate].[Usage BillStart WeekOfMonth].[All]" allUniqueName="[UsageBillStartDate].[Usage BillStart WeekOfMonth].[All]" dimensionUniqueName="[UsageBillStartDate]" displayFolder="" count="0" unbalanced="0"/>
    <cacheHierarchy uniqueName="[UsageBillStartDate].[Usage BillStart WeekOfYear]" caption="Usage BillStart WeekOfYear" attribute="1" defaultMemberUniqueName="[UsageBillStartDate].[Usage BillStart WeekOfYear].[All]" allUniqueName="[UsageBillStartDate].[Usage BillStart WeekOfYear].[All]" dimensionUniqueName="[UsageBillStartDate]" displayFolder="" count="0" unbalanced="0"/>
    <cacheHierarchy uniqueName="[UsageBillStartDate].[Usage BillStart WorkingDayInd]" caption="Usage BillStart WorkingDayInd" attribute="1" defaultMemberUniqueName="[UsageBillStartDate].[Usage BillStart WorkingDayInd].[All]" allUniqueName="[UsageBillStartDate].[Usage BillStart WorkingDayInd].[All]" dimensionUniqueName="[UsageBillStartDate]" displayFolder="" count="0" unbalanced="0"/>
    <cacheHierarchy uniqueName="[UsageBillStartDate].[Usage BillStart Year]" caption="Usage BillStart Year" attribute="1" defaultMemberUniqueName="[UsageBillStartDate].[Usage BillStart Year].[All]" allUniqueName="[UsageBillStartDate].[Usage BillStart Year].[All]" dimensionUniqueName="[UsageBillStartDate]" displayFolder="" count="0" unbalanced="0"/>
    <cacheHierarchy uniqueName="[UsageBillStartDate].[Usage BillStart YearMonthAsInteger]" caption="Usage BillStart YearMonthAsInteger" attribute="1" defaultMemberUniqueName="[UsageBillStartDate].[Usage BillStart YearMonthAsInteger].[All]" allUniqueName="[UsageBillStartDate].[Usage BillStart YearMonthAsInteger].[All]" dimensionUniqueName="[UsageBillStartDate]" displayFolder="" count="0" unbalanced="0"/>
    <cacheHierarchy uniqueName="[UsageBillStartDate].[Usage BillStart YearQuarterAsInteger]" caption="Usage BillStart YearQuarterAsInteger" attribute="1" defaultMemberUniqueName="[UsageBillStartDate].[Usage BillStart YearQuarterAsInteger].[All]" allUniqueName="[UsageBillStartDate].[Usage BillStart YearQuarterAsInteger].[All]" dimensionUniqueName="[UsageBillStartDate]" displayFolder="" count="0" unbalanced="0"/>
    <cacheHierarchy uniqueName="[UsageBillStartDate].[Usage BillStart YearSemesterAsInteger]" caption="Usage BillStart YearSemesterAsInteger" attribute="1" defaultMemberUniqueName="[UsageBillStartDate].[Usage BillStart YearSemesterAsInteger].[All]" allUniqueName="[UsageBillStartDate].[Usage BillStart YearSemesterAsInteger].[All]" dimensionUniqueName="[UsageBillStartDate]" displayFolder="" count="0" unbalanced="0"/>
    <cacheHierarchy uniqueName="[AccountCountyHierArchy].[AccountKey]" caption="AccountKey" attribute="1" defaultMemberUniqueName="[AccountCountyHierArchy].[AccountKey].[All]" allUniqueName="[AccountCountyHierArchy].[AccountKey].[All]" dimensionUniqueName="[AccountCountyHierArchy]" displayFolder="" count="0" unbalanced="0" hidden="1"/>
    <cacheHierarchy uniqueName="[AccountCountyHierArchy].[ServiceCountyKey]" caption="ServiceCountyKey" attribute="1" defaultMemberUniqueName="[AccountCountyHierArchy].[ServiceCountyKey].[All]" allUniqueName="[AccountCountyHierArchy].[ServiceCountyKey].[All]" dimensionUniqueName="[AccountCountyHierArchy]" displayFolder="" count="0" unbalanced="0" hidden="1"/>
    <cacheHierarchy uniqueName="[AccountCountyHierArchy].[ServiceTownKey]" caption="ServiceTownKey" attribute="1" defaultMemberUniqueName="[AccountCountyHierArchy].[ServiceTownKey].[All]" allUniqueName="[AccountCountyHierArchy].[ServiceTownKey].[All]" dimensionUniqueName="[AccountCountyHierArchy]" displayFolder="" count="0" unbalanced="0" hidden="1"/>
    <cacheHierarchy uniqueName="[AccountCountyHierArchy].[ServiceTownName]" caption="ServiceTownName" attribute="1" defaultMemberUniqueName="[AccountCountyHierArchy].[ServiceTownName].[All]" allUniqueName="[AccountCountyHierArchy].[ServiceTownName].[All]" dimensionUniqueName="[AccountCountyHierArchy]" displayFolder="" count="0" unbalanced="0" hidden="1"/>
    <cacheHierarchy uniqueName="[AcctA44Ranking].[TableValueKey]" caption="TableValueKey" attribute="1" defaultMemberUniqueName="[AcctA44Ranking].[TableValueKey].[All]" allUniqueName="[AcctA44Ranking].[TableValueKey].[All]" dimensionUniqueName="[AcctA44Ranking]" displayFolder="" count="0" unbalanced="0" hidden="1"/>
    <cacheHierarchy uniqueName="[AcctContactRules].[TableValueKey]" caption="TableValueKey" attribute="1" defaultMemberUniqueName="[AcctContactRules].[TableValueKey].[All]" allUniqueName="[AcctContactRules].[TableValueKey].[All]" dimensionUniqueName="[AcctContactRules]" displayFolder="" count="0" unbalanced="0" hidden="1"/>
    <cacheHierarchy uniqueName="[AcctDualFuelType].[TableValueKey]" caption="TableValueKey" attribute="1" defaultMemberUniqueName="[AcctDualFuelType].[TableValueKey].[All]" allUniqueName="[AcctDualFuelType].[TableValueKey].[All]" dimensionUniqueName="[AcctDualFuelType]" displayFolder="" count="0" unbalanced="0" hidden="1"/>
    <cacheHierarchy uniqueName="[AcctGasLDC].[TableValueKey]" caption="TableValueKey" attribute="1" defaultMemberUniqueName="[AcctGasLDC].[TableValueKey].[All]" allUniqueName="[AcctGasLDC].[TableValueKey].[All]" dimensionUniqueName="[AcctGasLDC]" displayFolder="" count="0" unbalanced="0" hidden="1"/>
    <cacheHierarchy uniqueName="[AcctMarketCode].[TableValueKey]" caption="TableValueKey" attribute="1" defaultMemberUniqueName="[AcctMarketCode].[TableValueKey].[All]" allUniqueName="[AcctMarketCode].[TableValueKey].[All]" dimensionUniqueName="[AcctMarketCode]" displayFolder="" count="0" unbalanced="0" hidden="1"/>
    <cacheHierarchy uniqueName="[AcctNAICSVerificationDate].[Datekey]" caption="Datekey" attribute="1" defaultMemberUniqueName="[AcctNAICSVerificationDate].[Datekey].[All]" allUniqueName="[AcctNAICSVerificationDate].[Datekey].[All]" dimensionUniqueName="[AcctNAICSVerificationDate]" displayFolder="" count="0" unbalanced="0" hidden="1"/>
    <cacheHierarchy uniqueName="[AcctUsageLevelFilter].[AccountKey]" caption="AccountKey" attribute="1" defaultMemberUniqueName="[AcctUsageLevelFilter].[AccountKey].[All]" allUniqueName="[AcctUsageLevelFilter].[AccountKey].[All]" dimensionUniqueName="[AcctUsageLevelFilter]" displayFolder="" count="0" unbalanced="0" hidden="1"/>
    <cacheHierarchy uniqueName="[AcctUsageLevelFilter].[UsageTierOrder]" caption="UsageTierOrder" attribute="1" defaultMemberUniqueName="[AcctUsageLevelFilter].[UsageTierOrder].[All]" allUniqueName="[AcctUsageLevelFilter].[UsageTierOrder].[All]" dimensionUniqueName="[AcctUsageLevelFilter]" displayFolder="" count="0" unbalanced="0" hidden="1"/>
    <cacheHierarchy uniqueName="[Budget ProgramYear].[Datekey]" caption="Datekey" attribute="1" defaultMemberUniqueName="[Budget ProgramYear].[Datekey].[All]" allUniqueName="[Budget ProgramYear].[Datekey].[All]" dimensionUniqueName="[Budget ProgramYear]" displayFolder="" count="0" unbalanced="0" hidden="1"/>
    <cacheHierarchy uniqueName="[DimAccount].[A44RankingTableValueKey]" caption="A44RankingTableValueKey" attribute="1" defaultMemberUniqueName="[DimAccount].[A44RankingTableValueKey].[All]" allUniqueName="[DimAccount].[A44RankingTableValueKey].[All]" dimensionUniqueName="[DimAccount]" displayFolder="" count="0" unbalanced="0" hidden="1"/>
    <cacheHierarchy uniqueName="[DimAccount].[AccountKey]" caption="AccountKey" attribute="1" defaultMemberUniqueName="[DimAccount].[AccountKey].[All]" allUniqueName="[DimAccount].[AccountKey].[All]" dimensionUniqueName="[DimAccount]" displayFolder="" count="0" unbalanced="0" hidden="1"/>
    <cacheHierarchy uniqueName="[DimAccount].[BusinessAccountSegmentKey]" caption="BusinessAccountSegmentKey" attribute="1" defaultMemberUniqueName="[DimAccount].[BusinessAccountSegmentKey].[All]" allUniqueName="[DimAccount].[BusinessAccountSegmentKey].[All]" dimensionUniqueName="[DimAccount]" displayFolder="" count="0" unbalanced="0" hidden="1"/>
    <cacheHierarchy uniqueName="[DimAccount].[BusinessPremiseSegmentKey]" caption="BusinessPremiseSegmentKey" attribute="1" defaultMemberUniqueName="[DimAccount].[BusinessPremiseSegmentKey].[All]" allUniqueName="[DimAccount].[BusinessPremiseSegmentKey].[All]" dimensionUniqueName="[DimAccount]" displayFolder="" count="0" unbalanced="0" hidden="1"/>
    <cacheHierarchy uniqueName="[DimAccount].[CompanyKey]" caption="CompanyKey" attribute="1" defaultMemberUniqueName="[DimAccount].[CompanyKey].[All]" allUniqueName="[DimAccount].[CompanyKey].[All]" dimensionUniqueName="[DimAccount]" displayFolder="" count="0" unbalanced="0" hidden="1"/>
    <cacheHierarchy uniqueName="[DimAccount].[ContactRulesTableValueKey]" caption="ContactRulesTableValueKey" attribute="1" defaultMemberUniqueName="[DimAccount].[ContactRulesTableValueKey].[All]" allUniqueName="[DimAccount].[ContactRulesTableValueKey].[All]" dimensionUniqueName="[DimAccount]" displayFolder="" count="0" unbalanced="0" hidden="1"/>
    <cacheHierarchy uniqueName="[DimAccount].[DualFuelTypeTableValueKey]" caption="DualFuelTypeTableValueKey" attribute="1" defaultMemberUniqueName="[DimAccount].[DualFuelTypeTableValueKey].[All]" allUniqueName="[DimAccount].[DualFuelTypeTableValueKey].[All]" dimensionUniqueName="[DimAccount]" displayFolder="" count="0" unbalanced="0" hidden="1"/>
    <cacheHierarchy uniqueName="[DimAccount].[GasLDCTableValueKey]" caption="GasLDCTableValueKey" attribute="1" defaultMemberUniqueName="[DimAccount].[GasLDCTableValueKey].[All]" allUniqueName="[DimAccount].[GasLDCTableValueKey].[All]" dimensionUniqueName="[DimAccount]" displayFolder="" count="0" unbalanced="0" hidden="1"/>
    <cacheHierarchy uniqueName="[DimAccount].[MarketCodeTableValueKey]" caption="MarketCodeTableValueKey" attribute="1" defaultMemberUniqueName="[DimAccount].[MarketCodeTableValueKey].[All]" allUniqueName="[DimAccount].[MarketCodeTableValueKey].[All]" dimensionUniqueName="[DimAccount]" displayFolder="" count="0" unbalanced="0" hidden="1"/>
    <cacheHierarchy uniqueName="[DimAccount].[NAICSCodeKey]" caption="NAICSCodeKey" attribute="1" defaultMemberUniqueName="[DimAccount].[NAICSCodeKey].[All]" allUniqueName="[DimAccount].[NAICSCodeKey].[All]" dimensionUniqueName="[DimAccount]" displayFolder="" count="0" unbalanced="0" hidden="1"/>
    <cacheHierarchy uniqueName="[DimAccount].[NAICSVerificationDateKey]" caption="NAICSVerificationDateKey" attribute="1" defaultMemberUniqueName="[DimAccount].[NAICSVerificationDateKey].[All]" allUniqueName="[DimAccount].[NAICSVerificationDateKey].[All]" dimensionUniqueName="[DimAccount]" displayFolder="" count="0" unbalanced="0" hidden="1"/>
    <cacheHierarchy uniqueName="[DimAccount].[ParentAccountKey]" caption="ParentAccountKey" attribute="1" defaultMemberUniqueName="[DimAccount].[ParentAccountKey].[All]" allUniqueName="[DimAccount].[ParentAccountKey].[All]" dimensionUniqueName="[DimAccount]" displayFolder="" count="0" unbalanced="0" hidden="1"/>
    <cacheHierarchy uniqueName="[DimAccount].[ResidentialAccountSegmentKey]" caption="ResidentialAccountSegmentKey" attribute="1" defaultMemberUniqueName="[DimAccount].[ResidentialAccountSegmentKey].[All]" allUniqueName="[DimAccount].[ResidentialAccountSegmentKey].[All]" dimensionUniqueName="[DimAccount]" displayFolder="" count="0" unbalanced="0" hidden="1"/>
    <cacheHierarchy uniqueName="[DimAccount].[ResidentialPremiseSegmentKey]" caption="ResidentialPremiseSegmentKey" attribute="1" defaultMemberUniqueName="[DimAccount].[ResidentialPremiseSegmentKey].[All]" allUniqueName="[DimAccount].[ResidentialPremiseSegmentKey].[All]" dimensionUniqueName="[DimAccount]" displayFolder="" count="0" unbalanced="0" hidden="1"/>
    <cacheHierarchy uniqueName="[DimAccount].[ServiceCountyKey]" caption="ServiceCountyKey" attribute="1" defaultMemberUniqueName="[DimAccount].[ServiceCountyKey].[All]" allUniqueName="[DimAccount].[ServiceCountyKey].[All]" dimensionUniqueName="[DimAccount]" displayFolder="" count="0" unbalanced="0" hidden="1"/>
    <cacheHierarchy uniqueName="[DimAccount].[ServiceTownKey]" caption="ServiceTownKey" attribute="1" defaultMemberUniqueName="[DimAccount].[ServiceTownKey].[All]" allUniqueName="[DimAccount].[ServiceTownKey].[All]" dimensionUniqueName="[DimAccount]" displayFolder="" count="0" unbalanced="0" hidden="1"/>
    <cacheHierarchy uniqueName="[DimAccountUsageLevel].[AccountKey]" caption="AccountKey" attribute="1" defaultMemberUniqueName="[DimAccountUsageLevel].[AccountKey].[All]" allUniqueName="[DimAccountUsageLevel].[AccountKey].[All]" dimensionUniqueName="[DimAccountUsageLevel]" displayFolder="" count="0" unbalanced="0" hidden="1"/>
    <cacheHierarchy uniqueName="[DimAccountUsageLevel].[AccountUsageLevelKey]" caption="AccountUsageLevelKey" attribute="1" defaultMemberUniqueName="[DimAccountUsageLevel].[AccountUsageLevelKey].[All]" allUniqueName="[DimAccountUsageLevel].[AccountUsageLevelKey].[All]" dimensionUniqueName="[DimAccountUsageLevel]" displayFolder="" count="0" unbalanced="0" hidden="1"/>
    <cacheHierarchy uniqueName="[DimAccountUsageLevel].[HashByteValueType1]" caption="HashByteValueType1" attribute="1" defaultMemberUniqueName="[DimAccountUsageLevel].[HashByteValueType1].[All]" allUniqueName="[DimAccountUsageLevel].[HashByteValueType1].[All]" dimensionUniqueName="[DimAccountUsageLevel]" displayFolder="" count="0" unbalanced="0" hidden="1"/>
    <cacheHierarchy uniqueName="[DimBuildingType].[BuildingTypeKey]" caption="BuildingTypeKey" attribute="1" defaultMemberUniqueName="[DimBuildingType].[BuildingTypeKey].[All]" allUniqueName="[DimBuildingType].[BuildingTypeKey].[All]" dimensionUniqueName="[DimBuildingType]" displayFolder="" count="0" unbalanced="0" hidden="1"/>
    <cacheHierarchy uniqueName="[DimBusinessAccountSegment].[BusinessAccountSegmentKey]" caption="BusinessAccountSegmentKey" attribute="1" defaultMemberUniqueName="[DimBusinessAccountSegment].[BusinessAccountSegmentKey].[All]" allUniqueName="[DimBusinessAccountSegment].[BusinessAccountSegmentKey].[All]" dimensionUniqueName="[DimBusinessAccountSegment]" displayFolder="" count="0" unbalanced="0" hidden="1"/>
    <cacheHierarchy uniqueName="[DimBusinessPremiseSegment].[BusinessPremiseSegmentKey]" caption="BusinessPremiseSegmentKey" attribute="1" defaultMemberUniqueName="[DimBusinessPremiseSegment].[BusinessPremiseSegmentKey].[All]" allUniqueName="[DimBusinessPremiseSegment].[BusinessPremiseSegmentKey].[All]" dimensionUniqueName="[DimBusinessPremiseSegment]" displayFolder="" count="0" unbalanced="0" hidden="1"/>
    <cacheHierarchy uniqueName="[DimBusinessPremiseSegment].[PremiseID]" caption="PremiseID" attribute="1" defaultMemberUniqueName="[DimBusinessPremiseSegment].[PremiseID].[All]" allUniqueName="[DimBusinessPremiseSegment].[PremiseID].[All]" dimensionUniqueName="[DimBusinessPremiseSegment]" displayFolder="" count="0" unbalanced="0" hidden="1"/>
    <cacheHierarchy uniqueName="[DimContactMailer].[ContactKey]" caption="ContactKey" attribute="1" defaultMemberUniqueName="[DimContactMailer].[ContactKey].[All]" allUniqueName="[DimContactMailer].[ContactKey].[All]" dimensionUniqueName="[DimContactMailer]" displayFolder="" count="0" unbalanced="0" hidden="1"/>
    <cacheHierarchy uniqueName="[DimContactMailer].[ContactMailerKey]" caption="ContactMailerKey" attribute="1" defaultMemberUniqueName="[DimContactMailer].[ContactMailerKey].[All]" allUniqueName="[DimContactMailer].[ContactMailerKey].[All]" dimensionUniqueName="[DimContactMailer]" displayFolder="" count="0" unbalanced="0" hidden="1"/>
    <cacheHierarchy uniqueName="[DimContactMailer].[Mailer Key]" caption="Mailer Key" attribute="1" defaultMemberUniqueName="[DimContactMailer].[Mailer Key].[All]" allUniqueName="[DimContactMailer].[Mailer Key].[All]" dimensionUniqueName="[DimContactMailer]" displayFolder="" count="0" unbalanced="0" hidden="1"/>
    <cacheHierarchy uniqueName="[DimCustomerSelectSupplier].[CustomerSelectSupplierKey]" caption="CustomerSelectSupplierKey" attribute="1" defaultMemberUniqueName="[DimCustomerSelectSupplier].[CustomerSelectSupplierKey].[All]" allUniqueName="[DimCustomerSelectSupplier].[CustomerSelectSupplierKey].[All]" dimensionUniqueName="[DimCustomerSelectSupplier]" displayFolder="" count="0" unbalanced="0" hidden="1"/>
    <cacheHierarchy uniqueName="[DimDate].[LastUpdated]" caption="LastUpdated" attribute="1" time="1" defaultMemberUniqueName="[DimDate].[LastUpdated].[All]" allUniqueName="[DimDate].[LastUpdated].[All]" dimensionUniqueName="[DimDate]" displayFolder="" count="0" unbalanced="0" hidden="1"/>
    <cacheHierarchy uniqueName="[DimEquipmentCode].[EquipmentCodeKey]" caption="EquipmentCodeKey" attribute="1" defaultMemberUniqueName="[DimEquipmentCode].[EquipmentCodeKey].[All]" allUniqueName="[DimEquipmentCode].[EquipmentCodeKey].[All]" dimensionUniqueName="[DimEquipmentCode]" displayFolder="" count="0" unbalanced="0" hidden="1"/>
    <cacheHierarchy uniqueName="[DimEquipmentCode].[MarketSegmentKey]" caption="MarketSegmentKey" attribute="1" defaultMemberUniqueName="[DimEquipmentCode].[MarketSegmentKey].[All]" allUniqueName="[DimEquipmentCode].[MarketSegmentKey].[All]" dimensionUniqueName="[DimEquipmentCode]" displayFolder="" count="0" unbalanced="0" hidden="1"/>
    <cacheHierarchy uniqueName="[DimMeasureGroup].[MeasureGroupKey]" caption="MeasureGroupKey" attribute="1" defaultMemberUniqueName="[DimMeasureGroup].[MeasureGroupKey].[All]" allUniqueName="[DimMeasureGroup].[MeasureGroupKey].[All]" dimensionUniqueName="[DimMeasureGroup]" displayFolder="" count="0" unbalanced="0" hidden="1"/>
    <cacheHierarchy uniqueName="[DimNAICSCode].[NAICS Code]" caption="NAICS Code" attribute="1" defaultMemberUniqueName="[DimNAICSCode].[NAICS Code].[All]" allUniqueName="[DimNAICSCode].[NAICS Code].[All]" dimensionUniqueName="[DimNAICSCode]" displayFolder="" count="0" unbalanced="0" hidden="1"/>
    <cacheHierarchy uniqueName="[DimNAICSCode].[NAICS Code Description]" caption="NAICS Code Description" attribute="1" defaultMemberUniqueName="[DimNAICSCode].[NAICS Code Description].[All]" allUniqueName="[DimNAICSCode].[NAICS Code Description].[All]" dimensionUniqueName="[DimNAICSCode]" displayFolder="" count="0" unbalanced="0" hidden="1"/>
    <cacheHierarchy uniqueName="[DimNAICSCode].[NAICSCodeKey]" caption="NAICSCodeKey" attribute="1" defaultMemberUniqueName="[DimNAICSCode].[NAICSCodeKey].[All]" allUniqueName="[DimNAICSCode].[NAICSCodeKey].[All]" dimensionUniqueName="[DimNAICSCode]" displayFolder="" count="0" unbalanced="0" hidden="1"/>
    <cacheHierarchy uniqueName="[DimPayee].[DQScoreKey]" caption="DQScoreKey" attribute="1" defaultMemberUniqueName="[DimPayee].[DQScoreKey].[All]" allUniqueName="[DimPayee].[DQScoreKey].[All]" dimensionUniqueName="[DimPayee]" displayFolder="" count="0" unbalanced="0" hidden="1"/>
    <cacheHierarchy uniqueName="[DimPayee].[HashByteValueType1]" caption="HashByteValueType1" attribute="1" defaultMemberUniqueName="[DimPayee].[HashByteValueType1].[All]" allUniqueName="[DimPayee].[HashByteValueType1].[All]" dimensionUniqueName="[DimPayee]" displayFolder="" count="0" unbalanced="0" hidden="1"/>
    <cacheHierarchy uniqueName="[DimPayee].[HashByteValueType2]" caption="HashByteValueType2" attribute="1" defaultMemberUniqueName="[DimPayee].[HashByteValueType2].[All]" allUniqueName="[DimPayee].[HashByteValueType2].[All]" dimensionUniqueName="[DimPayee]" displayFolder="" count="0" unbalanced="0" hidden="1"/>
    <cacheHierarchy uniqueName="[DimPayee].[InsertAuditKey]" caption="InsertAuditKey" attribute="1" defaultMemberUniqueName="[DimPayee].[InsertAuditKey].[All]" allUniqueName="[DimPayee].[InsertAuditKey].[All]" dimensionUniqueName="[DimPayee]" displayFolder="" count="0" unbalanced="0" hidden="1"/>
    <cacheHierarchy uniqueName="[DimPayee].[PayeeKey]" caption="PayeeKey" attribute="1" defaultMemberUniqueName="[DimPayee].[PayeeKey].[All]" allUniqueName="[DimPayee].[PayeeKey].[All]" dimensionUniqueName="[DimPayee]" displayFolder="" count="0" unbalanced="0" hidden="1"/>
    <cacheHierarchy uniqueName="[DimPayee].[RowChangeReason]" caption="RowChangeReason" attribute="1" defaultMemberUniqueName="[DimPayee].[RowChangeReason].[All]" allUniqueName="[DimPayee].[RowChangeReason].[All]" dimensionUniqueName="[DimPayee]" displayFolder="" count="0" unbalanced="0" hidden="1"/>
    <cacheHierarchy uniqueName="[DimPayee].[RowEndDate]" caption="RowEndDate" attribute="1" defaultMemberUniqueName="[DimPayee].[RowEndDate].[All]" allUniqueName="[DimPayee].[RowEndDate].[All]" dimensionUniqueName="[DimPayee]" displayFolder="" count="0" unbalanced="0" hidden="1"/>
    <cacheHierarchy uniqueName="[DimPayee].[RowIsCurrent]" caption="RowIsCurrent" attribute="1" defaultMemberUniqueName="[DimPayee].[RowIsCurrent].[All]" allUniqueName="[DimPayee].[RowIsCurrent].[All]" dimensionUniqueName="[DimPayee]" displayFolder="" count="0" unbalanced="0" hidden="1"/>
    <cacheHierarchy uniqueName="[DimPayee].[RowStartDate]" caption="RowStartDate" attribute="1" defaultMemberUniqueName="[DimPayee].[RowStartDate].[All]" allUniqueName="[DimPayee].[RowStartDate].[All]" dimensionUniqueName="[DimPayee]" displayFolder="" count="0" unbalanced="0" hidden="1"/>
    <cacheHierarchy uniqueName="[DimPayee].[UpdateAuditKey]" caption="UpdateAuditKey" attribute="1" defaultMemberUniqueName="[DimPayee].[UpdateAuditKey].[All]" allUniqueName="[DimPayee].[UpdateAuditKey].[All]" dimensionUniqueName="[DimPayee]" displayFolder="" count="0" unbalanced="0" hidden="1"/>
    <cacheHierarchy uniqueName="[DimPipeLineStatus].[DQScoreKey]" caption="DQScoreKey" attribute="1" defaultMemberUniqueName="[DimPipeLineStatus].[DQScoreKey].[All]" allUniqueName="[DimPipeLineStatus].[DQScoreKey].[All]" dimensionUniqueName="[DimPipeLineStatus]" displayFolder="" count="0" unbalanced="0" hidden="1"/>
    <cacheHierarchy uniqueName="[DimPipeLineStatus].[InsertAuditKey]" caption="InsertAuditKey" attribute="1" defaultMemberUniqueName="[DimPipeLineStatus].[InsertAuditKey].[All]" allUniqueName="[DimPipeLineStatus].[InsertAuditKey].[All]" dimensionUniqueName="[DimPipeLineStatus]" displayFolder="" count="0" unbalanced="0" hidden="1"/>
    <cacheHierarchy uniqueName="[DimPipeLineStatus].[PipeLineStatusKey]" caption="PipeLineStatusKey" attribute="1" defaultMemberUniqueName="[DimPipeLineStatus].[PipeLineStatusKey].[All]" allUniqueName="[DimPipeLineStatus].[PipeLineStatusKey].[All]" dimensionUniqueName="[DimPipeLineStatus]" displayFolder="" count="0" unbalanced="0" hidden="1"/>
    <cacheHierarchy uniqueName="[DimPipeLineStatus].[RowChangeReason]" caption="RowChangeReason" attribute="1" defaultMemberUniqueName="[DimPipeLineStatus].[RowChangeReason].[All]" allUniqueName="[DimPipeLineStatus].[RowChangeReason].[All]" dimensionUniqueName="[DimPipeLineStatus]" displayFolder="" count="0" unbalanced="0" hidden="1"/>
    <cacheHierarchy uniqueName="[DimPipeLineStatus].[RowEndDate]" caption="RowEndDate" attribute="1" defaultMemberUniqueName="[DimPipeLineStatus].[RowEndDate].[All]" allUniqueName="[DimPipeLineStatus].[RowEndDate].[All]" dimensionUniqueName="[DimPipeLineStatus]" displayFolder="" count="0" unbalanced="0" hidden="1"/>
    <cacheHierarchy uniqueName="[DimPipeLineStatus].[RowIsCurrent]" caption="RowIsCurrent" attribute="1" defaultMemberUniqueName="[DimPipeLineStatus].[RowIsCurrent].[All]" allUniqueName="[DimPipeLineStatus].[RowIsCurrent].[All]" dimensionUniqueName="[DimPipeLineStatus]" displayFolder="" count="0" unbalanced="0" hidden="1"/>
    <cacheHierarchy uniqueName="[DimPipeLineStatus].[RowStartDate]" caption="RowStartDate" attribute="1" defaultMemberUniqueName="[DimPipeLineStatus].[RowStartDate].[All]" allUniqueName="[DimPipeLineStatus].[RowStartDate].[All]" dimensionUniqueName="[DimPipeLineStatus]" displayFolder="" count="0" unbalanced="0" hidden="1"/>
    <cacheHierarchy uniqueName="[DimPipeLineStatus].[UpdateAuditKey]" caption="UpdateAuditKey" attribute="1" defaultMemberUniqueName="[DimPipeLineStatus].[UpdateAuditKey].[All]" allUniqueName="[DimPipeLineStatus].[UpdateAuditKey].[All]" dimensionUniqueName="[DimPipeLineStatus]" displayFolder="" count="0" unbalanced="0" hidden="1"/>
    <cacheHierarchy uniqueName="[DimPMTIC].[DQScoreKey]" caption="DQScoreKey" attribute="1" defaultMemberUniqueName="[DimPMTIC].[DQScoreKey].[All]" allUniqueName="[DimPMTIC].[DQScoreKey].[All]" dimensionUniqueName="[DimPMTIC]" displayFolder="" count="0" unbalanced="0" hidden="1"/>
    <cacheHierarchy uniqueName="[DimPMTIC].[InsertAuditKey]" caption="InsertAuditKey" attribute="1" defaultMemberUniqueName="[DimPMTIC].[InsertAuditKey].[All]" allUniqueName="[DimPMTIC].[InsertAuditKey].[All]" dimensionUniqueName="[DimPMTIC]" displayFolder="" count="0" unbalanced="0" hidden="1"/>
    <cacheHierarchy uniqueName="[DimPMTIC].[PMTICKey]" caption="PMTICKey" attribute="1" defaultMemberUniqueName="[DimPMTIC].[PMTICKey].[All]" allUniqueName="[DimPMTIC].[PMTICKey].[All]" dimensionUniqueName="[DimPMTIC]" displayFolder="" count="0" unbalanced="0" hidden="1"/>
    <cacheHierarchy uniqueName="[DimPMTIC].[RowChangeReason]" caption="RowChangeReason" attribute="1" defaultMemberUniqueName="[DimPMTIC].[RowChangeReason].[All]" allUniqueName="[DimPMTIC].[RowChangeReason].[All]" dimensionUniqueName="[DimPMTIC]" displayFolder="" count="0" unbalanced="0" hidden="1"/>
    <cacheHierarchy uniqueName="[DimPMTIC].[RowEndDate]" caption="RowEndDate" attribute="1" defaultMemberUniqueName="[DimPMTIC].[RowEndDate].[All]" allUniqueName="[DimPMTIC].[RowEndDate].[All]" dimensionUniqueName="[DimPMTIC]" displayFolder="" count="0" unbalanced="0" hidden="1"/>
    <cacheHierarchy uniqueName="[DimPMTIC].[RowIsCurrent]" caption="RowIsCurrent" attribute="1" defaultMemberUniqueName="[DimPMTIC].[RowIsCurrent].[All]" allUniqueName="[DimPMTIC].[RowIsCurrent].[All]" dimensionUniqueName="[DimPMTIC]" displayFolder="" count="0" unbalanced="0" hidden="1"/>
    <cacheHierarchy uniqueName="[DimPMTIC].[RowStartDate]" caption="RowStartDate" attribute="1" defaultMemberUniqueName="[DimPMTIC].[RowStartDate].[All]" allUniqueName="[DimPMTIC].[RowStartDate].[All]" dimensionUniqueName="[DimPMTIC]" displayFolder="" count="0" unbalanced="0" hidden="1"/>
    <cacheHierarchy uniqueName="[DimPMTIC].[UpdateAuditKey]" caption="UpdateAuditKey" attribute="1" defaultMemberUniqueName="[DimPMTIC].[UpdateAuditKey].[All]" allUniqueName="[DimPMTIC].[UpdateAuditKey].[All]" dimensionUniqueName="[DimPMTIC]" displayFolder="" count="0" unbalanced="0" hidden="1"/>
    <cacheHierarchy uniqueName="[DimPMTMeasure].[PMTMeasureKey]" caption="PMTMeasureKey" attribute="1" defaultMemberUniqueName="[DimPMTMeasure].[PMTMeasureKey].[All]" allUniqueName="[DimPMTMeasure].[PMTMeasureKey].[All]" dimensionUniqueName="[DimPMTMeasure]" displayFolder="" count="0" unbalanced="0" hidden="1"/>
    <cacheHierarchy uniqueName="[DimPMTProgram].[PMTProgramKey]" caption="PMTProgramKey" attribute="1" defaultMemberUniqueName="[DimPMTProgram].[PMTProgramKey].[All]" allUniqueName="[DimPMTProgram].[PMTProgramKey].[All]" dimensionUniqueName="[DimPMTProgram]" displayFolder="" count="0" unbalanced="0" hidden="1"/>
    <cacheHierarchy uniqueName="[DimPMTProgramAccounting].[DimPMTProgramKey]" caption="DimPMTProgramKey" attribute="1" defaultMemberUniqueName="[DimPMTProgramAccounting].[DimPMTProgramKey].[All]" allUniqueName="[DimPMTProgramAccounting].[DimPMTProgramKey].[All]" dimensionUniqueName="[DimPMTProgramAccounting]" displayFolder="" count="0" unbalanced="0" hidden="1"/>
    <cacheHierarchy uniqueName="[DimPMTProject].[AccountKey]" caption="AccountKey" attribute="1" defaultMemberUniqueName="[DimPMTProject].[AccountKey].[All]" allUniqueName="[DimPMTProject].[AccountKey].[All]" dimensionUniqueName="[DimPMTProject]" displayFolder="" count="0" unbalanced="0" hidden="1"/>
    <cacheHierarchy uniqueName="[DimPMTProject].[BuildingTypeKey]" caption="BuildingTypeKey" attribute="1" defaultMemberUniqueName="[DimPMTProject].[BuildingTypeKey].[All]" allUniqueName="[DimPMTProject].[BuildingTypeKey].[All]" dimensionUniqueName="[DimPMTProject]" displayFolder="" count="0" unbalanced="0" hidden="1"/>
    <cacheHierarchy uniqueName="[DimPMTProject].[LastMajorRenovationDateKey]" caption="LastMajorRenovationDateKey" attribute="1" defaultMemberUniqueName="[DimPMTProject].[LastMajorRenovationDateKey].[All]" allUniqueName="[DimPMTProject].[LastMajorRenovationDateKey].[All]" dimensionUniqueName="[DimPMTProject]" displayFolder="" count="0" unbalanced="0" hidden="1"/>
    <cacheHierarchy uniqueName="[DimPMTProject].[PMTProgramKey]" caption="PMTProgramKey" attribute="1" defaultMemberUniqueName="[DimPMTProject].[PMTProgramKey].[All]" allUniqueName="[DimPMTProject].[PMTProgramKey].[All]" dimensionUniqueName="[DimPMTProject]" displayFolder="" count="0" unbalanced="0" hidden="1"/>
    <cacheHierarchy uniqueName="[DimPMTProject].[PMTProjectKey]" caption="PMTProjectKey" attribute="1" defaultMemberUniqueName="[DimPMTProject].[PMTProjectKey].[All]" allUniqueName="[DimPMTProject].[PMTProjectKey].[All]" dimensionUniqueName="[DimPMTProject]" displayFolder="" count="0" unbalanced="0" hidden="1"/>
    <cacheHierarchy uniqueName="[DimPMTProject].[ReferralSourceKey]" caption="ReferralSourceKey" attribute="1" defaultMemberUniqueName="[DimPMTProject].[ReferralSourceKey].[All]" allUniqueName="[DimPMTProject].[ReferralSourceKey].[All]" dimensionUniqueName="[DimPMTProject]" displayFolder="" count="0" unbalanced="0" hidden="1"/>
    <cacheHierarchy uniqueName="[DimPMTProject].[ReportingReferenceDateKey]" caption="ReportingReferenceDateKey" attribute="1" defaultMemberUniqueName="[DimPMTProject].[ReportingReferenceDateKey].[All]" allUniqueName="[DimPMTProject].[ReportingReferenceDateKey].[All]" dimensionUniqueName="[DimPMTProject]" displayFolder="" count="0" unbalanced="0" hidden="1"/>
    <cacheHierarchy uniqueName="[DimPMTSystem].[DQScoreKey]" caption="DQScoreKey" attribute="1" defaultMemberUniqueName="[DimPMTSystem].[DQScoreKey].[All]" allUniqueName="[DimPMTSystem].[DQScoreKey].[All]" dimensionUniqueName="[DimPMTSystem]" displayFolder="" count="0" unbalanced="0" hidden="1"/>
    <cacheHierarchy uniqueName="[DimPMTSystem].[HashByteValueType1]" caption="HashByteValueType1" attribute="1" defaultMemberUniqueName="[DimPMTSystem].[HashByteValueType1].[All]" allUniqueName="[DimPMTSystem].[HashByteValueType1].[All]" dimensionUniqueName="[DimPMTSystem]" displayFolder="" count="0" unbalanced="0" hidden="1"/>
    <cacheHierarchy uniqueName="[DimPMTSystem].[HashByteValueType2]" caption="HashByteValueType2" attribute="1" defaultMemberUniqueName="[DimPMTSystem].[HashByteValueType2].[All]" allUniqueName="[DimPMTSystem].[HashByteValueType2].[All]" dimensionUniqueName="[DimPMTSystem]" displayFolder="" count="0" unbalanced="0" hidden="1"/>
    <cacheHierarchy uniqueName="[DimPMTSystem].[ICName]" caption="ICName" attribute="1" defaultMemberUniqueName="[DimPMTSystem].[ICName].[All]" allUniqueName="[DimPMTSystem].[ICName].[All]" dimensionUniqueName="[DimPMTSystem]" displayFolder="" count="0" unbalanced="0" hidden="1"/>
    <cacheHierarchy uniqueName="[DimPMTSystem].[InsertAuditKey]" caption="InsertAuditKey" attribute="1" defaultMemberUniqueName="[DimPMTSystem].[InsertAuditKey].[All]" allUniqueName="[DimPMTSystem].[InsertAuditKey].[All]" dimensionUniqueName="[DimPMTSystem]" displayFolder="" count="0" unbalanced="0" hidden="1"/>
    <cacheHierarchy uniqueName="[DimPMTSystem].[PMTProgramKey]" caption="PMTProgramKey" attribute="1" defaultMemberUniqueName="[DimPMTSystem].[PMTProgramKey].[All]" allUniqueName="[DimPMTSystem].[PMTProgramKey].[All]" dimensionUniqueName="[DimPMTSystem]" displayFolder="" count="0" unbalanced="0" hidden="1"/>
    <cacheHierarchy uniqueName="[DimPMTSystem].[PMTProjectKey]" caption="PMTProjectKey" attribute="1" defaultMemberUniqueName="[DimPMTSystem].[PMTProjectKey].[All]" allUniqueName="[DimPMTSystem].[PMTProjectKey].[All]" dimensionUniqueName="[DimPMTSystem]" displayFolder="" count="0" unbalanced="0" hidden="1"/>
    <cacheHierarchy uniqueName="[DimPMTSystem].[PMTSystemKey]" caption="PMTSystemKey" attribute="1" defaultMemberUniqueName="[DimPMTSystem].[PMTSystemKey].[All]" allUniqueName="[DimPMTSystem].[PMTSystemKey].[All]" dimensionUniqueName="[DimPMTSystem]" displayFolder="" count="0" unbalanced="0" hidden="1"/>
    <cacheHierarchy uniqueName="[DimPMTSystem].[ReportingReferenceDate]" caption="ReportingReferenceDate" attribute="1" defaultMemberUniqueName="[DimPMTSystem].[ReportingReferenceDate].[All]" allUniqueName="[DimPMTSystem].[ReportingReferenceDate].[All]" dimensionUniqueName="[DimPMTSystem]" displayFolder="" count="0" unbalanced="0" hidden="1"/>
    <cacheHierarchy uniqueName="[DimPMTSystem].[RowChangeReason]" caption="RowChangeReason" attribute="1" defaultMemberUniqueName="[DimPMTSystem].[RowChangeReason].[All]" allUniqueName="[DimPMTSystem].[RowChangeReason].[All]" dimensionUniqueName="[DimPMTSystem]" displayFolder="" count="0" unbalanced="0" hidden="1"/>
    <cacheHierarchy uniqueName="[DimPMTSystem].[RowEndDate]" caption="RowEndDate" attribute="1" defaultMemberUniqueName="[DimPMTSystem].[RowEndDate].[All]" allUniqueName="[DimPMTSystem].[RowEndDate].[All]" dimensionUniqueName="[DimPMTSystem]" displayFolder="" count="0" unbalanced="0" hidden="1"/>
    <cacheHierarchy uniqueName="[DimPMTSystem].[RowIsCurrent]" caption="RowIsCurrent" attribute="1" defaultMemberUniqueName="[DimPMTSystem].[RowIsCurrent].[All]" allUniqueName="[DimPMTSystem].[RowIsCurrent].[All]" dimensionUniqueName="[DimPMTSystem]" displayFolder="" count="0" unbalanced="0" hidden="1"/>
    <cacheHierarchy uniqueName="[DimPMTSystem].[RowStartDate]" caption="RowStartDate" attribute="1" defaultMemberUniqueName="[DimPMTSystem].[RowStartDate].[All]" allUniqueName="[DimPMTSystem].[RowStartDate].[All]" dimensionUniqueName="[DimPMTSystem]" displayFolder="" count="0" unbalanced="0" hidden="1"/>
    <cacheHierarchy uniqueName="[DimPMTSystem].[UpdateAuditKey]" caption="UpdateAuditKey" attribute="1" defaultMemberUniqueName="[DimPMTSystem].[UpdateAuditKey].[All]" allUniqueName="[DimPMTSystem].[UpdateAuditKey].[All]" dimensionUniqueName="[DimPMTSystem]" displayFolder="" count="0" unbalanced="0" hidden="1"/>
    <cacheHierarchy uniqueName="[DimPMTSystem].[VendorProjectID]" caption="VendorProjectID" attribute="1" defaultMemberUniqueName="[DimPMTSystem].[VendorProjectID].[All]" allUniqueName="[DimPMTSystem].[VendorProjectID].[All]" dimensionUniqueName="[DimPMTSystem]" displayFolder="" count="0" unbalanced="0" hidden="1"/>
    <cacheHierarchy uniqueName="[DimProjectTradeAlly].[DQScoreKey]" caption="DQScoreKey" attribute="1" defaultMemberUniqueName="[DimProjectTradeAlly].[DQScoreKey].[All]" allUniqueName="[DimProjectTradeAlly].[DQScoreKey].[All]" dimensionUniqueName="[DimProjectTradeAlly]" displayFolder="" count="0" unbalanced="0" hidden="1"/>
    <cacheHierarchy uniqueName="[DimProjectTradeAlly].[InsertAuditKey]" caption="InsertAuditKey" attribute="1" defaultMemberUniqueName="[DimProjectTradeAlly].[InsertAuditKey].[All]" allUniqueName="[DimProjectTradeAlly].[InsertAuditKey].[All]" dimensionUniqueName="[DimProjectTradeAlly]" displayFolder="" count="0" unbalanced="0" hidden="1"/>
    <cacheHierarchy uniqueName="[DimProjectTradeAlly].[PMTProjectKey]" caption="PMTProjectKey" attribute="1" defaultMemberUniqueName="[DimProjectTradeAlly].[PMTProjectKey].[All]" allUniqueName="[DimProjectTradeAlly].[PMTProjectKey].[All]" dimensionUniqueName="[DimProjectTradeAlly]" displayFolder="" count="0" unbalanced="0" hidden="1"/>
    <cacheHierarchy uniqueName="[DimProjectTradeAlly].[PMTProjectTradeAllyKey]" caption="PMTProjectTradeAllyKey" attribute="1" defaultMemberUniqueName="[DimProjectTradeAlly].[PMTProjectTradeAllyKey].[All]" allUniqueName="[DimProjectTradeAlly].[PMTProjectTradeAllyKey].[All]" dimensionUniqueName="[DimProjectTradeAlly]" displayFolder="" count="0" unbalanced="0" hidden="1"/>
    <cacheHierarchy uniqueName="[DimProjectTradeAlly].[RowChangeReason]" caption="RowChangeReason" attribute="1" defaultMemberUniqueName="[DimProjectTradeAlly].[RowChangeReason].[All]" allUniqueName="[DimProjectTradeAlly].[RowChangeReason].[All]" dimensionUniqueName="[DimProjectTradeAlly]" displayFolder="" count="0" unbalanced="0" hidden="1"/>
    <cacheHierarchy uniqueName="[DimProjectTradeAlly].[RowEndDate]" caption="RowEndDate" attribute="1" defaultMemberUniqueName="[DimProjectTradeAlly].[RowEndDate].[All]" allUniqueName="[DimProjectTradeAlly].[RowEndDate].[All]" dimensionUniqueName="[DimProjectTradeAlly]" displayFolder="" count="0" unbalanced="0" hidden="1"/>
    <cacheHierarchy uniqueName="[DimProjectTradeAlly].[RowIsCurrent]" caption="RowIsCurrent" attribute="1" defaultMemberUniqueName="[DimProjectTradeAlly].[RowIsCurrent].[All]" allUniqueName="[DimProjectTradeAlly].[RowIsCurrent].[All]" dimensionUniqueName="[DimProjectTradeAlly]" displayFolder="" count="0" unbalanced="0" hidden="1"/>
    <cacheHierarchy uniqueName="[DimProjectTradeAlly].[RowStartDate]" caption="RowStartDate" attribute="1" defaultMemberUniqueName="[DimProjectTradeAlly].[RowStartDate].[All]" allUniqueName="[DimProjectTradeAlly].[RowStartDate].[All]" dimensionUniqueName="[DimProjectTradeAlly]" displayFolder="" count="0" unbalanced="0" hidden="1"/>
    <cacheHierarchy uniqueName="[DimProjectTradeAlly].[TradeAllyTypeKey]" caption="TradeAllyTypeKey" attribute="1" defaultMemberUniqueName="[DimProjectTradeAlly].[TradeAllyTypeKey].[All]" allUniqueName="[DimProjectTradeAlly].[TradeAllyTypeKey].[All]" dimensionUniqueName="[DimProjectTradeAlly]" displayFolder="" count="0" unbalanced="0" hidden="1"/>
    <cacheHierarchy uniqueName="[DimProjectTradeAlly].[UpdateAuditKey]" caption="UpdateAuditKey" attribute="1" defaultMemberUniqueName="[DimProjectTradeAlly].[UpdateAuditKey].[All]" allUniqueName="[DimProjectTradeAlly].[UpdateAuditKey].[All]" dimensionUniqueName="[DimProjectTradeAlly]" displayFolder="" count="0" unbalanced="0" hidden="1"/>
    <cacheHierarchy uniqueName="[DimRateSchedule].[RateScheduleKey]" caption="RateScheduleKey" attribute="1" defaultMemberUniqueName="[DimRateSchedule].[RateScheduleKey].[All]" allUniqueName="[DimRateSchedule].[RateScheduleKey].[All]" dimensionUniqueName="[DimRateSchedule]" displayFolder="" count="0" unbalanced="0" hidden="1"/>
    <cacheHierarchy uniqueName="[DimReadType].[ReadTypeKey]" caption="ReadTypeKey" attribute="1" defaultMemberUniqueName="[DimReadType].[ReadTypeKey].[All]" allUniqueName="[DimReadType].[ReadTypeKey].[All]" dimensionUniqueName="[DimReadType]" displayFolder="" count="0" unbalanced="0" hidden="1"/>
    <cacheHierarchy uniqueName="[DimReferralSource].[ReferralSourceKey]" caption="ReferralSourceKey" attribute="1" defaultMemberUniqueName="[DimReferralSource].[ReferralSourceKey].[All]" allUniqueName="[DimReferralSource].[ReferralSourceKey].[All]" dimensionUniqueName="[DimReferralSource]" displayFolder="" count="0" unbalanced="0" hidden="1"/>
    <cacheHierarchy uniqueName="[DimResidentialAccountSegment].[ResidentialAccountSegmentKey]" caption="ResidentialAccountSegmentKey" attribute="1" defaultMemberUniqueName="[DimResidentialAccountSegment].[ResidentialAccountSegmentKey].[All]" allUniqueName="[DimResidentialAccountSegment].[ResidentialAccountSegmentKey].[All]" dimensionUniqueName="[DimResidentialAccountSegment]" displayFolder="" count="0" unbalanced="0" hidden="1"/>
    <cacheHierarchy uniqueName="[DimResidentialPremiseSegment].[ResidentialPremiseSegmentKey]" caption="ResidentialPremiseSegmentKey" attribute="1" defaultMemberUniqueName="[DimResidentialPremiseSegment].[ResidentialPremiseSegmentKey].[All]" allUniqueName="[DimResidentialPremiseSegment].[ResidentialPremiseSegmentKey].[All]" dimensionUniqueName="[DimResidentialPremiseSegment]" displayFolder="" count="0" unbalanced="0" hidden="1"/>
    <cacheHierarchy uniqueName="[DimScenario].[ScenarioKey]" caption="ScenarioKey" attribute="1" defaultMemberUniqueName="[DimScenario].[ScenarioKey].[All]" allUniqueName="[DimScenario].[ScenarioKey].[All]" dimensionUniqueName="[DimScenario]" displayFolder="" count="0" unbalanced="0" hidden="1"/>
    <cacheHierarchy uniqueName="[DimServiceAgreementType].[ServiceAgreementTypeKey]" caption="ServiceAgreementTypeKey" attribute="1" defaultMemberUniqueName="[DimServiceAgreementType].[ServiceAgreementTypeKey].[All]" allUniqueName="[DimServiceAgreementType].[ServiceAgreementTypeKey].[All]" dimensionUniqueName="[DimServiceAgreementType]" displayFolder="" count="0" unbalanced="0" hidden="1"/>
    <cacheHierarchy uniqueName="[DimServiceCounty].[ServiceCountyKey]" caption="ServiceCountyKey" attribute="1" defaultMemberUniqueName="[DimServiceCounty].[ServiceCountyKey].[All]" allUniqueName="[DimServiceCounty].[ServiceCountyKey].[All]" dimensionUniqueName="[DimServiceCounty]" displayFolder="" count="0" unbalanced="0" hidden="1"/>
    <cacheHierarchy uniqueName="[DimServicePointType].[ServicePointTypeKey]" caption="ServicePointTypeKey" attribute="1" defaultMemberUniqueName="[DimServicePointType].[ServicePointTypeKey].[All]" allUniqueName="[DimServicePointType].[ServicePointTypeKey].[All]" dimensionUniqueName="[DimServicePointType]" displayFolder="" count="0" unbalanced="0" hidden="1"/>
    <cacheHierarchy uniqueName="[DimServiceTown].[ServiceTownKey]" caption="ServiceTownKey" attribute="1" defaultMemberUniqueName="[DimServiceTown].[ServiceTownKey].[All]" allUniqueName="[DimServiceTown].[ServiceTownKey].[All]" dimensionUniqueName="[DimServiceTown]" displayFolder="" count="0" unbalanced="0" hidden="1"/>
    <cacheHierarchy uniqueName="[DimSilverPopSurvey].[DQScoreKey]" caption="DQScoreKey" attribute="1" defaultMemberUniqueName="[DimSilverPopSurvey].[DQScoreKey].[All]" allUniqueName="[DimSilverPopSurvey].[DQScoreKey].[All]" dimensionUniqueName="[DimSilverPopSurvey]" displayFolder="" count="0" unbalanced="0" hidden="1"/>
    <cacheHierarchy uniqueName="[DimSilverPopSurvey].[InsertAuditKey]" caption="InsertAuditKey" attribute="1" defaultMemberUniqueName="[DimSilverPopSurvey].[InsertAuditKey].[All]" allUniqueName="[DimSilverPopSurvey].[InsertAuditKey].[All]" dimensionUniqueName="[DimSilverPopSurvey]" displayFolder="" count="0" unbalanced="0" hidden="1"/>
    <cacheHierarchy uniqueName="[DimSilverPopSurvey].[UpdateAuditKey]" caption="UpdateAuditKey" attribute="1" defaultMemberUniqueName="[DimSilverPopSurvey].[UpdateAuditKey].[All]" allUniqueName="[DimSilverPopSurvey].[UpdateAuditKey].[All]" dimensionUniqueName="[DimSilverPopSurvey]" displayFolder="" count="0" unbalanced="0" hidden="1"/>
    <cacheHierarchy uniqueName="[DimSubProgramType].[DQScoreKey]" caption="DQScoreKey" attribute="1" defaultMemberUniqueName="[DimSubProgramType].[DQScoreKey].[All]" allUniqueName="[DimSubProgramType].[DQScoreKey].[All]" dimensionUniqueName="[DimSubProgramType]" displayFolder="" count="0" unbalanced="0" hidden="1"/>
    <cacheHierarchy uniqueName="[DimSubProgramType].[InsertAuditKey]" caption="InsertAuditKey" attribute="1" defaultMemberUniqueName="[DimSubProgramType].[InsertAuditKey].[All]" allUniqueName="[DimSubProgramType].[InsertAuditKey].[All]" dimensionUniqueName="[DimSubProgramType]" displayFolder="" count="0" unbalanced="0" hidden="1"/>
    <cacheHierarchy uniqueName="[DimSubProgramType].[RowChangeReason]" caption="RowChangeReason" attribute="1" defaultMemberUniqueName="[DimSubProgramType].[RowChangeReason].[All]" allUniqueName="[DimSubProgramType].[RowChangeReason].[All]" dimensionUniqueName="[DimSubProgramType]" displayFolder="" count="0" unbalanced="0" hidden="1"/>
    <cacheHierarchy uniqueName="[DimSubProgramType].[RowEndDate]" caption="RowEndDate" attribute="1" defaultMemberUniqueName="[DimSubProgramType].[RowEndDate].[All]" allUniqueName="[DimSubProgramType].[RowEndDate].[All]" dimensionUniqueName="[DimSubProgramType]" displayFolder="" count="0" unbalanced="0" hidden="1"/>
    <cacheHierarchy uniqueName="[DimSubProgramType].[RowIsCurrent]" caption="RowIsCurrent" attribute="1" defaultMemberUniqueName="[DimSubProgramType].[RowIsCurrent].[All]" allUniqueName="[DimSubProgramType].[RowIsCurrent].[All]" dimensionUniqueName="[DimSubProgramType]" displayFolder="" count="0" unbalanced="0" hidden="1"/>
    <cacheHierarchy uniqueName="[DimSubProgramType].[RowStartDate]" caption="RowStartDate" attribute="1" defaultMemberUniqueName="[DimSubProgramType].[RowStartDate].[All]" allUniqueName="[DimSubProgramType].[RowStartDate].[All]" dimensionUniqueName="[DimSubProgramType]" displayFolder="" count="0" unbalanced="0" hidden="1"/>
    <cacheHierarchy uniqueName="[DimSubProgramType].[UpdateAuditKey]" caption="UpdateAuditKey" attribute="1" defaultMemberUniqueName="[DimSubProgramType].[UpdateAuditKey].[All]" allUniqueName="[DimSubProgramType].[UpdateAuditKey].[All]" dimensionUniqueName="[DimSubProgramType]" displayFolder="" count="0" unbalanced="0" hidden="1"/>
    <cacheHierarchy uniqueName="[DimTradeAllyType].[DQScoreKey]" caption="DQScoreKey" attribute="1" defaultMemberUniqueName="[DimTradeAllyType].[DQScoreKey].[All]" allUniqueName="[DimTradeAllyType].[DQScoreKey].[All]" dimensionUniqueName="[DimTradeAllyType]" displayFolder="" count="0" unbalanced="0" hidden="1"/>
    <cacheHierarchy uniqueName="[DimTradeAllyType].[InsertAuditKey]" caption="InsertAuditKey" attribute="1" defaultMemberUniqueName="[DimTradeAllyType].[InsertAuditKey].[All]" allUniqueName="[DimTradeAllyType].[InsertAuditKey].[All]" dimensionUniqueName="[DimTradeAllyType]" displayFolder="" count="0" unbalanced="0" hidden="1"/>
    <cacheHierarchy uniqueName="[DimTradeAllyType].[RowChangeReason]" caption="RowChangeReason" attribute="1" defaultMemberUniqueName="[DimTradeAllyType].[RowChangeReason].[All]" allUniqueName="[DimTradeAllyType].[RowChangeReason].[All]" dimensionUniqueName="[DimTradeAllyType]" displayFolder="" count="0" unbalanced="0" hidden="1"/>
    <cacheHierarchy uniqueName="[DimTradeAllyType].[RowEndDate]" caption="RowEndDate" attribute="1" defaultMemberUniqueName="[DimTradeAllyType].[RowEndDate].[All]" allUniqueName="[DimTradeAllyType].[RowEndDate].[All]" dimensionUniqueName="[DimTradeAllyType]" displayFolder="" count="0" unbalanced="0" hidden="1"/>
    <cacheHierarchy uniqueName="[DimTradeAllyType].[RowIsCurrent]" caption="RowIsCurrent" attribute="1" defaultMemberUniqueName="[DimTradeAllyType].[RowIsCurrent].[All]" allUniqueName="[DimTradeAllyType].[RowIsCurrent].[All]" dimensionUniqueName="[DimTradeAllyType]" displayFolder="" count="0" unbalanced="0" hidden="1"/>
    <cacheHierarchy uniqueName="[DimTradeAllyType].[RowStartDate]" caption="RowStartDate" attribute="1" defaultMemberUniqueName="[DimTradeAllyType].[RowStartDate].[All]" allUniqueName="[DimTradeAllyType].[RowStartDate].[All]" dimensionUniqueName="[DimTradeAllyType]" displayFolder="" count="0" unbalanced="0" hidden="1"/>
    <cacheHierarchy uniqueName="[DimTradeAllyType].[SourceSystemKey]" caption="SourceSystemKey" attribute="1" defaultMemberUniqueName="[DimTradeAllyType].[SourceSystemKey].[All]" allUniqueName="[DimTradeAllyType].[SourceSystemKey].[All]" dimensionUniqueName="[DimTradeAllyType]" displayFolder="" count="0" unbalanced="0" hidden="1"/>
    <cacheHierarchy uniqueName="[DimTradeAllyType].[TradeAllyTypeKey]" caption="TradeAllyTypeKey" attribute="1" defaultMemberUniqueName="[DimTradeAllyType].[TradeAllyTypeKey].[All]" allUniqueName="[DimTradeAllyType].[TradeAllyTypeKey].[All]" dimensionUniqueName="[DimTradeAllyType]" displayFolder="" count="0" unbalanced="0" hidden="1"/>
    <cacheHierarchy uniqueName="[DimTradeAllyType].[UpdateAuditKey]" caption="UpdateAuditKey" attribute="1" defaultMemberUniqueName="[DimTradeAllyType].[UpdateAuditKey].[All]" allUniqueName="[DimTradeAllyType].[UpdateAuditKey].[All]" dimensionUniqueName="[DimTradeAllyType]" displayFolder="" count="0" unbalanced="0" hidden="1"/>
    <cacheHierarchy uniqueName="[DimUser].[DQScoreKey]" caption="DQScoreKey" attribute="1" defaultMemberUniqueName="[DimUser].[DQScoreKey].[All]" allUniqueName="[DimUser].[DQScoreKey].[All]" dimensionUniqueName="[DimUser]" displayFolder="" count="0" unbalanced="0" hidden="1"/>
    <cacheHierarchy uniqueName="[DimUser].[InsertAuditKey]" caption="InsertAuditKey" attribute="1" defaultMemberUniqueName="[DimUser].[InsertAuditKey].[All]" allUniqueName="[DimUser].[InsertAuditKey].[All]" dimensionUniqueName="[DimUser]" displayFolder="" count="0" unbalanced="0" hidden="1"/>
    <cacheHierarchy uniqueName="[DimUser].[RowChangeReason]" caption="RowChangeReason" attribute="1" defaultMemberUniqueName="[DimUser].[RowChangeReason].[All]" allUniqueName="[DimUser].[RowChangeReason].[All]" dimensionUniqueName="[DimUser]" displayFolder="" count="0" unbalanced="0" hidden="1"/>
    <cacheHierarchy uniqueName="[DimUser].[RowEndDate]" caption="RowEndDate" attribute="1" defaultMemberUniqueName="[DimUser].[RowEndDate].[All]" allUniqueName="[DimUser].[RowEndDate].[All]" dimensionUniqueName="[DimUser]" displayFolder="" count="0" unbalanced="0" hidden="1"/>
    <cacheHierarchy uniqueName="[DimUser].[RowIsCurrent]" caption="RowIsCurrent" attribute="1" defaultMemberUniqueName="[DimUser].[RowIsCurrent].[All]" allUniqueName="[DimUser].[RowIsCurrent].[All]" dimensionUniqueName="[DimUser]" displayFolder="" count="0" unbalanced="0" hidden="1"/>
    <cacheHierarchy uniqueName="[DimUser].[RowStartDate]" caption="RowStartDate" attribute="1" defaultMemberUniqueName="[DimUser].[RowStartDate].[All]" allUniqueName="[DimUser].[RowStartDate].[All]" dimensionUniqueName="[DimUser]" displayFolder="" count="0" unbalanced="0" hidden="1"/>
    <cacheHierarchy uniqueName="[DimUser].[SourceSystemKey]" caption="SourceSystemKey" attribute="1" defaultMemberUniqueName="[DimUser].[SourceSystemKey].[All]" allUniqueName="[DimUser].[SourceSystemKey].[All]" dimensionUniqueName="[DimUser]" displayFolder="" count="0" unbalanced="0" hidden="1"/>
    <cacheHierarchy uniqueName="[DimUser].[UpdateAuditKey]" caption="UpdateAuditKey" attribute="1" defaultMemberUniqueName="[DimUser].[UpdateAuditKey].[All]" allUniqueName="[DimUser].[UpdateAuditKey].[All]" dimensionUniqueName="[DimUser]" displayFolder="" count="0" unbalanced="0" hidden="1"/>
    <cacheHierarchy uniqueName="[DimUser].[UserKey]" caption="UserKey" attribute="1" defaultMemberUniqueName="[DimUser].[UserKey].[All]" allUniqueName="[DimUser].[UserKey].[All]" dimensionUniqueName="[DimUser]" displayFolder="" count="0" unbalanced="0" hidden="1"/>
    <cacheHierarchy uniqueName="[DimUser].[UserTypeKey]" caption="UserTypeKey" attribute="1" defaultMemberUniqueName="[DimUser].[UserTypeKey].[All]" allUniqueName="[DimUser].[UserTypeKey].[All]" dimensionUniqueName="[DimUser]" displayFolder="" count="0" unbalanced="0" hidden="1"/>
    <cacheHierarchy uniqueName="[DimUserType].[DQScoreKey]" caption="DQScoreKey" attribute="1" defaultMemberUniqueName="[DimUserType].[DQScoreKey].[All]" allUniqueName="[DimUserType].[DQScoreKey].[All]" dimensionUniqueName="[DimUserType]" displayFolder="" count="0" unbalanced="0" hidden="1"/>
    <cacheHierarchy uniqueName="[DimUserType].[InsertAuditKey]" caption="InsertAuditKey" attribute="1" defaultMemberUniqueName="[DimUserType].[InsertAuditKey].[All]" allUniqueName="[DimUserType].[InsertAuditKey].[All]" dimensionUniqueName="[DimUserType]" displayFolder="" count="0" unbalanced="0" hidden="1"/>
    <cacheHierarchy uniqueName="[DimUserType].[RowChangeReason]" caption="RowChangeReason" attribute="1" defaultMemberUniqueName="[DimUserType].[RowChangeReason].[All]" allUniqueName="[DimUserType].[RowChangeReason].[All]" dimensionUniqueName="[DimUserType]" displayFolder="" count="0" unbalanced="0" hidden="1"/>
    <cacheHierarchy uniqueName="[DimUserType].[RowEndDate]" caption="RowEndDate" attribute="1" defaultMemberUniqueName="[DimUserType].[RowEndDate].[All]" allUniqueName="[DimUserType].[RowEndDate].[All]" dimensionUniqueName="[DimUserType]" displayFolder="" count="0" unbalanced="0" hidden="1"/>
    <cacheHierarchy uniqueName="[DimUserType].[RowIsCurrent]" caption="RowIsCurrent" attribute="1" defaultMemberUniqueName="[DimUserType].[RowIsCurrent].[All]" allUniqueName="[DimUserType].[RowIsCurrent].[All]" dimensionUniqueName="[DimUserType]" displayFolder="" count="0" unbalanced="0" hidden="1"/>
    <cacheHierarchy uniqueName="[DimUserType].[RowStartDate]" caption="RowStartDate" attribute="1" defaultMemberUniqueName="[DimUserType].[RowStartDate].[All]" allUniqueName="[DimUserType].[RowStartDate].[All]" dimensionUniqueName="[DimUserType]" displayFolder="" count="0" unbalanced="0" hidden="1"/>
    <cacheHierarchy uniqueName="[DimUserType].[SourceSystemKey]" caption="SourceSystemKey" attribute="1" defaultMemberUniqueName="[DimUserType].[SourceSystemKey].[All]" allUniqueName="[DimUserType].[SourceSystemKey].[All]" dimensionUniqueName="[DimUserType]" displayFolder="" count="0" unbalanced="0" hidden="1"/>
    <cacheHierarchy uniqueName="[DimUserType].[UpdateAuditKey]" caption="UpdateAuditKey" attribute="1" defaultMemberUniqueName="[DimUserType].[UpdateAuditKey].[All]" allUniqueName="[DimUserType].[UpdateAuditKey].[All]" dimensionUniqueName="[DimUserType]" displayFolder="" count="0" unbalanced="0" hidden="1"/>
    <cacheHierarchy uniqueName="[DimUserType].[UserTypeKey]" caption="UserTypeKey" attribute="1" defaultMemberUniqueName="[DimUserType].[UserTypeKey].[All]" allUniqueName="[DimUserType].[UserTypeKey].[All]" dimensionUniqueName="[DimUserType]" displayFolder="" count="0" unbalanced="0" hidden="1"/>
    <cacheHierarchy uniqueName="[EquipmentDualFuel].[TableValueKey]" caption="TableValueKey" attribute="1" defaultMemberUniqueName="[EquipmentDualFuel].[TableValueKey].[All]" allUniqueName="[EquipmentDualFuel].[TableValueKey].[All]" dimensionUniqueName="[EquipmentDualFuel]" displayFolder="" count="0" unbalanced="0" hidden="1"/>
    <cacheHierarchy uniqueName="[EquipmentFuel].[TableValueKey]" caption="TableValueKey" attribute="1" defaultMemberUniqueName="[EquipmentFuel].[TableValueKey].[All]" allUniqueName="[EquipmentFuel].[TableValueKey].[All]" dimensionUniqueName="[EquipmentFuel]" displayFolder="" count="0" unbalanced="0" hidden="1"/>
    <cacheHierarchy uniqueName="[EquipmentManufacture].[TableValueKey]" caption="TableValueKey" attribute="1" defaultMemberUniqueName="[EquipmentManufacture].[TableValueKey].[All]" allUniqueName="[EquipmentManufacture].[TableValueKey].[All]" dimensionUniqueName="[EquipmentManufacture]" displayFolder="" count="0" unbalanced="0" hidden="1"/>
    <cacheHierarchy uniqueName="[FactCostEffectiveness].[InsertAuditKey]" caption="InsertAuditKey" attribute="1" defaultMemberUniqueName="[FactCostEffectiveness].[InsertAuditKey].[All]" allUniqueName="[FactCostEffectiveness].[InsertAuditKey].[All]" dimensionUniqueName="[FactCostEffectiveness]" displayFolder="" count="0" unbalanced="0" hidden="1"/>
    <cacheHierarchy uniqueName="[FactCostEffectiveness].[UpdateAuditKey]" caption="UpdateAuditKey" attribute="1" defaultMemberUniqueName="[FactCostEffectiveness].[UpdateAuditKey].[All]" allUniqueName="[FactCostEffectiveness].[UpdateAuditKey].[All]" dimensionUniqueName="[FactCostEffectiveness]" displayFolder="" count="0" unbalanced="0" hidden="1"/>
    <cacheHierarchy uniqueName="[FactCostSavings].[DQScoreKey]" caption="DQScoreKey" attribute="1" defaultMemberUniqueName="[FactCostSavings].[DQScoreKey].[All]" allUniqueName="[FactCostSavings].[DQScoreKey].[All]" dimensionUniqueName="[FactCostSavings]" displayFolder="" count="0" unbalanced="0" hidden="1"/>
    <cacheHierarchy uniqueName="[FactCostSavings].[InsertAuditKey]" caption="InsertAuditKey" attribute="1" defaultMemberUniqueName="[FactCostSavings].[InsertAuditKey].[All]" allUniqueName="[FactCostSavings].[InsertAuditKey].[All]" dimensionUniqueName="[FactCostSavings]" displayFolder="" count="0" unbalanced="0" hidden="1"/>
    <cacheHierarchy uniqueName="[FactCostSavings].[UpdateAuditKey]" caption="UpdateAuditKey" attribute="1" defaultMemberUniqueName="[FactCostSavings].[UpdateAuditKey].[All]" allUniqueName="[FactCostSavings].[UpdateAuditKey].[All]" dimensionUniqueName="[FactCostSavings]" displayFolder="" count="0" unbalanced="0" hidden="1"/>
    <cacheHierarchy uniqueName="[FactEEPData].[DQScoreKey]" caption="DQScoreKey" attribute="1" defaultMemberUniqueName="[FactEEPData].[DQScoreKey].[All]" allUniqueName="[FactEEPData].[DQScoreKey].[All]" dimensionUniqueName="[FactEEPData]" displayFolder="" count="0" unbalanced="0" hidden="1"/>
    <cacheHierarchy uniqueName="[FactEEPData].[FactPMTMeasureKey]" caption="FactPMTMeasureKey" attribute="1" defaultMemberUniqueName="[FactEEPData].[FactPMTMeasureKey].[All]" allUniqueName="[FactEEPData].[FactPMTMeasureKey].[All]" dimensionUniqueName="[FactEEPData]" displayFolder="" count="0" unbalanced="0" hidden="1"/>
    <cacheHierarchy uniqueName="[FactEEPData].[InsertAuditKey]" caption="InsertAuditKey" attribute="1" defaultMemberUniqueName="[FactEEPData].[InsertAuditKey].[All]" allUniqueName="[FactEEPData].[InsertAuditKey].[All]" dimensionUniqueName="[FactEEPData]" displayFolder="" count="0" unbalanced="0" hidden="1"/>
    <cacheHierarchy uniqueName="[FactEEPData].[InstallationDateKey]" caption="InstallationDateKey" attribute="1" defaultMemberUniqueName="[FactEEPData].[InstallationDateKey].[All]" allUniqueName="[FactEEPData].[InstallationDateKey].[All]" dimensionUniqueName="[FactEEPData]" displayFolder="" count="0" unbalanced="0" hidden="1"/>
    <cacheHierarchy uniqueName="[FactEEPData].[InvoiceDateKey]" caption="InvoiceDateKey" attribute="1" defaultMemberUniqueName="[FactEEPData].[InvoiceDateKey].[All]" allUniqueName="[FactEEPData].[InvoiceDateKey].[All]" dimensionUniqueName="[FactEEPData]" displayFolder="" count="0" unbalanced="0" hidden="1"/>
    <cacheHierarchy uniqueName="[FactEEPData].[MeasureGroupKey]" caption="MeasureGroupKey" attribute="1" defaultMemberUniqueName="[FactEEPData].[MeasureGroupKey].[All]" allUniqueName="[FactEEPData].[MeasureGroupKey].[All]" dimensionUniqueName="[FactEEPData]" displayFolder="" count="0" unbalanced="0" hidden="1"/>
    <cacheHierarchy uniqueName="[FactEEPData].[PayeeKey]" caption="PayeeKey" attribute="1" defaultMemberUniqueName="[FactEEPData].[PayeeKey].[All]" allUniqueName="[FactEEPData].[PayeeKey].[All]" dimensionUniqueName="[FactEEPData]" displayFolder="" count="0" unbalanced="0" hidden="1"/>
    <cacheHierarchy uniqueName="[FactEEPData].[PMTMeasureKey]" caption="PMTMeasureKey" attribute="1" defaultMemberUniqueName="[FactEEPData].[PMTMeasureKey].[All]" allUniqueName="[FactEEPData].[PMTMeasureKey].[All]" dimensionUniqueName="[FactEEPData]" displayFolder="" count="0" unbalanced="0" hidden="1"/>
    <cacheHierarchy uniqueName="[FactEEPData].[PMTMeasureXrefKey]" caption="PMTMeasureXrefKey" attribute="1" defaultMemberUniqueName="[FactEEPData].[PMTMeasureXrefKey].[All]" allUniqueName="[FactEEPData].[PMTMeasureXrefKey].[All]" dimensionUniqueName="[FactEEPData]" displayFolder="" count="0" unbalanced="0" hidden="1"/>
    <cacheHierarchy uniqueName="[FactEEPData].[PMTProjectKey]" caption="PMTProjectKey" attribute="1" defaultMemberUniqueName="[FactEEPData].[PMTProjectKey].[All]" allUniqueName="[FactEEPData].[PMTProjectKey].[All]" dimensionUniqueName="[FactEEPData]" displayFolder="" count="0" unbalanced="0" hidden="1"/>
    <cacheHierarchy uniqueName="[FactEEPData].[PUPMeasure_HashKey]" caption="PUPMeasure_HashKey" attribute="1" defaultMemberUniqueName="[FactEEPData].[PUPMeasure_HashKey].[All]" allUniqueName="[FactEEPData].[PUPMeasure_HashKey].[All]" dimensionUniqueName="[FactEEPData]" displayFolder="" count="0" unbalanced="0" hidden="1"/>
    <cacheHierarchy uniqueName="[FactEEPData].[PurchaseDateKey]" caption="PurchaseDateKey" attribute="1" defaultMemberUniqueName="[FactEEPData].[PurchaseDateKey].[All]" allUniqueName="[FactEEPData].[PurchaseDateKey].[All]" dimensionUniqueName="[FactEEPData]" displayFolder="" count="0" unbalanced="0" hidden="1"/>
    <cacheHierarchy uniqueName="[FactEEPData].[ReportingReferenceDateKey]" caption="ReportingReferenceDateKey" attribute="1" defaultMemberUniqueName="[FactEEPData].[ReportingReferenceDateKey].[All]" allUniqueName="[FactEEPData].[ReportingReferenceDateKey].[All]" dimensionUniqueName="[FactEEPData]" displayFolder="" count="0" unbalanced="0" hidden="1"/>
    <cacheHierarchy uniqueName="[FactEEPData].[ScenarioKey]" caption="ScenarioKey" attribute="1" defaultMemberUniqueName="[FactEEPData].[ScenarioKey].[All]" allUniqueName="[FactEEPData].[ScenarioKey].[All]" dimensionUniqueName="[FactEEPData]" displayFolder="" count="0" unbalanced="0" hidden="1"/>
    <cacheHierarchy uniqueName="[FactEEPData].[UpdateAuditKey]" caption="UpdateAuditKey" attribute="1" defaultMemberUniqueName="[FactEEPData].[UpdateAuditKey].[All]" allUniqueName="[FactEEPData].[UpdateAuditKey].[All]" dimensionUniqueName="[FactEEPData]" displayFolder="" count="0" unbalanced="0" hidden="1"/>
    <cacheHierarchy uniqueName="[FactEquipment].[AccountKey]" caption="AccountKey" attribute="1" defaultMemberUniqueName="[FactEquipment].[AccountKey].[All]" allUniqueName="[FactEquipment].[AccountKey].[All]" dimensionUniqueName="[FactEquipment]" displayFolder="" count="0" unbalanced="0" hidden="1"/>
    <cacheHierarchy uniqueName="[FactEquipment].[ApplicationCategoryKey]" caption="ApplicationCategoryKey" attribute="1" defaultMemberUniqueName="[FactEquipment].[ApplicationCategoryKey].[All]" allUniqueName="[FactEquipment].[ApplicationCategoryKey].[All]" dimensionUniqueName="[FactEquipment]" displayFolder="" count="0" unbalanced="0" hidden="1"/>
    <cacheHierarchy uniqueName="[FactEquipment].[DualFuelTableValueKey]" caption="DualFuelTableValueKey" attribute="1" defaultMemberUniqueName="[FactEquipment].[DualFuelTableValueKey].[All]" allUniqueName="[FactEquipment].[DualFuelTableValueKey].[All]" dimensionUniqueName="[FactEquipment]" displayFolder="" count="0" unbalanced="0" hidden="1"/>
    <cacheHierarchy uniqueName="[FactEquipment].[EquipmentCodeKey]" caption="EquipmentCodeKey" attribute="1" defaultMemberUniqueName="[FactEquipment].[EquipmentCodeKey].[All]" allUniqueName="[FactEquipment].[EquipmentCodeKey].[All]" dimensionUniqueName="[FactEquipment]" displayFolder="" count="0" unbalanced="0" hidden="1"/>
    <cacheHierarchy uniqueName="[FactEquipment].[EquipmentKey]" caption="EquipmentKey" attribute="1" defaultMemberUniqueName="[FactEquipment].[EquipmentKey].[All]" allUniqueName="[FactEquipment].[EquipmentKey].[All]" dimensionUniqueName="[FactEquipment]" displayFolder="" count="0" unbalanced="0" hidden="1"/>
    <cacheHierarchy uniqueName="[FactEquipment].[FuelTableValueKey]" caption="FuelTableValueKey" attribute="1" defaultMemberUniqueName="[FactEquipment].[FuelTableValueKey].[All]" allUniqueName="[FactEquipment].[FuelTableValueKey].[All]" dimensionUniqueName="[FactEquipment]" displayFolder="" count="0" unbalanced="0" hidden="1"/>
    <cacheHierarchy uniqueName="[FactEquipment].[ManufactureTableValueKey]" caption="ManufactureTableValueKey" attribute="1" defaultMemberUniqueName="[FactEquipment].[ManufactureTableValueKey].[All]" allUniqueName="[FactEquipment].[ManufactureTableValueKey].[All]" dimensionUniqueName="[FactEquipment]" displayFolder="" count="0" unbalanced="0" hidden="1"/>
    <cacheHierarchy uniqueName="[FactEquipment].[MarketSegmentKey]" caption="MarketSegmentKey" attribute="1" defaultMemberUniqueName="[FactEquipment].[MarketSegmentKey].[All]" allUniqueName="[FactEquipment].[MarketSegmentKey].[All]" dimensionUniqueName="[FactEquipment]" displayFolder="" count="0" unbalanced="0" hidden="1"/>
    <cacheHierarchy uniqueName="[FactMeasureParticipation].[MeasureParticipationKey]" caption="MeasureParticipationKey" attribute="1" defaultMemberUniqueName="[FactMeasureParticipation].[MeasureParticipationKey].[All]" allUniqueName="[FactMeasureParticipation].[MeasureParticipationKey].[All]" dimensionUniqueName="[FactMeasureParticipation]" displayFolder="" count="0" unbalanced="0" hidden="1"/>
    <cacheHierarchy uniqueName="[FactMeasureParticipation].[PMTMeasureKey]" caption="PMTMeasureKey" attribute="1" defaultMemberUniqueName="[FactMeasureParticipation].[PMTMeasureKey].[All]" allUniqueName="[FactMeasureParticipation].[PMTMeasureKey].[All]" dimensionUniqueName="[FactMeasureParticipation]" displayFolder="" count="0" unbalanced="0" hidden="1"/>
    <cacheHierarchy uniqueName="[FactMeasureParticipation].[PMTProgramKey]" caption="PMTProgramKey" attribute="1" defaultMemberUniqueName="[FactMeasureParticipation].[PMTProgramKey].[All]" allUniqueName="[FactMeasureParticipation].[PMTProgramKey].[All]" dimensionUniqueName="[FactMeasureParticipation]" displayFolder="" count="0" unbalanced="0" hidden="1"/>
    <cacheHierarchy uniqueName="[FactMeasureParticipation].[ScenarioKey]" caption="ScenarioKey" attribute="1" defaultMemberUniqueName="[FactMeasureParticipation].[ScenarioKey].[All]" allUniqueName="[FactMeasureParticipation].[ScenarioKey].[All]" dimensionUniqueName="[FactMeasureParticipation]" displayFolder="" count="0" unbalanced="0" hidden="1"/>
    <cacheHierarchy uniqueName="[FactMOCCallLog].[AccountKey]" caption="AccountKey" attribute="1" defaultMemberUniqueName="[FactMOCCallLog].[AccountKey].[All]" allUniqueName="[FactMOCCallLog].[AccountKey].[All]" dimensionUniqueName="[FactMOCCallLog]" displayFolder="" count="0" unbalanced="0" hidden="1"/>
    <cacheHierarchy uniqueName="[FactMOCCallLog].[ActivityDateKey]" caption="ActivityDateKey" attribute="1" defaultMemberUniqueName="[FactMOCCallLog].[ActivityDateKey].[All]" allUniqueName="[FactMOCCallLog].[ActivityDateKey].[All]" dimensionUniqueName="[FactMOCCallLog]" displayFolder="" count="0" unbalanced="0" hidden="1"/>
    <cacheHierarchy uniqueName="[FactMOCCallLog].[AssessmentScheduledDateKey]" caption="AssessmentScheduledDateKey" attribute="1" defaultMemberUniqueName="[FactMOCCallLog].[AssessmentScheduledDateKey].[All]" allUniqueName="[FactMOCCallLog].[AssessmentScheduledDateKey].[All]" dimensionUniqueName="[FactMOCCallLog]" displayFolder="" count="0" unbalanced="0" hidden="1"/>
    <cacheHierarchy uniqueName="[FactMOCCallLog].[DQScoreKey]" caption="DQScoreKey" attribute="1" defaultMemberUniqueName="[FactMOCCallLog].[DQScoreKey].[All]" allUniqueName="[FactMOCCallLog].[DQScoreKey].[All]" dimensionUniqueName="[FactMOCCallLog]" displayFolder="" count="0" unbalanced="0" hidden="1"/>
    <cacheHierarchy uniqueName="[FactMOCCallLog].[EventDateKey]" caption="EventDateKey" attribute="1" defaultMemberUniqueName="[FactMOCCallLog].[EventDateKey].[All]" allUniqueName="[FactMOCCallLog].[EventDateKey].[All]" dimensionUniqueName="[FactMOCCallLog]" displayFolder="" count="0" unbalanced="0" hidden="1"/>
    <cacheHierarchy uniqueName="[FactMOCCallLog].[InsertAuditKey]" caption="InsertAuditKey" attribute="1" defaultMemberUniqueName="[FactMOCCallLog].[InsertAuditKey].[All]" allUniqueName="[FactMOCCallLog].[InsertAuditKey].[All]" dimensionUniqueName="[FactMOCCallLog]" displayFolder="" count="0" unbalanced="0" hidden="1"/>
    <cacheHierarchy uniqueName="[FactMOCCallLog].[MOCCallLogKey]" caption="MOCCallLogKey" attribute="1" defaultMemberUniqueName="[FactMOCCallLog].[MOCCallLogKey].[All]" allUniqueName="[FactMOCCallLog].[MOCCallLogKey].[All]" dimensionUniqueName="[FactMOCCallLog]" displayFolder="" count="0" unbalanced="0" hidden="1"/>
    <cacheHierarchy uniqueName="[FactMOCCallLog].[UpdateAuditKey]" caption="UpdateAuditKey" attribute="1" defaultMemberUniqueName="[FactMOCCallLog].[UpdateAuditKey].[All]" allUniqueName="[FactMOCCallLog].[UpdateAuditKey].[All]" dimensionUniqueName="[FactMOCCallLog]" displayFolder="" count="0" unbalanced="0" hidden="1"/>
    <cacheHierarchy uniqueName="[FactMOCCallLog].[UserKey]" caption="UserKey" attribute="1" defaultMemberUniqueName="[FactMOCCallLog].[UserKey].[All]" allUniqueName="[FactMOCCallLog].[UserKey].[All]" dimensionUniqueName="[FactMOCCallLog]" displayFolder="" count="0" unbalanced="0" hidden="1"/>
    <cacheHierarchy uniqueName="[FactMOCLead].[AccountKey]" caption="AccountKey" attribute="1" defaultMemberUniqueName="[FactMOCLead].[AccountKey].[All]" allUniqueName="[FactMOCLead].[AccountKey].[All]" dimensionUniqueName="[FactMOCLead]" displayFolder="" count="0" unbalanced="0" hidden="1"/>
    <cacheHierarchy uniqueName="[FactMOCLead].[CreatedDateKey]" caption="CreatedDateKey" attribute="1" defaultMemberUniqueName="[FactMOCLead].[CreatedDateKey].[All]" allUniqueName="[FactMOCLead].[CreatedDateKey].[All]" dimensionUniqueName="[FactMOCLead]" displayFolder="" count="0" unbalanced="0" hidden="1"/>
    <cacheHierarchy uniqueName="[FactMOCLead].[DQScoreKey]" caption="DQScoreKey" attribute="1" defaultMemberUniqueName="[FactMOCLead].[DQScoreKey].[All]" allUniqueName="[FactMOCLead].[DQScoreKey].[All]" dimensionUniqueName="[FactMOCLead]" displayFolder="" count="0" unbalanced="0" hidden="1"/>
    <cacheHierarchy uniqueName="[FactMOCLead].[InsertAuditKey]" caption="InsertAuditKey" attribute="1" defaultMemberUniqueName="[FactMOCLead].[InsertAuditKey].[All]" allUniqueName="[FactMOCLead].[InsertAuditKey].[All]" dimensionUniqueName="[FactMOCLead]" displayFolder="" count="0" unbalanced="0" hidden="1"/>
    <cacheHierarchy uniqueName="[FactMOCLead].[MOCLeadKey]" caption="MOCLeadKey" attribute="1" defaultMemberUniqueName="[FactMOCLead].[MOCLeadKey].[All]" allUniqueName="[FactMOCLead].[MOCLeadKey].[All]" dimensionUniqueName="[FactMOCLead]" displayFolder="" count="0" unbalanced="0" hidden="1"/>
    <cacheHierarchy uniqueName="[FactMOCLead].[UpdateAuditKey]" caption="UpdateAuditKey" attribute="1" defaultMemberUniqueName="[FactMOCLead].[UpdateAuditKey].[All]" allUniqueName="[FactMOCLead].[UpdateAuditKey].[All]" dimensionUniqueName="[FactMOCLead]" displayFolder="" count="0" unbalanced="0" hidden="1"/>
    <cacheHierarchy uniqueName="[FactMOCLead].[UserKey]" caption="UserKey" attribute="1" defaultMemberUniqueName="[FactMOCLead].[UserKey].[All]" allUniqueName="[FactMOCLead].[UserKey].[All]" dimensionUniqueName="[FactMOCLead]" displayFolder="" count="0" unbalanced="0" hidden="1"/>
    <cacheHierarchy uniqueName="[FactPipeline].[FactPipelineMeasureKey]" caption="FactPipelineMeasureKey" attribute="1" defaultMemberUniqueName="[FactPipeline].[FactPipelineMeasureKey].[All]" allUniqueName="[FactPipeline].[FactPipelineMeasureKey].[All]" dimensionUniqueName="[FactPipeline]" displayFolder="" count="0" unbalanced="0" hidden="1"/>
    <cacheHierarchy uniqueName="[FactPipeline].[InsertAuditKey]" caption="InsertAuditKey" attribute="1" defaultMemberUniqueName="[FactPipeline].[InsertAuditKey].[All]" allUniqueName="[FactPipeline].[InsertAuditKey].[All]" dimensionUniqueName="[FactPipeline]" displayFolder="" count="0" unbalanced="0" hidden="1"/>
    <cacheHierarchy uniqueName="[FactPipeline].[InvoiceDateKey]" caption="InvoiceDateKey" attribute="1" defaultMemberUniqueName="[FactPipeline].[InvoiceDateKey].[All]" allUniqueName="[FactPipeline].[InvoiceDateKey].[All]" dimensionUniqueName="[FactPipeline]" displayFolder="" count="0" unbalanced="0" hidden="1"/>
    <cacheHierarchy uniqueName="[FactPipeline].[MeasureGroupKey]" caption="MeasureGroupKey" attribute="1" defaultMemberUniqueName="[FactPipeline].[MeasureGroupKey].[All]" allUniqueName="[FactPipeline].[MeasureGroupKey].[All]" dimensionUniqueName="[FactPipeline]" displayFolder="" count="0" unbalanced="0" hidden="1"/>
    <cacheHierarchy uniqueName="[FactPipeline].[PipelineAccountkey]" caption="PipelineAccountkey" attribute="1" defaultMemberUniqueName="[FactPipeline].[PipelineAccountkey].[All]" allUniqueName="[FactPipeline].[PipelineAccountkey].[All]" dimensionUniqueName="[FactPipeline]" displayFolder="" count="0" unbalanced="0" hidden="1"/>
    <cacheHierarchy uniqueName="[FactPipeline].[PipeLineStatusKey]" caption="PipeLineStatusKey" attribute="1" defaultMemberUniqueName="[FactPipeline].[PipeLineStatusKey].[All]" allUniqueName="[FactPipeline].[PipeLineStatusKey].[All]" dimensionUniqueName="[FactPipeline]" displayFolder="" count="0" unbalanced="0" hidden="1"/>
    <cacheHierarchy uniqueName="[FactPipeline].[PMTProgramKey]" caption="PMTProgramKey" attribute="1" defaultMemberUniqueName="[FactPipeline].[PMTProgramKey].[All]" allUniqueName="[FactPipeline].[PMTProgramKey].[All]" dimensionUniqueName="[FactPipeline]" displayFolder="" count="0" unbalanced="0" hidden="1"/>
    <cacheHierarchy uniqueName="[FactPipeline].[PUPMeasure_Hashkey]" caption="PUPMeasure_Hashkey" attribute="1" defaultMemberUniqueName="[FactPipeline].[PUPMeasure_Hashkey].[All]" allUniqueName="[FactPipeline].[PUPMeasure_Hashkey].[All]" dimensionUniqueName="[FactPipeline]" displayFolder="" count="0" unbalanced="0" hidden="1"/>
    <cacheHierarchy uniqueName="[FactPipeline].[UpdateAuditKey]" caption="UpdateAuditKey" attribute="1" defaultMemberUniqueName="[FactPipeline].[UpdateAuditKey].[All]" allUniqueName="[FactPipeline].[UpdateAuditKey].[All]" dimensionUniqueName="[FactPipeline]" displayFolder="" count="0" unbalanced="0" hidden="1"/>
    <cacheHierarchy uniqueName="[FactPredictiveAnalytics].[DQScoreKey]" caption="DQScoreKey" attribute="1" defaultMemberUniqueName="[FactPredictiveAnalytics].[DQScoreKey].[All]" allUniqueName="[FactPredictiveAnalytics].[DQScoreKey].[All]" dimensionUniqueName="[FactPredictiveAnalytics]" displayFolder="" count="0" unbalanced="0" hidden="1"/>
    <cacheHierarchy uniqueName="[FactPredictiveAnalytics].[FactPMTMeasureKey]" caption="FactPMTMeasureKey" attribute="1" defaultMemberUniqueName="[FactPredictiveAnalytics].[FactPMTMeasureKey].[All]" allUniqueName="[FactPredictiveAnalytics].[FactPMTMeasureKey].[All]" dimensionUniqueName="[FactPredictiveAnalytics]" displayFolder="" count="0" unbalanced="0" hidden="1"/>
    <cacheHierarchy uniqueName="[FactPredictiveAnalytics].[InsertAuditKey]" caption="InsertAuditKey" attribute="1" defaultMemberUniqueName="[FactPredictiveAnalytics].[InsertAuditKey].[All]" allUniqueName="[FactPredictiveAnalytics].[InsertAuditKey].[All]" dimensionUniqueName="[FactPredictiveAnalytics]" displayFolder="" count="0" unbalanced="0" hidden="1"/>
    <cacheHierarchy uniqueName="[FactPredictiveAnalytics].[MeasureGroupKey]" caption="MeasureGroupKey" attribute="1" defaultMemberUniqueName="[FactPredictiveAnalytics].[MeasureGroupKey].[All]" allUniqueName="[FactPredictiveAnalytics].[MeasureGroupKey].[All]" dimensionUniqueName="[FactPredictiveAnalytics]" displayFolder="" count="0" unbalanced="0" hidden="1"/>
    <cacheHierarchy uniqueName="[FactPredictiveAnalytics].[PMTProgramKey]" caption="PMTProgramKey" attribute="1" defaultMemberUniqueName="[FactPredictiveAnalytics].[PMTProgramKey].[All]" allUniqueName="[FactPredictiveAnalytics].[PMTProgramKey].[All]" dimensionUniqueName="[FactPredictiveAnalytics]" displayFolder="" count="0" unbalanced="0" hidden="1"/>
    <cacheHierarchy uniqueName="[FactPredictiveAnalytics].[PredictiveAnalyticsKey]" caption="PredictiveAnalyticsKey" attribute="1" defaultMemberUniqueName="[FactPredictiveAnalytics].[PredictiveAnalyticsKey].[All]" allUniqueName="[FactPredictiveAnalytics].[PredictiveAnalyticsKey].[All]" dimensionUniqueName="[FactPredictiveAnalytics]" displayFolder="" count="0" unbalanced="0" hidden="1"/>
    <cacheHierarchy uniqueName="[FactPredictiveAnalytics].[UpdateAuditKey]" caption="UpdateAuditKey" attribute="1" defaultMemberUniqueName="[FactPredictiveAnalytics].[UpdateAuditKey].[All]" allUniqueName="[FactPredictiveAnalytics].[UpdateAuditKey].[All]" dimensionUniqueName="[FactPredictiveAnalytics]" displayFolder="" count="0" unbalanced="0" hidden="1"/>
    <cacheHierarchy uniqueName="[FactSilverPopSurvey].[DQScoreKey]" caption="DQScoreKey" attribute="1" defaultMemberUniqueName="[FactSilverPopSurvey].[DQScoreKey].[All]" allUniqueName="[FactSilverPopSurvey].[DQScoreKey].[All]" dimensionUniqueName="[FactSilverPopSurvey]" displayFolder="" count="0" unbalanced="0" hidden="1"/>
    <cacheHierarchy uniqueName="[FactSilverPopSurvey].[InsertAuditKey]" caption="InsertAuditKey" attribute="1" defaultMemberUniqueName="[FactSilverPopSurvey].[InsertAuditKey].[All]" allUniqueName="[FactSilverPopSurvey].[InsertAuditKey].[All]" dimensionUniqueName="[FactSilverPopSurvey]" displayFolder="" count="0" unbalanced="0" hidden="1"/>
    <cacheHierarchy uniqueName="[FactSilverPopSurvey].[UpdateAuditKey]" caption="UpdateAuditKey" attribute="1" defaultMemberUniqueName="[FactSilverPopSurvey].[UpdateAuditKey].[All]" allUniqueName="[FactSilverPopSurvey].[UpdateAuditKey].[All]" dimensionUniqueName="[FactSilverPopSurvey]" displayFolder="" count="0" unbalanced="0" hidden="1"/>
    <cacheHierarchy uniqueName="[FactUsage].[AccountingDateKey]" caption="AccountingDateKey" attribute="1" defaultMemberUniqueName="[FactUsage].[AccountingDateKey].[All]" allUniqueName="[FactUsage].[AccountingDateKey].[All]" dimensionUniqueName="[FactUsage]" displayFolder="" count="0" unbalanced="0" hidden="1"/>
    <cacheHierarchy uniqueName="[FactUsage].[AccountKey]" caption="AccountKey" attribute="1" defaultMemberUniqueName="[FactUsage].[AccountKey].[All]" allUniqueName="[FactUsage].[AccountKey].[All]" dimensionUniqueName="[FactUsage]" displayFolder="" count="0" unbalanced="0" hidden="1"/>
    <cacheHierarchy uniqueName="[FactUsage].[BatchBusinessDateKey]" caption="BatchBusinessDateKey" attribute="1" defaultMemberUniqueName="[FactUsage].[BatchBusinessDateKey].[All]" allUniqueName="[FactUsage].[BatchBusinessDateKey].[All]" dimensionUniqueName="[FactUsage]" displayFolder="" count="0" unbalanced="0" hidden="1"/>
    <cacheHierarchy uniqueName="[FactUsage].[BillSegmentEndDateKey]" caption="BillSegmentEndDateKey" attribute="1" defaultMemberUniqueName="[FactUsage].[BillSegmentEndDateKey].[All]" allUniqueName="[FactUsage].[BillSegmentEndDateKey].[All]" dimensionUniqueName="[FactUsage]" displayFolder="" count="0" unbalanced="0" hidden="1"/>
    <cacheHierarchy uniqueName="[FactUsage].[BillSegmentStartDateKey]" caption="BillSegmentStartDateKey" attribute="1" defaultMemberUniqueName="[FactUsage].[BillSegmentStartDateKey].[All]" allUniqueName="[FactUsage].[BillSegmentStartDateKey].[All]" dimensionUniqueName="[FactUsage]" displayFolder="" count="0" unbalanced="0" hidden="1"/>
    <cacheHierarchy uniqueName="[FactUsage].[CustomerSelectSupplierKey]" caption="CustomerSelectSupplierKey" attribute="1" defaultMemberUniqueName="[FactUsage].[CustomerSelectSupplierKey].[All]" allUniqueName="[FactUsage].[CustomerSelectSupplierKey].[All]" dimensionUniqueName="[FactUsage]" displayFolder="" count="0" unbalanced="0" hidden="1"/>
    <cacheHierarchy uniqueName="[FactUsage].[FinancialTransactionKeyID]" caption="FinancialTransactionKeyID" attribute="1" defaultMemberUniqueName="[FactUsage].[FinancialTransactionKeyID].[All]" allUniqueName="[FactUsage].[FinancialTransactionKeyID].[All]" dimensionUniqueName="[FactUsage]" displayFolder="" count="0" unbalanced="0" hidden="1"/>
    <cacheHierarchy uniqueName="[FactUsage].[RateScheduleKey]" caption="RateScheduleKey" attribute="1" defaultMemberUniqueName="[FactUsage].[RateScheduleKey].[All]" allUniqueName="[FactUsage].[RateScheduleKey].[All]" dimensionUniqueName="[FactUsage]" displayFolder="" count="0" unbalanced="0" hidden="1"/>
    <cacheHierarchy uniqueName="[FactUsage].[ReadTypeKey]" caption="ReadTypeKey" attribute="1" defaultMemberUniqueName="[FactUsage].[ReadTypeKey].[All]" allUniqueName="[FactUsage].[ReadTypeKey].[All]" dimensionUniqueName="[FactUsage]" displayFolder="" count="0" unbalanced="0" hidden="1"/>
    <cacheHierarchy uniqueName="[FactUsage].[ServiceAgreementKey]" caption="ServiceAgreementKey" attribute="1" defaultMemberUniqueName="[FactUsage].[ServiceAgreementKey].[All]" allUniqueName="[FactUsage].[ServiceAgreementKey].[All]" dimensionUniqueName="[FactUsage]" displayFolder="" count="0" unbalanced="0" hidden="1"/>
    <cacheHierarchy uniqueName="[FactUsage].[ServiceAgreementTypeKey]" caption="ServiceAgreementTypeKey" attribute="1" defaultMemberUniqueName="[FactUsage].[ServiceAgreementTypeKey].[All]" allUniqueName="[FactUsage].[ServiceAgreementTypeKey].[All]" dimensionUniqueName="[FactUsage]" displayFolder="" count="0" unbalanced="0" hidden="1"/>
    <cacheHierarchy uniqueName="[FactUsage].[ServiceCountyKey]" caption="ServiceCountyKey" attribute="1" defaultMemberUniqueName="[FactUsage].[ServiceCountyKey].[All]" allUniqueName="[FactUsage].[ServiceCountyKey].[All]" dimensionUniqueName="[FactUsage]" displayFolder="" count="0" unbalanced="0" hidden="1"/>
    <cacheHierarchy uniqueName="[FactUsage].[ServicePointTypeKey]" caption="ServicePointTypeKey" attribute="1" defaultMemberUniqueName="[FactUsage].[ServicePointTypeKey].[All]" allUniqueName="[FactUsage].[ServicePointTypeKey].[All]" dimensionUniqueName="[FactUsage]" displayFolder="" count="0" unbalanced="0" hidden="1"/>
    <cacheHierarchy uniqueName="[FactUsage].[ServiceTownKey]" caption="ServiceTownKey" attribute="1" defaultMemberUniqueName="[FactUsage].[ServiceTownKey].[All]" allUniqueName="[FactUsage].[ServiceTownKey].[All]" dimensionUniqueName="[FactUsage]" displayFolder="" count="0" unbalanced="0" hidden="1"/>
    <cacheHierarchy uniqueName="[FactUsage].[UsageKey]" caption="UsageKey" attribute="1" defaultMemberUniqueName="[FactUsage].[UsageKey].[All]" allUniqueName="[FactUsage].[UsageKey].[All]" dimensionUniqueName="[FactUsage]" displayFolder="" count="0" unbalanced="0" hidden="1"/>
    <cacheHierarchy uniqueName="[HierProgramProjectMeasure].[AccountKey]" caption="AccountKey" attribute="1" defaultMemberUniqueName="[HierProgramProjectMeasure].[AccountKey].[All]" allUniqueName="[HierProgramProjectMeasure].[AccountKey].[All]" dimensionUniqueName="[HierProgramProjectMeasure]" displayFolder="" count="0" unbalanced="0" hidden="1"/>
    <cacheHierarchy uniqueName="[HierProgramProjectMeasure].[FactPMTMeasureKey]" caption="FactPMTMeasureKey" attribute="1" defaultMemberUniqueName="[HierProgramProjectMeasure].[FactPMTMeasureKey].[All]" allUniqueName="[HierProgramProjectMeasure].[FactPMTMeasureKey].[All]" dimensionUniqueName="[HierProgramProjectMeasure]" displayFolder="" count="0" unbalanced="0" hidden="1"/>
    <cacheHierarchy uniqueName="[HierProgramProjectMeasure].[PMTMeasureKey]" caption="PMTMeasureKey" attribute="1" defaultMemberUniqueName="[HierProgramProjectMeasure].[PMTMeasureKey].[All]" allUniqueName="[HierProgramProjectMeasure].[PMTMeasureKey].[All]" dimensionUniqueName="[HierProgramProjectMeasure]" displayFolder="" count="0" unbalanced="0" hidden="1"/>
    <cacheHierarchy uniqueName="[HierProgramProjectMeasure].[PMTProgramKey]" caption="PMTProgramKey" attribute="1" defaultMemberUniqueName="[HierProgramProjectMeasure].[PMTProgramKey].[All]" allUniqueName="[HierProgramProjectMeasure].[PMTProgramKey].[All]" dimensionUniqueName="[HierProgramProjectMeasure]" displayFolder="" count="0" unbalanced="0" hidden="1"/>
    <cacheHierarchy uniqueName="[HierProgramProjectMeasure].[PMTProjectKey]" caption="PMTProjectKey" attribute="1" defaultMemberUniqueName="[HierProgramProjectMeasure].[PMTProjectKey].[All]" allUniqueName="[HierProgramProjectMeasure].[PMTProjectKey].[All]" dimensionUniqueName="[HierProgramProjectMeasure]" displayFolder="" count="0" unbalanced="0" hidden="1"/>
    <cacheHierarchy uniqueName="[PMTInstallDate].[DateKey]" caption="DateKey" attribute="1" defaultMemberUniqueName="[PMTInstallDate].[DateKey].[All]" allUniqueName="[PMTInstallDate].[DateKey].[All]" dimensionUniqueName="[PMTInstallDate]" displayFolder="" count="0" unbalanced="0" hidden="1"/>
    <cacheHierarchy uniqueName="[PMTInvoiceDate].[Datekey]" caption="Datekey" attribute="1" defaultMemberUniqueName="[PMTInvoiceDate].[Datekey].[All]" allUniqueName="[PMTInvoiceDate].[Datekey].[All]" dimensionUniqueName="[PMTInvoiceDate]" displayFolder="" count="0" unbalanced="0" hidden="1"/>
    <cacheHierarchy uniqueName="[PMTProject_Contact_Contact].[AccountKey]" caption="AccountKey" attribute="1" defaultMemberUniqueName="[PMTProject_Contact_Contact].[AccountKey].[All]" allUniqueName="[PMTProject_Contact_Contact].[AccountKey].[All]" dimensionUniqueName="[PMTProject_Contact_Contact]" displayFolder="" count="0" unbalanced="0" hidden="1"/>
    <cacheHierarchy uniqueName="[PMTProject_Contact_Contact].[ContactKey]" caption="ContactKey" attribute="1" defaultMemberUniqueName="[PMTProject_Contact_Contact].[ContactKey].[All]" allUniqueName="[PMTProject_Contact_Contact].[ContactKey].[All]" dimensionUniqueName="[PMTProject_Contact_Contact]" displayFolder="" count="0" unbalanced="0" hidden="1"/>
    <cacheHierarchy uniqueName="[PMTProject_Contact_Contact].[PMTProjectKey]" caption="PMTProjectKey" attribute="1" defaultMemberUniqueName="[PMTProject_Contact_Contact].[PMTProjectKey].[All]" allUniqueName="[PMTProject_Contact_Contact].[PMTProjectKey].[All]" dimensionUniqueName="[PMTProject_Contact_Contact]" displayFolder="" count="0" unbalanced="0" hidden="1"/>
    <cacheHierarchy uniqueName="[PMTProject_Contact_Customer].[AccountKey]" caption="AccountKey" attribute="1" defaultMemberUniqueName="[PMTProject_Contact_Customer].[AccountKey].[All]" allUniqueName="[PMTProject_Contact_Customer].[AccountKey].[All]" dimensionUniqueName="[PMTProject_Contact_Customer]" displayFolder="" count="0" unbalanced="0" hidden="1"/>
    <cacheHierarchy uniqueName="[PMTProject_Contact_Customer].[ContactKey]" caption="ContactKey" attribute="1" defaultMemberUniqueName="[PMTProject_Contact_Customer].[ContactKey].[All]" allUniqueName="[PMTProject_Contact_Customer].[ContactKey].[All]" dimensionUniqueName="[PMTProject_Contact_Customer]" displayFolder="" count="0" unbalanced="0" hidden="1"/>
    <cacheHierarchy uniqueName="[PMTProject_Contact_Customer].[PMTProjectKey]" caption="PMTProjectKey" attribute="1" defaultMemberUniqueName="[PMTProject_Contact_Customer].[PMTProjectKey].[All]" allUniqueName="[PMTProject_Contact_Customer].[PMTProjectKey].[All]" dimensionUniqueName="[PMTProject_Contact_Customer]" displayFolder="" count="0" unbalanced="0" hidden="1"/>
    <cacheHierarchy uniqueName="[PMTProject_Contact_Landlord].[AccountKey]" caption="AccountKey" attribute="1" defaultMemberUniqueName="[PMTProject_Contact_Landlord].[AccountKey].[All]" allUniqueName="[PMTProject_Contact_Landlord].[AccountKey].[All]" dimensionUniqueName="[PMTProject_Contact_Landlord]" displayFolder="" count="0" unbalanced="0" hidden="1"/>
    <cacheHierarchy uniqueName="[PMTProject_Contact_Landlord].[ContactKey]" caption="ContactKey" attribute="1" defaultMemberUniqueName="[PMTProject_Contact_Landlord].[ContactKey].[All]" allUniqueName="[PMTProject_Contact_Landlord].[ContactKey].[All]" dimensionUniqueName="[PMTProject_Contact_Landlord]" displayFolder="" count="0" unbalanced="0" hidden="1"/>
    <cacheHierarchy uniqueName="[PMTProject_Contact_Landlord].[PMTProjectKey]" caption="PMTProjectKey" attribute="1" defaultMemberUniqueName="[PMTProject_Contact_Landlord].[PMTProjectKey].[All]" allUniqueName="[PMTProject_Contact_Landlord].[PMTProjectKey].[All]" dimensionUniqueName="[PMTProject_Contact_Landlord]" displayFolder="" count="0" unbalanced="0" hidden="1"/>
    <cacheHierarchy uniqueName="[PMTRptRefDate].[Datekey]" caption="Datekey" attribute="1" defaultMemberUniqueName="[PMTRptRefDate].[Datekey].[All]" allUniqueName="[PMTRptRefDate].[Datekey].[All]" dimensionUniqueName="[PMTRptRefDate]" displayFolder="" count="0" unbalanced="0" hidden="1"/>
    <cacheHierarchy uniqueName="[PMTYearBuiltLevelFilter].[ContructionYearLevelSort]" caption="ContructionYearLevelSort" attribute="1" defaultMemberUniqueName="[PMTYearBuiltLevelFilter].[ContructionYearLevelSort].[All]" allUniqueName="[PMTYearBuiltLevelFilter].[ContructionYearLevelSort].[All]" dimensionUniqueName="[PMTYearBuiltLevelFilter]" displayFolder="" count="0" unbalanced="0" hidden="1"/>
    <cacheHierarchy uniqueName="[PMTYearBuiltLevelFilter].[PMTProjectKey]" caption="PMTProjectKey" attribute="1" defaultMemberUniqueName="[PMTYearBuiltLevelFilter].[PMTProjectKey].[All]" allUniqueName="[PMTYearBuiltLevelFilter].[PMTProjectKey].[All]" dimensionUniqueName="[PMTYearBuiltLevelFilter]" displayFolder="" count="0" unbalanced="0" hidden="1"/>
    <cacheHierarchy uniqueName="[Project_LastRenovationDate].[Datekey]" caption="Datekey" attribute="1" defaultMemberUniqueName="[Project_LastRenovationDate].[Datekey].[All]" allUniqueName="[Project_LastRenovationDate].[Datekey].[All]" dimensionUniqueName="[Project_LastRenovationDate]" displayFolder="" count="0" unbalanced="0" hidden="1"/>
    <cacheHierarchy uniqueName="[ServiceAgreement_Account].[AccountKey]" caption="AccountKey" attribute="1" defaultMemberUniqueName="[ServiceAgreement_Account].[AccountKey].[All]" allUniqueName="[ServiceAgreement_Account].[AccountKey].[All]" dimensionUniqueName="[ServiceAgreement_Account]" displayFolder="" count="0" unbalanced="0" hidden="1"/>
    <cacheHierarchy uniqueName="[ServiceAgreement_Account].[ServiceAgreementKey]" caption="ServiceAgreementKey" attribute="1" defaultMemberUniqueName="[ServiceAgreement_Account].[ServiceAgreementKey].[All]" allUniqueName="[ServiceAgreement_Account].[ServiceAgreementKey].[All]" dimensionUniqueName="[ServiceAgreement_Account]" displayFolder="" count="0" unbalanced="0" hidden="1"/>
    <cacheHierarchy uniqueName="[ServiceAgreement_Usage].[AccountKey]" caption="AccountKey" attribute="1" defaultMemberUniqueName="[ServiceAgreement_Usage].[AccountKey].[All]" allUniqueName="[ServiceAgreement_Usage].[AccountKey].[All]" dimensionUniqueName="[ServiceAgreement_Usage]" displayFolder="" count="0" unbalanced="0" hidden="1"/>
    <cacheHierarchy uniqueName="[ServiceAgreement_Usage].[ServiceAgreementKey]" caption="ServiceAgreementKey" attribute="1" defaultMemberUniqueName="[ServiceAgreement_Usage].[ServiceAgreementKey].[All]" allUniqueName="[ServiceAgreement_Usage].[ServiceAgreementKey].[All]" dimensionUniqueName="[ServiceAgreement_Usage]" displayFolder="" count="0" unbalanced="0" hidden="1"/>
    <cacheHierarchy uniqueName="[UniqueContactMarketSegment].[ContactKey]" caption="ContactKey" attribute="1" defaultMemberUniqueName="[UniqueContactMarketSegment].[ContactKey].[All]" allUniqueName="[UniqueContactMarketSegment].[ContactKey].[All]" dimensionUniqueName="[UniqueContactMarketSegment]" displayFolder="" count="0" unbalanced="0" hidden="1"/>
    <cacheHierarchy uniqueName="[UniqueContactMarketSegment].[MarketSegmentKey]" caption="MarketSegmentKey" attribute="1" defaultMemberUniqueName="[UniqueContactMarketSegment].[MarketSegmentKey].[All]" allUniqueName="[UniqueContactMarketSegment].[MarketSegmentKey].[All]" dimensionUniqueName="[UniqueContactMarketSegment]" displayFolder="" count="0" unbalanced="0" hidden="1"/>
    <cacheHierarchy uniqueName="[UniqueMarketSegment].[ApplicationCategoryKey]" caption="ApplicationCategoryKey" attribute="1" defaultMemberUniqueName="[UniqueMarketSegment].[ApplicationCategoryKey].[All]" allUniqueName="[UniqueMarketSegment].[ApplicationCategoryKey].[All]" dimensionUniqueName="[UniqueMarketSegment]" displayFolder="" count="0" unbalanced="0" hidden="1"/>
    <cacheHierarchy uniqueName="[UniqueMarketSegment].[MarketSegmentKey]" caption="MarketSegmentKey" attribute="1" defaultMemberUniqueName="[UniqueMarketSegment].[MarketSegmentKey].[All]" allUniqueName="[UniqueMarketSegment].[MarketSegmentKey].[All]" dimensionUniqueName="[UniqueMarketSegment]" displayFolder="" count="0" unbalanced="0" hidden="1"/>
    <cacheHierarchy uniqueName="[UniqueYearBuiltLevelFilter].[AccountKey]" caption="AccountKey" attribute="1" defaultMemberUniqueName="[UniqueYearBuiltLevelFilter].[AccountKey].[All]" allUniqueName="[UniqueYearBuiltLevelFilter].[AccountKey].[All]" dimensionUniqueName="[UniqueYearBuiltLevelFilter]" displayFolder="" count="0" unbalanced="0" hidden="1"/>
    <cacheHierarchy uniqueName="[UniqueYearBuiltLevelFilter].[ContructionYearLevelSort]" caption="ContructionYearLevelSort" attribute="1" defaultMemberUniqueName="[UniqueYearBuiltLevelFilter].[ContructionYearLevelSort].[All]" allUniqueName="[UniqueYearBuiltLevelFilter].[ContructionYearLevelSort].[All]" dimensionUniqueName="[UniqueYearBuiltLevelFilter]" displayFolder="" count="0" unbalanced="0" hidden="1"/>
    <cacheHierarchy uniqueName="[UsageAcctgDate].[Datekey]" caption="Datekey" attribute="1" defaultMemberUniqueName="[UsageAcctgDate].[Datekey].[All]" allUniqueName="[UsageAcctgDate].[Datekey].[All]" dimensionUniqueName="[UsageAcctgDate]" displayFolder="" count="0" unbalanced="0" hidden="1"/>
    <cacheHierarchy uniqueName="[UsageBatchBusDate].[Datekey]" caption="Datekey" attribute="1" defaultMemberUniqueName="[UsageBatchBusDate].[Datekey].[All]" allUniqueName="[UsageBatchBusDate].[Datekey].[All]" dimensionUniqueName="[UsageBatchBusDate]" displayFolder="" count="0" unbalanced="0" hidden="1"/>
    <cacheHierarchy uniqueName="[UsageBillEndDate].[Datekey]" caption="Datekey" attribute="1" defaultMemberUniqueName="[UsageBillEndDate].[Datekey].[All]" allUniqueName="[UsageBillEndDate].[Datekey].[All]" dimensionUniqueName="[UsageBillEndDate]" displayFolder="" count="0" unbalanced="0" hidden="1"/>
    <cacheHierarchy uniqueName="[UsageBillStartDate].[Datekey]" caption="Datekey" attribute="1" defaultMemberUniqueName="[UsageBillStartDate].[Datekey].[All]" allUniqueName="[UsageBillStartDate].[Datekey].[All]" dimensionUniqueName="[UsageBillStartDate]" displayFolder="" count="0" unbalanced="0" hidden="1"/>
    <cacheHierarchy uniqueName="[Measures].[Count of NAICS VerificationDate]" caption="Count of NAICS VerificationDate" measure="1" displayFolder="Customer Account" measureGroup="DimAccount" count="0"/>
    <cacheHierarchy uniqueName="[Measures].[Count of Account ID]" caption="Count of Account ID" measure="1" displayFolder="Customer Account" measureGroup="DimAccount" count="0"/>
    <cacheHierarchy uniqueName="[Measures].[Distinct Count of Account ID]" caption="Distinct Count of Account ID" measure="1" displayFolder="Customer Account" measureGroup="DimAccount" count="0"/>
    <cacheHierarchy uniqueName="[Measures].[Count of Last Major RenovationDate]" caption="Count of Last Major RenovationDate" measure="1" displayFolder="" measureGroup="DimPMTProject" count="0"/>
    <cacheHierarchy uniqueName="[Measures].[Distinct Count of Project Account]" caption="Distinct Count of Project Account" measure="1" displayFolder="" measureGroup="DimPMTProject" count="0"/>
    <cacheHierarchy uniqueName="[Measures].[Count of Project Account]" caption="Count of Project Account" measure="1" displayFolder="" measureGroup="DimPMTProject" count="0"/>
    <cacheHierarchy uniqueName="[Measures].[Sum of Number Of Pieces]" caption="Sum of Number Of Pieces" measure="1" displayFolder="" measureGroup="FactEquipment" count="0"/>
    <cacheHierarchy uniqueName="[Measures].[Sum of MBTU Hour]" caption="Sum of MBTU Hour" measure="1" displayFolder="" measureGroup="FactEquipment" count="0"/>
    <cacheHierarchy uniqueName="[Measures].[Sum of KW Hour]" caption="Sum of KW Hour" measure="1" displayFolder="" measureGroup="FactEquipment" count="0"/>
    <cacheHierarchy uniqueName="[Measures].[Sum of Equipment Cost]" caption="Sum of Equipment Cost" measure="1" displayFolder="" measureGroup="FactEquipment" count="0"/>
    <cacheHierarchy uniqueName="[Measures].[Sum of Usage Hours Year]" caption="Sum of Usage Hours Year" measure="1" displayFolder="" measureGroup="FactEquipment" count="0"/>
    <cacheHierarchy uniqueName="[Measures].[Sum of Usage Hours Day]" caption="Sum of Usage Hours Day" measure="1" displayFolder="" measureGroup="FactEquipment" count="0"/>
    <cacheHierarchy uniqueName="[Measures].[Average of Number Of Pieces]" caption="Average of Number Of Pieces" measure="1" displayFolder="" measureGroup="FactEquipment" count="0"/>
    <cacheHierarchy uniqueName="[Measures].[Average of MBTU Hour]" caption="Average of MBTU Hour" measure="1" displayFolder="" measureGroup="FactEquipment" count="0"/>
    <cacheHierarchy uniqueName="[Measures].[Average of KW Hour]" caption="Average of KW Hour" measure="1" displayFolder="" measureGroup="FactEquipment" count="0"/>
    <cacheHierarchy uniqueName="[Measures].[Average of Equipment Cost]" caption="Average of Equipment Cost" measure="1" displayFolder="" measureGroup="FactEquipment" count="0"/>
    <cacheHierarchy uniqueName="[Measures].[Average of Usage Hours Year]" caption="Average of Usage Hours Year" measure="1" displayFolder="" measureGroup="FactEquipment" count="0"/>
    <cacheHierarchy uniqueName="[Measures].[Average of Usage Hours Day]" caption="Average of Usage Hours Day" measure="1" displayFolder="" measureGroup="FactEquipment" count="0"/>
    <cacheHierarchy uniqueName="[Measures].[Distinct Count of Equipment Account]" caption="Distinct Count of Equipment Account" measure="1" displayFolder="" measureGroup="FactEquipment" count="0"/>
    <cacheHierarchy uniqueName="[Measures].[Count of Equipment Account]" caption="Count of Equipment Account" measure="1" displayFolder="" measureGroup="FactEquipment" count="0"/>
    <cacheHierarchy uniqueName="[Measures].[Sum of Participation]" caption="Sum of Participation" measure="1" displayFolder="" measureGroup="FactMeasureParticipation" count="0"/>
    <cacheHierarchy uniqueName="[Measures].[Sum of Participation Incentives]" caption="Sum of Participation Incentives" measure="1" displayFolder="" measureGroup="FactMeasureParticipation" count="0"/>
    <cacheHierarchy uniqueName="[Measures].[Average of Participation]" caption="Average of Participation" measure="1" displayFolder="" measureGroup="FactMeasureParticipation" count="0"/>
    <cacheHierarchy uniqueName="[Measures].[Average of Participation Incentives]" caption="Average of Participation Incentives" measure="1" displayFolder="" measureGroup="FactMeasureParticipation" count="0"/>
    <cacheHierarchy uniqueName="[Measures].[Sum of Direct Install Labor]" caption="Sum of Direct Install Labor" measure="1" displayFolder="" measureGroup="FactMeasureParticipation" count="0"/>
    <cacheHierarchy uniqueName="[Measures].[Sum of Direct Install Materials]" caption="Sum of Direct Install Materials" measure="1" displayFolder="" measureGroup="FactMeasureParticipation" count="0"/>
    <cacheHierarchy uniqueName="[Measures].[Count of AccountingDate]" caption="Count of AccountingDate" measure="1" displayFolder="" measureGroup="FactUsage" count="0"/>
    <cacheHierarchy uniqueName="[Measures].[Count of Batch BusinessDate]" caption="Count of Batch BusinessDate" measure="1" displayFolder="" measureGroup="FactUsage" count="0"/>
    <cacheHierarchy uniqueName="[Measures].[Count of Bill Segment StartDate]" caption="Count of Bill Segment StartDate" measure="1" displayFolder="" measureGroup="FactUsage" count="0"/>
    <cacheHierarchy uniqueName="[Measures].[Average of Billed Days Count]" caption="Average of Billed Days Count" measure="1" displayFolder="" measureGroup="FactUsage" count="0"/>
    <cacheHierarchy uniqueName="[Measures].[Total Sales Gas Quantity]" caption="Total Sales Gas Quantity" measure="1" displayFolder="" measureGroup="FactUsage" count="0"/>
    <cacheHierarchy uniqueName="[Measures].[Average of Sales Gas Quantity]" caption="Average of Sales Gas Quantity" measure="1" displayFolder="" measureGroup="FactUsage" count="0"/>
    <cacheHierarchy uniqueName="[Measures].[Total Transportation Gas Quantity]" caption="Total Transportation Gas Quantity" measure="1" displayFolder="" measureGroup="FactUsage" count="0"/>
    <cacheHierarchy uniqueName="[Measures].[Average of Transportation Gas Quantity]" caption="Average of Transportation Gas Quantity" measure="1" displayFolder="" measureGroup="FactUsage" count="0"/>
    <cacheHierarchy uniqueName="[Measures].[Sum of Customer Select Gas Quantity]" caption="Sum of Customer Select Gas Quantity" measure="1" displayFolder="" measureGroup="FactUsage" count="0"/>
    <cacheHierarchy uniqueName="[Measures].[Average of Customer Select Gas Quantity]" caption="Average of Customer Select Gas Quantity" measure="1" displayFolder="" measureGroup="FactUsage" count="0"/>
    <cacheHierarchy uniqueName="[Measures].[Sum of Franchise Gas Quantity]" caption="Sum of Franchise Gas Quantity" measure="1" displayFolder="" measureGroup="FactUsage" count="0"/>
    <cacheHierarchy uniqueName="[Measures].[Average of Franchise Gas Quantity]" caption="Average of Franchise Gas Quantity" measure="1" displayFolder="" measureGroup="FactUsage" count="0"/>
    <cacheHierarchy uniqueName="[Measures].[Sum of Other Gas Quantity]" caption="Sum of Other Gas Quantity" measure="1" displayFolder="" measureGroup="FactUsage" count="0"/>
    <cacheHierarchy uniqueName="[Measures].[Average of Other Gas Quantity]" caption="Average of Other Gas Quantity" measure="1" displayFolder="" measureGroup="FactUsage" count="0"/>
    <cacheHierarchy uniqueName="[Measures].[Average of Total Gas Quantity]" caption="Average of Total Gas Quantity" measure="1" displayFolder="" measureGroup="FactUsage" count="0"/>
    <cacheHierarchy uniqueName="[Measures].[Count of Bill Segment EndDate]" caption="Count of Bill Segment EndDate" measure="1" displayFolder="" measureGroup="FactUsage" count="0"/>
    <cacheHierarchy uniqueName="[Measures].[Count of Usage Account]" caption="Count of Usage Account" measure="1" displayFolder="" measureGroup="FactUsage" count="0"/>
    <cacheHierarchy uniqueName="[Measures].[Distinct Count of Usage Account]" caption="Distinct Count of Usage Account" measure="1" displayFolder="" measureGroup="FactUsage" count="0"/>
    <cacheHierarchy uniqueName="[Measures].[Sum of Current Total Bill Amount]" caption="Sum of Current Total Bill Amount" measure="1" displayFolder="" measureGroup="FactUsage" count="0"/>
    <cacheHierarchy uniqueName="[Measures].[Count of PMTProject Contact]" caption="Count of PMTProject Contact" measure="1" displayFolder="" measureGroup="PMTProject_Contact_Contact" count="0"/>
    <cacheHierarchy uniqueName="[Measures].[Count of PMTProject Customer]" caption="Count of PMTProject Customer" measure="1" displayFolder="" measureGroup="PMTProject_Contact_Customer" count="0"/>
    <cacheHierarchy uniqueName="[Measures].[Count of PMTProject Landlord]" caption="Count of PMTProject Landlord" measure="1" displayFolder="" measureGroup="PMTProject_Contact_Landlord" count="0"/>
    <cacheHierarchy uniqueName="[Measures].[Average of AdministrationCost]" caption="Average of AdministrationCost" measure="1" displayFolder="" measureGroup="FactEEPData" count="0"/>
    <cacheHierarchy uniqueName="[Measures].[Average of IncentiveCost]" caption="Average of IncentiveCost" measure="1" displayFolder="" measureGroup="FactEEPData" count="0"/>
    <cacheHierarchy uniqueName="[Measures].[Average of MarketingCost]" caption="Average of MarketingCost" measure="1" displayFolder="" measureGroup="FactEEPData" count="0"/>
    <cacheHierarchy uniqueName="[Measures].[Average of ActualProgramDollarCost]" caption="Average of ActualProgramDollarCost" measure="1" displayFolder="" measureGroup="FactEEPData" count="0"/>
    <cacheHierarchy uniqueName="[Measures].[Average of CustomerCopay]" caption="Average of CustomerCopay" measure="1" displayFolder="" measureGroup="FactEEPData" count="0"/>
    <cacheHierarchy uniqueName="[Measures].[Average of GrossAnnualThermSavings]" caption="Average of GrossAnnualThermSavings" measure="1" displayFolder="" measureGroup="FactEEPData" count="0"/>
    <cacheHierarchy uniqueName="[Measures].[Average of IncrementalCost]" caption="Average of IncrementalCost" measure="1" displayFolder="" measureGroup="FactEEPData" count="0"/>
    <cacheHierarchy uniqueName="[Measures].[Average of InstallationEquipmentCost]" caption="Average of InstallationEquipmentCost" measure="1" displayFolder="" measureGroup="FactEEPData" count="0"/>
    <cacheHierarchy uniqueName="[Measures].[Average of NetAnnualThermsMeasure]" caption="Average of NetAnnualThermsMeasure" measure="1" displayFolder="" measureGroup="FactEEPData" count="0"/>
    <cacheHierarchy uniqueName="[Measures].[Sum of NetAnnualThermsMeasure]" caption="Sum of NetAnnualThermsMeasure" measure="1" displayFolder="" measureGroup="FactEEPData" count="0"/>
    <cacheHierarchy uniqueName="[Measures].[Average of NetAnnualThermsProgram]" caption="Average of NetAnnualThermsProgram" measure="1" displayFolder="" measureGroup="FactEEPData" count="0"/>
    <cacheHierarchy uniqueName="[Measures].[Sum of NetAnnualThermsProgram]" caption="Sum of NetAnnualThermsProgram" measure="1" displayFolder="" measureGroup="FactEEPData" count="0"/>
    <cacheHierarchy uniqueName="[Measures].[Average of Quantity]" caption="Average of Quantity" measure="1" displayFolder="" measureGroup="FactEEPData" count="0"/>
    <cacheHierarchy uniqueName="[Measures].[Sum of Quantity]" caption="Sum of Quantity" measure="1" displayFolder="" measureGroup="FactEEPData" count="0" oneField="1">
      <fieldsUsage count="1">
        <fieldUsage x="6"/>
      </fieldsUsage>
    </cacheHierarchy>
    <cacheHierarchy uniqueName="[Measures].[Average of SquareFeet]" caption="Average of SquareFeet" measure="1" displayFolder="" measureGroup="FactEEPData" count="0"/>
    <cacheHierarchy uniqueName="[Measures].[Average of TotalMeasureCost]" caption="Average of TotalMeasureCost" measure="1" displayFolder="" measureGroup="FactEEPData" count="0"/>
    <cacheHierarchy uniqueName="[Measures].[Sum of TotalMeasureCost]" caption="Sum of TotalMeasureCost" measure="1" displayFolder="" measureGroup="FactEEPData" count="0"/>
    <cacheHierarchy uniqueName="[Measures].[Count of InstallationDate]" caption="Count of InstallationDate" measure="1" displayFolder="" measureGroup="FactEEPData" count="0"/>
    <cacheHierarchy uniqueName="[Measures].[Sum of ActualProgramDollarCost]" caption="Sum of ActualProgramDollarCost" measure="1" displayFolder="" measureGroup="FactEEPData" count="0" oneField="1">
      <fieldsUsage count="1">
        <fieldUsage x="11"/>
      </fieldsUsage>
    </cacheHierarchy>
    <cacheHierarchy uniqueName="[Measures].[Sum of AdministrationCost]" caption="Sum of AdministrationCost" measure="1" displayFolder="" measureGroup="FactEEPData" count="0"/>
    <cacheHierarchy uniqueName="[Measures].[Sum of GrossAnnualThermSavings]" caption="Sum of GrossAnnualThermSavings" measure="1" displayFolder="" measureGroup="FactEEPData" count="0" oneField="1">
      <fieldsUsage count="1">
        <fieldUsage x="13"/>
      </fieldsUsage>
    </cacheHierarchy>
    <cacheHierarchy uniqueName="[Measures].[Sum of IncentiveCost]" caption="Sum of IncentiveCost" measure="1" displayFolder="" measureGroup="FactEEPData" count="0"/>
    <cacheHierarchy uniqueName="[Measures].[Sum of IncrementalCost]" caption="Sum of IncrementalCost" measure="1" displayFolder="" measureGroup="FactEEPData" count="0" oneField="1">
      <fieldsUsage count="1">
        <fieldUsage x="14"/>
      </fieldsUsage>
    </cacheHierarchy>
    <cacheHierarchy uniqueName="[Measures].[Sum of InstallationEquipmentCost]" caption="Sum of InstallationEquipmentCost" measure="1" displayFolder="" measureGroup="FactEEPData" count="0"/>
    <cacheHierarchy uniqueName="[Measures].[Sum of MarketingCost]" caption="Sum of MarketingCost" measure="1" displayFolder="" measureGroup="FactEEPData" count="0"/>
    <cacheHierarchy uniqueName="[Measures].[Sum of SquareFeet]" caption="Sum of SquareFeet" measure="1" displayFolder="" measureGroup="FactEEPData" count="0"/>
    <cacheHierarchy uniqueName="[Measures].[Sum of CustomerCopay]" caption="Sum of CustomerCopay" measure="1" displayFolder="" measureGroup="FactEEPData" count="0"/>
    <cacheHierarchy uniqueName="[Measures].[Average ActualProgramDollarCost Per NetAnnualTherm]" caption="Average ActualProgramDollarCost Per NetAnnualTherm" measure="1" displayFolder="Financial" measureGroup="FactEEPData" count="0"/>
    <cacheHierarchy uniqueName="[Measures].[Count of Measure]" caption="Count of Measure" measure="1" displayFolder="" measureGroup="FactEEPData" count="0"/>
    <cacheHierarchy uniqueName="[Measures].[Count of Project]" caption="Count of Project" measure="1" displayFolder="" measureGroup="FactEEPData" count="0" oneField="1">
      <fieldsUsage count="1">
        <fieldUsage x="5"/>
      </fieldsUsage>
    </cacheHierarchy>
    <cacheHierarchy uniqueName="[Measures].[Distinct Count of Project]" caption="Distinct Count of Project" measure="1" displayFolder="" measureGroup="FactEEPData" count="0"/>
    <cacheHierarchy uniqueName="[Measures].[Distinct Count of Measure]" caption="Distinct Count of Measure" measure="1" displayFolder="" measureGroup="FactEEPData" count="0"/>
    <cacheHierarchy uniqueName="[Measures].[Total Cost Actual]" caption="Total Cost Actual" measure="1" displayFolder="" measureGroup="FactEEPData" count="0"/>
    <cacheHierarchy uniqueName="[Measures].[Total Cost Planned]" caption="Total Cost Planned" measure="1" displayFolder="" measureGroup="FactEEPData" count="0"/>
    <cacheHierarchy uniqueName="[Measures].[Total Cost Filed Plan]" caption="Total Cost Filed Plan" measure="1" displayFolder="" measureGroup="FactEEPData" count="0"/>
    <cacheHierarchy uniqueName="[Measures].[Total Cost Annual Plan]" caption="Total Cost Annual Plan" measure="1" displayFolder="" measureGroup="FactEEPData" count="0"/>
    <cacheHierarchy uniqueName="[Measures].[Total Cost Accounting Budget]" caption="Total Cost Accounting Budget" measure="1" displayFolder="" measureGroup="FactEEPData" count="0"/>
    <cacheHierarchy uniqueName="[Measures].[Total Cost Forecast]" caption="Total Cost Forecast" measure="1" displayFolder="" measureGroup="FactEEPData" count="0"/>
    <cacheHierarchy uniqueName="[Measures].[Total Cost Informational]" caption="Total Cost Informational" measure="1" displayFolder="" measureGroup="FactEEPData" count="0"/>
    <cacheHierarchy uniqueName="[Measures].[Total Gross Therm Savings Actual]" caption="Total Gross Therm Savings Actual" measure="1" displayFolder="" measureGroup="FactEEPData" count="0"/>
    <cacheHierarchy uniqueName="[Measures].[Total Gross Therm Savings Budget]" caption="Total Gross Therm Savings Budget" measure="1" displayFolder="" measureGroup="FactEEPData" count="0"/>
    <cacheHierarchy uniqueName="[Measures].[Total Net Therms Achieved]" caption="Total Net Therms Achieved" measure="1" displayFolder="" measureGroup="FactEEPData" count="0"/>
    <cacheHierarchy uniqueName="[Measures].[Total Net Therms Budget]" caption="Total Net Therms Budget" measure="1" displayFolder="" measureGroup="FactEEPData" count="0"/>
    <cacheHierarchy uniqueName="[Measures].[Total Actual Incentive Paid]" caption="Total Actual Incentive Paid" measure="1" displayFolder="Financial" measureGroup="FactEEPData" count="0"/>
    <cacheHierarchy uniqueName="[Measures].[Total Budget Incentive Cost]" caption="Total Budget Incentive Cost" measure="1" displayFolder="" measureGroup="FactEEPData" count="0"/>
    <cacheHierarchy uniqueName="[Measures].[Total Actual Admin Paid]" caption="Total Actual Admin Paid" measure="1" displayFolder="Financial" measureGroup="FactEEPData" count="0"/>
    <cacheHierarchy uniqueName="[Measures].[Total Budget Admin Cost]" caption="Total Budget Admin Cost" measure="1" displayFolder="" measureGroup="FactEEPData" count="0"/>
    <cacheHierarchy uniqueName="[Measures].[Total Actual Marketing Paid]" caption="Total Actual Marketing Paid" measure="1" displayFolder="Financial" measureGroup="FactEEPData" count="0"/>
    <cacheHierarchy uniqueName="[Measures].[Total Budget Marketing Cost]" caption="Total Budget Marketing Cost" measure="1" displayFolder="" measureGroup="FactEEPData" count="0"/>
    <cacheHierarchy uniqueName="[Measures].[Total Delivered Budgeted Cost By Therm]" caption="Total Delivered Budgeted Cost By Therm" measure="1" displayFolder="" measureGroup="FactEEPData" count="0"/>
    <cacheHierarchy uniqueName="[Measures].[Total Delivered Actual Cost By Therm]" caption="Total Delivered Actual Cost By Therm" measure="1" displayFolder="" measureGroup="FactEEPData" count="0"/>
    <cacheHierarchy uniqueName="[Measures].[Total Net Therms PY PCT Achieved]" caption="Total Net Therms PY PCT Achieved" measure="1" displayFolder="" measureGroup="FactEEPData" count="0"/>
    <cacheHierarchy uniqueName="[Measures].[Total Program Cost PY PCT Achieved]" caption="Total Program Cost PY PCT Achieved" measure="1" displayFolder="" measureGroup="FactEEPData" count="0"/>
    <cacheHierarchy uniqueName="[Measures].[Total Net Lifecycle Therms Achieved]" caption="Total Net Lifecycle Therms Achieved" measure="1" displayFolder="" measureGroup="FactEEPData" count="0"/>
    <cacheHierarchy uniqueName="[Measures].[Total Weighted Average Measure Life]" caption="Total Weighted Average Measure Life" measure="1" displayFolder="" measureGroup="FactEEPData" count="0"/>
    <cacheHierarchy uniqueName="[Measures].[Sum of BudgetProgramDollarCost]" caption="Sum of BudgetProgramDollarCost" measure="1" displayFolder="" measureGroup="FactEEPData" count="0"/>
    <cacheHierarchy uniqueName="[Measures].[Count of PMTProject IC]" caption="Count of PMTProject IC" measure="1" displayFolder="" measureGroup="PMTProject_Contact_IC" count="0"/>
    <cacheHierarchy uniqueName="[Measures].[__Default measure]" caption="__Default measure" measure="1" displayFolder="" count="0" hidden="1"/>
  </cacheHierarchies>
  <kpis count="0"/>
  <dimensions count="87">
    <dimension name="Account_Contact" uniqueName="[Account_Contact]" caption="Account_Contact"/>
    <dimension name="AccountCountyHierArchy" uniqueName="[AccountCountyHierArchy]" caption="AccountCountyHierArchy"/>
    <dimension name="AcctA44Ranking" uniqueName="[AcctA44Ranking]" caption="AcctA44Ranking"/>
    <dimension name="AcctContactRules" uniqueName="[AcctContactRules]" caption="AcctContactRules"/>
    <dimension name="AcctDualFuelType" uniqueName="[AcctDualFuelType]" caption="AcctDualFuelType"/>
    <dimension name="AcctGasLDC" uniqueName="[AcctGasLDC]" caption="AcctGasLDC"/>
    <dimension name="AcctMarketCode" uniqueName="[AcctMarketCode]" caption="AcctMarketCode"/>
    <dimension name="AcctNAICSVerificationDate" uniqueName="[AcctNAICSVerificationDate]" caption="AcctNAICSVerificationDate"/>
    <dimension name="AcctUsageLevelFilter" uniqueName="[AcctUsageLevelFilter]" caption="AcctUsageLevelFilter"/>
    <dimension name="Budget ProgramYear" uniqueName="[Budget ProgramYear]" caption="Budget ProgramYear"/>
    <dimension name="DimAccount" uniqueName="[DimAccount]" caption="DimAccount"/>
    <dimension name="DimAccountingCodeCostClassification" uniqueName="[DimAccountingCodeCostClassification]" caption="DimAccountingCodeCostClassification"/>
    <dimension name="DimAccountingCodeProgramName" uniqueName="[DimAccountingCodeProgramName]" caption="DimAccountingCodeProgramName"/>
    <dimension name="DimAccountUsageLevel" uniqueName="[DimAccountUsageLevel]" caption="DimAccountUsageLevel"/>
    <dimension name="DimBuildingType" uniqueName="[DimBuildingType]" caption="DimBuildingType"/>
    <dimension name="DimBusinessAccountSegment" uniqueName="[DimBusinessAccountSegment]" caption="DimBusinessAccountSegment"/>
    <dimension name="DimBusinessPremiseSegment" uniqueName="[DimBusinessPremiseSegment]" caption="DimBusinessPremiseSegment"/>
    <dimension name="DimContactMailer" uniqueName="[DimContactMailer]" caption="DimContactMailer"/>
    <dimension name="DimCustomerSelectSupplier" uniqueName="[DimCustomerSelectSupplier]" caption="DimCustomerSelectSupplier"/>
    <dimension name="DimDate" uniqueName="[DimDate]" caption="DimDate"/>
    <dimension name="DimEquipmentCode" uniqueName="[DimEquipmentCode]" caption="DimEquipmentCode"/>
    <dimension name="DimMeasureGroup" uniqueName="[DimMeasureGroup]" caption="DimMeasureGroup"/>
    <dimension name="DimPayee" uniqueName="[DimPayee]" caption="DimPayee"/>
    <dimension name="DimPipeLineStatus" uniqueName="[DimPipeLineStatus]" caption="DimPipeLineStatus"/>
    <dimension name="DimPMTIC" uniqueName="[DimPMTIC]" caption="DimPMTIC"/>
    <dimension name="DimPMTMeasure" uniqueName="[DimPMTMeasure]" caption="DimPMTMeasure"/>
    <dimension name="DimPMTProgram" uniqueName="[DimPMTProgram]" caption="DimPMTProgram"/>
    <dimension name="DimPMTProgramAccounting" uniqueName="[DimPMTProgramAccounting]" caption="DimPMTProgramAccounting"/>
    <dimension name="DimPMTProject" uniqueName="[DimPMTProject]" caption="DimPMTProject"/>
    <dimension name="DimPMTSystem" uniqueName="[DimPMTSystem]" caption="DimPMTSystem"/>
    <dimension name="DimProjectTradeAlly" uniqueName="[DimProjectTradeAlly]" caption="DimProjectTradeAlly"/>
    <dimension name="DimRateSchedule" uniqueName="[DimRateSchedule]" caption="DimRateSchedule"/>
    <dimension name="DimReadType" uniqueName="[DimReadType]" caption="DimReadType"/>
    <dimension name="DimReferralSource" uniqueName="[DimReferralSource]" caption="DimReferralSource"/>
    <dimension name="DimResidentialAccountSegment" uniqueName="[DimResidentialAccountSegment]" caption="DimResidentialAccountSegment"/>
    <dimension name="DimResidentialPremiseSegment" uniqueName="[DimResidentialPremiseSegment]" caption="DimResidentialPremiseSegment"/>
    <dimension name="DimScenario" uniqueName="[DimScenario]" caption="DimScenario"/>
    <dimension name="DimServiceAgreementType" uniqueName="[DimServiceAgreementType]" caption="DimServiceAgreementType"/>
    <dimension name="DimServiceCounty" uniqueName="[DimServiceCounty]" caption="DimServiceCounty"/>
    <dimension name="DimServicePointType" uniqueName="[DimServicePointType]" caption="DimServicePointType"/>
    <dimension name="DimServiceTown" uniqueName="[DimServiceTown]" caption="DimServiceTown"/>
    <dimension name="DimSilverPopSurvey" uniqueName="[DimSilverPopSurvey]" caption="DimSilverPopSurvey"/>
    <dimension name="DimSubProgramType" uniqueName="[DimSubProgramType]" caption="DimSubProgramType"/>
    <dimension name="DimTradeAlly_Parent" uniqueName="[DimTradeAlly_Parent]" caption="DimTradeAlly_Parent"/>
    <dimension name="DimTradeAllyType" uniqueName="[DimTradeAllyType]" caption="DimTradeAllyType"/>
    <dimension name="DimUser" uniqueName="[DimUser]" caption="DimUser"/>
    <dimension name="DimUserType" uniqueName="[DimUserType]" caption="DimUserType"/>
    <dimension name="EquipmentDualFuel" uniqueName="[EquipmentDualFuel]" caption="EquipmentDualFuel"/>
    <dimension name="EquipmentFuel" uniqueName="[EquipmentFuel]" caption="EquipmentFuel"/>
    <dimension name="EquipmentManufacture" uniqueName="[EquipmentManufacture]" caption="EquipmentManufacture"/>
    <dimension name="FactCostEffectiveness" uniqueName="[FactCostEffectiveness]" caption="FactCostEffectiveness"/>
    <dimension name="FactCostSavings" uniqueName="[FactCostSavings]" caption="FactCostSavings"/>
    <dimension name="FactEEPData" uniqueName="[FactEEPData]" caption="FactEEPData"/>
    <dimension name="FactEquipment" uniqueName="[FactEquipment]" caption="FactEquipment"/>
    <dimension name="FactForecastTotalThermSavings" uniqueName="[FactForecastTotalThermSavings]" caption="FactForecastTotalThermSavings"/>
    <dimension name="FactMeasureParticipation" uniqueName="[FactMeasureParticipation]" caption="FactMeasureParticipation"/>
    <dimension name="FactMOCCallLog" uniqueName="[FactMOCCallLog]" caption="FactMOCCallLog"/>
    <dimension name="FactMOCLead" uniqueName="[FactMOCLead]" caption="FactMOCLead"/>
    <dimension name="FactPipeline" uniqueName="[FactPipeline]" caption="FactPipeline"/>
    <dimension name="FactPredictiveAnalytics" uniqueName="[FactPredictiveAnalytics]" caption="FactPredictiveAnalytics"/>
    <dimension name="FactSilverpopEmailActivity" uniqueName="[FactSilverpopEmailActivity]" caption="FactSilverpopEmailActivity"/>
    <dimension name="FactSilverPopSurvey" uniqueName="[FactSilverPopSurvey]" caption="FactSilverPopSurvey"/>
    <dimension name="FactUsage" uniqueName="[FactUsage]" caption="FactUsage"/>
    <dimension name="HierProgramProjectMeasure" uniqueName="[HierProgramProjectMeasure]" caption="HierProgramProjectMeasure"/>
    <dimension measure="1" name="Measures" uniqueName="[Measures]" caption="Measures"/>
    <dimension name="MOCActivityDate" uniqueName="[MOCActivityDate]" caption="MOCActivityDate"/>
    <dimension name="MOCAssessmentDate" uniqueName="[MOCAssessmentDate]" caption="MOCAssessmentDate"/>
    <dimension name="MOCEventDate" uniqueName="[MOCEventDate]" caption="MOCEventDate"/>
    <dimension name="PMTInstallDate" uniqueName="[PMTInstallDate]" caption="PMTInstallDate"/>
    <dimension name="PMTInvoiceDate" uniqueName="[PMTInvoiceDate]" caption="PMTInvoiceDate"/>
    <dimension name="PMTProject_Contact_Contact" uniqueName="[PMTProject_Contact_Contact]" caption="PMTProject_Contact_Contact"/>
    <dimension name="PMTProject_Contact_Customer" uniqueName="[PMTProject_Contact_Customer]" caption="PMTProject_Contact_Customer"/>
    <dimension name="PMTProject_Contact_IC" uniqueName="[PMTProject_Contact_IC]" caption="PMTProject_Contact_IC"/>
    <dimension name="PMTProject_Contact_Landlord" uniqueName="[PMTProject_Contact_Landlord]" caption="PMTProject_Contact_Landlord"/>
    <dimension name="PMTPurchaseDate" uniqueName="[PMTPurchaseDate]" caption="PMTPurchaseDate"/>
    <dimension name="PMTRptRefDate" uniqueName="[PMTRptRefDate]" caption="PMTRptRefDate"/>
    <dimension name="PMTYearBuiltLevelFilter" uniqueName="[PMTYearBuiltLevelFilter]" caption="PMTYearBuiltLevelFilter"/>
    <dimension name="Project_LastRenovationDate" uniqueName="[Project_LastRenovationDate]" caption="Project_LastRenovationDate"/>
    <dimension name="ServiceAgreement_Account" uniqueName="[ServiceAgreement_Account]" caption="ServiceAgreement_Account"/>
    <dimension name="ServiceAgreement_Usage" uniqueName="[ServiceAgreement_Usage]" caption="ServiceAgreement_Usage"/>
    <dimension name="UniqueContactMarketSegment" uniqueName="[UniqueContactMarketSegment]" caption="UniqueContactMarketSegment"/>
    <dimension name="UniqueMarketSegment" uniqueName="[UniqueMarketSegment]" caption="UniqueMarketSegment"/>
    <dimension name="UniqueYearBuiltLevelFilter" uniqueName="[UniqueYearBuiltLevelFilter]" caption="UniqueYearBuiltLevelFilter"/>
    <dimension name="UsageAcctgDate" uniqueName="[UsageAcctgDate]" caption="UsageAcctgDate"/>
    <dimension name="UsageBatchBusDate" uniqueName="[UsageBatchBusDate]" caption="UsageBatchBusDate"/>
    <dimension name="UsageBillEndDate" uniqueName="[UsageBillEndDate]" caption="UsageBillEndDate"/>
    <dimension name="UsageBillStartDate" uniqueName="[UsageBillStartDate]" caption="UsageBillStartDate"/>
  </dimensions>
  <measureGroups count="87">
    <measureGroup name="Account_Contact" caption="Account_Contact"/>
    <measureGroup name="AccountCountyHierArchy" caption="AccountCountyHierArchy"/>
    <measureGroup name="AcctA44Ranking" caption="AcctA44Ranking"/>
    <measureGroup name="AcctContactRules" caption="AcctContactRules"/>
    <measureGroup name="AcctDualFuelType" caption="AcctDualFuelType"/>
    <measureGroup name="AcctGasLDC" caption="AcctGasLDC"/>
    <measureGroup name="AcctMarketCode" caption="AcctMarketCode"/>
    <measureGroup name="AcctNAICSVerificationDate" caption="AcctNAICSVerificationDate"/>
    <measureGroup name="AcctUsageLevelFilter" caption="AcctUsageLevelFilter"/>
    <measureGroup name="Budget ProgramYear" caption="Budget ProgramYear"/>
    <measureGroup name="DimAccount" caption="DimAccount"/>
    <measureGroup name="DimAccountingCodeCostClassification" caption="DimAccountingCodeCostClassification"/>
    <measureGroup name="DimAccountingCodeProgramName" caption="DimAccountingCodeProgramName"/>
    <measureGroup name="DimAccountUsageLevel" caption="DimAccountUsageLevel"/>
    <measureGroup name="DimBuildingType" caption="DimBuildingType"/>
    <measureGroup name="DimBusinessAccountSegment" caption="DimBusinessAccountSegment"/>
    <measureGroup name="DimBusinessPremiseSegment" caption="DimBusinessPremiseSegment"/>
    <measureGroup name="DimContactMailer" caption="DimContactMailer"/>
    <measureGroup name="DimCustomerSelectSupplier" caption="DimCustomerSelectSupplier"/>
    <measureGroup name="DimDate" caption="DimDate"/>
    <measureGroup name="DimEquipmentCode" caption="DimEquipmentCode"/>
    <measureGroup name="DimMeasureGroup" caption="DimMeasureGroup"/>
    <measureGroup name="DimNAICSCode" caption="DimNAICSCode"/>
    <measureGroup name="DimPayee" caption="DimPayee"/>
    <measureGroup name="DimPipeLineStatus" caption="DimPipeLineStatus"/>
    <measureGroup name="DimPMTIC" caption="DimPMTIC"/>
    <measureGroup name="DimPMTMeasure" caption="DimPMTMeasure"/>
    <measureGroup name="DimPMTProgram" caption="DimPMTProgram"/>
    <measureGroup name="DimPMTProgramAccounting" caption="DimPMTProgramAccounting"/>
    <measureGroup name="DimPMTProject" caption="DimPMTProject"/>
    <measureGroup name="DimPMTSystem" caption="DimPMTSystem"/>
    <measureGroup name="DimProjectTradeAlly" caption="DimProjectTradeAlly"/>
    <measureGroup name="DimRateSchedule" caption="DimRateSchedule"/>
    <measureGroup name="DimReadType" caption="DimReadType"/>
    <measureGroup name="DimReferralSource" caption="DimReferralSource"/>
    <measureGroup name="DimResidentialAccountSegment" caption="DimResidentialAccountSegment"/>
    <measureGroup name="DimResidentialPremiseSegment" caption="DimResidentialPremiseSegment"/>
    <measureGroup name="DimScenario" caption="DimScenario"/>
    <measureGroup name="DimServiceAgreementType" caption="DimServiceAgreementType"/>
    <measureGroup name="DimServiceCounty" caption="DimServiceCounty"/>
    <measureGroup name="DimServicePointType" caption="DimServicePointType"/>
    <measureGroup name="DimServiceTown" caption="DimServiceTown"/>
    <measureGroup name="DimSilverPopSurvey" caption="DimSilverPopSurvey"/>
    <measureGroup name="DimSubProgramType" caption="DimSubProgramType"/>
    <measureGroup name="DimTradeAlly_Parent" caption="DimTradeAlly_Parent"/>
    <measureGroup name="DimTradeAllyType" caption="DimTradeAllyType"/>
    <measureGroup name="DimUser" caption="DimUser"/>
    <measureGroup name="DimUserType" caption="DimUserType"/>
    <measureGroup name="EquipmentDualFuel" caption="EquipmentDualFuel"/>
    <measureGroup name="EquipmentFuel" caption="EquipmentFuel"/>
    <measureGroup name="EquipmentManufacture" caption="EquipmentManufacture"/>
    <measureGroup name="FactCostEffectiveness" caption="FactCostEffectiveness"/>
    <measureGroup name="FactCostSavings" caption="FactCostSavings"/>
    <measureGroup name="FactEEPData" caption="FactEEPData"/>
    <measureGroup name="FactEquipment" caption="FactEquipment"/>
    <measureGroup name="FactForecastTotalThermSavings" caption="FactForecastTotalThermSavings"/>
    <measureGroup name="FactMeasureParticipation" caption="FactMeasureParticipation"/>
    <measureGroup name="FactMOCCallLog" caption="FactMOCCallLog"/>
    <measureGroup name="FactMOCLead" caption="FactMOCLead"/>
    <measureGroup name="FactPipeline" caption="FactPipeline"/>
    <measureGroup name="FactPredictiveAnalytics" caption="FactPredictiveAnalytics"/>
    <measureGroup name="FactSilverpopEmailActivity" caption="FactSilverpopEmailActivity"/>
    <measureGroup name="FactSilverPopSurvey" caption="FactSilverPopSurvey"/>
    <measureGroup name="FactUsage" caption="FactUsage"/>
    <measureGroup name="HierProgramProjectMeasure" caption="HierProgramProjectMeasure"/>
    <measureGroup name="MOCActivityDate" caption="MOCActivityDate"/>
    <measureGroup name="MOCAssessmentDate" caption="MOCAssessmentDate"/>
    <measureGroup name="MOCEventDate" caption="MOCEventDate"/>
    <measureGroup name="PMTInstallDate" caption="PMTInstallDate"/>
    <measureGroup name="PMTInvoiceDate" caption="PMTInvoiceDate"/>
    <measureGroup name="PMTProject_Contact_Contact" caption="PMTProject_Contact_Contact"/>
    <measureGroup name="PMTProject_Contact_Customer" caption="PMTProject_Contact_Customer"/>
    <measureGroup name="PMTProject_Contact_IC" caption="PMTProject_Contact_IC"/>
    <measureGroup name="PMTProject_Contact_Landlord" caption="PMTProject_Contact_Landlord"/>
    <measureGroup name="PMTPurchaseDate" caption="PMTPurchaseDate"/>
    <measureGroup name="PMTRptRefDate" caption="PMTRptRefDate"/>
    <measureGroup name="PMTYearBuiltLevelFilter" caption="PMTYearBuiltLevelFilter"/>
    <measureGroup name="Project_LastRenovationDate" caption="Project_LastRenovationDate"/>
    <measureGroup name="ServiceAgreement_Account" caption="ServiceAgreement_Account"/>
    <measureGroup name="ServiceAgreement_Usage" caption="ServiceAgreement_Usage"/>
    <measureGroup name="UniqueContactMarketSegment" caption="UniqueContactMarketSegment"/>
    <measureGroup name="UniqueMarketSegment" caption="UniqueMarketSegment"/>
    <measureGroup name="UniqueYearBuiltLevelFilter" caption="UniqueYearBuiltLevelFilter"/>
    <measureGroup name="UsageAcctgDate" caption="UsageAcctgDate"/>
    <measureGroup name="UsageBatchBusDate" caption="UsageBatchBusDate"/>
    <measureGroup name="UsageBillEndDate" caption="UsageBillEndDate"/>
    <measureGroup name="UsageBillStartDate" caption="UsageBillStartDate"/>
  </measureGroups>
  <maps count="626">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10"/>
    <map measureGroup="0" dimension="15"/>
    <map measureGroup="0" dimension="16"/>
    <map measureGroup="0" dimension="21"/>
    <map measureGroup="0" dimension="26"/>
    <map measureGroup="0" dimension="34"/>
    <map measureGroup="0" dimension="35"/>
    <map measureGroup="0" dimension="59"/>
    <map measureGroup="0" dimension="82"/>
    <map measureGroup="1" dimension="1"/>
    <map measureGroup="2" dimension="2"/>
    <map measureGroup="3" dimension="3"/>
    <map measureGroup="4" dimension="4"/>
    <map measureGroup="5" dimension="5"/>
    <map measureGroup="6" dimension="6"/>
    <map measureGroup="7" dimension="7"/>
    <map measureGroup="8" dimension="8"/>
    <map measureGroup="9" dimension="9"/>
    <map measureGroup="10" dimension="1"/>
    <map measureGroup="10" dimension="2"/>
    <map measureGroup="10" dimension="3"/>
    <map measureGroup="10" dimension="4"/>
    <map measureGroup="10" dimension="5"/>
    <map measureGroup="10" dimension="6"/>
    <map measureGroup="10" dimension="7"/>
    <map measureGroup="10" dimension="8"/>
    <map measureGroup="10" dimension="10"/>
    <map measureGroup="10" dimension="15"/>
    <map measureGroup="10" dimension="16"/>
    <map measureGroup="10" dimension="21"/>
    <map measureGroup="10" dimension="26"/>
    <map measureGroup="10" dimension="34"/>
    <map measureGroup="10" dimension="35"/>
    <map measureGroup="10" dimension="59"/>
    <map measureGroup="10" dimension="82"/>
    <map measureGroup="11" dimension="11"/>
    <map measureGroup="12" dimension="12"/>
    <map measureGroup="13" dimension="1"/>
    <map measureGroup="13" dimension="2"/>
    <map measureGroup="13" dimension="3"/>
    <map measureGroup="13" dimension="4"/>
    <map measureGroup="13" dimension="5"/>
    <map measureGroup="13" dimension="6"/>
    <map measureGroup="13" dimension="7"/>
    <map measureGroup="13" dimension="8"/>
    <map measureGroup="13" dimension="10"/>
    <map measureGroup="13" dimension="13"/>
    <map measureGroup="13" dimension="15"/>
    <map measureGroup="13" dimension="16"/>
    <map measureGroup="13" dimension="21"/>
    <map measureGroup="13" dimension="26"/>
    <map measureGroup="13" dimension="34"/>
    <map measureGroup="13" dimension="35"/>
    <map measureGroup="13" dimension="59"/>
    <map measureGroup="13" dimension="82"/>
    <map measureGroup="14" dimension="14"/>
    <map measureGroup="15" dimension="15"/>
    <map measureGroup="16" dimension="16"/>
    <map measureGroup="17" dimension="0"/>
    <map measureGroup="17" dimension="1"/>
    <map measureGroup="17" dimension="2"/>
    <map measureGroup="17" dimension="3"/>
    <map measureGroup="17" dimension="4"/>
    <map measureGroup="17" dimension="5"/>
    <map measureGroup="17" dimension="6"/>
    <map measureGroup="17" dimension="7"/>
    <map measureGroup="17" dimension="8"/>
    <map measureGroup="17" dimension="10"/>
    <map measureGroup="17" dimension="15"/>
    <map measureGroup="17" dimension="16"/>
    <map measureGroup="17" dimension="17"/>
    <map measureGroup="17" dimension="21"/>
    <map measureGroup="17" dimension="26"/>
    <map measureGroup="17" dimension="34"/>
    <map measureGroup="17" dimension="35"/>
    <map measureGroup="17" dimension="59"/>
    <map measureGroup="17" dimension="82"/>
    <map measureGroup="18" dimension="18"/>
    <map measureGroup="19" dimension="19"/>
    <map measureGroup="20" dimension="20"/>
    <map measureGroup="21" dimension="21"/>
    <map measureGroup="23" dimension="22"/>
    <map measureGroup="24" dimension="23"/>
    <map measureGroup="25" dimension="24"/>
    <map measureGroup="26" dimension="25"/>
    <map measureGroup="27" dimension="26"/>
    <map measureGroup="28" dimension="27"/>
    <map measureGroup="29" dimension="1"/>
    <map measureGroup="29" dimension="2"/>
    <map measureGroup="29" dimension="3"/>
    <map measureGroup="29" dimension="4"/>
    <map measureGroup="29" dimension="5"/>
    <map measureGroup="29" dimension="6"/>
    <map measureGroup="29" dimension="7"/>
    <map measureGroup="29" dimension="8"/>
    <map measureGroup="29" dimension="10"/>
    <map measureGroup="29" dimension="14"/>
    <map measureGroup="29" dimension="15"/>
    <map measureGroup="29" dimension="16"/>
    <map measureGroup="29" dimension="21"/>
    <map measureGroup="29" dimension="24"/>
    <map measureGroup="29" dimension="26"/>
    <map measureGroup="29" dimension="27"/>
    <map measureGroup="29" dimension="28"/>
    <map measureGroup="29" dimension="30"/>
    <map measureGroup="29" dimension="33"/>
    <map measureGroup="29" dimension="34"/>
    <map measureGroup="29" dimension="35"/>
    <map measureGroup="29" dimension="42"/>
    <map measureGroup="29" dimension="43"/>
    <map measureGroup="29" dimension="44"/>
    <map measureGroup="29" dimension="59"/>
    <map measureGroup="29" dimension="76"/>
    <map measureGroup="29" dimension="77"/>
    <map measureGroup="29" dimension="82"/>
    <map measureGroup="30" dimension="1"/>
    <map measureGroup="30" dimension="2"/>
    <map measureGroup="30" dimension="3"/>
    <map measureGroup="30" dimension="4"/>
    <map measureGroup="30" dimension="5"/>
    <map measureGroup="30" dimension="6"/>
    <map measureGroup="30" dimension="7"/>
    <map measureGroup="30" dimension="8"/>
    <map measureGroup="30" dimension="10"/>
    <map measureGroup="30" dimension="14"/>
    <map measureGroup="30" dimension="15"/>
    <map measureGroup="30" dimension="16"/>
    <map measureGroup="30" dimension="21"/>
    <map measureGroup="30" dimension="24"/>
    <map measureGroup="30" dimension="26"/>
    <map measureGroup="30" dimension="27"/>
    <map measureGroup="30" dimension="28"/>
    <map measureGroup="30" dimension="29"/>
    <map measureGroup="30" dimension="30"/>
    <map measureGroup="30" dimension="33"/>
    <map measureGroup="30" dimension="34"/>
    <map measureGroup="30" dimension="35"/>
    <map measureGroup="30" dimension="42"/>
    <map measureGroup="30" dimension="43"/>
    <map measureGroup="30" dimension="44"/>
    <map measureGroup="30" dimension="59"/>
    <map measureGroup="30" dimension="76"/>
    <map measureGroup="30" dimension="77"/>
    <map measureGroup="30" dimension="82"/>
    <map measureGroup="31" dimension="1"/>
    <map measureGroup="31" dimension="2"/>
    <map measureGroup="31" dimension="3"/>
    <map measureGroup="31" dimension="4"/>
    <map measureGroup="31" dimension="5"/>
    <map measureGroup="31" dimension="6"/>
    <map measureGroup="31" dimension="7"/>
    <map measureGroup="31" dimension="8"/>
    <map measureGroup="31" dimension="10"/>
    <map measureGroup="31" dimension="14"/>
    <map measureGroup="31" dimension="15"/>
    <map measureGroup="31" dimension="16"/>
    <map measureGroup="31" dimension="21"/>
    <map measureGroup="31" dimension="24"/>
    <map measureGroup="31" dimension="26"/>
    <map measureGroup="31" dimension="27"/>
    <map measureGroup="31" dimension="28"/>
    <map measureGroup="31" dimension="30"/>
    <map measureGroup="31" dimension="33"/>
    <map measureGroup="31" dimension="34"/>
    <map measureGroup="31" dimension="35"/>
    <map measureGroup="31" dimension="42"/>
    <map measureGroup="31" dimension="43"/>
    <map measureGroup="31" dimension="44"/>
    <map measureGroup="31" dimension="59"/>
    <map measureGroup="31" dimension="76"/>
    <map measureGroup="31" dimension="77"/>
    <map measureGroup="31" dimension="82"/>
    <map measureGroup="32" dimension="31"/>
    <map measureGroup="33" dimension="32"/>
    <map measureGroup="34" dimension="33"/>
    <map measureGroup="35" dimension="34"/>
    <map measureGroup="36" dimension="35"/>
    <map measureGroup="37" dimension="36"/>
    <map measureGroup="38" dimension="37"/>
    <map measureGroup="39" dimension="38"/>
    <map measureGroup="40" dimension="39"/>
    <map measureGroup="41" dimension="40"/>
    <map measureGroup="42" dimension="21"/>
    <map measureGroup="42" dimension="26"/>
    <map measureGroup="42" dimension="41"/>
    <map measureGroup="43" dimension="42"/>
    <map measureGroup="44" dimension="43"/>
    <map measureGroup="45" dimension="1"/>
    <map measureGroup="45" dimension="2"/>
    <map measureGroup="45" dimension="3"/>
    <map measureGroup="45" dimension="4"/>
    <map measureGroup="45" dimension="5"/>
    <map measureGroup="45" dimension="6"/>
    <map measureGroup="45" dimension="7"/>
    <map measureGroup="45" dimension="8"/>
    <map measureGroup="45" dimension="10"/>
    <map measureGroup="45" dimension="14"/>
    <map measureGroup="45" dimension="15"/>
    <map measureGroup="45" dimension="16"/>
    <map measureGroup="45" dimension="21"/>
    <map measureGroup="45" dimension="24"/>
    <map measureGroup="45" dimension="26"/>
    <map measureGroup="45" dimension="27"/>
    <map measureGroup="45" dimension="28"/>
    <map measureGroup="45" dimension="30"/>
    <map measureGroup="45" dimension="33"/>
    <map measureGroup="45" dimension="34"/>
    <map measureGroup="45" dimension="35"/>
    <map measureGroup="45" dimension="42"/>
    <map measureGroup="45" dimension="43"/>
    <map measureGroup="45" dimension="44"/>
    <map measureGroup="45" dimension="59"/>
    <map measureGroup="45" dimension="76"/>
    <map measureGroup="45" dimension="77"/>
    <map measureGroup="45" dimension="82"/>
    <map measureGroup="46" dimension="45"/>
    <map measureGroup="46" dimension="46"/>
    <map measureGroup="47" dimension="46"/>
    <map measureGroup="48" dimension="47"/>
    <map measureGroup="49" dimension="48"/>
    <map measureGroup="50" dimension="49"/>
    <map measureGroup="51" dimension="26"/>
    <map measureGroup="51" dimension="27"/>
    <map measureGroup="51" dimension="50"/>
    <map measureGroup="52" dimension="26"/>
    <map measureGroup="52" dimension="51"/>
    <map measureGroup="53" dimension="1"/>
    <map measureGroup="53" dimension="2"/>
    <map measureGroup="53" dimension="3"/>
    <map measureGroup="53" dimension="4"/>
    <map measureGroup="53" dimension="5"/>
    <map measureGroup="53" dimension="6"/>
    <map measureGroup="53" dimension="7"/>
    <map measureGroup="53" dimension="8"/>
    <map measureGroup="53" dimension="9"/>
    <map measureGroup="53" dimension="10"/>
    <map measureGroup="53" dimension="11"/>
    <map measureGroup="53" dimension="12"/>
    <map measureGroup="53" dimension="14"/>
    <map measureGroup="53" dimension="15"/>
    <map measureGroup="53" dimension="16"/>
    <map measureGroup="53" dimension="19"/>
    <map measureGroup="53" dimension="21"/>
    <map measureGroup="53" dimension="22"/>
    <map measureGroup="53" dimension="24"/>
    <map measureGroup="53" dimension="26"/>
    <map measureGroup="53" dimension="27"/>
    <map measureGroup="53" dimension="28"/>
    <map measureGroup="53" dimension="30"/>
    <map measureGroup="53" dimension="33"/>
    <map measureGroup="53" dimension="34"/>
    <map measureGroup="53" dimension="35"/>
    <map measureGroup="53" dimension="36"/>
    <map measureGroup="53" dimension="42"/>
    <map measureGroup="53" dimension="43"/>
    <map measureGroup="53" dimension="44"/>
    <map measureGroup="53" dimension="52"/>
    <map measureGroup="53" dimension="59"/>
    <map measureGroup="53" dimension="63"/>
    <map measureGroup="53" dimension="68"/>
    <map measureGroup="53" dimension="69"/>
    <map measureGroup="53" dimension="74"/>
    <map measureGroup="53" dimension="75"/>
    <map measureGroup="53" dimension="76"/>
    <map measureGroup="53" dimension="77"/>
    <map measureGroup="53" dimension="82"/>
    <map measureGroup="54" dimension="1"/>
    <map measureGroup="54" dimension="2"/>
    <map measureGroup="54" dimension="3"/>
    <map measureGroup="54" dimension="4"/>
    <map measureGroup="54" dimension="5"/>
    <map measureGroup="54" dimension="6"/>
    <map measureGroup="54" dimension="7"/>
    <map measureGroup="54" dimension="8"/>
    <map measureGroup="54" dimension="10"/>
    <map measureGroup="54" dimension="15"/>
    <map measureGroup="54" dimension="16"/>
    <map measureGroup="54" dimension="20"/>
    <map measureGroup="54" dimension="21"/>
    <map measureGroup="54" dimension="26"/>
    <map measureGroup="54" dimension="34"/>
    <map measureGroup="54" dimension="35"/>
    <map measureGroup="54" dimension="47"/>
    <map measureGroup="54" dimension="48"/>
    <map measureGroup="54" dimension="49"/>
    <map measureGroup="54" dimension="53"/>
    <map measureGroup="54" dimension="59"/>
    <map measureGroup="54" dimension="81"/>
    <map measureGroup="54" dimension="82"/>
    <map measureGroup="55" dimension="26"/>
    <map measureGroup="55" dimension="54"/>
    <map measureGroup="56" dimension="9"/>
    <map measureGroup="56" dimension="25"/>
    <map measureGroup="56" dimension="26"/>
    <map measureGroup="56" dimension="36"/>
    <map measureGroup="56" dimension="55"/>
    <map measureGroup="57" dimension="1"/>
    <map measureGroup="57" dimension="2"/>
    <map measureGroup="57" dimension="3"/>
    <map measureGroup="57" dimension="4"/>
    <map measureGroup="57" dimension="5"/>
    <map measureGroup="57" dimension="6"/>
    <map measureGroup="57" dimension="7"/>
    <map measureGroup="57" dimension="8"/>
    <map measureGroup="57" dimension="10"/>
    <map measureGroup="57" dimension="15"/>
    <map measureGroup="57" dimension="16"/>
    <map measureGroup="57" dimension="19"/>
    <map measureGroup="57" dimension="21"/>
    <map measureGroup="57" dimension="26"/>
    <map measureGroup="57" dimension="34"/>
    <map measureGroup="57" dimension="35"/>
    <map measureGroup="57" dimension="45"/>
    <map measureGroup="57" dimension="46"/>
    <map measureGroup="57" dimension="56"/>
    <map measureGroup="57" dimension="59"/>
    <map measureGroup="57" dimension="65"/>
    <map measureGroup="57" dimension="66"/>
    <map measureGroup="57" dimension="67"/>
    <map measureGroup="57" dimension="82"/>
    <map measureGroup="58" dimension="1"/>
    <map measureGroup="58" dimension="2"/>
    <map measureGroup="58" dimension="3"/>
    <map measureGroup="58" dimension="4"/>
    <map measureGroup="58" dimension="5"/>
    <map measureGroup="58" dimension="6"/>
    <map measureGroup="58" dimension="7"/>
    <map measureGroup="58" dimension="8"/>
    <map measureGroup="58" dimension="10"/>
    <map measureGroup="58" dimension="15"/>
    <map measureGroup="58" dimension="16"/>
    <map measureGroup="58" dimension="19"/>
    <map measureGroup="58" dimension="21"/>
    <map measureGroup="58" dimension="26"/>
    <map measureGroup="58" dimension="34"/>
    <map measureGroup="58" dimension="35"/>
    <map measureGroup="58" dimension="45"/>
    <map measureGroup="58" dimension="46"/>
    <map measureGroup="58" dimension="57"/>
    <map measureGroup="58" dimension="59"/>
    <map measureGroup="58" dimension="82"/>
    <map measureGroup="59" dimension="1"/>
    <map measureGroup="59" dimension="2"/>
    <map measureGroup="59" dimension="3"/>
    <map measureGroup="59" dimension="4"/>
    <map measureGroup="59" dimension="5"/>
    <map measureGroup="59" dimension="6"/>
    <map measureGroup="59" dimension="7"/>
    <map measureGroup="59" dimension="8"/>
    <map measureGroup="59" dimension="10"/>
    <map measureGroup="59" dimension="15"/>
    <map measureGroup="59" dimension="16"/>
    <map measureGroup="59" dimension="19"/>
    <map measureGroup="59" dimension="21"/>
    <map measureGroup="59" dimension="23"/>
    <map measureGroup="59" dimension="26"/>
    <map measureGroup="59" dimension="34"/>
    <map measureGroup="59" dimension="35"/>
    <map measureGroup="59" dimension="58"/>
    <map measureGroup="59" dimension="59"/>
    <map measureGroup="59" dimension="82"/>
    <map measureGroup="60" dimension="1"/>
    <map measureGroup="60" dimension="2"/>
    <map measureGroup="60" dimension="3"/>
    <map measureGroup="60" dimension="4"/>
    <map measureGroup="60" dimension="5"/>
    <map measureGroup="60" dimension="6"/>
    <map measureGroup="60" dimension="7"/>
    <map measureGroup="60" dimension="8"/>
    <map measureGroup="60" dimension="10"/>
    <map measureGroup="60" dimension="15"/>
    <map measureGroup="60" dimension="16"/>
    <map measureGroup="60" dimension="21"/>
    <map measureGroup="60" dimension="26"/>
    <map measureGroup="60" dimension="34"/>
    <map measureGroup="60" dimension="35"/>
    <map measureGroup="60" dimension="59"/>
    <map measureGroup="60" dimension="82"/>
    <map measureGroup="61" dimension="1"/>
    <map measureGroup="61" dimension="2"/>
    <map measureGroup="61" dimension="3"/>
    <map measureGroup="61" dimension="4"/>
    <map measureGroup="61" dimension="5"/>
    <map measureGroup="61" dimension="6"/>
    <map measureGroup="61" dimension="7"/>
    <map measureGroup="61" dimension="8"/>
    <map measureGroup="61" dimension="10"/>
    <map measureGroup="61" dimension="15"/>
    <map measureGroup="61" dimension="16"/>
    <map measureGroup="61" dimension="19"/>
    <map measureGroup="61" dimension="21"/>
    <map measureGroup="61" dimension="26"/>
    <map measureGroup="61" dimension="34"/>
    <map measureGroup="61" dimension="35"/>
    <map measureGroup="61" dimension="59"/>
    <map measureGroup="61" dimension="60"/>
    <map measureGroup="61" dimension="82"/>
    <map measureGroup="62" dimension="1"/>
    <map measureGroup="62" dimension="2"/>
    <map measureGroup="62" dimension="3"/>
    <map measureGroup="62" dimension="4"/>
    <map measureGroup="62" dimension="5"/>
    <map measureGroup="62" dimension="6"/>
    <map measureGroup="62" dimension="7"/>
    <map measureGroup="62" dimension="8"/>
    <map measureGroup="62" dimension="10"/>
    <map measureGroup="62" dimension="15"/>
    <map measureGroup="62" dimension="16"/>
    <map measureGroup="62" dimension="21"/>
    <map measureGroup="62" dimension="26"/>
    <map measureGroup="62" dimension="34"/>
    <map measureGroup="62" dimension="35"/>
    <map measureGroup="62" dimension="59"/>
    <map measureGroup="62" dimension="61"/>
    <map measureGroup="62" dimension="82"/>
    <map measureGroup="63" dimension="1"/>
    <map measureGroup="63" dimension="2"/>
    <map measureGroup="63" dimension="3"/>
    <map measureGroup="63" dimension="4"/>
    <map measureGroup="63" dimension="5"/>
    <map measureGroup="63" dimension="6"/>
    <map measureGroup="63" dimension="7"/>
    <map measureGroup="63" dimension="8"/>
    <map measureGroup="63" dimension="10"/>
    <map measureGroup="63" dimension="15"/>
    <map measureGroup="63" dimension="16"/>
    <map measureGroup="63" dimension="18"/>
    <map measureGroup="63" dimension="19"/>
    <map measureGroup="63" dimension="21"/>
    <map measureGroup="63" dimension="26"/>
    <map measureGroup="63" dimension="31"/>
    <map measureGroup="63" dimension="32"/>
    <map measureGroup="63" dimension="34"/>
    <map measureGroup="63" dimension="35"/>
    <map measureGroup="63" dimension="37"/>
    <map measureGroup="63" dimension="38"/>
    <map measureGroup="63" dimension="39"/>
    <map measureGroup="63" dimension="40"/>
    <map measureGroup="63" dimension="59"/>
    <map measureGroup="63" dimension="62"/>
    <map measureGroup="63" dimension="79"/>
    <map measureGroup="63" dimension="82"/>
    <map measureGroup="63" dimension="83"/>
    <map measureGroup="63" dimension="84"/>
    <map measureGroup="63" dimension="85"/>
    <map measureGroup="63" dimension="86"/>
    <map measureGroup="64" dimension="63"/>
    <map measureGroup="65" dimension="65"/>
    <map measureGroup="66" dimension="66"/>
    <map measureGroup="67" dimension="67"/>
    <map measureGroup="68" dimension="68"/>
    <map measureGroup="69" dimension="69"/>
    <map measureGroup="70" dimension="1"/>
    <map measureGroup="70" dimension="2"/>
    <map measureGroup="70" dimension="3"/>
    <map measureGroup="70" dimension="4"/>
    <map measureGroup="70" dimension="5"/>
    <map measureGroup="70" dimension="6"/>
    <map measureGroup="70" dimension="7"/>
    <map measureGroup="70" dimension="8"/>
    <map measureGroup="70" dimension="10"/>
    <map measureGroup="70" dimension="14"/>
    <map measureGroup="70" dimension="15"/>
    <map measureGroup="70" dimension="16"/>
    <map measureGroup="70" dimension="21"/>
    <map measureGroup="70" dimension="24"/>
    <map measureGroup="70" dimension="26"/>
    <map measureGroup="70" dimension="27"/>
    <map measureGroup="70" dimension="28"/>
    <map measureGroup="70" dimension="30"/>
    <map measureGroup="70" dimension="33"/>
    <map measureGroup="70" dimension="34"/>
    <map measureGroup="70" dimension="35"/>
    <map measureGroup="70" dimension="42"/>
    <map measureGroup="70" dimension="43"/>
    <map measureGroup="70" dimension="44"/>
    <map measureGroup="70" dimension="59"/>
    <map measureGroup="70" dimension="70"/>
    <map measureGroup="70" dimension="76"/>
    <map measureGroup="70" dimension="77"/>
    <map measureGroup="70" dimension="82"/>
    <map measureGroup="71" dimension="1"/>
    <map measureGroup="71" dimension="2"/>
    <map measureGroup="71" dimension="3"/>
    <map measureGroup="71" dimension="4"/>
    <map measureGroup="71" dimension="5"/>
    <map measureGroup="71" dimension="6"/>
    <map measureGroup="71" dimension="7"/>
    <map measureGroup="71" dimension="8"/>
    <map measureGroup="71" dimension="10"/>
    <map measureGroup="71" dimension="14"/>
    <map measureGroup="71" dimension="15"/>
    <map measureGroup="71" dimension="16"/>
    <map measureGroup="71" dimension="21"/>
    <map measureGroup="71" dimension="24"/>
    <map measureGroup="71" dimension="26"/>
    <map measureGroup="71" dimension="27"/>
    <map measureGroup="71" dimension="28"/>
    <map measureGroup="71" dimension="30"/>
    <map measureGroup="71" dimension="33"/>
    <map measureGroup="71" dimension="34"/>
    <map measureGroup="71" dimension="35"/>
    <map measureGroup="71" dimension="42"/>
    <map measureGroup="71" dimension="43"/>
    <map measureGroup="71" dimension="44"/>
    <map measureGroup="71" dimension="59"/>
    <map measureGroup="71" dimension="71"/>
    <map measureGroup="71" dimension="76"/>
    <map measureGroup="71" dimension="77"/>
    <map measureGroup="71" dimension="82"/>
    <map measureGroup="72" dimension="1"/>
    <map measureGroup="72" dimension="2"/>
    <map measureGroup="72" dimension="3"/>
    <map measureGroup="72" dimension="4"/>
    <map measureGroup="72" dimension="5"/>
    <map measureGroup="72" dimension="6"/>
    <map measureGroup="72" dimension="7"/>
    <map measureGroup="72" dimension="8"/>
    <map measureGroup="72" dimension="10"/>
    <map measureGroup="72" dimension="14"/>
    <map measureGroup="72" dimension="15"/>
    <map measureGroup="72" dimension="16"/>
    <map measureGroup="72" dimension="21"/>
    <map measureGroup="72" dimension="24"/>
    <map measureGroup="72" dimension="26"/>
    <map measureGroup="72" dimension="27"/>
    <map measureGroup="72" dimension="28"/>
    <map measureGroup="72" dimension="30"/>
    <map measureGroup="72" dimension="33"/>
    <map measureGroup="72" dimension="34"/>
    <map measureGroup="72" dimension="35"/>
    <map measureGroup="72" dimension="42"/>
    <map measureGroup="72" dimension="43"/>
    <map measureGroup="72" dimension="44"/>
    <map measureGroup="72" dimension="59"/>
    <map measureGroup="72" dimension="72"/>
    <map measureGroup="72" dimension="76"/>
    <map measureGroup="72" dimension="77"/>
    <map measureGroup="72" dimension="82"/>
    <map measureGroup="73" dimension="1"/>
    <map measureGroup="73" dimension="2"/>
    <map measureGroup="73" dimension="3"/>
    <map measureGroup="73" dimension="4"/>
    <map measureGroup="73" dimension="5"/>
    <map measureGroup="73" dimension="6"/>
    <map measureGroup="73" dimension="7"/>
    <map measureGroup="73" dimension="8"/>
    <map measureGroup="73" dimension="10"/>
    <map measureGroup="73" dimension="14"/>
    <map measureGroup="73" dimension="15"/>
    <map measureGroup="73" dimension="16"/>
    <map measureGroup="73" dimension="21"/>
    <map measureGroup="73" dimension="24"/>
    <map measureGroup="73" dimension="26"/>
    <map measureGroup="73" dimension="27"/>
    <map measureGroup="73" dimension="28"/>
    <map measureGroup="73" dimension="30"/>
    <map measureGroup="73" dimension="33"/>
    <map measureGroup="73" dimension="34"/>
    <map measureGroup="73" dimension="35"/>
    <map measureGroup="73" dimension="42"/>
    <map measureGroup="73" dimension="43"/>
    <map measureGroup="73" dimension="44"/>
    <map measureGroup="73" dimension="59"/>
    <map measureGroup="73" dimension="73"/>
    <map measureGroup="73" dimension="76"/>
    <map measureGroup="73" dimension="77"/>
    <map measureGroup="73" dimension="82"/>
    <map measureGroup="74" dimension="74"/>
    <map measureGroup="75" dimension="9"/>
    <map measureGroup="75" dimension="75"/>
    <map measureGroup="76" dimension="76"/>
    <map measureGroup="77" dimension="77"/>
    <map measureGroup="78" dimension="1"/>
    <map measureGroup="78" dimension="2"/>
    <map measureGroup="78" dimension="3"/>
    <map measureGroup="78" dimension="4"/>
    <map measureGroup="78" dimension="5"/>
    <map measureGroup="78" dimension="6"/>
    <map measureGroup="78" dimension="7"/>
    <map measureGroup="78" dimension="8"/>
    <map measureGroup="78" dimension="10"/>
    <map measureGroup="78" dimension="15"/>
    <map measureGroup="78" dimension="16"/>
    <map measureGroup="78" dimension="21"/>
    <map measureGroup="78" dimension="26"/>
    <map measureGroup="78" dimension="34"/>
    <map measureGroup="78" dimension="35"/>
    <map measureGroup="78" dimension="59"/>
    <map measureGroup="78" dimension="78"/>
    <map measureGroup="78" dimension="82"/>
    <map measureGroup="79" dimension="79"/>
    <map measureGroup="80" dimension="0"/>
    <map measureGroup="80" dimension="1"/>
    <map measureGroup="80" dimension="2"/>
    <map measureGroup="80" dimension="3"/>
    <map measureGroup="80" dimension="4"/>
    <map measureGroup="80" dimension="5"/>
    <map measureGroup="80" dimension="6"/>
    <map measureGroup="80" dimension="7"/>
    <map measureGroup="80" dimension="8"/>
    <map measureGroup="80" dimension="10"/>
    <map measureGroup="80" dimension="15"/>
    <map measureGroup="80" dimension="16"/>
    <map measureGroup="80" dimension="21"/>
    <map measureGroup="80" dimension="26"/>
    <map measureGroup="80" dimension="34"/>
    <map measureGroup="80" dimension="35"/>
    <map measureGroup="80" dimension="59"/>
    <map measureGroup="80" dimension="80"/>
    <map measureGroup="80" dimension="82"/>
    <map measureGroup="81" dimension="81"/>
    <map measureGroup="82" dimension="82"/>
    <map measureGroup="83" dimension="83"/>
    <map measureGroup="84" dimension="84"/>
    <map measureGroup="85" dimension="85"/>
    <map measureGroup="86" dimension="8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ndy Opdyke" refreshedDate="44034.472457523145" backgroundQuery="1" createdVersion="6" refreshedVersion="6" minRefreshableVersion="3" recordCount="0" supportSubquery="1" supportAdvancedDrill="1" xr:uid="{E49A6037-153C-48E0-AFFF-8FB1ABBB6CA4}">
  <cacheSource type="external" connectionId="1"/>
  <cacheFields count="15">
    <cacheField name="[DimScenario].[Scenario Name].[Scenario Name]" caption="Scenario Name" numFmtId="0" hierarchy="626" level="1">
      <sharedItems containsSemiMixedTypes="0" containsString="0"/>
    </cacheField>
    <cacheField name="[DimMeasureGroup].[ProgramYear].[ProgramYear]" caption="ProgramYear" numFmtId="0" hierarchy="313" level="1">
      <sharedItems containsSemiMixedTypes="0" containsString="0"/>
    </cacheField>
    <cacheField name="[FactEEPData].[VariableCostIdentifier].[VariableCostIdentifier]" caption="VariableCostIdentifier" numFmtId="0" hierarchy="918" level="1">
      <sharedItems containsSemiMixedTypes="0" containsString="0"/>
    </cacheField>
    <cacheField name="[DimPMTProgram].[Program Acronym].[Program Acronym]" caption="Program Acronym" numFmtId="0" hierarchy="344" level="1">
      <sharedItems containsSemiMixedTypes="0" containsString="0"/>
    </cacheField>
    <cacheField name="[DimMeasureGroup].[MeasureGroupName].[MeasureGroupName]" caption="MeasureGroupName" numFmtId="0" hierarchy="311" level="1">
      <sharedItems count="10">
        <s v="[DimMeasureGroup].[MeasureGroupName].&amp;[Air Sealing]" c="Air Sealing"/>
        <s v="[DimMeasureGroup].[MeasureGroupName].&amp;[Attic Insulation]" c="Attic Insulation"/>
        <s v="[DimMeasureGroup].[MeasureGroupName].&amp;[Basement/Sidewall Insulation]" c="Basement/Sidewall Insulation"/>
        <s v="[DimMeasureGroup].[MeasureGroupName].&amp;[Duct Sealing]" c="Duct Sealing"/>
        <s v="[DimMeasureGroup].[MeasureGroupName].&amp;[Floor Insulation Above Crawlspace]" c="Floor Insulation Above Crawlspace"/>
        <s v="[DimMeasureGroup].[MeasureGroupName].&amp;[Rim/Band Joist Insulation]" c="Rim/Band Joist Insulation"/>
        <s v="[DimMeasureGroup].[MeasureGroupName].&amp;[Wall Insulation SF]" c="Wall Insulation SF"/>
        <s v="[DimMeasureGroup].[MeasureGroupName].&amp;[Pipe Insulation, Indoor Hot Water DHW]" u="1" c="Pipe Insulation, Indoor Hot Water DHW"/>
        <s v="[DimMeasureGroup].[MeasureGroupName].&amp;[Pipe Insulation, Indoor HW Space Heat]" u="1" c="Pipe Insulation, Indoor HW Space Heat"/>
        <s v="[DimMeasureGroup].[MeasureGroupName].&amp;[Pipe Insulation, Indoor LPS Space Heat]" u="1" c="Pipe Insulation, Indoor LPS Space Heat"/>
      </sharedItems>
    </cacheField>
    <cacheField name="[Measures].[Count of Project]" caption="Count of Project" numFmtId="0" hierarchy="1990" level="32767"/>
    <cacheField name="[Measures].[Sum of Quantity]" caption="Sum of Quantity" numFmtId="0" hierarchy="1974" level="32767"/>
    <cacheField name="[DimPMTProject].[Project Type].[Project Type]" caption="Project Type" numFmtId="0" hierarchy="448" level="1">
      <sharedItems count="3">
        <s v="[DimPMTProject].[Project Type].&amp;[Contractor Channel SF]" c="Contractor Channel SF"/>
        <s v="[DimPMTProject].[Project Type].&amp;[SF]" c="SF"/>
        <s v="[DimPMTProject].[Project Type].&amp;[Weatherization - SF]" u="1" c="Weatherization - SF"/>
      </sharedItems>
    </cacheField>
    <cacheField name="[DimDate].[CalendarYear].[CalendarYear]" caption="CalendarYear" numFmtId="0" hierarchy="291" level="1">
      <sharedItems count="4">
        <s v="[DimDate].[CalendarYear].&amp;[2018]" c="2018"/>
        <s v="[DimDate].[CalendarYear].&amp;[2019]" c="2019"/>
        <s v="[DimDate].[CalendarYear].&amp;[2020]" c="2020"/>
        <s v="[DimDate].[CalendarYear].&amp;[2017]" u="1" c="2017"/>
      </sharedItems>
    </cacheField>
    <cacheField name="[DimPMTProject].[Program Year].[Program Year]" caption="Program Year" numFmtId="0" hierarchy="441" level="1">
      <sharedItems containsSemiMixedTypes="0" containsString="0"/>
    </cacheField>
    <cacheField name="[DimPMTProject].[PropertySector].[PropertySector]" caption="PropertySector" numFmtId="0" hierarchy="453" level="1">
      <sharedItems containsSemiMixedTypes="0" containsString="0"/>
    </cacheField>
    <cacheField name="[Measures].[Sum of ActualProgramDollarCost]" caption="Sum of ActualProgramDollarCost" numFmtId="0" hierarchy="1979" level="32767"/>
    <cacheField name="[DimPMTProject].[JointProject].[JointProject]" caption="JointProject" numFmtId="0" hierarchy="402" level="1">
      <sharedItems count="2">
        <s v="[DimPMTProject].[JointProject].&amp;[Gas only]" c="Gas only"/>
        <s v="[DimPMTProject].[JointProject].&amp;[Joint customer]" c="Joint customer"/>
      </sharedItems>
    </cacheField>
    <cacheField name="[Measures].[Sum of GrossAnnualThermSavings]" caption="Sum of GrossAnnualThermSavings" numFmtId="0" hierarchy="1981" level="32767"/>
    <cacheField name="[Measures].[Sum of IncrementalCost]" caption="Sum of IncrementalCost" numFmtId="0" hierarchy="1983" level="32767"/>
  </cacheFields>
  <cacheHierarchies count="2019">
    <cacheHierarchy uniqueName="[Account_Contact].[Account Contact  Bday Date]" caption="Account Contact  Bday Date" attribute="1" defaultMemberUniqueName="[Account_Contact].[Account Contact  Bday Date].[All]" allUniqueName="[Account_Contact].[Account Contact  Bday Date].[All]" dimensionUniqueName="[Account_Contact]" displayFolder="Customer Account" count="0" unbalanced="0"/>
    <cacheHierarchy uniqueName="[Account_Contact].[Account Contact A44 Contact Indicator]" caption="Account Contact A44 Contact Indicator" attribute="1" defaultMemberUniqueName="[Account_Contact].[Account Contact A44 Contact Indicator].[All]" allUniqueName="[Account_Contact].[Account Contact A44 Contact Indicator].[All]" dimensionUniqueName="[Account_Contact]" displayFolder="Customer Account" count="0" unbalanced="0"/>
    <cacheHierarchy uniqueName="[Account_Contact].[Account Contact Address1]" caption="Account Contact Address1" attribute="1" defaultMemberUniqueName="[Account_Contact].[Account Contact Address1].[All]" allUniqueName="[Account_Contact].[Account Contact Address1].[All]" dimensionUniqueName="[Account_Contact]" displayFolder="Customer Account" count="0" unbalanced="0"/>
    <cacheHierarchy uniqueName="[Account_Contact].[Account Contact Address2]" caption="Account Contact Address2" attribute="1" defaultMemberUniqueName="[Account_Contact].[Account Contact Address2].[All]" allUniqueName="[Account_Contact].[Account Contact Address2].[All]" dimensionUniqueName="[Account_Contact]" displayFolder="Customer Account" count="0" unbalanced="0"/>
    <cacheHierarchy uniqueName="[Account_Contact].[Account Contact Cell Phone IsPrimary Code]" caption="Account Contact Cell Phone IsPrimary Code" attribute="1" defaultMemberUniqueName="[Account_Contact].[Account Contact Cell Phone IsPrimary Code].[All]" allUniqueName="[Account_Contact].[Account Contact Cell Phone IsPrimary Code].[All]" dimensionUniqueName="[Account_Contact]" displayFolder="" count="0" unbalanced="0"/>
    <cacheHierarchy uniqueName="[Account_Contact].[Account Contact Cell Phone Number]" caption="Account Contact Cell Phone Number" attribute="1" defaultMemberUniqueName="[Account_Contact].[Account Contact Cell Phone Number].[All]" allUniqueName="[Account_Contact].[Account Contact Cell Phone Number].[All]" dimensionUniqueName="[Account_Contact]" displayFolder="" count="0" unbalanced="0"/>
    <cacheHierarchy uniqueName="[Account_Contact].[Account Contact Cell Phone Verif Code]" caption="Account Contact Cell Phone Verif Code" attribute="1" defaultMemberUniqueName="[Account_Contact].[Account Contact Cell Phone Verif Code].[All]" allUniqueName="[Account_Contact].[Account Contact Cell Phone Verif Code].[All]" dimensionUniqueName="[Account_Contact]" displayFolder="" count="0" unbalanced="0"/>
    <cacheHierarchy uniqueName="[Account_Contact].[Account Contact City Name]" caption="Account Contact City Name" attribute="1" defaultMemberUniqueName="[Account_Contact].[Account Contact City Name].[All]" allUniqueName="[Account_Contact].[Account Contact City Name].[All]" dimensionUniqueName="[Account_Contact]" displayFolder="" count="0" unbalanced="0"/>
    <cacheHierarchy uniqueName="[Account_Contact].[Account Contact Company Code]" caption="Account Contact Company Code" attribute="1" defaultMemberUniqueName="[Account_Contact].[Account Contact Company Code].[All]" allUniqueName="[Account_Contact].[Account Contact Company Code].[All]" dimensionUniqueName="[Account_Contact]" displayFolder="" count="0" unbalanced="0"/>
    <cacheHierarchy uniqueName="[Account_Contact].[Account Contact Company Description]" caption="Account Contact Company Description" attribute="1" defaultMemberUniqueName="[Account_Contact].[Account Contact Company Description].[All]" allUniqueName="[Account_Contact].[Account Contact Company Description].[All]" dimensionUniqueName="[Account_Contact]" displayFolder="" count="0" unbalanced="0"/>
    <cacheHierarchy uniqueName="[Account_Contact].[Account Contact Contact LastService Wk Date]" caption="Account Contact Contact LastService Wk Date" attribute="1" defaultMemberUniqueName="[Account_Contact].[Account Contact Contact LastService Wk Date].[All]" allUniqueName="[Account_Contact].[Account Contact Contact LastService Wk Date].[All]" dimensionUniqueName="[Account_Contact]" displayFolder="" count="0" unbalanced="0"/>
    <cacheHierarchy uniqueName="[Account_Contact].[Account Contact Contact Type Code]" caption="Account Contact Contact Type Code" attribute="1" defaultMemberUniqueName="[Account_Contact].[Account Contact Contact Type Code].[All]" allUniqueName="[Account_Contact].[Account Contact Contact Type Code].[All]" dimensionUniqueName="[Account_Contact]" displayFolder="" count="0" unbalanced="0"/>
    <cacheHierarchy uniqueName="[Account_Contact].[Account Contact Contact Type Description]" caption="Account Contact Contact Type Description" attribute="1" defaultMemberUniqueName="[Account_Contact].[Account Contact Contact Type Description].[All]" allUniqueName="[Account_Contact].[Account Contact Contact Type Description].[All]" dimensionUniqueName="[Account_Contact]" displayFolder="" count="0" unbalanced="0"/>
    <cacheHierarchy uniqueName="[Account_Contact].[Account Contact Do Not Email Indicator]" caption="Account Contact Do Not Email Indicator" attribute="1" defaultMemberUniqueName="[Account_Contact].[Account Contact Do Not Email Indicator].[All]" allUniqueName="[Account_Contact].[Account Contact Do Not Email Indicator].[All]" dimensionUniqueName="[Account_Contact]" displayFolder="" count="0" unbalanced="0"/>
    <cacheHierarchy uniqueName="[Account_Contact].[Account Contact Do Not Mail Indicator]" caption="Account Contact Do Not Mail Indicator" attribute="1" defaultMemberUniqueName="[Account_Contact].[Account Contact Do Not Mail Indicator].[All]" allUniqueName="[Account_Contact].[Account Contact Do Not Mail Indicator].[All]" dimensionUniqueName="[Account_Contact]" displayFolder="" count="0" unbalanced="0"/>
    <cacheHierarchy uniqueName="[Account_Contact].[Account Contact Email Address]" caption="Account Contact Email Address" attribute="1" defaultMemberUniqueName="[Account_Contact].[Account Contact Email Address].[All]" allUniqueName="[Account_Contact].[Account Contact Email Address].[All]" dimensionUniqueName="[Account_Contact]" displayFolder="" count="0" unbalanced="0"/>
    <cacheHierarchy uniqueName="[Account_Contact].[Account Contact Email OptOut Code]" caption="Account Contact Email OptOut Code" attribute="1" defaultMemberUniqueName="[Account_Contact].[Account Contact Email OptOut Code].[All]" allUniqueName="[Account_Contact].[Account Contact Email OptOut Code].[All]" dimensionUniqueName="[Account_Contact]" displayFolder="" count="0" unbalanced="0"/>
    <cacheHierarchy uniqueName="[Account_Contact].[Account Contact Email OptOut Description]" caption="Account Contact Email OptOut Description" attribute="1" defaultMemberUniqueName="[Account_Contact].[Account Contact Email OptOut Description].[All]" allUniqueName="[Account_Contact].[Account Contact Email OptOut Description].[All]" dimensionUniqueName="[Account_Contact]" displayFolder="" count="0" unbalanced="0"/>
    <cacheHierarchy uniqueName="[Account_Contact].[Account Contact FAX Number]" caption="Account Contact FAX Number" attribute="1" defaultMemberUniqueName="[Account_Contact].[Account Contact FAX Number].[All]" allUniqueName="[Account_Contact].[Account Contact FAX Number].[All]" dimensionUniqueName="[Account_Contact]" displayFolder="" count="0" unbalanced="0"/>
    <cacheHierarchy uniqueName="[Account_Contact].[Account Contact Home Phone IsPrimary Code]" caption="Account Contact Home Phone IsPrimary Code" attribute="1" defaultMemberUniqueName="[Account_Contact].[Account Contact Home Phone IsPrimary Code].[All]" allUniqueName="[Account_Contact].[Account Contact Home Phone IsPrimary Code].[All]" dimensionUniqueName="[Account_Contact]" displayFolder="" count="0" unbalanced="0"/>
    <cacheHierarchy uniqueName="[Account_Contact].[Account Contact Home Phone Number]" caption="Account Contact Home Phone Number" attribute="1" defaultMemberUniqueName="[Account_Contact].[Account Contact Home Phone Number].[All]" allUniqueName="[Account_Contact].[Account Contact Home Phone Number].[All]" dimensionUniqueName="[Account_Contact]" displayFolder="" count="0" unbalanced="0"/>
    <cacheHierarchy uniqueName="[Account_Contact].[Account Contact Home Phone Number Ext]" caption="Account Contact Home Phone Number Ext" attribute="1" defaultMemberUniqueName="[Account_Contact].[Account Contact Home Phone Number Ext].[All]" allUniqueName="[Account_Contact].[Account Contact Home Phone Number Ext].[All]" dimensionUniqueName="[Account_Contact]" displayFolder="" count="0" unbalanced="0"/>
    <cacheHierarchy uniqueName="[Account_Contact].[Account Contact Home Phone Verif Code]" caption="Account Contact Home Phone Verif Code" attribute="1" defaultMemberUniqueName="[Account_Contact].[Account Contact Home Phone Verif Code].[All]" allUniqueName="[Account_Contact].[Account Contact Home Phone Verif Code].[All]" dimensionUniqueName="[Account_Contact]" displayFolder="" count="0" unbalanced="0"/>
    <cacheHierarchy uniqueName="[Account_Contact].[Account Contact Invalid Email Code]" caption="Account Contact Invalid Email Code" attribute="1" defaultMemberUniqueName="[Account_Contact].[Account Contact Invalid Email Code].[All]" allUniqueName="[Account_Contact].[Account Contact Invalid Email Code].[All]" dimensionUniqueName="[Account_Contact]" displayFolder="" count="0" unbalanced="0"/>
    <cacheHierarchy uniqueName="[Account_Contact].[Account Contact Other Phone IsPrimary Code]" caption="Account Contact Other Phone IsPrimary Code" attribute="1" defaultMemberUniqueName="[Account_Contact].[Account Contact Other Phone IsPrimary Code].[All]" allUniqueName="[Account_Contact].[Account Contact Other Phone IsPrimary Code].[All]" dimensionUniqueName="[Account_Contact]" displayFolder="" count="0" unbalanced="0"/>
    <cacheHierarchy uniqueName="[Account_Contact].[Account Contact Other Phone Number]" caption="Account Contact Other Phone Number" attribute="1" defaultMemberUniqueName="[Account_Contact].[Account Contact Other Phone Number].[All]" allUniqueName="[Account_Contact].[Account Contact Other Phone Number].[All]" dimensionUniqueName="[Account_Contact]" displayFolder="" count="0" unbalanced="0"/>
    <cacheHierarchy uniqueName="[Account_Contact].[Account Contact Other Phone Verif Code]" caption="Account Contact Other Phone Verif Code" attribute="1" defaultMemberUniqueName="[Account_Contact].[Account Contact Other Phone Verif Code].[All]" allUniqueName="[Account_Contact].[Account Contact Other Phone Verif Code].[All]" dimensionUniqueName="[Account_Contact]" displayFolder="" count="0" unbalanced="0"/>
    <cacheHierarchy uniqueName="[Account_Contact].[Account Contact Person Or Business Code]" caption="Account Contact Person Or Business Code" attribute="1" defaultMemberUniqueName="[Account_Contact].[Account Contact Person Or Business Code].[All]" allUniqueName="[Account_Contact].[Account Contact Person Or Business Code].[All]" dimensionUniqueName="[Account_Contact]" displayFolder="" count="0" unbalanced="0"/>
    <cacheHierarchy uniqueName="[Account_Contact].[Account Contact Person Or Business First Name]" caption="Account Contact Person Or Business First Name" attribute="1" defaultMemberUniqueName="[Account_Contact].[Account Contact Person Or Business First Name].[All]" allUniqueName="[Account_Contact].[Account Contact Person Or Business First Name].[All]" dimensionUniqueName="[Account_Contact]" displayFolder="" count="0" unbalanced="0"/>
    <cacheHierarchy uniqueName="[Account_Contact].[Account Contact Person Or Business Last Name]" caption="Account Contact Person Or Business Last Name" attribute="1" defaultMemberUniqueName="[Account_Contact].[Account Contact Person Or Business Last Name].[All]" allUniqueName="[Account_Contact].[Account Contact Person Or Business Last Name].[All]" dimensionUniqueName="[Account_Contact]" displayFolder="" count="0" unbalanced="0"/>
    <cacheHierarchy uniqueName="[Account_Contact].[Account Contact PersonID]" caption="Account Contact PersonID" attribute="1" defaultMemberUniqueName="[Account_Contact].[Account Contact PersonID].[All]" allUniqueName="[Account_Contact].[Account Contact PersonID].[All]" dimensionUniqueName="[Account_Contact]" displayFolder="" count="0" unbalanced="0"/>
    <cacheHierarchy uniqueName="[Account_Contact].[Account Contact Position Code]" caption="Account Contact Position Code" attribute="1" defaultMemberUniqueName="[Account_Contact].[Account Contact Position Code].[All]" allUniqueName="[Account_Contact].[Account Contact Position Code].[All]" dimensionUniqueName="[Account_Contact]" displayFolder="" count="0" unbalanced="0"/>
    <cacheHierarchy uniqueName="[Account_Contact].[Account Contact Position Description]" caption="Account Contact Position Description" attribute="1" defaultMemberUniqueName="[Account_Contact].[Account Contact Position Description].[All]" allUniqueName="[Account_Contact].[Account Contact Position Description].[All]" dimensionUniqueName="[Account_Contact]" displayFolder="" count="0" unbalanced="0"/>
    <cacheHierarchy uniqueName="[Account_Contact].[Account Contact Postal Code]" caption="Account Contact Postal Code" attribute="1" defaultMemberUniqueName="[Account_Contact].[Account Contact Postal Code].[All]" allUniqueName="[Account_Contact].[Account Contact Postal Code].[All]" dimensionUniqueName="[Account_Contact]" displayFolder="" count="0" unbalanced="0"/>
    <cacheHierarchy uniqueName="[Account_Contact].[Account Contact Priority Code]" caption="Account Contact Priority Code" attribute="1" defaultMemberUniqueName="[Account_Contact].[Account Contact Priority Code].[All]" allUniqueName="[Account_Contact].[Account Contact Priority Code].[All]" dimensionUniqueName="[Account_Contact]" displayFolder="" count="0" unbalanced="0"/>
    <cacheHierarchy uniqueName="[Account_Contact].[Account Contact Priority Description]" caption="Account Contact Priority Description" attribute="1" defaultMemberUniqueName="[Account_Contact].[Account Contact Priority Description].[All]" allUniqueName="[Account_Contact].[Account Contact Priority Description].[All]" dimensionUniqueName="[Account_Contact]" displayFolder="" count="0" unbalanced="0"/>
    <cacheHierarchy uniqueName="[Account_Contact].[Account Contact Referred By]" caption="Account Contact Referred By" attribute="1" defaultMemberUniqueName="[Account_Contact].[Account Contact Referred By].[All]" allUniqueName="[Account_Contact].[Account Contact Referred By].[All]" dimensionUniqueName="[Account_Contact]" displayFolder="" count="0" unbalanced="0"/>
    <cacheHierarchy uniqueName="[Account_Contact].[Account Contact Salesforce MOC ContactID]" caption="Account Contact Salesforce MOC ContactID" attribute="1" defaultMemberUniqueName="[Account_Contact].[Account Contact Salesforce MOC ContactID].[All]" allUniqueName="[Account_Contact].[Account Contact Salesforce MOC ContactID].[All]" dimensionUniqueName="[Account_Contact]" displayFolder="" count="0" unbalanced="0"/>
    <cacheHierarchy uniqueName="[Account_Contact].[Account Contact Source System]" caption="Account Contact Source System" attribute="1" defaultMemberUniqueName="[Account_Contact].[Account Contact Source System].[All]" allUniqueName="[Account_Contact].[Account Contact Source System].[All]" dimensionUniqueName="[Account_Contact]" displayFolder="" count="0" unbalanced="0"/>
    <cacheHierarchy uniqueName="[Account_Contact].[Account Contact State Code]" caption="Account Contact State Code" attribute="1" defaultMemberUniqueName="[Account_Contact].[Account Contact State Code].[All]" allUniqueName="[Account_Contact].[Account Contact State Code].[All]" dimensionUniqueName="[Account_Contact]" displayFolder="" count="0" unbalanced="0"/>
    <cacheHierarchy uniqueName="[Account_Contact].[Account Contact Title]" caption="Account Contact Title" attribute="1" defaultMemberUniqueName="[Account_Contact].[Account Contact Title].[All]" allUniqueName="[Account_Contact].[Account Contact Title].[All]" dimensionUniqueName="[Account_Contact]" displayFolder="" count="0" unbalanced="0"/>
    <cacheHierarchy uniqueName="[Account_Contact].[Account Contact Unique Business Key]" caption="Account Contact Unique Business Key" attribute="1" defaultMemberUniqueName="[Account_Contact].[Account Contact Unique Business Key].[All]" allUniqueName="[Account_Contact].[Account Contact Unique Business Key].[All]" dimensionUniqueName="[Account_Contact]" displayFolder="" count="0" unbalanced="0"/>
    <cacheHierarchy uniqueName="[Account_Contact].[Account Contact Unique Contact Key]" caption="Account Contact Unique Contact Key" attribute="1" defaultMemberUniqueName="[Account_Contact].[Account Contact Unique Contact Key].[All]" allUniqueName="[Account_Contact].[Account Contact Unique Contact Key].[All]" dimensionUniqueName="[Account_Contact]" displayFolder="" count="0" unbalanced="0"/>
    <cacheHierarchy uniqueName="[Account_Contact].[Account Contact Work Phone Extension]" caption="Account Contact Work Phone Extension" attribute="1" defaultMemberUniqueName="[Account_Contact].[Account Contact Work Phone Extension].[All]" allUniqueName="[Account_Contact].[Account Contact Work Phone Extension].[All]" dimensionUniqueName="[Account_Contact]" displayFolder="" count="0" unbalanced="0"/>
    <cacheHierarchy uniqueName="[Account_Contact].[Account Contact Work Phone IsPrimary Code]" caption="Account Contact Work Phone IsPrimary Code" attribute="1" defaultMemberUniqueName="[Account_Contact].[Account Contact Work Phone IsPrimary Code].[All]" allUniqueName="[Account_Contact].[Account Contact Work Phone IsPrimary Code].[All]" dimensionUniqueName="[Account_Contact]" displayFolder="" count="0" unbalanced="0"/>
    <cacheHierarchy uniqueName="[Account_Contact].[Account Contact Work Phone Number]" caption="Account Contact Work Phone Number" attribute="1" defaultMemberUniqueName="[Account_Contact].[Account Contact Work Phone Number].[All]" allUniqueName="[Account_Contact].[Account Contact Work Phone Number].[All]" dimensionUniqueName="[Account_Contact]" displayFolder="" count="0" unbalanced="0"/>
    <cacheHierarchy uniqueName="[Account_Contact].[Account Contact Work Phone Verif Code]" caption="Account Contact Work Phone Verif Code" attribute="1" defaultMemberUniqueName="[Account_Contact].[Account Contact Work Phone Verif Code].[All]" allUniqueName="[Account_Contact].[Account Contact Work Phone Verif Code].[All]" dimensionUniqueName="[Account_Contact]" displayFolder="" count="0" unbalanced="0"/>
    <cacheHierarchy uniqueName="[Account_Contact].[Account Unique Contact Type Code]" caption="Account Unique Contact Type Code" attribute="1" defaultMemberUniqueName="[Account_Contact].[Account Unique Contact Type Code].[All]" allUniqueName="[Account_Contact].[Account Unique Contact Type Code].[All]" dimensionUniqueName="[Account_Contact]" displayFolder="" count="0" unbalanced="0"/>
    <cacheHierarchy uniqueName="[Account_Contact].[Account Unique Contact Type Description]" caption="Account Unique Contact Type Description" attribute="1" defaultMemberUniqueName="[Account_Contact].[Account Unique Contact Type Description].[All]" allUniqueName="[Account_Contact].[Account Unique Contact Type Description].[All]" dimensionUniqueName="[Account_Contact]" displayFolder="" count="0" unbalanced="0"/>
    <cacheHierarchy uniqueName="[Account_Contact].[AccountKey]" caption="AccountKey" attribute="1" defaultMemberUniqueName="[Account_Contact].[AccountKey].[All]" allUniqueName="[Account_Contact].[AccountKey].[All]" dimensionUniqueName="[Account_Contact]" displayFolder="" count="0" unbalanced="0"/>
    <cacheHierarchy uniqueName="[Account_Contact].[ContactKey]" caption="ContactKey" attribute="1" defaultMemberUniqueName="[Account_Contact].[ContactKey].[All]" allUniqueName="[Account_Contact].[ContactKey].[All]" dimensionUniqueName="[Account_Contact]" displayFolder="" count="0" unbalanced="0"/>
    <cacheHierarchy uniqueName="[AccountCountyHierArchy].[AccountCountyCityZip]" caption="AccountCountyCityZip" defaultMemberUniqueName="[AccountCountyHierArchy].[AccountCountyCityZip].[All]" allUniqueName="[AccountCountyHierArchy].[AccountCountyCityZip].[All]" dimensionUniqueName="[AccountCountyHierArchy]" displayFolder="" count="4" unbalanced="0"/>
    <cacheHierarchy uniqueName="[AccountCountyHierArchy].[Service City]" caption="Service City" attribute="1" defaultMemberUniqueName="[AccountCountyHierArchy].[Service City].[All]" allUniqueName="[AccountCountyHierArchy].[Service City].[All]" dimensionUniqueName="[AccountCountyHierArchy]" displayFolder="" count="0" unbalanced="0"/>
    <cacheHierarchy uniqueName="[AccountCountyHierArchy].[Service County]" caption="Service County" attribute="1" defaultMemberUniqueName="[AccountCountyHierArchy].[Service County].[All]" allUniqueName="[AccountCountyHierArchy].[Service County].[All]" dimensionUniqueName="[AccountCountyHierArchy]" displayFolder="" count="0" unbalanced="0"/>
    <cacheHierarchy uniqueName="[AccountCountyHierArchy].[Service Postal Code]" caption="Service Postal Code" attribute="1" defaultMemberUniqueName="[AccountCountyHierArchy].[Service Postal Code].[All]" allUniqueName="[AccountCountyHierArchy].[Service Postal Code].[All]" dimensionUniqueName="[AccountCountyHierArchy]" displayFolder="" count="0" unbalanced="0"/>
    <cacheHierarchy uniqueName="[AcctA44Ranking].[A44 Ranking]" caption="A44 Ranking" attribute="1" defaultMemberUniqueName="[AcctA44Ranking].[A44 Ranking].[All]" allUniqueName="[AcctA44Ranking].[A44 Ranking].[All]" dimensionUniqueName="[AcctA44Ranking]" displayFolder="" count="0" unbalanced="0"/>
    <cacheHierarchy uniqueName="[AcctA44Ranking].[A44 Ranking Description]" caption="A44 Ranking Description" attribute="1" defaultMemberUniqueName="[AcctA44Ranking].[A44 Ranking Description].[All]" allUniqueName="[AcctA44Ranking].[A44 Ranking Description].[All]" dimensionUniqueName="[AcctA44Ranking]" displayFolder="" count="0" unbalanced="0"/>
    <cacheHierarchy uniqueName="[AcctContactRules].[Contact Rules Code]" caption="Contact Rules Code" attribute="1" defaultMemberUniqueName="[AcctContactRules].[Contact Rules Code].[All]" allUniqueName="[AcctContactRules].[Contact Rules Code].[All]" dimensionUniqueName="[AcctContactRules]" displayFolder="" count="0" unbalanced="0"/>
    <cacheHierarchy uniqueName="[AcctContactRules].[Contact Rules Desc]" caption="Contact Rules Desc" attribute="1" defaultMemberUniqueName="[AcctContactRules].[Contact Rules Desc].[All]" allUniqueName="[AcctContactRules].[Contact Rules Desc].[All]" dimensionUniqueName="[AcctContactRules]" displayFolder="" count="0" unbalanced="0"/>
    <cacheHierarchy uniqueName="[AcctDualFuelType].[Dual Fuel Type Code]" caption="Dual Fuel Type Code" attribute="1" defaultMemberUniqueName="[AcctDualFuelType].[Dual Fuel Type Code].[All]" allUniqueName="[AcctDualFuelType].[Dual Fuel Type Code].[All]" dimensionUniqueName="[AcctDualFuelType]" displayFolder="" count="0" unbalanced="0"/>
    <cacheHierarchy uniqueName="[AcctDualFuelType].[Dual Fuel Type Desc]" caption="Dual Fuel Type Desc" attribute="1" defaultMemberUniqueName="[AcctDualFuelType].[Dual Fuel Type Desc].[All]" allUniqueName="[AcctDualFuelType].[Dual Fuel Type Desc].[All]" dimensionUniqueName="[AcctDualFuelType]" displayFolder="" count="0" unbalanced="0"/>
    <cacheHierarchy uniqueName="[AcctGasLDC].[Gas LDC Code]" caption="Gas LDC Code" attribute="1" defaultMemberUniqueName="[AcctGasLDC].[Gas LDC Code].[All]" allUniqueName="[AcctGasLDC].[Gas LDC Code].[All]" dimensionUniqueName="[AcctGasLDC]" displayFolder="" count="0" unbalanced="0"/>
    <cacheHierarchy uniqueName="[AcctGasLDC].[Gas LDC Desc]" caption="Gas LDC Desc" attribute="1" defaultMemberUniqueName="[AcctGasLDC].[Gas LDC Desc].[All]" allUniqueName="[AcctGasLDC].[Gas LDC Desc].[All]" dimensionUniqueName="[AcctGasLDC]" displayFolder="" count="0" unbalanced="0"/>
    <cacheHierarchy uniqueName="[AcctMarketCode].[Acct Market Code]" caption="Acct Market Code" attribute="1" defaultMemberUniqueName="[AcctMarketCode].[Acct Market Code].[All]" allUniqueName="[AcctMarketCode].[Acct Market Code].[All]" dimensionUniqueName="[AcctMarketCode]" displayFolder="" count="0" unbalanced="0"/>
    <cacheHierarchy uniqueName="[AcctMarketCode].[Acct Market Desc]" caption="Acct Market Desc" attribute="1" defaultMemberUniqueName="[AcctMarketCode].[Acct Market Desc].[All]" allUniqueName="[AcctMarketCode].[Acct Market Desc].[All]" dimensionUniqueName="[AcctMarketCode]" displayFolder="" count="0" unbalanced="0"/>
    <cacheHierarchy uniqueName="[AcctNAICSVerificationDate].[HierNAICSVerificationDatePY]" caption="HierNAICSVerificationDatePY" defaultMemberUniqueName="[AcctNAICSVerificationDate].[HierNAICSVerificationDatePY].[All]" allUniqueName="[AcctNAICSVerificationDate].[HierNAICSVerificationDatePY].[All]" dimensionUniqueName="[AcctNAICSVerificationDate]" displayFolder="" count="4" unbalanced="0"/>
    <cacheHierarchy uniqueName="[AcctNAICSVerificationDate].[HierNAICSVerificationDateYear]" caption="HierNAICSVerificationDateYear" defaultMemberUniqueName="[AcctNAICSVerificationDate].[HierNAICSVerificationDateYear].[All]" allUniqueName="[AcctNAICSVerificationDate].[HierNAICSVerificationDateYear].[All]" dimensionUniqueName="[AcctNAICSVerificationDate]" displayFolder="" count="4" unbalanced="0"/>
    <cacheHierarchy uniqueName="[AcctNAICSVerificationDate].[NAICS Date]" caption="NAICS Date" attribute="1" defaultMemberUniqueName="[AcctNAICSVerificationDate].[NAICS Date].[All]" allUniqueName="[AcctNAICSVerificationDate].[NAICS Date].[All]" dimensionUniqueName="[AcctNAICSVerificationDate]" displayFolder="" count="0" unbalanced="0"/>
    <cacheHierarchy uniqueName="[AcctNAICSVerificationDate].[NAICS Day Of Month]" caption="NAICS Day Of Month" attribute="1" defaultMemberUniqueName="[AcctNAICSVerificationDate].[NAICS Day Of Month].[All]" allUniqueName="[AcctNAICSVerificationDate].[NAICS Day Of Month].[All]" dimensionUniqueName="[AcctNAICSVerificationDate]" displayFolder="" count="0" unbalanced="0"/>
    <cacheHierarchy uniqueName="[AcctNAICSVerificationDate].[NAICS Day Of Week]" caption="NAICS Day Of Week" attribute="1" defaultMemberUniqueName="[AcctNAICSVerificationDate].[NAICS Day Of Week].[All]" allUniqueName="[AcctNAICSVerificationDate].[NAICS Day Of Week].[All]" dimensionUniqueName="[AcctNAICSVerificationDate]" displayFolder="" count="0" unbalanced="0"/>
    <cacheHierarchy uniqueName="[AcctNAICSVerificationDate].[NAICS Day Of Week Name]" caption="NAICS Day Of Week Name" attribute="1" defaultMemberUniqueName="[AcctNAICSVerificationDate].[NAICS Day Of Week Name].[All]" allUniqueName="[AcctNAICSVerificationDate].[NAICS Day Of Week Name].[All]" dimensionUniqueName="[AcctNAICSVerificationDate]" displayFolder="" count="0" unbalanced="0"/>
    <cacheHierarchy uniqueName="[AcctNAICSVerificationDate].[NAICS Day Of Year]" caption="NAICS Day Of Year" attribute="1" defaultMemberUniqueName="[AcctNAICSVerificationDate].[NAICS Day Of Year].[All]" allUniqueName="[AcctNAICSVerificationDate].[NAICS Day Of Year].[All]" dimensionUniqueName="[AcctNAICSVerificationDate]" displayFolder="" count="0" unbalanced="0"/>
    <cacheHierarchy uniqueName="[AcctNAICSVerificationDate].[NAICS Holiday Ind]" caption="NAICS Holiday Ind" attribute="1" defaultMemberUniqueName="[AcctNAICSVerificationDate].[NAICS Holiday Ind].[All]" allUniqueName="[AcctNAICSVerificationDate].[NAICS Holiday Ind].[All]" dimensionUniqueName="[AcctNAICSVerificationDate]" displayFolder="" count="0" unbalanced="0"/>
    <cacheHierarchy uniqueName="[AcctNAICSVerificationDate].[NAICS Holiday Name]" caption="NAICS Holiday Name" attribute="1" defaultMemberUniqueName="[AcctNAICSVerificationDate].[NAICS Holiday Name].[All]" allUniqueName="[AcctNAICSVerificationDate].[NAICS Holiday Name].[All]" dimensionUniqueName="[AcctNAICSVerificationDate]" displayFolder="" count="0" unbalanced="0"/>
    <cacheHierarchy uniqueName="[AcctNAICSVerificationDate].[NAICS Last Date Of Month]" caption="NAICS Last Date Of Month" attribute="1" defaultMemberUniqueName="[AcctNAICSVerificationDate].[NAICS Last Date Of Month].[All]" allUniqueName="[AcctNAICSVerificationDate].[NAICS Last Date Of Month].[All]" dimensionUniqueName="[AcctNAICSVerificationDate]" displayFolder="" count="0" unbalanced="0"/>
    <cacheHierarchy uniqueName="[AcctNAICSVerificationDate].[NAICS Last Day Of Month Indicator]" caption="NAICS Last Day Of Month Indicator" attribute="1" defaultMemberUniqueName="[AcctNAICSVerificationDate].[NAICS Last Day Of Month Indicator].[All]" allUniqueName="[AcctNAICSVerificationDate].[NAICS Last Day Of Month Indicator].[All]" dimensionUniqueName="[AcctNAICSVerificationDate]" displayFolder="" count="0" unbalanced="0"/>
    <cacheHierarchy uniqueName="[AcctNAICSVerificationDate].[NAICS Month]" caption="NAICS Month" attribute="1" defaultMemberUniqueName="[AcctNAICSVerificationDate].[NAICS Month].[All]" allUniqueName="[AcctNAICSVerificationDate].[NAICS Month].[All]" dimensionUniqueName="[AcctNAICSVerificationDate]" displayFolder="" count="0" unbalanced="0"/>
    <cacheHierarchy uniqueName="[AcctNAICSVerificationDate].[NAICS Month Nbr]" caption="NAICS Month Nbr" attribute="1" defaultMemberUniqueName="[AcctNAICSVerificationDate].[NAICS Month Nbr].[All]" allUniqueName="[AcctNAICSVerificationDate].[NAICS Month Nbr].[All]" dimensionUniqueName="[AcctNAICSVerificationDate]" displayFolder="" count="0" unbalanced="0"/>
    <cacheHierarchy uniqueName="[AcctNAICSVerificationDate].[NAICS Plan Month and Year]" caption="NAICS Plan Month and Year" attribute="1" defaultMemberUniqueName="[AcctNAICSVerificationDate].[NAICS Plan Month and Year].[All]" allUniqueName="[AcctNAICSVerificationDate].[NAICS Plan Month and Year].[All]" dimensionUniqueName="[AcctNAICSVerificationDate]" displayFolder="" count="0" unbalanced="0"/>
    <cacheHierarchy uniqueName="[AcctNAICSVerificationDate].[NAICS Plan Month Number]" caption="NAICS Plan Month Number" attribute="1" defaultMemberUniqueName="[AcctNAICSVerificationDate].[NAICS Plan Month Number].[All]" allUniqueName="[AcctNAICSVerificationDate].[NAICS Plan Month Number].[All]" dimensionUniqueName="[AcctNAICSVerificationDate]" displayFolder="" count="0" unbalanced="0"/>
    <cacheHierarchy uniqueName="[AcctNAICSVerificationDate].[NAICS Plan Quarter Number]" caption="NAICS Plan Quarter Number" attribute="1" defaultMemberUniqueName="[AcctNAICSVerificationDate].[NAICS Plan Quarter Number].[All]" allUniqueName="[AcctNAICSVerificationDate].[NAICS Plan Quarter Number].[All]" dimensionUniqueName="[AcctNAICSVerificationDate]" displayFolder="" count="0" unbalanced="0"/>
    <cacheHierarchy uniqueName="[AcctNAICSVerificationDate].[NAICS PY]" caption="NAICS PY" attribute="1" defaultMemberUniqueName="[AcctNAICSVerificationDate].[NAICS PY].[All]" allUniqueName="[AcctNAICSVerificationDate].[NAICS PY].[All]" dimensionUniqueName="[AcctNAICSVerificationDate]" displayFolder="" count="0" unbalanced="0"/>
    <cacheHierarchy uniqueName="[AcctNAICSVerificationDate].[NAICS Qtr]" caption="NAICS Qtr" attribute="1" defaultMemberUniqueName="[AcctNAICSVerificationDate].[NAICS Qtr].[All]" allUniqueName="[AcctNAICSVerificationDate].[NAICS Qtr].[All]" dimensionUniqueName="[AcctNAICSVerificationDate]" displayFolder="" count="0" unbalanced="0"/>
    <cacheHierarchy uniqueName="[AcctNAICSVerificationDate].[NAICS Semester]" caption="NAICS Semester" attribute="1" defaultMemberUniqueName="[AcctNAICSVerificationDate].[NAICS Semester].[All]" allUniqueName="[AcctNAICSVerificationDate].[NAICS Semester].[All]" dimensionUniqueName="[AcctNAICSVerificationDate]" displayFolder="" count="0" unbalanced="0"/>
    <cacheHierarchy uniqueName="[AcctNAICSVerificationDate].[NAICS Week Of Month]" caption="NAICS Week Of Month" attribute="1" defaultMemberUniqueName="[AcctNAICSVerificationDate].[NAICS Week Of Month].[All]" allUniqueName="[AcctNAICSVerificationDate].[NAICS Week Of Month].[All]" dimensionUniqueName="[AcctNAICSVerificationDate]" displayFolder="" count="0" unbalanced="0"/>
    <cacheHierarchy uniqueName="[AcctNAICSVerificationDate].[NAICS Weekday Weekend]" caption="NAICS Weekday Weekend" attribute="1" defaultMemberUniqueName="[AcctNAICSVerificationDate].[NAICS Weekday Weekend].[All]" allUniqueName="[AcctNAICSVerificationDate].[NAICS Weekday Weekend].[All]" dimensionUniqueName="[AcctNAICSVerificationDate]" displayFolder="" count="0" unbalanced="0"/>
    <cacheHierarchy uniqueName="[AcctNAICSVerificationDate].[NAICS WeekOfYear]" caption="NAICS WeekOfYear" attribute="1" defaultMemberUniqueName="[AcctNAICSVerificationDate].[NAICS WeekOfYear].[All]" allUniqueName="[AcctNAICSVerificationDate].[NAICS WeekOfYear].[All]" dimensionUniqueName="[AcctNAICSVerificationDate]" displayFolder="" count="0" unbalanced="0"/>
    <cacheHierarchy uniqueName="[AcctNAICSVerificationDate].[NAICS Working Day Ind]" caption="NAICS Working Day Ind" attribute="1" defaultMemberUniqueName="[AcctNAICSVerificationDate].[NAICS Working Day Ind].[All]" allUniqueName="[AcctNAICSVerificationDate].[NAICS Working Day Ind].[All]" dimensionUniqueName="[AcctNAICSVerificationDate]" displayFolder="" count="0" unbalanced="0"/>
    <cacheHierarchy uniqueName="[AcctNAICSVerificationDate].[NAICS Year]" caption="NAICS Year" attribute="1" defaultMemberUniqueName="[AcctNAICSVerificationDate].[NAICS Year].[All]" allUniqueName="[AcctNAICSVerificationDate].[NAICS Year].[All]" dimensionUniqueName="[AcctNAICSVerificationDate]" displayFolder="" count="0" unbalanced="0"/>
    <cacheHierarchy uniqueName="[AcctNAICSVerificationDate].[NAICS Year Month As Integer]" caption="NAICS Year Month As Integer" attribute="1" defaultMemberUniqueName="[AcctNAICSVerificationDate].[NAICS Year Month As Integer].[All]" allUniqueName="[AcctNAICSVerificationDate].[NAICS Year Month As Integer].[All]" dimensionUniqueName="[AcctNAICSVerificationDate]" displayFolder="" count="0" unbalanced="0"/>
    <cacheHierarchy uniqueName="[AcctNAICSVerificationDate].[NAICS Year Quarter As Integer]" caption="NAICS Year Quarter As Integer" attribute="1" defaultMemberUniqueName="[AcctNAICSVerificationDate].[NAICS Year Quarter As Integer].[All]" allUniqueName="[AcctNAICSVerificationDate].[NAICS Year Quarter As Integer].[All]" dimensionUniqueName="[AcctNAICSVerificationDate]" displayFolder="" count="0" unbalanced="0"/>
    <cacheHierarchy uniqueName="[AcctNAICSVerificationDate].[NAICS Year Semester As Integer]" caption="NAICS Year Semester As Integer" attribute="1" defaultMemberUniqueName="[AcctNAICSVerificationDate].[NAICS Year Semester As Integer].[All]" allUniqueName="[AcctNAICSVerificationDate].[NAICS Year Semester As Integer].[All]" dimensionUniqueName="[AcctNAICSVerificationDate]" displayFolder="" count="0" unbalanced="0"/>
    <cacheHierarchy uniqueName="[AcctUsageLevelFilter].[Usage Tier]" caption="Usage Tier" attribute="1" defaultMemberUniqueName="[AcctUsageLevelFilter].[Usage Tier].[All]" allUniqueName="[AcctUsageLevelFilter].[Usage Tier].[All]" dimensionUniqueName="[AcctUsageLevelFilter]" displayFolder="" count="0" unbalanced="0"/>
    <cacheHierarchy uniqueName="[Budget ProgramYear].[Budget Date]" caption="Budget Date" attribute="1" defaultMemberUniqueName="[Budget ProgramYear].[Budget Date].[All]" allUniqueName="[Budget ProgramYear].[Budget Date].[All]" dimensionUniqueName="[Budget ProgramYear]" displayFolder="" count="0" unbalanced="0"/>
    <cacheHierarchy uniqueName="[Budget ProgramYear].[Budget DayOfMonth]" caption="Budget DayOfMonth" attribute="1" defaultMemberUniqueName="[Budget ProgramYear].[Budget DayOfMonth].[All]" allUniqueName="[Budget ProgramYear].[Budget DayOfMonth].[All]" dimensionUniqueName="[Budget ProgramYear]" displayFolder="" count="0" unbalanced="0"/>
    <cacheHierarchy uniqueName="[Budget ProgramYear].[Budget DayOfWeek]" caption="Budget DayOfWeek" attribute="1" defaultMemberUniqueName="[Budget ProgramYear].[Budget DayOfWeek].[All]" allUniqueName="[Budget ProgramYear].[Budget DayOfWeek].[All]" dimensionUniqueName="[Budget ProgramYear]" displayFolder="" count="0" unbalanced="0"/>
    <cacheHierarchy uniqueName="[Budget ProgramYear].[Budget DayOfWeekName]" caption="Budget DayOfWeekName" attribute="1" defaultMemberUniqueName="[Budget ProgramYear].[Budget DayOfWeekName].[All]" allUniqueName="[Budget ProgramYear].[Budget DayOfWeekName].[All]" dimensionUniqueName="[Budget ProgramYear]" displayFolder="" count="0" unbalanced="0"/>
    <cacheHierarchy uniqueName="[Budget ProgramYear].[Budget DayOfYear]" caption="Budget DayOfYear" attribute="1" defaultMemberUniqueName="[Budget ProgramYear].[Budget DayOfYear].[All]" allUniqueName="[Budget ProgramYear].[Budget DayOfYear].[All]" dimensionUniqueName="[Budget ProgramYear]" displayFolder="" count="0" unbalanced="0"/>
    <cacheHierarchy uniqueName="[Budget ProgramYear].[Budget HolidayInd]" caption="Budget HolidayInd" attribute="1" defaultMemberUniqueName="[Budget ProgramYear].[Budget HolidayInd].[All]" allUniqueName="[Budget ProgramYear].[Budget HolidayInd].[All]" dimensionUniqueName="[Budget ProgramYear]" displayFolder="" count="0" unbalanced="0"/>
    <cacheHierarchy uniqueName="[Budget ProgramYear].[Budget HolidayName]" caption="Budget HolidayName" attribute="1" defaultMemberUniqueName="[Budget ProgramYear].[Budget HolidayName].[All]" allUniqueName="[Budget ProgramYear].[Budget HolidayName].[All]" dimensionUniqueName="[Budget ProgramYear]" displayFolder="" count="0" unbalanced="0"/>
    <cacheHierarchy uniqueName="[Budget ProgramYear].[Budget LastDateOfMonth]" caption="Budget LastDateOfMonth" attribute="1" defaultMemberUniqueName="[Budget ProgramYear].[Budget LastDateOfMonth].[All]" allUniqueName="[Budget ProgramYear].[Budget LastDateOfMonth].[All]" dimensionUniqueName="[Budget ProgramYear]" displayFolder="" count="0" unbalanced="0"/>
    <cacheHierarchy uniqueName="[Budget ProgramYear].[Budget LastDayOfMonthIndicator]" caption="Budget LastDayOfMonthIndicator" attribute="1" defaultMemberUniqueName="[Budget ProgramYear].[Budget LastDayOfMonthIndicator].[All]" allUniqueName="[Budget ProgramYear].[Budget LastDayOfMonthIndicator].[All]" dimensionUniqueName="[Budget ProgramYear]" displayFolder="" count="0" unbalanced="0"/>
    <cacheHierarchy uniqueName="[Budget ProgramYear].[Budget Month]" caption="Budget Month" attribute="1" defaultMemberUniqueName="[Budget ProgramYear].[Budget Month].[All]" allUniqueName="[Budget ProgramYear].[Budget Month].[All]" dimensionUniqueName="[Budget ProgramYear]" displayFolder="" count="0" unbalanced="0"/>
    <cacheHierarchy uniqueName="[Budget ProgramYear].[Budget MonthNbr]" caption="Budget MonthNbr" attribute="1" defaultMemberUniqueName="[Budget ProgramYear].[Budget MonthNbr].[All]" allUniqueName="[Budget ProgramYear].[Budget MonthNbr].[All]" dimensionUniqueName="[Budget ProgramYear]" displayFolder="" count="0" unbalanced="0"/>
    <cacheHierarchy uniqueName="[Budget ProgramYear].[Budget Plan Month and Year]" caption="Budget Plan Month and Year" attribute="1" defaultMemberUniqueName="[Budget ProgramYear].[Budget Plan Month and Year].[All]" allUniqueName="[Budget ProgramYear].[Budget Plan Month and Year].[All]" dimensionUniqueName="[Budget ProgramYear]" displayFolder="" count="0" unbalanced="0"/>
    <cacheHierarchy uniqueName="[Budget ProgramYear].[Budget Plan Month Number]" caption="Budget Plan Month Number" attribute="1" defaultMemberUniqueName="[Budget ProgramYear].[Budget Plan Month Number].[All]" allUniqueName="[Budget ProgramYear].[Budget Plan Month Number].[All]" dimensionUniqueName="[Budget ProgramYear]" displayFolder="" count="0" unbalanced="0"/>
    <cacheHierarchy uniqueName="[Budget ProgramYear].[Budget Plan Quarter Number]" caption="Budget Plan Quarter Number" attribute="1" defaultMemberUniqueName="[Budget ProgramYear].[Budget Plan Quarter Number].[All]" allUniqueName="[Budget ProgramYear].[Budget Plan Quarter Number].[All]" dimensionUniqueName="[Budget ProgramYear]" displayFolder="" count="0" unbalanced="0"/>
    <cacheHierarchy uniqueName="[Budget ProgramYear].[Budget PQ]" caption="Budget PQ" attribute="1" defaultMemberUniqueName="[Budget ProgramYear].[Budget PQ].[All]" allUniqueName="[Budget ProgramYear].[Budget PQ].[All]" dimensionUniqueName="[Budget ProgramYear]" displayFolder="" count="0" unbalanced="0"/>
    <cacheHierarchy uniqueName="[Budget ProgramYear].[Budget PY]" caption="Budget PY" attribute="1" defaultMemberUniqueName="[Budget ProgramYear].[Budget PY].[All]" allUniqueName="[Budget ProgramYear].[Budget PY].[All]" dimensionUniqueName="[Budget ProgramYear]" displayFolder="" count="0" unbalanced="0"/>
    <cacheHierarchy uniqueName="[Budget ProgramYear].[Budget Qtr]" caption="Budget Qtr" attribute="1" defaultMemberUniqueName="[Budget ProgramYear].[Budget Qtr].[All]" allUniqueName="[Budget ProgramYear].[Budget Qtr].[All]" dimensionUniqueName="[Budget ProgramYear]" displayFolder="" count="0" unbalanced="0"/>
    <cacheHierarchy uniqueName="[Budget ProgramYear].[Budget Semester]" caption="Budget Semester" attribute="1" defaultMemberUniqueName="[Budget ProgramYear].[Budget Semester].[All]" allUniqueName="[Budget ProgramYear].[Budget Semester].[All]" dimensionUniqueName="[Budget ProgramYear]" displayFolder="" count="0" unbalanced="0"/>
    <cacheHierarchy uniqueName="[Budget ProgramYear].[Budget WeekdayWeekend]" caption="Budget WeekdayWeekend" attribute="1" defaultMemberUniqueName="[Budget ProgramYear].[Budget WeekdayWeekend].[All]" allUniqueName="[Budget ProgramYear].[Budget WeekdayWeekend].[All]" dimensionUniqueName="[Budget ProgramYear]" displayFolder="" count="0" unbalanced="0"/>
    <cacheHierarchy uniqueName="[Budget ProgramYear].[Budget WeekOfMonth]" caption="Budget WeekOfMonth" attribute="1" defaultMemberUniqueName="[Budget ProgramYear].[Budget WeekOfMonth].[All]" allUniqueName="[Budget ProgramYear].[Budget WeekOfMonth].[All]" dimensionUniqueName="[Budget ProgramYear]" displayFolder="" count="0" unbalanced="0"/>
    <cacheHierarchy uniqueName="[Budget ProgramYear].[Budget WeekOfYear]" caption="Budget WeekOfYear" attribute="1" defaultMemberUniqueName="[Budget ProgramYear].[Budget WeekOfYear].[All]" allUniqueName="[Budget ProgramYear].[Budget WeekOfYear].[All]" dimensionUniqueName="[Budget ProgramYear]" displayFolder="" count="0" unbalanced="0"/>
    <cacheHierarchy uniqueName="[Budget ProgramYear].[Budget WorkingDayInd]" caption="Budget WorkingDayInd" attribute="1" defaultMemberUniqueName="[Budget ProgramYear].[Budget WorkingDayInd].[All]" allUniqueName="[Budget ProgramYear].[Budget WorkingDayInd].[All]" dimensionUniqueName="[Budget ProgramYear]" displayFolder="" count="0" unbalanced="0"/>
    <cacheHierarchy uniqueName="[Budget ProgramYear].[Budget Year]" caption="Budget Year" attribute="1" defaultMemberUniqueName="[Budget ProgramYear].[Budget Year].[All]" allUniqueName="[Budget ProgramYear].[Budget Year].[All]" dimensionUniqueName="[Budget ProgramYear]" displayFolder="" count="0" unbalanced="0"/>
    <cacheHierarchy uniqueName="[Budget ProgramYear].[Budget YearMonthAsInteger]" caption="Budget YearMonthAsInteger" attribute="1" defaultMemberUniqueName="[Budget ProgramYear].[Budget YearMonthAsInteger].[All]" allUniqueName="[Budget ProgramYear].[Budget YearMonthAsInteger].[All]" dimensionUniqueName="[Budget ProgramYear]" displayFolder="" count="0" unbalanced="0"/>
    <cacheHierarchy uniqueName="[Budget ProgramYear].[Budget YearQuarterAsInteger]" caption="Budget YearQuarterAsInteger" attribute="1" defaultMemberUniqueName="[Budget ProgramYear].[Budget YearQuarterAsInteger].[All]" allUniqueName="[Budget ProgramYear].[Budget YearQuarterAsInteger].[All]" dimensionUniqueName="[Budget ProgramYear]" displayFolder="" count="0" unbalanced="0"/>
    <cacheHierarchy uniqueName="[Budget ProgramYear].[Budget YearSemesterAsInteger]" caption="Budget YearSemesterAsInteger" attribute="1" defaultMemberUniqueName="[Budget ProgramYear].[Budget YearSemesterAsInteger].[All]" allUniqueName="[Budget ProgramYear].[Budget YearSemesterAsInteger].[All]" dimensionUniqueName="[Budget ProgramYear]" displayFolder="" count="0" unbalanced="0"/>
    <cacheHierarchy uniqueName="[DimAccount].[Account Active Indicator]" caption="Account Active Indicator" attribute="1" defaultMemberUniqueName="[DimAccount].[Account Active Indicator].[All]" allUniqueName="[DimAccount].[Account Active Indicator].[All]" dimensionUniqueName="[DimAccount]" displayFolder="" count="0" unbalanced="0"/>
    <cacheHierarchy uniqueName="[DimAccount].[Account ID]" caption="Account ID" attribute="1" defaultMemberUniqueName="[DimAccount].[Account ID].[All]" allUniqueName="[DimAccount].[Account ID].[All]" dimensionUniqueName="[DimAccount]" displayFolder="" count="0" unbalanced="0"/>
    <cacheHierarchy uniqueName="[DimAccount].[Account Relationship Type Code]" caption="Account Relationship Type Code" attribute="1" defaultMemberUniqueName="[DimAccount].[Account Relationship Type Code].[All]" allUniqueName="[DimAccount].[Account Relationship Type Code].[All]" dimensionUniqueName="[DimAccount]" displayFolder="" count="0" unbalanced="0"/>
    <cacheHierarchy uniqueName="[DimAccount].[Account Setup Date]" caption="Account Setup Date" attribute="1" defaultMemberUniqueName="[DimAccount].[Account Setup Date].[All]" allUniqueName="[DimAccount].[Account Setup Date].[All]" dimensionUniqueName="[DimAccount]" displayFolder="" count="0" unbalanced="0"/>
    <cacheHierarchy uniqueName="[DimAccount].[Addition Year]" caption="Addition Year" attribute="1" defaultMemberUniqueName="[DimAccount].[Addition Year].[All]" allUniqueName="[DimAccount].[Addition Year].[All]" dimensionUniqueName="[DimAccount]" displayFolder="" count="0" unbalanced="0"/>
    <cacheHierarchy uniqueName="[DimAccount].[Building Name]" caption="Building Name" attribute="1" defaultMemberUniqueName="[DimAccount].[Building Name].[All]" allUniqueName="[DimAccount].[Building Name].[All]" dimensionUniqueName="[DimAccount]" displayFolder="" count="0" unbalanced="0"/>
    <cacheHierarchy uniqueName="[DimAccount].[Business Group ID]" caption="Business Group ID" attribute="1" defaultMemberUniqueName="[DimAccount].[Business Group ID].[All]" allUniqueName="[DimAccount].[Business Group ID].[All]" dimensionUniqueName="[DimAccount]" displayFolder="" count="0" unbalanced="0"/>
    <cacheHierarchy uniqueName="[DimAccount].[Business Group Name]" caption="Business Group Name" attribute="1" defaultMemberUniqueName="[DimAccount].[Business Group Name].[All]" allUniqueName="[DimAccount].[Business Group Name].[All]" dimensionUniqueName="[DimAccount]" displayFolder="" count="0" unbalanced="0"/>
    <cacheHierarchy uniqueName="[DimAccount].[Business Hours]" caption="Business Hours" attribute="1" defaultMemberUniqueName="[DimAccount].[Business Hours].[All]" allUniqueName="[DimAccount].[Business Hours].[All]" dimensionUniqueName="[DimAccount]" displayFolder="" count="0" unbalanced="0"/>
    <cacheHierarchy uniqueName="[DimAccount].[Business Load Date]" caption="Business Load Date" attribute="1" defaultMemberUniqueName="[DimAccount].[Business Load Date].[All]" allUniqueName="[DimAccount].[Business Load Date].[All]" dimensionUniqueName="[DimAccount]" displayFolder="" count="0" unbalanced="0"/>
    <cacheHierarchy uniqueName="[DimAccount].[Business Name]" caption="Business Name" attribute="1" defaultMemberUniqueName="[DimAccount].[Business Name].[All]" allUniqueName="[DimAccount].[Business Name].[All]" dimensionUniqueName="[DimAccount]" displayFolder="" count="0" unbalanced="0"/>
    <cacheHierarchy uniqueName="[DimAccount].[Chain Store Indicator]" caption="Chain Store Indicator" attribute="1" defaultMemberUniqueName="[DimAccount].[Chain Store Indicator].[All]" allUniqueName="[DimAccount].[Chain Store Indicator].[All]" dimensionUniqueName="[DimAccount]" displayFolder="" count="0" unbalanced="0"/>
    <cacheHierarchy uniqueName="[DimAccount].[CIS Division]" caption="CIS Division" attribute="1" defaultMemberUniqueName="[DimAccount].[CIS Division].[All]" allUniqueName="[DimAccount].[CIS Division].[All]" dimensionUniqueName="[DimAccount]" displayFolder="" count="0" unbalanced="0"/>
    <cacheHierarchy uniqueName="[DimAccount].[Classification]" caption="Classification" attribute="1" defaultMemberUniqueName="[DimAccount].[Classification].[All]" allUniqueName="[DimAccount].[Classification].[All]" dimensionUniqueName="[DimAccount]" displayFolder="" count="0" unbalanced="0"/>
    <cacheHierarchy uniqueName="[DimAccount].[Co-generation Indicator]" caption="Co-generation Indicator" attribute="1" defaultMemberUniqueName="[DimAccount].[Co-generation Indicator].[All]" allUniqueName="[DimAccount].[Co-generation Indicator].[All]" dimensionUniqueName="[DimAccount]" displayFolder="" count="0" unbalanced="0"/>
    <cacheHierarchy uniqueName="[DimAccount].[CollectionClassCode]" caption="CollectionClassCode" attribute="1" defaultMemberUniqueName="[DimAccount].[CollectionClassCode].[All]" allUniqueName="[DimAccount].[CollectionClassCode].[All]" dimensionUniqueName="[DimAccount]" displayFolder="" count="0" unbalanced="0"/>
    <cacheHierarchy uniqueName="[DimAccount].[Construction Year]" caption="Construction Year" attribute="1" defaultMemberUniqueName="[DimAccount].[Construction Year].[All]" allUniqueName="[DimAccount].[Construction Year].[All]" dimensionUniqueName="[DimAccount]" displayFolder="" count="0" unbalanced="0"/>
    <cacheHierarchy uniqueName="[DimAccount].[CRD Rank]" caption="CRD Rank" attribute="1" defaultMemberUniqueName="[DimAccount].[CRD Rank].[All]" allUniqueName="[DimAccount].[CRD Rank].[All]" dimensionUniqueName="[DimAccount]" displayFolder="" count="0" unbalanced="0"/>
    <cacheHierarchy uniqueName="[DimAccount].[CRD Rep First Name]" caption="CRD Rep First Name" attribute="1" defaultMemberUniqueName="[DimAccount].[CRD Rep First Name].[All]" allUniqueName="[DimAccount].[CRD Rep First Name].[All]" dimensionUniqueName="[DimAccount]" displayFolder="" count="0" unbalanced="0"/>
    <cacheHierarchy uniqueName="[DimAccount].[CRD Rep Last Name]" caption="CRD Rep Last Name" attribute="1" defaultMemberUniqueName="[DimAccount].[CRD Rep Last Name].[All]" allUniqueName="[DimAccount].[CRD Rep Last Name].[All]" dimensionUniqueName="[DimAccount]" displayFolder="" count="0" unbalanced="0"/>
    <cacheHierarchy uniqueName="[DimAccount].[Customer Prospect Indicator]" caption="Customer Prospect Indicator" attribute="1" defaultMemberUniqueName="[DimAccount].[Customer Prospect Indicator].[All]" allUniqueName="[DimAccount].[Customer Prospect Indicator].[All]" dimensionUniqueName="[DimAccount]" displayFolder="" count="0" unbalanced="0"/>
    <cacheHierarchy uniqueName="[DimAccount].[Do Not Email MKT Campaign Code]" caption="Do Not Email MKT Campaign Code" attribute="1" defaultMemberUniqueName="[DimAccount].[Do Not Email MKT Campaign Code].[All]" allUniqueName="[DimAccount].[Do Not Email MKT Campaign Code].[All]" dimensionUniqueName="[DimAccount]" displayFolder="" count="0" unbalanced="0"/>
    <cacheHierarchy uniqueName="[DimAccount].[Do Not Solicit Code]" caption="Do Not Solicit Code" attribute="1" defaultMemberUniqueName="[DimAccount].[Do Not Solicit Code].[All]" allUniqueName="[DimAccount].[Do Not Solicit Code].[All]" dimensionUniqueName="[DimAccount]" displayFolder="" count="0" unbalanced="0"/>
    <cacheHierarchy uniqueName="[DimAccount].[Dua lFuel Indicator]" caption="Dua lFuel Indicator" attribute="1" defaultMemberUniqueName="[DimAccount].[Dua lFuel Indicator].[All]" allUniqueName="[DimAccount].[Dua lFuel Indicator].[All]" dimensionUniqueName="[DimAccount]" displayFolder="" count="0" unbalanced="0"/>
    <cacheHierarchy uniqueName="[DimAccount].[Electric Provider]" caption="Electric Provider" attribute="1" defaultMemberUniqueName="[DimAccount].[Electric Provider].[All]" allUniqueName="[DimAccount].[Electric Provider].[All]" dimensionUniqueName="[DimAccount]" displayFolder="" count="0" unbalanced="0"/>
    <cacheHierarchy uniqueName="[DimAccount].[Energy Efficiency OptOut]" caption="Energy Efficiency OptOut" attribute="1" defaultMemberUniqueName="[DimAccount].[Energy Efficiency OptOut].[All]" allUniqueName="[DimAccount].[Energy Efficiency OptOut].[All]" dimensionUniqueName="[DimAccount]" displayFolder="" count="0" unbalanced="0"/>
    <cacheHierarchy uniqueName="[DimAccount].[Enrolled In Customer Select Code]" caption="Enrolled In Customer Select Code" attribute="1" defaultMemberUniqueName="[DimAccount].[Enrolled In Customer Select Code].[All]" allUniqueName="[DimAccount].[Enrolled In Customer Select Code].[All]" dimensionUniqueName="[DimAccount]" displayFolder="" count="0" unbalanced="0"/>
    <cacheHierarchy uniqueName="[DimAccount].[Enrolled In My Account Code]" caption="Enrolled In My Account Code" attribute="1" defaultMemberUniqueName="[DimAccount].[Enrolled In My Account Code].[All]" allUniqueName="[DimAccount].[Enrolled In My Account Code].[All]" dimensionUniqueName="[DimAccount]" displayFolder="" count="0" unbalanced="0"/>
    <cacheHierarchy uniqueName="[DimAccount].[Fleet Size]" caption="Fleet Size" attribute="1" defaultMemberUniqueName="[DimAccount].[Fleet Size].[All]" allUniqueName="[DimAccount].[Fleet Size].[All]" dimensionUniqueName="[DimAccount]" displayFolder="" count="0" unbalanced="0"/>
    <cacheHierarchy uniqueName="[DimAccount].[GovernmentTypeCode]" caption="GovernmentTypeCode" attribute="1" defaultMemberUniqueName="[DimAccount].[GovernmentTypeCode].[All]" allUniqueName="[DimAccount].[GovernmentTypeCode].[All]" dimensionUniqueName="[DimAccount]" displayFolder="" count="0" unbalanced="0"/>
    <cacheHierarchy uniqueName="[DimAccount].[HERFlag]" caption="HERFlag" attribute="1" defaultMemberUniqueName="[DimAccount].[HERFlag].[All]" allUniqueName="[DimAccount].[HERFlag].[All]" dimensionUniqueName="[DimAccount]" displayFolder="" count="0" unbalanced="0"/>
    <cacheHierarchy uniqueName="[DimAccount].[In Arrears Indicator]" caption="In Arrears Indicator" attribute="1" defaultMemberUniqueName="[DimAccount].[In Arrears Indicator].[All]" allUniqueName="[DimAccount].[In Arrears Indicator].[All]" dimensionUniqueName="[DimAccount]" displayFolder="" count="0" unbalanced="0"/>
    <cacheHierarchy uniqueName="[DimAccount].[In City Limit]" caption="In City Limit" attribute="1" defaultMemberUniqueName="[DimAccount].[In City Limit].[All]" allUniqueName="[DimAccount].[In City Limit].[All]" dimensionUniqueName="[DimAccount]" displayFolder="" count="0" unbalanced="0"/>
    <cacheHierarchy uniqueName="[DimAccount].[Leased Or Owned Indicator]" caption="Leased Or Owned Indicator" attribute="1" defaultMemberUniqueName="[DimAccount].[Leased Or Owned Indicator].[All]" allUniqueName="[DimAccount].[Leased Or Owned Indicator].[All]" dimensionUniqueName="[DimAccount]" displayFolder="" count="0" unbalanced="0"/>
    <cacheHierarchy uniqueName="[DimAccount].[Load Reduction Time To Reduce Hours]" caption="Load Reduction Time To Reduce Hours" attribute="1" defaultMemberUniqueName="[DimAccount].[Load Reduction Time To Reduce Hours].[All]" allUniqueName="[DimAccount].[Load Reduction Time To Reduce Hours].[All]" dimensionUniqueName="[DimAccount]" displayFolder="" count="0" unbalanced="0"/>
    <cacheHierarchy uniqueName="[DimAccount].[Load Reduction Winter Therms Per Day]" caption="Load Reduction Winter Therms Per Day" attribute="1" defaultMemberUniqueName="[DimAccount].[Load Reduction Winter Therms Per Day].[All]" allUniqueName="[DimAccount].[Load Reduction Winter Therms Per Day].[All]" dimensionUniqueName="[DimAccount]" displayFolder="" count="0" unbalanced="0"/>
    <cacheHierarchy uniqueName="[DimAccount].[Location]" caption="Location" attribute="1" defaultMemberUniqueName="[DimAccount].[Location].[All]" allUniqueName="[DimAccount].[Location].[All]" dimensionUniqueName="[DimAccount]" displayFolder="" count="0" unbalanced="0"/>
    <cacheHierarchy uniqueName="[DimAccount].[Meter Number]" caption="Meter Number" attribute="1" defaultMemberUniqueName="[DimAccount].[Meter Number].[All]" allUniqueName="[DimAccount].[Meter Number].[All]" dimensionUniqueName="[DimAccount]" displayFolder="" count="0" unbalanced="0"/>
    <cacheHierarchy uniqueName="[DimAccount].[MeterNumber_CCB]" caption="MeterNumber_CCB" attribute="1" defaultMemberUniqueName="[DimAccount].[MeterNumber_CCB].[All]" allUniqueName="[DimAccount].[MeterNumber_CCB].[All]" dimensionUniqueName="[DimAccount]" displayFolder="" count="0" unbalanced="0"/>
    <cacheHierarchy uniqueName="[DimAccount].[NAICSCode]" caption="NAICSCode" attribute="1" defaultMemberUniqueName="[DimAccount].[NAICSCode].[All]" allUniqueName="[DimAccount].[NAICSCode].[All]" dimensionUniqueName="[DimAccount]" displayFolder="" count="0" unbalanced="0"/>
    <cacheHierarchy uniqueName="[DimAccount].[NAICSCodeDescription]" caption="NAICSCodeDescription" attribute="1" defaultMemberUniqueName="[DimAccount].[NAICSCodeDescription].[All]" allUniqueName="[DimAccount].[NAICSCodeDescription].[All]" dimensionUniqueName="[DimAccount]" displayFolder="" count="0" unbalanced="0"/>
    <cacheHierarchy uniqueName="[DimAccount].[Number Of Beds]" caption="Number Of Beds" attribute="1" defaultMemberUniqueName="[DimAccount].[Number Of Beds].[All]" allUniqueName="[DimAccount].[Number Of Beds].[All]" dimensionUniqueName="[DimAccount]" displayFolder="" count="0" unbalanced="0"/>
    <cacheHierarchy uniqueName="[DimAccount].[Number Of Floors]" caption="Number Of Floors" attribute="1" defaultMemberUniqueName="[DimAccount].[Number Of Floors].[All]" allUniqueName="[DimAccount].[Number Of Floors].[All]" dimensionUniqueName="[DimAccount]" displayFolder="" count="0" unbalanced="0"/>
    <cacheHierarchy uniqueName="[DimAccount].[On-Bill Financing Customer Code]" caption="On-Bill Financing Customer Code" attribute="1" defaultMemberUniqueName="[DimAccount].[On-Bill Financing Customer Code].[All]" allUniqueName="[DimAccount].[On-Bill Financing Customer Code].[All]" dimensionUniqueName="[DimAccount]" displayFolder="" count="0" unbalanced="0"/>
    <cacheHierarchy uniqueName="[DimAccount].[On-Bill Financing Monthly Payment Amount]" caption="On-Bill Financing Monthly Payment Amount" attribute="1" defaultMemberUniqueName="[DimAccount].[On-Bill Financing Monthly Payment Amount].[All]" allUniqueName="[DimAccount].[On-Bill Financing Monthly Payment Amount].[All]" dimensionUniqueName="[DimAccount]" displayFolder="" count="0" unbalanced="0"/>
    <cacheHierarchy uniqueName="[DimAccount].[Operation Hour From Day]" caption="Operation Hour From Day" attribute="1" defaultMemberUniqueName="[DimAccount].[Operation Hour From Day].[All]" allUniqueName="[DimAccount].[Operation Hour From Day].[All]" dimensionUniqueName="[DimAccount]" displayFolder="" count="0" unbalanced="0"/>
    <cacheHierarchy uniqueName="[DimAccount].[Operation Hour From Time]" caption="Operation Hour From Time" attribute="1" defaultMemberUniqueName="[DimAccount].[Operation Hour From Time].[All]" allUniqueName="[DimAccount].[Operation Hour From Time].[All]" dimensionUniqueName="[DimAccount]" displayFolder="" count="0" unbalanced="0"/>
    <cacheHierarchy uniqueName="[DimAccount].[Operation Hour To Day]" caption="Operation Hour To Day" attribute="1" defaultMemberUniqueName="[DimAccount].[Operation Hour To Day].[All]" allUniqueName="[DimAccount].[Operation Hour To Day].[All]" dimensionUniqueName="[DimAccount]" displayFolder="" count="0" unbalanced="0"/>
    <cacheHierarchy uniqueName="[DimAccount].[Operation Hour To Time]" caption="Operation Hour To Time" attribute="1" defaultMemberUniqueName="[DimAccount].[Operation Hour To Time].[All]" allUniqueName="[DimAccount].[Operation Hour To Time].[All]" dimensionUniqueName="[DimAccount]" displayFolder="" count="0" unbalanced="0"/>
    <cacheHierarchy uniqueName="[DimAccount].[Premise ID]" caption="Premise ID" attribute="1" defaultMemberUniqueName="[DimAccount].[Premise ID].[All]" allUniqueName="[DimAccount].[Premise ID].[All]" dimensionUniqueName="[DimAccount]" displayFolder="" count="0" unbalanced="0"/>
    <cacheHierarchy uniqueName="[DimAccount].[Premise Type Code]" caption="Premise Type Code" attribute="1" defaultMemberUniqueName="[DimAccount].[Premise Type Code].[All]" allUniqueName="[DimAccount].[Premise Type Code].[All]" dimensionUniqueName="[DimAccount]" displayFolder="" count="0" unbalanced="0"/>
    <cacheHierarchy uniqueName="[DimAccount].[Primary Meter Indicator]" caption="Primary Meter Indicator" attribute="1" defaultMemberUniqueName="[DimAccount].[Primary Meter Indicator].[All]" allUniqueName="[DimAccount].[Primary Meter Indicator].[All]" dimensionUniqueName="[DimAccount]" displayFolder="" count="0" unbalanced="0"/>
    <cacheHierarchy uniqueName="[DimAccount].[Respondent Name]" caption="Respondent Name" attribute="1" defaultMemberUniqueName="[DimAccount].[Respondent Name].[All]" allUniqueName="[DimAccount].[Respondent Name].[All]" dimensionUniqueName="[DimAccount]" displayFolder="" count="0" unbalanced="0"/>
    <cacheHierarchy uniqueName="[DimAccount].[RIDER30_CD]" caption="RIDER30_CD" attribute="1" defaultMemberUniqueName="[DimAccount].[RIDER30_CD].[All]" allUniqueName="[DimAccount].[RIDER30_CD].[All]" dimensionUniqueName="[DimAccount]" displayFolder="" count="0" unbalanced="0"/>
    <cacheHierarchy uniqueName="[DimAccount].[Sales Rep First Name]" caption="Sales Rep First Name" attribute="1" defaultMemberUniqueName="[DimAccount].[Sales Rep First Name].[All]" allUniqueName="[DimAccount].[Sales Rep First Name].[All]" dimensionUniqueName="[DimAccount]" displayFolder="" count="0" unbalanced="0"/>
    <cacheHierarchy uniqueName="[DimAccount].[Sales Rep Last Name]" caption="Sales Rep Last Name" attribute="1" defaultMemberUniqueName="[DimAccount].[Sales Rep Last Name].[All]" allUniqueName="[DimAccount].[Sales Rep Last Name].[All]" dimensionUniqueName="[DimAccount]" displayFolder="" count="0" unbalanced="0"/>
    <cacheHierarchy uniqueName="[DimAccount].[Service Address1]" caption="Service Address1" attribute="1" defaultMemberUniqueName="[DimAccount].[Service Address1].[All]" allUniqueName="[DimAccount].[Service Address1].[All]" dimensionUniqueName="[DimAccount]" displayFolder="" count="0" unbalanced="0"/>
    <cacheHierarchy uniqueName="[DimAccount].[Service Address2]" caption="Service Address2" attribute="1" defaultMemberUniqueName="[DimAccount].[Service Address2].[All]" allUniqueName="[DimAccount].[Service Address2].[All]" dimensionUniqueName="[DimAccount]" displayFolder="" count="0" unbalanced="0"/>
    <cacheHierarchy uniqueName="[DimAccount].[Service Address3]" caption="Service Address3" attribute="1" defaultMemberUniqueName="[DimAccount].[Service Address3].[All]" allUniqueName="[DimAccount].[Service Address3].[All]" dimensionUniqueName="[DimAccount]" displayFolder="" count="0" unbalanced="0"/>
    <cacheHierarchy uniqueName="[DimAccount].[Service Address4]" caption="Service Address4" attribute="1" defaultMemberUniqueName="[DimAccount].[Service Address4].[All]" allUniqueName="[DimAccount].[Service Address4].[All]" dimensionUniqueName="[DimAccount]" displayFolder="" count="0" unbalanced="0"/>
    <cacheHierarchy uniqueName="[DimAccount].[Service City]" caption="Service City" attribute="1" defaultMemberUniqueName="[DimAccount].[Service City].[All]" allUniqueName="[DimAccount].[Service City].[All]" dimensionUniqueName="[DimAccount]" displayFolder="" count="0" unbalanced="0"/>
    <cacheHierarchy uniqueName="[DimAccount].[Service State]" caption="Service State" attribute="1" defaultMemberUniqueName="[DimAccount].[Service State].[All]" allUniqueName="[DimAccount].[Service State].[All]" dimensionUniqueName="[DimAccount]" displayFolder="" count="0" unbalanced="0"/>
    <cacheHierarchy uniqueName="[DimAccount].[Service Zip]" caption="Service Zip" attribute="1" defaultMemberUniqueName="[DimAccount].[Service Zip].[All]" allUniqueName="[DimAccount].[Service Zip].[All]" dimensionUniqueName="[DimAccount]" displayFolder="" count="0" unbalanced="0"/>
    <cacheHierarchy uniqueName="[DimAccount].[SIC Code]" caption="SIC Code" attribute="1" defaultMemberUniqueName="[DimAccount].[SIC Code].[All]" allUniqueName="[DimAccount].[SIC Code].[All]" dimensionUniqueName="[DimAccount]" displayFolder="" count="0" unbalanced="0"/>
    <cacheHierarchy uniqueName="[DimAccount].[Total Square Footage]" caption="Total Square Footage" attribute="1" defaultMemberUniqueName="[DimAccount].[Total Square Footage].[All]" allUniqueName="[DimAccount].[Total Square Footage].[All]" dimensionUniqueName="[DimAccount]" displayFolder="" count="0" unbalanced="0"/>
    <cacheHierarchy uniqueName="[DimAccount].[Unique Business Key]" caption="Unique Business Key" attribute="1" defaultMemberUniqueName="[DimAccount].[Unique Business Key].[All]" allUniqueName="[DimAccount].[Unique Business Key].[All]" dimensionUniqueName="[DimAccount]" displayFolder="" count="0" unbalanced="0"/>
    <cacheHierarchy uniqueName="[DimAccount].[Web Address Unique]" caption="Web Address Unique" attribute="1" defaultMemberUniqueName="[DimAccount].[Web Address Unique].[All]" allUniqueName="[DimAccount].[Web Address Unique].[All]" dimensionUniqueName="[DimAccount]" displayFolder="" count="0" unbalanced="0"/>
    <cacheHierarchy uniqueName="[DimAccountingCodeCostClassification].[AccountingCode]" caption="AccountingCode" attribute="1" defaultMemberUniqueName="[DimAccountingCodeCostClassification].[AccountingCode].[All]" allUniqueName="[DimAccountingCodeCostClassification].[AccountingCode].[All]" dimensionUniqueName="[DimAccountingCodeCostClassification]" displayFolder="" count="0" unbalanced="0"/>
    <cacheHierarchy uniqueName="[DimAccountingCodeCostClassification].[AccountingCodeDescription]" caption="AccountingCodeDescription" attribute="1" defaultMemberUniqueName="[DimAccountingCodeCostClassification].[AccountingCodeDescription].[All]" allUniqueName="[DimAccountingCodeCostClassification].[AccountingCodeDescription].[All]" dimensionUniqueName="[DimAccountingCodeCostClassification]" displayFolder="" count="0" unbalanced="0"/>
    <cacheHierarchy uniqueName="[DimAccountingCodeCostClassification].[CostClassification]" caption="CostClassification" attribute="1" defaultMemberUniqueName="[DimAccountingCodeCostClassification].[CostClassification].[All]" allUniqueName="[DimAccountingCodeCostClassification].[CostClassification].[All]" dimensionUniqueName="[DimAccountingCodeCostClassification]" displayFolder="" count="0" unbalanced="0"/>
    <cacheHierarchy uniqueName="[DimAccountingCodeProgramName].[AccountingCode]" caption="AccountingCode" attribute="1" defaultMemberUniqueName="[DimAccountingCodeProgramName].[AccountingCode].[All]" allUniqueName="[DimAccountingCodeProgramName].[AccountingCode].[All]" dimensionUniqueName="[DimAccountingCodeProgramName]" displayFolder="" count="0" unbalanced="0"/>
    <cacheHierarchy uniqueName="[DimAccountingCodeProgramName].[NewProgramName]" caption="NewProgramName" attribute="1" defaultMemberUniqueName="[DimAccountingCodeProgramName].[NewProgramName].[All]" allUniqueName="[DimAccountingCodeProgramName].[NewProgramName].[All]" dimensionUniqueName="[DimAccountingCodeProgramName]" displayFolder="" count="0" unbalanced="0"/>
    <cacheHierarchy uniqueName="[DimAccountingCodeProgramName].[ProgramName]" caption="ProgramName" attribute="1" defaultMemberUniqueName="[DimAccountingCodeProgramName].[ProgramName].[All]" allUniqueName="[DimAccountingCodeProgramName].[ProgramName].[All]" dimensionUniqueName="[DimAccountingCodeProgramName]" displayFolder="" count="0" unbalanced="0"/>
    <cacheHierarchy uniqueName="[DimAccountUsageLevel].[GasRateSchedule]" caption="GasRateSchedule" attribute="1" defaultMemberUniqueName="[DimAccountUsageLevel].[GasRateSchedule].[All]" allUniqueName="[DimAccountUsageLevel].[GasRateSchedule].[All]" dimensionUniqueName="[DimAccountUsageLevel]" displayFolder="" count="0" unbalanced="0"/>
    <cacheHierarchy uniqueName="[DimAccountUsageLevel].[RateScheduleCode]" caption="RateScheduleCode" attribute="1" defaultMemberUniqueName="[DimAccountUsageLevel].[RateScheduleCode].[All]" allUniqueName="[DimAccountUsageLevel].[RateScheduleCode].[All]" dimensionUniqueName="[DimAccountUsageLevel]" displayFolder="" count="0" unbalanced="0"/>
    <cacheHierarchy uniqueName="[DimAccountUsageLevel].[ServiceAgreementTypeCode]" caption="ServiceAgreementTypeCode" attribute="1" defaultMemberUniqueName="[DimAccountUsageLevel].[ServiceAgreementTypeCode].[All]" allUniqueName="[DimAccountUsageLevel].[ServiceAgreementTypeCode].[All]" dimensionUniqueName="[DimAccountUsageLevel]" displayFolder="" count="0" unbalanced="0"/>
    <cacheHierarchy uniqueName="[DimAccountUsageLevel].[ServiceAgreementTypeDesc]" caption="ServiceAgreementTypeDesc" attribute="1" defaultMemberUniqueName="[DimAccountUsageLevel].[ServiceAgreementTypeDesc].[All]" allUniqueName="[DimAccountUsageLevel].[ServiceAgreementTypeDesc].[All]" dimensionUniqueName="[DimAccountUsageLevel]" displayFolder="" count="0" unbalanced="0"/>
    <cacheHierarchy uniqueName="[DimAccountUsageLevel].[Usage Tier]" caption="Usage Tier" attribute="1" defaultMemberUniqueName="[DimAccountUsageLevel].[Usage Tier].[All]" allUniqueName="[DimAccountUsageLevel].[Usage Tier].[All]" dimensionUniqueName="[DimAccountUsageLevel]" displayFolder="" count="0" unbalanced="0"/>
    <cacheHierarchy uniqueName="[DimAccountUsageLevel].[UsageTierOrder]" caption="UsageTierOrder" attribute="1" defaultMemberUniqueName="[DimAccountUsageLevel].[UsageTierOrder].[All]" allUniqueName="[DimAccountUsageLevel].[UsageTierOrder].[All]" dimensionUniqueName="[DimAccountUsageLevel]" displayFolder="" count="0" unbalanced="0"/>
    <cacheHierarchy uniqueName="[DimAccountUsageLevel].[UsageTotal]" caption="UsageTotal" attribute="1" defaultMemberUniqueName="[DimAccountUsageLevel].[UsageTotal].[All]" allUniqueName="[DimAccountUsageLevel].[UsageTotal].[All]" dimensionUniqueName="[DimAccountUsageLevel]" displayFolder="" count="0" unbalanced="0"/>
    <cacheHierarchy uniqueName="[DimBuildingType].[Building Type Code]" caption="Building Type Code" attribute="1" defaultMemberUniqueName="[DimBuildingType].[Building Type Code].[All]" allUniqueName="[DimBuildingType].[Building Type Code].[All]" dimensionUniqueName="[DimBuildingType]" displayFolder="" count="0" unbalanced="0"/>
    <cacheHierarchy uniqueName="[DimBusinessAccountSegment].[AccountID]" caption="AccountID" attribute="1" defaultMemberUniqueName="[DimBusinessAccountSegment].[AccountID].[All]" allUniqueName="[DimBusinessAccountSegment].[AccountID].[All]" dimensionUniqueName="[DimBusinessAccountSegment]" displayFolder="" count="0" unbalanced="0"/>
    <cacheHierarchy uniqueName="[DimBusinessAccountSegment].[AllNAICSCodes]" caption="AllNAICSCodes" attribute="1" defaultMemberUniqueName="[DimBusinessAccountSegment].[AllNAICSCodes].[All]" allUniqueName="[DimBusinessAccountSegment].[AllNAICSCodes].[All]" dimensionUniqueName="[DimBusinessAccountSegment]" displayFolder="" count="0" unbalanced="0"/>
    <cacheHierarchy uniqueName="[DimBusinessAccountSegment].[AllUSSICCodes]" caption="AllUSSICCodes" attribute="1" defaultMemberUniqueName="[DimBusinessAccountSegment].[AllUSSICCodes].[All]" allUniqueName="[DimBusinessAccountSegment].[AllUSSICCodes].[All]" dimensionUniqueName="[DimBusinessAccountSegment]" displayFolder="" count="0" unbalanced="0"/>
    <cacheHierarchy uniqueName="[DimBusinessAccountSegment].[BusinessName]" caption="BusinessName" attribute="1" defaultMemberUniqueName="[DimBusinessAccountSegment].[BusinessName].[All]" allUniqueName="[DimBusinessAccountSegment].[BusinessName].[All]" dimensionUniqueName="[DimBusinessAccountSegment]" displayFolder="" count="0" unbalanced="0"/>
    <cacheHierarchy uniqueName="[DimBusinessAccountSegment].[CompanyName]" caption="CompanyName" attribute="1" defaultMemberUniqueName="[DimBusinessAccountSegment].[CompanyName].[All]" allUniqueName="[DimBusinessAccountSegment].[CompanyName].[All]" dimensionUniqueName="[DimBusinessAccountSegment]" displayFolder="" count="0" unbalanced="0"/>
    <cacheHierarchy uniqueName="[DimBusinessAccountSegment].[DNBPrescreenScore]" caption="DNBPrescreenScore" attribute="1" defaultMemberUniqueName="[DimBusinessAccountSegment].[DNBPrescreenScore].[All]" allUniqueName="[DimBusinessAccountSegment].[DNBPrescreenScore].[All]" dimensionUniqueName="[DimBusinessAccountSegment]" displayFolder="" count="0" unbalanced="0"/>
    <cacheHierarchy uniqueName="[DimBusinessAccountSegment].[FacilitySizeSqFt]" caption="FacilitySizeSqFt" attribute="1" defaultMemberUniqueName="[DimBusinessAccountSegment].[FacilitySizeSqFt].[All]" allUniqueName="[DimBusinessAccountSegment].[FacilitySizeSqFt].[All]" dimensionUniqueName="[DimBusinessAccountSegment]" displayFolder="" count="0" unbalanced="0"/>
    <cacheHierarchy uniqueName="[DimBusinessAccountSegment].[LineOfBusiness]" caption="LineOfBusiness" attribute="1" defaultMemberUniqueName="[DimBusinessAccountSegment].[LineOfBusiness].[All]" allUniqueName="[DimBusinessAccountSegment].[LineOfBusiness].[All]" dimensionUniqueName="[DimBusinessAccountSegment]" displayFolder="" count="0" unbalanced="0"/>
    <cacheHierarchy uniqueName="[DimBusinessAccountSegment].[LocationType]" caption="LocationType" attribute="1" defaultMemberUniqueName="[DimBusinessAccountSegment].[LocationType].[All]" allUniqueName="[DimBusinessAccountSegment].[LocationType].[All]" dimensionUniqueName="[DimBusinessAccountSegment]" displayFolder="" count="0" unbalanced="0"/>
    <cacheHierarchy uniqueName="[DimBusinessAccountSegment].[Manufacturing]" caption="Manufacturing" attribute="1" defaultMemberUniqueName="[DimBusinessAccountSegment].[Manufacturing].[All]" allUniqueName="[DimBusinessAccountSegment].[Manufacturing].[All]" dimensionUniqueName="[DimBusinessAccountSegment]" displayFolder="" count="0" unbalanced="0"/>
    <cacheHierarchy uniqueName="[DimBusinessAccountSegment].[MinorityOwned]" caption="MinorityOwned" attribute="1" defaultMemberUniqueName="[DimBusinessAccountSegment].[MinorityOwned].[All]" allUniqueName="[DimBusinessAccountSegment].[MinorityOwned].[All]" dimensionUniqueName="[DimBusinessAccountSegment]" displayFolder="" count="0" unbalanced="0"/>
    <cacheHierarchy uniqueName="[DimBusinessAccountSegment].[PhoneNumber]" caption="PhoneNumber" attribute="1" defaultMemberUniqueName="[DimBusinessAccountSegment].[PhoneNumber].[All]" allUniqueName="[DimBusinessAccountSegment].[PhoneNumber].[All]" dimensionUniqueName="[DimBusinessAccountSegment]" displayFolder="" count="0" unbalanced="0"/>
    <cacheHierarchy uniqueName="[DimBusinessAccountSegment].[PrimaryAddress1]" caption="PrimaryAddress1" attribute="1" defaultMemberUniqueName="[DimBusinessAccountSegment].[PrimaryAddress1].[All]" allUniqueName="[DimBusinessAccountSegment].[PrimaryAddress1].[All]" dimensionUniqueName="[DimBusinessAccountSegment]" displayFolder="" count="0" unbalanced="0"/>
    <cacheHierarchy uniqueName="[DimBusinessAccountSegment].[PrimaryAddress2]" caption="PrimaryAddress2" attribute="1" defaultMemberUniqueName="[DimBusinessAccountSegment].[PrimaryAddress2].[All]" allUniqueName="[DimBusinessAccountSegment].[PrimaryAddress2].[All]" dimensionUniqueName="[DimBusinessAccountSegment]" displayFolder="" count="0" unbalanced="0"/>
    <cacheHierarchy uniqueName="[DimBusinessAccountSegment].[PrimaryCity]" caption="PrimaryCity" attribute="1" defaultMemberUniqueName="[DimBusinessAccountSegment].[PrimaryCity].[All]" allUniqueName="[DimBusinessAccountSegment].[PrimaryCity].[All]" dimensionUniqueName="[DimBusinessAccountSegment]" displayFolder="" count="0" unbalanced="0"/>
    <cacheHierarchy uniqueName="[DimBusinessAccountSegment].[PrimaryCounty]" caption="PrimaryCounty" attribute="1" defaultMemberUniqueName="[DimBusinessAccountSegment].[PrimaryCounty].[All]" allUniqueName="[DimBusinessAccountSegment].[PrimaryCounty].[All]" dimensionUniqueName="[DimBusinessAccountSegment]" displayFolder="" count="0" unbalanced="0"/>
    <cacheHierarchy uniqueName="[DimBusinessAccountSegment].[PrimaryIndustry]" caption="PrimaryIndustry" attribute="1" defaultMemberUniqueName="[DimBusinessAccountSegment].[PrimaryIndustry].[All]" allUniqueName="[DimBusinessAccountSegment].[PrimaryIndustry].[All]" dimensionUniqueName="[DimBusinessAccountSegment]" displayFolder="" count="0" unbalanced="0"/>
    <cacheHierarchy uniqueName="[DimBusinessAccountSegment].[PrimaryState]" caption="PrimaryState" attribute="1" defaultMemberUniqueName="[DimBusinessAccountSegment].[PrimaryState].[All]" allUniqueName="[DimBusinessAccountSegment].[PrimaryState].[All]" dimensionUniqueName="[DimBusinessAccountSegment]" displayFolder="" count="0" unbalanced="0"/>
    <cacheHierarchy uniqueName="[DimBusinessAccountSegment].[PrimaryUSNAICSCode]" caption="PrimaryUSNAICSCode" attribute="1" defaultMemberUniqueName="[DimBusinessAccountSegment].[PrimaryUSNAICSCode].[All]" allUniqueName="[DimBusinessAccountSegment].[PrimaryUSNAICSCode].[All]" dimensionUniqueName="[DimBusinessAccountSegment]" displayFolder="" count="0" unbalanced="0"/>
    <cacheHierarchy uniqueName="[DimBusinessAccountSegment].[PrimaryUSNAICSCodeDescription]" caption="PrimaryUSNAICSCodeDescription" attribute="1" defaultMemberUniqueName="[DimBusinessAccountSegment].[PrimaryUSNAICSCodeDescription].[All]" allUniqueName="[DimBusinessAccountSegment].[PrimaryUSNAICSCodeDescription].[All]" dimensionUniqueName="[DimBusinessAccountSegment]" displayFolder="" count="0" unbalanced="0"/>
    <cacheHierarchy uniqueName="[DimBusinessAccountSegment].[PrimaryUSSICCode]" caption="PrimaryUSSICCode" attribute="1" defaultMemberUniqueName="[DimBusinessAccountSegment].[PrimaryUSSICCode].[All]" allUniqueName="[DimBusinessAccountSegment].[PrimaryUSSICCode].[All]" dimensionUniqueName="[DimBusinessAccountSegment]" displayFolder="" count="0" unbalanced="0"/>
    <cacheHierarchy uniqueName="[DimBusinessAccountSegment].[PrimaryZip]" caption="PrimaryZip" attribute="1" defaultMemberUniqueName="[DimBusinessAccountSegment].[PrimaryZip].[All]" allUniqueName="[DimBusinessAccountSegment].[PrimaryZip].[All]" dimensionUniqueName="[DimBusinessAccountSegment]" displayFolder="" count="0" unbalanced="0"/>
    <cacheHierarchy uniqueName="[DimBusinessAccountSegment].[PrimaryZipExt]" caption="PrimaryZipExt" attribute="1" defaultMemberUniqueName="[DimBusinessAccountSegment].[PrimaryZipExt].[All]" allUniqueName="[DimBusinessAccountSegment].[PrimaryZipExt].[All]" dimensionUniqueName="[DimBusinessAccountSegment]" displayFolder="" count="0" unbalanced="0"/>
    <cacheHierarchy uniqueName="[DimBusinessAccountSegment].[RevenueGrowth]" caption="RevenueGrowth" attribute="1" defaultMemberUniqueName="[DimBusinessAccountSegment].[RevenueGrowth].[All]" allUniqueName="[DimBusinessAccountSegment].[RevenueGrowth].[All]" dimensionUniqueName="[DimBusinessAccountSegment]" displayFolder="" count="0" unbalanced="0"/>
    <cacheHierarchy uniqueName="[DimBusinessAccountSegment].[Revenues]" caption="Revenues" attribute="1" defaultMemberUniqueName="[DimBusinessAccountSegment].[Revenues].[All]" allUniqueName="[DimBusinessAccountSegment].[Revenues].[All]" dimensionUniqueName="[DimBusinessAccountSegment]" displayFolder="" count="0" unbalanced="0"/>
    <cacheHierarchy uniqueName="[DimBusinessAccountSegment].[Subsidiary]" caption="Subsidiary" attribute="1" defaultMemberUniqueName="[DimBusinessAccountSegment].[Subsidiary].[All]" allUniqueName="[DimBusinessAccountSegment].[Subsidiary].[All]" dimensionUniqueName="[DimBusinessAccountSegment]" displayFolder="" count="0" unbalanced="0"/>
    <cacheHierarchy uniqueName="[DimBusinessAccountSegment].[WomenOwned]" caption="WomenOwned" attribute="1" defaultMemberUniqueName="[DimBusinessAccountSegment].[WomenOwned].[All]" allUniqueName="[DimBusinessAccountSegment].[WomenOwned].[All]" dimensionUniqueName="[DimBusinessAccountSegment]" displayFolder="" count="0" unbalanced="0"/>
    <cacheHierarchy uniqueName="[DimBusinessAccountSegment].[YearofFounding]" caption="YearofFounding" attribute="1" defaultMemberUniqueName="[DimBusinessAccountSegment].[YearofFounding].[All]" allUniqueName="[DimBusinessAccountSegment].[YearofFounding].[All]" dimensionUniqueName="[DimBusinessAccountSegment]" displayFolder="" count="0" unbalanced="0"/>
    <cacheHierarchy uniqueName="[DimBusinessPremiseSegment].[AbsenteeOwnerIndicator]" caption="AbsenteeOwnerIndicator" attribute="1" defaultMemberUniqueName="[DimBusinessPremiseSegment].[AbsenteeOwnerIndicator].[All]" allUniqueName="[DimBusinessPremiseSegment].[AbsenteeOwnerIndicator].[All]" dimensionUniqueName="[DimBusinessPremiseSegment]" displayFolder="" count="0" unbalanced="0"/>
    <cacheHierarchy uniqueName="[DimBusinessPremiseSegment].[BasementSqFootage]" caption="BasementSqFootage" attribute="1" defaultMemberUniqueName="[DimBusinessPremiseSegment].[BasementSqFootage].[All]" allUniqueName="[DimBusinessPremiseSegment].[BasementSqFootage].[All]" dimensionUniqueName="[DimBusinessPremiseSegment]" displayFolder="" count="0" unbalanced="0"/>
    <cacheHierarchy uniqueName="[DimBusinessPremiseSegment].[BasementType]" caption="BasementType" attribute="1" defaultMemberUniqueName="[DimBusinessPremiseSegment].[BasementType].[All]" allUniqueName="[DimBusinessPremiseSegment].[BasementType].[All]" dimensionUniqueName="[DimBusinessPremiseSegment]" displayFolder="" count="0" unbalanced="0"/>
    <cacheHierarchy uniqueName="[DimBusinessPremiseSegment].[BuildingSquareFeet]" caption="BuildingSquareFeet" attribute="1" defaultMemberUniqueName="[DimBusinessPremiseSegment].[BuildingSquareFeet].[All]" allUniqueName="[DimBusinessPremiseSegment].[BuildingSquareFeet].[All]" dimensionUniqueName="[DimBusinessPremiseSegment]" displayFolder="" count="0" unbalanced="0"/>
    <cacheHierarchy uniqueName="[DimBusinessPremiseSegment].[BuildingSquareFootage]" caption="BuildingSquareFootage" attribute="1" defaultMemberUniqueName="[DimBusinessPremiseSegment].[BuildingSquareFootage].[All]" allUniqueName="[DimBusinessPremiseSegment].[BuildingSquareFootage].[All]" dimensionUniqueName="[DimBusinessPremiseSegment]" displayFolder="" count="0" unbalanced="0"/>
    <cacheHierarchy uniqueName="[DimBusinessPremiseSegment].[BuildingType]" caption="BuildingType" attribute="1" defaultMemberUniqueName="[DimBusinessPremiseSegment].[BuildingType].[All]" allUniqueName="[DimBusinessPremiseSegment].[BuildingType].[All]" dimensionUniqueName="[DimBusinessPremiseSegment]" displayFolder="" count="0" unbalanced="0"/>
    <cacheHierarchy uniqueName="[DimBusinessPremiseSegment].[BusinessOwnerIndicator]" caption="BusinessOwnerIndicator" attribute="1" defaultMemberUniqueName="[DimBusinessPremiseSegment].[BusinessOwnerIndicator].[All]" allUniqueName="[DimBusinessPremiseSegment].[BusinessOwnerIndicator].[All]" dimensionUniqueName="[DimBusinessPremiseSegment]" displayFolder="" count="0" unbalanced="0"/>
    <cacheHierarchy uniqueName="[DimBusinessPremiseSegment].[EffectiveYearBuilt]" caption="EffectiveYearBuilt" attribute="1" defaultMemberUniqueName="[DimBusinessPremiseSegment].[EffectiveYearBuilt].[All]" allUniqueName="[DimBusinessPremiseSegment].[EffectiveYearBuilt].[All]" dimensionUniqueName="[DimBusinessPremiseSegment]" displayFolder="" count="0" unbalanced="0"/>
    <cacheHierarchy uniqueName="[DimBusinessPremiseSegment].[EquityInProperty]" caption="EquityInProperty" attribute="1" defaultMemberUniqueName="[DimBusinessPremiseSegment].[EquityInProperty].[All]" allUniqueName="[DimBusinessPremiseSegment].[EquityInProperty].[All]" dimensionUniqueName="[DimBusinessPremiseSegment]" displayFolder="" count="0" unbalanced="0"/>
    <cacheHierarchy uniqueName="[DimBusinessPremiseSegment].[ExteriorWallsType]" caption="ExteriorWallsType" attribute="1" defaultMemberUniqueName="[DimBusinessPremiseSegment].[ExteriorWallsType].[All]" allUniqueName="[DimBusinessPremiseSegment].[ExteriorWallsType].[All]" dimensionUniqueName="[DimBusinessPremiseSegment]" displayFolder="" count="0" unbalanced="0"/>
    <cacheHierarchy uniqueName="[DimBusinessPremiseSegment].[FloorConstructionType]" caption="FloorConstructionType" attribute="1" defaultMemberUniqueName="[DimBusinessPremiseSegment].[FloorConstructionType].[All]" allUniqueName="[DimBusinessPremiseSegment].[FloorConstructionType].[All]" dimensionUniqueName="[DimBusinessPremiseSegment]" displayFolder="" count="0" unbalanced="0"/>
    <cacheHierarchy uniqueName="[DimBusinessPremiseSegment].[HeatingFuelType]" caption="HeatingFuelType" attribute="1" defaultMemberUniqueName="[DimBusinessPremiseSegment].[HeatingFuelType].[All]" allUniqueName="[DimBusinessPremiseSegment].[HeatingFuelType].[All]" dimensionUniqueName="[DimBusinessPremiseSegment]" displayFolder="" count="0" unbalanced="0"/>
    <cacheHierarchy uniqueName="[DimBusinessPremiseSegment].[LandSquareFeet]" caption="LandSquareFeet" attribute="1" defaultMemberUniqueName="[DimBusinessPremiseSegment].[LandSquareFeet].[All]" allUniqueName="[DimBusinessPremiseSegment].[LandSquareFeet].[All]" dimensionUniqueName="[DimBusinessPremiseSegment]" displayFolder="" count="0" unbalanced="0"/>
    <cacheHierarchy uniqueName="[DimBusinessPremiseSegment].[LandUseCode]" caption="LandUseCode" attribute="1" defaultMemberUniqueName="[DimBusinessPremiseSegment].[LandUseCode].[All]" allUniqueName="[DimBusinessPremiseSegment].[LandUseCode].[All]" dimensionUniqueName="[DimBusinessPremiseSegment]" displayFolder="" count="0" unbalanced="0"/>
    <cacheHierarchy uniqueName="[DimBusinessPremiseSegment].[Latitude]" caption="Latitude" attribute="1" defaultMemberUniqueName="[DimBusinessPremiseSegment].[Latitude].[All]" allUniqueName="[DimBusinessPremiseSegment].[Latitude].[All]" dimensionUniqueName="[DimBusinessPremiseSegment]" displayFolder="" count="0" unbalanced="0"/>
    <cacheHierarchy uniqueName="[DimBusinessPremiseSegment].[LivingSquarefeet]" caption="LivingSquarefeet" attribute="1" defaultMemberUniqueName="[DimBusinessPremiseSegment].[LivingSquarefeet].[All]" allUniqueName="[DimBusinessPremiseSegment].[LivingSquarefeet].[All]" dimensionUniqueName="[DimBusinessPremiseSegment]" displayFolder="" count="0" unbalanced="0"/>
    <cacheHierarchy uniqueName="[DimBusinessPremiseSegment].[Longitude]" caption="Longitude" attribute="1" defaultMemberUniqueName="[DimBusinessPremiseSegment].[Longitude].[All]" allUniqueName="[DimBusinessPremiseSegment].[Longitude].[All]" dimensionUniqueName="[DimBusinessPremiseSegment]" displayFolder="" count="0" unbalanced="0"/>
    <cacheHierarchy uniqueName="[DimBusinessPremiseSegment].[MethodofHeating]" caption="MethodofHeating" attribute="1" defaultMemberUniqueName="[DimBusinessPremiseSegment].[MethodofHeating].[All]" allUniqueName="[DimBusinessPremiseSegment].[MethodofHeating].[All]" dimensionUniqueName="[DimBusinessPremiseSegment]" displayFolder="" count="0" unbalanced="0"/>
    <cacheHierarchy uniqueName="[DimBusinessPremiseSegment].[NameofMunicipality]" caption="NameofMunicipality" attribute="1" defaultMemberUniqueName="[DimBusinessPremiseSegment].[NameofMunicipality].[All]" allUniqueName="[DimBusinessPremiseSegment].[NameofMunicipality].[All]" dimensionUniqueName="[DimBusinessPremiseSegment]" displayFolder="" count="0" unbalanced="0"/>
    <cacheHierarchy uniqueName="[DimBusinessPremiseSegment].[NumberofBuildings]" caption="NumberofBuildings" attribute="1" defaultMemberUniqueName="[DimBusinessPremiseSegment].[NumberofBuildings].[All]" allUniqueName="[DimBusinessPremiseSegment].[NumberofBuildings].[All]" dimensionUniqueName="[DimBusinessPremiseSegment]" displayFolder="" count="0" unbalanced="0"/>
    <cacheHierarchy uniqueName="[DimBusinessPremiseSegment].[NumberofFireplaceOpenings]" caption="NumberofFireplaceOpenings" attribute="1" defaultMemberUniqueName="[DimBusinessPremiseSegment].[NumberofFireplaceOpenings].[All]" allUniqueName="[DimBusinessPremiseSegment].[NumberofFireplaceOpenings].[All]" dimensionUniqueName="[DimBusinessPremiseSegment]" displayFolder="" count="0" unbalanced="0"/>
    <cacheHierarchy uniqueName="[DimBusinessPremiseSegment].[NumberofStories]" caption="NumberofStories" attribute="1" defaultMemberUniqueName="[DimBusinessPremiseSegment].[NumberofStories].[All]" allUniqueName="[DimBusinessPremiseSegment].[NumberofStories].[All]" dimensionUniqueName="[DimBusinessPremiseSegment]" displayFolder="" count="0" unbalanced="0"/>
    <cacheHierarchy uniqueName="[DimBusinessPremiseSegment].[NumberofStoriesinBuilding]" caption="NumberofStoriesinBuilding" attribute="1" defaultMemberUniqueName="[DimBusinessPremiseSegment].[NumberofStoriesinBuilding].[All]" allUniqueName="[DimBusinessPremiseSegment].[NumberofStoriesinBuilding].[All]" dimensionUniqueName="[DimBusinessPremiseSegment]" displayFolder="" count="0" unbalanced="0"/>
    <cacheHierarchy uniqueName="[DimBusinessPremiseSegment].[OwnerType]" caption="OwnerType" attribute="1" defaultMemberUniqueName="[DimBusinessPremiseSegment].[OwnerType].[All]" allUniqueName="[DimBusinessPremiseSegment].[OwnerType].[All]" dimensionUniqueName="[DimBusinessPremiseSegment]" displayFolder="" count="0" unbalanced="0"/>
    <cacheHierarchy uniqueName="[DimBusinessPremiseSegment].[PoolType]" caption="PoolType" attribute="1" defaultMemberUniqueName="[DimBusinessPremiseSegment].[PoolType].[All]" allUniqueName="[DimBusinessPremiseSegment].[PoolType].[All]" dimensionUniqueName="[DimBusinessPremiseSegment]" displayFolder="" count="0" unbalanced="0"/>
    <cacheHierarchy uniqueName="[DimBusinessPremiseSegment].[PresenceofFireplace]" caption="PresenceofFireplace" attribute="1" defaultMemberUniqueName="[DimBusinessPremiseSegment].[PresenceofFireplace].[All]" allUniqueName="[DimBusinessPremiseSegment].[PresenceofFireplace].[All]" dimensionUniqueName="[DimBusinessPremiseSegment]" displayFolder="" count="0" unbalanced="0"/>
    <cacheHierarchy uniqueName="[DimBusinessPremiseSegment].[PresenceofPool]" caption="PresenceofPool" attribute="1" defaultMemberUniqueName="[DimBusinessPremiseSegment].[PresenceofPool].[All]" allUniqueName="[DimBusinessPremiseSegment].[PresenceofPool].[All]" dimensionUniqueName="[DimBusinessPremiseSegment]" displayFolder="" count="0" unbalanced="0"/>
    <cacheHierarchy uniqueName="[DimBusinessPremiseSegment].[PrimaryImprovementType]" caption="PrimaryImprovementType" attribute="1" defaultMemberUniqueName="[DimBusinessPremiseSegment].[PrimaryImprovementType].[All]" allUniqueName="[DimBusinessPremiseSegment].[PrimaryImprovementType].[All]" dimensionUniqueName="[DimBusinessPremiseSegment]" displayFolder="" count="0" unbalanced="0"/>
    <cacheHierarchy uniqueName="[DimBusinessPremiseSegment].[PropertyCondition]" caption="PropertyCondition" attribute="1" defaultMemberUniqueName="[DimBusinessPremiseSegment].[PropertyCondition].[All]" allUniqueName="[DimBusinessPremiseSegment].[PropertyCondition].[All]" dimensionUniqueName="[DimBusinessPremiseSegment]" displayFolder="" count="0" unbalanced="0"/>
    <cacheHierarchy uniqueName="[DimBusinessPremiseSegment].[PropertyTypeIndicator]" caption="PropertyTypeIndicator" attribute="1" defaultMemberUniqueName="[DimBusinessPremiseSegment].[PropertyTypeIndicator].[All]" allUniqueName="[DimBusinessPremiseSegment].[PropertyTypeIndicator].[All]" dimensionUniqueName="[DimBusinessPremiseSegment]" displayFolder="" count="0" unbalanced="0"/>
    <cacheHierarchy uniqueName="[DimBusinessPremiseSegment].[RefiType]" caption="RefiType" attribute="1" defaultMemberUniqueName="[DimBusinessPremiseSegment].[RefiType].[All]" allUniqueName="[DimBusinessPremiseSegment].[RefiType].[All]" dimensionUniqueName="[DimBusinessPremiseSegment]" displayFolder="" count="0" unbalanced="0"/>
    <cacheHierarchy uniqueName="[DimBusinessPremiseSegment].[ResidentialBased]" caption="ResidentialBased" attribute="1" defaultMemberUniqueName="[DimBusinessPremiseSegment].[ResidentialBased].[All]" allUniqueName="[DimBusinessPremiseSegment].[ResidentialBased].[All]" dimensionUniqueName="[DimBusinessPremiseSegment]" displayFolder="" count="0" unbalanced="0"/>
    <cacheHierarchy uniqueName="[DimBusinessPremiseSegment].[RoofType]" caption="RoofType" attribute="1" defaultMemberUniqueName="[DimBusinessPremiseSegment].[RoofType].[All]" allUniqueName="[DimBusinessPremiseSegment].[RoofType].[All]" dimensionUniqueName="[DimBusinessPremiseSegment]" displayFolder="" count="0" unbalanced="0"/>
    <cacheHierarchy uniqueName="[DimBusinessPremiseSegment].[SaleDate]" caption="SaleDate" attribute="1" defaultMemberUniqueName="[DimBusinessPremiseSegment].[SaleDate].[All]" allUniqueName="[DimBusinessPremiseSegment].[SaleDate].[All]" dimensionUniqueName="[DimBusinessPremiseSegment]" displayFolder="" count="0" unbalanced="0"/>
    <cacheHierarchy uniqueName="[DimBusinessPremiseSegment].[SaleYear]" caption="SaleYear" attribute="1" defaultMemberUniqueName="[DimBusinessPremiseSegment].[SaleYear].[All]" allUniqueName="[DimBusinessPremiseSegment].[SaleYear].[All]" dimensionUniqueName="[DimBusinessPremiseSegment]" displayFolder="" count="0" unbalanced="0"/>
    <cacheHierarchy uniqueName="[DimBusinessPremiseSegment].[SellPrice]" caption="SellPrice" attribute="1" defaultMemberUniqueName="[DimBusinessPremiseSegment].[SellPrice].[All]" allUniqueName="[DimBusinessPremiseSegment].[SellPrice].[All]" dimensionUniqueName="[DimBusinessPremiseSegment]" displayFolder="" count="0" unbalanced="0"/>
    <cacheHierarchy uniqueName="[DimBusinessPremiseSegment].[SewerType]" caption="SewerType" attribute="1" defaultMemberUniqueName="[DimBusinessPremiseSegment].[SewerType].[All]" allUniqueName="[DimBusinessPremiseSegment].[SewerType].[All]" dimensionUniqueName="[DimBusinessPremiseSegment]" displayFolder="" count="0" unbalanced="0"/>
    <cacheHierarchy uniqueName="[DimBusinessPremiseSegment].[SiteAddressIndicator]" caption="SiteAddressIndicator" attribute="1" defaultMemberUniqueName="[DimBusinessPremiseSegment].[SiteAddressIndicator].[All]" allUniqueName="[DimBusinessPremiseSegment].[SiteAddressIndicator].[All]" dimensionUniqueName="[DimBusinessPremiseSegment]" displayFolder="" count="0" unbalanced="0"/>
    <cacheHierarchy uniqueName="[DimBusinessPremiseSegment].[SiteAddressUnitNumber]" caption="SiteAddressUnitNumber" attribute="1" defaultMemberUniqueName="[DimBusinessPremiseSegment].[SiteAddressUnitNumber].[All]" allUniqueName="[DimBusinessPremiseSegment].[SiteAddressUnitNumber].[All]" dimensionUniqueName="[DimBusinessPremiseSegment]" displayFolder="" count="0" unbalanced="0"/>
    <cacheHierarchy uniqueName="[DimBusinessPremiseSegment].[SquareFootTypeIndicator]" caption="SquareFootTypeIndicator" attribute="1" defaultMemberUniqueName="[DimBusinessPremiseSegment].[SquareFootTypeIndicator].[All]" allUniqueName="[DimBusinessPremiseSegment].[SquareFootTypeIndicator].[All]" dimensionUniqueName="[DimBusinessPremiseSegment]" displayFolder="" count="0" unbalanced="0"/>
    <cacheHierarchy uniqueName="[DimBusinessPremiseSegment].[StyleIndicator]" caption="StyleIndicator" attribute="1" defaultMemberUniqueName="[DimBusinessPremiseSegment].[StyleIndicator].[All]" allUniqueName="[DimBusinessPremiseSegment].[StyleIndicator].[All]" dimensionUniqueName="[DimBusinessPremiseSegment]" displayFolder="" count="0" unbalanced="0"/>
    <cacheHierarchy uniqueName="[DimBusinessPremiseSegment].[TotalMarketValue]" caption="TotalMarketValue" attribute="1" defaultMemberUniqueName="[DimBusinessPremiseSegment].[TotalMarketValue].[All]" allUniqueName="[DimBusinessPremiseSegment].[TotalMarketValue].[All]" dimensionUniqueName="[DimBusinessPremiseSegment]" displayFolder="" count="0" unbalanced="0"/>
    <cacheHierarchy uniqueName="[DimBusinessPremiseSegment].[TypeofElectricity]" caption="TypeofElectricity" attribute="1" defaultMemberUniqueName="[DimBusinessPremiseSegment].[TypeofElectricity].[All]" allUniqueName="[DimBusinessPremiseSegment].[TypeofElectricity].[All]" dimensionUniqueName="[DimBusinessPremiseSegment]" displayFolder="" count="0" unbalanced="0"/>
    <cacheHierarchy uniqueName="[DimBusinessPremiseSegment].[TypeofFireplace]" caption="TypeofFireplace" attribute="1" defaultMemberUniqueName="[DimBusinessPremiseSegment].[TypeofFireplace].[All]" allUniqueName="[DimBusinessPremiseSegment].[TypeofFireplace].[All]" dimensionUniqueName="[DimBusinessPremiseSegment]" displayFolder="" count="0" unbalanced="0"/>
    <cacheHierarchy uniqueName="[DimBusinessPremiseSegment].[TypeofFoundation]" caption="TypeofFoundation" attribute="1" defaultMemberUniqueName="[DimBusinessPremiseSegment].[TypeofFoundation].[All]" allUniqueName="[DimBusinessPremiseSegment].[TypeofFoundation].[All]" dimensionUniqueName="[DimBusinessPremiseSegment]" displayFolder="" count="0" unbalanced="0"/>
    <cacheHierarchy uniqueName="[DimBusinessPremiseSegment].[TypeofGarage]" caption="TypeofGarage" attribute="1" defaultMemberUniqueName="[DimBusinessPremiseSegment].[TypeofGarage].[All]" allUniqueName="[DimBusinessPremiseSegment].[TypeofGarage].[All]" dimensionUniqueName="[DimBusinessPremiseSegment]" displayFolder="" count="0" unbalanced="0"/>
    <cacheHierarchy uniqueName="[DimBusinessPremiseSegment].[TypeofRoofFraming]" caption="TypeofRoofFraming" attribute="1" defaultMemberUniqueName="[DimBusinessPremiseSegment].[TypeofRoofFraming].[All]" allUniqueName="[DimBusinessPremiseSegment].[TypeofRoofFraming].[All]" dimensionUniqueName="[DimBusinessPremiseSegment]" displayFolder="" count="0" unbalanced="0"/>
    <cacheHierarchy uniqueName="[DimBusinessPremiseSegment].[WaterSupplyType]" caption="WaterSupplyType" attribute="1" defaultMemberUniqueName="[DimBusinessPremiseSegment].[WaterSupplyType].[All]" allUniqueName="[DimBusinessPremiseSegment].[WaterSupplyType].[All]" dimensionUniqueName="[DimBusinessPremiseSegment]" displayFolder="" count="0" unbalanced="0"/>
    <cacheHierarchy uniqueName="[DimBusinessPremiseSegment].[YearBuilt]" caption="YearBuilt" attribute="1" defaultMemberUniqueName="[DimBusinessPremiseSegment].[YearBuilt].[All]" allUniqueName="[DimBusinessPremiseSegment].[YearBuilt].[All]" dimensionUniqueName="[DimBusinessPremiseSegment]" displayFolder="" count="0" unbalanced="0"/>
    <cacheHierarchy uniqueName="[DimContactMailer].[Mailer Name]" caption="Mailer Name" attribute="1" defaultMemberUniqueName="[DimContactMailer].[Mailer Name].[All]" allUniqueName="[DimContactMailer].[Mailer Name].[All]" dimensionUniqueName="[DimContactMailer]" displayFolder="" count="0" unbalanced="0"/>
    <cacheHierarchy uniqueName="[DimCustomerSelectSupplier].[Customer Select Supplier Code]" caption="Customer Select Supplier Code" attribute="1" defaultMemberUniqueName="[DimCustomerSelectSupplier].[Customer Select Supplier Code].[All]" allUniqueName="[DimCustomerSelectSupplier].[Customer Select Supplier Code].[All]" dimensionUniqueName="[DimCustomerSelectSupplier]" displayFolder="" count="0" unbalanced="0"/>
    <cacheHierarchy uniqueName="[DimCustomerSelectSupplier].[Customer Select Supplier Name]" caption="Customer Select Supplier Name" attribute="1" defaultMemberUniqueName="[DimCustomerSelectSupplier].[Customer Select Supplier Name].[All]" allUniqueName="[DimCustomerSelectSupplier].[Customer Select Supplier Name].[All]" dimensionUniqueName="[DimCustomerSelectSupplier]" displayFolder="" count="0" unbalanced="0"/>
    <cacheHierarchy uniqueName="[DimDate].[CalendarDate]" caption="CalendarDate" attribute="1" time="1" keyAttribute="1" defaultMemberUniqueName="[DimDate].[CalendarDate].[All]" allUniqueName="[DimDate].[CalendarDate].[All]" dimensionUniqueName="[DimDate]" displayFolder="" count="0" memberValueDatatype="7" unbalanced="0"/>
    <cacheHierarchy uniqueName="[DimDate].[CalendarDayOfMonth]" caption="CalendarDayOfMonth" attribute="1" time="1" defaultMemberUniqueName="[DimDate].[CalendarDayOfMonth].[All]" allUniqueName="[DimDate].[CalendarDayOfMonth].[All]" dimensionUniqueName="[DimDate]" displayFolder="" count="0" unbalanced="0"/>
    <cacheHierarchy uniqueName="[DimDate].[CalendarDayOfWeek]" caption="CalendarDayOfWeek" attribute="1" time="1" defaultMemberUniqueName="[DimDate].[CalendarDayOfWeek].[All]" allUniqueName="[DimDate].[CalendarDayOfWeek].[All]" dimensionUniqueName="[DimDate]" displayFolder="" count="0" unbalanced="0"/>
    <cacheHierarchy uniqueName="[DimDate].[CalendarDayOfWeekName]" caption="CalendarDayOfWeekName" attribute="1" time="1" defaultMemberUniqueName="[DimDate].[CalendarDayOfWeekName].[All]" allUniqueName="[DimDate].[CalendarDayOfWeekName].[All]" dimensionUniqueName="[DimDate]" displayFolder="" count="0" unbalanced="0"/>
    <cacheHierarchy uniqueName="[DimDate].[CalendarDayOfYear]" caption="CalendarDayOfYear" attribute="1" time="1" defaultMemberUniqueName="[DimDate].[CalendarDayOfYear].[All]" allUniqueName="[DimDate].[CalendarDayOfYear].[All]" dimensionUniqueName="[DimDate]" displayFolder="" count="0" unbalanced="0"/>
    <cacheHierarchy uniqueName="[DimDate].[CalendarMonthName]" caption="CalendarMonthName" attribute="1" time="1" defaultMemberUniqueName="[DimDate].[CalendarMonthName].[All]" allUniqueName="[DimDate].[CalendarMonthName].[All]" dimensionUniqueName="[DimDate]" displayFolder="" count="0" unbalanced="0"/>
    <cacheHierarchy uniqueName="[DimDate].[CalendarMonthNumber]" caption="CalendarMonthNumber" attribute="1" time="1" defaultMemberUniqueName="[DimDate].[CalendarMonthNumber].[All]" allUniqueName="[DimDate].[CalendarMonthNumber].[All]" dimensionUniqueName="[DimDate]" displayFolder="" count="0" unbalanced="0"/>
    <cacheHierarchy uniqueName="[DimDate].[CalendarQuarter]" caption="CalendarQuarter" attribute="1" time="1" defaultMemberUniqueName="[DimDate].[CalendarQuarter].[All]" allUniqueName="[DimDate].[CalendarQuarter].[All]" dimensionUniqueName="[DimDate]" displayFolder="" count="0" unbalanced="0"/>
    <cacheHierarchy uniqueName="[DimDate].[CalendarSemester]" caption="CalendarSemester" attribute="1" time="1" defaultMemberUniqueName="[DimDate].[CalendarSemester].[All]" allUniqueName="[DimDate].[CalendarSemester].[All]" dimensionUniqueName="[DimDate]" displayFolder="" count="0" unbalanced="0"/>
    <cacheHierarchy uniqueName="[DimDate].[CalendarWeekOfMonth]" caption="CalendarWeekOfMonth" attribute="1" time="1" defaultMemberUniqueName="[DimDate].[CalendarWeekOfMonth].[All]" allUniqueName="[DimDate].[CalendarWeekOfMonth].[All]" dimensionUniqueName="[DimDate]" displayFolder="" count="0" unbalanced="0"/>
    <cacheHierarchy uniqueName="[DimDate].[CalendarWeekOfYear]" caption="CalendarWeekOfYear" attribute="1" time="1" defaultMemberUniqueName="[DimDate].[CalendarWeekOfYear].[All]" allUniqueName="[DimDate].[CalendarWeekOfYear].[All]" dimensionUniqueName="[DimDate]" displayFolder="" count="0" unbalanced="0"/>
    <cacheHierarchy uniqueName="[DimDate].[CalendarYear]" caption="CalendarYear" attribute="1" time="1" defaultMemberUniqueName="[DimDate].[CalendarYear].[All]" allUniqueName="[DimDate].[CalendarYear].[All]" dimensionUniqueName="[DimDate]" displayFolder="" count="2" unbalanced="0">
      <fieldsUsage count="2">
        <fieldUsage x="-1"/>
        <fieldUsage x="8"/>
      </fieldsUsage>
    </cacheHierarchy>
    <cacheHierarchy uniqueName="[DimDate].[CalendarYearMonthAsInteger]" caption="CalendarYearMonthAsInteger" attribute="1" time="1" defaultMemberUniqueName="[DimDate].[CalendarYearMonthAsInteger].[All]" allUniqueName="[DimDate].[CalendarYearMonthAsInteger].[All]" dimensionUniqueName="[DimDate]" displayFolder="" count="0" unbalanced="0"/>
    <cacheHierarchy uniqueName="[DimDate].[CalendarYearQuarterAsInteger]" caption="CalendarYearQuarterAsInteger" attribute="1" time="1" defaultMemberUniqueName="[DimDate].[CalendarYearQuarterAsInteger].[All]" allUniqueName="[DimDate].[CalendarYearQuarterAsInteger].[All]" dimensionUniqueName="[DimDate]" displayFolder="" count="0" unbalanced="0"/>
    <cacheHierarchy uniqueName="[DimDate].[CalendarYearSemesterAsInteger]" caption="CalendarYearSemesterAsInteger" attribute="1" time="1" defaultMemberUniqueName="[DimDate].[CalendarYearSemesterAsInteger].[All]" allUniqueName="[DimDate].[CalendarYearSemesterAsInteger].[All]" dimensionUniqueName="[DimDate]" displayFolder="" count="0" unbalanced="0"/>
    <cacheHierarchy uniqueName="[DimDate].[DateKey]" caption="DateKey" attribute="1" time="1" defaultMemberUniqueName="[DimDate].[DateKey].[All]" allUniqueName="[DimDate].[DateKey].[All]" dimensionUniqueName="[DimDate]" displayFolder="" count="0" unbalanced="0"/>
    <cacheHierarchy uniqueName="[DimDate].[HolidayIndicator]" caption="HolidayIndicator" attribute="1" time="1" defaultMemberUniqueName="[DimDate].[HolidayIndicator].[All]" allUniqueName="[DimDate].[HolidayIndicator].[All]" dimensionUniqueName="[DimDate]" displayFolder="" count="0" unbalanced="0"/>
    <cacheHierarchy uniqueName="[DimDate].[HolidayName]" caption="HolidayName" attribute="1" time="1" defaultMemberUniqueName="[DimDate].[HolidayName].[All]" allUniqueName="[DimDate].[HolidayName].[All]" dimensionUniqueName="[DimDate]" displayFolder="" count="0" unbalanced="0"/>
    <cacheHierarchy uniqueName="[DimDate].[LastDateOfCalendarMonth]" caption="LastDateOfCalendarMonth" attribute="1" time="1" defaultMemberUniqueName="[DimDate].[LastDateOfCalendarMonth].[All]" allUniqueName="[DimDate].[LastDateOfCalendarMonth].[All]" dimensionUniqueName="[DimDate]" displayFolder="" count="0" unbalanced="0"/>
    <cacheHierarchy uniqueName="[DimDate].[LastDayOfCalendarMonthIndicator]" caption="LastDayOfCalendarMonthIndicator" attribute="1" time="1" defaultMemberUniqueName="[DimDate].[LastDayOfCalendarMonthIndicator].[All]" allUniqueName="[DimDate].[LastDayOfCalendarMonthIndicator].[All]" dimensionUniqueName="[DimDate]" displayFolder="" count="0" unbalanced="0"/>
    <cacheHierarchy uniqueName="[DimDate].[PlanMonthNumber]" caption="PlanMonthNumber" attribute="1" time="1" defaultMemberUniqueName="[DimDate].[PlanMonthNumber].[All]" allUniqueName="[DimDate].[PlanMonthNumber].[All]" dimensionUniqueName="[DimDate]" displayFolder="" count="0" unbalanced="0"/>
    <cacheHierarchy uniqueName="[DimDate].[PlanQuarter]" caption="PlanQuarter" attribute="1" time="1" defaultMemberUniqueName="[DimDate].[PlanQuarter].[All]" allUniqueName="[DimDate].[PlanQuarter].[All]" dimensionUniqueName="[DimDate]" displayFolder="" count="0" unbalanced="0"/>
    <cacheHierarchy uniqueName="[DimDate].[ProgramQuarterAsInteger]" caption="ProgramQuarterAsInteger" attribute="1" time="1" defaultMemberUniqueName="[DimDate].[ProgramQuarterAsInteger].[All]" allUniqueName="[DimDate].[ProgramQuarterAsInteger].[All]" dimensionUniqueName="[DimDate]" displayFolder="" count="0" unbalanced="0"/>
    <cacheHierarchy uniqueName="[DimDate].[ProgramYear]" caption="ProgramYear" attribute="1" time="1" defaultMemberUniqueName="[DimDate].[ProgramYear].[All]" allUniqueName="[DimDate].[ProgramYear].[All]" dimensionUniqueName="[DimDate]" displayFolder="" count="0" unbalanced="0"/>
    <cacheHierarchy uniqueName="[DimDate].[ProgramYearSort]" caption="ProgramYearSort" attribute="1" time="1" defaultMemberUniqueName="[DimDate].[ProgramYearSort].[All]" allUniqueName="[DimDate].[ProgramYearSort].[All]" dimensionUniqueName="[DimDate]" displayFolder="" count="0" unbalanced="0"/>
    <cacheHierarchy uniqueName="[DimDate].[WeekdayWeekend]" caption="WeekdayWeekend" attribute="1" time="1" defaultMemberUniqueName="[DimDate].[WeekdayWeekend].[All]" allUniqueName="[DimDate].[WeekdayWeekend].[All]" dimensionUniqueName="[DimDate]" displayFolder="" count="0" unbalanced="0"/>
    <cacheHierarchy uniqueName="[DimDate].[WorkingDayIndicator]" caption="WorkingDayIndicator" attribute="1" time="1" defaultMemberUniqueName="[DimDate].[WorkingDayIndicator].[All]" allUniqueName="[DimDate].[WorkingDayIndicator].[All]" dimensionUniqueName="[DimDate]" displayFolder="" count="0" unbalanced="0"/>
    <cacheHierarchy uniqueName="[DimEquipmentCode].[Equipment Code]" caption="Equipment Code" attribute="1" defaultMemberUniqueName="[DimEquipmentCode].[Equipment Code].[All]" allUniqueName="[DimEquipmentCode].[Equipment Code].[All]" dimensionUniqueName="[DimEquipmentCode]" displayFolder="" count="0" unbalanced="0"/>
    <cacheHierarchy uniqueName="[DimEquipmentCode].[Equipment Description]" caption="Equipment Description" attribute="1" defaultMemberUniqueName="[DimEquipmentCode].[Equipment Description].[All]" allUniqueName="[DimEquipmentCode].[Equipment Description].[All]" dimensionUniqueName="[DimEquipmentCode]" displayFolder="" count="0" unbalanced="0"/>
    <cacheHierarchy uniqueName="[DimMeasureGroup].[AccountingCode]" caption="AccountingCode" attribute="1" defaultMemberUniqueName="[DimMeasureGroup].[AccountingCode].[All]" allUniqueName="[DimMeasureGroup].[AccountingCode].[All]" dimensionUniqueName="[DimMeasureGroup]" displayFolder="" count="0" unbalanced="0"/>
    <cacheHierarchy uniqueName="[DimMeasureGroup].[CostUnit]" caption="CostUnit" attribute="1" defaultMemberUniqueName="[DimMeasureGroup].[CostUnit].[All]" allUniqueName="[DimMeasureGroup].[CostUnit].[All]" dimensionUniqueName="[DimMeasureGroup]" displayFolder="" count="0" unbalanced="0"/>
    <cacheHierarchy uniqueName="[DimMeasureGroup].[MeasureGroupName]" caption="MeasureGroupName" attribute="1" defaultMemberUniqueName="[DimMeasureGroup].[MeasureGroupName].[All]" allUniqueName="[DimMeasureGroup].[MeasureGroupName].[All]" dimensionUniqueName="[DimMeasureGroup]" displayFolder="" count="2" unbalanced="0">
      <fieldsUsage count="2">
        <fieldUsage x="-1"/>
        <fieldUsage x="4"/>
      </fieldsUsage>
    </cacheHierarchy>
    <cacheHierarchy uniqueName="[DimMeasureGroup].[MeasureLife]" caption="MeasureLife" attribute="1" defaultMemberUniqueName="[DimMeasureGroup].[MeasureLife].[All]" allUniqueName="[DimMeasureGroup].[MeasureLife].[All]" dimensionUniqueName="[DimMeasureGroup]" displayFolder="" count="2" unbalanced="0"/>
    <cacheHierarchy uniqueName="[DimMeasureGroup].[ProgramYear]" caption="ProgramYear" attribute="1" defaultMemberUniqueName="[DimMeasureGroup].[ProgramYear].[All]" allUniqueName="[DimMeasureGroup].[ProgramYear].[All]" dimensionUniqueName="[DimMeasureGroup]" displayFolder="" count="2" unbalanced="0">
      <fieldsUsage count="2">
        <fieldUsage x="-1"/>
        <fieldUsage x="1"/>
      </fieldsUsage>
    </cacheHierarchy>
    <cacheHierarchy uniqueName="[DimMeasureGroup].[ProgramYearSort]" caption="ProgramYearSort" attribute="1" defaultMemberUniqueName="[DimMeasureGroup].[ProgramYearSort].[All]" allUniqueName="[DimMeasureGroup].[ProgramYearSort].[All]" dimensionUniqueName="[DimMeasureGroup]" displayFolder="" count="0" unbalanced="0"/>
    <cacheHierarchy uniqueName="[DimMeasureGroup].[Version]" caption="Version" attribute="1" defaultMemberUniqueName="[DimMeasureGroup].[Version].[All]" allUniqueName="[DimMeasureGroup].[Version].[All]" dimensionUniqueName="[DimMeasureGroup]" displayFolder="" count="0" unbalanced="0"/>
    <cacheHierarchy uniqueName="[DimPayee].[Payee Address1]" caption="Payee Address1" attribute="1" defaultMemberUniqueName="[DimPayee].[Payee Address1].[All]" allUniqueName="[DimPayee].[Payee Address1].[All]" dimensionUniqueName="[DimPayee]" displayFolder="" count="0" unbalanced="0"/>
    <cacheHierarchy uniqueName="[DimPayee].[Payee Address2]" caption="Payee Address2" attribute="1" defaultMemberUniqueName="[DimPayee].[Payee Address2].[All]" allUniqueName="[DimPayee].[Payee Address2].[All]" dimensionUniqueName="[DimPayee]" displayFolder="" count="0" unbalanced="0"/>
    <cacheHierarchy uniqueName="[DimPayee].[Payee City]" caption="Payee City" attribute="1" defaultMemberUniqueName="[DimPayee].[Payee City].[All]" allUniqueName="[DimPayee].[Payee City].[All]" dimensionUniqueName="[DimPayee]" displayFolder="" count="0" unbalanced="0"/>
    <cacheHierarchy uniqueName="[DimPayee].[Payee Postal Code]" caption="Payee Postal Code" attribute="1" defaultMemberUniqueName="[DimPayee].[Payee Postal Code].[All]" allUniqueName="[DimPayee].[Payee Postal Code].[All]" dimensionUniqueName="[DimPayee]" displayFolder="" count="0" unbalanced="0"/>
    <cacheHierarchy uniqueName="[DimPayee].[Payee State]" caption="Payee State" attribute="1" defaultMemberUniqueName="[DimPayee].[Payee State].[All]" allUniqueName="[DimPayee].[Payee State].[All]" dimensionUniqueName="[DimPayee]" displayFolder="" count="0" unbalanced="0"/>
    <cacheHierarchy uniqueName="[DimPayee].[Person Or Business First Name]" caption="Person Or Business First Name" attribute="1" defaultMemberUniqueName="[DimPayee].[Person Or Business First Name].[All]" allUniqueName="[DimPayee].[Person Or Business First Name].[All]" dimensionUniqueName="[DimPayee]" displayFolder="" count="0" unbalanced="0"/>
    <cacheHierarchy uniqueName="[DimPayee].[Person Or Business Last Name]" caption="Person Or Business Last Name" attribute="1" defaultMemberUniqueName="[DimPayee].[Person Or Business Last Name].[All]" allUniqueName="[DimPayee].[Person Or Business Last Name].[All]" dimensionUniqueName="[DimPayee]" displayFolder="" count="0" unbalanced="0"/>
    <cacheHierarchy uniqueName="[DimPipeLineStatus].[SourceSystemStatus]" caption="SourceSystemStatus" attribute="1" defaultMemberUniqueName="[DimPipeLineStatus].[SourceSystemStatus].[All]" allUniqueName="[DimPipeLineStatus].[SourceSystemStatus].[All]" dimensionUniqueName="[DimPipeLineStatus]" displayFolder="" count="0" unbalanced="0"/>
    <cacheHierarchy uniqueName="[DimPipeLineStatus].[StatusCode]" caption="StatusCode" attribute="1" defaultMemberUniqueName="[DimPipeLineStatus].[StatusCode].[All]" allUniqueName="[DimPipeLineStatus].[StatusCode].[All]" dimensionUniqueName="[DimPipeLineStatus]" displayFolder="" count="0" unbalanced="0"/>
    <cacheHierarchy uniqueName="[DimPipeLineStatus].[StatusDescription]" caption="StatusDescription" attribute="1" defaultMemberUniqueName="[DimPipeLineStatus].[StatusDescription].[All]" allUniqueName="[DimPipeLineStatus].[StatusDescription].[All]" dimensionUniqueName="[DimPipeLineStatus]" displayFolder="" count="0" unbalanced="0"/>
    <cacheHierarchy uniqueName="[DimPipeLineStatus].[StatusSequence]" caption="StatusSequence" attribute="1" defaultMemberUniqueName="[DimPipeLineStatus].[StatusSequence].[All]" allUniqueName="[DimPipeLineStatus].[StatusSequence].[All]" dimensionUniqueName="[DimPipeLineStatus]" displayFolder="" count="0" unbalanced="0"/>
    <cacheHierarchy uniqueName="[DimPMTIC].[ICName]" caption="ICName" attribute="1" defaultMemberUniqueName="[DimPMTIC].[ICName].[All]" allUniqueName="[DimPMTIC].[ICName].[All]" dimensionUniqueName="[DimPMTIC]" displayFolder="" count="0" unbalanced="0"/>
    <cacheHierarchy uniqueName="[DimPMTMeasure].[AccountingCode]" caption="AccountingCode" attribute="1" defaultMemberUniqueName="[DimPMTMeasure].[AccountingCode].[All]" allUniqueName="[DimPMTMeasure].[AccountingCode].[All]" dimensionUniqueName="[DimPMTMeasure]" displayFolder="" count="0" unbalanced="0"/>
    <cacheHierarchy uniqueName="[DimPMTMeasure].[CostUnit]" caption="CostUnit" attribute="1" defaultMemberUniqueName="[DimPMTMeasure].[CostUnit].[All]" allUniqueName="[DimPMTMeasure].[CostUnit].[All]" dimensionUniqueName="[DimPMTMeasure]" displayFolder="" count="0" unbalanced="0"/>
    <cacheHierarchy uniqueName="[DimPMTMeasure].[Gallons]" caption="Gallons" attribute="1" defaultMemberUniqueName="[DimPMTMeasure].[Gallons].[All]" allUniqueName="[DimPMTMeasure].[Gallons].[All]" dimensionUniqueName="[DimPMTMeasure]" displayFolder="" count="0" unbalanced="0"/>
    <cacheHierarchy uniqueName="[DimPMTMeasure].[IncrementalCost]" caption="IncrementalCost" attribute="1" defaultMemberUniqueName="[DimPMTMeasure].[IncrementalCost].[All]" allUniqueName="[DimPMTMeasure].[IncrementalCost].[All]" dimensionUniqueName="[DimPMTMeasure]" displayFolder="" count="0" unbalanced="0"/>
    <cacheHierarchy uniqueName="[DimPMTMeasure].[KiloWatt]" caption="KiloWatt" attribute="1" defaultMemberUniqueName="[DimPMTMeasure].[KiloWatt].[All]" allUniqueName="[DimPMTMeasure].[KiloWatt].[All]" dimensionUniqueName="[DimPMTMeasure]" displayFolder="" count="0" unbalanced="0"/>
    <cacheHierarchy uniqueName="[DimPMTMeasure].[KiloWattHour]" caption="KiloWattHour" attribute="1" defaultMemberUniqueName="[DimPMTMeasure].[KiloWattHour].[All]" allUniqueName="[DimPMTMeasure].[KiloWattHour].[All]" dimensionUniqueName="[DimPMTMeasure]" displayFolder="" count="0" unbalanced="0"/>
    <cacheHierarchy uniqueName="[DimPMTMeasure].[MeasureGrouping]" caption="MeasureGrouping" attribute="1" defaultMemberUniqueName="[DimPMTMeasure].[MeasureGrouping].[All]" allUniqueName="[DimPMTMeasure].[MeasureGrouping].[All]" dimensionUniqueName="[DimPMTMeasure]" displayFolder="" count="0" unbalanced="0"/>
    <cacheHierarchy uniqueName="[DimPMTMeasure].[MeasureLife]" caption="MeasureLife" attribute="1" defaultMemberUniqueName="[DimPMTMeasure].[MeasureLife].[All]" allUniqueName="[DimPMTMeasure].[MeasureLife].[All]" dimensionUniqueName="[DimPMTMeasure]" displayFolder="" count="0" unbalanced="0"/>
    <cacheHierarchy uniqueName="[DimPMTMeasure].[MeasureName]" caption="MeasureName" attribute="1" defaultMemberUniqueName="[DimPMTMeasure].[MeasureName].[All]" allUniqueName="[DimPMTMeasure].[MeasureName].[All]" dimensionUniqueName="[DimPMTMeasure]" displayFolder="" count="0" unbalanced="0"/>
    <cacheHierarchy uniqueName="[DimPMTMeasure].[MeasureType]" caption="MeasureType" attribute="1" defaultMemberUniqueName="[DimPMTMeasure].[MeasureType].[All]" allUniqueName="[DimPMTMeasure].[MeasureType].[All]" dimensionUniqueName="[DimPMTMeasure]" displayFolder="" count="0" unbalanced="0"/>
    <cacheHierarchy uniqueName="[DimPMTMeasure].[PMT Measure UI]" caption="PMT Measure UI" attribute="1" defaultMemberUniqueName="[DimPMTMeasure].[PMT Measure UI].[All]" allUniqueName="[DimPMTMeasure].[PMT Measure UI].[All]" dimensionUniqueName="[DimPMTMeasure]" displayFolder="" count="0" unbalanced="0"/>
    <cacheHierarchy uniqueName="[DimPMTMeasure].[Sector]" caption="Sector" attribute="1" defaultMemberUniqueName="[DimPMTMeasure].[Sector].[All]" allUniqueName="[DimPMTMeasure].[Sector].[All]" dimensionUniqueName="[DimPMTMeasure]" displayFolder="" count="0" unbalanced="0"/>
    <cacheHierarchy uniqueName="[DimPMTMeasure].[Therms]" caption="Therms" attribute="1" defaultMemberUniqueName="[DimPMTMeasure].[Therms].[All]" allUniqueName="[DimPMTMeasure].[Therms].[All]" dimensionUniqueName="[DimPMTMeasure]" displayFolder="" count="0" unbalanced="0"/>
    <cacheHierarchy uniqueName="[DimPMTMeasure].[TRMCode]" caption="TRMCode" attribute="1" defaultMemberUniqueName="[DimPMTMeasure].[TRMCode].[All]" allUniqueName="[DimPMTMeasure].[TRMCode].[All]" dimensionUniqueName="[DimPMTMeasure]" displayFolder="" count="0" unbalanced="0"/>
    <cacheHierarchy uniqueName="[DimPMTMeasure].[UniqueIdentifier]" caption="UniqueIdentifier" attribute="1" defaultMemberUniqueName="[DimPMTMeasure].[UniqueIdentifier].[All]" allUniqueName="[DimPMTMeasure].[UniqueIdentifier].[All]" dimensionUniqueName="[DimPMTMeasure]" displayFolder="" count="0" unbalanced="0"/>
    <cacheHierarchy uniqueName="[DimPMTMeasure].[Version]" caption="Version" attribute="1" defaultMemberUniqueName="[DimPMTMeasure].[Version].[All]" allUniqueName="[DimPMTMeasure].[Version].[All]" dimensionUniqueName="[DimPMTMeasure]" displayFolder="" count="0" unbalanced="0"/>
    <cacheHierarchy uniqueName="[DimPMTProgram].[Program Acronym]" caption="Program Acronym" attribute="1" defaultMemberUniqueName="[DimPMTProgram].[Program Acronym].[All]" allUniqueName="[DimPMTProgram].[Program Acronym].[All]" dimensionUniqueName="[DimPMTProgram]" displayFolder="" count="2" unbalanced="0">
      <fieldsUsage count="2">
        <fieldUsage x="-1"/>
        <fieldUsage x="3"/>
      </fieldsUsage>
    </cacheHierarchy>
    <cacheHierarchy uniqueName="[DimPMTProgram].[Program Description]" caption="Program Description" attribute="1" defaultMemberUniqueName="[DimPMTProgram].[Program Description].[All]" allUniqueName="[DimPMTProgram].[Program Description].[All]" dimensionUniqueName="[DimPMTProgram]" displayFolder="" count="0" unbalanced="0"/>
    <cacheHierarchy uniqueName="[DimPMTProgram].[Program Name]" caption="Program Name" attribute="1" defaultMemberUniqueName="[DimPMTProgram].[Program Name].[All]" allUniqueName="[DimPMTProgram].[Program Name].[All]" dimensionUniqueName="[DimPMTProgram]" displayFolder="" count="0" unbalanced="0"/>
    <cacheHierarchy uniqueName="[DimPMTProgram].[Program Type]" caption="Program Type" attribute="1" defaultMemberUniqueName="[DimPMTProgram].[Program Type].[All]" allUniqueName="[DimPMTProgram].[Program Type].[All]" dimensionUniqueName="[DimPMTProgram]" displayFolder="" count="0" unbalanced="0"/>
    <cacheHierarchy uniqueName="[DimPMTProgramAccounting].[Description]" caption="Description" attribute="1" defaultMemberUniqueName="[DimPMTProgramAccounting].[Description].[All]" allUniqueName="[DimPMTProgramAccounting].[Description].[All]" dimensionUniqueName="[DimPMTProgramAccounting]" displayFolder="" count="0" unbalanced="0"/>
    <cacheHierarchy uniqueName="[DimPMTProgramAccounting].[ID]" caption="ID" attribute="1" defaultMemberUniqueName="[DimPMTProgramAccounting].[ID].[All]" allUniqueName="[DimPMTProgramAccounting].[ID].[All]" dimensionUniqueName="[DimPMTProgramAccounting]" displayFolder="" count="0" unbalanced="0"/>
    <cacheHierarchy uniqueName="[DimPMTProgramAccounting].[ProgramGrouping]" caption="ProgramGrouping" attribute="1" defaultMemberUniqueName="[DimPMTProgramAccounting].[ProgramGrouping].[All]" allUniqueName="[DimPMTProgramAccounting].[ProgramGrouping].[All]" dimensionUniqueName="[DimPMTProgramAccounting]" displayFolder="" count="0" unbalanced="0"/>
    <cacheHierarchy uniqueName="[DimPMTProgramAccounting].[ProgramGroupingSortOrder]" caption="ProgramGroupingSortOrder" attribute="1" defaultMemberUniqueName="[DimPMTProgramAccounting].[ProgramGroupingSortOrder].[All]" allUniqueName="[DimPMTProgramAccounting].[ProgramGroupingSortOrder].[All]" dimensionUniqueName="[DimPMTProgramAccounting]" displayFolder="" count="0" unbalanced="0"/>
    <cacheHierarchy uniqueName="[DimPMTProgramAccounting].[ProgramYear]" caption="ProgramYear" attribute="1" defaultMemberUniqueName="[DimPMTProgramAccounting].[ProgramYear].[All]" allUniqueName="[DimPMTProgramAccounting].[ProgramYear].[All]" dimensionUniqueName="[DimPMTProgramAccounting]" displayFolder="" count="0" unbalanced="0"/>
    <cacheHierarchy uniqueName="[DimPMTProgramAccounting].[ProjectID]" caption="ProjectID" attribute="1" defaultMemberUniqueName="[DimPMTProgramAccounting].[ProjectID].[All]" allUniqueName="[DimPMTProgramAccounting].[ProjectID].[All]" dimensionUniqueName="[DimPMTProgramAccounting]" displayFolder="" count="0" unbalanced="0"/>
    <cacheHierarchy uniqueName="[DimPMTProgramAccounting].[RiderName]" caption="RiderName" attribute="1" defaultMemberUniqueName="[DimPMTProgramAccounting].[RiderName].[All]" allUniqueName="[DimPMTProgramAccounting].[RiderName].[All]" dimensionUniqueName="[DimPMTProgramAccounting]" displayFolder="" count="0" unbalanced="0"/>
    <cacheHierarchy uniqueName="[DimPMTProgramAccounting].[SortOrder]" caption="SortOrder" attribute="1" defaultMemberUniqueName="[DimPMTProgramAccounting].[SortOrder].[All]" allUniqueName="[DimPMTProgramAccounting].[SortOrder].[All]" dimensionUniqueName="[DimPMTProgramAccounting]" displayFolder="" count="0" unbalanced="0"/>
    <cacheHierarchy uniqueName="[DimPMTProgramAccounting].[Type]" caption="Type" attribute="1" defaultMemberUniqueName="[DimPMTProgramAccounting].[Type].[All]" allUniqueName="[DimPMTProgramAccounting].[Type].[All]" dimensionUniqueName="[DimPMTProgramAccounting]" displayFolder="" count="0" unbalanced="0"/>
    <cacheHierarchy uniqueName="[DimPMTProject].[ActivityType]" caption="ActivityType" attribute="1" defaultMemberUniqueName="[DimPMTProject].[ActivityType].[All]" allUniqueName="[DimPMTProject].[ActivityType].[All]" dimensionUniqueName="[DimPMTProject]" displayFolder="" count="0" unbalanced="0"/>
    <cacheHierarchy uniqueName="[DimPMTProject].[ActualProjectCost]" caption="ActualProjectCost" attribute="1" defaultMemberUniqueName="[DimPMTProject].[ActualProjectCost].[All]" allUniqueName="[DimPMTProject].[ActualProjectCost].[All]" dimensionUniqueName="[DimPMTProject]" displayFolder="" count="0" unbalanced="0"/>
    <cacheHierarchy uniqueName="[DimPMTProject].[Application Number]" caption="Application Number" attribute="1" defaultMemberUniqueName="[DimPMTProject].[Application Number].[All]" allUniqueName="[DimPMTProject].[Application Number].[All]" dimensionUniqueName="[DimPMTProject]" displayFolder="" count="0" unbalanced="0"/>
    <cacheHierarchy uniqueName="[DimPMTProject].[Application Status]" caption="Application Status" attribute="1" defaultMemberUniqueName="[DimPMTProject].[Application Status].[All]" allUniqueName="[DimPMTProject].[Application Status].[All]" dimensionUniqueName="[DimPMTProject]" displayFolder="" count="0" unbalanced="0"/>
    <cacheHierarchy uniqueName="[DimPMTProject].[ApplicationCompletedDate]" caption="ApplicationCompletedDate" attribute="1" defaultMemberUniqueName="[DimPMTProject].[ApplicationCompletedDate].[All]" allUniqueName="[DimPMTProject].[ApplicationCompletedDate].[All]" dimensionUniqueName="[DimPMTProject]" displayFolder="" count="0" unbalanced="0"/>
    <cacheHierarchy uniqueName="[DimPMTProject].[ApplicationReceivedDate]" caption="ApplicationReceivedDate" attribute="1" defaultMemberUniqueName="[DimPMTProject].[ApplicationReceivedDate].[All]" allUniqueName="[DimPMTProject].[ApplicationReceivedDate].[All]" dimensionUniqueName="[DimPMTProject]" displayFolder="" count="0" unbalanced="0"/>
    <cacheHierarchy uniqueName="[DimPMTProject].[ApplicationType]" caption="ApplicationType" attribute="1" defaultMemberUniqueName="[DimPMTProject].[ApplicationType].[All]" allUniqueName="[DimPMTProject].[ApplicationType].[All]" dimensionUniqueName="[DimPMTProject]" displayFolder="" count="0" unbalanced="0"/>
    <cacheHierarchy uniqueName="[DimPMTProject].[AssumedCostPerkWh]" caption="AssumedCostPerkWh" attribute="1" defaultMemberUniqueName="[DimPMTProject].[AssumedCostPerkWh].[All]" allUniqueName="[DimPMTProject].[AssumedCostPerkWh].[All]" dimensionUniqueName="[DimPMTProject]" displayFolder="" count="0" unbalanced="0"/>
    <cacheHierarchy uniqueName="[DimPMTProject].[AssumedCostPerTherm]" caption="AssumedCostPerTherm" attribute="1" defaultMemberUniqueName="[DimPMTProject].[AssumedCostPerTherm].[All]" allUniqueName="[DimPMTProject].[AssumedCostPerTherm].[All]" dimensionUniqueName="[DimPMTProject]" displayFolder="" count="0" unbalanced="0"/>
    <cacheHierarchy uniqueName="[DimPMTProject].[Building Square Footage]" caption="Building Square Footage" attribute="1" defaultMemberUniqueName="[DimPMTProject].[Building Square Footage].[All]" allUniqueName="[DimPMTProject].[Building Square Footage].[All]" dimensionUniqueName="[DimPMTProject]" displayFolder="" count="0" unbalanced="0"/>
    <cacheHierarchy uniqueName="[DimPMTProject].[BuildingCode]" caption="BuildingCode" attribute="1" defaultMemberUniqueName="[DimPMTProject].[BuildingCode].[All]" allUniqueName="[DimPMTProject].[BuildingCode].[All]" dimensionUniqueName="[DimPMTProject]" displayFolder="" count="0" unbalanced="0"/>
    <cacheHierarchy uniqueName="[DimPMTProject].[BuildingMaterial]" caption="BuildingMaterial" attribute="1" defaultMemberUniqueName="[DimPMTProject].[BuildingMaterial].[All]" allUniqueName="[DimPMTProject].[BuildingMaterial].[All]" dimensionUniqueName="[DimPMTProject]" displayFolder="" count="0" unbalanced="0"/>
    <cacheHierarchy uniqueName="[DimPMTProject].[BusinessType]" caption="BusinessType" attribute="1" defaultMemberUniqueName="[DimPMTProject].[BusinessType].[All]" allUniqueName="[DimPMTProject].[BusinessType].[All]" dimensionUniqueName="[DimPMTProject]" displayFolder="" count="0" unbalanced="0"/>
    <cacheHierarchy uniqueName="[DimPMTProject].[CentralHotWaterSystem]" caption="CentralHotWaterSystem" attribute="1" defaultMemberUniqueName="[DimPMTProject].[CentralHotWaterSystem].[All]" allUniqueName="[DimPMTProject].[CentralHotWaterSystem].[All]" dimensionUniqueName="[DimPMTProject]" displayFolder="" count="0" unbalanced="0"/>
    <cacheHierarchy uniqueName="[DimPMTProject].[ClimateZone]" caption="ClimateZone" attribute="1" defaultMemberUniqueName="[DimPMTProject].[ClimateZone].[All]" allUniqueName="[DimPMTProject].[ClimateZone].[All]" dimensionUniqueName="[DimPMTProject]" displayFolder="" count="0" unbalanced="0"/>
    <cacheHierarchy uniqueName="[DimPMTProject].[CombinedComEdNicorKitCost]" caption="CombinedComEdNicorKitCost" attribute="1" defaultMemberUniqueName="[DimPMTProject].[CombinedComEdNicorKitCost].[All]" allUniqueName="[DimPMTProject].[CombinedComEdNicorKitCost].[All]" dimensionUniqueName="[DimPMTProject]" displayFolder="" count="0" unbalanced="0"/>
    <cacheHierarchy uniqueName="[DimPMTProject].[CostEffectivenessScore]" caption="CostEffectivenessScore" attribute="1" defaultMemberUniqueName="[DimPMTProject].[CostEffectivenessScore].[All]" allUniqueName="[DimPMTProject].[CostEffectivenessScore].[All]" dimensionUniqueName="[DimPMTProject]" displayFolder="" count="0" unbalanced="0"/>
    <cacheHierarchy uniqueName="[DimPMTProject].[County]" caption="County" attribute="1" defaultMemberUniqueName="[DimPMTProject].[County].[All]" allUniqueName="[DimPMTProject].[County].[All]" dimensionUniqueName="[DimPMTProject]" displayFolder="" count="0" unbalanced="0"/>
    <cacheHierarchy uniqueName="[DimPMTProject].[DateOfIntake]" caption="DateOfIntake" attribute="1" defaultMemberUniqueName="[DimPMTProject].[DateOfIntake].[All]" allUniqueName="[DimPMTProject].[DateOfIntake].[All]" dimensionUniqueName="[DimPMTProject]" displayFolder="" count="0" unbalanced="0"/>
    <cacheHierarchy uniqueName="[DimPMTProject].[DateScoreFinalized]" caption="DateScoreFinalized" attribute="1" defaultMemberUniqueName="[DimPMTProject].[DateScoreFinalized].[All]" allUniqueName="[DimPMTProject].[DateScoreFinalized].[All]" dimensionUniqueName="[DimPMTProject]" displayFolder="" count="0" unbalanced="0"/>
    <cacheHierarchy uniqueName="[DimPMTProject].[DCEOProgram]" caption="DCEOProgram" attribute="1" defaultMemberUniqueName="[DimPMTProject].[DCEOProgram].[All]" allUniqueName="[DimPMTProject].[DCEOProgram].[All]" dimensionUniqueName="[DimPMTProject]" displayFolder="" count="0" unbalanced="0"/>
    <cacheHierarchy uniqueName="[DimPMTProject].[DescriptionOfProject]" caption="DescriptionOfProject" attribute="1" defaultMemberUniqueName="[DimPMTProject].[DescriptionOfProject].[All]" allUniqueName="[DimPMTProject].[DescriptionOfProject].[All]" dimensionUniqueName="[DimPMTProject]" displayFolder="" count="0" unbalanced="0"/>
    <cacheHierarchy uniqueName="[DimPMTProject].[DesignStartDate]" caption="DesignStartDate" attribute="1" defaultMemberUniqueName="[DimPMTProject].[DesignStartDate].[All]" allUniqueName="[DimPMTProject].[DesignStartDate].[All]" dimensionUniqueName="[DimPMTProject]" displayFolder="" count="0" unbalanced="0"/>
    <cacheHierarchy uniqueName="[DimPMTProject].[DirectInstallCompletionDate]" caption="DirectInstallCompletionDate" attribute="1" defaultMemberUniqueName="[DimPMTProject].[DirectInstallCompletionDate].[All]" allUniqueName="[DimPMTProject].[DirectInstallCompletionDate].[All]" dimensionUniqueName="[DimPMTProject]" displayFolder="" count="0" unbalanced="0"/>
    <cacheHierarchy uniqueName="[DimPMTProject].[DistributionScore]" caption="DistributionScore" attribute="1" defaultMemberUniqueName="[DimPMTProject].[DistributionScore].[All]" allUniqueName="[DimPMTProject].[DistributionScore].[All]" dimensionUniqueName="[DimPMTProject]" displayFolder="" count="0" unbalanced="0"/>
    <cacheHierarchy uniqueName="[DimPMTProject].[EETargetProgram]" caption="EETargetProgram" attribute="1" defaultMemberUniqueName="[DimPMTProject].[EETargetProgram].[All]" allUniqueName="[DimPMTProject].[EETargetProgram].[All]" dimensionUniqueName="[DimPMTProject]" displayFolder="" count="0" unbalanced="0"/>
    <cacheHierarchy uniqueName="[DimPMTProject].[EstimatedBidReleaseDate]" caption="EstimatedBidReleaseDate" attribute="1" defaultMemberUniqueName="[DimPMTProject].[EstimatedBidReleaseDate].[All]" allUniqueName="[DimPMTProject].[EstimatedBidReleaseDate].[All]" dimensionUniqueName="[DimPMTProject]" displayFolder="" count="0" unbalanced="0"/>
    <cacheHierarchy uniqueName="[DimPMTProject].[EstimatedConstructionStartDate]" caption="EstimatedConstructionStartDate" attribute="1" defaultMemberUniqueName="[DimPMTProject].[EstimatedConstructionStartDate].[All]" allUniqueName="[DimPMTProject].[EstimatedConstructionStartDate].[All]" dimensionUniqueName="[DimPMTProject]" displayFolder="" count="0" unbalanced="0"/>
    <cacheHierarchy uniqueName="[DimPMTProject].[EstimatedOccupancyDate]" caption="EstimatedOccupancyDate" attribute="1" defaultMemberUniqueName="[DimPMTProject].[EstimatedOccupancyDate].[All]" allUniqueName="[DimPMTProject].[EstimatedOccupancyDate].[All]" dimensionUniqueName="[DimPMTProject]" displayFolder="" count="0" unbalanced="0"/>
    <cacheHierarchy uniqueName="[DimPMTProject].[EstimatedProjectCompletionDate]" caption="EstimatedProjectCompletionDate" attribute="1" defaultMemberUniqueName="[DimPMTProject].[EstimatedProjectCompletionDate].[All]" allUniqueName="[DimPMTProject].[EstimatedProjectCompletionDate].[All]" dimensionUniqueName="[DimPMTProject]" displayFolder="" count="0" unbalanced="0"/>
    <cacheHierarchy uniqueName="[DimPMTProject].[EstimatedProjectCost]" caption="EstimatedProjectCost" attribute="1" defaultMemberUniqueName="[DimPMTProject].[EstimatedProjectCost].[All]" allUniqueName="[DimPMTProject].[EstimatedProjectCost].[All]" dimensionUniqueName="[DimPMTProject]" displayFolder="" count="0" unbalanced="0"/>
    <cacheHierarchy uniqueName="[DimPMTProject].[EstimatedProjectStartDate]" caption="EstimatedProjectStartDate" attribute="1" defaultMemberUniqueName="[DimPMTProject].[EstimatedProjectStartDate].[All]" allUniqueName="[DimPMTProject].[EstimatedProjectStartDate].[All]" dimensionUniqueName="[DimPMTProject]" displayFolder="" count="0" unbalanced="0"/>
    <cacheHierarchy uniqueName="[DimPMTProject].[EstimatedRebate]" caption="EstimatedRebate" attribute="1" defaultMemberUniqueName="[DimPMTProject].[EstimatedRebate].[All]" allUniqueName="[DimPMTProject].[EstimatedRebate].[All]" dimensionUniqueName="[DimPMTProject]" displayFolder="" count="0" unbalanced="0"/>
    <cacheHierarchy uniqueName="[DimPMTProject].[ExistingProgrammableThermostat]" caption="ExistingProgrammableThermostat" attribute="1" defaultMemberUniqueName="[DimPMTProject].[ExistingProgrammableThermostat].[All]" allUniqueName="[DimPMTProject].[ExistingProgrammableThermostat].[All]" dimensionUniqueName="[DimPMTProject]" displayFolder="" count="0" unbalanced="0"/>
    <cacheHierarchy uniqueName="[DimPMTProject].[FinalApprovalDate]" caption="FinalApprovalDate" attribute="1" defaultMemberUniqueName="[DimPMTProject].[FinalApprovalDate].[All]" allUniqueName="[DimPMTProject].[FinalApprovalDate].[All]" dimensionUniqueName="[DimPMTProject]" displayFolder="" count="0" unbalanced="0"/>
    <cacheHierarchy uniqueName="[DimPMTProject].[GasSavingsScore]" caption="GasSavingsScore" attribute="1" defaultMemberUniqueName="[DimPMTProject].[GasSavingsScore].[All]" allUniqueName="[DimPMTProject].[GasSavingsScore].[All]" dimensionUniqueName="[DimPMTProject]" displayFolder="" count="0" unbalanced="0"/>
    <cacheHierarchy uniqueName="[DimPMTProject].[GrantDocumentation]" caption="GrantDocumentation" attribute="1" defaultMemberUniqueName="[DimPMTProject].[GrantDocumentation].[All]" allUniqueName="[DimPMTProject].[GrantDocumentation].[All]" dimensionUniqueName="[DimPMTProject]" displayFolder="" count="0" unbalanced="0"/>
    <cacheHierarchy uniqueName="[DimPMTProject].[GranteeName]" caption="GranteeName" attribute="1" defaultMemberUniqueName="[DimPMTProject].[GranteeName].[All]" allUniqueName="[DimPMTProject].[GranteeName].[All]" dimensionUniqueName="[DimPMTProject]" displayFolder="" count="0" unbalanced="0"/>
    <cacheHierarchy uniqueName="[DimPMTProject].[GrantNumber]" caption="GrantNumber" attribute="1" defaultMemberUniqueName="[DimPMTProject].[GrantNumber].[All]" allUniqueName="[DimPMTProject].[GrantNumber].[All]" dimensionUniqueName="[DimPMTProject]" displayFolder="" count="0" unbalanced="0"/>
    <cacheHierarchy uniqueName="[DimPMTProject].[HERSIndex]" caption="HERSIndex" attribute="1" defaultMemberUniqueName="[DimPMTProject].[HERSIndex].[All]" allUniqueName="[DimPMTProject].[HERSIndex].[All]" dimensionUniqueName="[DimPMTProject]" displayFolder="" count="0" unbalanced="0"/>
    <cacheHierarchy uniqueName="[DimPMTProject].[HomeownerAssociation]" caption="HomeownerAssociation" attribute="1" defaultMemberUniqueName="[DimPMTProject].[HomeownerAssociation].[All]" allUniqueName="[DimPMTProject].[HomeownerAssociation].[All]" dimensionUniqueName="[DimPMTProject]" displayFolder="" count="0" unbalanced="0"/>
    <cacheHierarchy uniqueName="[DimPMTProject].[HotWaterFuelSource]" caption="HotWaterFuelSource" attribute="1" defaultMemberUniqueName="[DimPMTProject].[HotWaterFuelSource].[All]" allUniqueName="[DimPMTProject].[HotWaterFuelSource].[All]" dimensionUniqueName="[DimPMTProject]" displayFolder="" count="0" unbalanced="0"/>
    <cacheHierarchy uniqueName="[DimPMTProject].[HowDidYouHearAboutUs]" caption="HowDidYouHearAboutUs" attribute="1" defaultMemberUniqueName="[DimPMTProject].[HowDidYouHearAboutUs].[All]" allUniqueName="[DimPMTProject].[HowDidYouHearAboutUs].[All]" dimensionUniqueName="[DimPMTProject]" displayFolder="" count="0" unbalanced="0"/>
    <cacheHierarchy uniqueName="[DimPMTProject].[Independentlessthan10locations]" caption="Independentlessthan10locations" attribute="1" defaultMemberUniqueName="[DimPMTProject].[Independentlessthan10locations].[All]" allUniqueName="[DimPMTProject].[Independentlessthan10locations].[All]" dimensionUniqueName="[DimPMTProject]" displayFolder="" count="0" unbalanced="0"/>
    <cacheHierarchy uniqueName="[DimPMTProject].[InspectionRequired]" caption="InspectionRequired" attribute="1" defaultMemberUniqueName="[DimPMTProject].[InspectionRequired].[All]" allUniqueName="[DimPMTProject].[InspectionRequired].[All]" dimensionUniqueName="[DimPMTProject]" displayFolder="" count="0" unbalanced="0"/>
    <cacheHierarchy uniqueName="[DimPMTProject].[JointProject]" caption="JointProject" attribute="1" defaultMemberUniqueName="[DimPMTProject].[JointProject].[All]" allUniqueName="[DimPMTProject].[JointProject].[All]" dimensionUniqueName="[DimPMTProject]" displayFolder="" count="2" unbalanced="0">
      <fieldsUsage count="2">
        <fieldUsage x="-1"/>
        <fieldUsage x="12"/>
      </fieldsUsage>
    </cacheHierarchy>
    <cacheHierarchy uniqueName="[DimPMTProject].[LEED Certification]" caption="LEED Certification" attribute="1" defaultMemberUniqueName="[DimPMTProject].[LEED Certification].[All]" allUniqueName="[DimPMTProject].[LEED Certification].[All]" dimensionUniqueName="[DimPMTProject]" displayFolder="" count="0" unbalanced="0"/>
    <cacheHierarchy uniqueName="[DimPMTProject].[LegalStatus]" caption="LegalStatus" attribute="1" defaultMemberUniqueName="[DimPMTProject].[LegalStatus].[All]" allUniqueName="[DimPMTProject].[LegalStatus].[All]" dimensionUniqueName="[DimPMTProject]" displayFolder="" count="0" unbalanced="0"/>
    <cacheHierarchy uniqueName="[DimPMTProject].[LegalStatusCode]" caption="LegalStatusCode" attribute="1" defaultMemberUniqueName="[DimPMTProject].[LegalStatusCode].[All]" allUniqueName="[DimPMTProject].[LegalStatusCode].[All]" dimensionUniqueName="[DimPMTProject]" displayFolder="" count="0" unbalanced="0"/>
    <cacheHierarchy uniqueName="[DimPMTProject].[MarketAdoptionScore]" caption="MarketAdoptionScore" attribute="1" defaultMemberUniqueName="[DimPMTProject].[MarketAdoptionScore].[All]" allUniqueName="[DimPMTProject].[MarketAdoptionScore].[All]" dimensionUniqueName="[DimPMTProject]" displayFolder="" count="0" unbalanced="0"/>
    <cacheHierarchy uniqueName="[DimPMTProject].[MarketSegment]" caption="MarketSegment" attribute="1" defaultMemberUniqueName="[DimPMTProject].[MarketSegment].[All]" allUniqueName="[DimPMTProject].[MarketSegment].[All]" dimensionUniqueName="[DimPMTProject]" displayFolder="" count="0" unbalanced="0"/>
    <cacheHierarchy uniqueName="[DimPMTProject].[Nicor Account ID]" caption="Nicor Account ID" attribute="1" defaultMemberUniqueName="[DimPMTProject].[Nicor Account ID].[All]" allUniqueName="[DimPMTProject].[Nicor Account ID].[All]" dimensionUniqueName="[DimPMTProject]" displayFolder="" count="0" unbalanced="0"/>
    <cacheHierarchy uniqueName="[DimPMTProject].[NicorElementaryEdKitCost]" caption="NicorElementaryEdKitCost" attribute="1" defaultMemberUniqueName="[DimPMTProject].[NicorElementaryEdKitCost].[All]" allUniqueName="[DimPMTProject].[NicorElementaryEdKitCost].[All]" dimensionUniqueName="[DimPMTProject]" displayFolder="" count="0" unbalanced="0"/>
    <cacheHierarchy uniqueName="[DimPMTProject].[NonEnergyBenefitsScore]" caption="NonEnergyBenefitsScore" attribute="1" defaultMemberUniqueName="[DimPMTProject].[NonEnergyBenefitsScore].[All]" allUniqueName="[DimPMTProject].[NonEnergyBenefitsScore].[All]" dimensionUniqueName="[DimPMTProject]" displayFolder="" count="0" unbalanced="0"/>
    <cacheHierarchy uniqueName="[DimPMTProject].[NumberInHousehold]" caption="NumberInHousehold" attribute="1" defaultMemberUniqueName="[DimPMTProject].[NumberInHousehold].[All]" allUniqueName="[DimPMTProject].[NumberInHousehold].[All]" dimensionUniqueName="[DimPMTProject]" displayFolder="" count="0" unbalanced="0"/>
    <cacheHierarchy uniqueName="[DimPMTProject].[NumberOfBathrooms]" caption="NumberOfBathrooms" attribute="1" defaultMemberUniqueName="[DimPMTProject].[NumberOfBathrooms].[All]" allUniqueName="[DimPMTProject].[NumberOfBathrooms].[All]" dimensionUniqueName="[DimPMTProject]" displayFolder="" count="0" unbalanced="0"/>
    <cacheHierarchy uniqueName="[DimPMTProject].[NumberOfBedrooms]" caption="NumberOfBedrooms" attribute="1" defaultMemberUniqueName="[DimPMTProject].[NumberOfBedrooms].[All]" allUniqueName="[DimPMTProject].[NumberOfBedrooms].[All]" dimensionUniqueName="[DimPMTProject]" displayFolder="" count="0" unbalanced="0"/>
    <cacheHierarchy uniqueName="[DimPMTProject].[NumberOfBuildings]" caption="NumberOfBuildings" attribute="1" defaultMemberUniqueName="[DimPMTProject].[NumberOfBuildings].[All]" allUniqueName="[DimPMTProject].[NumberOfBuildings].[All]" dimensionUniqueName="[DimPMTProject]" displayFolder="" count="0" unbalanced="0"/>
    <cacheHierarchy uniqueName="[DimPMTProject].[NumberOfShowerheads]" caption="NumberOfShowerheads" attribute="1" defaultMemberUniqueName="[DimPMTProject].[NumberOfShowerheads].[All]" allUniqueName="[DimPMTProject].[NumberOfShowerheads].[All]" dimensionUniqueName="[DimPMTProject]" displayFolder="" count="0" unbalanced="0"/>
    <cacheHierarchy uniqueName="[DimPMTProject].[NumberOfSites]" caption="NumberOfSites" attribute="1" defaultMemberUniqueName="[DimPMTProject].[NumberOfSites].[All]" allUniqueName="[DimPMTProject].[NumberOfSites].[All]" dimensionUniqueName="[DimPMTProject]" displayFolder="" count="0" unbalanced="0"/>
    <cacheHierarchy uniqueName="[DimPMTProject].[NumberOfStories]" caption="NumberOfStories" attribute="1" defaultMemberUniqueName="[DimPMTProject].[NumberOfStories].[All]" allUniqueName="[DimPMTProject].[NumberOfStories].[All]" dimensionUniqueName="[DimPMTProject]" displayFolder="" count="0" unbalanced="0"/>
    <cacheHierarchy uniqueName="[DimPMTProject].[NumberOfTotalUnits]" caption="NumberOfTotalUnits" attribute="1" defaultMemberUniqueName="[DimPMTProject].[NumberOfTotalUnits].[All]" allUniqueName="[DimPMTProject].[NumberOfTotalUnits].[All]" dimensionUniqueName="[DimPMTProject]" displayFolder="" count="0" unbalanced="0"/>
    <cacheHierarchy uniqueName="[DimPMTProject].[NumberOfUnitsInBuilding]" caption="NumberOfUnitsInBuilding" attribute="1" defaultMemberUniqueName="[DimPMTProject].[NumberOfUnitsInBuilding].[All]" allUniqueName="[DimPMTProject].[NumberOfUnitsInBuilding].[All]" dimensionUniqueName="[DimPMTProject]" displayFolder="" count="0" unbalanced="0"/>
    <cacheHierarchy uniqueName="[DimPMTProject].[Other Project Source]" caption="Other Project Source" attribute="1" defaultMemberUniqueName="[DimPMTProject].[Other Project Source].[All]" allUniqueName="[DimPMTProject].[Other Project Source].[All]" dimensionUniqueName="[DimPMTProject]" displayFolder="" count="0" unbalanced="0"/>
    <cacheHierarchy uniqueName="[DimPMTProject].[PayeeCode]" caption="PayeeCode" attribute="1" defaultMemberUniqueName="[DimPMTProject].[PayeeCode].[All]" allUniqueName="[DimPMTProject].[PayeeCode].[All]" dimensionUniqueName="[DimPMTProject]" displayFolder="" count="0" unbalanced="0"/>
    <cacheHierarchy uniqueName="[DimPMTProject].[PercentGasDHW]" caption="PercentGasDHW" attribute="1" defaultMemberUniqueName="[DimPMTProject].[PercentGasDHW].[All]" allUniqueName="[DimPMTProject].[PercentGasDHW].[All]" dimensionUniqueName="[DimPMTProject]" displayFolder="" count="0" unbalanced="0"/>
    <cacheHierarchy uniqueName="[DimPMTProject].[PercentSingleFamily]" caption="PercentSingleFamily" attribute="1" defaultMemberUniqueName="[DimPMTProject].[PercentSingleFamily].[All]" allUniqueName="[DimPMTProject].[PercentSingleFamily].[All]" dimensionUniqueName="[DimPMTProject]" displayFolder="" count="0" unbalanced="0"/>
    <cacheHierarchy uniqueName="[DimPMTProject].[PMTICKey]" caption="PMTICKey" attribute="1" defaultMemberUniqueName="[DimPMTProject].[PMTICKey].[All]" allUniqueName="[DimPMTProject].[PMTICKey].[All]" dimensionUniqueName="[DimPMTProject]" displayFolder="" count="0" unbalanced="0"/>
    <cacheHierarchy uniqueName="[DimPMTProject].[PostInstallationInspectionApprovalDate]" caption="PostInstallationInspectionApprovalDate" attribute="1" defaultMemberUniqueName="[DimPMTProject].[PostInstallationInspectionApprovalDate].[All]" allUniqueName="[DimPMTProject].[PostInstallationInspectionApprovalDate].[All]" dimensionUniqueName="[DimPMTProject]" displayFolder="" count="0" unbalanced="0"/>
    <cacheHierarchy uniqueName="[DimPMTProject].[PostInstallationInspectionComments]" caption="PostInstallationInspectionComments" attribute="1" defaultMemberUniqueName="[DimPMTProject].[PostInstallationInspectionComments].[All]" allUniqueName="[DimPMTProject].[PostInstallationInspectionComments].[All]" dimensionUniqueName="[DimPMTProject]" displayFolder="" count="0" unbalanced="0"/>
    <cacheHierarchy uniqueName="[DimPMTProject].[PostInstallationInspectionDate]" caption="PostInstallationInspectionDate" attribute="1" defaultMemberUniqueName="[DimPMTProject].[PostInstallationInspectionDate].[All]" allUniqueName="[DimPMTProject].[PostInstallationInspectionDate].[All]" dimensionUniqueName="[DimPMTProject]" displayFolder="" count="0" unbalanced="0"/>
    <cacheHierarchy uniqueName="[DimPMTProject].[PostInstallationInspectorName]" caption="PostInstallationInspectorName" attribute="1" defaultMemberUniqueName="[DimPMTProject].[PostInstallationInspectorName].[All]" allUniqueName="[DimPMTProject].[PostInstallationInspectorName].[All]" dimensionUniqueName="[DimPMTProject]" displayFolder="" count="0" unbalanced="0"/>
    <cacheHierarchy uniqueName="[DimPMTProject].[PreInstallationInspectionApprovalDate]" caption="PreInstallationInspectionApprovalDate" attribute="1" defaultMemberUniqueName="[DimPMTProject].[PreInstallationInspectionApprovalDate].[All]" allUniqueName="[DimPMTProject].[PreInstallationInspectionApprovalDate].[All]" dimensionUniqueName="[DimPMTProject]" displayFolder="" count="0" unbalanced="0"/>
    <cacheHierarchy uniqueName="[DimPMTProject].[PreInstallationInspectionComments]" caption="PreInstallationInspectionComments" attribute="1" defaultMemberUniqueName="[DimPMTProject].[PreInstallationInspectionComments].[All]" allUniqueName="[DimPMTProject].[PreInstallationInspectionComments].[All]" dimensionUniqueName="[DimPMTProject]" displayFolder="" count="0" unbalanced="0"/>
    <cacheHierarchy uniqueName="[DimPMTProject].[PreInstallationInspectionDate]" caption="PreInstallationInspectionDate" attribute="1" defaultMemberUniqueName="[DimPMTProject].[PreInstallationInspectionDate].[All]" allUniqueName="[DimPMTProject].[PreInstallationInspectionDate].[All]" dimensionUniqueName="[DimPMTProject]" displayFolder="" count="0" unbalanced="0"/>
    <cacheHierarchy uniqueName="[DimPMTProject].[PreInstallationInspectorName]" caption="PreInstallationInspectorName" attribute="1" defaultMemberUniqueName="[DimPMTProject].[PreInstallationInspectorName].[All]" allUniqueName="[DimPMTProject].[PreInstallationInspectorName].[All]" dimensionUniqueName="[DimPMTProject]" displayFolder="" count="0" unbalanced="0"/>
    <cacheHierarchy uniqueName="[DimPMTProject].[Premise Address1]" caption="Premise Address1" attribute="1" defaultMemberUniqueName="[DimPMTProject].[Premise Address1].[All]" allUniqueName="[DimPMTProject].[Premise Address1].[All]" dimensionUniqueName="[DimPMTProject]" displayFolder="" count="0" unbalanced="0"/>
    <cacheHierarchy uniqueName="[DimPMTProject].[Premise Address2]" caption="Premise Address2" attribute="1" defaultMemberUniqueName="[DimPMTProject].[Premise Address2].[All]" allUniqueName="[DimPMTProject].[Premise Address2].[All]" dimensionUniqueName="[DimPMTProject]" displayFolder="" count="0" unbalanced="0"/>
    <cacheHierarchy uniqueName="[DimPMTProject].[Premise City]" caption="Premise City" attribute="1" defaultMemberUniqueName="[DimPMTProject].[Premise City].[All]" allUniqueName="[DimPMTProject].[Premise City].[All]" dimensionUniqueName="[DimPMTProject]" displayFolder="" count="0" unbalanced="0"/>
    <cacheHierarchy uniqueName="[DimPMTProject].[Premise ID]" caption="Premise ID" attribute="1" defaultMemberUniqueName="[DimPMTProject].[Premise ID].[All]" allUniqueName="[DimPMTProject].[Premise ID].[All]" dimensionUniqueName="[DimPMTProject]" displayFolder="" count="0" unbalanced="0"/>
    <cacheHierarchy uniqueName="[DimPMTProject].[Premise Name]" caption="Premise Name" attribute="1" defaultMemberUniqueName="[DimPMTProject].[Premise Name].[All]" allUniqueName="[DimPMTProject].[Premise Name].[All]" dimensionUniqueName="[DimPMTProject]" displayFolder="" count="0" unbalanced="0"/>
    <cacheHierarchy uniqueName="[DimPMTProject].[Premise Phone Number]" caption="Premise Phone Number" attribute="1" defaultMemberUniqueName="[DimPMTProject].[Premise Phone Number].[All]" allUniqueName="[DimPMTProject].[Premise Phone Number].[All]" dimensionUniqueName="[DimPMTProject]" displayFolder="" count="0" unbalanced="0"/>
    <cacheHierarchy uniqueName="[DimPMTProject].[Premise State]" caption="Premise State" attribute="1" defaultMemberUniqueName="[DimPMTProject].[Premise State].[All]" allUniqueName="[DimPMTProject].[Premise State].[All]" dimensionUniqueName="[DimPMTProject]" displayFolder="" count="0" unbalanced="0"/>
    <cacheHierarchy uniqueName="[DimPMTProject].[Premise Zip]" caption="Premise Zip" attribute="1" defaultMemberUniqueName="[DimPMTProject].[Premise Zip].[All]" allUniqueName="[DimPMTProject].[Premise Zip].[All]" dimensionUniqueName="[DimPMTProject]" displayFolder="" count="0" unbalanced="0"/>
    <cacheHierarchy uniqueName="[DimPMTProject].[Program Year]" caption="Program Year" attribute="1" defaultMemberUniqueName="[DimPMTProject].[Program Year].[All]" allUniqueName="[DimPMTProject].[Program Year].[All]" dimensionUniqueName="[DimPMTProject]" displayFolder="" count="2" unbalanced="0">
      <fieldsUsage count="2">
        <fieldUsage x="-1"/>
        <fieldUsage x="9"/>
      </fieldsUsage>
    </cacheHierarchy>
    <cacheHierarchy uniqueName="[DimPMTProject].[ProgramAccountingID]" caption="ProgramAccountingID" attribute="1" defaultMemberUniqueName="[DimPMTProject].[ProgramAccountingID].[All]" allUniqueName="[DimPMTProject].[ProgramAccountingID].[All]" dimensionUniqueName="[DimPMTProject]" displayFolder="" count="0" unbalanced="0"/>
    <cacheHierarchy uniqueName="[DimPMTProject].[ProgramCategory]" caption="ProgramCategory" attribute="1" defaultMemberUniqueName="[DimPMTProject].[ProgramCategory].[All]" allUniqueName="[DimPMTProject].[ProgramCategory].[All]" dimensionUniqueName="[DimPMTProject]" displayFolder="" count="0" unbalanced="0"/>
    <cacheHierarchy uniqueName="[DimPMTProject].[ProgramYearSort]" caption="ProgramYearSort" attribute="1" defaultMemberUniqueName="[DimPMTProject].[ProgramYearSort].[All]" allUniqueName="[DimPMTProject].[ProgramYearSort].[All]" dimensionUniqueName="[DimPMTProject]" displayFolder="" count="0" unbalanced="0"/>
    <cacheHierarchy uniqueName="[DimPMTProject].[Project ID]" caption="Project ID" attribute="1" defaultMemberUniqueName="[DimPMTProject].[Project ID].[All]" allUniqueName="[DimPMTProject].[Project ID].[All]" dimensionUniqueName="[DimPMTProject]" displayFolder="" count="0" unbalanced="0"/>
    <cacheHierarchy uniqueName="[DimPMTProject].[Project Name]" caption="Project Name" attribute="1" defaultMemberUniqueName="[DimPMTProject].[Project Name].[All]" allUniqueName="[DimPMTProject].[Project Name].[All]" dimensionUniqueName="[DimPMTProject]" displayFolder="" count="0" unbalanced="0"/>
    <cacheHierarchy uniqueName="[DimPMTProject].[Project Source]" caption="Project Source" attribute="1" defaultMemberUniqueName="[DimPMTProject].[Project Source].[All]" allUniqueName="[DimPMTProject].[Project Source].[All]" dimensionUniqueName="[DimPMTProject]" displayFolder="" count="0" unbalanced="0"/>
    <cacheHierarchy uniqueName="[DimPMTProject].[Project Type]" caption="Project Type" attribute="1" defaultMemberUniqueName="[DimPMTProject].[Project Type].[All]" allUniqueName="[DimPMTProject].[Project Type].[All]" dimensionUniqueName="[DimPMTProject]" displayFolder="" count="2" unbalanced="0">
      <fieldsUsage count="2">
        <fieldUsage x="-1"/>
        <fieldUsage x="7"/>
      </fieldsUsage>
    </cacheHierarchy>
    <cacheHierarchy uniqueName="[DimPMTProject].[ProjectBuildingOrFacility]" caption="ProjectBuildingOrFacility" attribute="1" defaultMemberUniqueName="[DimPMTProject].[ProjectBuildingOrFacility].[All]" allUniqueName="[DimPMTProject].[ProjectBuildingOrFacility].[All]" dimensionUniqueName="[DimPMTProject]" displayFolder="" count="0" unbalanced="0"/>
    <cacheHierarchy uniqueName="[DimPMTProject].[ProjectCategory]" caption="ProjectCategory" attribute="1" defaultMemberUniqueName="[DimPMTProject].[ProjectCategory].[All]" allUniqueName="[DimPMTProject].[ProjectCategory].[All]" dimensionUniqueName="[DimPMTProject]" displayFolder="" count="0" unbalanced="0"/>
    <cacheHierarchy uniqueName="[DimPMTProject].[ProjectShortTitle]" caption="ProjectShortTitle" attribute="1" defaultMemberUniqueName="[DimPMTProject].[ProjectShortTitle].[All]" allUniqueName="[DimPMTProject].[ProjectShortTitle].[All]" dimensionUniqueName="[DimPMTProject]" displayFolder="" count="0" unbalanced="0"/>
    <cacheHierarchy uniqueName="[DimPMTProject].[PromoCode]" caption="PromoCode" attribute="1" defaultMemberUniqueName="[DimPMTProject].[PromoCode].[All]" allUniqueName="[DimPMTProject].[PromoCode].[All]" dimensionUniqueName="[DimPMTProject]" displayFolder="" count="0" unbalanced="0"/>
    <cacheHierarchy uniqueName="[DimPMTProject].[PropertySector]" caption="PropertySector" attribute="1" defaultMemberUniqueName="[DimPMTProject].[PropertySector].[All]" allUniqueName="[DimPMTProject].[PropertySector].[All]" dimensionUniqueName="[DimPMTProject]" displayFolder="" count="2" unbalanced="0">
      <fieldsUsage count="2">
        <fieldUsage x="-1"/>
        <fieldUsage x="10"/>
      </fieldsUsage>
    </cacheHierarchy>
    <cacheHierarchy uniqueName="[DimPMTProject].[PublicSectorClass]" caption="PublicSectorClass" attribute="1" defaultMemberUniqueName="[DimPMTProject].[PublicSectorClass].[All]" allUniqueName="[DimPMTProject].[PublicSectorClass].[All]" dimensionUniqueName="[DimPMTProject]" displayFolder="" count="0" unbalanced="0"/>
    <cacheHierarchy uniqueName="[DimPMTProject].[ReportingReferenceDate]" caption="ReportingReferenceDate" attribute="1" defaultMemberUniqueName="[DimPMTProject].[ReportingReferenceDate].[All]" allUniqueName="[DimPMTProject].[ReportingReferenceDate].[All]" dimensionUniqueName="[DimPMTProject]" displayFolder="" count="0" unbalanced="0"/>
    <cacheHierarchy uniqueName="[DimPMTProject].[ResAnnualkWhSavings]" caption="ResAnnualkWhSavings" attribute="1" defaultMemberUniqueName="[DimPMTProject].[ResAnnualkWhSavings].[All]" allUniqueName="[DimPMTProject].[ResAnnualkWhSavings].[All]" dimensionUniqueName="[DimPMTProject]" displayFolder="" count="0" unbalanced="0"/>
    <cacheHierarchy uniqueName="[DimPMTProject].[ResAnnualPeakkWReduction]" caption="ResAnnualPeakkWReduction" attribute="1" defaultMemberUniqueName="[DimPMTProject].[ResAnnualPeakkWReduction].[All]" allUniqueName="[DimPMTProject].[ResAnnualPeakkWReduction].[All]" dimensionUniqueName="[DimPMTProject]" displayFolder="" count="0" unbalanced="0"/>
    <cacheHierarchy uniqueName="[DimPMTProject].[ResDesignIncentive]" caption="ResDesignIncentive" attribute="1" defaultMemberUniqueName="[DimPMTProject].[ResDesignIncentive].[All]" allUniqueName="[DimPMTProject].[ResDesignIncentive].[All]" dimensionUniqueName="[DimPMTProject]" displayFolder="" count="0" unbalanced="0"/>
    <cacheHierarchy uniqueName="[DimPMTProject].[ResDesignIncentiveAgreementDate]" caption="ResDesignIncentiveAgreementDate" attribute="1" defaultMemberUniqueName="[DimPMTProject].[ResDesignIncentiveAgreementDate].[All]" allUniqueName="[DimPMTProject].[ResDesignIncentiveAgreementDate].[All]" dimensionUniqueName="[DimPMTProject]" displayFolder="" count="0" unbalanced="0"/>
    <cacheHierarchy uniqueName="[DimPMTProject].[ResElectricMeasureIncentive]" caption="ResElectricMeasureIncentive" attribute="1" defaultMemberUniqueName="[DimPMTProject].[ResElectricMeasureIncentive].[All]" allUniqueName="[DimPMTProject].[ResElectricMeasureIncentive].[All]" dimensionUniqueName="[DimPMTProject]" displayFolder="" count="0" unbalanced="0"/>
    <cacheHierarchy uniqueName="[DimPMTProject].[ReservationInteractivekwhSavings]" caption="ReservationInteractivekwhSavings" attribute="1" defaultMemberUniqueName="[DimPMTProject].[ReservationInteractivekwhSavings].[All]" allUniqueName="[DimPMTProject].[ReservationInteractivekwhSavings].[All]" dimensionUniqueName="[DimPMTProject]" displayFolder="" count="0" unbalanced="0"/>
    <cacheHierarchy uniqueName="[DimPMTProject].[ReservationInteractiveThermSavings]" caption="ReservationInteractiveThermSavings" attribute="1" defaultMemberUniqueName="[DimPMTProject].[ReservationInteractiveThermSavings].[All]" allUniqueName="[DimPMTProject].[ReservationInteractiveThermSavings].[All]" dimensionUniqueName="[DimPMTProject]" displayFolder="" count="0" unbalanced="0"/>
    <cacheHierarchy uniqueName="[DimPMTProject].[ReservationkwhIncrease]" caption="ReservationkwhIncrease" attribute="1" defaultMemberUniqueName="[DimPMTProject].[ReservationkwhIncrease].[All]" allUniqueName="[DimPMTProject].[ReservationkwhIncrease].[All]" dimensionUniqueName="[DimPMTProject]" displayFolder="" count="0" unbalanced="0"/>
    <cacheHierarchy uniqueName="[DimPMTProject].[ReservationThermIncrease]" caption="ReservationThermIncrease" attribute="1" defaultMemberUniqueName="[DimPMTProject].[ReservationThermIncrease].[All]" allUniqueName="[DimPMTProject].[ReservationThermIncrease].[All]" dimensionUniqueName="[DimPMTProject]" displayFolder="" count="0" unbalanced="0"/>
    <cacheHierarchy uniqueName="[DimPMTProject].[ResEstAnnualThermSavings]" caption="ResEstAnnualThermSavings" attribute="1" defaultMemberUniqueName="[DimPMTProject].[ResEstAnnualThermSavings].[All]" allUniqueName="[DimPMTProject].[ResEstAnnualThermSavings].[All]" dimensionUniqueName="[DimPMTProject]" displayFolder="" count="0" unbalanced="0"/>
    <cacheHierarchy uniqueName="[DimPMTProject].[ResEstimatedNicorIncentive]" caption="ResEstimatedNicorIncentive" attribute="1" defaultMemberUniqueName="[DimPMTProject].[ResEstimatedNicorIncentive].[All]" allUniqueName="[DimPMTProject].[ResEstimatedNicorIncentive].[All]" dimensionUniqueName="[DimPMTProject]" displayFolder="" count="0" unbalanced="0"/>
    <cacheHierarchy uniqueName="[DimPMTProject].[ResidentialBuildingTypeKey]" caption="ResidentialBuildingTypeKey" attribute="1" defaultMemberUniqueName="[DimPMTProject].[ResidentialBuildingTypeKey].[All]" allUniqueName="[DimPMTProject].[ResidentialBuildingTypeKey].[All]" dimensionUniqueName="[DimPMTProject]" displayFolder="" count="0" unbalanced="0"/>
    <cacheHierarchy uniqueName="[DimPMTProject].[ResMeasureIncentiveAgreementDate]" caption="ResMeasureIncentiveAgreementDate" attribute="1" defaultMemberUniqueName="[DimPMTProject].[ResMeasureIncentiveAgreementDate].[All]" allUniqueName="[DimPMTProject].[ResMeasureIncentiveAgreementDate].[All]" dimensionUniqueName="[DimPMTProject]" displayFolder="" count="0" unbalanced="0"/>
    <cacheHierarchy uniqueName="[DimPMTProject].[ResponseRate]" caption="ResponseRate" attribute="1" defaultMemberUniqueName="[DimPMTProject].[ResponseRate].[All]" allUniqueName="[DimPMTProject].[ResponseRate].[All]" dimensionUniqueName="[DimPMTProject]" displayFolder="" count="0" unbalanced="0"/>
    <cacheHierarchy uniqueName="[DimPMTProject].[RoofType]" caption="RoofType" attribute="1" defaultMemberUniqueName="[DimPMTProject].[RoofType].[All]" allUniqueName="[DimPMTProject].[RoofType].[All]" dimensionUniqueName="[DimPMTProject]" displayFolder="" count="0" unbalanced="0"/>
    <cacheHierarchy uniqueName="[DimPMTProject].[SchoolType]" caption="SchoolType" attribute="1" defaultMemberUniqueName="[DimPMTProject].[SchoolType].[All]" allUniqueName="[DimPMTProject].[SchoolType].[All]" dimensionUniqueName="[DimPMTProject]" displayFolder="" count="0" unbalanced="0"/>
    <cacheHierarchy uniqueName="[DimPMTProject].[Sector]" caption="Sector" attribute="1" defaultMemberUniqueName="[DimPMTProject].[Sector].[All]" allUniqueName="[DimPMTProject].[Sector].[All]" dimensionUniqueName="[DimPMTProject]" displayFolder="" count="0" unbalanced="0"/>
    <cacheHierarchy uniqueName="[DimPMTProject].[SelectedForQAQC]" caption="SelectedForQAQC" attribute="1" defaultMemberUniqueName="[DimPMTProject].[SelectedForQAQC].[All]" allUniqueName="[DimPMTProject].[SelectedForQAQC].[All]" dimensionUniqueName="[DimPMTProject]" displayFolder="" count="0" unbalanced="0"/>
    <cacheHierarchy uniqueName="[DimPMTProject].[SignedServiceAgreementDate]" caption="SignedServiceAgreementDate" attribute="1" defaultMemberUniqueName="[DimPMTProject].[SignedServiceAgreementDate].[All]" allUniqueName="[DimPMTProject].[SignedServiceAgreementDate].[All]" dimensionUniqueName="[DimPMTProject]" displayFolder="" count="0" unbalanced="0"/>
    <cacheHierarchy uniqueName="[DimPMTProject].[SubProgramTypeKey]" caption="SubProgramTypeKey" attribute="1" defaultMemberUniqueName="[DimPMTProject].[SubProgramTypeKey].[All]" allUniqueName="[DimPMTProject].[SubProgramTypeKey].[All]" dimensionUniqueName="[DimPMTProject]" displayFolder="" count="0" unbalanced="0"/>
    <cacheHierarchy uniqueName="[DimPMTProject].[TAAnalysisDeliveryDate]" caption="TAAnalysisDeliveryDate" attribute="1" defaultMemberUniqueName="[DimPMTProject].[TAAnalysisDeliveryDate].[All]" allUniqueName="[DimPMTProject].[TAAnalysisDeliveryDate].[All]" dimensionUniqueName="[DimPMTProject]" displayFolder="" count="0" unbalanced="0"/>
    <cacheHierarchy uniqueName="[DimPMTProject].[TAAnnualEstimatedThermSavings]" caption="TAAnnualEstimatedThermSavings" attribute="1" defaultMemberUniqueName="[DimPMTProject].[TAAnnualEstimatedThermSavings].[All]" allUniqueName="[DimPMTProject].[TAAnnualEstimatedThermSavings].[All]" dimensionUniqueName="[DimPMTProject]" displayFolder="" count="0" unbalanced="0"/>
    <cacheHierarchy uniqueName="[DimPMTProject].[TAAnnualkWhSavings]" caption="TAAnnualkWhSavings" attribute="1" defaultMemberUniqueName="[DimPMTProject].[TAAnnualkWhSavings].[All]" allUniqueName="[DimPMTProject].[TAAnnualkWhSavings].[All]" dimensionUniqueName="[DimPMTProject]" displayFolder="" count="0" unbalanced="0"/>
    <cacheHierarchy uniqueName="[DimPMTProject].[TAAnnualPeakkWReduction]" caption="TAAnnualPeakkWReduction" attribute="1" defaultMemberUniqueName="[DimPMTProject].[TAAnnualPeakkWReduction].[All]" allUniqueName="[DimPMTProject].[TAAnnualPeakkWReduction].[All]" dimensionUniqueName="[DimPMTProject]" displayFolder="" count="0" unbalanced="0"/>
    <cacheHierarchy uniqueName="[DimPMTProject].[TAElectricMeasureIncentive]" caption="TAElectricMeasureIncentive" attribute="1" defaultMemberUniqueName="[DimPMTProject].[TAElectricMeasureIncentive].[All]" allUniqueName="[DimPMTProject].[TAElectricMeasureIncentive].[All]" dimensionUniqueName="[DimPMTProject]" displayFolder="" count="0" unbalanced="0"/>
    <cacheHierarchy uniqueName="[DimPMTProject].[TAEstimatedDesignIncentive]" caption="TAEstimatedDesignIncentive" attribute="1" defaultMemberUniqueName="[DimPMTProject].[TAEstimatedDesignIncentive].[All]" allUniqueName="[DimPMTProject].[TAEstimatedDesignIncentive].[All]" dimensionUniqueName="[DimPMTProject]" displayFolder="" count="0" unbalanced="0"/>
    <cacheHierarchy uniqueName="[DimPMTProject].[TAEstimatedNicorIncentive]" caption="TAEstimatedNicorIncentive" attribute="1" defaultMemberUniqueName="[DimPMTProject].[TAEstimatedNicorIncentive].[All]" allUniqueName="[DimPMTProject].[TAEstimatedNicorIncentive].[All]" dimensionUniqueName="[DimPMTProject]" displayFolder="" count="0" unbalanced="0"/>
    <cacheHierarchy uniqueName="[DimPMTProject].[TAInteractivekwhSavings]" caption="TAInteractivekwhSavings" attribute="1" defaultMemberUniqueName="[DimPMTProject].[TAInteractivekwhSavings].[All]" allUniqueName="[DimPMTProject].[TAInteractivekwhSavings].[All]" dimensionUniqueName="[DimPMTProject]" displayFolder="" count="0" unbalanced="0"/>
    <cacheHierarchy uniqueName="[DimPMTProject].[TAInteractiveThermSavings]" caption="TAInteractiveThermSavings" attribute="1" defaultMemberUniqueName="[DimPMTProject].[TAInteractiveThermSavings].[All]" allUniqueName="[DimPMTProject].[TAInteractiveThermSavings].[All]" dimensionUniqueName="[DimPMTProject]" displayFolder="" count="0" unbalanced="0"/>
    <cacheHierarchy uniqueName="[DimPMTProject].[TAkwhIncrease]" caption="TAkwhIncrease" attribute="1" defaultMemberUniqueName="[DimPMTProject].[TAkwhIncrease].[All]" allUniqueName="[DimPMTProject].[TAkwhIncrease].[All]" dimensionUniqueName="[DimPMTProject]" displayFolder="" count="0" unbalanced="0"/>
    <cacheHierarchy uniqueName="[DimPMTProject].[TAStartDate]" caption="TAStartDate" attribute="1" defaultMemberUniqueName="[DimPMTProject].[TAStartDate].[All]" allUniqueName="[DimPMTProject].[TAStartDate].[All]" dimensionUniqueName="[DimPMTProject]" displayFolder="" count="0" unbalanced="0"/>
    <cacheHierarchy uniqueName="[DimPMTProject].[TAThermIncrease]" caption="TAThermIncrease" attribute="1" defaultMemberUniqueName="[DimPMTProject].[TAThermIncrease].[All]" allUniqueName="[DimPMTProject].[TAThermIncrease].[All]" dimensionUniqueName="[DimPMTProject]" displayFolder="" count="0" unbalanced="0"/>
    <cacheHierarchy uniqueName="[DimPMTProject].[TechnologicalMaturityScore]" caption="TechnologicalMaturityScore" attribute="1" defaultMemberUniqueName="[DimPMTProject].[TechnologicalMaturityScore].[All]" allUniqueName="[DimPMTProject].[TechnologicalMaturityScore].[All]" dimensionUniqueName="[DimPMTProject]" displayFolder="" count="0" unbalanced="0"/>
    <cacheHierarchy uniqueName="[DimPMTProject].[TenantHotWaterFuelSource]" caption="TenantHotWaterFuelSource" attribute="1" defaultMemberUniqueName="[DimPMTProject].[TenantHotWaterFuelSource].[All]" allUniqueName="[DimPMTProject].[TenantHotWaterFuelSource].[All]" dimensionUniqueName="[DimPMTProject]" displayFolder="" count="0" unbalanced="0"/>
    <cacheHierarchy uniqueName="[DimPMTProject].[TenantType]" caption="TenantType" attribute="1" defaultMemberUniqueName="[DimPMTProject].[TenantType].[All]" allUniqueName="[DimPMTProject].[TenantType].[All]" dimensionUniqueName="[DimPMTProject]" displayFolder="" count="0" unbalanced="0"/>
    <cacheHierarchy uniqueName="[DimPMTProject].[TotalWeightedScore]" caption="TotalWeightedScore" attribute="1" defaultMemberUniqueName="[DimPMTProject].[TotalWeightedScore].[All]" allUniqueName="[DimPMTProject].[TotalWeightedScore].[All]" dimensionUniqueName="[DimPMTProject]" displayFolder="" count="0" unbalanced="0"/>
    <cacheHierarchy uniqueName="[DimPMTProject].[UnitCeilingHeight]" caption="UnitCeilingHeight" attribute="1" defaultMemberUniqueName="[DimPMTProject].[UnitCeilingHeight].[All]" allUniqueName="[DimPMTProject].[UnitCeilingHeight].[All]" dimensionUniqueName="[DimPMTProject]" displayFolder="" count="0" unbalanced="0"/>
    <cacheHierarchy uniqueName="[DimPMTProject].[UnitNumber]" caption="UnitNumber" attribute="1" defaultMemberUniqueName="[DimPMTProject].[UnitNumber].[All]" allUniqueName="[DimPMTProject].[UnitNumber].[All]" dimensionUniqueName="[DimPMTProject]" displayFolder="" count="0" unbalanced="0"/>
    <cacheHierarchy uniqueName="[DimPMTProject].[ValueScore]" caption="ValueScore" attribute="1" defaultMemberUniqueName="[DimPMTProject].[ValueScore].[All]" allUniqueName="[DimPMTProject].[ValueScore].[All]" dimensionUniqueName="[DimPMTProject]" displayFolder="" count="0" unbalanced="0"/>
    <cacheHierarchy uniqueName="[DimPMTProject].[VerAnnualkWhSavings]" caption="VerAnnualkWhSavings" attribute="1" defaultMemberUniqueName="[DimPMTProject].[VerAnnualkWhSavings].[All]" allUniqueName="[DimPMTProject].[VerAnnualkWhSavings].[All]" dimensionUniqueName="[DimPMTProject]" displayFolder="" count="0" unbalanced="0"/>
    <cacheHierarchy uniqueName="[DimPMTProject].[VerAnnualPeakkWReduction]" caption="VerAnnualPeakkWReduction" attribute="1" defaultMemberUniqueName="[DimPMTProject].[VerAnnualPeakkWReduction].[All]" allUniqueName="[DimPMTProject].[VerAnnualPeakkWReduction].[All]" dimensionUniqueName="[DimPMTProject]" displayFolder="" count="0" unbalanced="0"/>
    <cacheHierarchy uniqueName="[DimPMTProject].[VerAnnualThermSavings]" caption="VerAnnualThermSavings" attribute="1" defaultMemberUniqueName="[DimPMTProject].[VerAnnualThermSavings].[All]" allUniqueName="[DimPMTProject].[VerAnnualThermSavings].[All]" dimensionUniqueName="[DimPMTProject]" displayFolder="" count="0" unbalanced="0"/>
    <cacheHierarchy uniqueName="[DimPMTProject].[VerDesignIncentive]" caption="VerDesignIncentive" attribute="1" defaultMemberUniqueName="[DimPMTProject].[VerDesignIncentive].[All]" allUniqueName="[DimPMTProject].[VerDesignIncentive].[All]" dimensionUniqueName="[DimPMTProject]" displayFolder="" count="0" unbalanced="0"/>
    <cacheHierarchy uniqueName="[DimPMTProject].[VerElectricMeasureIncentive]" caption="VerElectricMeasureIncentive" attribute="1" defaultMemberUniqueName="[DimPMTProject].[VerElectricMeasureIncentive].[All]" allUniqueName="[DimPMTProject].[VerElectricMeasureIncentive].[All]" dimensionUniqueName="[DimPMTProject]" displayFolder="" count="0" unbalanced="0"/>
    <cacheHierarchy uniqueName="[DimPMTProject].[VerificationInteractivekwhSavings]" caption="VerificationInteractivekwhSavings" attribute="1" defaultMemberUniqueName="[DimPMTProject].[VerificationInteractivekwhSavings].[All]" allUniqueName="[DimPMTProject].[VerificationInteractivekwhSavings].[All]" dimensionUniqueName="[DimPMTProject]" displayFolder="" count="0" unbalanced="0"/>
    <cacheHierarchy uniqueName="[DimPMTProject].[VerificationInteractiveThermSavings]" caption="VerificationInteractiveThermSavings" attribute="1" defaultMemberUniqueName="[DimPMTProject].[VerificationInteractiveThermSavings].[All]" allUniqueName="[DimPMTProject].[VerificationInteractiveThermSavings].[All]" dimensionUniqueName="[DimPMTProject]" displayFolder="" count="0" unbalanced="0"/>
    <cacheHierarchy uniqueName="[DimPMTProject].[VerificationkwhIncrease]" caption="VerificationkwhIncrease" attribute="1" defaultMemberUniqueName="[DimPMTProject].[VerificationkwhIncrease].[All]" allUniqueName="[DimPMTProject].[VerificationkwhIncrease].[All]" dimensionUniqueName="[DimPMTProject]" displayFolder="" count="0" unbalanced="0"/>
    <cacheHierarchy uniqueName="[DimPMTProject].[VerificationPhaseDate]" caption="VerificationPhaseDate" attribute="1" defaultMemberUniqueName="[DimPMTProject].[VerificationPhaseDate].[All]" allUniqueName="[DimPMTProject].[VerificationPhaseDate].[All]" dimensionUniqueName="[DimPMTProject]" displayFolder="" count="0" unbalanced="0"/>
    <cacheHierarchy uniqueName="[DimPMTProject].[VerificationThermIncrease]" caption="VerificationThermIncrease" attribute="1" defaultMemberUniqueName="[DimPMTProject].[VerificationThermIncrease].[All]" allUniqueName="[DimPMTProject].[VerificationThermIncrease].[All]" dimensionUniqueName="[DimPMTProject]" displayFolder="" count="0" unbalanced="0"/>
    <cacheHierarchy uniqueName="[DimPMTProject].[VerificationType]" caption="VerificationType" attribute="1" defaultMemberUniqueName="[DimPMTProject].[VerificationType].[All]" allUniqueName="[DimPMTProject].[VerificationType].[All]" dimensionUniqueName="[DimPMTProject]" displayFolder="" count="0" unbalanced="0"/>
    <cacheHierarchy uniqueName="[DimPMTProject].[VerNicorIncentive]" caption="VerNicorIncentive" attribute="1" defaultMemberUniqueName="[DimPMTProject].[VerNicorIncentive].[All]" allUniqueName="[DimPMTProject].[VerNicorIncentive].[All]" dimensionUniqueName="[DimPMTProject]" displayFolder="" count="0" unbalanced="0"/>
    <cacheHierarchy uniqueName="[DimPMTProject].[VerSiteVisitDate]" caption="VerSiteVisitDate" attribute="1" defaultMemberUniqueName="[DimPMTProject].[VerSiteVisitDate].[All]" allUniqueName="[DimPMTProject].[VerSiteVisitDate].[All]" dimensionUniqueName="[DimPMTProject]" displayFolder="" count="0" unbalanced="0"/>
    <cacheHierarchy uniqueName="[DimPMTProject].[Year Built]" caption="Year Built" attribute="1" defaultMemberUniqueName="[DimPMTProject].[Year Built].[All]" allUniqueName="[DimPMTProject].[Year Built].[All]" dimensionUniqueName="[DimPMTProject]" displayFolder="" count="0" unbalanced="0"/>
    <cacheHierarchy uniqueName="[DimPMTSystem].[Age]" caption="Age" attribute="1" defaultMemberUniqueName="[DimPMTSystem].[Age].[All]" allUniqueName="[DimPMTSystem].[Age].[All]" dimensionUniqueName="[DimPMTSystem]" displayFolder="" count="0" unbalanced="0"/>
    <cacheHierarchy uniqueName="[DimPMTSystem].[Cooling System Type]" caption="Cooling System Type" attribute="1" defaultMemberUniqueName="[DimPMTSystem].[Cooling System Type].[All]" allUniqueName="[DimPMTSystem].[Cooling System Type].[All]" dimensionUniqueName="[DimPMTSystem]" displayFolder="" count="0" unbalanced="0"/>
    <cacheHierarchy uniqueName="[DimPMTSystem].[DHW System Type]" caption="DHW System Type" attribute="1" defaultMemberUniqueName="[DimPMTSystem].[DHW System Type].[All]" allUniqueName="[DimPMTSystem].[DHW System Type].[All]" dimensionUniqueName="[DimPMTSystem]" displayFolder="" count="0" unbalanced="0"/>
    <cacheHierarchy uniqueName="[DimPMTSystem].[Equipment AFUE]" caption="Equipment AFUE" attribute="1" defaultMemberUniqueName="[DimPMTSystem].[Equipment AFUE].[All]" allUniqueName="[DimPMTSystem].[Equipment AFUE].[All]" dimensionUniqueName="[DimPMTSystem]" displayFolder="" count="0" unbalanced="0"/>
    <cacheHierarchy uniqueName="[DimPMTSystem].[Fuel Type]" caption="Fuel Type" attribute="1" defaultMemberUniqueName="[DimPMTSystem].[Fuel Type].[All]" allUniqueName="[DimPMTSystem].[Fuel Type].[All]" dimensionUniqueName="[DimPMTSystem]" displayFolder="" count="0" unbalanced="0"/>
    <cacheHierarchy uniqueName="[DimPMTSystem].[Heating System type]" caption="Heating System type" attribute="1" defaultMemberUniqueName="[DimPMTSystem].[Heating System type].[All]" allUniqueName="[DimPMTSystem].[Heating System type].[All]" dimensionUniqueName="[DimPMTSystem]" displayFolder="" count="0" unbalanced="0"/>
    <cacheHierarchy uniqueName="[DimPMTSystem].[Input kBTUh]" caption="Input kBTUh" attribute="1" defaultMemberUniqueName="[DimPMTSystem].[Input kBTUh].[All]" allUniqueName="[DimPMTSystem].[Input kBTUh].[All]" dimensionUniqueName="[DimPMTSystem]" displayFolder="" count="0" unbalanced="0"/>
    <cacheHierarchy uniqueName="[DimPMTSystem].[OutputCapactity KBTUh]" caption="OutputCapactity KBTUh" attribute="1" defaultMemberUniqueName="[DimPMTSystem].[OutputCapactity KBTUh].[All]" allUniqueName="[DimPMTSystem].[OutputCapactity KBTUh].[All]" dimensionUniqueName="[DimPMTSystem]" displayFolder="" count="0" unbalanced="0"/>
    <cacheHierarchy uniqueName="[DimPMTSystem].[Type]" caption="Type" attribute="1" defaultMemberUniqueName="[DimPMTSystem].[Type].[All]" allUniqueName="[DimPMTSystem].[Type].[All]" dimensionUniqueName="[DimPMTSystem]" displayFolder="" count="0" unbalanced="0"/>
    <cacheHierarchy uniqueName="[DimProjectTradeAlly].[TradeAllyKey]" caption="TradeAllyKey" attribute="1" defaultMemberUniqueName="[DimProjectTradeAlly].[TradeAllyKey].[All]" allUniqueName="[DimProjectTradeAlly].[TradeAllyKey].[All]" dimensionUniqueName="[DimProjectTradeAlly]" displayFolder="" count="0" unbalanced="0"/>
    <cacheHierarchy uniqueName="[DimRateSchedule].[RateSchedule Code]" caption="RateSchedule Code" attribute="1" defaultMemberUniqueName="[DimRateSchedule].[RateSchedule Code].[All]" allUniqueName="[DimRateSchedule].[RateSchedule Code].[All]" dimensionUniqueName="[DimRateSchedule]" displayFolder="" count="0" unbalanced="0"/>
    <cacheHierarchy uniqueName="[DimRateSchedule].[RateSchedule Description]" caption="RateSchedule Description" attribute="1" defaultMemberUniqueName="[DimRateSchedule].[RateSchedule Description].[All]" allUniqueName="[DimRateSchedule].[RateSchedule Description].[All]" dimensionUniqueName="[DimRateSchedule]" displayFolder="" count="0" unbalanced="0"/>
    <cacheHierarchy uniqueName="[DimRateSchedule].[RateSchedule GroupCode]" caption="RateSchedule GroupCode" attribute="1" defaultMemberUniqueName="[DimRateSchedule].[RateSchedule GroupCode].[All]" allUniqueName="[DimRateSchedule].[RateSchedule GroupCode].[All]" dimensionUniqueName="[DimRateSchedule]" displayFolder="" count="0" unbalanced="0"/>
    <cacheHierarchy uniqueName="[DimReadType].[ReadType Code]" caption="ReadType Code" attribute="1" defaultMemberUniqueName="[DimReadType].[ReadType Code].[All]" allUniqueName="[DimReadType].[ReadType Code].[All]" dimensionUniqueName="[DimReadType]" displayFolder="" count="0" unbalanced="0"/>
    <cacheHierarchy uniqueName="[DimReadType].[ReadType Description]" caption="ReadType Description" attribute="1" defaultMemberUniqueName="[DimReadType].[ReadType Description].[All]" allUniqueName="[DimReadType].[ReadType Description].[All]" dimensionUniqueName="[DimReadType]" displayFolder="" count="0" unbalanced="0"/>
    <cacheHierarchy uniqueName="[DimReferralSource].[Referral Source Code]" caption="Referral Source Code" attribute="1" defaultMemberUniqueName="[DimReferralSource].[Referral Source Code].[All]" allUniqueName="[DimReferralSource].[Referral Source Code].[All]" dimensionUniqueName="[DimReferralSource]" displayFolder="" count="0" unbalanced="0"/>
    <cacheHierarchy uniqueName="[DimResidentialAccountSegment].[AccountID]" caption="AccountID" attribute="1" defaultMemberUniqueName="[DimResidentialAccountSegment].[AccountID].[All]" allUniqueName="[DimResidentialAccountSegment].[AccountID].[All]" dimensionUniqueName="[DimResidentialAccountSegment]" displayFolder="" count="0" unbalanced="0"/>
    <cacheHierarchy uniqueName="[DimResidentialAccountSegment].[ADLTCNT]" caption="ADLTCNT" attribute="1" defaultMemberUniqueName="[DimResidentialAccountSegment].[ADLTCNT].[All]" allUniqueName="[DimResidentialAccountSegment].[ADLTCNT].[All]" dimensionUniqueName="[DimResidentialAccountSegment]" displayFolder="" count="0" unbalanced="0"/>
    <cacheHierarchy uniqueName="[DimResidentialAccountSegment].[Age]" caption="Age" attribute="1" defaultMemberUniqueName="[DimResidentialAccountSegment].[Age].[All]" allUniqueName="[DimResidentialAccountSegment].[Age].[All]" dimensionUniqueName="[DimResidentialAccountSegment]" displayFolder="" count="0" unbalanced="0"/>
    <cacheHierarchy uniqueName="[DimResidentialAccountSegment].[ArtBundle]" caption="ArtBundle" attribute="1" defaultMemberUniqueName="[DimResidentialAccountSegment].[ArtBundle].[All]" allUniqueName="[DimResidentialAccountSegment].[ArtBundle].[All]" dimensionUniqueName="[DimResidentialAccountSegment]" displayFolder="" count="0" unbalanced="0"/>
    <cacheHierarchy uniqueName="[DimResidentialAccountSegment].[AutomotiveDIY]" caption="AutomotiveDIY" attribute="1" defaultMemberUniqueName="[DimResidentialAccountSegment].[AutomotiveDIY].[All]" allUniqueName="[DimResidentialAccountSegment].[AutomotiveDIY].[All]" dimensionUniqueName="[DimResidentialAccountSegment]" displayFolder="" count="0" unbalanced="0"/>
    <cacheHierarchy uniqueName="[DimResidentialAccountSegment].[AvidInterestinBoating]" caption="AvidInterestinBoating" attribute="1" defaultMemberUniqueName="[DimResidentialAccountSegment].[AvidInterestinBoating].[All]" allUniqueName="[DimResidentialAccountSegment].[AvidInterestinBoating].[All]" dimensionUniqueName="[DimResidentialAccountSegment]" displayFolder="" count="0" unbalanced="0"/>
    <cacheHierarchy uniqueName="[DimResidentialAccountSegment].[AvidInterestinMotorcycling]" caption="AvidInterestinMotorcycling" attribute="1" defaultMemberUniqueName="[DimResidentialAccountSegment].[AvidInterestinMotorcycling].[All]" allUniqueName="[DimResidentialAccountSegment].[AvidInterestinMotorcycling].[All]" dimensionUniqueName="[DimResidentialAccountSegment]" displayFolder="" count="0" unbalanced="0"/>
    <cacheHierarchy uniqueName="[DimResidentialAccountSegment].[AvidInvestors]" caption="AvidInvestors" attribute="1" defaultMemberUniqueName="[DimResidentialAccountSegment].[AvidInvestors].[All]" allUniqueName="[DimResidentialAccountSegment].[AvidInvestors].[All]" dimensionUniqueName="[DimResidentialAccountSegment]" displayFolder="" count="0" unbalanced="0"/>
    <cacheHierarchy uniqueName="[DimResidentialAccountSegment].[BookBuyers]" caption="BookBuyers" attribute="1" defaultMemberUniqueName="[DimResidentialAccountSegment].[BookBuyers].[All]" allUniqueName="[DimResidentialAccountSegment].[BookBuyers].[All]" dimensionUniqueName="[DimResidentialAccountSegment]" displayFolder="" count="0" unbalanced="0"/>
    <cacheHierarchy uniqueName="[DimResidentialAccountSegment].[BookReaders]" caption="BookReaders" attribute="1" defaultMemberUniqueName="[DimResidentialAccountSegment].[BookReaders].[All]" allUniqueName="[DimResidentialAccountSegment].[BookReaders].[All]" dimensionUniqueName="[DimResidentialAccountSegment]" displayFolder="" count="0" unbalanced="0"/>
    <cacheHierarchy uniqueName="[DimResidentialAccountSegment].[CHLDCNT]" caption="CHLDCNT" attribute="1" defaultMemberUniqueName="[DimResidentialAccountSegment].[CHLDCNT].[All]" allUniqueName="[DimResidentialAccountSegment].[CHLDCNT].[All]" dimensionUniqueName="[DimResidentialAccountSegment]" displayFolder="" count="0" unbalanced="0"/>
    <cacheHierarchy uniqueName="[DimResidentialAccountSegment].[CollectiblesBundle]" caption="CollectiblesBundle" attribute="1" defaultMemberUniqueName="[DimResidentialAccountSegment].[CollectiblesBundle].[All]" allUniqueName="[DimResidentialAccountSegment].[CollectiblesBundle].[All]" dimensionUniqueName="[DimResidentialAccountSegment]" displayFolder="" count="0" unbalanced="0"/>
    <cacheHierarchy uniqueName="[DimResidentialAccountSegment].[ConsumerSegment]" caption="ConsumerSegment" attribute="1" defaultMemberUniqueName="[DimResidentialAccountSegment].[ConsumerSegment].[All]" allUniqueName="[DimResidentialAccountSegment].[ConsumerSegment].[All]" dimensionUniqueName="[DimResidentialAccountSegment]" displayFolder="" count="0" unbalanced="0"/>
    <cacheHierarchy uniqueName="[DimResidentialAccountSegment].[CookingandWine]" caption="CookingandWine" attribute="1" defaultMemberUniqueName="[DimResidentialAccountSegment].[CookingandWine].[All]" allUniqueName="[DimResidentialAccountSegment].[CookingandWine].[All]" dimensionUniqueName="[DimResidentialAccountSegment]" displayFolder="" count="0" unbalanced="0"/>
    <cacheHierarchy uniqueName="[DimResidentialAccountSegment].[CreditCardUser]" caption="CreditCardUser" attribute="1" defaultMemberUniqueName="[DimResidentialAccountSegment].[CreditCardUser].[All]" allUniqueName="[DimResidentialAccountSegment].[CreditCardUser].[All]" dimensionUniqueName="[DimResidentialAccountSegment]" displayFolder="" count="0" unbalanced="0"/>
    <cacheHierarchy uniqueName="[DimResidentialAccountSegment].[DonatortoCharityorCauses]" caption="DonatortoCharityorCauses" attribute="1" defaultMemberUniqueName="[DimResidentialAccountSegment].[DonatortoCharityorCauses].[All]" allUniqueName="[DimResidentialAccountSegment].[DonatortoCharityorCauses].[All]" dimensionUniqueName="[DimResidentialAccountSegment]" displayFolder="" count="0" unbalanced="0"/>
    <cacheHierarchy uniqueName="[DimResidentialAccountSegment].[DwellingType]" caption="DwellingType" attribute="1" defaultMemberUniqueName="[DimResidentialAccountSegment].[DwellingType].[All]" allUniqueName="[DimResidentialAccountSegment].[DwellingType].[All]" dimensionUniqueName="[DimResidentialAccountSegment]" displayFolder="" count="0" unbalanced="0"/>
    <cacheHierarchy uniqueName="[DimResidentialAccountSegment].[Education]" caption="Education" attribute="1" defaultMemberUniqueName="[DimResidentialAccountSegment].[Education].[All]" allUniqueName="[DimResidentialAccountSegment].[Education].[All]" dimensionUniqueName="[DimResidentialAccountSegment]" displayFolder="" count="0" unbalanced="0"/>
    <cacheHierarchy uniqueName="[DimResidentialAccountSegment].[Email]" caption="Email" attribute="1" defaultMemberUniqueName="[DimResidentialAccountSegment].[Email].[All]" allUniqueName="[DimResidentialAccountSegment].[Email].[All]" dimensionUniqueName="[DimResidentialAccountSegment]" displayFolder="" count="0" unbalanced="0"/>
    <cacheHierarchy uniqueName="[DimResidentialAccountSegment].[EMFlag]" caption="EMFlag" attribute="1" defaultMemberUniqueName="[DimResidentialAccountSegment].[EMFlag].[All]" allUniqueName="[DimResidentialAccountSegment].[EMFlag].[All]" dimensionUniqueName="[DimResidentialAccountSegment]" displayFolder="" count="0" unbalanced="0"/>
    <cacheHierarchy uniqueName="[DimResidentialAccountSegment].[EnergyScore]" caption="EnergyScore" attribute="1" defaultMemberUniqueName="[DimResidentialAccountSegment].[EnergyScore].[All]" allUniqueName="[DimResidentialAccountSegment].[EnergyScore].[All]" dimensionUniqueName="[DimResidentialAccountSegment]" displayFolder="" count="0" unbalanced="0"/>
    <cacheHierarchy uniqueName="[DimResidentialAccountSegment].[Ethnicity]" caption="Ethnicity" attribute="1" defaultMemberUniqueName="[DimResidentialAccountSegment].[Ethnicity].[All]" allUniqueName="[DimResidentialAccountSegment].[Ethnicity].[All]" dimensionUniqueName="[DimResidentialAccountSegment]" displayFolder="" count="0" unbalanced="0"/>
    <cacheHierarchy uniqueName="[DimResidentialAccountSegment].[FAMCNT]" caption="FAMCNT" attribute="1" defaultMemberUniqueName="[DimResidentialAccountSegment].[FAMCNT].[All]" allUniqueName="[DimResidentialAccountSegment].[FAMCNT].[All]" dimensionUniqueName="[DimResidentialAccountSegment]" displayFolder="" count="0" unbalanced="0"/>
    <cacheHierarchy uniqueName="[DimResidentialAccountSegment].[FireplaceinHome]" caption="FireplaceinHome" attribute="1" defaultMemberUniqueName="[DimResidentialAccountSegment].[FireplaceinHome].[All]" allUniqueName="[DimResidentialAccountSegment].[FireplaceinHome].[All]" dimensionUniqueName="[DimResidentialAccountSegment]" displayFolder="" count="0" unbalanced="0"/>
    <cacheHierarchy uniqueName="[DimResidentialAccountSegment].[GamingandGambling]" caption="GamingandGambling" attribute="1" defaultMemberUniqueName="[DimResidentialAccountSegment].[GamingandGambling].[All]" allUniqueName="[DimResidentialAccountSegment].[GamingandGambling].[All]" dimensionUniqueName="[DimResidentialAccountSegment]" displayFolder="" count="0" unbalanced="0"/>
    <cacheHierarchy uniqueName="[DimResidentialAccountSegment].[Gender]" caption="Gender" attribute="1" defaultMemberUniqueName="[DimResidentialAccountSegment].[Gender].[All]" allUniqueName="[DimResidentialAccountSegment].[Gender].[All]" dimensionUniqueName="[DimResidentialAccountSegment]" displayFolder="" count="0" unbalanced="0"/>
    <cacheHierarchy uniqueName="[DimResidentialAccountSegment].[HiTech]" caption="HiTech" attribute="1" defaultMemberUniqueName="[DimResidentialAccountSegment].[HiTech].[All]" allUniqueName="[DimResidentialAccountSegment].[HiTech].[All]" dimensionUniqueName="[DimResidentialAccountSegment]" displayFolder="" count="0" unbalanced="0"/>
    <cacheHierarchy uniqueName="[DimResidentialAccountSegment].[HobbiesHomeandGardenBundle]" caption="HobbiesHomeandGardenBundle" attribute="1" defaultMemberUniqueName="[DimResidentialAccountSegment].[HobbiesHomeandGardenBundle].[All]" allUniqueName="[DimResidentialAccountSegment].[HobbiesHomeandGardenBundle].[All]" dimensionUniqueName="[DimResidentialAccountSegment]" displayFolder="" count="0" unbalanced="0"/>
    <cacheHierarchy uniqueName="[DimResidentialAccountSegment].[HomeImprovement]" caption="HomeImprovement" attribute="1" defaultMemberUniqueName="[DimResidentialAccountSegment].[HomeImprovement].[All]" allUniqueName="[DimResidentialAccountSegment].[HomeImprovement].[All]" dimensionUniqueName="[DimResidentialAccountSegment]" displayFolder="" count="0" unbalanced="0"/>
    <cacheHierarchy uniqueName="[DimResidentialAccountSegment].[HomeMarketValue]" caption="HomeMarketValue" attribute="1" defaultMemberUniqueName="[DimResidentialAccountSegment].[HomeMarketValue].[All]" allUniqueName="[DimResidentialAccountSegment].[HomeMarketValue].[All]" dimensionUniqueName="[DimResidentialAccountSegment]" displayFolder="" count="0" unbalanced="0"/>
    <cacheHierarchy uniqueName="[DimResidentialAccountSegment].[Homeowner]" caption="Homeowner" attribute="1" defaultMemberUniqueName="[DimResidentialAccountSegment].[Homeowner].[All]" allUniqueName="[DimResidentialAccountSegment].[Homeowner].[All]" dimensionUniqueName="[DimResidentialAccountSegment]" displayFolder="" count="0" unbalanced="0"/>
    <cacheHierarchy uniqueName="[DimResidentialAccountSegment].[LengthofRes]" caption="LengthofRes" attribute="1" defaultMemberUniqueName="[DimResidentialAccountSegment].[LengthofRes].[All]" allUniqueName="[DimResidentialAccountSegment].[LengthofRes].[All]" dimensionUniqueName="[DimResidentialAccountSegment]" displayFolder="" count="0" unbalanced="0"/>
    <cacheHierarchy uniqueName="[DimResidentialAccountSegment].[LuxuryVehicleOwner]" caption="LuxuryVehicleOwner" attribute="1" defaultMemberUniqueName="[DimResidentialAccountSegment].[LuxuryVehicleOwner].[All]" allUniqueName="[DimResidentialAccountSegment].[LuxuryVehicleOwner].[All]" dimensionUniqueName="[DimResidentialAccountSegment]" displayFolder="" count="0" unbalanced="0"/>
    <cacheHierarchy uniqueName="[DimResidentialAccountSegment].[MaritalStatus]" caption="MaritalStatus" attribute="1" defaultMemberUniqueName="[DimResidentialAccountSegment].[MaritalStatus].[All]" allUniqueName="[DimResidentialAccountSegment].[MaritalStatus].[All]" dimensionUniqueName="[DimResidentialAccountSegment]" displayFolder="" count="0" unbalanced="0"/>
    <cacheHierarchy uniqueName="[DimResidentialAccountSegment].[MensApparelPurchasingIndicator]" caption="MensApparelPurchasingIndicator" attribute="1" defaultMemberUniqueName="[DimResidentialAccountSegment].[MensApparelPurchasingIndicator].[All]" allUniqueName="[DimResidentialAccountSegment].[MensApparelPurchasingIndicator].[All]" dimensionUniqueName="[DimResidentialAccountSegment]" displayFolder="" count="0" unbalanced="0"/>
    <cacheHierarchy uniqueName="[DimResidentialAccountSegment].[MobileHomeIndicator]" caption="MobileHomeIndicator" attribute="1" defaultMemberUniqueName="[DimResidentialAccountSegment].[MobileHomeIndicator].[All]" allUniqueName="[DimResidentialAccountSegment].[MobileHomeIndicator].[All]" dimensionUniqueName="[DimResidentialAccountSegment]" displayFolder="" count="0" unbalanced="0"/>
    <cacheHierarchy uniqueName="[DimResidentialAccountSegment].[Outdoors]" caption="Outdoors" attribute="1" defaultMemberUniqueName="[DimResidentialAccountSegment].[Outdoors].[All]" allUniqueName="[DimResidentialAccountSegment].[Outdoors].[All]" dimensionUniqueName="[DimResidentialAccountSegment]" displayFolder="" count="0" unbalanced="0"/>
    <cacheHierarchy uniqueName="[DimResidentialAccountSegment].[ParentingandChldrensInterestBundle]" caption="ParentingandChldrensInterestBundle" attribute="1" defaultMemberUniqueName="[DimResidentialAccountSegment].[ParentingandChldrensInterestBundle].[All]" allUniqueName="[DimResidentialAccountSegment].[ParentingandChldrensInterestBundle].[All]" dimensionUniqueName="[DimResidentialAccountSegment]" displayFolder="" count="0" unbalanced="0"/>
    <cacheHierarchy uniqueName="[DimResidentialAccountSegment].[PetLoversorOwners]" caption="PetLoversorOwners" attribute="1" defaultMemberUniqueName="[DimResidentialAccountSegment].[PetLoversorOwners].[All]" allUniqueName="[DimResidentialAccountSegment].[PetLoversorOwners].[All]" dimensionUniqueName="[DimResidentialAccountSegment]" displayFolder="" count="0" unbalanced="0"/>
    <cacheHierarchy uniqueName="[DimResidentialAccountSegment].[PhysicalFitness]" caption="PhysicalFitness" attribute="1" defaultMemberUniqueName="[DimResidentialAccountSegment].[PhysicalFitness].[All]" allUniqueName="[DimResidentialAccountSegment].[PhysicalFitness].[All]" dimensionUniqueName="[DimResidentialAccountSegment]" displayFolder="" count="0" unbalanced="0"/>
    <cacheHierarchy uniqueName="[DimResidentialAccountSegment].[PickupTruckOwner]" caption="PickupTruckOwner" attribute="1" defaultMemberUniqueName="[DimResidentialAccountSegment].[PickupTruckOwner].[All]" allUniqueName="[DimResidentialAccountSegment].[PickupTruckOwner].[All]" dimensionUniqueName="[DimResidentialAccountSegment]" displayFolder="" count="0" unbalanced="0"/>
    <cacheHierarchy uniqueName="[DimResidentialAccountSegment].[PoolOwner]" caption="PoolOwner" attribute="1" defaultMemberUniqueName="[DimResidentialAccountSegment].[PoolOwner].[All]" allUniqueName="[DimResidentialAccountSegment].[PoolOwner].[All]" dimensionUniqueName="[DimResidentialAccountSegment]" displayFolder="" count="0" unbalanced="0"/>
    <cacheHierarchy uniqueName="[DimResidentialAccountSegment].[PovertyThreshold]" caption="PovertyThreshold" attribute="1" defaultMemberUniqueName="[DimResidentialAccountSegment].[PovertyThreshold].[All]" allUniqueName="[DimResidentialAccountSegment].[PovertyThreshold].[All]" dimensionUniqueName="[DimResidentialAccountSegment]" displayFolder="" count="0" unbalanced="0"/>
    <cacheHierarchy uniqueName="[DimResidentialAccountSegment].[PriceClubandvaluePurchasingIndicator]" caption="PriceClubandvaluePurchasingIndicator" attribute="1" defaultMemberUniqueName="[DimResidentialAccountSegment].[PriceClubandvaluePurchasingIndicator].[All]" allUniqueName="[DimResidentialAccountSegment].[PriceClubandvaluePurchasingIndicator].[All]" dimensionUniqueName="[DimResidentialAccountSegment]" displayFolder="" count="0" unbalanced="0"/>
    <cacheHierarchy uniqueName="[DimResidentialAccountSegment].[PurchasingPowerScore]" caption="PurchasingPowerScore" attribute="1" defaultMemberUniqueName="[DimResidentialAccountSegment].[PurchasingPowerScore].[All]" allUniqueName="[DimResidentialAccountSegment].[PurchasingPowerScore].[All]" dimensionUniqueName="[DimResidentialAccountSegment]" displayFolder="" count="0" unbalanced="0"/>
    <cacheHierarchy uniqueName="[DimResidentialAccountSegment].[SelfImprovement]" caption="SelfImprovement" attribute="1" defaultMemberUniqueName="[DimResidentialAccountSegment].[SelfImprovement].[All]" allUniqueName="[DimResidentialAccountSegment].[SelfImprovement].[All]" dimensionUniqueName="[DimResidentialAccountSegment]" displayFolder="" count="0" unbalanced="0"/>
    <cacheHierarchy uniqueName="[DimResidentialAccountSegment].[SeniorinHouseHold]" caption="SeniorinHouseHold" attribute="1" defaultMemberUniqueName="[DimResidentialAccountSegment].[SeniorinHouseHold].[All]" allUniqueName="[DimResidentialAccountSegment].[SeniorinHouseHold].[All]" dimensionUniqueName="[DimResidentialAccountSegment]" displayFolder="" count="0" unbalanced="0"/>
    <cacheHierarchy uniqueName="[DimResidentialAccountSegment].[SingleParent]" caption="SingleParent" attribute="1" defaultMemberUniqueName="[DimResidentialAccountSegment].[SingleParent].[All]" allUniqueName="[DimResidentialAccountSegment].[SingleParent].[All]" dimensionUniqueName="[DimResidentialAccountSegment]" displayFolder="" count="0" unbalanced="0"/>
    <cacheHierarchy uniqueName="[DimResidentialAccountSegment].[SpectatorSportsInterest]" caption="SpectatorSportsInterest" attribute="1" defaultMemberUniqueName="[DimResidentialAccountSegment].[SpectatorSportsInterest].[All]" allUniqueName="[DimResidentialAccountSegment].[SpectatorSportsInterest].[All]" dimensionUniqueName="[DimResidentialAccountSegment]" displayFolder="" count="0" unbalanced="0"/>
    <cacheHierarchy uniqueName="[DimResidentialAccountSegment].[SUVOwner]" caption="SUVOwner" attribute="1" defaultMemberUniqueName="[DimResidentialAccountSegment].[SUVOwner].[All]" allUniqueName="[DimResidentialAccountSegment].[SUVOwner].[All]" dimensionUniqueName="[DimResidentialAccountSegment]" displayFolder="" count="0" unbalanced="0"/>
    <cacheHierarchy uniqueName="[DimResidentialAccountSegment].[TravelEnthusiasts]" caption="TravelEnthusiasts" attribute="1" defaultMemberUniqueName="[DimResidentialAccountSegment].[TravelEnthusiasts].[All]" allUniqueName="[DimResidentialAccountSegment].[TravelEnthusiasts].[All]" dimensionUniqueName="[DimResidentialAccountSegment]" displayFolder="" count="0" unbalanced="0"/>
    <cacheHierarchy uniqueName="[DimResidentialAccountSegment].[WomensApparelPurchasingIndicator]" caption="WomensApparelPurchasingIndicator" attribute="1" defaultMemberUniqueName="[DimResidentialAccountSegment].[WomensApparelPurchasingIndicator].[All]" allUniqueName="[DimResidentialAccountSegment].[WomensApparelPurchasingIndicator].[All]" dimensionUniqueName="[DimResidentialAccountSegment]" displayFolder="" count="0" unbalanced="0"/>
    <cacheHierarchy uniqueName="[DimResidentialPremiseSegment].[AbsenteeOwnerIndicator]" caption="AbsenteeOwnerIndicator" attribute="1" defaultMemberUniqueName="[DimResidentialPremiseSegment].[AbsenteeOwnerIndicator].[All]" allUniqueName="[DimResidentialPremiseSegment].[AbsenteeOwnerIndicator].[All]" dimensionUniqueName="[DimResidentialPremiseSegment]" displayFolder="" count="0" unbalanced="0"/>
    <cacheHierarchy uniqueName="[DimResidentialPremiseSegment].[AirConditioningType]" caption="AirConditioningType" attribute="1" defaultMemberUniqueName="[DimResidentialPremiseSegment].[AirConditioningType].[All]" allUniqueName="[DimResidentialPremiseSegment].[AirConditioningType].[All]" dimensionUniqueName="[DimResidentialPremiseSegment]" displayFolder="" count="0" unbalanced="0"/>
    <cacheHierarchy uniqueName="[DimResidentialPremiseSegment].[BasementSquareFootage]" caption="BasementSquareFootage" attribute="1" defaultMemberUniqueName="[DimResidentialPremiseSegment].[BasementSquareFootage].[All]" allUniqueName="[DimResidentialPremiseSegment].[BasementSquareFootage].[All]" dimensionUniqueName="[DimResidentialPremiseSegment]" displayFolder="" count="0" unbalanced="0"/>
    <cacheHierarchy uniqueName="[DimResidentialPremiseSegment].[BasementType]" caption="BasementType" attribute="1" defaultMemberUniqueName="[DimResidentialPremiseSegment].[BasementType].[All]" allUniqueName="[DimResidentialPremiseSegment].[BasementType].[All]" dimensionUniqueName="[DimResidentialPremiseSegment]" displayFolder="" count="0" unbalanced="0"/>
    <cacheHierarchy uniqueName="[DimResidentialPremiseSegment].[BuildingSquareFootage]" caption="BuildingSquareFootage" attribute="1" defaultMemberUniqueName="[DimResidentialPremiseSegment].[BuildingSquareFootage].[All]" allUniqueName="[DimResidentialPremiseSegment].[BuildingSquareFootage].[All]" dimensionUniqueName="[DimResidentialPremiseSegment]" displayFolder="" count="0" unbalanced="0"/>
    <cacheHierarchy uniqueName="[DimResidentialPremiseSegment].[BuildingType]" caption="BuildingType" attribute="1" defaultMemberUniqueName="[DimResidentialPremiseSegment].[BuildingType].[All]" allUniqueName="[DimResidentialPremiseSegment].[BuildingType].[All]" dimensionUniqueName="[DimResidentialPremiseSegment]" displayFolder="" count="0" unbalanced="0"/>
    <cacheHierarchy uniqueName="[DimResidentialPremiseSegment].[BusinessOwnerIndicator]" caption="BusinessOwnerIndicator" attribute="1" defaultMemberUniqueName="[DimResidentialPremiseSegment].[BusinessOwnerIndicator].[All]" allUniqueName="[DimResidentialPremiseSegment].[BusinessOwnerIndicator].[All]" dimensionUniqueName="[DimResidentialPremiseSegment]" displayFolder="" count="0" unbalanced="0"/>
    <cacheHierarchy uniqueName="[DimResidentialPremiseSegment].[ConstructionQuality]" caption="ConstructionQuality" attribute="1" defaultMemberUniqueName="[DimResidentialPremiseSegment].[ConstructionQuality].[All]" allUniqueName="[DimResidentialPremiseSegment].[ConstructionQuality].[All]" dimensionUniqueName="[DimResidentialPremiseSegment]" displayFolder="" count="0" unbalanced="0"/>
    <cacheHierarchy uniqueName="[DimResidentialPremiseSegment].[ConstructionType]" caption="ConstructionType" attribute="1" defaultMemberUniqueName="[DimResidentialPremiseSegment].[ConstructionType].[All]" allUniqueName="[DimResidentialPremiseSegment].[ConstructionType].[All]" dimensionUniqueName="[DimResidentialPremiseSegment]" displayFolder="" count="0" unbalanced="0"/>
    <cacheHierarchy uniqueName="[DimResidentialPremiseSegment].[ExteriorWallsType]" caption="ExteriorWallsType" attribute="1" defaultMemberUniqueName="[DimResidentialPremiseSegment].[ExteriorWallsType].[All]" allUniqueName="[DimResidentialPremiseSegment].[ExteriorWallsType].[All]" dimensionUniqueName="[DimResidentialPremiseSegment]" displayFolder="" count="0" unbalanced="0"/>
    <cacheHierarchy uniqueName="[DimResidentialPremiseSegment].[FloorConstructionType]" caption="FloorConstructionType" attribute="1" defaultMemberUniqueName="[DimResidentialPremiseSegment].[FloorConstructionType].[All]" allUniqueName="[DimResidentialPremiseSegment].[FloorConstructionType].[All]" dimensionUniqueName="[DimResidentialPremiseSegment]" displayFolder="" count="0" unbalanced="0"/>
    <cacheHierarchy uniqueName="[DimResidentialPremiseSegment].[HeatingFuelType]" caption="HeatingFuelType" attribute="1" defaultMemberUniqueName="[DimResidentialPremiseSegment].[HeatingFuelType].[All]" allUniqueName="[DimResidentialPremiseSegment].[HeatingFuelType].[All]" dimensionUniqueName="[DimResidentialPremiseSegment]" displayFolder="" count="0" unbalanced="0"/>
    <cacheHierarchy uniqueName="[DimResidentialPremiseSegment].[ImprovementValue]" caption="ImprovementValue" attribute="1" defaultMemberUniqueName="[DimResidentialPremiseSegment].[ImprovementValue].[All]" allUniqueName="[DimResidentialPremiseSegment].[ImprovementValue].[All]" dimensionUniqueName="[DimResidentialPremiseSegment]" displayFolder="" count="0" unbalanced="0"/>
    <cacheHierarchy uniqueName="[DimResidentialPremiseSegment].[ImprovementValueIIndicator]" caption="ImprovementValueIIndicator" attribute="1" defaultMemberUniqueName="[DimResidentialPremiseSegment].[ImprovementValueIIndicator].[All]" allUniqueName="[DimResidentialPremiseSegment].[ImprovementValueIIndicator].[All]" dimensionUniqueName="[DimResidentialPremiseSegment]" displayFolder="" count="0" unbalanced="0"/>
    <cacheHierarchy uniqueName="[DimResidentialPremiseSegment].[LandplusImprovementValue]" caption="LandplusImprovementValue" attribute="1" defaultMemberUniqueName="[DimResidentialPremiseSegment].[LandplusImprovementValue].[All]" allUniqueName="[DimResidentialPremiseSegment].[LandplusImprovementValue].[All]" dimensionUniqueName="[DimResidentialPremiseSegment]" displayFolder="" count="0" unbalanced="0"/>
    <cacheHierarchy uniqueName="[DimResidentialPremiseSegment].[Latitude]" caption="Latitude" attribute="1" defaultMemberUniqueName="[DimResidentialPremiseSegment].[Latitude].[All]" allUniqueName="[DimResidentialPremiseSegment].[Latitude].[All]" dimensionUniqueName="[DimResidentialPremiseSegment]" displayFolder="" count="0" unbalanced="0"/>
    <cacheHierarchy uniqueName="[DimResidentialPremiseSegment].[LivingSquarefeet]" caption="LivingSquarefeet" attribute="1" defaultMemberUniqueName="[DimResidentialPremiseSegment].[LivingSquarefeet].[All]" allUniqueName="[DimResidentialPremiseSegment].[LivingSquarefeet].[All]" dimensionUniqueName="[DimResidentialPremiseSegment]" displayFolder="" count="0" unbalanced="0"/>
    <cacheHierarchy uniqueName="[DimResidentialPremiseSegment].[Longitude]" caption="Longitude" attribute="1" defaultMemberUniqueName="[DimResidentialPremiseSegment].[Longitude].[All]" allUniqueName="[DimResidentialPremiseSegment].[Longitude].[All]" dimensionUniqueName="[DimResidentialPremiseSegment]" displayFolder="" count="0" unbalanced="0"/>
    <cacheHierarchy uniqueName="[DimResidentialPremiseSegment].[MethodofHeating]" caption="MethodofHeating" attribute="1" defaultMemberUniqueName="[DimResidentialPremiseSegment].[MethodofHeating].[All]" allUniqueName="[DimResidentialPremiseSegment].[MethodofHeating].[All]" dimensionUniqueName="[DimResidentialPremiseSegment]" displayFolder="" count="0" unbalanced="0"/>
    <cacheHierarchy uniqueName="[DimResidentialPremiseSegment].[MobileHome]" caption="MobileHome" attribute="1" defaultMemberUniqueName="[DimResidentialPremiseSegment].[MobileHome].[All]" allUniqueName="[DimResidentialPremiseSegment].[MobileHome].[All]" dimensionUniqueName="[DimResidentialPremiseSegment]" displayFolder="" count="0" unbalanced="0"/>
    <cacheHierarchy uniqueName="[DimResidentialPremiseSegment].[NumberofBathrooms]" caption="NumberofBathrooms" attribute="1" defaultMemberUniqueName="[DimResidentialPremiseSegment].[NumberofBathrooms].[All]" allUniqueName="[DimResidentialPremiseSegment].[NumberofBathrooms].[All]" dimensionUniqueName="[DimResidentialPremiseSegment]" displayFolder="" count="0" unbalanced="0"/>
    <cacheHierarchy uniqueName="[DimResidentialPremiseSegment].[NumberofBathrooms2]" caption="NumberofBathrooms2" attribute="1" defaultMemberUniqueName="[DimResidentialPremiseSegment].[NumberofBathrooms2].[All]" allUniqueName="[DimResidentialPremiseSegment].[NumberofBathrooms2].[All]" dimensionUniqueName="[DimResidentialPremiseSegment]" displayFolder="" count="0" unbalanced="0"/>
    <cacheHierarchy uniqueName="[DimResidentialPremiseSegment].[NumberofBedrooms]" caption="NumberofBedrooms" attribute="1" defaultMemberUniqueName="[DimResidentialPremiseSegment].[NumberofBedrooms].[All]" allUniqueName="[DimResidentialPremiseSegment].[NumberofBedrooms].[All]" dimensionUniqueName="[DimResidentialPremiseSegment]" displayFolder="" count="0" unbalanced="0"/>
    <cacheHierarchy uniqueName="[DimResidentialPremiseSegment].[NumberofBuildings]" caption="NumberofBuildings" attribute="1" defaultMemberUniqueName="[DimResidentialPremiseSegment].[NumberofBuildings].[All]" allUniqueName="[DimResidentialPremiseSegment].[NumberofBuildings].[All]" dimensionUniqueName="[DimResidentialPremiseSegment]" displayFolder="" count="0" unbalanced="0"/>
    <cacheHierarchy uniqueName="[DimResidentialPremiseSegment].[NumberofFireplaceOpenings]" caption="NumberofFireplaceOpenings" attribute="1" defaultMemberUniqueName="[DimResidentialPremiseSegment].[NumberofFireplaceOpenings].[All]" allUniqueName="[DimResidentialPremiseSegment].[NumberofFireplaceOpenings].[All]" dimensionUniqueName="[DimResidentialPremiseSegment]" displayFolder="" count="0" unbalanced="0"/>
    <cacheHierarchy uniqueName="[DimResidentialPremiseSegment].[NumberofRooms]" caption="NumberofRooms" attribute="1" defaultMemberUniqueName="[DimResidentialPremiseSegment].[NumberofRooms].[All]" allUniqueName="[DimResidentialPremiseSegment].[NumberofRooms].[All]" dimensionUniqueName="[DimResidentialPremiseSegment]" displayFolder="" count="0" unbalanced="0"/>
    <cacheHierarchy uniqueName="[DimResidentialPremiseSegment].[NumberofStories]" caption="NumberofStories" attribute="1" defaultMemberUniqueName="[DimResidentialPremiseSegment].[NumberofStories].[All]" allUniqueName="[DimResidentialPremiseSegment].[NumberofStories].[All]" dimensionUniqueName="[DimResidentialPremiseSegment]" displayFolder="" count="0" unbalanced="0"/>
    <cacheHierarchy uniqueName="[DimResidentialPremiseSegment].[NumberofStoriesinBuilding]" caption="NumberofStoriesinBuilding" attribute="1" defaultMemberUniqueName="[DimResidentialPremiseSegment].[NumberofStoriesinBuilding].[All]" allUniqueName="[DimResidentialPremiseSegment].[NumberofStoriesinBuilding].[All]" dimensionUniqueName="[DimResidentialPremiseSegment]" displayFolder="" count="0" unbalanced="0"/>
    <cacheHierarchy uniqueName="[DimResidentialPremiseSegment].[PoolType]" caption="PoolType" attribute="1" defaultMemberUniqueName="[DimResidentialPremiseSegment].[PoolType].[All]" allUniqueName="[DimResidentialPremiseSegment].[PoolType].[All]" dimensionUniqueName="[DimResidentialPremiseSegment]" displayFolder="" count="0" unbalanced="0"/>
    <cacheHierarchy uniqueName="[DimResidentialPremiseSegment].[PremiseID]" caption="PremiseID" attribute="1" defaultMemberUniqueName="[DimResidentialPremiseSegment].[PremiseID].[All]" allUniqueName="[DimResidentialPremiseSegment].[PremiseID].[All]" dimensionUniqueName="[DimResidentialPremiseSegment]" displayFolder="" count="0" unbalanced="0"/>
    <cacheHierarchy uniqueName="[DimResidentialPremiseSegment].[PresenceofFireplace]" caption="PresenceofFireplace" attribute="1" defaultMemberUniqueName="[DimResidentialPremiseSegment].[PresenceofFireplace].[All]" allUniqueName="[DimResidentialPremiseSegment].[PresenceofFireplace].[All]" dimensionUniqueName="[DimResidentialPremiseSegment]" displayFolder="" count="0" unbalanced="0"/>
    <cacheHierarchy uniqueName="[DimResidentialPremiseSegment].[PresenceofPool]" caption="PresenceofPool" attribute="1" defaultMemberUniqueName="[DimResidentialPremiseSegment].[PresenceofPool].[All]" allUniqueName="[DimResidentialPremiseSegment].[PresenceofPool].[All]" dimensionUniqueName="[DimResidentialPremiseSegment]" displayFolder="" count="0" unbalanced="0"/>
    <cacheHierarchy uniqueName="[DimResidentialPremiseSegment].[PrimaryImprovementType]" caption="PrimaryImprovementType" attribute="1" defaultMemberUniqueName="[DimResidentialPremiseSegment].[PrimaryImprovementType].[All]" allUniqueName="[DimResidentialPremiseSegment].[PrimaryImprovementType].[All]" dimensionUniqueName="[DimResidentialPremiseSegment]" displayFolder="" count="0" unbalanced="0"/>
    <cacheHierarchy uniqueName="[DimResidentialPremiseSegment].[PropertyCondition]" caption="PropertyCondition" attribute="1" defaultMemberUniqueName="[DimResidentialPremiseSegment].[PropertyCondition].[All]" allUniqueName="[DimResidentialPremiseSegment].[PropertyCondition].[All]" dimensionUniqueName="[DimResidentialPremiseSegment]" displayFolder="" count="0" unbalanced="0"/>
    <cacheHierarchy uniqueName="[DimResidentialPremiseSegment].[PropertyTypeIndicator]" caption="PropertyTypeIndicator" attribute="1" defaultMemberUniqueName="[DimResidentialPremiseSegment].[PropertyTypeIndicator].[All]" allUniqueName="[DimResidentialPremiseSegment].[PropertyTypeIndicator].[All]" dimensionUniqueName="[DimResidentialPremiseSegment]" displayFolder="" count="0" unbalanced="0"/>
    <cacheHierarchy uniqueName="[DimResidentialPremiseSegment].[ResidentialBased]" caption="ResidentialBased" attribute="1" defaultMemberUniqueName="[DimResidentialPremiseSegment].[ResidentialBased].[All]" allUniqueName="[DimResidentialPremiseSegment].[ResidentialBased].[All]" dimensionUniqueName="[DimResidentialPremiseSegment]" displayFolder="" count="0" unbalanced="0"/>
    <cacheHierarchy uniqueName="[DimResidentialPremiseSegment].[RoofType]" caption="RoofType" attribute="1" defaultMemberUniqueName="[DimResidentialPremiseSegment].[RoofType].[All]" allUniqueName="[DimResidentialPremiseSegment].[RoofType].[All]" dimensionUniqueName="[DimResidentialPremiseSegment]" displayFolder="" count="0" unbalanced="0"/>
    <cacheHierarchy uniqueName="[DimResidentialPremiseSegment].[SiteAddressIndicator]" caption="SiteAddressIndicator" attribute="1" defaultMemberUniqueName="[DimResidentialPremiseSegment].[SiteAddressIndicator].[All]" allUniqueName="[DimResidentialPremiseSegment].[SiteAddressIndicator].[All]" dimensionUniqueName="[DimResidentialPremiseSegment]" displayFolder="" count="0" unbalanced="0"/>
    <cacheHierarchy uniqueName="[DimResidentialPremiseSegment].[SiteAddressUnitNumber]" caption="SiteAddressUnitNumber" attribute="1" defaultMemberUniqueName="[DimResidentialPremiseSegment].[SiteAddressUnitNumber].[All]" allUniqueName="[DimResidentialPremiseSegment].[SiteAddressUnitNumber].[All]" dimensionUniqueName="[DimResidentialPremiseSegment]" displayFolder="" count="0" unbalanced="0"/>
    <cacheHierarchy uniqueName="[DimResidentialPremiseSegment].[StyleIndicator]" caption="StyleIndicator" attribute="1" defaultMemberUniqueName="[DimResidentialPremiseSegment].[StyleIndicator].[All]" allUniqueName="[DimResidentialPremiseSegment].[StyleIndicator].[All]" dimensionUniqueName="[DimResidentialPremiseSegment]" displayFolder="" count="0" unbalanced="0"/>
    <cacheHierarchy uniqueName="[DimResidentialPremiseSegment].[TotalFullbaths]" caption="TotalFullbaths" attribute="1" defaultMemberUniqueName="[DimResidentialPremiseSegment].[TotalFullbaths].[All]" allUniqueName="[DimResidentialPremiseSegment].[TotalFullbaths].[All]" dimensionUniqueName="[DimResidentialPremiseSegment]" displayFolder="" count="0" unbalanced="0"/>
    <cacheHierarchy uniqueName="[DimResidentialPremiseSegment].[TotalHalfbaths]" caption="TotalHalfbaths" attribute="1" defaultMemberUniqueName="[DimResidentialPremiseSegment].[TotalHalfbaths].[All]" allUniqueName="[DimResidentialPremiseSegment].[TotalHalfbaths].[All]" dimensionUniqueName="[DimResidentialPremiseSegment]" displayFolder="" count="0" unbalanced="0"/>
    <cacheHierarchy uniqueName="[DimResidentialPremiseSegment].[TotalMarketValue]" caption="TotalMarketValue" attribute="1" defaultMemberUniqueName="[DimResidentialPremiseSegment].[TotalMarketValue].[All]" allUniqueName="[DimResidentialPremiseSegment].[TotalMarketValue].[All]" dimensionUniqueName="[DimResidentialPremiseSegment]" displayFolder="" count="0" unbalanced="0"/>
    <cacheHierarchy uniqueName="[DimResidentialPremiseSegment].[TypeofElectricity]" caption="TypeofElectricity" attribute="1" defaultMemberUniqueName="[DimResidentialPremiseSegment].[TypeofElectricity].[All]" allUniqueName="[DimResidentialPremiseSegment].[TypeofElectricity].[All]" dimensionUniqueName="[DimResidentialPremiseSegment]" displayFolder="" count="0" unbalanced="0"/>
    <cacheHierarchy uniqueName="[DimResidentialPremiseSegment].[TypeofFireplace]" caption="TypeofFireplace" attribute="1" defaultMemberUniqueName="[DimResidentialPremiseSegment].[TypeofFireplace].[All]" allUniqueName="[DimResidentialPremiseSegment].[TypeofFireplace].[All]" dimensionUniqueName="[DimResidentialPremiseSegment]" displayFolder="" count="0" unbalanced="0"/>
    <cacheHierarchy uniqueName="[DimResidentialPremiseSegment].[TypeofFoundation]" caption="TypeofFoundation" attribute="1" defaultMemberUniqueName="[DimResidentialPremiseSegment].[TypeofFoundation].[All]" allUniqueName="[DimResidentialPremiseSegment].[TypeofFoundation].[All]" dimensionUniqueName="[DimResidentialPremiseSegment]" displayFolder="" count="0" unbalanced="0"/>
    <cacheHierarchy uniqueName="[DimResidentialPremiseSegment].[TypeofGarage]" caption="TypeofGarage" attribute="1" defaultMemberUniqueName="[DimResidentialPremiseSegment].[TypeofGarage].[All]" allUniqueName="[DimResidentialPremiseSegment].[TypeofGarage].[All]" dimensionUniqueName="[DimResidentialPremiseSegment]" displayFolder="" count="0" unbalanced="0"/>
    <cacheHierarchy uniqueName="[DimResidentialPremiseSegment].[TypeofRoofFraming]" caption="TypeofRoofFraming" attribute="1" defaultMemberUniqueName="[DimResidentialPremiseSegment].[TypeofRoofFraming].[All]" allUniqueName="[DimResidentialPremiseSegment].[TypeofRoofFraming].[All]" dimensionUniqueName="[DimResidentialPremiseSegment]" displayFolder="" count="0" unbalanced="0"/>
    <cacheHierarchy uniqueName="[DimResidentialPremiseSegment].[YearBuilt]" caption="YearBuilt" attribute="1" defaultMemberUniqueName="[DimResidentialPremiseSegment].[YearBuilt].[All]" allUniqueName="[DimResidentialPremiseSegment].[YearBuilt].[All]" dimensionUniqueName="[DimResidentialPremiseSegment]" displayFolder="" count="0" unbalanced="0"/>
    <cacheHierarchy uniqueName="[DimScenario].[Scenario Name]" caption="Scenario Name" attribute="1" defaultMemberUniqueName="[DimScenario].[Scenario Name].[All]" allUniqueName="[DimScenario].[Scenario Name].[All]" dimensionUniqueName="[DimScenario]" displayFolder="" count="2" unbalanced="0">
      <fieldsUsage count="2">
        <fieldUsage x="-1"/>
        <fieldUsage x="0"/>
      </fieldsUsage>
    </cacheHierarchy>
    <cacheHierarchy uniqueName="[DimServiceAgreementType].[CIS Division]" caption="CIS Division" attribute="1" defaultMemberUniqueName="[DimServiceAgreementType].[CIS Division].[All]" allUniqueName="[DimServiceAgreementType].[CIS Division].[All]" dimensionUniqueName="[DimServiceAgreementType]" displayFolder="" count="0" unbalanced="0"/>
    <cacheHierarchy uniqueName="[DimServiceAgreementType].[ServiceAgreement Type Code]" caption="ServiceAgreement Type Code" attribute="1" defaultMemberUniqueName="[DimServiceAgreementType].[ServiceAgreement Type Code].[All]" allUniqueName="[DimServiceAgreementType].[ServiceAgreement Type Code].[All]" dimensionUniqueName="[DimServiceAgreementType]" displayFolder="" count="0" unbalanced="0"/>
    <cacheHierarchy uniqueName="[DimServiceAgreementType].[ServiceAgreement Type Desc]" caption="ServiceAgreement Type Desc" attribute="1" defaultMemberUniqueName="[DimServiceAgreementType].[ServiceAgreement Type Desc].[All]" allUniqueName="[DimServiceAgreementType].[ServiceAgreement Type Desc].[All]" dimensionUniqueName="[DimServiceAgreementType]" displayFolder="" count="0" unbalanced="0"/>
    <cacheHierarchy uniqueName="[DimServiceAgreementType].[Utility Indicator]" caption="Utility Indicator" attribute="1" defaultMemberUniqueName="[DimServiceAgreementType].[Utility Indicator].[All]" allUniqueName="[DimServiceAgreementType].[Utility Indicator].[All]" dimensionUniqueName="[DimServiceAgreementType]" displayFolder="" count="0" unbalanced="0"/>
    <cacheHierarchy uniqueName="[DimServiceCounty].[Service County Code]" caption="Service County Code" attribute="1" defaultMemberUniqueName="[DimServiceCounty].[Service County Code].[All]" allUniqueName="[DimServiceCounty].[Service County Code].[All]" dimensionUniqueName="[DimServiceCounty]" displayFolder="" count="0" unbalanced="0"/>
    <cacheHierarchy uniqueName="[DimServiceCounty].[Service County Name]" caption="Service County Name" attribute="1" defaultMemberUniqueName="[DimServiceCounty].[Service County Name].[All]" allUniqueName="[DimServiceCounty].[Service County Name].[All]" dimensionUniqueName="[DimServiceCounty]" displayFolder="" count="0" unbalanced="0"/>
    <cacheHierarchy uniqueName="[DimServicePointType].[ServicePoint Type Code]" caption="ServicePoint Type Code" attribute="1" defaultMemberUniqueName="[DimServicePointType].[ServicePoint Type Code].[All]" allUniqueName="[DimServicePointType].[ServicePoint Type Code].[All]" dimensionUniqueName="[DimServicePointType]" displayFolder="" count="0" unbalanced="0"/>
    <cacheHierarchy uniqueName="[DimServicePointType].[ServicePoint Type Desc]" caption="ServicePoint Type Desc" attribute="1" defaultMemberUniqueName="[DimServicePointType].[ServicePoint Type Desc].[All]" allUniqueName="[DimServicePointType].[ServicePoint Type Desc].[All]" dimensionUniqueName="[DimServicePointType]" displayFolder="" count="0" unbalanced="0"/>
    <cacheHierarchy uniqueName="[DimServiceTown].[ServiceTown Code]" caption="ServiceTown Code" attribute="1" defaultMemberUniqueName="[DimServiceTown].[ServiceTown Code].[All]" allUniqueName="[DimServiceTown].[ServiceTown Code].[All]" dimensionUniqueName="[DimServiceTown]" displayFolder="" count="0" unbalanced="0"/>
    <cacheHierarchy uniqueName="[DimServiceTown].[ServiceTown Name]" caption="ServiceTown Name" attribute="1" defaultMemberUniqueName="[DimServiceTown].[ServiceTown Name].[All]" allUniqueName="[DimServiceTown].[ServiceTown Name].[All]" dimensionUniqueName="[DimServiceTown]" displayFolder="" count="0" unbalanced="0"/>
    <cacheHierarchy uniqueName="[DimSilverPopSurvey].[DimSilverPopSurveyKey]" caption="DimSilverPopSurveyKey" attribute="1" defaultMemberUniqueName="[DimSilverPopSurvey].[DimSilverPopSurveyKey].[All]" allUniqueName="[DimSilverPopSurvey].[DimSilverPopSurveyKey].[All]" dimensionUniqueName="[DimSilverPopSurvey]" displayFolder="" count="0" unbalanced="0"/>
    <cacheHierarchy uniqueName="[DimSilverPopSurvey].[MeasureGroupKey]" caption="MeasureGroupKey" attribute="1" defaultMemberUniqueName="[DimSilverPopSurvey].[MeasureGroupKey].[All]" allUniqueName="[DimSilverPopSurvey].[MeasureGroupKey].[All]" dimensionUniqueName="[DimSilverPopSurvey]" displayFolder="" count="0" unbalanced="0"/>
    <cacheHierarchy uniqueName="[DimSilverPopSurvey].[PMTProgramKey]" caption="PMTProgramKey" attribute="1" defaultMemberUniqueName="[DimSilverPopSurvey].[PMTProgramKey].[All]" allUniqueName="[DimSilverPopSurvey].[PMTProgramKey].[All]" dimensionUniqueName="[DimSilverPopSurvey]" displayFolder="" count="0" unbalanced="0"/>
    <cacheHierarchy uniqueName="[DimSilverPopSurvey].[ProgramYear]" caption="ProgramYear" attribute="1" defaultMemberUniqueName="[DimSilverPopSurvey].[ProgramYear].[All]" allUniqueName="[DimSilverPopSurvey].[ProgramYear].[All]" dimensionUniqueName="[DimSilverPopSurvey]" displayFolder="" count="0" unbalanced="0"/>
    <cacheHierarchy uniqueName="[DimSilverPopSurvey].[SilverPopOrder]" caption="SilverPopOrder" attribute="1" defaultMemberUniqueName="[DimSilverPopSurvey].[SilverPopOrder].[All]" allUniqueName="[DimSilverPopSurvey].[SilverPopOrder].[All]" dimensionUniqueName="[DimSilverPopSurvey]" displayFolder="" count="0" unbalanced="0"/>
    <cacheHierarchy uniqueName="[DimSilverPopSurvey].[SilverPopSurvey]" caption="SilverPopSurvey" attribute="1" defaultMemberUniqueName="[DimSilverPopSurvey].[SilverPopSurvey].[All]" allUniqueName="[DimSilverPopSurvey].[SilverPopSurvey].[All]" dimensionUniqueName="[DimSilverPopSurvey]" displayFolder="" count="0" unbalanced="0"/>
    <cacheHierarchy uniqueName="[DimSubProgramType].[SubProgramType]" caption="SubProgramType" attribute="1" defaultMemberUniqueName="[DimSubProgramType].[SubProgramType].[All]" allUniqueName="[DimSubProgramType].[SubProgramType].[All]" dimensionUniqueName="[DimSubProgramType]" displayFolder="" count="0" unbalanced="0"/>
    <cacheHierarchy uniqueName="[DimSubProgramType].[SubProgramTypeKey]" caption="SubProgramTypeKey" attribute="1" defaultMemberUniqueName="[DimSubProgramType].[SubProgramTypeKey].[All]" allUniqueName="[DimSubProgramType].[SubProgramTypeKey].[All]" dimensionUniqueName="[DimSubProgramType]" displayFolder="" count="0" unbalanced="0"/>
    <cacheHierarchy uniqueName="[DimTradeAlly_Parent].[Address1]" caption="Address1" attribute="1" defaultMemberUniqueName="[DimTradeAlly_Parent].[Address1].[All]" allUniqueName="[DimTradeAlly_Parent].[Address1].[All]" dimensionUniqueName="[DimTradeAlly_Parent]" displayFolder="" count="0" unbalanced="0"/>
    <cacheHierarchy uniqueName="[DimTradeAlly_Parent].[Address2]" caption="Address2" attribute="1" defaultMemberUniqueName="[DimTradeAlly_Parent].[Address2].[All]" allUniqueName="[DimTradeAlly_Parent].[Address2].[All]" dimensionUniqueName="[DimTradeAlly_Parent]" displayFolder="" count="0" unbalanced="0"/>
    <cacheHierarchy uniqueName="[DimTradeAlly_Parent].[ApplicationCount]" caption="ApplicationCount" attribute="1" defaultMemberUniqueName="[DimTradeAlly_Parent].[ApplicationCount].[All]" allUniqueName="[DimTradeAlly_Parent].[ApplicationCount].[All]" dimensionUniqueName="[DimTradeAlly_Parent]" displayFolder="" count="0" unbalanced="0"/>
    <cacheHierarchy uniqueName="[DimTradeAlly_Parent].[BusinessName]" caption="BusinessName" attribute="1" defaultMemberUniqueName="[DimTradeAlly_Parent].[BusinessName].[All]" allUniqueName="[DimTradeAlly_Parent].[BusinessName].[All]" dimensionUniqueName="[DimTradeAlly_Parent]" displayFolder="" count="0" unbalanced="0"/>
    <cacheHierarchy uniqueName="[DimTradeAlly_Parent].[CityName]" caption="CityName" attribute="1" defaultMemberUniqueName="[DimTradeAlly_Parent].[CityName].[All]" allUniqueName="[DimTradeAlly_Parent].[CityName].[All]" dimensionUniqueName="[DimTradeAlly_Parent]" displayFolder="" count="0" unbalanced="0"/>
    <cacheHierarchy uniqueName="[DimTradeAlly_Parent].[ContractorCircleStatus]" caption="ContractorCircleStatus" attribute="1" defaultMemberUniqueName="[DimTradeAlly_Parent].[ContractorCircleStatus].[All]" allUniqueName="[DimTradeAlly_Parent].[ContractorCircleStatus].[All]" dimensionUniqueName="[DimTradeAlly_Parent]" displayFolder="" count="0" unbalanced="0"/>
    <cacheHierarchy uniqueName="[DimTradeAlly_Parent].[ContractorCircleStatusCount]" caption="ContractorCircleStatusCount" attribute="1" defaultMemberUniqueName="[DimTradeAlly_Parent].[ContractorCircleStatusCount].[All]" allUniqueName="[DimTradeAlly_Parent].[ContractorCircleStatusCount].[All]" dimensionUniqueName="[DimTradeAlly_Parent]" displayFolder="" count="0" unbalanced="0"/>
    <cacheHierarchy uniqueName="[DimTradeAlly_Parent].[EmailAddress]" caption="EmailAddress" attribute="1" defaultMemberUniqueName="[DimTradeAlly_Parent].[EmailAddress].[All]" allUniqueName="[DimTradeAlly_Parent].[EmailAddress].[All]" dimensionUniqueName="[DimTradeAlly_Parent]" displayFolder="" count="0" unbalanced="0"/>
    <cacheHierarchy uniqueName="[DimTradeAlly_Parent].[NAME]" caption="NAME" attribute="1" defaultMemberUniqueName="[DimTradeAlly_Parent].[NAME].[All]" allUniqueName="[DimTradeAlly_Parent].[NAME].[All]" dimensionUniqueName="[DimTradeAlly_Parent]" displayFolder="" count="0" unbalanced="0"/>
    <cacheHierarchy uniqueName="[DimTradeAlly_Parent].[OBFLoanStatus]" caption="OBFLoanStatus" attribute="1" defaultMemberUniqueName="[DimTradeAlly_Parent].[OBFLoanStatus].[All]" allUniqueName="[DimTradeAlly_Parent].[OBFLoanStatus].[All]" dimensionUniqueName="[DimTradeAlly_Parent]" displayFolder="" count="0" unbalanced="0"/>
    <cacheHierarchy uniqueName="[DimTradeAlly_Parent].[Parent or Child]" caption="Parent or Child" attribute="1" defaultMemberUniqueName="[DimTradeAlly_Parent].[Parent or Child].[All]" allUniqueName="[DimTradeAlly_Parent].[Parent or Child].[All]" dimensionUniqueName="[DimTradeAlly_Parent]" displayFolder="" count="0" unbalanced="0"/>
    <cacheHierarchy uniqueName="[DimTradeAlly_Parent].[ParentTradeAllyKey]" caption="ParentTradeAllyKey" attribute="1" defaultMemberUniqueName="[DimTradeAlly_Parent].[ParentTradeAllyKey].[All]" allUniqueName="[DimTradeAlly_Parent].[ParentTradeAllyKey].[All]" dimensionUniqueName="[DimTradeAlly_Parent]" displayFolder="" count="0" unbalanced="0"/>
    <cacheHierarchy uniqueName="[DimTradeAlly_Parent].[Personfirstname]" caption="Personfirstname" attribute="1" defaultMemberUniqueName="[DimTradeAlly_Parent].[Personfirstname].[All]" allUniqueName="[DimTradeAlly_Parent].[Personfirstname].[All]" dimensionUniqueName="[DimTradeAlly_Parent]" displayFolder="" count="0" unbalanced="0"/>
    <cacheHierarchy uniqueName="[DimTradeAlly_Parent].[Personlastname]" caption="Personlastname" attribute="1" defaultMemberUniqueName="[DimTradeAlly_Parent].[Personlastname].[All]" allUniqueName="[DimTradeAlly_Parent].[Personlastname].[All]" dimensionUniqueName="[DimTradeAlly_Parent]" displayFolder="" count="0" unbalanced="0"/>
    <cacheHierarchy uniqueName="[DimTradeAlly_Parent].[PostalCode]" caption="PostalCode" attribute="1" defaultMemberUniqueName="[DimTradeAlly_Parent].[PostalCode].[All]" allUniqueName="[DimTradeAlly_Parent].[PostalCode].[All]" dimensionUniqueName="[DimTradeAlly_Parent]" displayFolder="" count="0" unbalanced="0"/>
    <cacheHierarchy uniqueName="[DimTradeAlly_Parent].[StateCode]" caption="StateCode" attribute="1" defaultMemberUniqueName="[DimTradeAlly_Parent].[StateCode].[All]" allUniqueName="[DimTradeAlly_Parent].[StateCode].[All]" dimensionUniqueName="[DimTradeAlly_Parent]" displayFolder="" count="0" unbalanced="0"/>
    <cacheHierarchy uniqueName="[DimTradeAlly_Parent].[TradeAllyKey]" caption="TradeAllyKey" attribute="1" defaultMemberUniqueName="[DimTradeAlly_Parent].[TradeAllyKey].[All]" allUniqueName="[DimTradeAlly_Parent].[TradeAllyKey].[All]" dimensionUniqueName="[DimTradeAlly_Parent]" displayFolder="" count="0" unbalanced="0"/>
    <cacheHierarchy uniqueName="[DimTradeAlly_Parent].[WorkPhoneExtension]" caption="WorkPhoneExtension" attribute="1" defaultMemberUniqueName="[DimTradeAlly_Parent].[WorkPhoneExtension].[All]" allUniqueName="[DimTradeAlly_Parent].[WorkPhoneExtension].[All]" dimensionUniqueName="[DimTradeAlly_Parent]" displayFolder="" count="0" unbalanced="0"/>
    <cacheHierarchy uniqueName="[DimTradeAlly_Parent].[WorkPhoneNumber]" caption="WorkPhoneNumber" attribute="1" defaultMemberUniqueName="[DimTradeAlly_Parent].[WorkPhoneNumber].[All]" allUniqueName="[DimTradeAlly_Parent].[WorkPhoneNumber].[All]" dimensionUniqueName="[DimTradeAlly_Parent]" displayFolder="" count="0" unbalanced="0"/>
    <cacheHierarchy uniqueName="[DimTradeAllyType].[TradeAllyTypeCode]" caption="TradeAllyTypeCode" attribute="1" defaultMemberUniqueName="[DimTradeAllyType].[TradeAllyTypeCode].[All]" allUniqueName="[DimTradeAllyType].[TradeAllyTypeCode].[All]" dimensionUniqueName="[DimTradeAllyType]" displayFolder="" count="0" unbalanced="0"/>
    <cacheHierarchy uniqueName="[DimTradeAllyType].[TradeAllyTypeDescription]" caption="TradeAllyTypeDescription" attribute="1" defaultMemberUniqueName="[DimTradeAllyType].[TradeAllyTypeDescription].[All]" allUniqueName="[DimTradeAllyType].[TradeAllyTypeDescription].[All]" dimensionUniqueName="[DimTradeAllyType]" displayFolder="" count="0" unbalanced="0"/>
    <cacheHierarchy uniqueName="[DimUser].[Name]" caption="Name" attribute="1" defaultMemberUniqueName="[DimUser].[Name].[All]" allUniqueName="[DimUser].[Name].[All]" dimensionUniqueName="[DimUser]" displayFolder="" count="0" unbalanced="0"/>
    <cacheHierarchy uniqueName="[DimUserType].[UserTypeCode]" caption="UserTypeCode" attribute="1" defaultMemberUniqueName="[DimUserType].[UserTypeCode].[All]" allUniqueName="[DimUserType].[UserTypeCode].[All]" dimensionUniqueName="[DimUserType]" displayFolder="" count="0" unbalanced="0"/>
    <cacheHierarchy uniqueName="[DimUserType].[UserTypeDescription]" caption="UserTypeDescription" attribute="1" defaultMemberUniqueName="[DimUserType].[UserTypeDescription].[All]" allUniqueName="[DimUserType].[UserTypeDescription].[All]" dimensionUniqueName="[DimUserType]" displayFolder="" count="0" unbalanced="0"/>
    <cacheHierarchy uniqueName="[EquipmentDualFuel].[Equip Dual Fuel Code]" caption="Equip Dual Fuel Code" attribute="1" defaultMemberUniqueName="[EquipmentDualFuel].[Equip Dual Fuel Code].[All]" allUniqueName="[EquipmentDualFuel].[Equip Dual Fuel Code].[All]" dimensionUniqueName="[EquipmentDualFuel]" displayFolder="" count="0" unbalanced="0"/>
    <cacheHierarchy uniqueName="[EquipmentDualFuel].[Equip Dual Fuel Desc]" caption="Equip Dual Fuel Desc" attribute="1" defaultMemberUniqueName="[EquipmentDualFuel].[Equip Dual Fuel Desc].[All]" allUniqueName="[EquipmentDualFuel].[Equip Dual Fuel Desc].[All]" dimensionUniqueName="[EquipmentDualFuel]" displayFolder="" count="0" unbalanced="0"/>
    <cacheHierarchy uniqueName="[EquipmentFuel].[Equip Fuel Code]" caption="Equip Fuel Code" attribute="1" defaultMemberUniqueName="[EquipmentFuel].[Equip Fuel Code].[All]" allUniqueName="[EquipmentFuel].[Equip Fuel Code].[All]" dimensionUniqueName="[EquipmentFuel]" displayFolder="" count="0" unbalanced="0"/>
    <cacheHierarchy uniqueName="[EquipmentFuel].[Equip Fuel Desc]" caption="Equip Fuel Desc" attribute="1" defaultMemberUniqueName="[EquipmentFuel].[Equip Fuel Desc].[All]" allUniqueName="[EquipmentFuel].[Equip Fuel Desc].[All]" dimensionUniqueName="[EquipmentFuel]" displayFolder="" count="0" unbalanced="0"/>
    <cacheHierarchy uniqueName="[EquipmentManufacture].[Equip Manuf Code]" caption="Equip Manuf Code" attribute="1" defaultMemberUniqueName="[EquipmentManufacture].[Equip Manuf Code].[All]" allUniqueName="[EquipmentManufacture].[Equip Manuf Code].[All]" dimensionUniqueName="[EquipmentManufacture]" displayFolder="" count="0" unbalanced="0"/>
    <cacheHierarchy uniqueName="[EquipmentManufacture].[Equip Manuf Desc]" caption="Equip Manuf Desc" attribute="1" defaultMemberUniqueName="[EquipmentManufacture].[Equip Manuf Desc].[All]" allUniqueName="[EquipmentManufacture].[Equip Manuf Desc].[All]" dimensionUniqueName="[EquipmentManufacture]" displayFolder="" count="0" unbalanced="0"/>
    <cacheHierarchy uniqueName="[FactCostEffectiveness].[AvoidedGasSavings]" caption="AvoidedGasSavings" attribute="1" defaultMemberUniqueName="[FactCostEffectiveness].[AvoidedGasSavings].[All]" allUniqueName="[FactCostEffectiveness].[AvoidedGasSavings].[All]" dimensionUniqueName="[FactCostEffectiveness]" displayFolder="" count="0" unbalanced="0"/>
    <cacheHierarchy uniqueName="[FactCostEffectiveness].[Benefits]" caption="Benefits" attribute="1" defaultMemberUniqueName="[FactCostEffectiveness].[Benefits].[All]" allUniqueName="[FactCostEffectiveness].[Benefits].[All]" dimensionUniqueName="[FactCostEffectiveness]" displayFolder="" count="0" unbalanced="0"/>
    <cacheHierarchy uniqueName="[FactCostEffectiveness].[Costs]" caption="Costs" attribute="1" defaultMemberUniqueName="[FactCostEffectiveness].[Costs].[All]" allUniqueName="[FactCostEffectiveness].[Costs].[All]" dimensionUniqueName="[FactCostEffectiveness]" displayFolder="" count="0" unbalanced="0"/>
    <cacheHierarchy uniqueName="[FactCostEffectiveness].[CostType]" caption="CostType" attribute="1" defaultMemberUniqueName="[FactCostEffectiveness].[CostType].[All]" allUniqueName="[FactCostEffectiveness].[CostType].[All]" dimensionUniqueName="[FactCostEffectiveness]" displayFolder="" count="0" unbalanced="0"/>
    <cacheHierarchy uniqueName="[FactCostEffectiveness].[DQScoreKey]" caption="DQScoreKey" attribute="1" defaultMemberUniqueName="[FactCostEffectiveness].[DQScoreKey].[All]" allUniqueName="[FactCostEffectiveness].[DQScoreKey].[All]" dimensionUniqueName="[FactCostEffectiveness]" displayFolder="" count="0" unbalanced="0"/>
    <cacheHierarchy uniqueName="[FactCostEffectiveness].[FactCostEffectivenessKey]" caption="FactCostEffectivenessKey" attribute="1" defaultMemberUniqueName="[FactCostEffectiveness].[FactCostEffectivenessKey].[All]" allUniqueName="[FactCostEffectiveness].[FactCostEffectivenessKey].[All]" dimensionUniqueName="[FactCostEffectiveness]" displayFolder="" count="0" unbalanced="0"/>
    <cacheHierarchy uniqueName="[FactCostEffectiveness].[IncentiveCosts]" caption="IncentiveCosts" attribute="1" defaultMemberUniqueName="[FactCostEffectiveness].[IncentiveCosts].[All]" allUniqueName="[FactCostEffectiveness].[IncentiveCosts].[All]" dimensionUniqueName="[FactCostEffectiveness]" displayFolder="" count="0" unbalanced="0"/>
    <cacheHierarchy uniqueName="[FactCostEffectiveness].[IncrementalCosts_Net]" caption="IncrementalCosts_Net" attribute="1" defaultMemberUniqueName="[FactCostEffectiveness].[IncrementalCosts_Net].[All]" allUniqueName="[FactCostEffectiveness].[IncrementalCosts_Net].[All]" dimensionUniqueName="[FactCostEffectiveness]" displayFolder="" count="0" unbalanced="0"/>
    <cacheHierarchy uniqueName="[FactCostEffectiveness].[NonIncentiveCosts]" caption="NonIncentiveCosts" attribute="1" defaultMemberUniqueName="[FactCostEffectiveness].[NonIncentiveCosts].[All]" allUniqueName="[FactCostEffectiveness].[NonIncentiveCosts].[All]" dimensionUniqueName="[FactCostEffectiveness]" displayFolder="" count="0" unbalanced="0"/>
    <cacheHierarchy uniqueName="[FactCostEffectiveness].[OtherBenefits]" caption="OtherBenefits" attribute="1" defaultMemberUniqueName="[FactCostEffectiveness].[OtherBenefits].[All]" allUniqueName="[FactCostEffectiveness].[OtherBenefits].[All]" dimensionUniqueName="[FactCostEffectiveness]" displayFolder="" count="0" unbalanced="0"/>
    <cacheHierarchy uniqueName="[FactCostEffectiveness].[OtherBenefitsText]" caption="OtherBenefitsText" attribute="1" defaultMemberUniqueName="[FactCostEffectiveness].[OtherBenefitsText].[All]" allUniqueName="[FactCostEffectiveness].[OtherBenefitsText].[All]" dimensionUniqueName="[FactCostEffectiveness]" displayFolder="" count="0" unbalanced="0"/>
    <cacheHierarchy uniqueName="[FactCostEffectiveness].[PMTProgramKey]" caption="PMTProgramKey" attribute="1" defaultMemberUniqueName="[FactCostEffectiveness].[PMTProgramKey].[All]" allUniqueName="[FactCostEffectiveness].[PMTProgramKey].[All]" dimensionUniqueName="[FactCostEffectiveness]" displayFolder="" count="0" unbalanced="0"/>
    <cacheHierarchy uniqueName="[FactCostEffectiveness].[Program]" caption="Program" attribute="1" defaultMemberUniqueName="[FactCostEffectiveness].[Program].[All]" allUniqueName="[FactCostEffectiveness].[Program].[All]" dimensionUniqueName="[FactCostEffectiveness]" displayFolder="" count="0" unbalanced="0"/>
    <cacheHierarchy uniqueName="[FactCostEffectiveness].[ProgramAccountingDescription]" caption="ProgramAccountingDescription" attribute="1" defaultMemberUniqueName="[FactCostEffectiveness].[ProgramAccountingDescription].[All]" allUniqueName="[FactCostEffectiveness].[ProgramAccountingDescription].[All]" dimensionUniqueName="[FactCostEffectiveness]" displayFolder="" count="0" unbalanced="0"/>
    <cacheHierarchy uniqueName="[FactCostEffectiveness].[ProgramAccountingID]" caption="ProgramAccountingID" attribute="1" defaultMemberUniqueName="[FactCostEffectiveness].[ProgramAccountingID].[All]" allUniqueName="[FactCostEffectiveness].[ProgramAccountingID].[All]" dimensionUniqueName="[FactCostEffectiveness]" displayFolder="" count="0" unbalanced="0"/>
    <cacheHierarchy uniqueName="[FactCostEffectiveness].[ProgramYear]" caption="ProgramYear" attribute="1" defaultMemberUniqueName="[FactCostEffectiveness].[ProgramYear].[All]" allUniqueName="[FactCostEffectiveness].[ProgramYear].[All]" dimensionUniqueName="[FactCostEffectiveness]" displayFolder="" count="0" unbalanced="0"/>
    <cacheHierarchy uniqueName="[FactCostEffectiveness].[ProjectID]" caption="ProjectID" attribute="1" defaultMemberUniqueName="[FactCostEffectiveness].[ProjectID].[All]" allUniqueName="[FactCostEffectiveness].[ProjectID].[All]" dimensionUniqueName="[FactCostEffectiveness]" displayFolder="" count="0" unbalanced="0"/>
    <cacheHierarchy uniqueName="[FactCostEffectiveness].[Test]" caption="Test" attribute="1" defaultMemberUniqueName="[FactCostEffectiveness].[Test].[All]" allUniqueName="[FactCostEffectiveness].[Test].[All]" dimensionUniqueName="[FactCostEffectiveness]" displayFolder="" count="0" unbalanced="0"/>
    <cacheHierarchy uniqueName="[FactCostEffectiveness].[TestNetBenefits]" caption="TestNetBenefits" attribute="1" defaultMemberUniqueName="[FactCostEffectiveness].[TestNetBenefits].[All]" allUniqueName="[FactCostEffectiveness].[TestNetBenefits].[All]" dimensionUniqueName="[FactCostEffectiveness]" displayFolder="" count="0" unbalanced="0"/>
    <cacheHierarchy uniqueName="[FactCostSavings].[Average_MeasureLife]" caption="Average_MeasureLife" attribute="1" defaultMemberUniqueName="[FactCostSavings].[Average_MeasureLife].[All]" allUniqueName="[FactCostSavings].[Average_MeasureLife].[All]" dimensionUniqueName="[FactCostSavings]" displayFolder="" count="0" unbalanced="0"/>
    <cacheHierarchy uniqueName="[FactCostSavings].[AverageActualProgramDollarCost]" caption="AverageActualProgramDollarCost" attribute="1" defaultMemberUniqueName="[FactCostSavings].[AverageActualProgramDollarCost].[All]" allUniqueName="[FactCostSavings].[AverageActualProgramDollarCost].[All]" dimensionUniqueName="[FactCostSavings]" displayFolder="" count="0" unbalanced="0"/>
    <cacheHierarchy uniqueName="[FactCostSavings].[Avg_Gross_Savings]" caption="Avg_Gross_Savings" attribute="1" defaultMemberUniqueName="[FactCostSavings].[Avg_Gross_Savings].[All]" allUniqueName="[FactCostSavings].[Avg_Gross_Savings].[All]" dimensionUniqueName="[FactCostSavings]" displayFolder="" count="0" unbalanced="0"/>
    <cacheHierarchy uniqueName="[FactCostSavings].[Avg_Net_Savings]" caption="Avg_Net_Savings" attribute="1" defaultMemberUniqueName="[FactCostSavings].[Avg_Net_Savings].[All]" allUniqueName="[FactCostSavings].[Avg_Net_Savings].[All]" dimensionUniqueName="[FactCostSavings]" displayFolder="" count="0" unbalanced="0"/>
    <cacheHierarchy uniqueName="[FactCostSavings].[CostSavingsKey]" caption="CostSavingsKey" attribute="1" defaultMemberUniqueName="[FactCostSavings].[CostSavingsKey].[All]" allUniqueName="[FactCostSavings].[CostSavingsKey].[All]" dimensionUniqueName="[FactCostSavings]" displayFolder="" count="0" unbalanced="0"/>
    <cacheHierarchy uniqueName="[FactCostSavings].[Count]" caption="Count" attribute="1" defaultMemberUniqueName="[FactCostSavings].[Count].[All]" allUniqueName="[FactCostSavings].[Count].[All]" dimensionUniqueName="[FactCostSavings]" displayFolder="" count="0" unbalanced="0"/>
    <cacheHierarchy uniqueName="[FactCostSavings].[Gross_Therm_Unit_Cost]" caption="Gross_Therm_Unit_Cost" attribute="1" defaultMemberUniqueName="[FactCostSavings].[Gross_Therm_Unit_Cost].[All]" allUniqueName="[FactCostSavings].[Gross_Therm_Unit_Cost].[All]" dimensionUniqueName="[FactCostSavings]" displayFolder="" count="0" unbalanced="0"/>
    <cacheHierarchy uniqueName="[FactCostSavings].[GrossSavings]" caption="GrossSavings" attribute="1" defaultMemberUniqueName="[FactCostSavings].[GrossSavings].[All]" allUniqueName="[FactCostSavings].[GrossSavings].[All]" dimensionUniqueName="[FactCostSavings]" displayFolder="" count="0" unbalanced="0"/>
    <cacheHierarchy uniqueName="[FactCostSavings].[MaxMeasureLife]" caption="MaxMeasureLife" attribute="1" defaultMemberUniqueName="[FactCostSavings].[MaxMeasureLife].[All]" allUniqueName="[FactCostSavings].[MaxMeasureLife].[All]" dimensionUniqueName="[FactCostSavings]" displayFolder="" count="0" unbalanced="0"/>
    <cacheHierarchy uniqueName="[FactCostSavings].[MeasureName]" caption="MeasureName" attribute="1" defaultMemberUniqueName="[FactCostSavings].[MeasureName].[All]" allUniqueName="[FactCostSavings].[MeasureName].[All]" dimensionUniqueName="[FactCostSavings]" displayFolder="" count="0" unbalanced="0"/>
    <cacheHierarchy uniqueName="[FactCostSavings].[MinMeasureLife]" caption="MinMeasureLife" attribute="1" defaultMemberUniqueName="[FactCostSavings].[MinMeasureLife].[All]" allUniqueName="[FactCostSavings].[MinMeasureLife].[All]" dimensionUniqueName="[FactCostSavings]" displayFolder="" count="0" unbalanced="0"/>
    <cacheHierarchy uniqueName="[FactCostSavings].[Net_Therm_Unit_Cost]" caption="Net_Therm_Unit_Cost" attribute="1" defaultMemberUniqueName="[FactCostSavings].[Net_Therm_Unit_Cost].[All]" allUniqueName="[FactCostSavings].[Net_Therm_Unit_Cost].[All]" dimensionUniqueName="[FactCostSavings]" displayFolder="" count="0" unbalanced="0"/>
    <cacheHierarchy uniqueName="[FactCostSavings].[NetSavings]" caption="NetSavings" attribute="1" defaultMemberUniqueName="[FactCostSavings].[NetSavings].[All]" allUniqueName="[FactCostSavings].[NetSavings].[All]" dimensionUniqueName="[FactCostSavings]" displayFolder="" count="0" unbalanced="0"/>
    <cacheHierarchy uniqueName="[FactCostSavings].[PMTProgramKey]" caption="PMTProgramKey" attribute="1" defaultMemberUniqueName="[FactCostSavings].[PMTProgramKey].[All]" allUniqueName="[FactCostSavings].[PMTProgramKey].[All]" dimensionUniqueName="[FactCostSavings]" displayFolder="" count="0" unbalanced="0"/>
    <cacheHierarchy uniqueName="[FactCostSavings].[ProgramYear]" caption="ProgramYear" attribute="1" defaultMemberUniqueName="[FactCostSavings].[ProgramYear].[All]" allUniqueName="[FactCostSavings].[ProgramYear].[All]" dimensionUniqueName="[FactCostSavings]" displayFolder="" count="0" unbalanced="0"/>
    <cacheHierarchy uniqueName="[FactEEPData].[AccountingCode]" caption="AccountingCode" attribute="1" defaultMemberUniqueName="[FactEEPData].[AccountingCode].[All]" allUniqueName="[FactEEPData].[AccountingCode].[All]" dimensionUniqueName="[FactEEPData]" displayFolder="" count="0" unbalanced="0"/>
    <cacheHierarchy uniqueName="[FactEEPData].[AccountingCodeDescription]" caption="AccountingCodeDescription" attribute="1" defaultMemberUniqueName="[FactEEPData].[AccountingCodeDescription].[All]" allUniqueName="[FactEEPData].[AccountingCodeDescription].[All]" dimensionUniqueName="[FactEEPData]" displayFolder="" count="0" unbalanced="0"/>
    <cacheHierarchy uniqueName="[FactEEPData].[ActualProgramDollarCost]" caption="ActualProgramDollarCost" attribute="1" defaultMemberUniqueName="[FactEEPData].[ActualProgramDollarCost].[All]" allUniqueName="[FactEEPData].[ActualProgramDollarCost].[All]" dimensionUniqueName="[FactEEPData]" displayFolder="" count="0" unbalanced="0"/>
    <cacheHierarchy uniqueName="[FactEEPData].[AdjustmentFactor]" caption="AdjustmentFactor" attribute="1" defaultMemberUniqueName="[FactEEPData].[AdjustmentFactor].[All]" allUniqueName="[FactEEPData].[AdjustmentFactor].[All]" dimensionUniqueName="[FactEEPData]" displayFolder="" count="0" unbalanced="0"/>
    <cacheHierarchy uniqueName="[FactEEPData].[AdjustmentFactorAtttic]" caption="AdjustmentFactorAtttic" attribute="1" defaultMemberUniqueName="[FactEEPData].[AdjustmentFactorAtttic].[All]" allUniqueName="[FactEEPData].[AdjustmentFactorAtttic].[All]" dimensionUniqueName="[FactEEPData]" displayFolder="" count="0" unbalanced="0"/>
    <cacheHierarchy uniqueName="[FactEEPData].[AdministrationCost]" caption="AdministrationCost" attribute="1" defaultMemberUniqueName="[FactEEPData].[AdministrationCost].[All]" allUniqueName="[FactEEPData].[AdministrationCost].[All]" dimensionUniqueName="[FactEEPData]" displayFolder="" count="0" unbalanced="0"/>
    <cacheHierarchy uniqueName="[FactEEPData].[AgeOfEquipment]" caption="AgeOfEquipment" attribute="1" defaultMemberUniqueName="[FactEEPData].[AgeOfEquipment].[All]" allUniqueName="[FactEEPData].[AgeOfEquipment].[All]" dimensionUniqueName="[FactEEPData]" displayFolder="" count="0" unbalanced="0"/>
    <cacheHierarchy uniqueName="[FactEEPData].[AllocatedDeliveryDollars]" caption="AllocatedDeliveryDollars" attribute="1" defaultMemberUniqueName="[FactEEPData].[AllocatedDeliveryDollars].[All]" allUniqueName="[FactEEPData].[AllocatedDeliveryDollars].[All]" dimensionUniqueName="[FactEEPData]" displayFolder="" count="0" unbalanced="0"/>
    <cacheHierarchy uniqueName="[FactEEPData].[AnnualSewerSavings]" caption="AnnualSewerSavings" attribute="1" defaultMemberUniqueName="[FactEEPData].[AnnualSewerSavings].[All]" allUniqueName="[FactEEPData].[AnnualSewerSavings].[All]" dimensionUniqueName="[FactEEPData]" displayFolder="" count="0" unbalanced="0"/>
    <cacheHierarchy uniqueName="[FactEEPData].[AnnualThermConsumption]" caption="AnnualThermConsumption" attribute="1" defaultMemberUniqueName="[FactEEPData].[AnnualThermConsumption].[All]" allUniqueName="[FactEEPData].[AnnualThermConsumption].[All]" dimensionUniqueName="[FactEEPData]" displayFolder="" count="0" unbalanced="0"/>
    <cacheHierarchy uniqueName="[FactEEPData].[AnnualWaterSavings_GallonsPerYear]" caption="AnnualWaterSavings_GallonsPerYear" attribute="1" defaultMemberUniqueName="[FactEEPData].[AnnualWaterSavings_GallonsPerYear].[All]" allUniqueName="[FactEEPData].[AnnualWaterSavings_GallonsPerYear].[All]" dimensionUniqueName="[FactEEPData]" displayFolder="" count="0" unbalanced="0"/>
    <cacheHierarchy uniqueName="[FactEEPData].[ApprovalDate]" caption="ApprovalDate" attribute="1" defaultMemberUniqueName="[FactEEPData].[ApprovalDate].[All]" allUniqueName="[FactEEPData].[ApprovalDate].[All]" dimensionUniqueName="[FactEEPData]" displayFolder="" count="0" unbalanced="0"/>
    <cacheHierarchy uniqueName="[FactEEPData].[AreaOfInsulatedCeiling_Attic]" caption="AreaOfInsulatedCeiling_Attic" attribute="1" defaultMemberUniqueName="[FactEEPData].[AreaOfInsulatedCeiling_Attic].[All]" allUniqueName="[FactEEPData].[AreaOfInsulatedCeiling_Attic].[All]" dimensionUniqueName="[FactEEPData]" displayFolder="" count="0" unbalanced="0"/>
    <cacheHierarchy uniqueName="[FactEEPData].[AreaOfInsulatedWall]" caption="AreaOfInsulatedWall" attribute="1" defaultMemberUniqueName="[FactEEPData].[AreaOfInsulatedWall].[All]" allUniqueName="[FactEEPData].[AreaOfInsulatedWall].[All]" dimensionUniqueName="[FactEEPData]" displayFolder="" count="0" unbalanced="0"/>
    <cacheHierarchy uniqueName="[FactEEPData].[AsBuiltkWH]" caption="AsBuiltkWH" attribute="1" defaultMemberUniqueName="[FactEEPData].[AsBuiltkWH].[All]" allUniqueName="[FactEEPData].[AsBuiltkWH].[All]" dimensionUniqueName="[FactEEPData]" displayFolder="" count="0" unbalanced="0"/>
    <cacheHierarchy uniqueName="[FactEEPData].[AsBuiltTherms]" caption="AsBuiltTherms" attribute="1" defaultMemberUniqueName="[FactEEPData].[AsBuiltTherms].[All]" allUniqueName="[FactEEPData].[AsBuiltTherms].[All]" dimensionUniqueName="[FactEEPData]" displayFolder="" count="0" unbalanced="0"/>
    <cacheHierarchy uniqueName="[FactEEPData].[ASTMEnergyToFood]" caption="ASTMEnergyToFood" attribute="1" defaultMemberUniqueName="[FactEEPData].[ASTMEnergyToFood].[All]" allUniqueName="[FactEEPData].[ASTMEnergyToFood].[All]" dimensionUniqueName="[FactEEPData]" displayFolder="" count="0" unbalanced="0"/>
    <cacheHierarchy uniqueName="[FactEEPData].[AuditDate]" caption="AuditDate" attribute="1" defaultMemberUniqueName="[FactEEPData].[AuditDate].[All]" allUniqueName="[FactEEPData].[AuditDate].[All]" dimensionUniqueName="[FactEEPData]" displayFolder="" count="0" unbalanced="0"/>
    <cacheHierarchy uniqueName="[FactEEPData].[AverageTempDiff]" caption="AverageTempDiff" attribute="1" defaultMemberUniqueName="[FactEEPData].[AverageTempDiff].[All]" allUniqueName="[FactEEPData].[AverageTempDiff].[All]" dimensionUniqueName="[FactEEPData]" displayFolder="" count="0" unbalanced="0"/>
    <cacheHierarchy uniqueName="[FactEEPData].[BarePipeHeatLoss]" caption="BarePipeHeatLoss" attribute="1" defaultMemberUniqueName="[FactEEPData].[BarePipeHeatLoss].[All]" allUniqueName="[FactEEPData].[BarePipeHeatLoss].[All]" dimensionUniqueName="[FactEEPData]" displayFolder="" count="0" unbalanced="0"/>
    <cacheHierarchy uniqueName="[FactEEPData].[BasekWh]" caption="BasekWh" attribute="1" defaultMemberUniqueName="[FactEEPData].[BasekWh].[All]" allUniqueName="[FactEEPData].[BasekWh].[All]" dimensionUniqueName="[FactEEPData]" displayFolder="" count="0" unbalanced="0"/>
    <cacheHierarchy uniqueName="[FactEEPData].[BaselineEfficiency]" caption="BaselineEfficiency" attribute="1" defaultMemberUniqueName="[FactEEPData].[BaselineEfficiency].[All]" allUniqueName="[FactEEPData].[BaselineEfficiency].[All]" dimensionUniqueName="[FactEEPData]" displayFolder="" count="0" unbalanced="0"/>
    <cacheHierarchy uniqueName="[FactEEPData].[BaselineIdleEnergyRate]" caption="BaselineIdleEnergyRate" attribute="1" defaultMemberUniqueName="[FactEEPData].[BaselineIdleEnergyRate].[All]" allUniqueName="[FactEEPData].[BaselineIdleEnergyRate].[All]" dimensionUniqueName="[FactEEPData]" displayFolder="" count="0" unbalanced="0"/>
    <cacheHierarchy uniqueName="[FactEEPData].[BaselineIdleTime]" caption="BaselineIdleTime" attribute="1" defaultMemberUniqueName="[FactEEPData].[BaselineIdleTime].[All]" allUniqueName="[FactEEPData].[BaselineIdleTime].[All]" dimensionUniqueName="[FactEEPData]" displayFolder="" count="0" unbalanced="0"/>
    <cacheHierarchy uniqueName="[FactEEPData].[BaselineNumberOfPreheatsPerDay]" caption="BaselineNumberOfPreheatsPerDay" attribute="1" defaultMemberUniqueName="[FactEEPData].[BaselineNumberOfPreheatsPerDay].[All]" allUniqueName="[FactEEPData].[BaselineNumberOfPreheatsPerDay].[All]" dimensionUniqueName="[FactEEPData]" displayFolder="" count="0" unbalanced="0"/>
    <cacheHierarchy uniqueName="[FactEEPData].[BaselinePreheatRate]" caption="BaselinePreheatRate" attribute="1" defaultMemberUniqueName="[FactEEPData].[BaselinePreheatRate].[All]" allUniqueName="[FactEEPData].[BaselinePreheatRate].[All]" dimensionUniqueName="[FactEEPData]" displayFolder="" count="0" unbalanced="0"/>
    <cacheHierarchy uniqueName="[FactEEPData].[BaselinePreheatTime]" caption="BaselinePreheatTime" attribute="1" defaultMemberUniqueName="[FactEEPData].[BaselinePreheatTime].[All]" allUniqueName="[FactEEPData].[BaselinePreheatTime].[All]" dimensionUniqueName="[FactEEPData]" displayFolder="" count="0" unbalanced="0"/>
    <cacheHierarchy uniqueName="[FactEEPData].[BaselineProductionCapacity]" caption="BaselineProductionCapacity" attribute="1" defaultMemberUniqueName="[FactEEPData].[BaselineProductionCapacity].[All]" allUniqueName="[FactEEPData].[BaselineProductionCapacity].[All]" dimensionUniqueName="[FactEEPData]" displayFolder="" count="0" unbalanced="0"/>
    <cacheHierarchy uniqueName="[FactEEPData].[BaseTherms]" caption="BaseTherms" attribute="1" defaultMemberUniqueName="[FactEEPData].[BaseTherms].[All]" allUniqueName="[FactEEPData].[BaseTherms].[All]" dimensionUniqueName="[FactEEPData]" displayFolder="" count="0" unbalanced="0"/>
    <cacheHierarchy uniqueName="[FactEEPData].[BlowerDoorResults_ACH50]" caption="BlowerDoorResults_ACH50" attribute="1" defaultMemberUniqueName="[FactEEPData].[BlowerDoorResults_ACH50].[All]" allUniqueName="[FactEEPData].[BlowerDoorResults_ACH50].[All]" dimensionUniqueName="[FactEEPData]" displayFolder="" count="0" unbalanced="0"/>
    <cacheHierarchy uniqueName="[FactEEPData].[BudgetProgramDollarCost]" caption="BudgetProgramDollarCost" attribute="1" defaultMemberUniqueName="[FactEEPData].[BudgetProgramDollarCost].[All]" allUniqueName="[FactEEPData].[BudgetProgramDollarCost].[All]" dimensionUniqueName="[FactEEPData]" displayFolder="" count="0" unbalanced="0"/>
    <cacheHierarchy uniqueName="[FactEEPData].[BuilderIncentive]" caption="BuilderIncentive" attribute="1" defaultMemberUniqueName="[FactEEPData].[BuilderIncentive].[All]" allUniqueName="[FactEEPData].[BuilderIncentive].[All]" dimensionUniqueName="[FactEEPData]" displayFolder="" count="0" unbalanced="0"/>
    <cacheHierarchy uniqueName="[FactEEPData].[BuildingExposure]" caption="BuildingExposure" attribute="1" defaultMemberUniqueName="[FactEEPData].[BuildingExposure].[All]" allUniqueName="[FactEEPData].[BuildingExposure].[All]" dimensionUniqueName="[FactEEPData]" displayFolder="" count="0" unbalanced="0"/>
    <cacheHierarchy uniqueName="[FactEEPData].[BundleComponent]" caption="BundleComponent" attribute="1" defaultMemberUniqueName="[FactEEPData].[BundleComponent].[All]" allUniqueName="[FactEEPData].[BundleComponent].[All]" dimensionUniqueName="[FactEEPData]" displayFolder="" count="0" unbalanced="0"/>
    <cacheHierarchy uniqueName="[FactEEPData].[CalculatedDeltaSavingsPercent]" caption="CalculatedDeltaSavingsPercent" attribute="1" defaultMemberUniqueName="[FactEEPData].[CalculatedDeltaSavingsPercent].[All]" allUniqueName="[FactEEPData].[CalculatedDeltaSavingsPercent].[All]" dimensionUniqueName="[FactEEPData]" displayFolder="" count="0" unbalanced="0"/>
    <cacheHierarchy uniqueName="[FactEEPData].[CalculationMethod]" caption="CalculationMethod" attribute="1" defaultMemberUniqueName="[FactEEPData].[CalculationMethod].[All]" allUniqueName="[FactEEPData].[CalculationMethod].[All]" dimensionUniqueName="[FactEEPData]" displayFolder="" count="0" unbalanced="0"/>
    <cacheHierarchy uniqueName="[FactEEPData].[Circumference1]" caption="Circumference1" attribute="1" defaultMemberUniqueName="[FactEEPData].[Circumference1].[All]" allUniqueName="[FactEEPData].[Circumference1].[All]" dimensionUniqueName="[FactEEPData]" displayFolder="" count="0" unbalanced="0"/>
    <cacheHierarchy uniqueName="[FactEEPData].[Circumference2]" caption="Circumference2" attribute="1" defaultMemberUniqueName="[FactEEPData].[Circumference2].[All]" allUniqueName="[FactEEPData].[Circumference2].[All]" dimensionUniqueName="[FactEEPData]" displayFolder="" count="0" unbalanced="0"/>
    <cacheHierarchy uniqueName="[FactEEPData].[Classification]" caption="Classification" attribute="1" defaultMemberUniqueName="[FactEEPData].[Classification].[All]" allUniqueName="[FactEEPData].[Classification].[All]" dimensionUniqueName="[FactEEPData]" displayFolder="" count="0" unbalanced="0"/>
    <cacheHierarchy uniqueName="[FactEEPData].[ConditionedBasement]" caption="ConditionedBasement" attribute="1" defaultMemberUniqueName="[FactEEPData].[ConditionedBasement].[All]" allUniqueName="[FactEEPData].[ConditionedBasement].[All]" dimensionUniqueName="[FactEEPData]" displayFolder="" count="0" unbalanced="0"/>
    <cacheHierarchy uniqueName="[FactEEPData].[CustomerCopay]" caption="CustomerCopay" attribute="1" defaultMemberUniqueName="[FactEEPData].[CustomerCopay].[All]" allUniqueName="[FactEEPData].[CustomerCopay].[All]" dimensionUniqueName="[FactEEPData]" displayFolder="" count="0" unbalanced="0"/>
    <cacheHierarchy uniqueName="[FactEEPData].[CustomerCost]" caption="CustomerCost" attribute="1" defaultMemberUniqueName="[FactEEPData].[CustomerCost].[All]" allUniqueName="[FactEEPData].[CustomerCost].[All]" dimensionUniqueName="[FactEEPData]" displayFolder="" count="0" unbalanced="0"/>
    <cacheHierarchy uniqueName="[FactEEPData].[DailyCookingEnergyDiff]" caption="DailyCookingEnergyDiff" attribute="1" defaultMemberUniqueName="[FactEEPData].[DailyCookingEnergyDiff].[All]" allUniqueName="[FactEEPData].[DailyCookingEnergyDiff].[All]" dimensionUniqueName="[FactEEPData]" displayFolder="" count="0" unbalanced="0"/>
    <cacheHierarchy uniqueName="[FactEEPData].[DailyIdleEnergyDiff]" caption="DailyIdleEnergyDiff" attribute="1" defaultMemberUniqueName="[FactEEPData].[DailyIdleEnergyDiff].[All]" allUniqueName="[FactEEPData].[DailyIdleEnergyDiff].[All]" dimensionUniqueName="[FactEEPData]" displayFolder="" count="0" unbalanced="0"/>
    <cacheHierarchy uniqueName="[FactEEPData].[DailyPreheatEnergyDiff]" caption="DailyPreheatEnergyDiff" attribute="1" defaultMemberUniqueName="[FactEEPData].[DailyPreheatEnergyDiff].[All]" allUniqueName="[FactEEPData].[DailyPreheatEnergyDiff].[All]" dimensionUniqueName="[FactEEPData]" displayFolder="" count="0" unbalanced="0"/>
    <cacheHierarchy uniqueName="[FactEEPData].[DeemedThermSavings]" caption="DeemedThermSavings" attribute="1" defaultMemberUniqueName="[FactEEPData].[DeemedThermSavings].[All]" allUniqueName="[FactEEPData].[DeemedThermSavings].[All]" dimensionUniqueName="[FactEEPData]" displayFolder="" count="0" unbalanced="0"/>
    <cacheHierarchy uniqueName="[FactEEPData].[DegreeOfSetback]" caption="DegreeOfSetback" attribute="1" defaultMemberUniqueName="[FactEEPData].[DegreeOfSetback].[All]" allUniqueName="[FactEEPData].[DegreeOfSetback].[All]" dimensionUniqueName="[FactEEPData]" displayFolder="" count="0" unbalanced="0"/>
    <cacheHierarchy uniqueName="[FactEEPData].[DeltaMBTUH]" caption="DeltaMBTUH" attribute="1" defaultMemberUniqueName="[FactEEPData].[DeltaMBTUH].[All]" allUniqueName="[FactEEPData].[DeltaMBTUH].[All]" dimensionUniqueName="[FactEEPData]" displayFolder="" count="0" unbalanced="0"/>
    <cacheHierarchy uniqueName="[FactEEPData].[Derating_Base]" caption="Derating_Base" attribute="1" defaultMemberUniqueName="[FactEEPData].[Derating_Base].[All]" allUniqueName="[FactEEPData].[Derating_Base].[All]" dimensionUniqueName="[FactEEPData]" displayFolder="" count="0" unbalanced="0"/>
    <cacheHierarchy uniqueName="[FactEEPData].[Derating_Eff]" caption="Derating_Eff" attribute="1" defaultMemberUniqueName="[FactEEPData].[Derating_Eff].[All]" allUniqueName="[FactEEPData].[Derating_Eff].[All]" dimensionUniqueName="[FactEEPData]" displayFolder="" count="0" unbalanced="0"/>
    <cacheHierarchy uniqueName="[FactEEPData].[DrainFactor]" caption="DrainFactor" attribute="1" defaultMemberUniqueName="[FactEEPData].[DrainFactor].[All]" allUniqueName="[FactEEPData].[DrainFactor].[All]" dimensionUniqueName="[FactEEPData]" displayFolder="" count="0" unbalanced="0"/>
    <cacheHierarchy uniqueName="[FactEEPData].[DuctLeakageReduction]" caption="DuctLeakageReduction" attribute="1" defaultMemberUniqueName="[FactEEPData].[DuctLeakageReduction].[All]" allUniqueName="[FactEEPData].[DuctLeakageReduction].[All]" dimensionUniqueName="[FactEEPData]" displayFolder="" count="0" unbalanced="0"/>
    <cacheHierarchy uniqueName="[FactEEPData].[Duty]" caption="Duty" attribute="1" defaultMemberUniqueName="[FactEEPData].[Duty].[All]" allUniqueName="[FactEEPData].[Duty].[All]" dimensionUniqueName="[FactEEPData]" displayFolder="" count="0" unbalanced="0"/>
    <cacheHierarchy uniqueName="[FactEEPData].[EEPGrossTherms]" caption="EEPGrossTherms" attribute="1" defaultMemberUniqueName="[FactEEPData].[EEPGrossTherms].[All]" allUniqueName="[FactEEPData].[EEPGrossTherms].[All]" dimensionUniqueName="[FactEEPData]" displayFolder="" count="0" unbalanced="0"/>
    <cacheHierarchy uniqueName="[FactEEPData].[EfficiencyDHW]" caption="EfficiencyDHW" attribute="1" defaultMemberUniqueName="[FactEEPData].[EfficiencyDHW].[All]" allUniqueName="[FactEEPData].[EfficiencyDHW].[All]" dimensionUniqueName="[FactEEPData]" displayFolder="" count="0" unbalanced="0"/>
    <cacheHierarchy uniqueName="[FactEEPData].[EmergingTechnologyDollars]" caption="EmergingTechnologyDollars" attribute="1" defaultMemberUniqueName="[FactEEPData].[EmergingTechnologyDollars].[All]" allUniqueName="[FactEEPData].[EmergingTechnologyDollars].[All]" dimensionUniqueName="[FactEEPData]" displayFolder="" count="0" unbalanced="0"/>
    <cacheHierarchy uniqueName="[FactEEPData].[EndDate]" caption="EndDate" attribute="1" defaultMemberUniqueName="[FactEEPData].[EndDate].[All]" allUniqueName="[FactEEPData].[EndDate].[All]" dimensionUniqueName="[FactEEPData]" displayFolder="" count="0" unbalanced="0"/>
    <cacheHierarchy uniqueName="[FactEEPData].[EnergyPerGallon]" caption="EnergyPerGallon" attribute="1" defaultMemberUniqueName="[FactEEPData].[EnergyPerGallon].[All]" allUniqueName="[FactEEPData].[EnergyPerGallon].[All]" dimensionUniqueName="[FactEEPData]" displayFolder="" count="0" unbalanced="0"/>
    <cacheHierarchy uniqueName="[FactEEPData].[EnergySavingsPerPreheat]" caption="EnergySavingsPerPreheat" attribute="1" defaultMemberUniqueName="[FactEEPData].[EnergySavingsPerPreheat].[All]" allUniqueName="[FactEEPData].[EnergySavingsPerPreheat].[All]" dimensionUniqueName="[FactEEPData]" displayFolder="" count="0" unbalanced="0"/>
    <cacheHierarchy uniqueName="[FactEEPData].[ENERGYSTAR_EquipmentNumberOfPreheatsPerDay]" caption="ENERGYSTAR_EquipmentNumberOfPreheatsPerDay" attribute="1" defaultMemberUniqueName="[FactEEPData].[ENERGYSTAR_EquipmentNumberOfPreheatsPerDay].[All]" allUniqueName="[FactEEPData].[ENERGYSTAR_EquipmentNumberOfPreheatsPerDay].[All]" dimensionUniqueName="[FactEEPData]" displayFolder="" count="0" unbalanced="0"/>
    <cacheHierarchy uniqueName="[FactEEPData].[ENERGYSTAR_IdleEnergyRate]" caption="ENERGYSTAR_IdleEnergyRate" attribute="1" defaultMemberUniqueName="[FactEEPData].[ENERGYSTAR_IdleEnergyRate].[All]" allUniqueName="[FactEEPData].[ENERGYSTAR_IdleEnergyRate].[All]" dimensionUniqueName="[FactEEPData]" displayFolder="" count="0" unbalanced="0"/>
    <cacheHierarchy uniqueName="[FactEEPData].[ENERGYSTAR_IdleTime]" caption="ENERGYSTAR_IdleTime" attribute="1" defaultMemberUniqueName="[FactEEPData].[ENERGYSTAR_IdleTime].[All]" allUniqueName="[FactEEPData].[ENERGYSTAR_IdleTime].[All]" dimensionUniqueName="[FactEEPData]" displayFolder="" count="0" unbalanced="0"/>
    <cacheHierarchy uniqueName="[FactEEPData].[ENERGYSTAR_PreheatRate]" caption="ENERGYSTAR_PreheatRate" attribute="1" defaultMemberUniqueName="[FactEEPData].[ENERGYSTAR_PreheatRate].[All]" allUniqueName="[FactEEPData].[ENERGYSTAR_PreheatRate].[All]" dimensionUniqueName="[FactEEPData]" displayFolder="" count="0" unbalanced="0"/>
    <cacheHierarchy uniqueName="[FactEEPData].[ENERGYSTAR_PreheatTime]" caption="ENERGYSTAR_PreheatTime" attribute="1" defaultMemberUniqueName="[FactEEPData].[ENERGYSTAR_PreheatTime].[All]" allUniqueName="[FactEEPData].[ENERGYSTAR_PreheatTime].[All]" dimensionUniqueName="[FactEEPData]" displayFolder="" count="0" unbalanced="0"/>
    <cacheHierarchy uniqueName="[FactEEPData].[EquipmentEfficiency%]" caption="EquipmentEfficiency%" attribute="1" defaultMemberUniqueName="[FactEEPData].[EquipmentEfficiency%].[All]" allUniqueName="[FactEEPData].[EquipmentEfficiency%].[All]" dimensionUniqueName="[FactEEPData]" displayFolder="" count="0" unbalanced="0"/>
    <cacheHierarchy uniqueName="[FactEEPData].[EquipmentLocation]" caption="EquipmentLocation" attribute="1" defaultMemberUniqueName="[FactEEPData].[EquipmentLocation].[All]" allUniqueName="[FactEEPData].[EquipmentLocation].[All]" dimensionUniqueName="[FactEEPData]" displayFolder="" count="0" unbalanced="0"/>
    <cacheHierarchy uniqueName="[FactEEPData].[EquivalentFullLoadHours]" caption="EquivalentFullLoadHours" attribute="1" defaultMemberUniqueName="[FactEEPData].[EquivalentFullLoadHours].[All]" allUniqueName="[FactEEPData].[EquivalentFullLoadHours].[All]" dimensionUniqueName="[FactEEPData]" displayFolder="" count="0" unbalanced="0"/>
    <cacheHierarchy uniqueName="[FactEEPData].[EstimatedAnnualSewerSavings_Gallons]" caption="EstimatedAnnualSewerSavings_Gallons" attribute="1" defaultMemberUniqueName="[FactEEPData].[EstimatedAnnualSewerSavings_Gallons].[All]" allUniqueName="[FactEEPData].[EstimatedAnnualSewerSavings_Gallons].[All]" dimensionUniqueName="[FactEEPData]" displayFolder="" count="0" unbalanced="0"/>
    <cacheHierarchy uniqueName="[FactEEPData].[EstimatedAnnualWaterSavings_Gallons]" caption="EstimatedAnnualWaterSavings_Gallons" attribute="1" defaultMemberUniqueName="[FactEEPData].[EstimatedAnnualWaterSavings_Gallons].[All]" allUniqueName="[FactEEPData].[EstimatedAnnualWaterSavings_Gallons].[All]" dimensionUniqueName="[FactEEPData]" displayFolder="" count="0" unbalanced="0"/>
    <cacheHierarchy uniqueName="[FactEEPData].[EstimatedGrossAnnualThermSavings]" caption="EstimatedGrossAnnualThermSavings" attribute="1" defaultMemberUniqueName="[FactEEPData].[EstimatedGrossAnnualThermSavings].[All]" allUniqueName="[FactEEPData].[EstimatedGrossAnnualThermSavings].[All]" dimensionUniqueName="[FactEEPData]" displayFolder="" count="0" unbalanced="0"/>
    <cacheHierarchy uniqueName="[FactEEPData].[EstimatedGrosskWhSavings]" caption="EstimatedGrosskWhSavings" attribute="1" defaultMemberUniqueName="[FactEEPData].[EstimatedGrosskWhSavings].[All]" allUniqueName="[FactEEPData].[EstimatedGrosskWhSavings].[All]" dimensionUniqueName="[FactEEPData]" displayFolder="" count="0" unbalanced="0"/>
    <cacheHierarchy uniqueName="[FactEEPData].[EstimatedInstallationCost]" caption="EstimatedInstallationCost" attribute="1" defaultMemberUniqueName="[FactEEPData].[EstimatedInstallationCost].[All]" allUniqueName="[FactEEPData].[EstimatedInstallationCost].[All]" dimensionUniqueName="[FactEEPData]" displayFolder="" count="0" unbalanced="0"/>
    <cacheHierarchy uniqueName="[FactEEPData].[EstimatedMaintenanceCost]" caption="EstimatedMaintenanceCost" attribute="1" defaultMemberUniqueName="[FactEEPData].[EstimatedMaintenanceCost].[All]" allUniqueName="[FactEEPData].[EstimatedMaintenanceCost].[All]" dimensionUniqueName="[FactEEPData]" displayFolder="" count="0" unbalanced="0"/>
    <cacheHierarchy uniqueName="[FactEEPData].[EstimatedRebate]" caption="EstimatedRebate" attribute="1" defaultMemberUniqueName="[FactEEPData].[EstimatedRebate].[All]" allUniqueName="[FactEEPData].[EstimatedRebate].[All]" dimensionUniqueName="[FactEEPData]" displayFolder="" count="0" unbalanced="0"/>
    <cacheHierarchy uniqueName="[FactEEPData].[EstimatedSimplePayback]" caption="EstimatedSimplePayback" attribute="1" defaultMemberUniqueName="[FactEEPData].[EstimatedSimplePayback].[All]" allUniqueName="[FactEEPData].[EstimatedSimplePayback].[All]" dimensionUniqueName="[FactEEPData]" displayFolder="" count="0" unbalanced="0"/>
    <cacheHierarchy uniqueName="[FactEEPData].[ExistingMBTUH]" caption="ExistingMBTUH" attribute="1" defaultMemberUniqueName="[FactEEPData].[ExistingMBTUH].[All]" allUniqueName="[FactEEPData].[ExistingMBTUH].[All]" dimensionUniqueName="[FactEEPData]" displayFolder="" count="0" unbalanced="0"/>
    <cacheHierarchy uniqueName="[FactEEPData].[ExistingUnitStatus]" caption="ExistingUnitStatus" attribute="1" defaultMemberUniqueName="[FactEEPData].[ExistingUnitStatus].[All]" allUniqueName="[FactEEPData].[ExistingUnitStatus].[All]" dimensionUniqueName="[FactEEPData]" displayFolder="" count="0" unbalanced="0"/>
    <cacheHierarchy uniqueName="[FactEEPData].[ExternalRebateProcessorID]" caption="ExternalRebateProcessorID" attribute="1" defaultMemberUniqueName="[FactEEPData].[ExternalRebateProcessorID].[All]" allUniqueName="[FactEEPData].[ExternalRebateProcessorID].[All]" dimensionUniqueName="[FactEEPData]" displayFolder="" count="0" unbalanced="0"/>
    <cacheHierarchy uniqueName="[FactEEPData].[FaucetsPerHousehold]" caption="FaucetsPerHousehold" attribute="1" defaultMemberUniqueName="[FactEEPData].[FaucetsPerHousehold].[All]" allUniqueName="[FactEEPData].[FaucetsPerHousehold].[All]" dimensionUniqueName="[FactEEPData]" displayFolder="" count="0" unbalanced="0"/>
    <cacheHierarchy uniqueName="[FactEEPData].[FramingFactorAttic]" caption="FramingFactorAttic" attribute="1" defaultMemberUniqueName="[FactEEPData].[FramingFactorAttic].[All]" allUniqueName="[FactEEPData].[FramingFactorAttic].[All]" dimensionUniqueName="[FactEEPData]" displayFolder="" count="0" unbalanced="0"/>
    <cacheHierarchy uniqueName="[FactEEPData].[FramingFactorWall]" caption="FramingFactorWall" attribute="1" defaultMemberUniqueName="[FactEEPData].[FramingFactorWall].[All]" allUniqueName="[FactEEPData].[FramingFactorWall].[All]" dimensionUniqueName="[FactEEPData]" displayFolder="" count="0" unbalanced="0"/>
    <cacheHierarchy uniqueName="[FactEEPData].[FurnaceHeatingLoad]" caption="FurnaceHeatingLoad" attribute="1" defaultMemberUniqueName="[FactEEPData].[FurnaceHeatingLoad].[All]" allUniqueName="[FactEEPData].[FurnaceHeatingLoad].[All]" dimensionUniqueName="[FactEEPData]" displayFolder="" count="0" unbalanced="0"/>
    <cacheHierarchy uniqueName="[FactEEPData].[GallonsPerDay]" caption="GallonsPerDay" attribute="1" defaultMemberUniqueName="[FactEEPData].[GallonsPerDay].[All]" allUniqueName="[FactEEPData].[GallonsPerDay].[All]" dimensionUniqueName="[FactEEPData]" displayFolder="" count="0" unbalanced="0"/>
    <cacheHierarchy uniqueName="[FactEEPData].[GriddleDepth]" caption="GriddleDepth" attribute="1" defaultMemberUniqueName="[FactEEPData].[GriddleDepth].[All]" allUniqueName="[FactEEPData].[GriddleDepth].[All]" dimensionUniqueName="[FactEEPData]" displayFolder="" count="0" unbalanced="0"/>
    <cacheHierarchy uniqueName="[FactEEPData].[GriddleWidth]" caption="GriddleWidth" attribute="1" defaultMemberUniqueName="[FactEEPData].[GriddleWidth].[All]" allUniqueName="[FactEEPData].[GriddleWidth].[All]" dimensionUniqueName="[FactEEPData]" displayFolder="" count="0" unbalanced="0"/>
    <cacheHierarchy uniqueName="[FactEEPData].[GrossAnnualkWhSavings]" caption="GrossAnnualkWhSavings" attribute="1" defaultMemberUniqueName="[FactEEPData].[GrossAnnualkWhSavings].[All]" allUniqueName="[FactEEPData].[GrossAnnualkWhSavings].[All]" dimensionUniqueName="[FactEEPData]" displayFolder="" count="0" unbalanced="0"/>
    <cacheHierarchy uniqueName="[FactEEPData].[GrossAnnualThermSavings]" caption="GrossAnnualThermSavings" attribute="1" defaultMemberUniqueName="[FactEEPData].[GrossAnnualThermSavings].[All]" allUniqueName="[FactEEPData].[GrossAnnualThermSavings].[All]" dimensionUniqueName="[FactEEPData]" displayFolder="" count="0" unbalanced="0"/>
    <cacheHierarchy uniqueName="[FactEEPData].[HDD]" caption="HDD" attribute="1" defaultMemberUniqueName="[FactEEPData].[HDD].[All]" allUniqueName="[FactEEPData].[HDD].[All]" dimensionUniqueName="[FactEEPData]" displayFolder="" count="0" unbalanced="0"/>
    <cacheHierarchy uniqueName="[FactEEPData].[HeatingReduction]" caption="HeatingReduction" attribute="1" defaultMemberUniqueName="[FactEEPData].[HeatingReduction].[All]" allUniqueName="[FactEEPData].[HeatingReduction].[All]" dimensionUniqueName="[FactEEPData]" displayFolder="" count="0" unbalanced="0"/>
    <cacheHierarchy uniqueName="[FactEEPData].[HeatOfVaporization]" caption="HeatOfVaporization" attribute="1" defaultMemberUniqueName="[FactEEPData].[HeatOfVaporization].[All]" allUniqueName="[FactEEPData].[HeatOfVaporization].[All]" dimensionUniqueName="[FactEEPData]" displayFolder="" count="0" unbalanced="0"/>
    <cacheHierarchy uniqueName="[FactEEPData].[HeightOfWallAboveGrade]" caption="HeightOfWallAboveGrade" attribute="1" defaultMemberUniqueName="[FactEEPData].[HeightOfWallAboveGrade].[All]" allUniqueName="[FactEEPData].[HeightOfWallAboveGrade].[All]" dimensionUniqueName="[FactEEPData]" displayFolder="" count="0" unbalanced="0"/>
    <cacheHierarchy uniqueName="[FactEEPData].[Horsepower]" caption="Horsepower" attribute="1" defaultMemberUniqueName="[FactEEPData].[Horsepower].[All]" allUniqueName="[FactEEPData].[Horsepower].[All]" dimensionUniqueName="[FactEEPData]" displayFolder="" count="0" unbalanced="0"/>
    <cacheHierarchy uniqueName="[FactEEPData].[HotWaterReductionFactor]" caption="HotWaterReductionFactor" attribute="1" defaultMemberUniqueName="[FactEEPData].[HotWaterReductionFactor].[All]" allUniqueName="[FactEEPData].[HotWaterReductionFactor].[All]" dimensionUniqueName="[FactEEPData]" displayFolder="" count="0" unbalanced="0"/>
    <cacheHierarchy uniqueName="[FactEEPData].[HouseholdFactor]" caption="HouseholdFactor" attribute="1" defaultMemberUniqueName="[FactEEPData].[HouseholdFactor].[All]" allUniqueName="[FactEEPData].[HouseholdFactor].[All]" dimensionUniqueName="[FactEEPData]" displayFolder="" count="0" unbalanced="0"/>
    <cacheHierarchy uniqueName="[FactEEPData].[Incentive_OtherNonUtility]" caption="Incentive_OtherNonUtility" attribute="1" defaultMemberUniqueName="[FactEEPData].[Incentive_OtherNonUtility].[All]" allUniqueName="[FactEEPData].[Incentive_OtherNonUtility].[All]" dimensionUniqueName="[FactEEPData]" displayFolder="" count="0" unbalanced="0"/>
    <cacheHierarchy uniqueName="[FactEEPData].[Incentive_OtherUtility]" caption="Incentive_OtherUtility" attribute="1" defaultMemberUniqueName="[FactEEPData].[Incentive_OtherUtility].[All]" allUniqueName="[FactEEPData].[Incentive_OtherUtility].[All]" dimensionUniqueName="[FactEEPData]" displayFolder="" count="0" unbalanced="0"/>
    <cacheHierarchy uniqueName="[FactEEPData].[IncentiveCap]" caption="IncentiveCap" attribute="1" defaultMemberUniqueName="[FactEEPData].[IncentiveCap].[All]" allUniqueName="[FactEEPData].[IncentiveCap].[All]" dimensionUniqueName="[FactEEPData]" displayFolder="" count="0" unbalanced="0"/>
    <cacheHierarchy uniqueName="[FactEEPData].[IncentiveCost]" caption="IncentiveCost" attribute="1" defaultMemberUniqueName="[FactEEPData].[IncentiveCost].[All]" allUniqueName="[FactEEPData].[IncentiveCost].[All]" dimensionUniqueName="[FactEEPData]" displayFolder="" count="0" unbalanced="0"/>
    <cacheHierarchy uniqueName="[FactEEPData].[IncentivePaidDate]" caption="IncentivePaidDate" attribute="1" defaultMemberUniqueName="[FactEEPData].[IncentivePaidDate].[All]" allUniqueName="[FactEEPData].[IncentivePaidDate].[All]" dimensionUniqueName="[FactEEPData]" displayFolder="" count="0" unbalanced="0"/>
    <cacheHierarchy uniqueName="[FactEEPData].[IncentiveRate]" caption="IncentiveRate" attribute="1" defaultMemberUniqueName="[FactEEPData].[IncentiveRate].[All]" allUniqueName="[FactEEPData].[IncentiveRate].[All]" dimensionUniqueName="[FactEEPData]" displayFolder="" count="0" unbalanced="0"/>
    <cacheHierarchy uniqueName="[FactEEPData].[IncrementalCost]" caption="IncrementalCost" attribute="1" defaultMemberUniqueName="[FactEEPData].[IncrementalCost].[All]" allUniqueName="[FactEEPData].[IncrementalCost].[All]" dimensionUniqueName="[FactEEPData]" displayFolder="" count="0" unbalanced="0"/>
    <cacheHierarchy uniqueName="[FactEEPData].[InServiceRate]" caption="InServiceRate" attribute="1" defaultMemberUniqueName="[FactEEPData].[InServiceRate].[All]" allUniqueName="[FactEEPData].[InServiceRate].[All]" dimensionUniqueName="[FactEEPData]" displayFolder="" count="0" unbalanced="0"/>
    <cacheHierarchy uniqueName="[FactEEPData].[InstallationDate]" caption="InstallationDate" attribute="1" defaultMemberUniqueName="[FactEEPData].[InstallationDate].[All]" allUniqueName="[FactEEPData].[InstallationDate].[All]" dimensionUniqueName="[FactEEPData]" displayFolder="" count="0" unbalanced="0"/>
    <cacheHierarchy uniqueName="[FactEEPData].[InstallationEquipmentCost]" caption="InstallationEquipmentCost" attribute="1" defaultMemberUniqueName="[FactEEPData].[InstallationEquipmentCost].[All]" allUniqueName="[FactEEPData].[InstallationEquipmentCost].[All]" dimensionUniqueName="[FactEEPData]" displayFolder="" count="0" unbalanced="0"/>
    <cacheHierarchy uniqueName="[FactEEPData].[InsulatedPipeHeatLoss]" caption="InsulatedPipeHeatLoss" attribute="1" defaultMemberUniqueName="[FactEEPData].[InsulatedPipeHeatLoss].[All]" allUniqueName="[FactEEPData].[InsulatedPipeHeatLoss].[All]" dimensionUniqueName="[FactEEPData]" displayFolder="" count="0" unbalanced="0"/>
    <cacheHierarchy uniqueName="[FactEEPData].[InsulationType]" caption="InsulationType" attribute="1" defaultMemberUniqueName="[FactEEPData].[InsulationType].[All]" allUniqueName="[FactEEPData].[InsulationType].[All]" dimensionUniqueName="[FactEEPData]" displayFolder="" count="0" unbalanced="0"/>
    <cacheHierarchy uniqueName="[FactEEPData].[InvoiceNumber]" caption="InvoiceNumber" attribute="1" defaultMemberUniqueName="[FactEEPData].[InvoiceNumber].[All]" allUniqueName="[FactEEPData].[InvoiceNumber].[All]" dimensionUniqueName="[FactEEPData]" displayFolder="" count="0" unbalanced="0"/>
    <cacheHierarchy uniqueName="[FactEEPData].[Lbs]" caption="Lbs" attribute="1" defaultMemberUniqueName="[FactEEPData].[Lbs].[All]" allUniqueName="[FactEEPData].[Lbs].[All]" dimensionUniqueName="[FactEEPData]" displayFolder="" count="0" unbalanced="0"/>
    <cacheHierarchy uniqueName="[FactEEPData].[LeakingAndBlowThru]" caption="LeakingAndBlowThru" attribute="1" defaultMemberUniqueName="[FactEEPData].[LeakingAndBlowThru].[All]" allUniqueName="[FactEEPData].[LeakingAndBlowThru].[All]" dimensionUniqueName="[FactEEPData]" displayFolder="" count="0" unbalanced="0"/>
    <cacheHierarchy uniqueName="[FactEEPData].[LengthOfBasementWall]" caption="LengthOfBasementWall" attribute="1" defaultMemberUniqueName="[FactEEPData].[LengthOfBasementWall].[All]" allUniqueName="[FactEEPData].[LengthOfBasementWall].[All]" dimensionUniqueName="[FactEEPData]" displayFolder="" count="0" unbalanced="0"/>
    <cacheHierarchy uniqueName="[FactEEPData].[LengthOfFaucetUse]" caption="LengthOfFaucetUse" attribute="1" defaultMemberUniqueName="[FactEEPData].[LengthOfFaucetUse].[All]" allUniqueName="[FactEEPData].[LengthOfFaucetUse].[All]" dimensionUniqueName="[FactEEPData]" displayFolder="" count="0" unbalanced="0"/>
    <cacheHierarchy uniqueName="[FactEEPData].[LengthOfOtherComponents]" caption="LengthOfOtherComponents" attribute="1" defaultMemberUniqueName="[FactEEPData].[LengthOfOtherComponents].[All]" allUniqueName="[FactEEPData].[LengthOfOtherComponents].[All]" dimensionUniqueName="[FactEEPData]" displayFolder="" count="0" unbalanced="0"/>
    <cacheHierarchy uniqueName="[FactEEPData].[LevelOfRepairsCompleted]" caption="LevelOfRepairsCompleted" attribute="1" defaultMemberUniqueName="[FactEEPData].[LevelOfRepairsCompleted].[All]" allUniqueName="[FactEEPData].[LevelOfRepairsCompleted].[All]" dimensionUniqueName="[FactEEPData]" displayFolder="" count="0" unbalanced="0"/>
    <cacheHierarchy uniqueName="[FactEEPData].[LifecycleTherm]" caption="LifecycleTherm" attribute="1" defaultMemberUniqueName="[FactEEPData].[LifecycleTherm].[All]" allUniqueName="[FactEEPData].[LifecycleTherm].[All]" dimensionUniqueName="[FactEEPData]" displayFolder="" count="0" unbalanced="0"/>
    <cacheHierarchy uniqueName="[FactEEPData].[LinearFeet1]" caption="LinearFeet1" attribute="1" defaultMemberUniqueName="[FactEEPData].[LinearFeet1].[All]" allUniqueName="[FactEEPData].[LinearFeet1].[All]" dimensionUniqueName="[FactEEPData]" displayFolder="" count="0" unbalanced="0"/>
    <cacheHierarchy uniqueName="[FactEEPData].[LinearFeet2]" caption="LinearFeet2" attribute="1" defaultMemberUniqueName="[FactEEPData].[LinearFeet2].[All]" allUniqueName="[FactEEPData].[LinearFeet2].[All]" dimensionUniqueName="[FactEEPData]" displayFolder="" count="0" unbalanced="0"/>
    <cacheHierarchy uniqueName="[FactEEPData].[MaintenanceCost]" caption="MaintenanceCost" attribute="1" defaultMemberUniqueName="[FactEEPData].[MaintenanceCost].[All]" allUniqueName="[FactEEPData].[MaintenanceCost].[All]" dimensionUniqueName="[FactEEPData]" displayFolder="" count="0" unbalanced="0"/>
    <cacheHierarchy uniqueName="[FactEEPData].[ManagementDollars]" caption="ManagementDollars" attribute="1" defaultMemberUniqueName="[FactEEPData].[ManagementDollars].[All]" allUniqueName="[FactEEPData].[ManagementDollars].[All]" dimensionUniqueName="[FactEEPData]" displayFolder="" count="0" unbalanced="0"/>
    <cacheHierarchy uniqueName="[FactEEPData].[Manufacturer]" caption="Manufacturer" attribute="1" defaultMemberUniqueName="[FactEEPData].[Manufacturer].[All]" allUniqueName="[FactEEPData].[Manufacturer].[All]" dimensionUniqueName="[FactEEPData]" displayFolder="" count="0" unbalanced="0"/>
    <cacheHierarchy uniqueName="[FactEEPData].[MarketingCost]" caption="MarketingCost" attribute="1" defaultMemberUniqueName="[FactEEPData].[MarketingCost].[All]" allUniqueName="[FactEEPData].[MarketingCost].[All]" dimensionUniqueName="[FactEEPData]" displayFolder="" count="0" unbalanced="0"/>
    <cacheHierarchy uniqueName="[FactEEPData].[MaterialCost]" caption="MaterialCost" attribute="1" defaultMemberUniqueName="[FactEEPData].[MaterialCost].[All]" allUniqueName="[FactEEPData].[MaterialCost].[All]" dimensionUniqueName="[FactEEPData]" displayFolder="" count="0" unbalanced="0"/>
    <cacheHierarchy uniqueName="[FactEEPData].[MBH]" caption="MBH" attribute="1" defaultMemberUniqueName="[FactEEPData].[MBH].[All]" allUniqueName="[FactEEPData].[MBH].[All]" dimensionUniqueName="[FactEEPData]" displayFolder="" count="0" unbalanced="0"/>
    <cacheHierarchy uniqueName="[FactEEPData].[MeasureID_IC]" caption="MeasureID_IC" attribute="1" defaultMemberUniqueName="[FactEEPData].[MeasureID_IC].[All]" allUniqueName="[FactEEPData].[MeasureID_IC].[All]" dimensionUniqueName="[FactEEPData]" displayFolder="" count="0" unbalanced="0"/>
    <cacheHierarchy uniqueName="[FactEEPData].[MeasureLife]" caption="MeasureLife" attribute="1" defaultMemberUniqueName="[FactEEPData].[MeasureLife].[All]" allUniqueName="[FactEEPData].[MeasureLife].[All]" dimensionUniqueName="[FactEEPData]" displayFolder="" count="0" unbalanced="0"/>
    <cacheHierarchy uniqueName="[FactEEPData].[MeasureNotes]" caption="MeasureNotes" attribute="1" defaultMemberUniqueName="[FactEEPData].[MeasureNotes].[All]" allUniqueName="[FactEEPData].[MeasureNotes].[All]" dimensionUniqueName="[FactEEPData]" displayFolder="" count="0" unbalanced="0"/>
    <cacheHierarchy uniqueName="[FactEEPData].[MeasurePhase]" caption="MeasurePhase" attribute="1" defaultMemberUniqueName="[FactEEPData].[MeasurePhase].[All]" allUniqueName="[FactEEPData].[MeasurePhase].[All]" dimensionUniqueName="[FactEEPData]" displayFolder="" count="0" unbalanced="0"/>
    <cacheHierarchy uniqueName="[FactEEPData].[MechanicalVentilationRate_CFM]" caption="MechanicalVentilationRate_CFM" attribute="1" defaultMemberUniqueName="[FactEEPData].[MechanicalVentilationRate_CFM].[All]" allUniqueName="[FactEEPData].[MechanicalVentilationRate_CFM].[All]" dimensionUniqueName="[FactEEPData]" displayFolder="" count="0" unbalanced="0"/>
    <cacheHierarchy uniqueName="[FactEEPData].[MechanicalVentilationType]" caption="MechanicalVentilationType" attribute="1" defaultMemberUniqueName="[FactEEPData].[MechanicalVentilationType].[All]" allUniqueName="[FactEEPData].[MechanicalVentilationType].[All]" dimensionUniqueName="[FactEEPData]" displayFolder="" count="0" unbalanced="0"/>
    <cacheHierarchy uniqueName="[FactEEPData].[MiniGrantAmount]" caption="MiniGrantAmount" attribute="1" defaultMemberUniqueName="[FactEEPData].[MiniGrantAmount].[All]" allUniqueName="[FactEEPData].[MiniGrantAmount].[All]" dimensionUniqueName="[FactEEPData]" displayFolder="" count="0" unbalanced="0"/>
    <cacheHierarchy uniqueName="[FactEEPData].[Model]" caption="Model" attribute="1" defaultMemberUniqueName="[FactEEPData].[Model].[All]" allUniqueName="[FactEEPData].[Model].[All]" dimensionUniqueName="[FactEEPData]" displayFolder="" count="0" unbalanced="0"/>
    <cacheHierarchy uniqueName="[FactEEPData].[N_Heat]" caption="N_Heat" attribute="1" defaultMemberUniqueName="[FactEEPData].[N_Heat].[All]" allUniqueName="[FactEEPData].[N_Heat].[All]" dimensionUniqueName="[FactEEPData]" displayFolder="" count="0" unbalanced="0"/>
    <cacheHierarchy uniqueName="[FactEEPData].[NetAnnualThermsMeasure]" caption="NetAnnualThermsMeasure" attribute="1" defaultMemberUniqueName="[FactEEPData].[NetAnnualThermsMeasure].[All]" allUniqueName="[FactEEPData].[NetAnnualThermsMeasure].[All]" dimensionUniqueName="[FactEEPData]" displayFolder="" count="0" unbalanced="0"/>
    <cacheHierarchy uniqueName="[FactEEPData].[NetAnnualThermsProgram]" caption="NetAnnualThermsProgram" attribute="1" defaultMemberUniqueName="[FactEEPData].[NetAnnualThermsProgram].[All]" allUniqueName="[FactEEPData].[NetAnnualThermsProgram].[All]" dimensionUniqueName="[FactEEPData]" displayFolder="" count="0" unbalanced="0"/>
    <cacheHierarchy uniqueName="[FactEEPData].[NetToGross]" caption="NetToGross" attribute="1" defaultMemberUniqueName="[FactEEPData].[NetToGross].[All]" allUniqueName="[FactEEPData].[NetToGross].[All]" dimensionUniqueName="[FactEEPData]" displayFolder="" count="0" unbalanced="0"/>
    <cacheHierarchy uniqueName="[FactEEPData].[NexantMeasureKey]" caption="NexantMeasureKey" attribute="1" defaultMemberUniqueName="[FactEEPData].[NexantMeasureKey].[All]" allUniqueName="[FactEEPData].[NexantMeasureKey].[All]" dimensionUniqueName="[FactEEPData]" displayFolder="" count="0" unbalanced="0"/>
    <cacheHierarchy uniqueName="[FactEEPData].[NoOfComEdKitsDistributed]" caption="NoOfComEdKitsDistributed" attribute="1" defaultMemberUniqueName="[FactEEPData].[NoOfComEdKitsDistributed].[All]" allUniqueName="[FactEEPData].[NoOfComEdKitsDistributed].[All]" dimensionUniqueName="[FactEEPData]" displayFolder="" count="0" unbalanced="0"/>
    <cacheHierarchy uniqueName="[FactEEPData].[NoOfComEdKitsReceived]" caption="NoOfComEdKitsReceived" attribute="1" defaultMemberUniqueName="[FactEEPData].[NoOfComEdKitsReceived].[All]" allUniqueName="[FactEEPData].[NoOfComEdKitsReceived].[All]" dimensionUniqueName="[FactEEPData]" displayFolder="" count="0" unbalanced="0"/>
    <cacheHierarchy uniqueName="[FactEEPData].[NoOfNicorKitsDistributed]" caption="NoOfNicorKitsDistributed" attribute="1" defaultMemberUniqueName="[FactEEPData].[NoOfNicorKitsDistributed].[All]" allUniqueName="[FactEEPData].[NoOfNicorKitsDistributed].[All]" dimensionUniqueName="[FactEEPData]" displayFolder="" count="0" unbalanced="0"/>
    <cacheHierarchy uniqueName="[FactEEPData].[NoOfNicorKitsReceived]" caption="NoOfNicorKitsReceived" attribute="1" defaultMemberUniqueName="[FactEEPData].[NoOfNicorKitsReceived].[All]" allUniqueName="[FactEEPData].[NoOfNicorKitsReceived].[All]" dimensionUniqueName="[FactEEPData]" displayFolder="" count="0" unbalanced="0"/>
    <cacheHierarchy uniqueName="[FactEEPData].[NoOfScantronsReturned]" caption="NoOfScantronsReturned" attribute="1" defaultMemberUniqueName="[FactEEPData].[NoOfScantronsReturned].[All]" allUniqueName="[FactEEPData].[NoOfScantronsReturned].[All]" dimensionUniqueName="[FactEEPData]" displayFolder="" count="0" unbalanced="0"/>
    <cacheHierarchy uniqueName="[FactEEPData].[NTGRatioMeasure]" caption="NTGRatioMeasure" attribute="1" defaultMemberUniqueName="[FactEEPData].[NTGRatioMeasure].[All]" allUniqueName="[FactEEPData].[NTGRatioMeasure].[All]" dimensionUniqueName="[FactEEPData]" displayFolder="" count="0" unbalanced="0"/>
    <cacheHierarchy uniqueName="[FactEEPData].[NTGRatioProgram]" caption="NTGRatioProgram" attribute="1" defaultMemberUniqueName="[FactEEPData].[NTGRatioProgram].[All]" allUniqueName="[FactEEPData].[NTGRatioProgram].[All]" dimensionUniqueName="[FactEEPData]" displayFolder="" count="0" unbalanced="0"/>
    <cacheHierarchy uniqueName="[FactEEPData].[Numberofboilerscontrolled]" caption="Numberofboilerscontrolled" attribute="1" defaultMemberUniqueName="[FactEEPData].[Numberofboilerscontrolled].[All]" allUniqueName="[FactEEPData].[Numberofboilerscontrolled].[All]" dimensionUniqueName="[FactEEPData]" displayFolder="" count="0" unbalanced="0"/>
    <cacheHierarchy uniqueName="[FactEEPData].[NumberOfPans]" caption="NumberOfPans" attribute="1" defaultMemberUniqueName="[FactEEPData].[NumberOfPans].[All]" allUniqueName="[FactEEPData].[NumberOfPans].[All]" dimensionUniqueName="[FactEEPData]" displayFolder="" count="0" unbalanced="0"/>
    <cacheHierarchy uniqueName="[FactEEPData].[NumberOfRecommendedECMs]" caption="NumberOfRecommendedECMs" attribute="1" defaultMemberUniqueName="[FactEEPData].[NumberOfRecommendedECMs].[All]" allUniqueName="[FactEEPData].[NumberOfRecommendedECMs].[All]" dimensionUniqueName="[FactEEPData]" displayFolder="" count="0" unbalanced="0"/>
    <cacheHierarchy uniqueName="[FactEEPData].[OperationDays/Year]" caption="OperationDays/Year" attribute="1" defaultMemberUniqueName="[FactEEPData].[OperationDays/Year].[All]" allUniqueName="[FactEEPData].[OperationDays/Year].[All]" dimensionUniqueName="[FactEEPData]" displayFolder="" count="0" unbalanced="0"/>
    <cacheHierarchy uniqueName="[FactEEPData].[OperationHours/Day]" caption="OperationHours/Day" attribute="1" defaultMemberUniqueName="[FactEEPData].[OperationHours/Day].[All]" allUniqueName="[FactEEPData].[OperationHours/Day].[All]" dimensionUniqueName="[FactEEPData]" displayFolder="" count="0" unbalanced="0"/>
    <cacheHierarchy uniqueName="[FactEEPData].[OtherUtilityProjectFee]" caption="OtherUtilityProjectFee" attribute="1" defaultMemberUniqueName="[FactEEPData].[OtherUtilityProjectFee].[All]" allUniqueName="[FactEEPData].[OtherUtilityProjectFee].[All]" dimensionUniqueName="[FactEEPData]" displayFolder="" count="0" unbalanced="0"/>
    <cacheHierarchy uniqueName="[FactEEPData].[PercentFossilFuel]" caption="PercentFossilFuel" attribute="1" defaultMemberUniqueName="[FactEEPData].[PercentFossilFuel].[All]" allUniqueName="[FactEEPData].[PercentFossilFuel].[All]" dimensionUniqueName="[FactEEPData]" displayFolder="" count="0" unbalanced="0"/>
    <cacheHierarchy uniqueName="[FactEEPData].[PercentOfScantronsReturnedV02]" caption="PercentOfScantronsReturnedV02" attribute="1" defaultMemberUniqueName="[FactEEPData].[PercentOfScantronsReturnedV02].[All]" allUniqueName="[FactEEPData].[PercentOfScantronsReturnedV02].[All]" dimensionUniqueName="[FactEEPData]" displayFolder="" count="0" unbalanced="0"/>
    <cacheHierarchy uniqueName="[FactEEPData].[PortfolioMarketingDollars]" caption="PortfolioMarketingDollars" attribute="1" defaultMemberUniqueName="[FactEEPData].[PortfolioMarketingDollars].[All]" allUniqueName="[FactEEPData].[PortfolioMarketingDollars].[All]" dimensionUniqueName="[FactEEPData]" displayFolder="" count="0" unbalanced="0"/>
    <cacheHierarchy uniqueName="[FactEEPData].[PortfolioMeasureLife]" caption="PortfolioMeasureLife" attribute="1" defaultMemberUniqueName="[FactEEPData].[PortfolioMeasureLife].[All]" allUniqueName="[FactEEPData].[PortfolioMeasureLife].[All]" dimensionUniqueName="[FactEEPData]" displayFolder="" count="0" unbalanced="0"/>
    <cacheHierarchy uniqueName="[FactEEPData].[PostInstallationEfficiency]" caption="PostInstallationEfficiency" attribute="1" defaultMemberUniqueName="[FactEEPData].[PostInstallationEfficiency].[All]" allUniqueName="[FactEEPData].[PostInstallationEfficiency].[All]" dimensionUniqueName="[FactEEPData]" displayFolder="" count="0" unbalanced="0"/>
    <cacheHierarchy uniqueName="[FactEEPData].[PostInstallValue]" caption="PostInstallValue" attribute="1" defaultMemberUniqueName="[FactEEPData].[PostInstallValue].[All]" allUniqueName="[FactEEPData].[PostInstallValue].[All]" dimensionUniqueName="[FactEEPData]" displayFolder="" count="0" unbalanced="0"/>
    <cacheHierarchy uniqueName="[FactEEPData].[Post-Output Capacity]" caption="Post-Output Capacity" attribute="1" defaultMemberUniqueName="[FactEEPData].[Post-Output Capacity].[All]" allUniqueName="[FactEEPData].[Post-Output Capacity].[All]" dimensionUniqueName="[FactEEPData]" displayFolder="" count="0" unbalanced="0"/>
    <cacheHierarchy uniqueName="[FactEEPData].[PreApprovalNumber]" caption="PreApprovalNumber" attribute="1" defaultMemberUniqueName="[FactEEPData].[PreApprovalNumber].[All]" allUniqueName="[FactEEPData].[PreApprovalNumber].[All]" dimensionUniqueName="[FactEEPData]" displayFolder="" count="0" unbalanced="0"/>
    <cacheHierarchy uniqueName="[FactEEPData].[PreInstallationEfficiency]" caption="PreInstallationEfficiency" attribute="1" defaultMemberUniqueName="[FactEEPData].[PreInstallationEfficiency].[All]" allUniqueName="[FactEEPData].[PreInstallationEfficiency].[All]" dimensionUniqueName="[FactEEPData]" displayFolder="" count="0" unbalanced="0"/>
    <cacheHierarchy uniqueName="[FactEEPData].[PreInstallValue]" caption="PreInstallValue" attribute="1" defaultMemberUniqueName="[FactEEPData].[PreInstallValue].[All]" allUniqueName="[FactEEPData].[PreInstallValue].[All]" dimensionUniqueName="[FactEEPData]" displayFolder="" count="0" unbalanced="0"/>
    <cacheHierarchy uniqueName="[FactEEPData].[Pre-Output Capacity]" caption="Pre-Output Capacity" attribute="1" defaultMemberUniqueName="[FactEEPData].[Pre-Output Capacity].[All]" allUniqueName="[FactEEPData].[Pre-Output Capacity].[All]" dimensionUniqueName="[FactEEPData]" displayFolder="" count="0" unbalanced="0"/>
    <cacheHierarchy uniqueName="[FactEEPData].[ProgramEvaluationDollars]" caption="ProgramEvaluationDollars" attribute="1" defaultMemberUniqueName="[FactEEPData].[ProgramEvaluationDollars].[All]" allUniqueName="[FactEEPData].[ProgramEvaluationDollars].[All]" dimensionUniqueName="[FactEEPData]" displayFolder="" count="0" unbalanced="0"/>
    <cacheHierarchy uniqueName="[FactEEPData].[ProjectManagementFee]" caption="ProjectManagementFee" attribute="1" defaultMemberUniqueName="[FactEEPData].[ProjectManagementFee].[All]" allUniqueName="[FactEEPData].[ProjectManagementFee].[All]" dimensionUniqueName="[FactEEPData]" displayFolder="" count="0" unbalanced="0"/>
    <cacheHierarchy uniqueName="[FactEEPData].[PurchaseDate]" caption="PurchaseDate" attribute="1" defaultMemberUniqueName="[FactEEPData].[PurchaseDate].[All]" allUniqueName="[FactEEPData].[PurchaseDate].[All]" dimensionUniqueName="[FactEEPData]" displayFolder="" count="0" unbalanced="0"/>
    <cacheHierarchy uniqueName="[FactEEPData].[QCEfficiency]" caption="QCEfficiency" attribute="1" defaultMemberUniqueName="[FactEEPData].[QCEfficiency].[All]" allUniqueName="[FactEEPData].[QCEfficiency].[All]" dimensionUniqueName="[FactEEPData]" displayFolder="" count="0" unbalanced="0"/>
    <cacheHierarchy uniqueName="[FactEEPData].[Quantity]" caption="Quantity" attribute="1" defaultMemberUniqueName="[FactEEPData].[Quantity].[All]" allUniqueName="[FactEEPData].[Quantity].[All]" dimensionUniqueName="[FactEEPData]" displayFolder="" count="0" unbalanced="0"/>
    <cacheHierarchy uniqueName="[FactEEPData].[RaterIncentive]" caption="RaterIncentive" attribute="1" defaultMemberUniqueName="[FactEEPData].[RaterIncentive].[All]" allUniqueName="[FactEEPData].[RaterIncentive].[All]" dimensionUniqueName="[FactEEPData]" displayFolder="" count="0" unbalanced="0"/>
    <cacheHierarchy uniqueName="[FactEEPData].[RealizationRate]" caption="RealizationRate" attribute="1" defaultMemberUniqueName="[FactEEPData].[RealizationRate].[All]" allUniqueName="[FactEEPData].[RealizationRate].[All]" dimensionUniqueName="[FactEEPData]" displayFolder="" count="0" unbalanced="0"/>
    <cacheHierarchy uniqueName="[FactEEPData].[RebateUnitOfMeasure]" caption="RebateUnitOfMeasure" attribute="1" defaultMemberUniqueName="[FactEEPData].[RebateUnitOfMeasure].[All]" allUniqueName="[FactEEPData].[RebateUnitOfMeasure].[All]" dimensionUniqueName="[FactEEPData]" displayFolder="" count="0" unbalanced="0"/>
    <cacheHierarchy uniqueName="[FactEEPData].[Recommendation]" caption="Recommendation" attribute="1" defaultMemberUniqueName="[FactEEPData].[Recommendation].[All]" allUniqueName="[FactEEPData].[Recommendation].[All]" dimensionUniqueName="[FactEEPData]" displayFolder="" count="0" unbalanced="0"/>
    <cacheHierarchy uniqueName="[FactEEPData].[ReportingReferenceDate]" caption="ReportingReferenceDate" attribute="1" defaultMemberUniqueName="[FactEEPData].[ReportingReferenceDate].[All]" allUniqueName="[FactEEPData].[ReportingReferenceDate].[All]" dimensionUniqueName="[FactEEPData]" displayFolder="" count="0" unbalanced="0"/>
    <cacheHierarchy uniqueName="[FactEEPData].[RestaurantType]" caption="RestaurantType" attribute="1" defaultMemberUniqueName="[FactEEPData].[RestaurantType].[All]" allUniqueName="[FactEEPData].[RestaurantType].[All]" dimensionUniqueName="[FactEEPData]" displayFolder="" count="0" unbalanced="0"/>
    <cacheHierarchy uniqueName="[FactEEPData].[RetailerForSelfInstall]" caption="RetailerForSelfInstall" attribute="1" defaultMemberUniqueName="[FactEEPData].[RetailerForSelfInstall].[All]" allUniqueName="[FactEEPData].[RetailerForSelfInstall].[All]" dimensionUniqueName="[FactEEPData]" displayFolder="" count="0" unbalanced="0"/>
    <cacheHierarchy uniqueName="[FactEEPData].[R-ValueAdded]" caption="R-ValueAdded" attribute="1" defaultMemberUniqueName="[FactEEPData].[R-ValueAdded].[All]" allUniqueName="[FactEEPData].[R-ValueAdded].[All]" dimensionUniqueName="[FactEEPData]" displayFolder="" count="0" unbalanced="0"/>
    <cacheHierarchy uniqueName="[FactEEPData].[R-ValueExistingAboveground]" caption="R-ValueExistingAboveground" attribute="1" defaultMemberUniqueName="[FactEEPData].[R-ValueExistingAboveground].[All]" allUniqueName="[FactEEPData].[R-ValueExistingAboveground].[All]" dimensionUniqueName="[FactEEPData]" displayFolder="" count="0" unbalanced="0"/>
    <cacheHierarchy uniqueName="[FactEEPData].[R-ValueExistingBelowGround]" caption="R-ValueExistingBelowGround" attribute="1" defaultMemberUniqueName="[FactEEPData].[R-ValueExistingBelowGround].[All]" allUniqueName="[FactEEPData].[R-ValueExistingBelowGround].[All]" dimensionUniqueName="[FactEEPData]" displayFolder="" count="0" unbalanced="0"/>
    <cacheHierarchy uniqueName="[FactEEPData].[SavingsFactor]" caption="SavingsFactor" attribute="1" defaultMemberUniqueName="[FactEEPData].[SavingsFactor].[All]" allUniqueName="[FactEEPData].[SavingsFactor].[All]" dimensionUniqueName="[FactEEPData]" displayFolder="" count="0" unbalanced="0"/>
    <cacheHierarchy uniqueName="[FactEEPData].[SavingsUnitOfMeasure]" caption="SavingsUnitOfMeasure" attribute="1" defaultMemberUniqueName="[FactEEPData].[SavingsUnitOfMeasure].[All]" allUniqueName="[FactEEPData].[SavingsUnitOfMeasure].[All]" dimensionUniqueName="[FactEEPData]" displayFolder="" count="0" unbalanced="0"/>
    <cacheHierarchy uniqueName="[FactEEPData].[Serial#]" caption="Serial#" attribute="1" defaultMemberUniqueName="[FactEEPData].[Serial#].[All]" allUniqueName="[FactEEPData].[Serial#].[All]" dimensionUniqueName="[FactEEPData]" displayFolder="" count="0" unbalanced="0"/>
    <cacheHierarchy uniqueName="[FactEEPData].[ShowersPerPersonPerDay]" caption="ShowersPerPersonPerDay" attribute="1" defaultMemberUniqueName="[FactEEPData].[ShowersPerPersonPerDay].[All]" allUniqueName="[FactEEPData].[ShowersPerPersonPerDay].[All]" dimensionUniqueName="[FactEEPData]" displayFolder="" count="0" unbalanced="0"/>
    <cacheHierarchy uniqueName="[FactEEPData].[SimplePayback]" caption="SimplePayback" attribute="1" defaultMemberUniqueName="[FactEEPData].[SimplePayback].[All]" allUniqueName="[FactEEPData].[SimplePayback].[All]" dimensionUniqueName="[FactEEPData]" displayFolder="" count="0" unbalanced="0"/>
    <cacheHierarchy uniqueName="[FactEEPData].[Size]" caption="Size" attribute="1" defaultMemberUniqueName="[FactEEPData].[Size].[All]" allUniqueName="[FactEEPData].[Size].[All]" dimensionUniqueName="[FactEEPData]" displayFolder="" count="0" unbalanced="0"/>
    <cacheHierarchy uniqueName="[FactEEPData].[SquareFeet]" caption="SquareFeet" attribute="1" defaultMemberUniqueName="[FactEEPData].[SquareFeet].[All]" allUniqueName="[FactEEPData].[SquareFeet].[All]" dimensionUniqueName="[FactEEPData]" displayFolder="" count="0" unbalanced="0"/>
    <cacheHierarchy uniqueName="[FactEEPData].[StandbyLoss]" caption="StandbyLoss" attribute="1" defaultMemberUniqueName="[FactEEPData].[StandbyLoss].[All]" allUniqueName="[FactEEPData].[StandbyLoss].[All]" dimensionUniqueName="[FactEEPData]" displayFolder="" count="0" unbalanced="0"/>
    <cacheHierarchy uniqueName="[FactEEPData].[StartDate]" caption="StartDate" attribute="1" defaultMemberUniqueName="[FactEEPData].[StartDate].[All]" allUniqueName="[FactEEPData].[StartDate].[All]" dimensionUniqueName="[FactEEPData]" displayFolder="" count="0" unbalanced="0"/>
    <cacheHierarchy uniqueName="[FactEEPData].[SteamlossPerTrap]" caption="SteamlossPerTrap" attribute="1" defaultMemberUniqueName="[FactEEPData].[SteamlossPerTrap].[All]" allUniqueName="[FactEEPData].[SteamlossPerTrap].[All]" dimensionUniqueName="[FactEEPData]" displayFolder="" count="0" unbalanced="0"/>
    <cacheHierarchy uniqueName="[FactEEPData].[SteamSystemType]" caption="SteamSystemType" attribute="1" defaultMemberUniqueName="[FactEEPData].[SteamSystemType].[All]" allUniqueName="[FactEEPData].[SteamSystemType].[All]" dimensionUniqueName="[FactEEPData]" displayFolder="" count="0" unbalanced="0"/>
    <cacheHierarchy uniqueName="[FactEEPData].[SteamTrapType]" caption="SteamTrapType" attribute="1" defaultMemberUniqueName="[FactEEPData].[SteamTrapType].[All]" allUniqueName="[FactEEPData].[SteamTrapType].[All]" dimensionUniqueName="[FactEEPData]" displayFolder="" count="0" unbalanced="0"/>
    <cacheHierarchy uniqueName="[FactEEPData].[SubContractorType]" caption="SubContractorType" attribute="1" defaultMemberUniqueName="[FactEEPData].[SubContractorType].[All]" allUniqueName="[FactEEPData].[SubContractorType].[All]" dimensionUniqueName="[FactEEPData]" displayFolder="" count="0" unbalanced="0"/>
    <cacheHierarchy uniqueName="[FactEEPData].[SubMeasure]" caption="SubMeasure" attribute="1" defaultMemberUniqueName="[FactEEPData].[SubMeasure].[All]" allUniqueName="[FactEEPData].[SubMeasure].[All]" dimensionUniqueName="[FactEEPData]" displayFolder="" count="0" unbalanced="0"/>
    <cacheHierarchy uniqueName="[FactEEPData].[SystemType]" caption="SystemType" attribute="1" defaultMemberUniqueName="[FactEEPData].[SystemType].[All]" allUniqueName="[FactEEPData].[SystemType].[All]" dimensionUniqueName="[FactEEPData]" displayFolder="" count="0" unbalanced="0"/>
    <cacheHierarchy uniqueName="[FactEEPData].[TaskStatus]" caption="TaskStatus" attribute="1" defaultMemberUniqueName="[FactEEPData].[TaskStatus].[All]" allUniqueName="[FactEEPData].[TaskStatus].[All]" dimensionUniqueName="[FactEEPData]" displayFolder="" count="0" unbalanced="0"/>
    <cacheHierarchy uniqueName="[FactEEPData].[TeacherName]" caption="TeacherName" attribute="1" defaultMemberUniqueName="[FactEEPData].[TeacherName].[All]" allUniqueName="[FactEEPData].[TeacherName].[All]" dimensionUniqueName="[FactEEPData]" displayFolder="" count="0" unbalanced="0"/>
    <cacheHierarchy uniqueName="[FactEEPData].[TechnologyDollars]" caption="TechnologyDollars" attribute="1" defaultMemberUniqueName="[FactEEPData].[TechnologyDollars].[All]" allUniqueName="[FactEEPData].[TechnologyDollars].[All]" dimensionUniqueName="[FactEEPData]" displayFolder="" count="0" unbalanced="0"/>
    <cacheHierarchy uniqueName="[FactEEPData].[TentativeInstallDate]" caption="TentativeInstallDate" attribute="1" defaultMemberUniqueName="[FactEEPData].[TentativeInstallDate].[All]" allUniqueName="[FactEEPData].[TentativeInstallDate].[All]" dimensionUniqueName="[FactEEPData]" displayFolder="" count="0" unbalanced="0"/>
    <cacheHierarchy uniqueName="[FactEEPData].[ThermalRegainFactor]" caption="ThermalRegainFactor" attribute="1" defaultMemberUniqueName="[FactEEPData].[ThermalRegainFactor].[All]" allUniqueName="[FactEEPData].[ThermalRegainFactor].[All]" dimensionUniqueName="[FactEEPData]" displayFolder="" count="0" unbalanced="0"/>
    <cacheHierarchy uniqueName="[FactEEPData].[Tier]" caption="Tier" attribute="1" defaultMemberUniqueName="[FactEEPData].[Tier].[All]" allUniqueName="[FactEEPData].[Tier].[All]" dimensionUniqueName="[FactEEPData]" displayFolder="" count="0" unbalanced="0"/>
    <cacheHierarchy uniqueName="[FactEEPData].[Tin]" caption="Tin" attribute="1" defaultMemberUniqueName="[FactEEPData].[Tin].[All]" allUniqueName="[FactEEPData].[Tin].[All]" dimensionUniqueName="[FactEEPData]" displayFolder="" count="0" unbalanced="0"/>
    <cacheHierarchy uniqueName="[FactEEPData].[TotalMeasureCost]" caption="TotalMeasureCost" attribute="1" defaultMemberUniqueName="[FactEEPData].[TotalMeasureCost].[All]" allUniqueName="[FactEEPData].[TotalMeasureCost].[All]" dimensionUniqueName="[FactEEPData]" displayFolder="" count="0" unbalanced="0"/>
    <cacheHierarchy uniqueName="[FactEEPData].[TotalRegisteredQuantity]" caption="TotalRegisteredQuantity" attribute="1" defaultMemberUniqueName="[FactEEPData].[TotalRegisteredQuantity].[All]" allUniqueName="[FactEEPData].[TotalRegisteredQuantity].[All]" dimensionUniqueName="[FactEEPData]" displayFolder="" count="0" unbalanced="0"/>
    <cacheHierarchy uniqueName="[FactEEPData].[TotalSqFeetAboveGrade]" caption="TotalSqFeetAboveGrade" attribute="1" defaultMemberUniqueName="[FactEEPData].[TotalSqFeetAboveGrade].[All]" allUniqueName="[FactEEPData].[TotalSqFeetAboveGrade].[All]" dimensionUniqueName="[FactEEPData]" displayFolder="" count="0" unbalanced="0"/>
    <cacheHierarchy uniqueName="[FactEEPData].[TotalSqFeetBelowGrade]" caption="TotalSqFeetBelowGrade" attribute="1" defaultMemberUniqueName="[FactEEPData].[TotalSqFeetBelowGrade].[All]" allUniqueName="[FactEEPData].[TotalSqFeetBelowGrade].[All]" dimensionUniqueName="[FactEEPData]" displayFolder="" count="0" unbalanced="0"/>
    <cacheHierarchy uniqueName="[FactEEPData].[TotalWallHeight]" caption="TotalWallHeight" attribute="1" defaultMemberUniqueName="[FactEEPData].[TotalWallHeight].[All]" allUniqueName="[FactEEPData].[TotalWallHeight].[All]" dimensionUniqueName="[FactEEPData]" displayFolder="" count="0" unbalanced="0"/>
    <cacheHierarchy uniqueName="[FactEEPData].[Tout]" caption="Tout" attribute="1" defaultMemberUniqueName="[FactEEPData].[Tout].[All]" allUniqueName="[FactEEPData].[Tout].[All]" dimensionUniqueName="[FactEEPData]" displayFolder="" count="0" unbalanced="0"/>
    <cacheHierarchy uniqueName="[FactEEPData].[UCoefficient]" caption="UCoefficient" attribute="1" defaultMemberUniqueName="[FactEEPData].[UCoefficient].[All]" allUniqueName="[FactEEPData].[UCoefficient].[All]" dimensionUniqueName="[FactEEPData]" displayFolder="" count="0" unbalanced="0"/>
    <cacheHierarchy uniqueName="[FactEEPData].[UOMLinearFeet]" caption="UOMLinearFeet" attribute="1" defaultMemberUniqueName="[FactEEPData].[UOMLinearFeet].[All]" allUniqueName="[FactEEPData].[UOMLinearFeet].[All]" dimensionUniqueName="[FactEEPData]" displayFolder="" count="0" unbalanced="0"/>
    <cacheHierarchy uniqueName="[FactEEPData].[UOMSquareFeet]" caption="UOMSquareFeet" attribute="1" defaultMemberUniqueName="[FactEEPData].[UOMSquareFeet].[All]" allUniqueName="[FactEEPData].[UOMSquareFeet].[All]" dimensionUniqueName="[FactEEPData]" displayFolder="" count="0" unbalanced="0"/>
    <cacheHierarchy uniqueName="[FactEEPData].[UOMUnits]" caption="UOMUnits" attribute="1" defaultMemberUniqueName="[FactEEPData].[UOMUnits].[All]" allUniqueName="[FactEEPData].[UOMUnits].[All]" dimensionUniqueName="[FactEEPData]" displayFolder="" count="0" unbalanced="0"/>
    <cacheHierarchy uniqueName="[FactEEPData].[Usage]" caption="Usage" attribute="1" defaultMemberUniqueName="[FactEEPData].[Usage].[All]" allUniqueName="[FactEEPData].[Usage].[All]" dimensionUniqueName="[FactEEPData]" displayFolder="" count="0" unbalanced="0"/>
    <cacheHierarchy uniqueName="[FactEEPData].[UtilizationFactor]" caption="UtilizationFactor" attribute="1" defaultMemberUniqueName="[FactEEPData].[UtilizationFactor].[All]" allUniqueName="[FactEEPData].[UtilizationFactor].[All]" dimensionUniqueName="[FactEEPData]" displayFolder="" count="0" unbalanced="0"/>
    <cacheHierarchy uniqueName="[FactEEPData].[VariableCostDescription]" caption="VariableCostDescription" attribute="1" defaultMemberUniqueName="[FactEEPData].[VariableCostDescription].[All]" allUniqueName="[FactEEPData].[VariableCostDescription].[All]" dimensionUniqueName="[FactEEPData]" displayFolder="" count="0" unbalanced="0"/>
    <cacheHierarchy uniqueName="[FactEEPData].[VariableCostIdentifier]" caption="VariableCostIdentifier" attribute="1" defaultMemberUniqueName="[FactEEPData].[VariableCostIdentifier].[All]" allUniqueName="[FactEEPData].[VariableCostIdentifier].[All]" dimensionUniqueName="[FactEEPData]" displayFolder="" count="2" unbalanced="0">
      <fieldsUsage count="2">
        <fieldUsage x="-1"/>
        <fieldUsage x="2"/>
      </fieldsUsage>
    </cacheHierarchy>
    <cacheHierarchy uniqueName="[FactEEPData].[VariableCostName]" caption="VariableCostName" attribute="1" defaultMemberUniqueName="[FactEEPData].[VariableCostName].[All]" allUniqueName="[FactEEPData].[VariableCostName].[All]" dimensionUniqueName="[FactEEPData]" displayFolder="" count="0" unbalanced="0"/>
    <cacheHierarchy uniqueName="[FactEEPData].[VariableCostVendorName]" caption="VariableCostVendorName" attribute="1" defaultMemberUniqueName="[FactEEPData].[VariableCostVendorName].[All]" allUniqueName="[FactEEPData].[VariableCostVendorName].[All]" dimensionUniqueName="[FactEEPData]" displayFolder="" count="0" unbalanced="0"/>
    <cacheHierarchy uniqueName="[FactEEPData].[WeightedAverageMeasureLife]" caption="WeightedAverageMeasureLife" attribute="1" defaultMemberUniqueName="[FactEEPData].[WeightedAverageMeasureLife].[All]" allUniqueName="[FactEEPData].[WeightedAverageMeasureLife].[All]" dimensionUniqueName="[FactEEPData]" displayFolder="" count="0" unbalanced="0"/>
    <cacheHierarchy uniqueName="[FactEEPData].[WeightOfWater]" caption="WeightOfWater" attribute="1" defaultMemberUniqueName="[FactEEPData].[WeightOfWater].[All]" allUniqueName="[FactEEPData].[WeightOfWater].[All]" dimensionUniqueName="[FactEEPData]" displayFolder="" count="0" unbalanced="0"/>
    <cacheHierarchy uniqueName="[FactEquipment].[Div Factor]" caption="Div Factor" attribute="1" defaultMemberUniqueName="[FactEquipment].[Div Factor].[All]" allUniqueName="[FactEquipment].[Div Factor].[All]" dimensionUniqueName="[FactEquipment]" displayFolder="" count="0" unbalanced="0"/>
    <cacheHierarchy uniqueName="[FactEquipment].[Equipment Code]" caption="Equipment Code" attribute="1" defaultMemberUniqueName="[FactEquipment].[Equipment Code].[All]" allUniqueName="[FactEquipment].[Equipment Code].[All]" dimensionUniqueName="[FactEquipment]" displayFolder="" count="0" unbalanced="0"/>
    <cacheHierarchy uniqueName="[FactEquipment].[Equipment Cost]" caption="Equipment Cost" attribute="1" defaultMemberUniqueName="[FactEquipment].[Equipment Cost].[All]" allUniqueName="[FactEquipment].[Equipment Cost].[All]" dimensionUniqueName="[FactEquipment]" displayFolder="" count="0" unbalanced="0"/>
    <cacheHierarchy uniqueName="[FactEquipment].[Equipment Description]" caption="Equipment Description" attribute="1" defaultMemberUniqueName="[FactEquipment].[Equipment Description].[All]" allUniqueName="[FactEquipment].[Equipment Description].[All]" dimensionUniqueName="[FactEquipment]" displayFolder="" count="0" unbalanced="0"/>
    <cacheHierarchy uniqueName="[FactEquipment].[Equipment Note]" caption="Equipment Note" attribute="1" defaultMemberUniqueName="[FactEquipment].[Equipment Note].[All]" allUniqueName="[FactEquipment].[Equipment Note].[All]" dimensionUniqueName="[FactEquipment]" displayFolder="" count="0" unbalanced="0"/>
    <cacheHierarchy uniqueName="[FactEquipment].[Equipment Status Code]" caption="Equipment Status Code" attribute="1" defaultMemberUniqueName="[FactEquipment].[Equipment Status Code].[All]" allUniqueName="[FactEquipment].[Equipment Status Code].[All]" dimensionUniqueName="[FactEquipment]" displayFolder="" count="0" unbalanced="0"/>
    <cacheHierarchy uniqueName="[FactEquipment].[Equipment Type]" caption="Equipment Type" attribute="1" defaultMemberUniqueName="[FactEquipment].[Equipment Type].[All]" allUniqueName="[FactEquipment].[Equipment Type].[All]" dimensionUniqueName="[FactEquipment]" displayFolder="" count="0" unbalanced="0"/>
    <cacheHierarchy uniqueName="[FactEquipment].[Installation Year]" caption="Installation Year" attribute="1" defaultMemberUniqueName="[FactEquipment].[Installation Year].[All]" allUniqueName="[FactEquipment].[Installation Year].[All]" dimensionUniqueName="[FactEquipment]" displayFolder="" count="0" unbalanced="0"/>
    <cacheHierarchy uniqueName="[FactEquipment].[KW Hour]" caption="KW Hour" attribute="1" defaultMemberUniqueName="[FactEquipment].[KW Hour].[All]" allUniqueName="[FactEquipment].[KW Hour].[All]" dimensionUniqueName="[FactEquipment]" displayFolder="" count="0" unbalanced="0"/>
    <cacheHierarchy uniqueName="[FactEquipment].[MBTU Hour]" caption="MBTU Hour" attribute="1" defaultMemberUniqueName="[FactEquipment].[MBTU Hour].[All]" allUniqueName="[FactEquipment].[MBTU Hour].[All]" dimensionUniqueName="[FactEquipment]" displayFolder="" count="0" unbalanced="0"/>
    <cacheHierarchy uniqueName="[FactEquipment].[Number Of Pieces]" caption="Number Of Pieces" attribute="1" defaultMemberUniqueName="[FactEquipment].[Number Of Pieces].[All]" allUniqueName="[FactEquipment].[Number Of Pieces].[All]" dimensionUniqueName="[FactEquipment]" displayFolder="" count="0" unbalanced="0"/>
    <cacheHierarchy uniqueName="[FactEquipment].[Unique BusinessKey]" caption="Unique BusinessKey" attribute="1" defaultMemberUniqueName="[FactEquipment].[Unique BusinessKey].[All]" allUniqueName="[FactEquipment].[Unique BusinessKey].[All]" dimensionUniqueName="[FactEquipment]" displayFolder="" count="0" unbalanced="0"/>
    <cacheHierarchy uniqueName="[FactEquipment].[Unique EquipmentKey]" caption="Unique EquipmentKey" attribute="1" defaultMemberUniqueName="[FactEquipment].[Unique EquipmentKey].[All]" allUniqueName="[FactEquipment].[Unique EquipmentKey].[All]" dimensionUniqueName="[FactEquipment]" displayFolder="" count="0" unbalanced="0"/>
    <cacheHierarchy uniqueName="[FactEquipment].[Unique ProjectKey]" caption="Unique ProjectKey" attribute="1" defaultMemberUniqueName="[FactEquipment].[Unique ProjectKey].[All]" allUniqueName="[FactEquipment].[Unique ProjectKey].[All]" dimensionUniqueName="[FactEquipment]" displayFolder="" count="0" unbalanced="0"/>
    <cacheHierarchy uniqueName="[FactEquipment].[Usage Hours Day]" caption="Usage Hours Day" attribute="1" defaultMemberUniqueName="[FactEquipment].[Usage Hours Day].[All]" allUniqueName="[FactEquipment].[Usage Hours Day].[All]" dimensionUniqueName="[FactEquipment]" displayFolder="" count="0" unbalanced="0"/>
    <cacheHierarchy uniqueName="[FactEquipment].[Usage Hours Year]" caption="Usage Hours Year" attribute="1" defaultMemberUniqueName="[FactEquipment].[Usage Hours Year].[All]" allUniqueName="[FactEquipment].[Usage Hours Year].[All]" dimensionUniqueName="[FactEquipment]" displayFolder="" count="0" unbalanced="0"/>
    <cacheHierarchy uniqueName="[FactForecastTotalThermSavings].[Average_Gross_Savings]" caption="Average_Gross_Savings" attribute="1" defaultMemberUniqueName="[FactForecastTotalThermSavings].[Average_Gross_Savings].[All]" allUniqueName="[FactForecastTotalThermSavings].[Average_Gross_Savings].[All]" dimensionUniqueName="[FactForecastTotalThermSavings]" displayFolder="" count="0" unbalanced="0"/>
    <cacheHierarchy uniqueName="[FactForecastTotalThermSavings].[Average_Net_Savings]" caption="Average_Net_Savings" attribute="1" defaultMemberUniqueName="[FactForecastTotalThermSavings].[Average_Net_Savings].[All]" allUniqueName="[FactForecastTotalThermSavings].[Average_Net_Savings].[All]" dimensionUniqueName="[FactForecastTotalThermSavings]" displayFolder="" count="0" unbalanced="0"/>
    <cacheHierarchy uniqueName="[FactForecastTotalThermSavings].[CalendarYear]" caption="CalendarYear" attribute="1" defaultMemberUniqueName="[FactForecastTotalThermSavings].[CalendarYear].[All]" allUniqueName="[FactForecastTotalThermSavings].[CalendarYear].[All]" dimensionUniqueName="[FactForecastTotalThermSavings]" displayFolder="" count="0" unbalanced="0"/>
    <cacheHierarchy uniqueName="[FactForecastTotalThermSavings].[Count]" caption="Count" attribute="1" defaultMemberUniqueName="[FactForecastTotalThermSavings].[Count].[All]" allUniqueName="[FactForecastTotalThermSavings].[Count].[All]" dimensionUniqueName="[FactForecastTotalThermSavings]" displayFolder="" count="0" unbalanced="0"/>
    <cacheHierarchy uniqueName="[FactForecastTotalThermSavings].[ForecastTotalThermSavingsKey]" caption="ForecastTotalThermSavingsKey" attribute="1" defaultMemberUniqueName="[FactForecastTotalThermSavings].[ForecastTotalThermSavingsKey].[All]" allUniqueName="[FactForecastTotalThermSavings].[ForecastTotalThermSavingsKey].[All]" dimensionUniqueName="[FactForecastTotalThermSavings]" displayFolder="" count="0" unbalanced="0"/>
    <cacheHierarchy uniqueName="[FactForecastTotalThermSavings].[PMTProgramKey]" caption="PMTProgramKey" attribute="1" defaultMemberUniqueName="[FactForecastTotalThermSavings].[PMTProgramKey].[All]" allUniqueName="[FactForecastTotalThermSavings].[PMTProgramKey].[All]" dimensionUniqueName="[FactForecastTotalThermSavings]" displayFolder="" count="0" unbalanced="0"/>
    <cacheHierarchy uniqueName="[FactForecastTotalThermSavings].[Predicted_Total_Gross_Savings]" caption="Predicted_Total_Gross_Savings" attribute="1" defaultMemberUniqueName="[FactForecastTotalThermSavings].[Predicted_Total_Gross_Savings].[All]" allUniqueName="[FactForecastTotalThermSavings].[Predicted_Total_Gross_Savings].[All]" dimensionUniqueName="[FactForecastTotalThermSavings]" displayFolder="" count="0" unbalanced="0"/>
    <cacheHierarchy uniqueName="[FactForecastTotalThermSavings].[Predicted_Total_Net_Savings]" caption="Predicted_Total_Net_Savings" attribute="1" defaultMemberUniqueName="[FactForecastTotalThermSavings].[Predicted_Total_Net_Savings].[All]" allUniqueName="[FactForecastTotalThermSavings].[Predicted_Total_Net_Savings].[All]" dimensionUniqueName="[FactForecastTotalThermSavings]" displayFolder="" count="0" unbalanced="0"/>
    <cacheHierarchy uniqueName="[FactForecastTotalThermSavings].[ProgramYear]" caption="ProgramYear" attribute="1" defaultMemberUniqueName="[FactForecastTotalThermSavings].[ProgramYear].[All]" allUniqueName="[FactForecastTotalThermSavings].[ProgramYear].[All]" dimensionUniqueName="[FactForecastTotalThermSavings]" displayFolder="" count="0" unbalanced="0"/>
    <cacheHierarchy uniqueName="[FactForecastTotalThermSavings].[Total_Gross_Savings]" caption="Total_Gross_Savings" attribute="1" defaultMemberUniqueName="[FactForecastTotalThermSavings].[Total_Gross_Savings].[All]" allUniqueName="[FactForecastTotalThermSavings].[Total_Gross_Savings].[All]" dimensionUniqueName="[FactForecastTotalThermSavings]" displayFolder="" count="0" unbalanced="0"/>
    <cacheHierarchy uniqueName="[FactForecastTotalThermSavings].[Total_net_savings]" caption="Total_net_savings" attribute="1" defaultMemberUniqueName="[FactForecastTotalThermSavings].[Total_net_savings].[All]" allUniqueName="[FactForecastTotalThermSavings].[Total_net_savings].[All]" dimensionUniqueName="[FactForecastTotalThermSavings]" displayFolder="" count="0" unbalanced="0"/>
    <cacheHierarchy uniqueName="[FactMeasureParticipation].[Direct Install Labor]" caption="Direct Install Labor" attribute="1" defaultMemberUniqueName="[FactMeasureParticipation].[Direct Install Labor].[All]" allUniqueName="[FactMeasureParticipation].[Direct Install Labor].[All]" dimensionUniqueName="[FactMeasureParticipation]" displayFolder="" count="0" unbalanced="0"/>
    <cacheHierarchy uniqueName="[FactMeasureParticipation].[Direct Install Materials]" caption="Direct Install Materials" attribute="1" defaultMemberUniqueName="[FactMeasureParticipation].[Direct Install Materials].[All]" allUniqueName="[FactMeasureParticipation].[Direct Install Materials].[All]" dimensionUniqueName="[FactMeasureParticipation]" displayFolder="" count="0" unbalanced="0"/>
    <cacheHierarchy uniqueName="[FactMeasureParticipation].[Electric Avoided Cost Set]" caption="Electric Avoided Cost Set" attribute="1" defaultMemberUniqueName="[FactMeasureParticipation].[Electric Avoided Cost Set].[All]" allUniqueName="[FactMeasureParticipation].[Electric Avoided Cost Set].[All]" dimensionUniqueName="[FactMeasureParticipation]" displayFolder="" count="0" unbalanced="0"/>
    <cacheHierarchy uniqueName="[FactMeasureParticipation].[Electric Rate Schedule]" caption="Electric Rate Schedule" attribute="1" defaultMemberUniqueName="[FactMeasureParticipation].[Electric Rate Schedule].[All]" allUniqueName="[FactMeasureParticipation].[Electric Rate Schedule].[All]" dimensionUniqueName="[FactMeasureParticipation]" displayFolder="" count="0" unbalanced="0"/>
    <cacheHierarchy uniqueName="[FactMeasureParticipation].[Electric Savings Profile]" caption="Electric Savings Profile" attribute="1" defaultMemberUniqueName="[FactMeasureParticipation].[Electric Savings Profile].[All]" allUniqueName="[FactMeasureParticipation].[Electric Savings Profile].[All]" dimensionUniqueName="[FactMeasureParticipation]" displayFolder="" count="0" unbalanced="0"/>
    <cacheHierarchy uniqueName="[FactMeasureParticipation].[Gas Avoided Cost Set]" caption="Gas Avoided Cost Set" attribute="1" defaultMemberUniqueName="[FactMeasureParticipation].[Gas Avoided Cost Set].[All]" allUniqueName="[FactMeasureParticipation].[Gas Avoided Cost Set].[All]" dimensionUniqueName="[FactMeasureParticipation]" displayFolder="" count="0" unbalanced="0"/>
    <cacheHierarchy uniqueName="[FactMeasureParticipation].[Gas Rate Schedule]" caption="Gas Rate Schedule" attribute="1" defaultMemberUniqueName="[FactMeasureParticipation].[Gas Rate Schedule].[All]" allUniqueName="[FactMeasureParticipation].[Gas Rate Schedule].[All]" dimensionUniqueName="[FactMeasureParticipation]" displayFolder="" count="0" unbalanced="0"/>
    <cacheHierarchy uniqueName="[FactMeasureParticipation].[Gas Savings Profile]" caption="Gas Savings Profile" attribute="1" defaultMemberUniqueName="[FactMeasureParticipation].[Gas Savings Profile].[All]" allUniqueName="[FactMeasureParticipation].[Gas Savings Profile].[All]" dimensionUniqueName="[FactMeasureParticipation]" displayFolder="" count="0" unbalanced="0"/>
    <cacheHierarchy uniqueName="[FactMeasureParticipation].[MeasureGrouping]" caption="MeasureGrouping" attribute="1" defaultMemberUniqueName="[FactMeasureParticipation].[MeasureGrouping].[All]" allUniqueName="[FactMeasureParticipation].[MeasureGrouping].[All]" dimensionUniqueName="[FactMeasureParticipation]" displayFolder="" count="0" unbalanced="0"/>
    <cacheHierarchy uniqueName="[FactMeasureParticipation].[Net To Gross]" caption="Net To Gross" attribute="1" defaultMemberUniqueName="[FactMeasureParticipation].[Net To Gross].[All]" allUniqueName="[FactMeasureParticipation].[Net To Gross].[All]" dimensionUniqueName="[FactMeasureParticipation]" displayFolder="" count="0" unbalanced="0"/>
    <cacheHierarchy uniqueName="[FactMeasureParticipation].[Participation]" caption="Participation" attribute="1" defaultMemberUniqueName="[FactMeasureParticipation].[Participation].[All]" allUniqueName="[FactMeasureParticipation].[Participation].[All]" dimensionUniqueName="[FactMeasureParticipation]" displayFolder="" count="0" unbalanced="0"/>
    <cacheHierarchy uniqueName="[FactMeasureParticipation].[Participation Incentives]" caption="Participation Incentives" attribute="1" defaultMemberUniqueName="[FactMeasureParticipation].[Participation Incentives].[All]" allUniqueName="[FactMeasureParticipation].[Participation Incentives].[All]" dimensionUniqueName="[FactMeasureParticipation]" displayFolder="" count="0" unbalanced="0"/>
    <cacheHierarchy uniqueName="[FactMeasureParticipation].[Program Component]" caption="Program Component" attribute="1" defaultMemberUniqueName="[FactMeasureParticipation].[Program Component].[All]" allUniqueName="[FactMeasureParticipation].[Program Component].[All]" dimensionUniqueName="[FactMeasureParticipation]" displayFolder="" count="0" unbalanced="0"/>
    <cacheHierarchy uniqueName="[FactMeasureParticipation].[Program Year]" caption="Program Year" attribute="1" defaultMemberUniqueName="[FactMeasureParticipation].[Program Year].[All]" allUniqueName="[FactMeasureParticipation].[Program Year].[All]" dimensionUniqueName="[FactMeasureParticipation]" displayFolder="" count="0" unbalanced="0"/>
    <cacheHierarchy uniqueName="[FactMeasureParticipation].[ProgramYearSort]" caption="ProgramYearSort" attribute="1" defaultMemberUniqueName="[FactMeasureParticipation].[ProgramYearSort].[All]" allUniqueName="[FactMeasureParticipation].[ProgramYearSort].[All]" dimensionUniqueName="[FactMeasureParticipation]" displayFolder="" count="0" unbalanced="0"/>
    <cacheHierarchy uniqueName="[FactMeasureParticipation].[Realization Rate]" caption="Realization Rate" attribute="1" defaultMemberUniqueName="[FactMeasureParticipation].[Realization Rate].[All]" allUniqueName="[FactMeasureParticipation].[Realization Rate].[All]" dimensionUniqueName="[FactMeasureParticipation]" displayFolder="" count="0" unbalanced="0"/>
    <cacheHierarchy uniqueName="[FactMeasureParticipation].[Source]" caption="Source" attribute="1" defaultMemberUniqueName="[FactMeasureParticipation].[Source].[All]" allUniqueName="[FactMeasureParticipation].[Source].[All]" dimensionUniqueName="[FactMeasureParticipation]" displayFolder="" count="0" unbalanced="0"/>
    <cacheHierarchy uniqueName="[FactMOCCallLog].[CallConductedInSpanishDel]" caption="CallConductedInSpanishDel" attribute="1" defaultMemberUniqueName="[FactMOCCallLog].[CallConductedInSpanishDel].[All]" allUniqueName="[FactMOCCallLog].[CallConductedInSpanishDel].[All]" dimensionUniqueName="[FactMOCCallLog]" displayFolder="" count="0" unbalanced="0"/>
    <cacheHierarchy uniqueName="[FactMOCCallLog].[CommunicationStatus]" caption="CommunicationStatus" attribute="1" defaultMemberUniqueName="[FactMOCCallLog].[CommunicationStatus].[All]" allUniqueName="[FactMOCCallLog].[CommunicationStatus].[All]" dimensionUniqueName="[FactMOCCallLog]" displayFolder="" count="0" unbalanced="0"/>
    <cacheHierarchy uniqueName="[FactMOCCallLog].[CommunicationType]" caption="CommunicationType" attribute="1" defaultMemberUniqueName="[FactMOCCallLog].[CommunicationType].[All]" allUniqueName="[FactMOCCallLog].[CommunicationType].[All]" dimensionUniqueName="[FactMOCCallLog]" displayFolder="" count="0" unbalanced="0"/>
    <cacheHierarchy uniqueName="[FactMOCCallLog].[Communicator]" caption="Communicator" attribute="1" defaultMemberUniqueName="[FactMOCCallLog].[Communicator].[All]" allUniqueName="[FactMOCCallLog].[Communicator].[All]" dimensionUniqueName="[FactMOCCallLog]" displayFolder="" count="0" unbalanced="0"/>
    <cacheHierarchy uniqueName="[FactMOCCallLog].[Description]" caption="Description" attribute="1" defaultMemberUniqueName="[FactMOCCallLog].[Description].[All]" allUniqueName="[FactMOCCallLog].[Description].[All]" dimensionUniqueName="[FactMOCCallLog]" displayFolder="" count="0" unbalanced="0"/>
    <cacheHierarchy uniqueName="[FactMOCCallLog].[Escalation]" caption="Escalation" attribute="1" defaultMemberUniqueName="[FactMOCCallLog].[Escalation].[All]" allUniqueName="[FactMOCCallLog].[Escalation].[All]" dimensionUniqueName="[FactMOCCallLog]" displayFolder="" count="0" unbalanced="0"/>
    <cacheHierarchy uniqueName="[FactMOCCallLog].[EventName]" caption="EventName" attribute="1" defaultMemberUniqueName="[FactMOCCallLog].[EventName].[All]" allUniqueName="[FactMOCCallLog].[EventName].[All]" dimensionUniqueName="[FactMOCCallLog]" displayFolder="" count="0" unbalanced="0"/>
    <cacheHierarchy uniqueName="[FactMOCCallLog].[Exception]" caption="Exception" attribute="1" defaultMemberUniqueName="[FactMOCCallLog].[Exception].[All]" allUniqueName="[FactMOCCallLog].[Exception].[All]" dimensionUniqueName="[FactMOCCallLog]" displayFolder="" count="0" unbalanced="0"/>
    <cacheHierarchy uniqueName="[FactMOCCallLog].[Id]" caption="Id" attribute="1" defaultMemberUniqueName="[FactMOCCallLog].[Id].[All]" allUniqueName="[FactMOCCallLog].[Id].[All]" dimensionUniqueName="[FactMOCCallLog]" displayFolder="" count="0" unbalanced="0"/>
    <cacheHierarchy uniqueName="[FactMOCCallLog].[InvalidReason]" caption="InvalidReason" attribute="1" defaultMemberUniqueName="[FactMOCCallLog].[InvalidReason].[All]" allUniqueName="[FactMOCCallLog].[InvalidReason].[All]" dimensionUniqueName="[FactMOCCallLog]" displayFolder="" count="0" unbalanced="0"/>
    <cacheHierarchy uniqueName="[FactMOCCallLog].[LanguageLine]" caption="LanguageLine" attribute="1" defaultMemberUniqueName="[FactMOCCallLog].[LanguageLine].[All]" allUniqueName="[FactMOCCallLog].[LanguageLine].[All]" dimensionUniqueName="[FactMOCCallLog]" displayFolder="" count="0" unbalanced="0"/>
    <cacheHierarchy uniqueName="[FactMOCCallLog].[LanguageType]" caption="LanguageType" attribute="1" defaultMemberUniqueName="[FactMOCCallLog].[LanguageType].[All]" allUniqueName="[FactMOCCallLog].[LanguageType].[All]" dimensionUniqueName="[FactMOCCallLog]" displayFolder="" count="0" unbalanced="0"/>
    <cacheHierarchy uniqueName="[FactMOCCallLog].[OnBillFinancing]" caption="OnBillFinancing" attribute="1" defaultMemberUniqueName="[FactMOCCallLog].[OnBillFinancing].[All]" allUniqueName="[FactMOCCallLog].[OnBillFinancing].[All]" dimensionUniqueName="[FactMOCCallLog]" displayFolder="" count="0" unbalanced="0"/>
    <cacheHierarchy uniqueName="[FactMOCCallLog].[OwnerId]" caption="OwnerId" attribute="1" defaultMemberUniqueName="[FactMOCCallLog].[OwnerId].[All]" allUniqueName="[FactMOCCallLog].[OwnerId].[All]" dimensionUniqueName="[FactMOCCallLog]" displayFolder="" count="0" unbalanced="0"/>
    <cacheHierarchy uniqueName="[FactMOCCallLog].[ProgramInquiry]" caption="ProgramInquiry" attribute="1" defaultMemberUniqueName="[FactMOCCallLog].[ProgramInquiry].[All]" allUniqueName="[FactMOCCallLog].[ProgramInquiry].[All]" dimensionUniqueName="[FactMOCCallLog]" displayFolder="" count="0" unbalanced="0"/>
    <cacheHierarchy uniqueName="[FactMOCCallLog].[Subject]" caption="Subject" attribute="1" defaultMemberUniqueName="[FactMOCCallLog].[Subject].[All]" allUniqueName="[FactMOCCallLog].[Subject].[All]" dimensionUniqueName="[FactMOCCallLog]" displayFolder="" count="0" unbalanced="0"/>
    <cacheHierarchy uniqueName="[FactMOCCallLog].[Topic]" caption="Topic" attribute="1" defaultMemberUniqueName="[FactMOCCallLog].[Topic].[All]" allUniqueName="[FactMOCCallLog].[Topic].[All]" dimensionUniqueName="[FactMOCCallLog]" displayFolder="" count="0" unbalanced="0"/>
    <cacheHierarchy uniqueName="[FactMOCCallLog].[TransferredTo]" caption="TransferredTo" attribute="1" defaultMemberUniqueName="[FactMOCCallLog].[TransferredTo].[All]" allUniqueName="[FactMOCCallLog].[TransferredTo].[All]" dimensionUniqueName="[FactMOCCallLog]" displayFolder="" count="0" unbalanced="0"/>
    <cacheHierarchy uniqueName="[FactMOCCallLog].[UpsellCommercialAssessment]" caption="UpsellCommercialAssessment" attribute="1" defaultMemberUniqueName="[FactMOCCallLog].[UpsellCommercialAssessment].[All]" allUniqueName="[FactMOCCallLog].[UpsellCommercialAssessment].[All]" dimensionUniqueName="[FactMOCCallLog]" displayFolder="" count="0" unbalanced="0"/>
    <cacheHierarchy uniqueName="[FactMOCCallLog].[UpsellEnergySavingsKit]" caption="UpsellEnergySavingsKit" attribute="1" defaultMemberUniqueName="[FactMOCCallLog].[UpsellEnergySavingsKit].[All]" allUniqueName="[FactMOCCallLog].[UpsellEnergySavingsKit].[All]" dimensionUniqueName="[FactMOCCallLog]" displayFolder="" count="0" unbalanced="0"/>
    <cacheHierarchy uniqueName="[FactMOCCallLog].[UpsellHomeAssessment]" caption="UpsellHomeAssessment" attribute="1" defaultMemberUniqueName="[FactMOCCallLog].[UpsellHomeAssessment].[All]" allUniqueName="[FactMOCCallLog].[UpsellHomeAssessment].[All]" dimensionUniqueName="[FactMOCCallLog]" displayFolder="" count="0" unbalanced="0"/>
    <cacheHierarchy uniqueName="[FactMOCCallLog].[UpsellProgrammableThermostat]" caption="UpsellProgrammableThermostat" attribute="1" defaultMemberUniqueName="[FactMOCCallLog].[UpsellProgrammableThermostat].[All]" allUniqueName="[FactMOCCallLog].[UpsellProgrammableThermostat].[All]" dimensionUniqueName="[FactMOCCallLog]" displayFolder="" count="0" unbalanced="0"/>
    <cacheHierarchy uniqueName="[FactMOCLead].[ConvertedContactId]" caption="ConvertedContactId" attribute="1" defaultMemberUniqueName="[FactMOCLead].[ConvertedContactId].[All]" allUniqueName="[FactMOCLead].[ConvertedContactId].[All]" dimensionUniqueName="[FactMOCLead]" displayFolder="" count="0" unbalanced="0"/>
    <cacheHierarchy uniqueName="[FactMOCLead].[Email]" caption="Email" attribute="1" defaultMemberUniqueName="[FactMOCLead].[Email].[All]" allUniqueName="[FactMOCLead].[Email].[All]" dimensionUniqueName="[FactMOCLead]" displayFolder="" count="0" unbalanced="0"/>
    <cacheHierarchy uniqueName="[FactMOCLead].[Id]" caption="Id" attribute="1" defaultMemberUniqueName="[FactMOCLead].[Id].[All]" allUniqueName="[FactMOCLead].[Id].[All]" dimensionUniqueName="[FactMOCLead]" displayFolder="" count="0" unbalanced="0"/>
    <cacheHierarchy uniqueName="[FactMOCLead].[IHaveAQuestionAbout]" caption="IHaveAQuestionAbout" attribute="1" defaultMemberUniqueName="[FactMOCLead].[IHaveAQuestionAbout].[All]" allUniqueName="[FactMOCLead].[IHaveAQuestionAbout].[All]" dimensionUniqueName="[FactMOCLead]" displayFolder="" count="0" unbalanced="0"/>
    <cacheHierarchy uniqueName="[FactMOCLead].[LeadCategory]" caption="LeadCategory" attribute="1" defaultMemberUniqueName="[FactMOCLead].[LeadCategory].[All]" allUniqueName="[FactMOCLead].[LeadCategory].[All]" dimensionUniqueName="[FactMOCLead]" displayFolder="" count="0" unbalanced="0"/>
    <cacheHierarchy uniqueName="[FactMOCLead].[LeadClassification]" caption="LeadClassification" attribute="1" defaultMemberUniqueName="[FactMOCLead].[LeadClassification].[All]" allUniqueName="[FactMOCLead].[LeadClassification].[All]" dimensionUniqueName="[FactMOCLead]" displayFolder="" count="0" unbalanced="0"/>
    <cacheHierarchy uniqueName="[FactMOCLead].[LeadSourceDescription]" caption="LeadSourceDescription" attribute="1" defaultMemberUniqueName="[FactMOCLead].[LeadSourceDescription].[All]" allUniqueName="[FactMOCLead].[LeadSourceDescription].[All]" dimensionUniqueName="[FactMOCLead]" displayFolder="" count="0" unbalanced="0"/>
    <cacheHierarchy uniqueName="[FactMOCLead].[MoreInformation]" caption="MoreInformation" attribute="1" defaultMemberUniqueName="[FactMOCLead].[MoreInformation].[All]" allUniqueName="[FactMOCLead].[MoreInformation].[All]" dimensionUniqueName="[FactMOCLead]" displayFolder="" count="0" unbalanced="0"/>
    <cacheHierarchy uniqueName="[FactMOCLead].[Name]" caption="Name" attribute="1" defaultMemberUniqueName="[FactMOCLead].[Name].[All]" allUniqueName="[FactMOCLead].[Name].[All]" dimensionUniqueName="[FactMOCLead]" displayFolder="" count="0" unbalanced="0"/>
    <cacheHierarchy uniqueName="[FactMOCLead].[OptOutOfContactFlag]" caption="OptOutOfContactFlag" attribute="1" defaultMemberUniqueName="[FactMOCLead].[OptOutOfContactFlag].[All]" allUniqueName="[FactMOCLead].[OptOutOfContactFlag].[All]" dimensionUniqueName="[FactMOCLead]" displayFolder="" count="0" unbalanced="0"/>
    <cacheHierarchy uniqueName="[FactMOCLead].[OwnerId]" caption="OwnerId" attribute="1" defaultMemberUniqueName="[FactMOCLead].[OwnerId].[All]" allUniqueName="[FactMOCLead].[OwnerId].[All]" dimensionUniqueName="[FactMOCLead]" displayFolder="" count="0" unbalanced="0"/>
    <cacheHierarchy uniqueName="[FactMOCLead].[OwnerName]" caption="OwnerName" attribute="1" defaultMemberUniqueName="[FactMOCLead].[OwnerName].[All]" allUniqueName="[FactMOCLead].[OwnerName].[All]" dimensionUniqueName="[FactMOCLead]" displayFolder="" count="0" unbalanced="0"/>
    <cacheHierarchy uniqueName="[FactMOCLead].[PreferredMethodOfContact]" caption="PreferredMethodOfContact" attribute="1" defaultMemberUniqueName="[FactMOCLead].[PreferredMethodOfContact].[All]" allUniqueName="[FactMOCLead].[PreferredMethodOfContact].[All]" dimensionUniqueName="[FactMOCLead]" displayFolder="" count="0" unbalanced="0"/>
    <cacheHierarchy uniqueName="[FactMOCLead].[Rating]" caption="Rating" attribute="1" defaultMemberUniqueName="[FactMOCLead].[Rating].[All]" allUniqueName="[FactMOCLead].[Rating].[All]" dimensionUniqueName="[FactMOCLead]" displayFolder="" count="0" unbalanced="0"/>
    <cacheHierarchy uniqueName="[FactMOCLead].[ReasonForContactingUs]" caption="ReasonForContactingUs" attribute="1" defaultMemberUniqueName="[FactMOCLead].[ReasonForContactingUs].[All]" allUniqueName="[FactMOCLead].[ReasonForContactingUs].[All]" dimensionUniqueName="[FactMOCLead]" displayFolder="" count="0" unbalanced="0"/>
    <cacheHierarchy uniqueName="[FactMOCLead].[RecordTypeId]" caption="RecordTypeId" attribute="1" defaultMemberUniqueName="[FactMOCLead].[RecordTypeId].[All]" allUniqueName="[FactMOCLead].[RecordTypeId].[All]" dimensionUniqueName="[FactMOCLead]" displayFolder="" count="0" unbalanced="0"/>
    <cacheHierarchy uniqueName="[FactMOCLead].[Status]" caption="Status" attribute="1" defaultMemberUniqueName="[FactMOCLead].[Status].[All]" allUniqueName="[FactMOCLead].[Status].[All]" dimensionUniqueName="[FactMOCLead]" displayFolder="" count="0" unbalanced="0"/>
    <cacheHierarchy uniqueName="[FactMOCLead].[Title]" caption="Title" attribute="1" defaultMemberUniqueName="[FactMOCLead].[Title].[All]" allUniqueName="[FactMOCLead].[Title].[All]" dimensionUniqueName="[FactMOCLead]" displayFolder="" count="0" unbalanced="0"/>
    <cacheHierarchy uniqueName="[FactMOCLead].[TypeOfLead]" caption="TypeOfLead" attribute="1" defaultMemberUniqueName="[FactMOCLead].[TypeOfLead].[All]" allUniqueName="[FactMOCLead].[TypeOfLead].[All]" dimensionUniqueName="[FactMOCLead]" displayFolder="" count="0" unbalanced="0"/>
    <cacheHierarchy uniqueName="[FactPipeline].[CheckorDirectDeposit]" caption="CheckorDirectDeposit" attribute="1" defaultMemberUniqueName="[FactPipeline].[CheckorDirectDeposit].[All]" allUniqueName="[FactPipeline].[CheckorDirectDeposit].[All]" dimensionUniqueName="[FactPipeline]" displayFolder="" count="0" unbalanced="0"/>
    <cacheHierarchy uniqueName="[FactPipeline].[City]" caption="City" attribute="1" defaultMemberUniqueName="[FactPipeline].[City].[All]" allUniqueName="[FactPipeline].[City].[All]" dimensionUniqueName="[FactPipeline]" displayFolder="" count="0" unbalanced="0"/>
    <cacheHierarchy uniqueName="[FactPipeline].[ExternalRebateProcessorID]" caption="ExternalRebateProcessorID" attribute="1" defaultMemberUniqueName="[FactPipeline].[ExternalRebateProcessorID].[All]" allUniqueName="[FactPipeline].[ExternalRebateProcessorID].[All]" dimensionUniqueName="[FactPipeline]" displayFolder="" count="0" unbalanced="0"/>
    <cacheHierarchy uniqueName="[FactPipeline].[FinalIncentive]" caption="FinalIncentive" attribute="1" defaultMemberUniqueName="[FactPipeline].[FinalIncentive].[All]" allUniqueName="[FactPipeline].[FinalIncentive].[All]" dimensionUniqueName="[FactPipeline]" displayFolder="" count="0" unbalanced="0"/>
    <cacheHierarchy uniqueName="[FactPipeline].[FinalTherms]" caption="FinalTherms" attribute="1" defaultMemberUniqueName="[FactPipeline].[FinalTherms].[All]" allUniqueName="[FactPipeline].[FinalTherms].[All]" dimensionUniqueName="[FactPipeline]" displayFolder="" count="0" unbalanced="0"/>
    <cacheHierarchy uniqueName="[FactPipeline].[HawkPiplineID]" caption="HawkPiplineID" attribute="1" defaultMemberUniqueName="[FactPipeline].[HawkPiplineID].[All]" allUniqueName="[FactPipeline].[HawkPiplineID].[All]" dimensionUniqueName="[FactPipeline]" displayFolder="" count="0" unbalanced="0"/>
    <cacheHierarchy uniqueName="[FactPipeline].[IdentifiedIncentive]" caption="IdentifiedIncentive" attribute="1" defaultMemberUniqueName="[FactPipeline].[IdentifiedIncentive].[All]" allUniqueName="[FactPipeline].[IdentifiedIncentive].[All]" dimensionUniqueName="[FactPipeline]" displayFolder="" count="0" unbalanced="0"/>
    <cacheHierarchy uniqueName="[FactPipeline].[IdentifiedThermSavings]" caption="IdentifiedThermSavings" attribute="1" defaultMemberUniqueName="[FactPipeline].[IdentifiedThermSavings].[All]" allUniqueName="[FactPipeline].[IdentifiedThermSavings].[All]" dimensionUniqueName="[FactPipeline]" displayFolder="" count="0" unbalanced="0"/>
    <cacheHierarchy uniqueName="[FactPipeline].[last_update_date]" caption="last_update_date" attribute="1" defaultMemberUniqueName="[FactPipeline].[last_update_date].[All]" allUniqueName="[FactPipeline].[last_update_date].[All]" dimensionUniqueName="[FactPipeline]" displayFolder="" count="0" unbalanced="0"/>
    <cacheHierarchy uniqueName="[FactPipeline].[MeasureGroup]" caption="MeasureGroup" attribute="1" defaultMemberUniqueName="[FactPipeline].[MeasureGroup].[All]" allUniqueName="[FactPipeline].[MeasureGroup].[All]" dimensionUniqueName="[FactPipeline]" displayFolder="" count="0" unbalanced="0"/>
    <cacheHierarchy uniqueName="[FactPipeline].[NicorGasAccountID]" caption="NicorGasAccountID" attribute="1" defaultMemberUniqueName="[FactPipeline].[NicorGasAccountID].[All]" allUniqueName="[FactPipeline].[NicorGasAccountID].[All]" dimensionUniqueName="[FactPipeline]" displayFolder="" count="0" unbalanced="0"/>
    <cacheHierarchy uniqueName="[FactPipeline].[NicorGasPremiseID]" caption="NicorGasPremiseID" attribute="1" defaultMemberUniqueName="[FactPipeline].[NicorGasPremiseID].[All]" allUniqueName="[FactPipeline].[NicorGasPremiseID].[All]" dimensionUniqueName="[FactPipeline]" displayFolder="" count="0" unbalanced="0"/>
    <cacheHierarchy uniqueName="[FactPipeline].[Opportunityidentifier]" caption="Opportunityidentifier" attribute="1" defaultMemberUniqueName="[FactPipeline].[Opportunityidentifier].[All]" allUniqueName="[FactPipeline].[Opportunityidentifier].[All]" dimensionUniqueName="[FactPipeline]" displayFolder="" count="0" unbalanced="0"/>
    <cacheHierarchy uniqueName="[FactPipeline].[PayeeCode]" caption="PayeeCode" attribute="1" defaultMemberUniqueName="[FactPipeline].[PayeeCode].[All]" allUniqueName="[FactPipeline].[PayeeCode].[All]" dimensionUniqueName="[FactPipeline]" displayFolder="" count="0" unbalanced="0"/>
    <cacheHierarchy uniqueName="[FactPipeline].[Quantity]" caption="Quantity" attribute="1" defaultMemberUniqueName="[FactPipeline].[Quantity].[All]" allUniqueName="[FactPipeline].[Quantity].[All]" dimensionUniqueName="[FactPipeline]" displayFolder="" count="0" unbalanced="0"/>
    <cacheHierarchy uniqueName="[FactPipeline].[Status]" caption="Status" attribute="1" defaultMemberUniqueName="[FactPipeline].[Status].[All]" allUniqueName="[FactPipeline].[Status].[All]" dimensionUniqueName="[FactPipeline]" displayFolder="" count="0" unbalanced="0"/>
    <cacheHierarchy uniqueName="[FactPipeline].[SubProgram]" caption="SubProgram" attribute="1" defaultMemberUniqueName="[FactPipeline].[SubProgram].[All]" allUniqueName="[FactPipeline].[SubProgram].[All]" dimensionUniqueName="[FactPipeline]" displayFolder="" count="0" unbalanced="0"/>
    <cacheHierarchy uniqueName="[FactPipeline].[TotalProjectCost]" caption="TotalProjectCost" attribute="1" defaultMemberUniqueName="[FactPipeline].[TotalProjectCost].[All]" allUniqueName="[FactPipeline].[TotalProjectCost].[All]" dimensionUniqueName="[FactPipeline]" displayFolder="" count="0" unbalanced="0"/>
    <cacheHierarchy uniqueName="[FactPipeline].[VendorProjectID]" caption="VendorProjectID" attribute="1" defaultMemberUniqueName="[FactPipeline].[VendorProjectID].[All]" allUniqueName="[FactPipeline].[VendorProjectID].[All]" dimensionUniqueName="[FactPipeline]" displayFolder="" count="0" unbalanced="0"/>
    <cacheHierarchy uniqueName="[FactPredictiveAnalytics].[AccountKey]" caption="AccountKey" attribute="1" defaultMemberUniqueName="[FactPredictiveAnalytics].[AccountKey].[All]" allUniqueName="[FactPredictiveAnalytics].[AccountKey].[All]" dimensionUniqueName="[FactPredictiveAnalytics]" displayFolder="" count="0" unbalanced="0"/>
    <cacheHierarchy uniqueName="[FactPredictiveAnalytics].[CostPerGrossTherm]" caption="CostPerGrossTherm" attribute="1" defaultMemberUniqueName="[FactPredictiveAnalytics].[CostPerGrossTherm].[All]" allUniqueName="[FactPredictiveAnalytics].[CostPerGrossTherm].[All]" dimensionUniqueName="[FactPredictiveAnalytics]" displayFolder="" count="0" unbalanced="0"/>
    <cacheHierarchy uniqueName="[FactPredictiveAnalytics].[CostperNetTherm]" caption="CostperNetTherm" attribute="1" defaultMemberUniqueName="[FactPredictiveAnalytics].[CostperNetTherm].[All]" allUniqueName="[FactPredictiveAnalytics].[CostperNetTherm].[All]" dimensionUniqueName="[FactPredictiveAnalytics]" displayFolder="" count="0" unbalanced="0"/>
    <cacheHierarchy uniqueName="[FactPredictiveAnalytics].[MeasureLife]" caption="MeasureLife" attribute="1" defaultMemberUniqueName="[FactPredictiveAnalytics].[MeasureLife].[All]" allUniqueName="[FactPredictiveAnalytics].[MeasureLife].[All]" dimensionUniqueName="[FactPredictiveAnalytics]" displayFolder="" count="0" unbalanced="0"/>
    <cacheHierarchy uniqueName="[FactPredictiveAnalytics].[ParticipationFlag]" caption="ParticipationFlag" attribute="1" defaultMemberUniqueName="[FactPredictiveAnalytics].[ParticipationFlag].[All]" allUniqueName="[FactPredictiveAnalytics].[ParticipationFlag].[All]" dimensionUniqueName="[FactPredictiveAnalytics]" displayFolder="" count="0" unbalanced="0"/>
    <cacheHierarchy uniqueName="[FactPredictiveAnalytics].[pred_rank_flag]" caption="pred_rank_flag" attribute="1" defaultMemberUniqueName="[FactPredictiveAnalytics].[pred_rank_flag].[All]" allUniqueName="[FactPredictiveAnalytics].[pred_rank_flag].[All]" dimensionUniqueName="[FactPredictiveAnalytics]" displayFolder="" count="0" unbalanced="0"/>
    <cacheHierarchy uniqueName="[FactPredictiveAnalytics].[PredictionMeasure]" caption="PredictionMeasure" attribute="1" defaultMemberUniqueName="[FactPredictiveAnalytics].[PredictionMeasure].[All]" allUniqueName="[FactPredictiveAnalytics].[PredictionMeasure].[All]" dimensionUniqueName="[FactPredictiveAnalytics]" displayFolder="" count="0" unbalanced="0"/>
    <cacheHierarchy uniqueName="[FactPredictiveAnalytics].[PredictiveMeasureName]" caption="PredictiveMeasureName" attribute="1" defaultMemberUniqueName="[FactPredictiveAnalytics].[PredictiveMeasureName].[All]" allUniqueName="[FactPredictiveAnalytics].[PredictiveMeasureName].[All]" dimensionUniqueName="[FactPredictiveAnalytics]" displayFolder="" count="0" unbalanced="0"/>
    <cacheHierarchy uniqueName="[FactPredictiveAnalytics].[ProgramYear]" caption="ProgramYear" attribute="1" defaultMemberUniqueName="[FactPredictiveAnalytics].[ProgramYear].[All]" allUniqueName="[FactPredictiveAnalytics].[ProgramYear].[All]" dimensionUniqueName="[FactPredictiveAnalytics]" displayFolder="" count="0" unbalanced="0"/>
    <cacheHierarchy uniqueName="[FactSilverpopEmailActivity].[AccountKey]" caption="AccountKey" attribute="1" defaultMemberUniqueName="[FactSilverpopEmailActivity].[AccountKey].[All]" allUniqueName="[FactSilverpopEmailActivity].[AccountKey].[All]" dimensionUniqueName="[FactSilverpopEmailActivity]" displayFolder="" count="0" unbalanced="0"/>
    <cacheHierarchy uniqueName="[FactSilverpopEmailActivity].[CreateDateKey]" caption="CreateDateKey" attribute="1" defaultMemberUniqueName="[FactSilverpopEmailActivity].[CreateDateKey].[All]" allUniqueName="[FactSilverpopEmailActivity].[CreateDateKey].[All]" dimensionUniqueName="[FactSilverpopEmailActivity]" displayFolder="" count="0" unbalanced="0"/>
    <cacheHierarchy uniqueName="[FactSilverpopEmailActivity].[CreatedById]" caption="CreatedById" attribute="1" defaultMemberUniqueName="[FactSilverpopEmailActivity].[CreatedById].[All]" allUniqueName="[FactSilverpopEmailActivity].[CreatedById].[All]" dimensionUniqueName="[FactSilverpopEmailActivity]" displayFolder="" count="0" unbalanced="0"/>
    <cacheHierarchy uniqueName="[FactSilverpopEmailActivity].[DQScoreKey]" caption="DQScoreKey" attribute="1" defaultMemberUniqueName="[FactSilverpopEmailActivity].[DQScoreKey].[All]" allUniqueName="[FactSilverpopEmailActivity].[DQScoreKey].[All]" dimensionUniqueName="[FactSilverpopEmailActivity]" displayFolder="" count="0" unbalanced="0"/>
    <cacheHierarchy uniqueName="[FactSilverpopEmailActivity].[FactSilverpopEmailActivityKey]" caption="FactSilverpopEmailActivityKey" attribute="1" defaultMemberUniqueName="[FactSilverpopEmailActivity].[FactSilverpopEmailActivityKey].[All]" allUniqueName="[FactSilverpopEmailActivity].[FactSilverpopEmailActivityKey].[All]" dimensionUniqueName="[FactSilverpopEmailActivity]" displayFolder="" count="0" unbalanced="0"/>
    <cacheHierarchy uniqueName="[FactSilverpopEmailActivity].[Id]" caption="Id" attribute="1" defaultMemberUniqueName="[FactSilverpopEmailActivity].[Id].[All]" allUniqueName="[FactSilverpopEmailActivity].[Id].[All]" dimensionUniqueName="[FactSilverpopEmailActivity]" displayFolder="" count="0" unbalanced="0"/>
    <cacheHierarchy uniqueName="[FactSilverpopEmailActivity].[InsertAuditKey]" caption="InsertAuditKey" attribute="1" defaultMemberUniqueName="[FactSilverpopEmailActivity].[InsertAuditKey].[All]" allUniqueName="[FactSilverpopEmailActivity].[InsertAuditKey].[All]" dimensionUniqueName="[FactSilverpopEmailActivity]" displayFolder="" count="0" unbalanced="0"/>
    <cacheHierarchy uniqueName="[FactSilverpopEmailActivity].[IsDeleted]" caption="IsDeleted" attribute="1" defaultMemberUniqueName="[FactSilverpopEmailActivity].[IsDeleted].[All]" allUniqueName="[FactSilverpopEmailActivity].[IsDeleted].[All]" dimensionUniqueName="[FactSilverpopEmailActivity]" displayFolder="" count="0" unbalanced="0"/>
    <cacheHierarchy uniqueName="[FactSilverpopEmailActivity].[LastModifiedById]" caption="LastModifiedById" attribute="1" defaultMemberUniqueName="[FactSilverpopEmailActivity].[LastModifiedById].[All]" allUniqueName="[FactSilverpopEmailActivity].[LastModifiedById].[All]" dimensionUniqueName="[FactSilverpopEmailActivity]" displayFolder="" count="0" unbalanced="0"/>
    <cacheHierarchy uniqueName="[FactSilverpopEmailActivity].[LastModifiedDate]" caption="LastModifiedDate" attribute="1" defaultMemberUniqueName="[FactSilverpopEmailActivity].[LastModifiedDate].[All]" allUniqueName="[FactSilverpopEmailActivity].[LastModifiedDate].[All]" dimensionUniqueName="[FactSilverpopEmailActivity]" displayFolder="" count="0" unbalanced="0"/>
    <cacheHierarchy uniqueName="[FactSilverpopEmailActivity].[Name]" caption="Name" attribute="1" defaultMemberUniqueName="[FactSilverpopEmailActivity].[Name].[All]" allUniqueName="[FactSilverpopEmailActivity].[Name].[All]" dimensionUniqueName="[FactSilverpopEmailActivity]" displayFolder="" count="0" unbalanced="0"/>
    <cacheHierarchy uniqueName="[FactSilverpopEmailActivity].[OwnerId]" caption="OwnerId" attribute="1" defaultMemberUniqueName="[FactSilverpopEmailActivity].[OwnerId].[All]" allUniqueName="[FactSilverpopEmailActivity].[OwnerId].[All]" dimensionUniqueName="[FactSilverpopEmailActivity]" displayFolder="" count="0" unbalanced="0"/>
    <cacheHierarchy uniqueName="[FactSilverpopEmailActivity].[SilverpopContact]" caption="SilverpopContact" attribute="1" defaultMemberUniqueName="[FactSilverpopEmailActivity].[SilverpopContact].[All]" allUniqueName="[FactSilverpopEmailActivity].[SilverpopContact].[All]" dimensionUniqueName="[FactSilverpopEmailActivity]" displayFolder="" count="0" unbalanced="0"/>
    <cacheHierarchy uniqueName="[FactSilverpopEmailActivity].[SilverpopDateBounced]" caption="SilverpopDateBounced" attribute="1" defaultMemberUniqueName="[FactSilverpopEmailActivity].[SilverpopDateBounced].[All]" allUniqueName="[FactSilverpopEmailActivity].[SilverpopDateBounced].[All]" dimensionUniqueName="[FactSilverpopEmailActivity]" displayFolder="" count="0" unbalanced="0"/>
    <cacheHierarchy uniqueName="[FactSilverpopEmailActivity].[SilverpopDateUnsubscribed]" caption="SilverpopDateUnsubscribed" attribute="1" defaultMemberUniqueName="[FactSilverpopEmailActivity].[SilverpopDateUnsubscribed].[All]" allUniqueName="[FactSilverpopEmailActivity].[SilverpopDateUnsubscribed].[All]" dimensionUniqueName="[FactSilverpopEmailActivity]" displayFolder="" count="0" unbalanced="0"/>
    <cacheHierarchy uniqueName="[FactSilverpopEmailActivity].[SilverpopEmailName]" caption="SilverpopEmailName" attribute="1" defaultMemberUniqueName="[FactSilverpopEmailActivity].[SilverpopEmailName].[All]" allUniqueName="[FactSilverpopEmailActivity].[SilverpopEmailName].[All]" dimensionUniqueName="[FactSilverpopEmailActivity]" displayFolder="" count="0" unbalanced="0"/>
    <cacheHierarchy uniqueName="[FactSilverpopEmailActivity].[SilverpopEngage]" caption="SilverpopEngage" attribute="1" defaultMemberUniqueName="[FactSilverpopEmailActivity].[SilverpopEngage].[All]" allUniqueName="[FactSilverpopEmailActivity].[SilverpopEngage].[All]" dimensionUniqueName="[FactSilverpopEmailActivity]" displayFolder="" count="0" unbalanced="0"/>
    <cacheHierarchy uniqueName="[FactSilverpopEmailActivity].[SilverpopLead]" caption="SilverpopLead" attribute="1" defaultMemberUniqueName="[FactSilverpopEmailActivity].[SilverpopLead].[All]" allUniqueName="[FactSilverpopEmailActivity].[SilverpopLead].[All]" dimensionUniqueName="[FactSilverpopEmailActivity]" displayFolder="" count="0" unbalanced="0"/>
    <cacheHierarchy uniqueName="[FactSilverpopEmailActivity].[SilverpopOpenDateTime]" caption="SilverpopOpenDateTime" attribute="1" defaultMemberUniqueName="[FactSilverpopEmailActivity].[SilverpopOpenDateTime].[All]" allUniqueName="[FactSilverpopEmailActivity].[SilverpopOpenDateTime].[All]" dimensionUniqueName="[FactSilverpopEmailActivity]" displayFolder="" count="0" unbalanced="0"/>
    <cacheHierarchy uniqueName="[FactSilverpopEmailActivity].[SilverpopOpened]" caption="SilverpopOpened" attribute="1" defaultMemberUniqueName="[FactSilverpopEmailActivity].[SilverpopOpened].[All]" allUniqueName="[FactSilverpopEmailActivity].[SilverpopOpened].[All]" dimensionUniqueName="[FactSilverpopEmailActivity]" displayFolder="" count="0" unbalanced="0"/>
    <cacheHierarchy uniqueName="[FactSilverpopEmailActivity].[SilverpopSentDateTime]" caption="SilverpopSentDateTime" attribute="1" defaultMemberUniqueName="[FactSilverpopEmailActivity].[SilverpopSentDateTime].[All]" allUniqueName="[FactSilverpopEmailActivity].[SilverpopSentDateTime].[All]" dimensionUniqueName="[FactSilverpopEmailActivity]" displayFolder="" count="0" unbalanced="0"/>
    <cacheHierarchy uniqueName="[FactSilverpopEmailActivity].[SilverpopSilverpopId]" caption="SilverpopSilverpopId" attribute="1" defaultMemberUniqueName="[FactSilverpopEmailActivity].[SilverpopSilverpopId].[All]" allUniqueName="[FactSilverpopEmailActivity].[SilverpopSilverpopId].[All]" dimensionUniqueName="[FactSilverpopEmailActivity]" displayFolder="" count="0" unbalanced="0"/>
    <cacheHierarchy uniqueName="[FactSilverpopEmailActivity].[SilverpopStatus]" caption="SilverpopStatus" attribute="1" defaultMemberUniqueName="[FactSilverpopEmailActivity].[SilverpopStatus].[All]" allUniqueName="[FactSilverpopEmailActivity].[SilverpopStatus].[All]" dimensionUniqueName="[FactSilverpopEmailActivity]" displayFolder="" count="0" unbalanced="0"/>
    <cacheHierarchy uniqueName="[FactSilverpopEmailActivity].[SilverpopSubject]" caption="SilverpopSubject" attribute="1" defaultMemberUniqueName="[FactSilverpopEmailActivity].[SilverpopSubject].[All]" allUniqueName="[FactSilverpopEmailActivity].[SilverpopSubject].[All]" dimensionUniqueName="[FactSilverpopEmailActivity]" displayFolder="" count="0" unbalanced="0"/>
    <cacheHierarchy uniqueName="[FactSilverpopEmailActivity].[SystemModstamp]" caption="SystemModstamp" attribute="1" defaultMemberUniqueName="[FactSilverpopEmailActivity].[SystemModstamp].[All]" allUniqueName="[FactSilverpopEmailActivity].[SystemModstamp].[All]" dimensionUniqueName="[FactSilverpopEmailActivity]" displayFolder="" count="0" unbalanced="0"/>
    <cacheHierarchy uniqueName="[FactSilverpopEmailActivity].[UpdateAuditKey]" caption="UpdateAuditKey" attribute="1" defaultMemberUniqueName="[FactSilverpopEmailActivity].[UpdateAuditKey].[All]" allUniqueName="[FactSilverpopEmailActivity].[UpdateAuditKey].[All]" dimensionUniqueName="[FactSilverpopEmailActivity]" displayFolder="" count="0" unbalanced="0"/>
    <cacheHierarchy uniqueName="[FactSilverPopSurvey].[AccountKey]" caption="AccountKey" attribute="1" defaultMemberUniqueName="[FactSilverPopSurvey].[AccountKey].[All]" allUniqueName="[FactSilverPopSurvey].[AccountKey].[All]" dimensionUniqueName="[FactSilverPopSurvey]" displayFolder="" count="0" unbalanced="0"/>
    <cacheHierarchy uniqueName="[FactSilverPopSurvey].[DateSent]" caption="DateSent" attribute="1" defaultMemberUniqueName="[FactSilverPopSurvey].[DateSent].[All]" allUniqueName="[FactSilverPopSurvey].[DateSent].[All]" dimensionUniqueName="[FactSilverPopSurvey]" displayFolder="" count="0" unbalanced="0"/>
    <cacheHierarchy uniqueName="[FactSilverPopSurvey].[FactSilverPopSurveyKey]" caption="FactSilverPopSurveyKey" attribute="1" defaultMemberUniqueName="[FactSilverPopSurvey].[FactSilverPopSurveyKey].[All]" allUniqueName="[FactSilverPopSurvey].[FactSilverPopSurveyKey].[All]" dimensionUniqueName="[FactSilverPopSurvey]" displayFolder="" count="0" unbalanced="0"/>
    <cacheHierarchy uniqueName="[FactSilverPopSurvey].[MeasureGroupKey]" caption="MeasureGroupKey" attribute="1" defaultMemberUniqueName="[FactSilverPopSurvey].[MeasureGroupKey].[All]" allUniqueName="[FactSilverPopSurvey].[MeasureGroupKey].[All]" dimensionUniqueName="[FactSilverPopSurvey]" displayFolder="" count="0" unbalanced="0"/>
    <cacheHierarchy uniqueName="[FactSilverPopSurvey].[PMTProgramKey]" caption="PMTProgramKey" attribute="1" defaultMemberUniqueName="[FactSilverPopSurvey].[PMTProgramKey].[All]" allUniqueName="[FactSilverPopSurvey].[PMTProgramKey].[All]" dimensionUniqueName="[FactSilverPopSurvey]" displayFolder="" count="0" unbalanced="0"/>
    <cacheHierarchy uniqueName="[FactSilverPopSurvey].[ProgramYear]" caption="ProgramYear" attribute="1" defaultMemberUniqueName="[FactSilverPopSurvey].[ProgramYear].[All]" allUniqueName="[FactSilverPopSurvey].[ProgramYear].[All]" dimensionUniqueName="[FactSilverPopSurvey]" displayFolder="" count="0" unbalanced="0"/>
    <cacheHierarchy uniqueName="[FactSilverPopSurvey].[SentToSilverPop]" caption="SentToSilverPop" attribute="1" defaultMemberUniqueName="[FactSilverPopSurvey].[SentToSilverPop].[All]" allUniqueName="[FactSilverPopSurvey].[SentToSilverPop].[All]" dimensionUniqueName="[FactSilverPopSurvey]" displayFolder="" count="0" unbalanced="0"/>
    <cacheHierarchy uniqueName="[FactUsage].[Balance Control GroupID]" caption="Balance Control GroupID" attribute="1" defaultMemberUniqueName="[FactUsage].[Balance Control GroupID].[All]" allUniqueName="[FactUsage].[Balance Control GroupID].[All]" dimensionUniqueName="[FactUsage]" displayFolder="" count="0" unbalanced="0"/>
    <cacheHierarchy uniqueName="[FactUsage].[Bill Segment Degree Day Count]" caption="Bill Segment Degree Day Count" attribute="1" defaultMemberUniqueName="[FactUsage].[Bill Segment Degree Day Count].[All]" allUniqueName="[FactUsage].[Bill Segment Degree Day Count].[All]" dimensionUniqueName="[FactUsage]" displayFolder="" count="0" unbalanced="0"/>
    <cacheHierarchy uniqueName="[FactUsage].[Bill Segment Estimated Code]" caption="Bill Segment Estimated Code" attribute="1" defaultMemberUniqueName="[FactUsage].[Bill Segment Estimated Code].[All]" allUniqueName="[FactUsage].[Bill Segment Estimated Code].[All]" dimensionUniqueName="[FactUsage]" displayFolder="" count="0" unbalanced="0"/>
    <cacheHierarchy uniqueName="[FactUsage].[Bill SegmentID]" caption="Bill SegmentID" attribute="1" defaultMemberUniqueName="[FactUsage].[Bill SegmentID].[All]" allUniqueName="[FactUsage].[Bill SegmentID].[All]" dimensionUniqueName="[FactUsage]" displayFolder="" count="0" unbalanced="0"/>
    <cacheHierarchy uniqueName="[FactUsage].[Billed Days Count]" caption="Billed Days Count" attribute="1" defaultMemberUniqueName="[FactUsage].[Billed Days Count].[All]" allUniqueName="[FactUsage].[Billed Days Count].[All]" dimensionUniqueName="[FactUsage]" displayFolder="" count="0" unbalanced="0"/>
    <cacheHierarchy uniqueName="[FactUsage].[CurrentTotalBillAmount]" caption="CurrentTotalBillAmount" attribute="1" defaultMemberUniqueName="[FactUsage].[CurrentTotalBillAmount].[All]" allUniqueName="[FactUsage].[CurrentTotalBillAmount].[All]" dimensionUniqueName="[FactUsage]" displayFolder="" count="0" unbalanced="0"/>
    <cacheHierarchy uniqueName="[FactUsage].[Customer Select Gas Quantity]" caption="Customer Select Gas Quantity" attribute="1" defaultMemberUniqueName="[FactUsage].[Customer Select Gas Quantity].[All]" allUniqueName="[FactUsage].[Customer Select Gas Quantity].[All]" dimensionUniqueName="[FactUsage]" displayFolder="" count="0" unbalanced="0"/>
    <cacheHierarchy uniqueName="[FactUsage].[Customer Select Indicator]" caption="Customer Select Indicator" attribute="1" defaultMemberUniqueName="[FactUsage].[Customer Select Indicator].[All]" allUniqueName="[FactUsage].[Customer Select Indicator].[All]" dimensionUniqueName="[FactUsage]" displayFolder="" count="0" unbalanced="0"/>
    <cacheHierarchy uniqueName="[FactUsage].[DQScoreKey]" caption="DQScoreKey" attribute="1" defaultMemberUniqueName="[FactUsage].[DQScoreKey].[All]" allUniqueName="[FactUsage].[DQScoreKey].[All]" dimensionUniqueName="[FactUsage]" displayFolder="" count="0" unbalanced="0"/>
    <cacheHierarchy uniqueName="[FactUsage].[Financial Transaction Type Code]" caption="Financial Transaction Type Code" attribute="1" defaultMemberUniqueName="[FactUsage].[Financial Transaction Type Code].[All]" allUniqueName="[FactUsage].[Financial Transaction Type Code].[All]" dimensionUniqueName="[FactUsage]" displayFolder="" count="0" unbalanced="0"/>
    <cacheHierarchy uniqueName="[FactUsage].[Franchise Gas Quantity]" caption="Franchise Gas Quantity" attribute="1" defaultMemberUniqueName="[FactUsage].[Franchise Gas Quantity].[All]" allUniqueName="[FactUsage].[Franchise Gas Quantity].[All]" dimensionUniqueName="[FactUsage]" displayFolder="" count="0" unbalanced="0"/>
    <cacheHierarchy uniqueName="[FactUsage].[In City Limit]" caption="In City Limit" attribute="1" defaultMemberUniqueName="[FactUsage].[In City Limit].[All]" allUniqueName="[FactUsage].[In City Limit].[All]" dimensionUniqueName="[FactUsage]" displayFolder="" count="0" unbalanced="0"/>
    <cacheHierarchy uniqueName="[FactUsage].[InsertAuditKey]" caption="InsertAuditKey" attribute="1" defaultMemberUniqueName="[FactUsage].[InsertAuditKey].[All]" allUniqueName="[FactUsage].[InsertAuditKey].[All]" dimensionUniqueName="[FactUsage]" displayFolder="" count="0" unbalanced="0"/>
    <cacheHierarchy uniqueName="[FactUsage].[Other Gas Quantity]" caption="Other Gas Quantity" attribute="1" defaultMemberUniqueName="[FactUsage].[Other Gas Quantity].[All]" allUniqueName="[FactUsage].[Other Gas Quantity].[All]" dimensionUniqueName="[FactUsage]" displayFolder="" count="0" unbalanced="0"/>
    <cacheHierarchy uniqueName="[FactUsage].[RIDER30_CD]" caption="RIDER30_CD" attribute="1" defaultMemberUniqueName="[FactUsage].[RIDER30_CD].[All]" allUniqueName="[FactUsage].[RIDER30_CD].[All]" dimensionUniqueName="[FactUsage]" displayFolder="" count="0" unbalanced="0"/>
    <cacheHierarchy uniqueName="[FactUsage].[Sales Gas Quantity]" caption="Sales Gas Quantity" attribute="1" defaultMemberUniqueName="[FactUsage].[Sales Gas Quantity].[All]" allUniqueName="[FactUsage].[Sales Gas Quantity].[All]" dimensionUniqueName="[FactUsage]" displayFolder="" count="0" unbalanced="0"/>
    <cacheHierarchy uniqueName="[FactUsage].[Total Gas Quantity]" caption="Total Gas Quantity" attribute="1" defaultMemberUniqueName="[FactUsage].[Total Gas Quantity].[All]" allUniqueName="[FactUsage].[Total Gas Quantity].[All]" dimensionUniqueName="[FactUsage]" displayFolder="" count="0" unbalanced="0"/>
    <cacheHierarchy uniqueName="[FactUsage].[Transportation Gas Quantity]" caption="Transportation Gas Quantity" attribute="1" defaultMemberUniqueName="[FactUsage].[Transportation Gas Quantity].[All]" allUniqueName="[FactUsage].[Transportation Gas Quantity].[All]" dimensionUniqueName="[FactUsage]" displayFolder="" count="0" unbalanced="0"/>
    <cacheHierarchy uniqueName="[FactUsage].[UpdateAuditKey]" caption="UpdateAuditKey" attribute="1" defaultMemberUniqueName="[FactUsage].[UpdateAuditKey].[All]" allUniqueName="[FactUsage].[UpdateAuditKey].[All]" dimensionUniqueName="[FactUsage]" displayFolder="" count="0" unbalanced="0"/>
    <cacheHierarchy uniqueName="[HierProgramProjectMeasure].[HierProgramMeasure]" caption="HierProgramMeasure" defaultMemberUniqueName="[HierProgramProjectMeasure].[HierProgramMeasure].[All]" allUniqueName="[HierProgramProjectMeasure].[HierProgramMeasure].[All]" dimensionUniqueName="[HierProgramProjectMeasure]" displayFolder="" count="3" unbalanced="0"/>
    <cacheHierarchy uniqueName="[HierProgramProjectMeasure].[HierProgramProjectMeasure]" caption="HierProgramProjectMeasure" defaultMemberUniqueName="[HierProgramProjectMeasure].[HierProgramProjectMeasure].[All]" allUniqueName="[HierProgramProjectMeasure].[HierProgramProjectMeasure].[All]" dimensionUniqueName="[HierProgramProjectMeasure]" displayFolder="" count="4" unbalanced="0"/>
    <cacheHierarchy uniqueName="[HierProgramProjectMeasure].[Measure Name]" caption="Measure Name" attribute="1" defaultMemberUniqueName="[HierProgramProjectMeasure].[Measure Name].[All]" allUniqueName="[HierProgramProjectMeasure].[Measure Name].[All]" dimensionUniqueName="[HierProgramProjectMeasure]" displayFolder="" count="0" unbalanced="0"/>
    <cacheHierarchy uniqueName="[HierProgramProjectMeasure].[MeasureType]" caption="MeasureType" attribute="1" defaultMemberUniqueName="[HierProgramProjectMeasure].[MeasureType].[All]" allUniqueName="[HierProgramProjectMeasure].[MeasureType].[All]" dimensionUniqueName="[HierProgramProjectMeasure]" displayFolder="" count="0" unbalanced="0"/>
    <cacheHierarchy uniqueName="[HierProgramProjectMeasure].[Program Name]" caption="Program Name" attribute="1" defaultMemberUniqueName="[HierProgramProjectMeasure].[Program Name].[All]" allUniqueName="[HierProgramProjectMeasure].[Program Name].[All]" dimensionUniqueName="[HierProgramProjectMeasure]" displayFolder="" count="0" unbalanced="0"/>
    <cacheHierarchy uniqueName="[HierProgramProjectMeasure].[Project Name]" caption="Project Name" attribute="1" defaultMemberUniqueName="[HierProgramProjectMeasure].[Project Name].[All]" allUniqueName="[HierProgramProjectMeasure].[Project Name].[All]" dimensionUniqueName="[HierProgramProjectMeasure]" displayFolder="" count="0" unbalanced="0"/>
    <cacheHierarchy uniqueName="[MOCActivityDate].[Datekey]" caption="Datekey" attribute="1" defaultMemberUniqueName="[MOCActivityDate].[Datekey].[All]" allUniqueName="[MOCActivityDate].[Datekey].[All]" dimensionUniqueName="[MOCActivityDate]" displayFolder="" count="0" unbalanced="0"/>
    <cacheHierarchy uniqueName="[MOCActivityDate].[HierMOCActivityDatePY]" caption="HierMOCActivityDatePY" defaultMemberUniqueName="[MOCActivityDate].[HierMOCActivityDatePY].[All]" allUniqueName="[MOCActivityDate].[HierMOCActivityDatePY].[All]" dimensionUniqueName="[MOCActivityDate]" displayFolder="" count="4" unbalanced="0"/>
    <cacheHierarchy uniqueName="[MOCActivityDate].[HierMOCActivityDateYear]" caption="HierMOCActivityDateYear" defaultMemberUniqueName="[MOCActivityDate].[HierMOCActivityDateYear].[All]" allUniqueName="[MOCActivityDate].[HierMOCActivityDateYear].[All]" dimensionUniqueName="[MOCActivityDate]" displayFolder="" count="4" unbalanced="0"/>
    <cacheHierarchy uniqueName="[MOCActivityDate].[MOC Call Activity Date]" caption="MOC Call Activity Date" attribute="1" defaultMemberUniqueName="[MOCActivityDate].[MOC Call Activity Date].[All]" allUniqueName="[MOCActivityDate].[MOC Call Activity Date].[All]" dimensionUniqueName="[MOCActivityDate]" displayFolder="" count="0" unbalanced="0"/>
    <cacheHierarchy uniqueName="[MOCActivityDate].[MOC Call Activity DayOfMonth]" caption="MOC Call Activity DayOfMonth" attribute="1" defaultMemberUniqueName="[MOCActivityDate].[MOC Call Activity DayOfMonth].[All]" allUniqueName="[MOCActivityDate].[MOC Call Activity DayOfMonth].[All]" dimensionUniqueName="[MOCActivityDate]" displayFolder="" count="0" unbalanced="0"/>
    <cacheHierarchy uniqueName="[MOCActivityDate].[MOC Call Activity DayOfWeek]" caption="MOC Call Activity DayOfWeek" attribute="1" defaultMemberUniqueName="[MOCActivityDate].[MOC Call Activity DayOfWeek].[All]" allUniqueName="[MOCActivityDate].[MOC Call Activity DayOfWeek].[All]" dimensionUniqueName="[MOCActivityDate]" displayFolder="" count="0" unbalanced="0"/>
    <cacheHierarchy uniqueName="[MOCActivityDate].[MOC Call Activity DayOfWeekName]" caption="MOC Call Activity DayOfWeekName" attribute="1" defaultMemberUniqueName="[MOCActivityDate].[MOC Call Activity DayOfWeekName].[All]" allUniqueName="[MOCActivityDate].[MOC Call Activity DayOfWeekName].[All]" dimensionUniqueName="[MOCActivityDate]" displayFolder="" count="0" unbalanced="0"/>
    <cacheHierarchy uniqueName="[MOCActivityDate].[MOC Call Activity DayOfYear]" caption="MOC Call Activity DayOfYear" attribute="1" defaultMemberUniqueName="[MOCActivityDate].[MOC Call Activity DayOfYear].[All]" allUniqueName="[MOCActivityDate].[MOC Call Activity DayOfYear].[All]" dimensionUniqueName="[MOCActivityDate]" displayFolder="" count="0" unbalanced="0"/>
    <cacheHierarchy uniqueName="[MOCActivityDate].[MOC Call Activity HolidayInd]" caption="MOC Call Activity HolidayInd" attribute="1" defaultMemberUniqueName="[MOCActivityDate].[MOC Call Activity HolidayInd].[All]" allUniqueName="[MOCActivityDate].[MOC Call Activity HolidayInd].[All]" dimensionUniqueName="[MOCActivityDate]" displayFolder="" count="0" unbalanced="0"/>
    <cacheHierarchy uniqueName="[MOCActivityDate].[MOC Call Activity HolidayName]" caption="MOC Call Activity HolidayName" attribute="1" defaultMemberUniqueName="[MOCActivityDate].[MOC Call Activity HolidayName].[All]" allUniqueName="[MOCActivityDate].[MOC Call Activity HolidayName].[All]" dimensionUniqueName="[MOCActivityDate]" displayFolder="" count="0" unbalanced="0"/>
    <cacheHierarchy uniqueName="[MOCActivityDate].[MOC Call Activity LastDateOfMonth]" caption="MOC Call Activity LastDateOfMonth" attribute="1" defaultMemberUniqueName="[MOCActivityDate].[MOC Call Activity LastDateOfMonth].[All]" allUniqueName="[MOCActivityDate].[MOC Call Activity LastDateOfMonth].[All]" dimensionUniqueName="[MOCActivityDate]" displayFolder="" count="0" unbalanced="0"/>
    <cacheHierarchy uniqueName="[MOCActivityDate].[MOC Call Activity LastDayOfMonthIndicator]" caption="MOC Call Activity LastDayOfMonthIndicator" attribute="1" defaultMemberUniqueName="[MOCActivityDate].[MOC Call Activity LastDayOfMonthIndicator].[All]" allUniqueName="[MOCActivityDate].[MOC Call Activity LastDayOfMonthIndicator].[All]" dimensionUniqueName="[MOCActivityDate]" displayFolder="" count="0" unbalanced="0"/>
    <cacheHierarchy uniqueName="[MOCActivityDate].[MOC Call Activity Month]" caption="MOC Call Activity Month" attribute="1" defaultMemberUniqueName="[MOCActivityDate].[MOC Call Activity Month].[All]" allUniqueName="[MOCActivityDate].[MOC Call Activity Month].[All]" dimensionUniqueName="[MOCActivityDate]" displayFolder="" count="0" unbalanced="0"/>
    <cacheHierarchy uniqueName="[MOCActivityDate].[MOC Call Activity MonthNbr]" caption="MOC Call Activity MonthNbr" attribute="1" defaultMemberUniqueName="[MOCActivityDate].[MOC Call Activity MonthNbr].[All]" allUniqueName="[MOCActivityDate].[MOC Call Activity MonthNbr].[All]" dimensionUniqueName="[MOCActivityDate]" displayFolder="" count="0" unbalanced="0"/>
    <cacheHierarchy uniqueName="[MOCActivityDate].[MOC Call Activity Plan Month and Year]" caption="MOC Call Activity Plan Month and Year" attribute="1" defaultMemberUniqueName="[MOCActivityDate].[MOC Call Activity Plan Month and Year].[All]" allUniqueName="[MOCActivityDate].[MOC Call Activity Plan Month and Year].[All]" dimensionUniqueName="[MOCActivityDate]" displayFolder="" count="0" unbalanced="0"/>
    <cacheHierarchy uniqueName="[MOCActivityDate].[MOC Call Activity Plan Month Number]" caption="MOC Call Activity Plan Month Number" attribute="1" defaultMemberUniqueName="[MOCActivityDate].[MOC Call Activity Plan Month Number].[All]" allUniqueName="[MOCActivityDate].[MOC Call Activity Plan Month Number].[All]" dimensionUniqueName="[MOCActivityDate]" displayFolder="" count="0" unbalanced="0"/>
    <cacheHierarchy uniqueName="[MOCActivityDate].[MOC Call Activity Plan Quarter Number]" caption="MOC Call Activity Plan Quarter Number" attribute="1" defaultMemberUniqueName="[MOCActivityDate].[MOC Call Activity Plan Quarter Number].[All]" allUniqueName="[MOCActivityDate].[MOC Call Activity Plan Quarter Number].[All]" dimensionUniqueName="[MOCActivityDate]" displayFolder="" count="0" unbalanced="0"/>
    <cacheHierarchy uniqueName="[MOCActivityDate].[MOC Call Activity PQ]" caption="MOC Call Activity PQ" attribute="1" defaultMemberUniqueName="[MOCActivityDate].[MOC Call Activity PQ].[All]" allUniqueName="[MOCActivityDate].[MOC Call Activity PQ].[All]" dimensionUniqueName="[MOCActivityDate]" displayFolder="" count="0" unbalanced="0"/>
    <cacheHierarchy uniqueName="[MOCActivityDate].[MOC Call Activity PY]" caption="MOC Call Activity PY" attribute="1" defaultMemberUniqueName="[MOCActivityDate].[MOC Call Activity PY].[All]" allUniqueName="[MOCActivityDate].[MOC Call Activity PY].[All]" dimensionUniqueName="[MOCActivityDate]" displayFolder="" count="0" unbalanced="0"/>
    <cacheHierarchy uniqueName="[MOCActivityDate].[MOC Call Activity Qtr]" caption="MOC Call Activity Qtr" attribute="1" defaultMemberUniqueName="[MOCActivityDate].[MOC Call Activity Qtr].[All]" allUniqueName="[MOCActivityDate].[MOC Call Activity Qtr].[All]" dimensionUniqueName="[MOCActivityDate]" displayFolder="" count="0" unbalanced="0"/>
    <cacheHierarchy uniqueName="[MOCActivityDate].[MOC Call Activity Semester]" caption="MOC Call Activity Semester" attribute="1" defaultMemberUniqueName="[MOCActivityDate].[MOC Call Activity Semester].[All]" allUniqueName="[MOCActivityDate].[MOC Call Activity Semester].[All]" dimensionUniqueName="[MOCActivityDate]" displayFolder="" count="0" unbalanced="0"/>
    <cacheHierarchy uniqueName="[MOCActivityDate].[MOC Call Activity WeekdayWeekend]" caption="MOC Call Activity WeekdayWeekend" attribute="1" defaultMemberUniqueName="[MOCActivityDate].[MOC Call Activity WeekdayWeekend].[All]" allUniqueName="[MOCActivityDate].[MOC Call Activity WeekdayWeekend].[All]" dimensionUniqueName="[MOCActivityDate]" displayFolder="" count="0" unbalanced="0"/>
    <cacheHierarchy uniqueName="[MOCActivityDate].[MOC Call Activity WeekOfMonth]" caption="MOC Call Activity WeekOfMonth" attribute="1" defaultMemberUniqueName="[MOCActivityDate].[MOC Call Activity WeekOfMonth].[All]" allUniqueName="[MOCActivityDate].[MOC Call Activity WeekOfMonth].[All]" dimensionUniqueName="[MOCActivityDate]" displayFolder="" count="0" unbalanced="0"/>
    <cacheHierarchy uniqueName="[MOCActivityDate].[MOC Call Activity WeekOfYear]" caption="MOC Call Activity WeekOfYear" attribute="1" defaultMemberUniqueName="[MOCActivityDate].[MOC Call Activity WeekOfYear].[All]" allUniqueName="[MOCActivityDate].[MOC Call Activity WeekOfYear].[All]" dimensionUniqueName="[MOCActivityDate]" displayFolder="" count="0" unbalanced="0"/>
    <cacheHierarchy uniqueName="[MOCActivityDate].[MOC Call Activity WorkingDayInd]" caption="MOC Call Activity WorkingDayInd" attribute="1" defaultMemberUniqueName="[MOCActivityDate].[MOC Call Activity WorkingDayInd].[All]" allUniqueName="[MOCActivityDate].[MOC Call Activity WorkingDayInd].[All]" dimensionUniqueName="[MOCActivityDate]" displayFolder="" count="0" unbalanced="0"/>
    <cacheHierarchy uniqueName="[MOCActivityDate].[MOC Call Activity Year]" caption="MOC Call Activity Year" attribute="1" defaultMemberUniqueName="[MOCActivityDate].[MOC Call Activity Year].[All]" allUniqueName="[MOCActivityDate].[MOC Call Activity Year].[All]" dimensionUniqueName="[MOCActivityDate]" displayFolder="" count="0" unbalanced="0"/>
    <cacheHierarchy uniqueName="[MOCActivityDate].[MOC Call Activity YearMonthAsInteger]" caption="MOC Call Activity YearMonthAsInteger" attribute="1" defaultMemberUniqueName="[MOCActivityDate].[MOC Call Activity YearMonthAsInteger].[All]" allUniqueName="[MOCActivityDate].[MOC Call Activity YearMonthAsInteger].[All]" dimensionUniqueName="[MOCActivityDate]" displayFolder="" count="0" unbalanced="0"/>
    <cacheHierarchy uniqueName="[MOCActivityDate].[MOC Call Activity YearQuarterAsInteger]" caption="MOC Call Activity YearQuarterAsInteger" attribute="1" defaultMemberUniqueName="[MOCActivityDate].[MOC Call Activity YearQuarterAsInteger].[All]" allUniqueName="[MOCActivityDate].[MOC Call Activity YearQuarterAsInteger].[All]" dimensionUniqueName="[MOCActivityDate]" displayFolder="" count="0" unbalanced="0"/>
    <cacheHierarchy uniqueName="[MOCActivityDate].[MOC Call Activity YearSemesterAsInteger]" caption="MOC Call Activity YearSemesterAsInteger" attribute="1" defaultMemberUniqueName="[MOCActivityDate].[MOC Call Activity YearSemesterAsInteger].[All]" allUniqueName="[MOCActivityDate].[MOC Call Activity YearSemesterAsInteger].[All]" dimensionUniqueName="[MOCActivityDate]" displayFolder="" count="0" unbalanced="0"/>
    <cacheHierarchy uniqueName="[MOCAssessmentDate].[Datekey]" caption="Datekey" attribute="1" defaultMemberUniqueName="[MOCAssessmentDate].[Datekey].[All]" allUniqueName="[MOCAssessmentDate].[Datekey].[All]" dimensionUniqueName="[MOCAssessmentDate]" displayFolder="" count="0" unbalanced="0"/>
    <cacheHierarchy uniqueName="[MOCAssessmentDate].[HierMOCAssessDatePY]" caption="HierMOCAssessDatePY" defaultMemberUniqueName="[MOCAssessmentDate].[HierMOCAssessDatePY].[All]" allUniqueName="[MOCAssessmentDate].[HierMOCAssessDatePY].[All]" dimensionUniqueName="[MOCAssessmentDate]" displayFolder="" count="4" unbalanced="0"/>
    <cacheHierarchy uniqueName="[MOCAssessmentDate].[HierMOCAssessDateYear]" caption="HierMOCAssessDateYear" defaultMemberUniqueName="[MOCAssessmentDate].[HierMOCAssessDateYear].[All]" allUniqueName="[MOCAssessmentDate].[HierMOCAssessDateYear].[All]" dimensionUniqueName="[MOCAssessmentDate]" displayFolder="" count="4" unbalanced="0"/>
    <cacheHierarchy uniqueName="[MOCAssessmentDate].[MOC Call Assessment Date]" caption="MOC Call Assessment Date" attribute="1" defaultMemberUniqueName="[MOCAssessmentDate].[MOC Call Assessment Date].[All]" allUniqueName="[MOCAssessmentDate].[MOC Call Assessment Date].[All]" dimensionUniqueName="[MOCAssessmentDate]" displayFolder="" count="0" unbalanced="0"/>
    <cacheHierarchy uniqueName="[MOCAssessmentDate].[MOC Call Assessment DayOfMonth]" caption="MOC Call Assessment DayOfMonth" attribute="1" defaultMemberUniqueName="[MOCAssessmentDate].[MOC Call Assessment DayOfMonth].[All]" allUniqueName="[MOCAssessmentDate].[MOC Call Assessment DayOfMonth].[All]" dimensionUniqueName="[MOCAssessmentDate]" displayFolder="" count="0" unbalanced="0"/>
    <cacheHierarchy uniqueName="[MOCAssessmentDate].[MOC Call Assessment DayOfWeek]" caption="MOC Call Assessment DayOfWeek" attribute="1" defaultMemberUniqueName="[MOCAssessmentDate].[MOC Call Assessment DayOfWeek].[All]" allUniqueName="[MOCAssessmentDate].[MOC Call Assessment DayOfWeek].[All]" dimensionUniqueName="[MOCAssessmentDate]" displayFolder="" count="0" unbalanced="0"/>
    <cacheHierarchy uniqueName="[MOCAssessmentDate].[MOC Call Assessment DayOfWeekName]" caption="MOC Call Assessment DayOfWeekName" attribute="1" defaultMemberUniqueName="[MOCAssessmentDate].[MOC Call Assessment DayOfWeekName].[All]" allUniqueName="[MOCAssessmentDate].[MOC Call Assessment DayOfWeekName].[All]" dimensionUniqueName="[MOCAssessmentDate]" displayFolder="" count="0" unbalanced="0"/>
    <cacheHierarchy uniqueName="[MOCAssessmentDate].[MOC Call Assessment DayOfYear]" caption="MOC Call Assessment DayOfYear" attribute="1" defaultMemberUniqueName="[MOCAssessmentDate].[MOC Call Assessment DayOfYear].[All]" allUniqueName="[MOCAssessmentDate].[MOC Call Assessment DayOfYear].[All]" dimensionUniqueName="[MOCAssessmentDate]" displayFolder="" count="0" unbalanced="0"/>
    <cacheHierarchy uniqueName="[MOCAssessmentDate].[MOC Call Assessment HolidayInd]" caption="MOC Call Assessment HolidayInd" attribute="1" defaultMemberUniqueName="[MOCAssessmentDate].[MOC Call Assessment HolidayInd].[All]" allUniqueName="[MOCAssessmentDate].[MOC Call Assessment HolidayInd].[All]" dimensionUniqueName="[MOCAssessmentDate]" displayFolder="" count="0" unbalanced="0"/>
    <cacheHierarchy uniqueName="[MOCAssessmentDate].[MOC Call Assessment HolidayName]" caption="MOC Call Assessment HolidayName" attribute="1" defaultMemberUniqueName="[MOCAssessmentDate].[MOC Call Assessment HolidayName].[All]" allUniqueName="[MOCAssessmentDate].[MOC Call Assessment HolidayName].[All]" dimensionUniqueName="[MOCAssessmentDate]" displayFolder="" count="0" unbalanced="0"/>
    <cacheHierarchy uniqueName="[MOCAssessmentDate].[MOC Call Assessment LastDateOfMonth]" caption="MOC Call Assessment LastDateOfMonth" attribute="1" defaultMemberUniqueName="[MOCAssessmentDate].[MOC Call Assessment LastDateOfMonth].[All]" allUniqueName="[MOCAssessmentDate].[MOC Call Assessment LastDateOfMonth].[All]" dimensionUniqueName="[MOCAssessmentDate]" displayFolder="" count="0" unbalanced="0"/>
    <cacheHierarchy uniqueName="[MOCAssessmentDate].[MOC Call Assessment LastDayOfMonthIndicator]" caption="MOC Call Assessment LastDayOfMonthIndicator" attribute="1" defaultMemberUniqueName="[MOCAssessmentDate].[MOC Call Assessment LastDayOfMonthIndicator].[All]" allUniqueName="[MOCAssessmentDate].[MOC Call Assessment LastDayOfMonthIndicator].[All]" dimensionUniqueName="[MOCAssessmentDate]" displayFolder="" count="0" unbalanced="0"/>
    <cacheHierarchy uniqueName="[MOCAssessmentDate].[MOC Call Assessment Month]" caption="MOC Call Assessment Month" attribute="1" defaultMemberUniqueName="[MOCAssessmentDate].[MOC Call Assessment Month].[All]" allUniqueName="[MOCAssessmentDate].[MOC Call Assessment Month].[All]" dimensionUniqueName="[MOCAssessmentDate]" displayFolder="" count="0" unbalanced="0"/>
    <cacheHierarchy uniqueName="[MOCAssessmentDate].[MOC Call Assessment MonthNbr]" caption="MOC Call Assessment MonthNbr" attribute="1" defaultMemberUniqueName="[MOCAssessmentDate].[MOC Call Assessment MonthNbr].[All]" allUniqueName="[MOCAssessmentDate].[MOC Call Assessment MonthNbr].[All]" dimensionUniqueName="[MOCAssessmentDate]" displayFolder="" count="0" unbalanced="0"/>
    <cacheHierarchy uniqueName="[MOCAssessmentDate].[MOC Call Assessment Plan Month and Year]" caption="MOC Call Assessment Plan Month and Year" attribute="1" defaultMemberUniqueName="[MOCAssessmentDate].[MOC Call Assessment Plan Month and Year].[All]" allUniqueName="[MOCAssessmentDate].[MOC Call Assessment Plan Month and Year].[All]" dimensionUniqueName="[MOCAssessmentDate]" displayFolder="" count="0" unbalanced="0"/>
    <cacheHierarchy uniqueName="[MOCAssessmentDate].[MOC Call Assessment Plan Month Number]" caption="MOC Call Assessment Plan Month Number" attribute="1" defaultMemberUniqueName="[MOCAssessmentDate].[MOC Call Assessment Plan Month Number].[All]" allUniqueName="[MOCAssessmentDate].[MOC Call Assessment Plan Month Number].[All]" dimensionUniqueName="[MOCAssessmentDate]" displayFolder="" count="0" unbalanced="0"/>
    <cacheHierarchy uniqueName="[MOCAssessmentDate].[MOC Call Assessment Plan Quarter Number]" caption="MOC Call Assessment Plan Quarter Number" attribute="1" defaultMemberUniqueName="[MOCAssessmentDate].[MOC Call Assessment Plan Quarter Number].[All]" allUniqueName="[MOCAssessmentDate].[MOC Call Assessment Plan Quarter Number].[All]" dimensionUniqueName="[MOCAssessmentDate]" displayFolder="" count="0" unbalanced="0"/>
    <cacheHierarchy uniqueName="[MOCAssessmentDate].[MOC Call Assessment PQ]" caption="MOC Call Assessment PQ" attribute="1" defaultMemberUniqueName="[MOCAssessmentDate].[MOC Call Assessment PQ].[All]" allUniqueName="[MOCAssessmentDate].[MOC Call Assessment PQ].[All]" dimensionUniqueName="[MOCAssessmentDate]" displayFolder="" count="0" unbalanced="0"/>
    <cacheHierarchy uniqueName="[MOCAssessmentDate].[MOC Call Assessment PY]" caption="MOC Call Assessment PY" attribute="1" defaultMemberUniqueName="[MOCAssessmentDate].[MOC Call Assessment PY].[All]" allUniqueName="[MOCAssessmentDate].[MOC Call Assessment PY].[All]" dimensionUniqueName="[MOCAssessmentDate]" displayFolder="" count="0" unbalanced="0"/>
    <cacheHierarchy uniqueName="[MOCAssessmentDate].[MOC Call Assessment Qtr]" caption="MOC Call Assessment Qtr" attribute="1" defaultMemberUniqueName="[MOCAssessmentDate].[MOC Call Assessment Qtr].[All]" allUniqueName="[MOCAssessmentDate].[MOC Call Assessment Qtr].[All]" dimensionUniqueName="[MOCAssessmentDate]" displayFolder="" count="0" unbalanced="0"/>
    <cacheHierarchy uniqueName="[MOCAssessmentDate].[MOC Call Assessment Semester]" caption="MOC Call Assessment Semester" attribute="1" defaultMemberUniqueName="[MOCAssessmentDate].[MOC Call Assessment Semester].[All]" allUniqueName="[MOCAssessmentDate].[MOC Call Assessment Semester].[All]" dimensionUniqueName="[MOCAssessmentDate]" displayFolder="" count="0" unbalanced="0"/>
    <cacheHierarchy uniqueName="[MOCAssessmentDate].[MOC Call Assessment WeekdayWeekend]" caption="MOC Call Assessment WeekdayWeekend" attribute="1" defaultMemberUniqueName="[MOCAssessmentDate].[MOC Call Assessment WeekdayWeekend].[All]" allUniqueName="[MOCAssessmentDate].[MOC Call Assessment WeekdayWeekend].[All]" dimensionUniqueName="[MOCAssessmentDate]" displayFolder="" count="0" unbalanced="0"/>
    <cacheHierarchy uniqueName="[MOCAssessmentDate].[MOC Call Assessment WeekOfMonth]" caption="MOC Call Assessment WeekOfMonth" attribute="1" defaultMemberUniqueName="[MOCAssessmentDate].[MOC Call Assessment WeekOfMonth].[All]" allUniqueName="[MOCAssessmentDate].[MOC Call Assessment WeekOfMonth].[All]" dimensionUniqueName="[MOCAssessmentDate]" displayFolder="" count="0" unbalanced="0"/>
    <cacheHierarchy uniqueName="[MOCAssessmentDate].[MOC Call Assessment WeekOfYear]" caption="MOC Call Assessment WeekOfYear" attribute="1" defaultMemberUniqueName="[MOCAssessmentDate].[MOC Call Assessment WeekOfYear].[All]" allUniqueName="[MOCAssessmentDate].[MOC Call Assessment WeekOfYear].[All]" dimensionUniqueName="[MOCAssessmentDate]" displayFolder="" count="0" unbalanced="0"/>
    <cacheHierarchy uniqueName="[MOCAssessmentDate].[MOC Call Assessment WorkingDayInd]" caption="MOC Call Assessment WorkingDayInd" attribute="1" defaultMemberUniqueName="[MOCAssessmentDate].[MOC Call Assessment WorkingDayInd].[All]" allUniqueName="[MOCAssessmentDate].[MOC Call Assessment WorkingDayInd].[All]" dimensionUniqueName="[MOCAssessmentDate]" displayFolder="" count="0" unbalanced="0"/>
    <cacheHierarchy uniqueName="[MOCAssessmentDate].[MOC Call Assessment Year]" caption="MOC Call Assessment Year" attribute="1" defaultMemberUniqueName="[MOCAssessmentDate].[MOC Call Assessment Year].[All]" allUniqueName="[MOCAssessmentDate].[MOC Call Assessment Year].[All]" dimensionUniqueName="[MOCAssessmentDate]" displayFolder="" count="0" unbalanced="0"/>
    <cacheHierarchy uniqueName="[MOCAssessmentDate].[MOC Call Assessment YearMonthAsInteger]" caption="MOC Call Assessment YearMonthAsInteger" attribute="1" defaultMemberUniqueName="[MOCAssessmentDate].[MOC Call Assessment YearMonthAsInteger].[All]" allUniqueName="[MOCAssessmentDate].[MOC Call Assessment YearMonthAsInteger].[All]" dimensionUniqueName="[MOCAssessmentDate]" displayFolder="" count="0" unbalanced="0"/>
    <cacheHierarchy uniqueName="[MOCAssessmentDate].[MOC Call Assessment YearQuarterAsInteger]" caption="MOC Call Assessment YearQuarterAsInteger" attribute="1" defaultMemberUniqueName="[MOCAssessmentDate].[MOC Call Assessment YearQuarterAsInteger].[All]" allUniqueName="[MOCAssessmentDate].[MOC Call Assessment YearQuarterAsInteger].[All]" dimensionUniqueName="[MOCAssessmentDate]" displayFolder="" count="0" unbalanced="0"/>
    <cacheHierarchy uniqueName="[MOCAssessmentDate].[MOC Call Assessment YearSemesterAsInteger]" caption="MOC Call Assessment YearSemesterAsInteger" attribute="1" defaultMemberUniqueName="[MOCAssessmentDate].[MOC Call Assessment YearSemesterAsInteger].[All]" allUniqueName="[MOCAssessmentDate].[MOC Call Assessment YearSemesterAsInteger].[All]" dimensionUniqueName="[MOCAssessmentDate]" displayFolder="" count="0" unbalanced="0"/>
    <cacheHierarchy uniqueName="[MOCEventDate].[Datekey]" caption="Datekey" attribute="1" defaultMemberUniqueName="[MOCEventDate].[Datekey].[All]" allUniqueName="[MOCEventDate].[Datekey].[All]" dimensionUniqueName="[MOCEventDate]" displayFolder="" count="0" unbalanced="0"/>
    <cacheHierarchy uniqueName="[MOCEventDate].[HierMOCEventDatePY]" caption="HierMOCEventDatePY" defaultMemberUniqueName="[MOCEventDate].[HierMOCEventDatePY].[All]" allUniqueName="[MOCEventDate].[HierMOCEventDatePY].[All]" dimensionUniqueName="[MOCEventDate]" displayFolder="" count="4" unbalanced="0"/>
    <cacheHierarchy uniqueName="[MOCEventDate].[HierMOCEventDateYear]" caption="HierMOCEventDateYear" defaultMemberUniqueName="[MOCEventDate].[HierMOCEventDateYear].[All]" allUniqueName="[MOCEventDate].[HierMOCEventDateYear].[All]" dimensionUniqueName="[MOCEventDate]" displayFolder="" count="4" unbalanced="0"/>
    <cacheHierarchy uniqueName="[MOCEventDate].[MOC Call Event Date]" caption="MOC Call Event Date" attribute="1" defaultMemberUniqueName="[MOCEventDate].[MOC Call Event Date].[All]" allUniqueName="[MOCEventDate].[MOC Call Event Date].[All]" dimensionUniqueName="[MOCEventDate]" displayFolder="" count="0" unbalanced="0"/>
    <cacheHierarchy uniqueName="[MOCEventDate].[MOC Call Event DayOfMonth]" caption="MOC Call Event DayOfMonth" attribute="1" defaultMemberUniqueName="[MOCEventDate].[MOC Call Event DayOfMonth].[All]" allUniqueName="[MOCEventDate].[MOC Call Event DayOfMonth].[All]" dimensionUniqueName="[MOCEventDate]" displayFolder="" count="0" unbalanced="0"/>
    <cacheHierarchy uniqueName="[MOCEventDate].[MOC Call Event DayOfWeek]" caption="MOC Call Event DayOfWeek" attribute="1" defaultMemberUniqueName="[MOCEventDate].[MOC Call Event DayOfWeek].[All]" allUniqueName="[MOCEventDate].[MOC Call Event DayOfWeek].[All]" dimensionUniqueName="[MOCEventDate]" displayFolder="" count="0" unbalanced="0"/>
    <cacheHierarchy uniqueName="[MOCEventDate].[MOC Call Event DayOfWeekName]" caption="MOC Call Event DayOfWeekName" attribute="1" defaultMemberUniqueName="[MOCEventDate].[MOC Call Event DayOfWeekName].[All]" allUniqueName="[MOCEventDate].[MOC Call Event DayOfWeekName].[All]" dimensionUniqueName="[MOCEventDate]" displayFolder="" count="0" unbalanced="0"/>
    <cacheHierarchy uniqueName="[MOCEventDate].[MOC Call Event DayOfYear]" caption="MOC Call Event DayOfYear" attribute="1" defaultMemberUniqueName="[MOCEventDate].[MOC Call Event DayOfYear].[All]" allUniqueName="[MOCEventDate].[MOC Call Event DayOfYear].[All]" dimensionUniqueName="[MOCEventDate]" displayFolder="" count="0" unbalanced="0"/>
    <cacheHierarchy uniqueName="[MOCEventDate].[MOC Call Event HolidayInd]" caption="MOC Call Event HolidayInd" attribute="1" defaultMemberUniqueName="[MOCEventDate].[MOC Call Event HolidayInd].[All]" allUniqueName="[MOCEventDate].[MOC Call Event HolidayInd].[All]" dimensionUniqueName="[MOCEventDate]" displayFolder="" count="0" unbalanced="0"/>
    <cacheHierarchy uniqueName="[MOCEventDate].[MOC Call Event HolidayName]" caption="MOC Call Event HolidayName" attribute="1" defaultMemberUniqueName="[MOCEventDate].[MOC Call Event HolidayName].[All]" allUniqueName="[MOCEventDate].[MOC Call Event HolidayName].[All]" dimensionUniqueName="[MOCEventDate]" displayFolder="" count="0" unbalanced="0"/>
    <cacheHierarchy uniqueName="[MOCEventDate].[MOC Call Event LastDateOfMonth]" caption="MOC Call Event LastDateOfMonth" attribute="1" defaultMemberUniqueName="[MOCEventDate].[MOC Call Event LastDateOfMonth].[All]" allUniqueName="[MOCEventDate].[MOC Call Event LastDateOfMonth].[All]" dimensionUniqueName="[MOCEventDate]" displayFolder="" count="0" unbalanced="0"/>
    <cacheHierarchy uniqueName="[MOCEventDate].[MOC Call Event LastDayOfMonthIndicator]" caption="MOC Call Event LastDayOfMonthIndicator" attribute="1" defaultMemberUniqueName="[MOCEventDate].[MOC Call Event LastDayOfMonthIndicator].[All]" allUniqueName="[MOCEventDate].[MOC Call Event LastDayOfMonthIndicator].[All]" dimensionUniqueName="[MOCEventDate]" displayFolder="" count="0" unbalanced="0"/>
    <cacheHierarchy uniqueName="[MOCEventDate].[MOC Call Event Month]" caption="MOC Call Event Month" attribute="1" defaultMemberUniqueName="[MOCEventDate].[MOC Call Event Month].[All]" allUniqueName="[MOCEventDate].[MOC Call Event Month].[All]" dimensionUniqueName="[MOCEventDate]" displayFolder="" count="0" unbalanced="0"/>
    <cacheHierarchy uniqueName="[MOCEventDate].[MOC Call Event MonthNbr]" caption="MOC Call Event MonthNbr" attribute="1" defaultMemberUniqueName="[MOCEventDate].[MOC Call Event MonthNbr].[All]" allUniqueName="[MOCEventDate].[MOC Call Event MonthNbr].[All]" dimensionUniqueName="[MOCEventDate]" displayFolder="" count="0" unbalanced="0"/>
    <cacheHierarchy uniqueName="[MOCEventDate].[MOC Call Event Plan Month and Year]" caption="MOC Call Event Plan Month and Year" attribute="1" defaultMemberUniqueName="[MOCEventDate].[MOC Call Event Plan Month and Year].[All]" allUniqueName="[MOCEventDate].[MOC Call Event Plan Month and Year].[All]" dimensionUniqueName="[MOCEventDate]" displayFolder="" count="0" unbalanced="0"/>
    <cacheHierarchy uniqueName="[MOCEventDate].[MOC Call Event Plan Month Number]" caption="MOC Call Event Plan Month Number" attribute="1" defaultMemberUniqueName="[MOCEventDate].[MOC Call Event Plan Month Number].[All]" allUniqueName="[MOCEventDate].[MOC Call Event Plan Month Number].[All]" dimensionUniqueName="[MOCEventDate]" displayFolder="" count="0" unbalanced="0"/>
    <cacheHierarchy uniqueName="[MOCEventDate].[MOC Call Event Plan Quarter Number]" caption="MOC Call Event Plan Quarter Number" attribute="1" defaultMemberUniqueName="[MOCEventDate].[MOC Call Event Plan Quarter Number].[All]" allUniqueName="[MOCEventDate].[MOC Call Event Plan Quarter Number].[All]" dimensionUniqueName="[MOCEventDate]" displayFolder="" count="0" unbalanced="0"/>
    <cacheHierarchy uniqueName="[MOCEventDate].[MOC Call Event PQ]" caption="MOC Call Event PQ" attribute="1" defaultMemberUniqueName="[MOCEventDate].[MOC Call Event PQ].[All]" allUniqueName="[MOCEventDate].[MOC Call Event PQ].[All]" dimensionUniqueName="[MOCEventDate]" displayFolder="" count="0" unbalanced="0"/>
    <cacheHierarchy uniqueName="[MOCEventDate].[MOC Call Event PY]" caption="MOC Call Event PY" attribute="1" defaultMemberUniqueName="[MOCEventDate].[MOC Call Event PY].[All]" allUniqueName="[MOCEventDate].[MOC Call Event PY].[All]" dimensionUniqueName="[MOCEventDate]" displayFolder="" count="0" unbalanced="0"/>
    <cacheHierarchy uniqueName="[MOCEventDate].[MOC Call Event Qtr]" caption="MOC Call Event Qtr" attribute="1" defaultMemberUniqueName="[MOCEventDate].[MOC Call Event Qtr].[All]" allUniqueName="[MOCEventDate].[MOC Call Event Qtr].[All]" dimensionUniqueName="[MOCEventDate]" displayFolder="" count="0" unbalanced="0"/>
    <cacheHierarchy uniqueName="[MOCEventDate].[MOC Call Event Semester]" caption="MOC Call Event Semester" attribute="1" defaultMemberUniqueName="[MOCEventDate].[MOC Call Event Semester].[All]" allUniqueName="[MOCEventDate].[MOC Call Event Semester].[All]" dimensionUniqueName="[MOCEventDate]" displayFolder="" count="0" unbalanced="0"/>
    <cacheHierarchy uniqueName="[MOCEventDate].[MOC Call Event WeekdayWeekend]" caption="MOC Call Event WeekdayWeekend" attribute="1" defaultMemberUniqueName="[MOCEventDate].[MOC Call Event WeekdayWeekend].[All]" allUniqueName="[MOCEventDate].[MOC Call Event WeekdayWeekend].[All]" dimensionUniqueName="[MOCEventDate]" displayFolder="" count="0" unbalanced="0"/>
    <cacheHierarchy uniqueName="[MOCEventDate].[MOC Call Event WeekOfMonth]" caption="MOC Call Event WeekOfMonth" attribute="1" defaultMemberUniqueName="[MOCEventDate].[MOC Call Event WeekOfMonth].[All]" allUniqueName="[MOCEventDate].[MOC Call Event WeekOfMonth].[All]" dimensionUniqueName="[MOCEventDate]" displayFolder="" count="0" unbalanced="0"/>
    <cacheHierarchy uniqueName="[MOCEventDate].[MOC Call Event WeekOfYear]" caption="MOC Call Event WeekOfYear" attribute="1" defaultMemberUniqueName="[MOCEventDate].[MOC Call Event WeekOfYear].[All]" allUniqueName="[MOCEventDate].[MOC Call Event WeekOfYear].[All]" dimensionUniqueName="[MOCEventDate]" displayFolder="" count="0" unbalanced="0"/>
    <cacheHierarchy uniqueName="[MOCEventDate].[MOC Call Event WorkingDayInd]" caption="MOC Call Event WorkingDayInd" attribute="1" defaultMemberUniqueName="[MOCEventDate].[MOC Call Event WorkingDayInd].[All]" allUniqueName="[MOCEventDate].[MOC Call Event WorkingDayInd].[All]" dimensionUniqueName="[MOCEventDate]" displayFolder="" count="0" unbalanced="0"/>
    <cacheHierarchy uniqueName="[MOCEventDate].[MOC Call Event Year]" caption="MOC Call Event Year" attribute="1" defaultMemberUniqueName="[MOCEventDate].[MOC Call Event Year].[All]" allUniqueName="[MOCEventDate].[MOC Call Event Year].[All]" dimensionUniqueName="[MOCEventDate]" displayFolder="" count="0" unbalanced="0"/>
    <cacheHierarchy uniqueName="[MOCEventDate].[MOC Call Event YearMonthAsInteger]" caption="MOC Call Event YearMonthAsInteger" attribute="1" defaultMemberUniqueName="[MOCEventDate].[MOC Call Event YearMonthAsInteger].[All]" allUniqueName="[MOCEventDate].[MOC Call Event YearMonthAsInteger].[All]" dimensionUniqueName="[MOCEventDate]" displayFolder="" count="0" unbalanced="0"/>
    <cacheHierarchy uniqueName="[MOCEventDate].[MOC Call Event YearQuarterAsInteger]" caption="MOC Call Event YearQuarterAsInteger" attribute="1" defaultMemberUniqueName="[MOCEventDate].[MOC Call Event YearQuarterAsInteger].[All]" allUniqueName="[MOCEventDate].[MOC Call Event YearQuarterAsInteger].[All]" dimensionUniqueName="[MOCEventDate]" displayFolder="" count="0" unbalanced="0"/>
    <cacheHierarchy uniqueName="[MOCEventDate].[MOC Call Event YearSemesterAsInteger]" caption="MOC Call Event YearSemesterAsInteger" attribute="1" defaultMemberUniqueName="[MOCEventDate].[MOC Call Event YearSemesterAsInteger].[All]" allUniqueName="[MOCEventDate].[MOC Call Event YearSemesterAsInteger].[All]" dimensionUniqueName="[MOCEventDate]" displayFolder="" count="0" unbalanced="0"/>
    <cacheHierarchy uniqueName="[PMTInstallDate].[HierPMTInstallDatePY]" caption="HierPMTInstallDatePY" defaultMemberUniqueName="[PMTInstallDate].[HierPMTInstallDatePY].[All]" allUniqueName="[PMTInstallDate].[HierPMTInstallDatePY].[All]" dimensionUniqueName="[PMTInstallDate]" displayFolder="" count="4" unbalanced="0"/>
    <cacheHierarchy uniqueName="[PMTInstallDate].[HierPMTInstallDateYear]" caption="HierPMTInstallDateYear" defaultMemberUniqueName="[PMTInstallDate].[HierPMTInstallDateYear].[All]" allUniqueName="[PMTInstallDate].[HierPMTInstallDateYear].[All]" dimensionUniqueName="[PMTInstallDate]" displayFolder="" count="4" unbalanced="0"/>
    <cacheHierarchy uniqueName="[PMTInstallDate].[PMT Install Date]" caption="PMT Install Date" attribute="1" defaultMemberUniqueName="[PMTInstallDate].[PMT Install Date].[All]" allUniqueName="[PMTInstallDate].[PMT Install Date].[All]" dimensionUniqueName="[PMTInstallDate]" displayFolder="" count="0" unbalanced="0"/>
    <cacheHierarchy uniqueName="[PMTInstallDate].[PMT Install Day Of Year]" caption="PMT Install Day Of Year" attribute="1" defaultMemberUniqueName="[PMTInstallDate].[PMT Install Day Of Year].[All]" allUniqueName="[PMTInstallDate].[PMT Install Day Of Year].[All]" dimensionUniqueName="[PMTInstallDate]" displayFolder="" count="0" unbalanced="0"/>
    <cacheHierarchy uniqueName="[PMTInstallDate].[PMT Install DayOfMonth]" caption="PMT Install DayOfMonth" attribute="1" defaultMemberUniqueName="[PMTInstallDate].[PMT Install DayOfMonth].[All]" allUniqueName="[PMTInstallDate].[PMT Install DayOfMonth].[All]" dimensionUniqueName="[PMTInstallDate]" displayFolder="" count="0" unbalanced="0"/>
    <cacheHierarchy uniqueName="[PMTInstallDate].[PMT Install DayOfWeek]" caption="PMT Install DayOfWeek" attribute="1" defaultMemberUniqueName="[PMTInstallDate].[PMT Install DayOfWeek].[All]" allUniqueName="[PMTInstallDate].[PMT Install DayOfWeek].[All]" dimensionUniqueName="[PMTInstallDate]" displayFolder="" count="0" unbalanced="0"/>
    <cacheHierarchy uniqueName="[PMTInstallDate].[PMT Install DayOfWeekName]" caption="PMT Install DayOfWeekName" attribute="1" defaultMemberUniqueName="[PMTInstallDate].[PMT Install DayOfWeekName].[All]" allUniqueName="[PMTInstallDate].[PMT Install DayOfWeekName].[All]" dimensionUniqueName="[PMTInstallDate]" displayFolder="" count="0" unbalanced="0"/>
    <cacheHierarchy uniqueName="[PMTInstallDate].[PMT Install HolidayInd]" caption="PMT Install HolidayInd" attribute="1" defaultMemberUniqueName="[PMTInstallDate].[PMT Install HolidayInd].[All]" allUniqueName="[PMTInstallDate].[PMT Install HolidayInd].[All]" dimensionUniqueName="[PMTInstallDate]" displayFolder="" count="0" unbalanced="0"/>
    <cacheHierarchy uniqueName="[PMTInstallDate].[PMT Install HolidayName]" caption="PMT Install HolidayName" attribute="1" defaultMemberUniqueName="[PMTInstallDate].[PMT Install HolidayName].[All]" allUniqueName="[PMTInstallDate].[PMT Install HolidayName].[All]" dimensionUniqueName="[PMTInstallDate]" displayFolder="" count="0" unbalanced="0"/>
    <cacheHierarchy uniqueName="[PMTInstallDate].[PMT Install LastDateOfMonth]" caption="PMT Install LastDateOfMonth" attribute="1" defaultMemberUniqueName="[PMTInstallDate].[PMT Install LastDateOfMonth].[All]" allUniqueName="[PMTInstallDate].[PMT Install LastDateOfMonth].[All]" dimensionUniqueName="[PMTInstallDate]" displayFolder="" count="0" unbalanced="0"/>
    <cacheHierarchy uniqueName="[PMTInstallDate].[PMT Install LastDayOfMonthIndicator]" caption="PMT Install LastDayOfMonthIndicator" attribute="1" defaultMemberUniqueName="[PMTInstallDate].[PMT Install LastDayOfMonthIndicator].[All]" allUniqueName="[PMTInstallDate].[PMT Install LastDayOfMonthIndicator].[All]" dimensionUniqueName="[PMTInstallDate]" displayFolder="" count="0" unbalanced="0"/>
    <cacheHierarchy uniqueName="[PMTInstallDate].[PMT Install Month]" caption="PMT Install Month" attribute="1" defaultMemberUniqueName="[PMTInstallDate].[PMT Install Month].[All]" allUniqueName="[PMTInstallDate].[PMT Install Month].[All]" dimensionUniqueName="[PMTInstallDate]" displayFolder="" count="0" unbalanced="0"/>
    <cacheHierarchy uniqueName="[PMTInstallDate].[PMT Install MonthNbr]" caption="PMT Install MonthNbr" attribute="1" defaultMemberUniqueName="[PMTInstallDate].[PMT Install MonthNbr].[All]" allUniqueName="[PMTInstallDate].[PMT Install MonthNbr].[All]" dimensionUniqueName="[PMTInstallDate]" displayFolder="" count="0" unbalanced="0"/>
    <cacheHierarchy uniqueName="[PMTInstallDate].[PMT Install Plan Month and Year]" caption="PMT Install Plan Month and Year" attribute="1" defaultMemberUniqueName="[PMTInstallDate].[PMT Install Plan Month and Year].[All]" allUniqueName="[PMTInstallDate].[PMT Install Plan Month and Year].[All]" dimensionUniqueName="[PMTInstallDate]" displayFolder="" count="0" unbalanced="0"/>
    <cacheHierarchy uniqueName="[PMTInstallDate].[PMT Install Plan Month Number]" caption="PMT Install Plan Month Number" attribute="1" defaultMemberUniqueName="[PMTInstallDate].[PMT Install Plan Month Number].[All]" allUniqueName="[PMTInstallDate].[PMT Install Plan Month Number].[All]" dimensionUniqueName="[PMTInstallDate]" displayFolder="" count="0" unbalanced="0"/>
    <cacheHierarchy uniqueName="[PMTInstallDate].[PMT Install PQ]" caption="PMT Install PQ" attribute="1" defaultMemberUniqueName="[PMTInstallDate].[PMT Install PQ].[All]" allUniqueName="[PMTInstallDate].[PMT Install PQ].[All]" dimensionUniqueName="[PMTInstallDate]" displayFolder="" count="0" unbalanced="0"/>
    <cacheHierarchy uniqueName="[PMTInstallDate].[PMT Install PY]" caption="PMT Install PY" attribute="1" defaultMemberUniqueName="[PMTInstallDate].[PMT Install PY].[All]" allUniqueName="[PMTInstallDate].[PMT Install PY].[All]" dimensionUniqueName="[PMTInstallDate]" displayFolder="" count="0" unbalanced="0"/>
    <cacheHierarchy uniqueName="[PMTInstallDate].[PMT Install Qtr]" caption="PMT Install Qtr" attribute="1" defaultMemberUniqueName="[PMTInstallDate].[PMT Install Qtr].[All]" allUniqueName="[PMTInstallDate].[PMT Install Qtr].[All]" dimensionUniqueName="[PMTInstallDate]" displayFolder="" count="0" unbalanced="0"/>
    <cacheHierarchy uniqueName="[PMTInstallDate].[PMT Install Semester]" caption="PMT Install Semester" attribute="1" defaultMemberUniqueName="[PMTInstallDate].[PMT Install Semester].[All]" allUniqueName="[PMTInstallDate].[PMT Install Semester].[All]" dimensionUniqueName="[PMTInstallDate]" displayFolder="" count="0" unbalanced="0"/>
    <cacheHierarchy uniqueName="[PMTInstallDate].[PMT Install WeekdayWeekend]" caption="PMT Install WeekdayWeekend" attribute="1" defaultMemberUniqueName="[PMTInstallDate].[PMT Install WeekdayWeekend].[All]" allUniqueName="[PMTInstallDate].[PMT Install WeekdayWeekend].[All]" dimensionUniqueName="[PMTInstallDate]" displayFolder="" count="0" unbalanced="0"/>
    <cacheHierarchy uniqueName="[PMTInstallDate].[PMT Install WeekOfMonth]" caption="PMT Install WeekOfMonth" attribute="1" defaultMemberUniqueName="[PMTInstallDate].[PMT Install WeekOfMonth].[All]" allUniqueName="[PMTInstallDate].[PMT Install WeekOfMonth].[All]" dimensionUniqueName="[PMTInstallDate]" displayFolder="" count="0" unbalanced="0"/>
    <cacheHierarchy uniqueName="[PMTInstallDate].[PMT Install WeekOfYear]" caption="PMT Install WeekOfYear" attribute="1" defaultMemberUniqueName="[PMTInstallDate].[PMT Install WeekOfYear].[All]" allUniqueName="[PMTInstallDate].[PMT Install WeekOfYear].[All]" dimensionUniqueName="[PMTInstallDate]" displayFolder="" count="0" unbalanced="0"/>
    <cacheHierarchy uniqueName="[PMTInstallDate].[PMT Install WorkingDayInd]" caption="PMT Install WorkingDayInd" attribute="1" defaultMemberUniqueName="[PMTInstallDate].[PMT Install WorkingDayInd].[All]" allUniqueName="[PMTInstallDate].[PMT Install WorkingDayInd].[All]" dimensionUniqueName="[PMTInstallDate]" displayFolder="" count="0" unbalanced="0"/>
    <cacheHierarchy uniqueName="[PMTInstallDate].[PMT Install Year]" caption="PMT Install Year" attribute="1" defaultMemberUniqueName="[PMTInstallDate].[PMT Install Year].[All]" allUniqueName="[PMTInstallDate].[PMT Install Year].[All]" dimensionUniqueName="[PMTInstallDate]" displayFolder="" count="0" unbalanced="0"/>
    <cacheHierarchy uniqueName="[PMTInstallDate].[PMT Install YearMonthAsInteger]" caption="PMT Install YearMonthAsInteger" attribute="1" defaultMemberUniqueName="[PMTInstallDate].[PMT Install YearMonthAsInteger].[All]" allUniqueName="[PMTInstallDate].[PMT Install YearMonthAsInteger].[All]" dimensionUniqueName="[PMTInstallDate]" displayFolder="" count="0" unbalanced="0"/>
    <cacheHierarchy uniqueName="[PMTInstallDate].[PMT Install YearQuarterAsInteger]" caption="PMT Install YearQuarterAsInteger" attribute="1" defaultMemberUniqueName="[PMTInstallDate].[PMT Install YearQuarterAsInteger].[All]" allUniqueName="[PMTInstallDate].[PMT Install YearQuarterAsInteger].[All]" dimensionUniqueName="[PMTInstallDate]" displayFolder="" count="0" unbalanced="0"/>
    <cacheHierarchy uniqueName="[PMTInstallDate].[PMT Install YearSemesterAsInteger]" caption="PMT Install YearSemesterAsInteger" attribute="1" defaultMemberUniqueName="[PMTInstallDate].[PMT Install YearSemesterAsInteger].[All]" allUniqueName="[PMTInstallDate].[PMT Install YearSemesterAsInteger].[All]" dimensionUniqueName="[PMTInstallDate]" displayFolder="" count="0" unbalanced="0"/>
    <cacheHierarchy uniqueName="[PMTInvoiceDate].[HierPMTInvoiceDatePY]" caption="HierPMTInvoiceDatePY" defaultMemberUniqueName="[PMTInvoiceDate].[HierPMTInvoiceDatePY].[All]" allUniqueName="[PMTInvoiceDate].[HierPMTInvoiceDatePY].[All]" dimensionUniqueName="[PMTInvoiceDate]" displayFolder="" count="4" unbalanced="0"/>
    <cacheHierarchy uniqueName="[PMTInvoiceDate].[HierPMTInvoiceDateYear]" caption="HierPMTInvoiceDateYear" defaultMemberUniqueName="[PMTInvoiceDate].[HierPMTInvoiceDateYear].[All]" allUniqueName="[PMTInvoiceDate].[HierPMTInvoiceDateYear].[All]" dimensionUniqueName="[PMTInvoiceDate]" displayFolder="" count="4" unbalanced="0"/>
    <cacheHierarchy uniqueName="[PMTInvoiceDate].[PMT Invoice Date]" caption="PMT Invoice Date" attribute="1" defaultMemberUniqueName="[PMTInvoiceDate].[PMT Invoice Date].[All]" allUniqueName="[PMTInvoiceDate].[PMT Invoice Date].[All]" dimensionUniqueName="[PMTInvoiceDate]" displayFolder="" count="0" unbalanced="0"/>
    <cacheHierarchy uniqueName="[PMTInvoiceDate].[PMT Invoice DayOfMonth]" caption="PMT Invoice DayOfMonth" attribute="1" defaultMemberUniqueName="[PMTInvoiceDate].[PMT Invoice DayOfMonth].[All]" allUniqueName="[PMTInvoiceDate].[PMT Invoice DayOfMonth].[All]" dimensionUniqueName="[PMTInvoiceDate]" displayFolder="" count="0" unbalanced="0"/>
    <cacheHierarchy uniqueName="[PMTInvoiceDate].[PMT Invoice DayOfWeek]" caption="PMT Invoice DayOfWeek" attribute="1" defaultMemberUniqueName="[PMTInvoiceDate].[PMT Invoice DayOfWeek].[All]" allUniqueName="[PMTInvoiceDate].[PMT Invoice DayOfWeek].[All]" dimensionUniqueName="[PMTInvoiceDate]" displayFolder="" count="0" unbalanced="0"/>
    <cacheHierarchy uniqueName="[PMTInvoiceDate].[PMT Invoice DayOfWeekName]" caption="PMT Invoice DayOfWeekName" attribute="1" defaultMemberUniqueName="[PMTInvoiceDate].[PMT Invoice DayOfWeekName].[All]" allUniqueName="[PMTInvoiceDate].[PMT Invoice DayOfWeekName].[All]" dimensionUniqueName="[PMTInvoiceDate]" displayFolder="" count="0" unbalanced="0"/>
    <cacheHierarchy uniqueName="[PMTInvoiceDate].[PMT Invoice DayOfYear]" caption="PMT Invoice DayOfYear" attribute="1" defaultMemberUniqueName="[PMTInvoiceDate].[PMT Invoice DayOfYear].[All]" allUniqueName="[PMTInvoiceDate].[PMT Invoice DayOfYear].[All]" dimensionUniqueName="[PMTInvoiceDate]" displayFolder="" count="0" unbalanced="0"/>
    <cacheHierarchy uniqueName="[PMTInvoiceDate].[PMT Invoice HolidayInd]" caption="PMT Invoice HolidayInd" attribute="1" defaultMemberUniqueName="[PMTInvoiceDate].[PMT Invoice HolidayInd].[All]" allUniqueName="[PMTInvoiceDate].[PMT Invoice HolidayInd].[All]" dimensionUniqueName="[PMTInvoiceDate]" displayFolder="" count="0" unbalanced="0"/>
    <cacheHierarchy uniqueName="[PMTInvoiceDate].[PMT Invoice HolidayName]" caption="PMT Invoice HolidayName" attribute="1" defaultMemberUniqueName="[PMTInvoiceDate].[PMT Invoice HolidayName].[All]" allUniqueName="[PMTInvoiceDate].[PMT Invoice HolidayName].[All]" dimensionUniqueName="[PMTInvoiceDate]" displayFolder="" count="0" unbalanced="0"/>
    <cacheHierarchy uniqueName="[PMTInvoiceDate].[PMT Invoice LastDateOfMonth]" caption="PMT Invoice LastDateOfMonth" attribute="1" defaultMemberUniqueName="[PMTInvoiceDate].[PMT Invoice LastDateOfMonth].[All]" allUniqueName="[PMTInvoiceDate].[PMT Invoice LastDateOfMonth].[All]" dimensionUniqueName="[PMTInvoiceDate]" displayFolder="" count="0" unbalanced="0"/>
    <cacheHierarchy uniqueName="[PMTInvoiceDate].[PMT Invoice LastDayOfMonthIndicator]" caption="PMT Invoice LastDayOfMonthIndicator" attribute="1" defaultMemberUniqueName="[PMTInvoiceDate].[PMT Invoice LastDayOfMonthIndicator].[All]" allUniqueName="[PMTInvoiceDate].[PMT Invoice LastDayOfMonthIndicator].[All]" dimensionUniqueName="[PMTInvoiceDate]" displayFolder="" count="0" unbalanced="0"/>
    <cacheHierarchy uniqueName="[PMTInvoiceDate].[PMT Invoice Month]" caption="PMT Invoice Month" attribute="1" defaultMemberUniqueName="[PMTInvoiceDate].[PMT Invoice Month].[All]" allUniqueName="[PMTInvoiceDate].[PMT Invoice Month].[All]" dimensionUniqueName="[PMTInvoiceDate]" displayFolder="" count="0" unbalanced="0"/>
    <cacheHierarchy uniqueName="[PMTInvoiceDate].[PMT Invoice MonthNbr]" caption="PMT Invoice MonthNbr" attribute="1" defaultMemberUniqueName="[PMTInvoiceDate].[PMT Invoice MonthNbr].[All]" allUniqueName="[PMTInvoiceDate].[PMT Invoice MonthNbr].[All]" dimensionUniqueName="[PMTInvoiceDate]" displayFolder="" count="0" unbalanced="0"/>
    <cacheHierarchy uniqueName="[PMTInvoiceDate].[PMT Invoice Plan Month and Year]" caption="PMT Invoice Plan Month and Year" attribute="1" defaultMemberUniqueName="[PMTInvoiceDate].[PMT Invoice Plan Month and Year].[All]" allUniqueName="[PMTInvoiceDate].[PMT Invoice Plan Month and Year].[All]" dimensionUniqueName="[PMTInvoiceDate]" displayFolder="" count="0" unbalanced="0"/>
    <cacheHierarchy uniqueName="[PMTInvoiceDate].[PMT Invoice Plan Month Number]" caption="PMT Invoice Plan Month Number" attribute="1" defaultMemberUniqueName="[PMTInvoiceDate].[PMT Invoice Plan Month Number].[All]" allUniqueName="[PMTInvoiceDate].[PMT Invoice Plan Month Number].[All]" dimensionUniqueName="[PMTInvoiceDate]" displayFolder="" count="0" unbalanced="0"/>
    <cacheHierarchy uniqueName="[PMTInvoiceDate].[PMT Invoice Plan Quarter Number]" caption="PMT Invoice Plan Quarter Number" attribute="1" defaultMemberUniqueName="[PMTInvoiceDate].[PMT Invoice Plan Quarter Number].[All]" allUniqueName="[PMTInvoiceDate].[PMT Invoice Plan Quarter Number].[All]" dimensionUniqueName="[PMTInvoiceDate]" displayFolder="" count="0" unbalanced="0"/>
    <cacheHierarchy uniqueName="[PMTInvoiceDate].[PMT Invoice PY]" caption="PMT Invoice PY" attribute="1" defaultMemberUniqueName="[PMTInvoiceDate].[PMT Invoice PY].[All]" allUniqueName="[PMTInvoiceDate].[PMT Invoice PY].[All]" dimensionUniqueName="[PMTInvoiceDate]" displayFolder="" count="0" unbalanced="0"/>
    <cacheHierarchy uniqueName="[PMTInvoiceDate].[PMT Invoice Qtr]" caption="PMT Invoice Qtr" attribute="1" defaultMemberUniqueName="[PMTInvoiceDate].[PMT Invoice Qtr].[All]" allUniqueName="[PMTInvoiceDate].[PMT Invoice Qtr].[All]" dimensionUniqueName="[PMTInvoiceDate]" displayFolder="" count="0" unbalanced="0"/>
    <cacheHierarchy uniqueName="[PMTInvoiceDate].[PMT Invoice Semester]" caption="PMT Invoice Semester" attribute="1" defaultMemberUniqueName="[PMTInvoiceDate].[PMT Invoice Semester].[All]" allUniqueName="[PMTInvoiceDate].[PMT Invoice Semester].[All]" dimensionUniqueName="[PMTInvoiceDate]" displayFolder="" count="0" unbalanced="0"/>
    <cacheHierarchy uniqueName="[PMTInvoiceDate].[PMT Invoice WeekdayWeekend]" caption="PMT Invoice WeekdayWeekend" attribute="1" defaultMemberUniqueName="[PMTInvoiceDate].[PMT Invoice WeekdayWeekend].[All]" allUniqueName="[PMTInvoiceDate].[PMT Invoice WeekdayWeekend].[All]" dimensionUniqueName="[PMTInvoiceDate]" displayFolder="" count="0" unbalanced="0"/>
    <cacheHierarchy uniqueName="[PMTInvoiceDate].[PMT Invoice WeekOfMonth]" caption="PMT Invoice WeekOfMonth" attribute="1" defaultMemberUniqueName="[PMTInvoiceDate].[PMT Invoice WeekOfMonth].[All]" allUniqueName="[PMTInvoiceDate].[PMT Invoice WeekOfMonth].[All]" dimensionUniqueName="[PMTInvoiceDate]" displayFolder="" count="0" unbalanced="0"/>
    <cacheHierarchy uniqueName="[PMTInvoiceDate].[PMT Invoice WeekOfYear]" caption="PMT Invoice WeekOfYear" attribute="1" defaultMemberUniqueName="[PMTInvoiceDate].[PMT Invoice WeekOfYear].[All]" allUniqueName="[PMTInvoiceDate].[PMT Invoice WeekOfYear].[All]" dimensionUniqueName="[PMTInvoiceDate]" displayFolder="" count="0" unbalanced="0"/>
    <cacheHierarchy uniqueName="[PMTInvoiceDate].[PMT Invoice WorkingDayInd]" caption="PMT Invoice WorkingDayInd" attribute="1" defaultMemberUniqueName="[PMTInvoiceDate].[PMT Invoice WorkingDayInd].[All]" allUniqueName="[PMTInvoiceDate].[PMT Invoice WorkingDayInd].[All]" dimensionUniqueName="[PMTInvoiceDate]" displayFolder="" count="0" unbalanced="0"/>
    <cacheHierarchy uniqueName="[PMTInvoiceDate].[PMT Invoice Year]" caption="PMT Invoice Year" attribute="1" defaultMemberUniqueName="[PMTInvoiceDate].[PMT Invoice Year].[All]" allUniqueName="[PMTInvoiceDate].[PMT Invoice Year].[All]" dimensionUniqueName="[PMTInvoiceDate]" displayFolder="" count="0" unbalanced="0"/>
    <cacheHierarchy uniqueName="[PMTInvoiceDate].[PMT Invoice YearMonthAsInteger]" caption="PMT Invoice YearMonthAsInteger" attribute="1" defaultMemberUniqueName="[PMTInvoiceDate].[PMT Invoice YearMonthAsInteger].[All]" allUniqueName="[PMTInvoiceDate].[PMT Invoice YearMonthAsInteger].[All]" dimensionUniqueName="[PMTInvoiceDate]" displayFolder="" count="0" unbalanced="0"/>
    <cacheHierarchy uniqueName="[PMTInvoiceDate].[PMT Invoice YearQuarterAsInteger]" caption="PMT Invoice YearQuarterAsInteger" attribute="1" defaultMemberUniqueName="[PMTInvoiceDate].[PMT Invoice YearQuarterAsInteger].[All]" allUniqueName="[PMTInvoiceDate].[PMT Invoice YearQuarterAsInteger].[All]" dimensionUniqueName="[PMTInvoiceDate]" displayFolder="" count="0" unbalanced="0"/>
    <cacheHierarchy uniqueName="[PMTInvoiceDate].[PMT Invoice YearSemesterAsInteger]" caption="PMT Invoice YearSemesterAsInteger" attribute="1" defaultMemberUniqueName="[PMTInvoiceDate].[PMT Invoice YearSemesterAsInteger].[All]" allUniqueName="[PMTInvoiceDate].[PMT Invoice YearSemesterAsInteger].[All]" dimensionUniqueName="[PMTInvoiceDate]" displayFolder="" count="0" unbalanced="0"/>
    <cacheHierarchy uniqueName="[PMTProject_Contact_Contact].[PMT Contact  Bday Date]" caption="PMT Contact  Bday Date" attribute="1" defaultMemberUniqueName="[PMTProject_Contact_Contact].[PMT Contact  Bday Date].[All]" allUniqueName="[PMTProject_Contact_Contact].[PMT Contact  Bday Date].[All]" dimensionUniqueName="[PMTProject_Contact_Contact]" displayFolder="" count="0" unbalanced="0"/>
    <cacheHierarchy uniqueName="[PMTProject_Contact_Contact].[PMT Contact A44 Contact Indicator]" caption="PMT Contact A44 Contact Indicator" attribute="1" defaultMemberUniqueName="[PMTProject_Contact_Contact].[PMT Contact A44 Contact Indicator].[All]" allUniqueName="[PMTProject_Contact_Contact].[PMT Contact A44 Contact Indicator].[All]" dimensionUniqueName="[PMTProject_Contact_Contact]" displayFolder="" count="0" unbalanced="0"/>
    <cacheHierarchy uniqueName="[PMTProject_Contact_Contact].[PMT Contact Address1]" caption="PMT Contact Address1" attribute="1" defaultMemberUniqueName="[PMTProject_Contact_Contact].[PMT Contact Address1].[All]" allUniqueName="[PMTProject_Contact_Contact].[PMT Contact Address1].[All]" dimensionUniqueName="[PMTProject_Contact_Contact]" displayFolder="" count="0" unbalanced="0"/>
    <cacheHierarchy uniqueName="[PMTProject_Contact_Contact].[PMT Contact Address2]" caption="PMT Contact Address2" attribute="1" defaultMemberUniqueName="[PMTProject_Contact_Contact].[PMT Contact Address2].[All]" allUniqueName="[PMTProject_Contact_Contact].[PMT Contact Address2].[All]" dimensionUniqueName="[PMTProject_Contact_Contact]" displayFolder="" count="0" unbalanced="0"/>
    <cacheHierarchy uniqueName="[PMTProject_Contact_Contact].[PMT Contact Cell Phone Number]" caption="PMT Contact Cell Phone Number" attribute="1" defaultMemberUniqueName="[PMTProject_Contact_Contact].[PMT Contact Cell Phone Number].[All]" allUniqueName="[PMTProject_Contact_Contact].[PMT Contact Cell Phone Number].[All]" dimensionUniqueName="[PMTProject_Contact_Contact]" displayFolder="" count="0" unbalanced="0"/>
    <cacheHierarchy uniqueName="[PMTProject_Contact_Contact].[PMT Contact City Name]" caption="PMT Contact City Name" attribute="1" defaultMemberUniqueName="[PMTProject_Contact_Contact].[PMT Contact City Name].[All]" allUniqueName="[PMTProject_Contact_Contact].[PMT Contact City Name].[All]" dimensionUniqueName="[PMTProject_Contact_Contact]" displayFolder="" count="0" unbalanced="0"/>
    <cacheHierarchy uniqueName="[PMTProject_Contact_Contact].[PMT Contact Company Code]" caption="PMT Contact Company Code" attribute="1" defaultMemberUniqueName="[PMTProject_Contact_Contact].[PMT Contact Company Code].[All]" allUniqueName="[PMTProject_Contact_Contact].[PMT Contact Company Code].[All]" dimensionUniqueName="[PMTProject_Contact_Contact]" displayFolder="" count="0" unbalanced="0"/>
    <cacheHierarchy uniqueName="[PMTProject_Contact_Contact].[PMT Contact Company Description]" caption="PMT Contact Company Description" attribute="1" defaultMemberUniqueName="[PMTProject_Contact_Contact].[PMT Contact Company Description].[All]" allUniqueName="[PMTProject_Contact_Contact].[PMT Contact Company Description].[All]" dimensionUniqueName="[PMTProject_Contact_Contact]" displayFolder="" count="0" unbalanced="0"/>
    <cacheHierarchy uniqueName="[PMTProject_Contact_Contact].[PMT Contact Contact LastService Wk Date]" caption="PMT Contact Contact LastService Wk Date" attribute="1" defaultMemberUniqueName="[PMTProject_Contact_Contact].[PMT Contact Contact LastService Wk Date].[All]" allUniqueName="[PMTProject_Contact_Contact].[PMT Contact Contact LastService Wk Date].[All]" dimensionUniqueName="[PMTProject_Contact_Contact]" displayFolder="" count="0" unbalanced="0"/>
    <cacheHierarchy uniqueName="[PMTProject_Contact_Contact].[PMT Contact Do Not Email Indicator]" caption="PMT Contact Do Not Email Indicator" attribute="1" defaultMemberUniqueName="[PMTProject_Contact_Contact].[PMT Contact Do Not Email Indicator].[All]" allUniqueName="[PMTProject_Contact_Contact].[PMT Contact Do Not Email Indicator].[All]" dimensionUniqueName="[PMTProject_Contact_Contact]" displayFolder="" count="0" unbalanced="0"/>
    <cacheHierarchy uniqueName="[PMTProject_Contact_Contact].[PMT Contact Do Not Mail Indicator]" caption="PMT Contact Do Not Mail Indicator" attribute="1" defaultMemberUniqueName="[PMTProject_Contact_Contact].[PMT Contact Do Not Mail Indicator].[All]" allUniqueName="[PMTProject_Contact_Contact].[PMT Contact Do Not Mail Indicator].[All]" dimensionUniqueName="[PMTProject_Contact_Contact]" displayFolder="" count="0" unbalanced="0"/>
    <cacheHierarchy uniqueName="[PMTProject_Contact_Contact].[PMT Contact Email Address]" caption="PMT Contact Email Address" attribute="1" defaultMemberUniqueName="[PMTProject_Contact_Contact].[PMT Contact Email Address].[All]" allUniqueName="[PMTProject_Contact_Contact].[PMT Contact Email Address].[All]" dimensionUniqueName="[PMTProject_Contact_Contact]" displayFolder="" count="0" unbalanced="0"/>
    <cacheHierarchy uniqueName="[PMTProject_Contact_Contact].[PMT Contact Email OptOut Code]" caption="PMT Contact Email OptOut Code" attribute="1" defaultMemberUniqueName="[PMTProject_Contact_Contact].[PMT Contact Email OptOut Code].[All]" allUniqueName="[PMTProject_Contact_Contact].[PMT Contact Email OptOut Code].[All]" dimensionUniqueName="[PMTProject_Contact_Contact]" displayFolder="" count="0" unbalanced="0"/>
    <cacheHierarchy uniqueName="[PMTProject_Contact_Contact].[PMT Contact Email OptOut Description]" caption="PMT Contact Email OptOut Description" attribute="1" defaultMemberUniqueName="[PMTProject_Contact_Contact].[PMT Contact Email OptOut Description].[All]" allUniqueName="[PMTProject_Contact_Contact].[PMT Contact Email OptOut Description].[All]" dimensionUniqueName="[PMTProject_Contact_Contact]" displayFolder="" count="0" unbalanced="0"/>
    <cacheHierarchy uniqueName="[PMTProject_Contact_Contact].[PMT Contact FAX Number]" caption="PMT Contact FAX Number" attribute="1" defaultMemberUniqueName="[PMTProject_Contact_Contact].[PMT Contact FAX Number].[All]" allUniqueName="[PMTProject_Contact_Contact].[PMT Contact FAX Number].[All]" dimensionUniqueName="[PMTProject_Contact_Contact]" displayFolder="" count="0" unbalanced="0"/>
    <cacheHierarchy uniqueName="[PMTProject_Contact_Contact].[PMT Contact Home Phone Number]" caption="PMT Contact Home Phone Number" attribute="1" defaultMemberUniqueName="[PMTProject_Contact_Contact].[PMT Contact Home Phone Number].[All]" allUniqueName="[PMTProject_Contact_Contact].[PMT Contact Home Phone Number].[All]" dimensionUniqueName="[PMTProject_Contact_Contact]" displayFolder="" count="0" unbalanced="0"/>
    <cacheHierarchy uniqueName="[PMTProject_Contact_Contact].[PMT Contact Invalid Email Code]" caption="PMT Contact Invalid Email Code" attribute="1" defaultMemberUniqueName="[PMTProject_Contact_Contact].[PMT Contact Invalid Email Code].[All]" allUniqueName="[PMTProject_Contact_Contact].[PMT Contact Invalid Email Code].[All]" dimensionUniqueName="[PMTProject_Contact_Contact]" displayFolder="" count="0" unbalanced="0"/>
    <cacheHierarchy uniqueName="[PMTProject_Contact_Contact].[PMT Contact Other Phone Number]" caption="PMT Contact Other Phone Number" attribute="1" defaultMemberUniqueName="[PMTProject_Contact_Contact].[PMT Contact Other Phone Number].[All]" allUniqueName="[PMTProject_Contact_Contact].[PMT Contact Other Phone Number].[All]" dimensionUniqueName="[PMTProject_Contact_Contact]" displayFolder="" count="0" unbalanced="0"/>
    <cacheHierarchy uniqueName="[PMTProject_Contact_Contact].[PMT Contact Person Or Business Code]" caption="PMT Contact Person Or Business Code" attribute="1" defaultMemberUniqueName="[PMTProject_Contact_Contact].[PMT Contact Person Or Business Code].[All]" allUniqueName="[PMTProject_Contact_Contact].[PMT Contact Person Or Business Code].[All]" dimensionUniqueName="[PMTProject_Contact_Contact]" displayFolder="" count="0" unbalanced="0"/>
    <cacheHierarchy uniqueName="[PMTProject_Contact_Contact].[PMT Contact Person Or Business First Name]" caption="PMT Contact Person Or Business First Name" attribute="1" defaultMemberUniqueName="[PMTProject_Contact_Contact].[PMT Contact Person Or Business First Name].[All]" allUniqueName="[PMTProject_Contact_Contact].[PMT Contact Person Or Business First Name].[All]" dimensionUniqueName="[PMTProject_Contact_Contact]" displayFolder="" count="0" unbalanced="0"/>
    <cacheHierarchy uniqueName="[PMTProject_Contact_Contact].[PMT Contact Person Or Business Last Name]" caption="PMT Contact Person Or Business Last Name" attribute="1" defaultMemberUniqueName="[PMTProject_Contact_Contact].[PMT Contact Person Or Business Last Name].[All]" allUniqueName="[PMTProject_Contact_Contact].[PMT Contact Person Or Business Last Name].[All]" dimensionUniqueName="[PMTProject_Contact_Contact]" displayFolder="" count="0" unbalanced="0"/>
    <cacheHierarchy uniqueName="[PMTProject_Contact_Contact].[PMT Contact PersonID]" caption="PMT Contact PersonID" attribute="1" defaultMemberUniqueName="[PMTProject_Contact_Contact].[PMT Contact PersonID].[All]" allUniqueName="[PMTProject_Contact_Contact].[PMT Contact PersonID].[All]" dimensionUniqueName="[PMTProject_Contact_Contact]" displayFolder="" count="0" unbalanced="0"/>
    <cacheHierarchy uniqueName="[PMTProject_Contact_Contact].[PMT Contact Position Code]" caption="PMT Contact Position Code" attribute="1" defaultMemberUniqueName="[PMTProject_Contact_Contact].[PMT Contact Position Code].[All]" allUniqueName="[PMTProject_Contact_Contact].[PMT Contact Position Code].[All]" dimensionUniqueName="[PMTProject_Contact_Contact]" displayFolder="" count="0" unbalanced="0"/>
    <cacheHierarchy uniqueName="[PMTProject_Contact_Contact].[PMT Contact Position Description]" caption="PMT Contact Position Description" attribute="1" defaultMemberUniqueName="[PMTProject_Contact_Contact].[PMT Contact Position Description].[All]" allUniqueName="[PMTProject_Contact_Contact].[PMT Contact Position Description].[All]" dimensionUniqueName="[PMTProject_Contact_Contact]" displayFolder="" count="0" unbalanced="0"/>
    <cacheHierarchy uniqueName="[PMTProject_Contact_Contact].[PMT Contact Postal Code]" caption="PMT Contact Postal Code" attribute="1" defaultMemberUniqueName="[PMTProject_Contact_Contact].[PMT Contact Postal Code].[All]" allUniqueName="[PMTProject_Contact_Contact].[PMT Contact Postal Code].[All]" dimensionUniqueName="[PMTProject_Contact_Contact]" displayFolder="" count="0" unbalanced="0"/>
    <cacheHierarchy uniqueName="[PMTProject_Contact_Contact].[PMT Contact Priority Code]" caption="PMT Contact Priority Code" attribute="1" defaultMemberUniqueName="[PMTProject_Contact_Contact].[PMT Contact Priority Code].[All]" allUniqueName="[PMTProject_Contact_Contact].[PMT Contact Priority Code].[All]" dimensionUniqueName="[PMTProject_Contact_Contact]" displayFolder="" count="0" unbalanced="0"/>
    <cacheHierarchy uniqueName="[PMTProject_Contact_Contact].[PMT Contact Priority Description]" caption="PMT Contact Priority Description" attribute="1" defaultMemberUniqueName="[PMTProject_Contact_Contact].[PMT Contact Priority Description].[All]" allUniqueName="[PMTProject_Contact_Contact].[PMT Contact Priority Description].[All]" dimensionUniqueName="[PMTProject_Contact_Contact]" displayFolder="" count="0" unbalanced="0"/>
    <cacheHierarchy uniqueName="[PMTProject_Contact_Contact].[PMT Contact Referred By]" caption="PMT Contact Referred By" attribute="1" defaultMemberUniqueName="[PMTProject_Contact_Contact].[PMT Contact Referred By].[All]" allUniqueName="[PMTProject_Contact_Contact].[PMT Contact Referred By].[All]" dimensionUniqueName="[PMTProject_Contact_Contact]" displayFolder="" count="0" unbalanced="0"/>
    <cacheHierarchy uniqueName="[PMTProject_Contact_Contact].[PMT Contact Salesforce MOC ContactID]" caption="PMT Contact Salesforce MOC ContactID" attribute="1" defaultMemberUniqueName="[PMTProject_Contact_Contact].[PMT Contact Salesforce MOC ContactID].[All]" allUniqueName="[PMTProject_Contact_Contact].[PMT Contact Salesforce MOC ContactID].[All]" dimensionUniqueName="[PMTProject_Contact_Contact]" displayFolder="" count="0" unbalanced="0"/>
    <cacheHierarchy uniqueName="[PMTProject_Contact_Contact].[PMT Contact Source System]" caption="PMT Contact Source System" attribute="1" defaultMemberUniqueName="[PMTProject_Contact_Contact].[PMT Contact Source System].[All]" allUniqueName="[PMTProject_Contact_Contact].[PMT Contact Source System].[All]" dimensionUniqueName="[PMTProject_Contact_Contact]" displayFolder="" count="0" unbalanced="0"/>
    <cacheHierarchy uniqueName="[PMTProject_Contact_Contact].[PMT Contact State Code]" caption="PMT Contact State Code" attribute="1" defaultMemberUniqueName="[PMTProject_Contact_Contact].[PMT Contact State Code].[All]" allUniqueName="[PMTProject_Contact_Contact].[PMT Contact State Code].[All]" dimensionUniqueName="[PMTProject_Contact_Contact]" displayFolder="" count="0" unbalanced="0"/>
    <cacheHierarchy uniqueName="[PMTProject_Contact_Contact].[PMT Contact Title]" caption="PMT Contact Title" attribute="1" defaultMemberUniqueName="[PMTProject_Contact_Contact].[PMT Contact Title].[All]" allUniqueName="[PMTProject_Contact_Contact].[PMT Contact Title].[All]" dimensionUniqueName="[PMTProject_Contact_Contact]" displayFolder="" count="0" unbalanced="0"/>
    <cacheHierarchy uniqueName="[PMTProject_Contact_Contact].[PMT Contact Type Code]" caption="PMT Contact Type Code" attribute="1" defaultMemberUniqueName="[PMTProject_Contact_Contact].[PMT Contact Type Code].[All]" allUniqueName="[PMTProject_Contact_Contact].[PMT Contact Type Code].[All]" dimensionUniqueName="[PMTProject_Contact_Contact]" displayFolder="" count="0" unbalanced="0"/>
    <cacheHierarchy uniqueName="[PMTProject_Contact_Contact].[PMT Contact Type Description]" caption="PMT Contact Type Description" attribute="1" defaultMemberUniqueName="[PMTProject_Contact_Contact].[PMT Contact Type Description].[All]" allUniqueName="[PMTProject_Contact_Contact].[PMT Contact Type Description].[All]" dimensionUniqueName="[PMTProject_Contact_Contact]" displayFolder="" count="0" unbalanced="0"/>
    <cacheHierarchy uniqueName="[PMTProject_Contact_Contact].[PMT Contact Unique Business Key]" caption="PMT Contact Unique Business Key" attribute="1" defaultMemberUniqueName="[PMTProject_Contact_Contact].[PMT Contact Unique Business Key].[All]" allUniqueName="[PMTProject_Contact_Contact].[PMT Contact Unique Business Key].[All]" dimensionUniqueName="[PMTProject_Contact_Contact]" displayFolder="" count="0" unbalanced="0"/>
    <cacheHierarchy uniqueName="[PMTProject_Contact_Contact].[PMT Contact Unique Contact Key]" caption="PMT Contact Unique Contact Key" attribute="1" defaultMemberUniqueName="[PMTProject_Contact_Contact].[PMT Contact Unique Contact Key].[All]" allUniqueName="[PMTProject_Contact_Contact].[PMT Contact Unique Contact Key].[All]" dimensionUniqueName="[PMTProject_Contact_Contact]" displayFolder="" count="0" unbalanced="0"/>
    <cacheHierarchy uniqueName="[PMTProject_Contact_Contact].[PMT Contact Work Phone Extension]" caption="PMT Contact Work Phone Extension" attribute="1" defaultMemberUniqueName="[PMTProject_Contact_Contact].[PMT Contact Work Phone Extension].[All]" allUniqueName="[PMTProject_Contact_Contact].[PMT Contact Work Phone Extension].[All]" dimensionUniqueName="[PMTProject_Contact_Contact]" displayFolder="" count="0" unbalanced="0"/>
    <cacheHierarchy uniqueName="[PMTProject_Contact_Contact].[PMT Contact Work Phone Number]" caption="PMT Contact Work Phone Number" attribute="1" defaultMemberUniqueName="[PMTProject_Contact_Contact].[PMT Contact Work Phone Number].[All]" allUniqueName="[PMTProject_Contact_Contact].[PMT Contact Work Phone Number].[All]" dimensionUniqueName="[PMTProject_Contact_Contact]" displayFolder="" count="0" unbalanced="0"/>
    <cacheHierarchy uniqueName="[PMTProject_Contact_Customer].[PMT Customer  Bday Date]" caption="PMT Customer  Bday Date" attribute="1" defaultMemberUniqueName="[PMTProject_Contact_Customer].[PMT Customer  Bday Date].[All]" allUniqueName="[PMTProject_Contact_Customer].[PMT Customer  Bday Date].[All]" dimensionUniqueName="[PMTProject_Contact_Customer]" displayFolder="" count="0" unbalanced="0"/>
    <cacheHierarchy uniqueName="[PMTProject_Contact_Customer].[PMT Customer A44 Contact Indicator]" caption="PMT Customer A44 Contact Indicator" attribute="1" defaultMemberUniqueName="[PMTProject_Contact_Customer].[PMT Customer A44 Contact Indicator].[All]" allUniqueName="[PMTProject_Contact_Customer].[PMT Customer A44 Contact Indicator].[All]" dimensionUniqueName="[PMTProject_Contact_Customer]" displayFolder="" count="0" unbalanced="0"/>
    <cacheHierarchy uniqueName="[PMTProject_Contact_Customer].[PMT Customer Address1]" caption="PMT Customer Address1" attribute="1" defaultMemberUniqueName="[PMTProject_Contact_Customer].[PMT Customer Address1].[All]" allUniqueName="[PMTProject_Contact_Customer].[PMT Customer Address1].[All]" dimensionUniqueName="[PMTProject_Contact_Customer]" displayFolder="" count="0" unbalanced="0"/>
    <cacheHierarchy uniqueName="[PMTProject_Contact_Customer].[PMT Customer Address2]" caption="PMT Customer Address2" attribute="1" defaultMemberUniqueName="[PMTProject_Contact_Customer].[PMT Customer Address2].[All]" allUniqueName="[PMTProject_Contact_Customer].[PMT Customer Address2].[All]" dimensionUniqueName="[PMTProject_Contact_Customer]" displayFolder="" count="0" unbalanced="0"/>
    <cacheHierarchy uniqueName="[PMTProject_Contact_Customer].[PMT Customer Cell Phone Number]" caption="PMT Customer Cell Phone Number" attribute="1" defaultMemberUniqueName="[PMTProject_Contact_Customer].[PMT Customer Cell Phone Number].[All]" allUniqueName="[PMTProject_Contact_Customer].[PMT Customer Cell Phone Number].[All]" dimensionUniqueName="[PMTProject_Contact_Customer]" displayFolder="" count="0" unbalanced="0"/>
    <cacheHierarchy uniqueName="[PMTProject_Contact_Customer].[PMT Customer City Name]" caption="PMT Customer City Name" attribute="1" defaultMemberUniqueName="[PMTProject_Contact_Customer].[PMT Customer City Name].[All]" allUniqueName="[PMTProject_Contact_Customer].[PMT Customer City Name].[All]" dimensionUniqueName="[PMTProject_Contact_Customer]" displayFolder="" count="0" unbalanced="0"/>
    <cacheHierarchy uniqueName="[PMTProject_Contact_Customer].[PMT Customer Company Code]" caption="PMT Customer Company Code" attribute="1" defaultMemberUniqueName="[PMTProject_Contact_Customer].[PMT Customer Company Code].[All]" allUniqueName="[PMTProject_Contact_Customer].[PMT Customer Company Code].[All]" dimensionUniqueName="[PMTProject_Contact_Customer]" displayFolder="" count="0" unbalanced="0"/>
    <cacheHierarchy uniqueName="[PMTProject_Contact_Customer].[PMT Customer Company Description]" caption="PMT Customer Company Description" attribute="1" defaultMemberUniqueName="[PMTProject_Contact_Customer].[PMT Customer Company Description].[All]" allUniqueName="[PMTProject_Contact_Customer].[PMT Customer Company Description].[All]" dimensionUniqueName="[PMTProject_Contact_Customer]" displayFolder="" count="0" unbalanced="0"/>
    <cacheHierarchy uniqueName="[PMTProject_Contact_Customer].[PMT Customer Contact LastService Wk Date]" caption="PMT Customer Contact LastService Wk Date" attribute="1" defaultMemberUniqueName="[PMTProject_Contact_Customer].[PMT Customer Contact LastService Wk Date].[All]" allUniqueName="[PMTProject_Contact_Customer].[PMT Customer Contact LastService Wk Date].[All]" dimensionUniqueName="[PMTProject_Contact_Customer]" displayFolder="" count="0" unbalanced="0"/>
    <cacheHierarchy uniqueName="[PMTProject_Contact_Customer].[PMT Customer Do Not Email Indicator]" caption="PMT Customer Do Not Email Indicator" attribute="1" defaultMemberUniqueName="[PMTProject_Contact_Customer].[PMT Customer Do Not Email Indicator].[All]" allUniqueName="[PMTProject_Contact_Customer].[PMT Customer Do Not Email Indicator].[All]" dimensionUniqueName="[PMTProject_Contact_Customer]" displayFolder="" count="0" unbalanced="0"/>
    <cacheHierarchy uniqueName="[PMTProject_Contact_Customer].[PMT Customer Do Not Mail Indicator]" caption="PMT Customer Do Not Mail Indicator" attribute="1" defaultMemberUniqueName="[PMTProject_Contact_Customer].[PMT Customer Do Not Mail Indicator].[All]" allUniqueName="[PMTProject_Contact_Customer].[PMT Customer Do Not Mail Indicator].[All]" dimensionUniqueName="[PMTProject_Contact_Customer]" displayFolder="" count="0" unbalanced="0"/>
    <cacheHierarchy uniqueName="[PMTProject_Contact_Customer].[PMT Customer Email Address]" caption="PMT Customer Email Address" attribute="1" defaultMemberUniqueName="[PMTProject_Contact_Customer].[PMT Customer Email Address].[All]" allUniqueName="[PMTProject_Contact_Customer].[PMT Customer Email Address].[All]" dimensionUniqueName="[PMTProject_Contact_Customer]" displayFolder="" count="0" unbalanced="0"/>
    <cacheHierarchy uniqueName="[PMTProject_Contact_Customer].[PMT Customer Email OptOut Code]" caption="PMT Customer Email OptOut Code" attribute="1" defaultMemberUniqueName="[PMTProject_Contact_Customer].[PMT Customer Email OptOut Code].[All]" allUniqueName="[PMTProject_Contact_Customer].[PMT Customer Email OptOut Code].[All]" dimensionUniqueName="[PMTProject_Contact_Customer]" displayFolder="" count="0" unbalanced="0"/>
    <cacheHierarchy uniqueName="[PMTProject_Contact_Customer].[PMT Customer Email OptOut Description]" caption="PMT Customer Email OptOut Description" attribute="1" defaultMemberUniqueName="[PMTProject_Contact_Customer].[PMT Customer Email OptOut Description].[All]" allUniqueName="[PMTProject_Contact_Customer].[PMT Customer Email OptOut Description].[All]" dimensionUniqueName="[PMTProject_Contact_Customer]" displayFolder="" count="0" unbalanced="0"/>
    <cacheHierarchy uniqueName="[PMTProject_Contact_Customer].[PMT Customer FAX Number]" caption="PMT Customer FAX Number" attribute="1" defaultMemberUniqueName="[PMTProject_Contact_Customer].[PMT Customer FAX Number].[All]" allUniqueName="[PMTProject_Contact_Customer].[PMT Customer FAX Number].[All]" dimensionUniqueName="[PMTProject_Contact_Customer]" displayFolder="" count="0" unbalanced="0"/>
    <cacheHierarchy uniqueName="[PMTProject_Contact_Customer].[PMT Customer Home Phone Number]" caption="PMT Customer Home Phone Number" attribute="1" defaultMemberUniqueName="[PMTProject_Contact_Customer].[PMT Customer Home Phone Number].[All]" allUniqueName="[PMTProject_Contact_Customer].[PMT Customer Home Phone Number].[All]" dimensionUniqueName="[PMTProject_Contact_Customer]" displayFolder="" count="0" unbalanced="0"/>
    <cacheHierarchy uniqueName="[PMTProject_Contact_Customer].[PMT Customer Invalid Email Code]" caption="PMT Customer Invalid Email Code" attribute="1" defaultMemberUniqueName="[PMTProject_Contact_Customer].[PMT Customer Invalid Email Code].[All]" allUniqueName="[PMTProject_Contact_Customer].[PMT Customer Invalid Email Code].[All]" dimensionUniqueName="[PMTProject_Contact_Customer]" displayFolder="" count="0" unbalanced="0"/>
    <cacheHierarchy uniqueName="[PMTProject_Contact_Customer].[PMT Customer Other Phone Number]" caption="PMT Customer Other Phone Number" attribute="1" defaultMemberUniqueName="[PMTProject_Contact_Customer].[PMT Customer Other Phone Number].[All]" allUniqueName="[PMTProject_Contact_Customer].[PMT Customer Other Phone Number].[All]" dimensionUniqueName="[PMTProject_Contact_Customer]" displayFolder="" count="0" unbalanced="0"/>
    <cacheHierarchy uniqueName="[PMTProject_Contact_Customer].[PMT Customer Person Or Business Code]" caption="PMT Customer Person Or Business Code" attribute="1" defaultMemberUniqueName="[PMTProject_Contact_Customer].[PMT Customer Person Or Business Code].[All]" allUniqueName="[PMTProject_Contact_Customer].[PMT Customer Person Or Business Code].[All]" dimensionUniqueName="[PMTProject_Contact_Customer]" displayFolder="" count="0" unbalanced="0"/>
    <cacheHierarchy uniqueName="[PMTProject_Contact_Customer].[PMT Customer Person Or Business First Name]" caption="PMT Customer Person Or Business First Name" attribute="1" defaultMemberUniqueName="[PMTProject_Contact_Customer].[PMT Customer Person Or Business First Name].[All]" allUniqueName="[PMTProject_Contact_Customer].[PMT Customer Person Or Business First Name].[All]" dimensionUniqueName="[PMTProject_Contact_Customer]" displayFolder="" count="0" unbalanced="0"/>
    <cacheHierarchy uniqueName="[PMTProject_Contact_Customer].[PMT Customer Person Or Business Last Name]" caption="PMT Customer Person Or Business Last Name" attribute="1" defaultMemberUniqueName="[PMTProject_Contact_Customer].[PMT Customer Person Or Business Last Name].[All]" allUniqueName="[PMTProject_Contact_Customer].[PMT Customer Person Or Business Last Name].[All]" dimensionUniqueName="[PMTProject_Contact_Customer]" displayFolder="" count="0" unbalanced="0"/>
    <cacheHierarchy uniqueName="[PMTProject_Contact_Customer].[PMT Customer PersonID]" caption="PMT Customer PersonID" attribute="1" defaultMemberUniqueName="[PMTProject_Contact_Customer].[PMT Customer PersonID].[All]" allUniqueName="[PMTProject_Contact_Customer].[PMT Customer PersonID].[All]" dimensionUniqueName="[PMTProject_Contact_Customer]" displayFolder="" count="0" unbalanced="0"/>
    <cacheHierarchy uniqueName="[PMTProject_Contact_Customer].[PMT Customer Position Code]" caption="PMT Customer Position Code" attribute="1" defaultMemberUniqueName="[PMTProject_Contact_Customer].[PMT Customer Position Code].[All]" allUniqueName="[PMTProject_Contact_Customer].[PMT Customer Position Code].[All]" dimensionUniqueName="[PMTProject_Contact_Customer]" displayFolder="" count="0" unbalanced="0"/>
    <cacheHierarchy uniqueName="[PMTProject_Contact_Customer].[PMT Customer Position Description]" caption="PMT Customer Position Description" attribute="1" defaultMemberUniqueName="[PMTProject_Contact_Customer].[PMT Customer Position Description].[All]" allUniqueName="[PMTProject_Contact_Customer].[PMT Customer Position Description].[All]" dimensionUniqueName="[PMTProject_Contact_Customer]" displayFolder="" count="0" unbalanced="0"/>
    <cacheHierarchy uniqueName="[PMTProject_Contact_Customer].[PMT Customer Postal Code]" caption="PMT Customer Postal Code" attribute="1" defaultMemberUniqueName="[PMTProject_Contact_Customer].[PMT Customer Postal Code].[All]" allUniqueName="[PMTProject_Contact_Customer].[PMT Customer Postal Code].[All]" dimensionUniqueName="[PMTProject_Contact_Customer]" displayFolder="" count="0" unbalanced="0"/>
    <cacheHierarchy uniqueName="[PMTProject_Contact_Customer].[PMT Customer Priority Code]" caption="PMT Customer Priority Code" attribute="1" defaultMemberUniqueName="[PMTProject_Contact_Customer].[PMT Customer Priority Code].[All]" allUniqueName="[PMTProject_Contact_Customer].[PMT Customer Priority Code].[All]" dimensionUniqueName="[PMTProject_Contact_Customer]" displayFolder="" count="0" unbalanced="0"/>
    <cacheHierarchy uniqueName="[PMTProject_Contact_Customer].[PMT Customer Priority Description]" caption="PMT Customer Priority Description" attribute="1" defaultMemberUniqueName="[PMTProject_Contact_Customer].[PMT Customer Priority Description].[All]" allUniqueName="[PMTProject_Contact_Customer].[PMT Customer Priority Description].[All]" dimensionUniqueName="[PMTProject_Contact_Customer]" displayFolder="" count="0" unbalanced="0"/>
    <cacheHierarchy uniqueName="[PMTProject_Contact_Customer].[PMT Customer Referred By]" caption="PMT Customer Referred By" attribute="1" defaultMemberUniqueName="[PMTProject_Contact_Customer].[PMT Customer Referred By].[All]" allUniqueName="[PMTProject_Contact_Customer].[PMT Customer Referred By].[All]" dimensionUniqueName="[PMTProject_Contact_Customer]" displayFolder="" count="0" unbalanced="0"/>
    <cacheHierarchy uniqueName="[PMTProject_Contact_Customer].[PMT Customer Salesforce MOC ContactID]" caption="PMT Customer Salesforce MOC ContactID" attribute="1" defaultMemberUniqueName="[PMTProject_Contact_Customer].[PMT Customer Salesforce MOC ContactID].[All]" allUniqueName="[PMTProject_Contact_Customer].[PMT Customer Salesforce MOC ContactID].[All]" dimensionUniqueName="[PMTProject_Contact_Customer]" displayFolder="" count="0" unbalanced="0"/>
    <cacheHierarchy uniqueName="[PMTProject_Contact_Customer].[PMT Customer Source System]" caption="PMT Customer Source System" attribute="1" defaultMemberUniqueName="[PMTProject_Contact_Customer].[PMT Customer Source System].[All]" allUniqueName="[PMTProject_Contact_Customer].[PMT Customer Source System].[All]" dimensionUniqueName="[PMTProject_Contact_Customer]" displayFolder="" count="0" unbalanced="0"/>
    <cacheHierarchy uniqueName="[PMTProject_Contact_Customer].[PMT Customer State Code]" caption="PMT Customer State Code" attribute="1" defaultMemberUniqueName="[PMTProject_Contact_Customer].[PMT Customer State Code].[All]" allUniqueName="[PMTProject_Contact_Customer].[PMT Customer State Code].[All]" dimensionUniqueName="[PMTProject_Contact_Customer]" displayFolder="" count="0" unbalanced="0"/>
    <cacheHierarchy uniqueName="[PMTProject_Contact_Customer].[PMT Customer Title]" caption="PMT Customer Title" attribute="1" defaultMemberUniqueName="[PMTProject_Contact_Customer].[PMT Customer Title].[All]" allUniqueName="[PMTProject_Contact_Customer].[PMT Customer Title].[All]" dimensionUniqueName="[PMTProject_Contact_Customer]" displayFolder="" count="0" unbalanced="0"/>
    <cacheHierarchy uniqueName="[PMTProject_Contact_Customer].[PMT Customer Type Code]" caption="PMT Customer Type Code" attribute="1" defaultMemberUniqueName="[PMTProject_Contact_Customer].[PMT Customer Type Code].[All]" allUniqueName="[PMTProject_Contact_Customer].[PMT Customer Type Code].[All]" dimensionUniqueName="[PMTProject_Contact_Customer]" displayFolder="" count="0" unbalanced="0"/>
    <cacheHierarchy uniqueName="[PMTProject_Contact_Customer].[PMT Customer Type Description]" caption="PMT Customer Type Description" attribute="1" defaultMemberUniqueName="[PMTProject_Contact_Customer].[PMT Customer Type Description].[All]" allUniqueName="[PMTProject_Contact_Customer].[PMT Customer Type Description].[All]" dimensionUniqueName="[PMTProject_Contact_Customer]" displayFolder="" count="0" unbalanced="0"/>
    <cacheHierarchy uniqueName="[PMTProject_Contact_Customer].[PMT Customer Unique Business Key]" caption="PMT Customer Unique Business Key" attribute="1" defaultMemberUniqueName="[PMTProject_Contact_Customer].[PMT Customer Unique Business Key].[All]" allUniqueName="[PMTProject_Contact_Customer].[PMT Customer Unique Business Key].[All]" dimensionUniqueName="[PMTProject_Contact_Customer]" displayFolder="" count="0" unbalanced="0"/>
    <cacheHierarchy uniqueName="[PMTProject_Contact_Customer].[PMT Customer Unique Contact Key]" caption="PMT Customer Unique Contact Key" attribute="1" defaultMemberUniqueName="[PMTProject_Contact_Customer].[PMT Customer Unique Contact Key].[All]" allUniqueName="[PMTProject_Contact_Customer].[PMT Customer Unique Contact Key].[All]" dimensionUniqueName="[PMTProject_Contact_Customer]" displayFolder="" count="0" unbalanced="0"/>
    <cacheHierarchy uniqueName="[PMTProject_Contact_Customer].[PMT Customer Work Phone Extension]" caption="PMT Customer Work Phone Extension" attribute="1" defaultMemberUniqueName="[PMTProject_Contact_Customer].[PMT Customer Work Phone Extension].[All]" allUniqueName="[PMTProject_Contact_Customer].[PMT Customer Work Phone Extension].[All]" dimensionUniqueName="[PMTProject_Contact_Customer]" displayFolder="" count="0" unbalanced="0"/>
    <cacheHierarchy uniqueName="[PMTProject_Contact_Customer].[PMT Customer Work Phone Number]" caption="PMT Customer Work Phone Number" attribute="1" defaultMemberUniqueName="[PMTProject_Contact_Customer].[PMT Customer Work Phone Number].[All]" allUniqueName="[PMTProject_Contact_Customer].[PMT Customer Work Phone Number].[All]" dimensionUniqueName="[PMTProject_Contact_Customer]" displayFolder="" count="0" unbalanced="0"/>
    <cacheHierarchy uniqueName="[PMTProject_Contact_IC].[AccountKey]" caption="AccountKey" attribute="1" defaultMemberUniqueName="[PMTProject_Contact_IC].[AccountKey].[All]" allUniqueName="[PMTProject_Contact_IC].[AccountKey].[All]" dimensionUniqueName="[PMTProject_Contact_IC]" displayFolder="" count="0" unbalanced="0"/>
    <cacheHierarchy uniqueName="[PMTProject_Contact_IC].[ContactKey]" caption="ContactKey" attribute="1" defaultMemberUniqueName="[PMTProject_Contact_IC].[ContactKey].[All]" allUniqueName="[PMTProject_Contact_IC].[ContactKey].[All]" dimensionUniqueName="[PMTProject_Contact_IC]" displayFolder="" count="0" unbalanced="0"/>
    <cacheHierarchy uniqueName="[PMTProject_Contact_IC].[PMT IC  Bday Date]" caption="PMT IC  Bday Date" attribute="1" defaultMemberUniqueName="[PMTProject_Contact_IC].[PMT IC  Bday Date].[All]" allUniqueName="[PMTProject_Contact_IC].[PMT IC  Bday Date].[All]" dimensionUniqueName="[PMTProject_Contact_IC]" displayFolder="" count="0" unbalanced="0"/>
    <cacheHierarchy uniqueName="[PMTProject_Contact_IC].[PMT IC A44 Contact Indicator]" caption="PMT IC A44 Contact Indicator" attribute="1" defaultMemberUniqueName="[PMTProject_Contact_IC].[PMT IC A44 Contact Indicator].[All]" allUniqueName="[PMTProject_Contact_IC].[PMT IC A44 Contact Indicator].[All]" dimensionUniqueName="[PMTProject_Contact_IC]" displayFolder="" count="0" unbalanced="0"/>
    <cacheHierarchy uniqueName="[PMTProject_Contact_IC].[PMT IC Address1]" caption="PMT IC Address1" attribute="1" defaultMemberUniqueName="[PMTProject_Contact_IC].[PMT IC Address1].[All]" allUniqueName="[PMTProject_Contact_IC].[PMT IC Address1].[All]" dimensionUniqueName="[PMTProject_Contact_IC]" displayFolder="" count="0" unbalanced="0"/>
    <cacheHierarchy uniqueName="[PMTProject_Contact_IC].[PMT IC Address2]" caption="PMT IC Address2" attribute="1" defaultMemberUniqueName="[PMTProject_Contact_IC].[PMT IC Address2].[All]" allUniqueName="[PMTProject_Contact_IC].[PMT IC Address2].[All]" dimensionUniqueName="[PMTProject_Contact_IC]" displayFolder="" count="0" unbalanced="0"/>
    <cacheHierarchy uniqueName="[PMTProject_Contact_IC].[PMT IC Cell Phone Number]" caption="PMT IC Cell Phone Number" attribute="1" defaultMemberUniqueName="[PMTProject_Contact_IC].[PMT IC Cell Phone Number].[All]" allUniqueName="[PMTProject_Contact_IC].[PMT IC Cell Phone Number].[All]" dimensionUniqueName="[PMTProject_Contact_IC]" displayFolder="" count="0" unbalanced="0"/>
    <cacheHierarchy uniqueName="[PMTProject_Contact_IC].[PMT IC City Name]" caption="PMT IC City Name" attribute="1" defaultMemberUniqueName="[PMTProject_Contact_IC].[PMT IC City Name].[All]" allUniqueName="[PMTProject_Contact_IC].[PMT IC City Name].[All]" dimensionUniqueName="[PMTProject_Contact_IC]" displayFolder="" count="0" unbalanced="0"/>
    <cacheHierarchy uniqueName="[PMTProject_Contact_IC].[PMT IC Company Code]" caption="PMT IC Company Code" attribute="1" defaultMemberUniqueName="[PMTProject_Contact_IC].[PMT IC Company Code].[All]" allUniqueName="[PMTProject_Contact_IC].[PMT IC Company Code].[All]" dimensionUniqueName="[PMTProject_Contact_IC]" displayFolder="" count="0" unbalanced="0"/>
    <cacheHierarchy uniqueName="[PMTProject_Contact_IC].[PMT IC Company Description]" caption="PMT IC Company Description" attribute="1" defaultMemberUniqueName="[PMTProject_Contact_IC].[PMT IC Company Description].[All]" allUniqueName="[PMTProject_Contact_IC].[PMT IC Company Description].[All]" dimensionUniqueName="[PMTProject_Contact_IC]" displayFolder="" count="0" unbalanced="0"/>
    <cacheHierarchy uniqueName="[PMTProject_Contact_IC].[PMT IC Contact LastService Wk Date]" caption="PMT IC Contact LastService Wk Date" attribute="1" defaultMemberUniqueName="[PMTProject_Contact_IC].[PMT IC Contact LastService Wk Date].[All]" allUniqueName="[PMTProject_Contact_IC].[PMT IC Contact LastService Wk Date].[All]" dimensionUniqueName="[PMTProject_Contact_IC]" displayFolder="" count="0" unbalanced="0"/>
    <cacheHierarchy uniqueName="[PMTProject_Contact_IC].[PMT IC Contact Type Code]" caption="PMT IC Contact Type Code" attribute="1" defaultMemberUniqueName="[PMTProject_Contact_IC].[PMT IC Contact Type Code].[All]" allUniqueName="[PMTProject_Contact_IC].[PMT IC Contact Type Code].[All]" dimensionUniqueName="[PMTProject_Contact_IC]" displayFolder="" count="0" unbalanced="0"/>
    <cacheHierarchy uniqueName="[PMTProject_Contact_IC].[PMT IC Contact Type Description]" caption="PMT IC Contact Type Description" attribute="1" defaultMemberUniqueName="[PMTProject_Contact_IC].[PMT IC Contact Type Description].[All]" allUniqueName="[PMTProject_Contact_IC].[PMT IC Contact Type Description].[All]" dimensionUniqueName="[PMTProject_Contact_IC]" displayFolder="" count="0" unbalanced="0"/>
    <cacheHierarchy uniqueName="[PMTProject_Contact_IC].[PMT IC Do Not Email Indicator]" caption="PMT IC Do Not Email Indicator" attribute="1" defaultMemberUniqueName="[PMTProject_Contact_IC].[PMT IC Do Not Email Indicator].[All]" allUniqueName="[PMTProject_Contact_IC].[PMT IC Do Not Email Indicator].[All]" dimensionUniqueName="[PMTProject_Contact_IC]" displayFolder="" count="0" unbalanced="0"/>
    <cacheHierarchy uniqueName="[PMTProject_Contact_IC].[PMT IC Do Not Mail Indicator]" caption="PMT IC Do Not Mail Indicator" attribute="1" defaultMemberUniqueName="[PMTProject_Contact_IC].[PMT IC Do Not Mail Indicator].[All]" allUniqueName="[PMTProject_Contact_IC].[PMT IC Do Not Mail Indicator].[All]" dimensionUniqueName="[PMTProject_Contact_IC]" displayFolder="" count="0" unbalanced="0"/>
    <cacheHierarchy uniqueName="[PMTProject_Contact_IC].[PMT IC Email Address]" caption="PMT IC Email Address" attribute="1" defaultMemberUniqueName="[PMTProject_Contact_IC].[PMT IC Email Address].[All]" allUniqueName="[PMTProject_Contact_IC].[PMT IC Email Address].[All]" dimensionUniqueName="[PMTProject_Contact_IC]" displayFolder="" count="0" unbalanced="0"/>
    <cacheHierarchy uniqueName="[PMTProject_Contact_IC].[PMT IC Email OptOut Code]" caption="PMT IC Email OptOut Code" attribute="1" defaultMemberUniqueName="[PMTProject_Contact_IC].[PMT IC Email OptOut Code].[All]" allUniqueName="[PMTProject_Contact_IC].[PMT IC Email OptOut Code].[All]" dimensionUniqueName="[PMTProject_Contact_IC]" displayFolder="" count="0" unbalanced="0"/>
    <cacheHierarchy uniqueName="[PMTProject_Contact_IC].[PMT IC Email OptOut Description]" caption="PMT IC Email OptOut Description" attribute="1" defaultMemberUniqueName="[PMTProject_Contact_IC].[PMT IC Email OptOut Description].[All]" allUniqueName="[PMTProject_Contact_IC].[PMT IC Email OptOut Description].[All]" dimensionUniqueName="[PMTProject_Contact_IC]" displayFolder="" count="0" unbalanced="0"/>
    <cacheHierarchy uniqueName="[PMTProject_Contact_IC].[PMT IC FAX Number]" caption="PMT IC FAX Number" attribute="1" defaultMemberUniqueName="[PMTProject_Contact_IC].[PMT IC FAX Number].[All]" allUniqueName="[PMTProject_Contact_IC].[PMT IC FAX Number].[All]" dimensionUniqueName="[PMTProject_Contact_IC]" displayFolder="" count="0" unbalanced="0"/>
    <cacheHierarchy uniqueName="[PMTProject_Contact_IC].[PMT IC Home Phone Number]" caption="PMT IC Home Phone Number" attribute="1" defaultMemberUniqueName="[PMTProject_Contact_IC].[PMT IC Home Phone Number].[All]" allUniqueName="[PMTProject_Contact_IC].[PMT IC Home Phone Number].[All]" dimensionUniqueName="[PMTProject_Contact_IC]" displayFolder="" count="0" unbalanced="0"/>
    <cacheHierarchy uniqueName="[PMTProject_Contact_IC].[PMT IC Invalid Email Code]" caption="PMT IC Invalid Email Code" attribute="1" defaultMemberUniqueName="[PMTProject_Contact_IC].[PMT IC Invalid Email Code].[All]" allUniqueName="[PMTProject_Contact_IC].[PMT IC Invalid Email Code].[All]" dimensionUniqueName="[PMTProject_Contact_IC]" displayFolder="" count="0" unbalanced="0"/>
    <cacheHierarchy uniqueName="[PMTProject_Contact_IC].[PMT IC Other Phone Number]" caption="PMT IC Other Phone Number" attribute="1" defaultMemberUniqueName="[PMTProject_Contact_IC].[PMT IC Other Phone Number].[All]" allUniqueName="[PMTProject_Contact_IC].[PMT IC Other Phone Number].[All]" dimensionUniqueName="[PMTProject_Contact_IC]" displayFolder="" count="0" unbalanced="0"/>
    <cacheHierarchy uniqueName="[PMTProject_Contact_IC].[PMT IC Person Or Business Code]" caption="PMT IC Person Or Business Code" attribute="1" defaultMemberUniqueName="[PMTProject_Contact_IC].[PMT IC Person Or Business Code].[All]" allUniqueName="[PMTProject_Contact_IC].[PMT IC Person Or Business Code].[All]" dimensionUniqueName="[PMTProject_Contact_IC]" displayFolder="" count="0" unbalanced="0"/>
    <cacheHierarchy uniqueName="[PMTProject_Contact_IC].[PMT IC Person Or Business First Name]" caption="PMT IC Person Or Business First Name" attribute="1" defaultMemberUniqueName="[PMTProject_Contact_IC].[PMT IC Person Or Business First Name].[All]" allUniqueName="[PMTProject_Contact_IC].[PMT IC Person Or Business First Name].[All]" dimensionUniqueName="[PMTProject_Contact_IC]" displayFolder="" count="0" unbalanced="0"/>
    <cacheHierarchy uniqueName="[PMTProject_Contact_IC].[PMT IC Person Or Business Last Name]" caption="PMT IC Person Or Business Last Name" attribute="1" defaultMemberUniqueName="[PMTProject_Contact_IC].[PMT IC Person Or Business Last Name].[All]" allUniqueName="[PMTProject_Contact_IC].[PMT IC Person Or Business Last Name].[All]" dimensionUniqueName="[PMTProject_Contact_IC]" displayFolder="" count="0" unbalanced="0"/>
    <cacheHierarchy uniqueName="[PMTProject_Contact_IC].[PMT IC PersonID]" caption="PMT IC PersonID" attribute="1" defaultMemberUniqueName="[PMTProject_Contact_IC].[PMT IC PersonID].[All]" allUniqueName="[PMTProject_Contact_IC].[PMT IC PersonID].[All]" dimensionUniqueName="[PMTProject_Contact_IC]" displayFolder="" count="0" unbalanced="0"/>
    <cacheHierarchy uniqueName="[PMTProject_Contact_IC].[PMT IC Position Code]" caption="PMT IC Position Code" attribute="1" defaultMemberUniqueName="[PMTProject_Contact_IC].[PMT IC Position Code].[All]" allUniqueName="[PMTProject_Contact_IC].[PMT IC Position Code].[All]" dimensionUniqueName="[PMTProject_Contact_IC]" displayFolder="" count="0" unbalanced="0"/>
    <cacheHierarchy uniqueName="[PMTProject_Contact_IC].[PMT IC Position Description]" caption="PMT IC Position Description" attribute="1" defaultMemberUniqueName="[PMTProject_Contact_IC].[PMT IC Position Description].[All]" allUniqueName="[PMTProject_Contact_IC].[PMT IC Position Description].[All]" dimensionUniqueName="[PMTProject_Contact_IC]" displayFolder="" count="0" unbalanced="0"/>
    <cacheHierarchy uniqueName="[PMTProject_Contact_IC].[PMT IC Postal Code]" caption="PMT IC Postal Code" attribute="1" defaultMemberUniqueName="[PMTProject_Contact_IC].[PMT IC Postal Code].[All]" allUniqueName="[PMTProject_Contact_IC].[PMT IC Postal Code].[All]" dimensionUniqueName="[PMTProject_Contact_IC]" displayFolder="" count="0" unbalanced="0"/>
    <cacheHierarchy uniqueName="[PMTProject_Contact_IC].[PMT IC Priority Code]" caption="PMT IC Priority Code" attribute="1" defaultMemberUniqueName="[PMTProject_Contact_IC].[PMT IC Priority Code].[All]" allUniqueName="[PMTProject_Contact_IC].[PMT IC Priority Code].[All]" dimensionUniqueName="[PMTProject_Contact_IC]" displayFolder="" count="0" unbalanced="0"/>
    <cacheHierarchy uniqueName="[PMTProject_Contact_IC].[PMT IC Priority Description]" caption="PMT IC Priority Description" attribute="1" defaultMemberUniqueName="[PMTProject_Contact_IC].[PMT IC Priority Description].[All]" allUniqueName="[PMTProject_Contact_IC].[PMT IC Priority Description].[All]" dimensionUniqueName="[PMTProject_Contact_IC]" displayFolder="" count="0" unbalanced="0"/>
    <cacheHierarchy uniqueName="[PMTProject_Contact_IC].[PMT IC Referred By]" caption="PMT IC Referred By" attribute="1" defaultMemberUniqueName="[PMTProject_Contact_IC].[PMT IC Referred By].[All]" allUniqueName="[PMTProject_Contact_IC].[PMT IC Referred By].[All]" dimensionUniqueName="[PMTProject_Contact_IC]" displayFolder="" count="0" unbalanced="0"/>
    <cacheHierarchy uniqueName="[PMTProject_Contact_IC].[PMT IC Salesforce MOC ContactID]" caption="PMT IC Salesforce MOC ContactID" attribute="1" defaultMemberUniqueName="[PMTProject_Contact_IC].[PMT IC Salesforce MOC ContactID].[All]" allUniqueName="[PMTProject_Contact_IC].[PMT IC Salesforce MOC ContactID].[All]" dimensionUniqueName="[PMTProject_Contact_IC]" displayFolder="" count="0" unbalanced="0"/>
    <cacheHierarchy uniqueName="[PMTProject_Contact_IC].[PMT IC Source System]" caption="PMT IC Source System" attribute="1" defaultMemberUniqueName="[PMTProject_Contact_IC].[PMT IC Source System].[All]" allUniqueName="[PMTProject_Contact_IC].[PMT IC Source System].[All]" dimensionUniqueName="[PMTProject_Contact_IC]" displayFolder="" count="0" unbalanced="0"/>
    <cacheHierarchy uniqueName="[PMTProject_Contact_IC].[PMT IC State Code]" caption="PMT IC State Code" attribute="1" defaultMemberUniqueName="[PMTProject_Contact_IC].[PMT IC State Code].[All]" allUniqueName="[PMTProject_Contact_IC].[PMT IC State Code].[All]" dimensionUniqueName="[PMTProject_Contact_IC]" displayFolder="" count="0" unbalanced="0"/>
    <cacheHierarchy uniqueName="[PMTProject_Contact_IC].[PMT IC Title]" caption="PMT IC Title" attribute="1" defaultMemberUniqueName="[PMTProject_Contact_IC].[PMT IC Title].[All]" allUniqueName="[PMTProject_Contact_IC].[PMT IC Title].[All]" dimensionUniqueName="[PMTProject_Contact_IC]" displayFolder="" count="0" unbalanced="0"/>
    <cacheHierarchy uniqueName="[PMTProject_Contact_IC].[PMT IC Type Code]" caption="PMT IC Type Code" attribute="1" defaultMemberUniqueName="[PMTProject_Contact_IC].[PMT IC Type Code].[All]" allUniqueName="[PMTProject_Contact_IC].[PMT IC Type Code].[All]" dimensionUniqueName="[PMTProject_Contact_IC]" displayFolder="" count="0" unbalanced="0"/>
    <cacheHierarchy uniqueName="[PMTProject_Contact_IC].[PMT IC Type Description]" caption="PMT IC Type Description" attribute="1" defaultMemberUniqueName="[PMTProject_Contact_IC].[PMT IC Type Description].[All]" allUniqueName="[PMTProject_Contact_IC].[PMT IC Type Description].[All]" dimensionUniqueName="[PMTProject_Contact_IC]" displayFolder="" count="0" unbalanced="0"/>
    <cacheHierarchy uniqueName="[PMTProject_Contact_IC].[PMT IC Unique Business Key]" caption="PMT IC Unique Business Key" attribute="1" defaultMemberUniqueName="[PMTProject_Contact_IC].[PMT IC Unique Business Key].[All]" allUniqueName="[PMTProject_Contact_IC].[PMT IC Unique Business Key].[All]" dimensionUniqueName="[PMTProject_Contact_IC]" displayFolder="" count="0" unbalanced="0"/>
    <cacheHierarchy uniqueName="[PMTProject_Contact_IC].[PMT IC Unique Contact Key]" caption="PMT IC Unique Contact Key" attribute="1" defaultMemberUniqueName="[PMTProject_Contact_IC].[PMT IC Unique Contact Key].[All]" allUniqueName="[PMTProject_Contact_IC].[PMT IC Unique Contact Key].[All]" dimensionUniqueName="[PMTProject_Contact_IC]" displayFolder="" count="0" unbalanced="0"/>
    <cacheHierarchy uniqueName="[PMTProject_Contact_IC].[PMT IC Work Phone Extension]" caption="PMT IC Work Phone Extension" attribute="1" defaultMemberUniqueName="[PMTProject_Contact_IC].[PMT IC Work Phone Extension].[All]" allUniqueName="[PMTProject_Contact_IC].[PMT IC Work Phone Extension].[All]" dimensionUniqueName="[PMTProject_Contact_IC]" displayFolder="" count="0" unbalanced="0"/>
    <cacheHierarchy uniqueName="[PMTProject_Contact_IC].[PMT IC Work Phone Number]" caption="PMT IC Work Phone Number" attribute="1" defaultMemberUniqueName="[PMTProject_Contact_IC].[PMT IC Work Phone Number].[All]" allUniqueName="[PMTProject_Contact_IC].[PMT IC Work Phone Number].[All]" dimensionUniqueName="[PMTProject_Contact_IC]" displayFolder="" count="0" unbalanced="0"/>
    <cacheHierarchy uniqueName="[PMTProject_Contact_IC].[PMTProjectKey]" caption="PMTProjectKey" attribute="1" defaultMemberUniqueName="[PMTProject_Contact_IC].[PMTProjectKey].[All]" allUniqueName="[PMTProject_Contact_IC].[PMTProjectKey].[All]" dimensionUniqueName="[PMTProject_Contact_IC]" displayFolder="" count="0" unbalanced="0"/>
    <cacheHierarchy uniqueName="[PMTProject_Contact_Landlord].[PMT Landlord  Bday Date]" caption="PMT Landlord  Bday Date" attribute="1" defaultMemberUniqueName="[PMTProject_Contact_Landlord].[PMT Landlord  Bday Date].[All]" allUniqueName="[PMTProject_Contact_Landlord].[PMT Landlord  Bday Date].[All]" dimensionUniqueName="[PMTProject_Contact_Landlord]" displayFolder="" count="0" unbalanced="0"/>
    <cacheHierarchy uniqueName="[PMTProject_Contact_Landlord].[PMT Landlord A44 Contact Indicator]" caption="PMT Landlord A44 Contact Indicator" attribute="1" defaultMemberUniqueName="[PMTProject_Contact_Landlord].[PMT Landlord A44 Contact Indicator].[All]" allUniqueName="[PMTProject_Contact_Landlord].[PMT Landlord A44 Contact Indicator].[All]" dimensionUniqueName="[PMTProject_Contact_Landlord]" displayFolder="" count="0" unbalanced="0"/>
    <cacheHierarchy uniqueName="[PMTProject_Contact_Landlord].[PMT Landlord Address1]" caption="PMT Landlord Address1" attribute="1" defaultMemberUniqueName="[PMTProject_Contact_Landlord].[PMT Landlord Address1].[All]" allUniqueName="[PMTProject_Contact_Landlord].[PMT Landlord Address1].[All]" dimensionUniqueName="[PMTProject_Contact_Landlord]" displayFolder="" count="0" unbalanced="0"/>
    <cacheHierarchy uniqueName="[PMTProject_Contact_Landlord].[PMT Landlord Address2]" caption="PMT Landlord Address2" attribute="1" defaultMemberUniqueName="[PMTProject_Contact_Landlord].[PMT Landlord Address2].[All]" allUniqueName="[PMTProject_Contact_Landlord].[PMT Landlord Address2].[All]" dimensionUniqueName="[PMTProject_Contact_Landlord]" displayFolder="" count="0" unbalanced="0"/>
    <cacheHierarchy uniqueName="[PMTProject_Contact_Landlord].[PMT Landlord Cell Phone Number]" caption="PMT Landlord Cell Phone Number" attribute="1" defaultMemberUniqueName="[PMTProject_Contact_Landlord].[PMT Landlord Cell Phone Number].[All]" allUniqueName="[PMTProject_Contact_Landlord].[PMT Landlord Cell Phone Number].[All]" dimensionUniqueName="[PMTProject_Contact_Landlord]" displayFolder="" count="0" unbalanced="0"/>
    <cacheHierarchy uniqueName="[PMTProject_Contact_Landlord].[PMT Landlord City Name]" caption="PMT Landlord City Name" attribute="1" defaultMemberUniqueName="[PMTProject_Contact_Landlord].[PMT Landlord City Name].[All]" allUniqueName="[PMTProject_Contact_Landlord].[PMT Landlord City Name].[All]" dimensionUniqueName="[PMTProject_Contact_Landlord]" displayFolder="" count="0" unbalanced="0"/>
    <cacheHierarchy uniqueName="[PMTProject_Contact_Landlord].[PMT Landlord Company Code]" caption="PMT Landlord Company Code" attribute="1" defaultMemberUniqueName="[PMTProject_Contact_Landlord].[PMT Landlord Company Code].[All]" allUniqueName="[PMTProject_Contact_Landlord].[PMT Landlord Company Code].[All]" dimensionUniqueName="[PMTProject_Contact_Landlord]" displayFolder="" count="0" unbalanced="0"/>
    <cacheHierarchy uniqueName="[PMTProject_Contact_Landlord].[PMT Landlord Company Description]" caption="PMT Landlord Company Description" attribute="1" defaultMemberUniqueName="[PMTProject_Contact_Landlord].[PMT Landlord Company Description].[All]" allUniqueName="[PMTProject_Contact_Landlord].[PMT Landlord Company Description].[All]" dimensionUniqueName="[PMTProject_Contact_Landlord]" displayFolder="" count="0" unbalanced="0"/>
    <cacheHierarchy uniqueName="[PMTProject_Contact_Landlord].[PMT Landlord Contact LastService Wk Date]" caption="PMT Landlord Contact LastService Wk Date" attribute="1" defaultMemberUniqueName="[PMTProject_Contact_Landlord].[PMT Landlord Contact LastService Wk Date].[All]" allUniqueName="[PMTProject_Contact_Landlord].[PMT Landlord Contact LastService Wk Date].[All]" dimensionUniqueName="[PMTProject_Contact_Landlord]" displayFolder="" count="0" unbalanced="0"/>
    <cacheHierarchy uniqueName="[PMTProject_Contact_Landlord].[PMT Landlord Do Not Email Indicator]" caption="PMT Landlord Do Not Email Indicator" attribute="1" defaultMemberUniqueName="[PMTProject_Contact_Landlord].[PMT Landlord Do Not Email Indicator].[All]" allUniqueName="[PMTProject_Contact_Landlord].[PMT Landlord Do Not Email Indicator].[All]" dimensionUniqueName="[PMTProject_Contact_Landlord]" displayFolder="" count="0" unbalanced="0"/>
    <cacheHierarchy uniqueName="[PMTProject_Contact_Landlord].[PMT Landlord Do Not Mail Indicator]" caption="PMT Landlord Do Not Mail Indicator" attribute="1" defaultMemberUniqueName="[PMTProject_Contact_Landlord].[PMT Landlord Do Not Mail Indicator].[All]" allUniqueName="[PMTProject_Contact_Landlord].[PMT Landlord Do Not Mail Indicator].[All]" dimensionUniqueName="[PMTProject_Contact_Landlord]" displayFolder="" count="0" unbalanced="0"/>
    <cacheHierarchy uniqueName="[PMTProject_Contact_Landlord].[PMT Landlord Email Address]" caption="PMT Landlord Email Address" attribute="1" defaultMemberUniqueName="[PMTProject_Contact_Landlord].[PMT Landlord Email Address].[All]" allUniqueName="[PMTProject_Contact_Landlord].[PMT Landlord Email Address].[All]" dimensionUniqueName="[PMTProject_Contact_Landlord]" displayFolder="" count="0" unbalanced="0"/>
    <cacheHierarchy uniqueName="[PMTProject_Contact_Landlord].[PMT Landlord Email OptOut Code]" caption="PMT Landlord Email OptOut Code" attribute="1" defaultMemberUniqueName="[PMTProject_Contact_Landlord].[PMT Landlord Email OptOut Code].[All]" allUniqueName="[PMTProject_Contact_Landlord].[PMT Landlord Email OptOut Code].[All]" dimensionUniqueName="[PMTProject_Contact_Landlord]" displayFolder="" count="0" unbalanced="0"/>
    <cacheHierarchy uniqueName="[PMTProject_Contact_Landlord].[PMT Landlord Email OptOut Description]" caption="PMT Landlord Email OptOut Description" attribute="1" defaultMemberUniqueName="[PMTProject_Contact_Landlord].[PMT Landlord Email OptOut Description].[All]" allUniqueName="[PMTProject_Contact_Landlord].[PMT Landlord Email OptOut Description].[All]" dimensionUniqueName="[PMTProject_Contact_Landlord]" displayFolder="" count="0" unbalanced="0"/>
    <cacheHierarchy uniqueName="[PMTProject_Contact_Landlord].[PMT Landlord FAX Number]" caption="PMT Landlord FAX Number" attribute="1" defaultMemberUniqueName="[PMTProject_Contact_Landlord].[PMT Landlord FAX Number].[All]" allUniqueName="[PMTProject_Contact_Landlord].[PMT Landlord FAX Number].[All]" dimensionUniqueName="[PMTProject_Contact_Landlord]" displayFolder="" count="0" unbalanced="0"/>
    <cacheHierarchy uniqueName="[PMTProject_Contact_Landlord].[PMT Landlord Home Phone Number]" caption="PMT Landlord Home Phone Number" attribute="1" defaultMemberUniqueName="[PMTProject_Contact_Landlord].[PMT Landlord Home Phone Number].[All]" allUniqueName="[PMTProject_Contact_Landlord].[PMT Landlord Home Phone Number].[All]" dimensionUniqueName="[PMTProject_Contact_Landlord]" displayFolder="" count="0" unbalanced="0"/>
    <cacheHierarchy uniqueName="[PMTProject_Contact_Landlord].[PMT Landlord Invalid Email Code]" caption="PMT Landlord Invalid Email Code" attribute="1" defaultMemberUniqueName="[PMTProject_Contact_Landlord].[PMT Landlord Invalid Email Code].[All]" allUniqueName="[PMTProject_Contact_Landlord].[PMT Landlord Invalid Email Code].[All]" dimensionUniqueName="[PMTProject_Contact_Landlord]" displayFolder="" count="0" unbalanced="0"/>
    <cacheHierarchy uniqueName="[PMTProject_Contact_Landlord].[PMT Landlord Other Phone Number]" caption="PMT Landlord Other Phone Number" attribute="1" defaultMemberUniqueName="[PMTProject_Contact_Landlord].[PMT Landlord Other Phone Number].[All]" allUniqueName="[PMTProject_Contact_Landlord].[PMT Landlord Other Phone Number].[All]" dimensionUniqueName="[PMTProject_Contact_Landlord]" displayFolder="" count="0" unbalanced="0"/>
    <cacheHierarchy uniqueName="[PMTProject_Contact_Landlord].[PMT Landlord Person Or Business Code]" caption="PMT Landlord Person Or Business Code" attribute="1" defaultMemberUniqueName="[PMTProject_Contact_Landlord].[PMT Landlord Person Or Business Code].[All]" allUniqueName="[PMTProject_Contact_Landlord].[PMT Landlord Person Or Business Code].[All]" dimensionUniqueName="[PMTProject_Contact_Landlord]" displayFolder="" count="0" unbalanced="0"/>
    <cacheHierarchy uniqueName="[PMTProject_Contact_Landlord].[PMT Landlord Person Or Business First Name]" caption="PMT Landlord Person Or Business First Name" attribute="1" defaultMemberUniqueName="[PMTProject_Contact_Landlord].[PMT Landlord Person Or Business First Name].[All]" allUniqueName="[PMTProject_Contact_Landlord].[PMT Landlord Person Or Business First Name].[All]" dimensionUniqueName="[PMTProject_Contact_Landlord]" displayFolder="" count="0" unbalanced="0"/>
    <cacheHierarchy uniqueName="[PMTProject_Contact_Landlord].[PMT Landlord Person Or Business Last Name]" caption="PMT Landlord Person Or Business Last Name" attribute="1" defaultMemberUniqueName="[PMTProject_Contact_Landlord].[PMT Landlord Person Or Business Last Name].[All]" allUniqueName="[PMTProject_Contact_Landlord].[PMT Landlord Person Or Business Last Name].[All]" dimensionUniqueName="[PMTProject_Contact_Landlord]" displayFolder="" count="0" unbalanced="0"/>
    <cacheHierarchy uniqueName="[PMTProject_Contact_Landlord].[PMT Landlord PersonID]" caption="PMT Landlord PersonID" attribute="1" defaultMemberUniqueName="[PMTProject_Contact_Landlord].[PMT Landlord PersonID].[All]" allUniqueName="[PMTProject_Contact_Landlord].[PMT Landlord PersonID].[All]" dimensionUniqueName="[PMTProject_Contact_Landlord]" displayFolder="" count="0" unbalanced="0"/>
    <cacheHierarchy uniqueName="[PMTProject_Contact_Landlord].[PMT Landlord Position Code]" caption="PMT Landlord Position Code" attribute="1" defaultMemberUniqueName="[PMTProject_Contact_Landlord].[PMT Landlord Position Code].[All]" allUniqueName="[PMTProject_Contact_Landlord].[PMT Landlord Position Code].[All]" dimensionUniqueName="[PMTProject_Contact_Landlord]" displayFolder="" count="0" unbalanced="0"/>
    <cacheHierarchy uniqueName="[PMTProject_Contact_Landlord].[PMT Landlord Position Description]" caption="PMT Landlord Position Description" attribute="1" defaultMemberUniqueName="[PMTProject_Contact_Landlord].[PMT Landlord Position Description].[All]" allUniqueName="[PMTProject_Contact_Landlord].[PMT Landlord Position Description].[All]" dimensionUniqueName="[PMTProject_Contact_Landlord]" displayFolder="" count="0" unbalanced="0"/>
    <cacheHierarchy uniqueName="[PMTProject_Contact_Landlord].[PMT Landlord Postal Code]" caption="PMT Landlord Postal Code" attribute="1" defaultMemberUniqueName="[PMTProject_Contact_Landlord].[PMT Landlord Postal Code].[All]" allUniqueName="[PMTProject_Contact_Landlord].[PMT Landlord Postal Code].[All]" dimensionUniqueName="[PMTProject_Contact_Landlord]" displayFolder="" count="0" unbalanced="0"/>
    <cacheHierarchy uniqueName="[PMTProject_Contact_Landlord].[PMT Landlord Priority Code]" caption="PMT Landlord Priority Code" attribute="1" defaultMemberUniqueName="[PMTProject_Contact_Landlord].[PMT Landlord Priority Code].[All]" allUniqueName="[PMTProject_Contact_Landlord].[PMT Landlord Priority Code].[All]" dimensionUniqueName="[PMTProject_Contact_Landlord]" displayFolder="" count="0" unbalanced="0"/>
    <cacheHierarchy uniqueName="[PMTProject_Contact_Landlord].[PMT Landlord Priority Description]" caption="PMT Landlord Priority Description" attribute="1" defaultMemberUniqueName="[PMTProject_Contact_Landlord].[PMT Landlord Priority Description].[All]" allUniqueName="[PMTProject_Contact_Landlord].[PMT Landlord Priority Description].[All]" dimensionUniqueName="[PMTProject_Contact_Landlord]" displayFolder="" count="0" unbalanced="0"/>
    <cacheHierarchy uniqueName="[PMTProject_Contact_Landlord].[PMT Landlord Referred By]" caption="PMT Landlord Referred By" attribute="1" defaultMemberUniqueName="[PMTProject_Contact_Landlord].[PMT Landlord Referred By].[All]" allUniqueName="[PMTProject_Contact_Landlord].[PMT Landlord Referred By].[All]" dimensionUniqueName="[PMTProject_Contact_Landlord]" displayFolder="" count="0" unbalanced="0"/>
    <cacheHierarchy uniqueName="[PMTProject_Contact_Landlord].[PMT Landlord Salesforce MOC ContactID]" caption="PMT Landlord Salesforce MOC ContactID" attribute="1" defaultMemberUniqueName="[PMTProject_Contact_Landlord].[PMT Landlord Salesforce MOC ContactID].[All]" allUniqueName="[PMTProject_Contact_Landlord].[PMT Landlord Salesforce MOC ContactID].[All]" dimensionUniqueName="[PMTProject_Contact_Landlord]" displayFolder="" count="0" unbalanced="0"/>
    <cacheHierarchy uniqueName="[PMTProject_Contact_Landlord].[PMT Landlord Source System]" caption="PMT Landlord Source System" attribute="1" defaultMemberUniqueName="[PMTProject_Contact_Landlord].[PMT Landlord Source System].[All]" allUniqueName="[PMTProject_Contact_Landlord].[PMT Landlord Source System].[All]" dimensionUniqueName="[PMTProject_Contact_Landlord]" displayFolder="" count="0" unbalanced="0"/>
    <cacheHierarchy uniqueName="[PMTProject_Contact_Landlord].[PMT Landlord State Code]" caption="PMT Landlord State Code" attribute="1" defaultMemberUniqueName="[PMTProject_Contact_Landlord].[PMT Landlord State Code].[All]" allUniqueName="[PMTProject_Contact_Landlord].[PMT Landlord State Code].[All]" dimensionUniqueName="[PMTProject_Contact_Landlord]" displayFolder="" count="0" unbalanced="0"/>
    <cacheHierarchy uniqueName="[PMTProject_Contact_Landlord].[PMT Landlord Title]" caption="PMT Landlord Title" attribute="1" defaultMemberUniqueName="[PMTProject_Contact_Landlord].[PMT Landlord Title].[All]" allUniqueName="[PMTProject_Contact_Landlord].[PMT Landlord Title].[All]" dimensionUniqueName="[PMTProject_Contact_Landlord]" displayFolder="" count="0" unbalanced="0"/>
    <cacheHierarchy uniqueName="[PMTProject_Contact_Landlord].[PMT Landlord Type Code]" caption="PMT Landlord Type Code" attribute="1" defaultMemberUniqueName="[PMTProject_Contact_Landlord].[PMT Landlord Type Code].[All]" allUniqueName="[PMTProject_Contact_Landlord].[PMT Landlord Type Code].[All]" dimensionUniqueName="[PMTProject_Contact_Landlord]" displayFolder="" count="0" unbalanced="0"/>
    <cacheHierarchy uniqueName="[PMTProject_Contact_Landlord].[PMT Landlord Type Description]" caption="PMT Landlord Type Description" attribute="1" defaultMemberUniqueName="[PMTProject_Contact_Landlord].[PMT Landlord Type Description].[All]" allUniqueName="[PMTProject_Contact_Landlord].[PMT Landlord Type Description].[All]" dimensionUniqueName="[PMTProject_Contact_Landlord]" displayFolder="" count="0" unbalanced="0"/>
    <cacheHierarchy uniqueName="[PMTProject_Contact_Landlord].[PMT Landlord Unique Business Key]" caption="PMT Landlord Unique Business Key" attribute="1" defaultMemberUniqueName="[PMTProject_Contact_Landlord].[PMT Landlord Unique Business Key].[All]" allUniqueName="[PMTProject_Contact_Landlord].[PMT Landlord Unique Business Key].[All]" dimensionUniqueName="[PMTProject_Contact_Landlord]" displayFolder="" count="0" unbalanced="0"/>
    <cacheHierarchy uniqueName="[PMTProject_Contact_Landlord].[PMT Landlord Unique Contact Key]" caption="PMT Landlord Unique Contact Key" attribute="1" defaultMemberUniqueName="[PMTProject_Contact_Landlord].[PMT Landlord Unique Contact Key].[All]" allUniqueName="[PMTProject_Contact_Landlord].[PMT Landlord Unique Contact Key].[All]" dimensionUniqueName="[PMTProject_Contact_Landlord]" displayFolder="" count="0" unbalanced="0"/>
    <cacheHierarchy uniqueName="[PMTProject_Contact_Landlord].[PMT Landlord Work Phone Extension]" caption="PMT Landlord Work Phone Extension" attribute="1" defaultMemberUniqueName="[PMTProject_Contact_Landlord].[PMT Landlord Work Phone Extension].[All]" allUniqueName="[PMTProject_Contact_Landlord].[PMT Landlord Work Phone Extension].[All]" dimensionUniqueName="[PMTProject_Contact_Landlord]" displayFolder="" count="0" unbalanced="0"/>
    <cacheHierarchy uniqueName="[PMTProject_Contact_Landlord].[PMT Landlord Work Phone Number]" caption="PMT Landlord Work Phone Number" attribute="1" defaultMemberUniqueName="[PMTProject_Contact_Landlord].[PMT Landlord Work Phone Number].[All]" allUniqueName="[PMTProject_Contact_Landlord].[PMT Landlord Work Phone Number].[All]" dimensionUniqueName="[PMTProject_Contact_Landlord]" displayFolder="" count="0" unbalanced="0"/>
    <cacheHierarchy uniqueName="[PMTPurchaseDate].[DateKey]" caption="DateKey" attribute="1" defaultMemberUniqueName="[PMTPurchaseDate].[DateKey].[All]" allUniqueName="[PMTPurchaseDate].[DateKey].[All]" dimensionUniqueName="[PMTPurchaseDate]" displayFolder="" count="0" unbalanced="0"/>
    <cacheHierarchy uniqueName="[PMTPurchaseDate].[HierPMTPurchaseDatePY]" caption="HierPMTPurchaseDatePY" defaultMemberUniqueName="[PMTPurchaseDate].[HierPMTPurchaseDatePY].[All]" allUniqueName="[PMTPurchaseDate].[HierPMTPurchaseDatePY].[All]" dimensionUniqueName="[PMTPurchaseDate]" displayFolder="" count="4" unbalanced="0"/>
    <cacheHierarchy uniqueName="[PMTPurchaseDate].[HierPMTPurchaseDateYear]" caption="HierPMTPurchaseDateYear" defaultMemberUniqueName="[PMTPurchaseDate].[HierPMTPurchaseDateYear].[All]" allUniqueName="[PMTPurchaseDate].[HierPMTPurchaseDateYear].[All]" dimensionUniqueName="[PMTPurchaseDate]" displayFolder="" count="4" unbalanced="0"/>
    <cacheHierarchy uniqueName="[PMTPurchaseDate].[PMT Purchase Date]" caption="PMT Purchase Date" attribute="1" defaultMemberUniqueName="[PMTPurchaseDate].[PMT Purchase Date].[All]" allUniqueName="[PMTPurchaseDate].[PMT Purchase Date].[All]" dimensionUniqueName="[PMTPurchaseDate]" displayFolder="" count="0" unbalanced="0"/>
    <cacheHierarchy uniqueName="[PMTPurchaseDate].[PMT Purchase DayOfMonth]" caption="PMT Purchase DayOfMonth" attribute="1" defaultMemberUniqueName="[PMTPurchaseDate].[PMT Purchase DayOfMonth].[All]" allUniqueName="[PMTPurchaseDate].[PMT Purchase DayOfMonth].[All]" dimensionUniqueName="[PMTPurchaseDate]" displayFolder="" count="0" unbalanced="0"/>
    <cacheHierarchy uniqueName="[PMTPurchaseDate].[PMT Purchase DayOfWeek]" caption="PMT Purchase DayOfWeek" attribute="1" defaultMemberUniqueName="[PMTPurchaseDate].[PMT Purchase DayOfWeek].[All]" allUniqueName="[PMTPurchaseDate].[PMT Purchase DayOfWeek].[All]" dimensionUniqueName="[PMTPurchaseDate]" displayFolder="" count="0" unbalanced="0"/>
    <cacheHierarchy uniqueName="[PMTPurchaseDate].[PMT Purchase DayOfWeekName]" caption="PMT Purchase DayOfWeekName" attribute="1" defaultMemberUniqueName="[PMTPurchaseDate].[PMT Purchase DayOfWeekName].[All]" allUniqueName="[PMTPurchaseDate].[PMT Purchase DayOfWeekName].[All]" dimensionUniqueName="[PMTPurchaseDate]" displayFolder="" count="0" unbalanced="0"/>
    <cacheHierarchy uniqueName="[PMTPurchaseDate].[PMT Purchase DayOfYear]" caption="PMT Purchase DayOfYear" attribute="1" defaultMemberUniqueName="[PMTPurchaseDate].[PMT Purchase DayOfYear].[All]" allUniqueName="[PMTPurchaseDate].[PMT Purchase DayOfYear].[All]" dimensionUniqueName="[PMTPurchaseDate]" displayFolder="" count="0" unbalanced="0"/>
    <cacheHierarchy uniqueName="[PMTPurchaseDate].[PMT Purchase HolidayInd]" caption="PMT Purchase HolidayInd" attribute="1" defaultMemberUniqueName="[PMTPurchaseDate].[PMT Purchase HolidayInd].[All]" allUniqueName="[PMTPurchaseDate].[PMT Purchase HolidayInd].[All]" dimensionUniqueName="[PMTPurchaseDate]" displayFolder="" count="0" unbalanced="0"/>
    <cacheHierarchy uniqueName="[PMTPurchaseDate].[PMT Purchase HolidayName]" caption="PMT Purchase HolidayName" attribute="1" defaultMemberUniqueName="[PMTPurchaseDate].[PMT Purchase HolidayName].[All]" allUniqueName="[PMTPurchaseDate].[PMT Purchase HolidayName].[All]" dimensionUniqueName="[PMTPurchaseDate]" displayFolder="" count="0" unbalanced="0"/>
    <cacheHierarchy uniqueName="[PMTPurchaseDate].[PMT Purchase LastDateOfMonth]" caption="PMT Purchase LastDateOfMonth" attribute="1" defaultMemberUniqueName="[PMTPurchaseDate].[PMT Purchase LastDateOfMonth].[All]" allUniqueName="[PMTPurchaseDate].[PMT Purchase LastDateOfMonth].[All]" dimensionUniqueName="[PMTPurchaseDate]" displayFolder="" count="0" unbalanced="0"/>
    <cacheHierarchy uniqueName="[PMTPurchaseDate].[PMT Purchase LastDayOfMonthIndicator]" caption="PMT Purchase LastDayOfMonthIndicator" attribute="1" defaultMemberUniqueName="[PMTPurchaseDate].[PMT Purchase LastDayOfMonthIndicator].[All]" allUniqueName="[PMTPurchaseDate].[PMT Purchase LastDayOfMonthIndicator].[All]" dimensionUniqueName="[PMTPurchaseDate]" displayFolder="" count="0" unbalanced="0"/>
    <cacheHierarchy uniqueName="[PMTPurchaseDate].[PMT Purchase Month]" caption="PMT Purchase Month" attribute="1" defaultMemberUniqueName="[PMTPurchaseDate].[PMT Purchase Month].[All]" allUniqueName="[PMTPurchaseDate].[PMT Purchase Month].[All]" dimensionUniqueName="[PMTPurchaseDate]" displayFolder="" count="0" unbalanced="0"/>
    <cacheHierarchy uniqueName="[PMTPurchaseDate].[PMT Purchase MonthNbr]" caption="PMT Purchase MonthNbr" attribute="1" defaultMemberUniqueName="[PMTPurchaseDate].[PMT Purchase MonthNbr].[All]" allUniqueName="[PMTPurchaseDate].[PMT Purchase MonthNbr].[All]" dimensionUniqueName="[PMTPurchaseDate]" displayFolder="" count="0" unbalanced="0"/>
    <cacheHierarchy uniqueName="[PMTPurchaseDate].[PMT Purchase Plan Month and Year]" caption="PMT Purchase Plan Month and Year" attribute="1" defaultMemberUniqueName="[PMTPurchaseDate].[PMT Purchase Plan Month and Year].[All]" allUniqueName="[PMTPurchaseDate].[PMT Purchase Plan Month and Year].[All]" dimensionUniqueName="[PMTPurchaseDate]" displayFolder="" count="0" unbalanced="0"/>
    <cacheHierarchy uniqueName="[PMTPurchaseDate].[PMT Purchase Plan Month Number]" caption="PMT Purchase Plan Month Number" attribute="1" defaultMemberUniqueName="[PMTPurchaseDate].[PMT Purchase Plan Month Number].[All]" allUniqueName="[PMTPurchaseDate].[PMT Purchase Plan Month Number].[All]" dimensionUniqueName="[PMTPurchaseDate]" displayFolder="" count="0" unbalanced="0"/>
    <cacheHierarchy uniqueName="[PMTPurchaseDate].[PMT Purchase Plan Quarter Number]" caption="PMT Purchase Plan Quarter Number" attribute="1" defaultMemberUniqueName="[PMTPurchaseDate].[PMT Purchase Plan Quarter Number].[All]" allUniqueName="[PMTPurchaseDate].[PMT Purchase Plan Quarter Number].[All]" dimensionUniqueName="[PMTPurchaseDate]" displayFolder="" count="0" unbalanced="0"/>
    <cacheHierarchy uniqueName="[PMTPurchaseDate].[PMT Purchase PY]" caption="PMT Purchase PY" attribute="1" defaultMemberUniqueName="[PMTPurchaseDate].[PMT Purchase PY].[All]" allUniqueName="[PMTPurchaseDate].[PMT Purchase PY].[All]" dimensionUniqueName="[PMTPurchaseDate]" displayFolder="" count="0" unbalanced="0"/>
    <cacheHierarchy uniqueName="[PMTPurchaseDate].[PMT Purchase Qtr]" caption="PMT Purchase Qtr" attribute="1" defaultMemberUniqueName="[PMTPurchaseDate].[PMT Purchase Qtr].[All]" allUniqueName="[PMTPurchaseDate].[PMT Purchase Qtr].[All]" dimensionUniqueName="[PMTPurchaseDate]" displayFolder="" count="0" unbalanced="0"/>
    <cacheHierarchy uniqueName="[PMTPurchaseDate].[PMT Purchase Semester]" caption="PMT Purchase Semester" attribute="1" defaultMemberUniqueName="[PMTPurchaseDate].[PMT Purchase Semester].[All]" allUniqueName="[PMTPurchaseDate].[PMT Purchase Semester].[All]" dimensionUniqueName="[PMTPurchaseDate]" displayFolder="" count="0" unbalanced="0"/>
    <cacheHierarchy uniqueName="[PMTPurchaseDate].[PMT Purchase WeekdayWeekend]" caption="PMT Purchase WeekdayWeekend" attribute="1" defaultMemberUniqueName="[PMTPurchaseDate].[PMT Purchase WeekdayWeekend].[All]" allUniqueName="[PMTPurchaseDate].[PMT Purchase WeekdayWeekend].[All]" dimensionUniqueName="[PMTPurchaseDate]" displayFolder="" count="0" unbalanced="0"/>
    <cacheHierarchy uniqueName="[PMTPurchaseDate].[PMT Purchase WeekOfMonth]" caption="PMT Purchase WeekOfMonth" attribute="1" defaultMemberUniqueName="[PMTPurchaseDate].[PMT Purchase WeekOfMonth].[All]" allUniqueName="[PMTPurchaseDate].[PMT Purchase WeekOfMonth].[All]" dimensionUniqueName="[PMTPurchaseDate]" displayFolder="" count="0" unbalanced="0"/>
    <cacheHierarchy uniqueName="[PMTPurchaseDate].[PMT Purchase WeekOfYear]" caption="PMT Purchase WeekOfYear" attribute="1" defaultMemberUniqueName="[PMTPurchaseDate].[PMT Purchase WeekOfYear].[All]" allUniqueName="[PMTPurchaseDate].[PMT Purchase WeekOfYear].[All]" dimensionUniqueName="[PMTPurchaseDate]" displayFolder="" count="0" unbalanced="0"/>
    <cacheHierarchy uniqueName="[PMTPurchaseDate].[PMT Purchase WorkingDayInd]" caption="PMT Purchase WorkingDayInd" attribute="1" defaultMemberUniqueName="[PMTPurchaseDate].[PMT Purchase WorkingDayInd].[All]" allUniqueName="[PMTPurchaseDate].[PMT Purchase WorkingDayInd].[All]" dimensionUniqueName="[PMTPurchaseDate]" displayFolder="" count="0" unbalanced="0"/>
    <cacheHierarchy uniqueName="[PMTPurchaseDate].[PMT Purchase Year]" caption="PMT Purchase Year" attribute="1" defaultMemberUniqueName="[PMTPurchaseDate].[PMT Purchase Year].[All]" allUniqueName="[PMTPurchaseDate].[PMT Purchase Year].[All]" dimensionUniqueName="[PMTPurchaseDate]" displayFolder="" count="0" unbalanced="0"/>
    <cacheHierarchy uniqueName="[PMTPurchaseDate].[PMT Purchase YearMonthAsInteger]" caption="PMT Purchase YearMonthAsInteger" attribute="1" defaultMemberUniqueName="[PMTPurchaseDate].[PMT Purchase YearMonthAsInteger].[All]" allUniqueName="[PMTPurchaseDate].[PMT Purchase YearMonthAsInteger].[All]" dimensionUniqueName="[PMTPurchaseDate]" displayFolder="" count="0" unbalanced="0"/>
    <cacheHierarchy uniqueName="[PMTPurchaseDate].[PMT Purchase YearQuarterAsInteger]" caption="PMT Purchase YearQuarterAsInteger" attribute="1" defaultMemberUniqueName="[PMTPurchaseDate].[PMT Purchase YearQuarterAsInteger].[All]" allUniqueName="[PMTPurchaseDate].[PMT Purchase YearQuarterAsInteger].[All]" dimensionUniqueName="[PMTPurchaseDate]" displayFolder="" count="0" unbalanced="0"/>
    <cacheHierarchy uniqueName="[PMTPurchaseDate].[PMT Purchase YearSemesterAsInteger]" caption="PMT Purchase YearSemesterAsInteger" attribute="1" defaultMemberUniqueName="[PMTPurchaseDate].[PMT Purchase YearSemesterAsInteger].[All]" allUniqueName="[PMTPurchaseDate].[PMT Purchase YearSemesterAsInteger].[All]" dimensionUniqueName="[PMTPurchaseDate]" displayFolder="" count="0" unbalanced="0"/>
    <cacheHierarchy uniqueName="[PMTRptRefDate].[HierPMTRptRefDatePY]" caption="HierPMTRptRefDatePY" defaultMemberUniqueName="[PMTRptRefDate].[HierPMTRptRefDatePY].[All]" allUniqueName="[PMTRptRefDate].[HierPMTRptRefDatePY].[All]" dimensionUniqueName="[PMTRptRefDate]" displayFolder="" count="4" unbalanced="0"/>
    <cacheHierarchy uniqueName="[PMTRptRefDate].[HierPMTRptRefDateYear]" caption="HierPMTRptRefDateYear" defaultMemberUniqueName="[PMTRptRefDate].[HierPMTRptRefDateYear].[All]" allUniqueName="[PMTRptRefDate].[HierPMTRptRefDateYear].[All]" dimensionUniqueName="[PMTRptRefDate]" displayFolder="" count="4" unbalanced="0"/>
    <cacheHierarchy uniqueName="[PMTRptRefDate].[PMT RptRef Date]" caption="PMT RptRef Date" attribute="1" defaultMemberUniqueName="[PMTRptRefDate].[PMT RptRef Date].[All]" allUniqueName="[PMTRptRefDate].[PMT RptRef Date].[All]" dimensionUniqueName="[PMTRptRefDate]" displayFolder="" count="0" unbalanced="0"/>
    <cacheHierarchy uniqueName="[PMTRptRefDate].[PMT RptRef DayOfMonth]" caption="PMT RptRef DayOfMonth" attribute="1" defaultMemberUniqueName="[PMTRptRefDate].[PMT RptRef DayOfMonth].[All]" allUniqueName="[PMTRptRefDate].[PMT RptRef DayOfMonth].[All]" dimensionUniqueName="[PMTRptRefDate]" displayFolder="" count="0" unbalanced="0"/>
    <cacheHierarchy uniqueName="[PMTRptRefDate].[PMT RptRef DayOfWeek]" caption="PMT RptRef DayOfWeek" attribute="1" defaultMemberUniqueName="[PMTRptRefDate].[PMT RptRef DayOfWeek].[All]" allUniqueName="[PMTRptRefDate].[PMT RptRef DayOfWeek].[All]" dimensionUniqueName="[PMTRptRefDate]" displayFolder="" count="0" unbalanced="0"/>
    <cacheHierarchy uniqueName="[PMTRptRefDate].[PMT RptRef DayOfWeekName]" caption="PMT RptRef DayOfWeekName" attribute="1" defaultMemberUniqueName="[PMTRptRefDate].[PMT RptRef DayOfWeekName].[All]" allUniqueName="[PMTRptRefDate].[PMT RptRef DayOfWeekName].[All]" dimensionUniqueName="[PMTRptRefDate]" displayFolder="" count="0" unbalanced="0"/>
    <cacheHierarchy uniqueName="[PMTRptRefDate].[PMT RptRef DayOfYear]" caption="PMT RptRef DayOfYear" attribute="1" defaultMemberUniqueName="[PMTRptRefDate].[PMT RptRef DayOfYear].[All]" allUniqueName="[PMTRptRefDate].[PMT RptRef DayOfYear].[All]" dimensionUniqueName="[PMTRptRefDate]" displayFolder="" count="0" unbalanced="0"/>
    <cacheHierarchy uniqueName="[PMTRptRefDate].[PMT RptRef HolidayInd]" caption="PMT RptRef HolidayInd" attribute="1" defaultMemberUniqueName="[PMTRptRefDate].[PMT RptRef HolidayInd].[All]" allUniqueName="[PMTRptRefDate].[PMT RptRef HolidayInd].[All]" dimensionUniqueName="[PMTRptRefDate]" displayFolder="" count="0" unbalanced="0"/>
    <cacheHierarchy uniqueName="[PMTRptRefDate].[PMT RptRef HolidayName]" caption="PMT RptRef HolidayName" attribute="1" defaultMemberUniqueName="[PMTRptRefDate].[PMT RptRef HolidayName].[All]" allUniqueName="[PMTRptRefDate].[PMT RptRef HolidayName].[All]" dimensionUniqueName="[PMTRptRefDate]" displayFolder="" count="0" unbalanced="0"/>
    <cacheHierarchy uniqueName="[PMTRptRefDate].[PMT RptRef LastDateOfMonth]" caption="PMT RptRef LastDateOfMonth" attribute="1" defaultMemberUniqueName="[PMTRptRefDate].[PMT RptRef LastDateOfMonth].[All]" allUniqueName="[PMTRptRefDate].[PMT RptRef LastDateOfMonth].[All]" dimensionUniqueName="[PMTRptRefDate]" displayFolder="" count="0" unbalanced="0"/>
    <cacheHierarchy uniqueName="[PMTRptRefDate].[PMT RptRef LastDayOfMonthIndicator]" caption="PMT RptRef LastDayOfMonthIndicator" attribute="1" defaultMemberUniqueName="[PMTRptRefDate].[PMT RptRef LastDayOfMonthIndicator].[All]" allUniqueName="[PMTRptRefDate].[PMT RptRef LastDayOfMonthIndicator].[All]" dimensionUniqueName="[PMTRptRefDate]" displayFolder="" count="0" unbalanced="0"/>
    <cacheHierarchy uniqueName="[PMTRptRefDate].[PMT RptRef Month]" caption="PMT RptRef Month" attribute="1" defaultMemberUniqueName="[PMTRptRefDate].[PMT RptRef Month].[All]" allUniqueName="[PMTRptRefDate].[PMT RptRef Month].[All]" dimensionUniqueName="[PMTRptRefDate]" displayFolder="" count="0" unbalanced="0"/>
    <cacheHierarchy uniqueName="[PMTRptRefDate].[PMT RptRef MonthNbr]" caption="PMT RptRef MonthNbr" attribute="1" defaultMemberUniqueName="[PMTRptRefDate].[PMT RptRef MonthNbr].[All]" allUniqueName="[PMTRptRefDate].[PMT RptRef MonthNbr].[All]" dimensionUniqueName="[PMTRptRefDate]" displayFolder="" count="0" unbalanced="0"/>
    <cacheHierarchy uniqueName="[PMTRptRefDate].[PMT RptRef Plan Month and Year]" caption="PMT RptRef Plan Month and Year" attribute="1" defaultMemberUniqueName="[PMTRptRefDate].[PMT RptRef Plan Month and Year].[All]" allUniqueName="[PMTRptRefDate].[PMT RptRef Plan Month and Year].[All]" dimensionUniqueName="[PMTRptRefDate]" displayFolder="" count="0" unbalanced="0"/>
    <cacheHierarchy uniqueName="[PMTRptRefDate].[PMT RptRef Plan Month Number]" caption="PMT RptRef Plan Month Number" attribute="1" defaultMemberUniqueName="[PMTRptRefDate].[PMT RptRef Plan Month Number].[All]" allUniqueName="[PMTRptRefDate].[PMT RptRef Plan Month Number].[All]" dimensionUniqueName="[PMTRptRefDate]" displayFolder="" count="0" unbalanced="0"/>
    <cacheHierarchy uniqueName="[PMTRptRefDate].[PMT RptRef Plan Quarter Number]" caption="PMT RptRef Plan Quarter Number" attribute="1" defaultMemberUniqueName="[PMTRptRefDate].[PMT RptRef Plan Quarter Number].[All]" allUniqueName="[PMTRptRefDate].[PMT RptRef Plan Quarter Number].[All]" dimensionUniqueName="[PMTRptRefDate]" displayFolder="" count="0" unbalanced="0"/>
    <cacheHierarchy uniqueName="[PMTRptRefDate].[PMT RptRef PY]" caption="PMT RptRef PY" attribute="1" defaultMemberUniqueName="[PMTRptRefDate].[PMT RptRef PY].[All]" allUniqueName="[PMTRptRefDate].[PMT RptRef PY].[All]" dimensionUniqueName="[PMTRptRefDate]" displayFolder="" count="0" unbalanced="0"/>
    <cacheHierarchy uniqueName="[PMTRptRefDate].[PMT RptRef Qtr]" caption="PMT RptRef Qtr" attribute="1" defaultMemberUniqueName="[PMTRptRefDate].[PMT RptRef Qtr].[All]" allUniqueName="[PMTRptRefDate].[PMT RptRef Qtr].[All]" dimensionUniqueName="[PMTRptRefDate]" displayFolder="" count="0" unbalanced="0"/>
    <cacheHierarchy uniqueName="[PMTRptRefDate].[PMT RptRef Semester]" caption="PMT RptRef Semester" attribute="1" defaultMemberUniqueName="[PMTRptRefDate].[PMT RptRef Semester].[All]" allUniqueName="[PMTRptRefDate].[PMT RptRef Semester].[All]" dimensionUniqueName="[PMTRptRefDate]" displayFolder="" count="0" unbalanced="0"/>
    <cacheHierarchy uniqueName="[PMTRptRefDate].[PMT RptRef WeekdayWeekend]" caption="PMT RptRef WeekdayWeekend" attribute="1" defaultMemberUniqueName="[PMTRptRefDate].[PMT RptRef WeekdayWeekend].[All]" allUniqueName="[PMTRptRefDate].[PMT RptRef WeekdayWeekend].[All]" dimensionUniqueName="[PMTRptRefDate]" displayFolder="" count="0" unbalanced="0"/>
    <cacheHierarchy uniqueName="[PMTRptRefDate].[PMT RptRef WeekOfMonth]" caption="PMT RptRef WeekOfMonth" attribute="1" defaultMemberUniqueName="[PMTRptRefDate].[PMT RptRef WeekOfMonth].[All]" allUniqueName="[PMTRptRefDate].[PMT RptRef WeekOfMonth].[All]" dimensionUniqueName="[PMTRptRefDate]" displayFolder="" count="0" unbalanced="0"/>
    <cacheHierarchy uniqueName="[PMTRptRefDate].[PMT RptRef WeekOfYear]" caption="PMT RptRef WeekOfYear" attribute="1" defaultMemberUniqueName="[PMTRptRefDate].[PMT RptRef WeekOfYear].[All]" allUniqueName="[PMTRptRefDate].[PMT RptRef WeekOfYear].[All]" dimensionUniqueName="[PMTRptRefDate]" displayFolder="" count="0" unbalanced="0"/>
    <cacheHierarchy uniqueName="[PMTRptRefDate].[PMT RptRef WorkingDayInd]" caption="PMT RptRef WorkingDayInd" attribute="1" defaultMemberUniqueName="[PMTRptRefDate].[PMT RptRef WorkingDayInd].[All]" allUniqueName="[PMTRptRefDate].[PMT RptRef WorkingDayInd].[All]" dimensionUniqueName="[PMTRptRefDate]" displayFolder="" count="0" unbalanced="0"/>
    <cacheHierarchy uniqueName="[PMTRptRefDate].[PMT RptRef Year]" caption="PMT RptRef Year" attribute="1" defaultMemberUniqueName="[PMTRptRefDate].[PMT RptRef Year].[All]" allUniqueName="[PMTRptRefDate].[PMT RptRef Year].[All]" dimensionUniqueName="[PMTRptRefDate]" displayFolder="" count="0" unbalanced="0"/>
    <cacheHierarchy uniqueName="[PMTRptRefDate].[PMT RptRef YearMonthAsInteger]" caption="PMT RptRef YearMonthAsInteger" attribute="1" defaultMemberUniqueName="[PMTRptRefDate].[PMT RptRef YearMonthAsInteger].[All]" allUniqueName="[PMTRptRefDate].[PMT RptRef YearMonthAsInteger].[All]" dimensionUniqueName="[PMTRptRefDate]" displayFolder="" count="0" unbalanced="0"/>
    <cacheHierarchy uniqueName="[PMTRptRefDate].[PMT RptRef YearQuarterAsInteger]" caption="PMT RptRef YearQuarterAsInteger" attribute="1" defaultMemberUniqueName="[PMTRptRefDate].[PMT RptRef YearQuarterAsInteger].[All]" allUniqueName="[PMTRptRefDate].[PMT RptRef YearQuarterAsInteger].[All]" dimensionUniqueName="[PMTRptRefDate]" displayFolder="" count="0" unbalanced="0"/>
    <cacheHierarchy uniqueName="[PMTRptRefDate].[PMT RptRef YearSemesterAsInteger]" caption="PMT RptRef YearSemesterAsInteger" attribute="1" defaultMemberUniqueName="[PMTRptRefDate].[PMT RptRef YearSemesterAsInteger].[All]" allUniqueName="[PMTRptRefDate].[PMT RptRef YearSemesterAsInteger].[All]" dimensionUniqueName="[PMTRptRefDate]" displayFolder="" count="0" unbalanced="0"/>
    <cacheHierarchy uniqueName="[PMTYearBuiltLevelFilter].[PMT Contruction Year Level]" caption="PMT Contruction Year Level" attribute="1" defaultMemberUniqueName="[PMTYearBuiltLevelFilter].[PMT Contruction Year Level].[All]" allUniqueName="[PMTYearBuiltLevelFilter].[PMT Contruction Year Level].[All]" dimensionUniqueName="[PMTYearBuiltLevelFilter]" displayFolder="" count="0" unbalanced="0"/>
    <cacheHierarchy uniqueName="[Project_LastRenovationDate].[HierLastMajorRenovationDatePY]" caption="HierLastMajorRenovationDatePY" defaultMemberUniqueName="[Project_LastRenovationDate].[HierLastMajorRenovationDatePY].[All]" allUniqueName="[Project_LastRenovationDate].[HierLastMajorRenovationDatePY].[All]" dimensionUniqueName="[Project_LastRenovationDate]" displayFolder="" count="4" unbalanced="0"/>
    <cacheHierarchy uniqueName="[Project_LastRenovationDate].[HierLastMajorRenovationDateYear]" caption="HierLastMajorRenovationDateYear" defaultMemberUniqueName="[Project_LastRenovationDate].[HierLastMajorRenovationDateYear].[All]" allUniqueName="[Project_LastRenovationDate].[HierLastMajorRenovationDateYear].[All]" dimensionUniqueName="[Project_LastRenovationDate]" displayFolder="" count="4" unbalanced="0"/>
    <cacheHierarchy uniqueName="[Project_LastRenovationDate].[LastRenovation  Day Of Year]" caption="LastRenovation  Day Of Year" attribute="1" defaultMemberUniqueName="[Project_LastRenovationDate].[LastRenovation  Day Of Year].[All]" allUniqueName="[Project_LastRenovationDate].[LastRenovation  Day Of Year].[All]" dimensionUniqueName="[Project_LastRenovationDate]" displayFolder="" count="0" unbalanced="0"/>
    <cacheHierarchy uniqueName="[Project_LastRenovationDate].[LastRenovation  Holiday Name]" caption="LastRenovation  Holiday Name" attribute="1" defaultMemberUniqueName="[Project_LastRenovationDate].[LastRenovation  Holiday Name].[All]" allUniqueName="[Project_LastRenovationDate].[LastRenovation  Holiday Name].[All]" dimensionUniqueName="[Project_LastRenovationDate]" displayFolder="" count="0" unbalanced="0"/>
    <cacheHierarchy uniqueName="[Project_LastRenovationDate].[LastRenovation  Month]" caption="LastRenovation  Month" attribute="1" defaultMemberUniqueName="[Project_LastRenovationDate].[LastRenovation  Month].[All]" allUniqueName="[Project_LastRenovationDate].[LastRenovation  Month].[All]" dimensionUniqueName="[Project_LastRenovationDate]" displayFolder="" count="0" unbalanced="0"/>
    <cacheHierarchy uniqueName="[Project_LastRenovationDate].[LastRenovation  Month Nbr]" caption="LastRenovation  Month Nbr" attribute="1" defaultMemberUniqueName="[Project_LastRenovationDate].[LastRenovation  Month Nbr].[All]" allUniqueName="[Project_LastRenovationDate].[LastRenovation  Month Nbr].[All]" dimensionUniqueName="[Project_LastRenovationDate]" displayFolder="" count="0" unbalanced="0"/>
    <cacheHierarchy uniqueName="[Project_LastRenovationDate].[LastRenovation  PY]" caption="LastRenovation  PY" attribute="1" defaultMemberUniqueName="[Project_LastRenovationDate].[LastRenovation  PY].[All]" allUniqueName="[Project_LastRenovationDate].[LastRenovation  PY].[All]" dimensionUniqueName="[Project_LastRenovationDate]" displayFolder="" count="0" unbalanced="0"/>
    <cacheHierarchy uniqueName="[Project_LastRenovationDate].[LastRenovation  Qtr]" caption="LastRenovation  Qtr" attribute="1" defaultMemberUniqueName="[Project_LastRenovationDate].[LastRenovation  Qtr].[All]" allUniqueName="[Project_LastRenovationDate].[LastRenovation  Qtr].[All]" dimensionUniqueName="[Project_LastRenovationDate]" displayFolder="" count="0" unbalanced="0"/>
    <cacheHierarchy uniqueName="[Project_LastRenovationDate].[LastRenovation  Semester]" caption="LastRenovation  Semester" attribute="1" defaultMemberUniqueName="[Project_LastRenovationDate].[LastRenovation  Semester].[All]" allUniqueName="[Project_LastRenovationDate].[LastRenovation  Semester].[All]" dimensionUniqueName="[Project_LastRenovationDate]" displayFolder="" count="0" unbalanced="0"/>
    <cacheHierarchy uniqueName="[Project_LastRenovationDate].[LastRenovation  Weekday Weekend]" caption="LastRenovation  Weekday Weekend" attribute="1" defaultMemberUniqueName="[Project_LastRenovationDate].[LastRenovation  Weekday Weekend].[All]" allUniqueName="[Project_LastRenovationDate].[LastRenovation  Weekday Weekend].[All]" dimensionUniqueName="[Project_LastRenovationDate]" displayFolder="" count="0" unbalanced="0"/>
    <cacheHierarchy uniqueName="[Project_LastRenovationDate].[LastRenovation  Working Day Ind]" caption="LastRenovation  Working Day Ind" attribute="1" defaultMemberUniqueName="[Project_LastRenovationDate].[LastRenovation  Working Day Ind].[All]" allUniqueName="[Project_LastRenovationDate].[LastRenovation  Working Day Ind].[All]" dimensionUniqueName="[Project_LastRenovationDate]" displayFolder="" count="0" unbalanced="0"/>
    <cacheHierarchy uniqueName="[Project_LastRenovationDate].[LastRenovation Date]" caption="LastRenovation Date" attribute="1" defaultMemberUniqueName="[Project_LastRenovationDate].[LastRenovation Date].[All]" allUniqueName="[Project_LastRenovationDate].[LastRenovation Date].[All]" dimensionUniqueName="[Project_LastRenovationDate]" displayFolder="" count="0" unbalanced="0"/>
    <cacheHierarchy uniqueName="[Project_LastRenovationDate].[LastRenovation Day Of Month]" caption="LastRenovation Day Of Month" attribute="1" defaultMemberUniqueName="[Project_LastRenovationDate].[LastRenovation Day Of Month].[All]" allUniqueName="[Project_LastRenovationDate].[LastRenovation Day Of Month].[All]" dimensionUniqueName="[Project_LastRenovationDate]" displayFolder="" count="0" unbalanced="0"/>
    <cacheHierarchy uniqueName="[Project_LastRenovationDate].[LastRenovation Day Of Week]" caption="LastRenovation Day Of Week" attribute="1" defaultMemberUniqueName="[Project_LastRenovationDate].[LastRenovation Day Of Week].[All]" allUniqueName="[Project_LastRenovationDate].[LastRenovation Day Of Week].[All]" dimensionUniqueName="[Project_LastRenovationDate]" displayFolder="" count="0" unbalanced="0"/>
    <cacheHierarchy uniqueName="[Project_LastRenovationDate].[LastRenovation Day Of Week Name]" caption="LastRenovation Day Of Week Name" attribute="1" defaultMemberUniqueName="[Project_LastRenovationDate].[LastRenovation Day Of Week Name].[All]" allUniqueName="[Project_LastRenovationDate].[LastRenovation Day Of Week Name].[All]" dimensionUniqueName="[Project_LastRenovationDate]" displayFolder="" count="0" unbalanced="0"/>
    <cacheHierarchy uniqueName="[Project_LastRenovationDate].[LastRenovation Holiday Ind]" caption="LastRenovation Holiday Ind" attribute="1" defaultMemberUniqueName="[Project_LastRenovationDate].[LastRenovation Holiday Ind].[All]" allUniqueName="[Project_LastRenovationDate].[LastRenovation Holiday Ind].[All]" dimensionUniqueName="[Project_LastRenovationDate]" displayFolder="" count="0" unbalanced="0"/>
    <cacheHierarchy uniqueName="[Project_LastRenovationDate].[LastRenovation Last Date Of Month]" caption="LastRenovation Last Date Of Month" attribute="1" defaultMemberUniqueName="[Project_LastRenovationDate].[LastRenovation Last Date Of Month].[All]" allUniqueName="[Project_LastRenovationDate].[LastRenovation Last Date Of Month].[All]" dimensionUniqueName="[Project_LastRenovationDate]" displayFolder="" count="0" unbalanced="0"/>
    <cacheHierarchy uniqueName="[Project_LastRenovationDate].[LastRenovation Last Day Of Month Indicator]" caption="LastRenovation Last Day Of Month Indicator" attribute="1" defaultMemberUniqueName="[Project_LastRenovationDate].[LastRenovation Last Day Of Month Indicator].[All]" allUniqueName="[Project_LastRenovationDate].[LastRenovation Last Day Of Month Indicator].[All]" dimensionUniqueName="[Project_LastRenovationDate]" displayFolder="" count="0" unbalanced="0"/>
    <cacheHierarchy uniqueName="[Project_LastRenovationDate].[LastRenovation Plan Month and Year]" caption="LastRenovation Plan Month and Year" attribute="1" defaultMemberUniqueName="[Project_LastRenovationDate].[LastRenovation Plan Month and Year].[All]" allUniqueName="[Project_LastRenovationDate].[LastRenovation Plan Month and Year].[All]" dimensionUniqueName="[Project_LastRenovationDate]" displayFolder="" count="0" unbalanced="0"/>
    <cacheHierarchy uniqueName="[Project_LastRenovationDate].[LastRenovation Plan Month Number]" caption="LastRenovation Plan Month Number" attribute="1" defaultMemberUniqueName="[Project_LastRenovationDate].[LastRenovation Plan Month Number].[All]" allUniqueName="[Project_LastRenovationDate].[LastRenovation Plan Month Number].[All]" dimensionUniqueName="[Project_LastRenovationDate]" displayFolder="" count="0" unbalanced="0"/>
    <cacheHierarchy uniqueName="[Project_LastRenovationDate].[LastRenovation Plan Quarter Number]" caption="LastRenovation Plan Quarter Number" attribute="1" defaultMemberUniqueName="[Project_LastRenovationDate].[LastRenovation Plan Quarter Number].[All]" allUniqueName="[Project_LastRenovationDate].[LastRenovation Plan Quarter Number].[All]" dimensionUniqueName="[Project_LastRenovationDate]" displayFolder="" count="0" unbalanced="0"/>
    <cacheHierarchy uniqueName="[Project_LastRenovationDate].[LastRenovation Week Of Month]" caption="LastRenovation Week Of Month" attribute="1" defaultMemberUniqueName="[Project_LastRenovationDate].[LastRenovation Week Of Month].[All]" allUniqueName="[Project_LastRenovationDate].[LastRenovation Week Of Month].[All]" dimensionUniqueName="[Project_LastRenovationDate]" displayFolder="" count="0" unbalanced="0"/>
    <cacheHierarchy uniqueName="[Project_LastRenovationDate].[LastRenovation Week Of Year]" caption="LastRenovation Week Of Year" attribute="1" defaultMemberUniqueName="[Project_LastRenovationDate].[LastRenovation Week Of Year].[All]" allUniqueName="[Project_LastRenovationDate].[LastRenovation Week Of Year].[All]" dimensionUniqueName="[Project_LastRenovationDate]" displayFolder="" count="0" unbalanced="0"/>
    <cacheHierarchy uniqueName="[Project_LastRenovationDate].[LastRenovation Year]" caption="LastRenovation Year" attribute="1" defaultMemberUniqueName="[Project_LastRenovationDate].[LastRenovation Year].[All]" allUniqueName="[Project_LastRenovationDate].[LastRenovation Year].[All]" dimensionUniqueName="[Project_LastRenovationDate]" displayFolder="" count="0" unbalanced="0"/>
    <cacheHierarchy uniqueName="[Project_LastRenovationDate].[LastRenovation Year Month As Integer]" caption="LastRenovation Year Month As Integer" attribute="1" defaultMemberUniqueName="[Project_LastRenovationDate].[LastRenovation Year Month As Integer].[All]" allUniqueName="[Project_LastRenovationDate].[LastRenovation Year Month As Integer].[All]" dimensionUniqueName="[Project_LastRenovationDate]" displayFolder="" count="0" unbalanced="0"/>
    <cacheHierarchy uniqueName="[Project_LastRenovationDate].[LastRenovation Year Quarter As Integer]" caption="LastRenovation Year Quarter As Integer" attribute="1" defaultMemberUniqueName="[Project_LastRenovationDate].[LastRenovation Year Quarter As Integer].[All]" allUniqueName="[Project_LastRenovationDate].[LastRenovation Year Quarter As Integer].[All]" dimensionUniqueName="[Project_LastRenovationDate]" displayFolder="" count="0" unbalanced="0"/>
    <cacheHierarchy uniqueName="[Project_LastRenovationDate].[LastRenovation Year Semester As Integer]" caption="LastRenovation Year Semester As Integer" attribute="1" defaultMemberUniqueName="[Project_LastRenovationDate].[LastRenovation Year Semester As Integer].[All]" allUniqueName="[Project_LastRenovationDate].[LastRenovation Year Semester As Integer].[All]" dimensionUniqueName="[Project_LastRenovationDate]" displayFolder="" count="0" unbalanced="0"/>
    <cacheHierarchy uniqueName="[ServiceAgreement_Account].[Bill Cycle Code]" caption="Bill Cycle Code" attribute="1" defaultMemberUniqueName="[ServiceAgreement_Account].[Bill Cycle Code].[All]" allUniqueName="[ServiceAgreement_Account].[Bill Cycle Code].[All]" dimensionUniqueName="[ServiceAgreement_Account]" displayFolder="" count="0" unbalanced="0"/>
    <cacheHierarchy uniqueName="[ServiceAgreement_Account].[Budget Plan Code]" caption="Budget Plan Code" attribute="1" defaultMemberUniqueName="[ServiceAgreement_Account].[Budget Plan Code].[All]" allUniqueName="[ServiceAgreement_Account].[Budget Plan Code].[All]" dimensionUniqueName="[ServiceAgreement_Account]" displayFolder="" count="0" unbalanced="0"/>
    <cacheHierarchy uniqueName="[ServiceAgreement_Account].[Customer Select PoolID]" caption="Customer Select PoolID" attribute="1" defaultMemberUniqueName="[ServiceAgreement_Account].[Customer Select PoolID].[All]" allUniqueName="[ServiceAgreement_Account].[Customer Select PoolID].[All]" dimensionUniqueName="[ServiceAgreement_Account]" displayFolder="" count="0" unbalanced="0"/>
    <cacheHierarchy uniqueName="[ServiceAgreement_Account].[Customer Select Supplier Code]" caption="Customer Select Supplier Code" attribute="1" defaultMemberUniqueName="[ServiceAgreement_Account].[Customer Select Supplier Code].[All]" allUniqueName="[ServiceAgreement_Account].[Customer Select Supplier Code].[All]" dimensionUniqueName="[ServiceAgreement_Account]" displayFolder="" count="0" unbalanced="0"/>
    <cacheHierarchy uniqueName="[ServiceAgreement_Account].[Customer Select Supplier Name]" caption="Customer Select Supplier Name" attribute="1" defaultMemberUniqueName="[ServiceAgreement_Account].[Customer Select Supplier Name].[All]" allUniqueName="[ServiceAgreement_Account].[Customer Select Supplier Name].[All]" dimensionUniqueName="[ServiceAgreement_Account]" displayFolder="" count="0" unbalanced="0"/>
    <cacheHierarchy uniqueName="[ServiceAgreement_Account].[Rate Eff Date]" caption="Rate Eff Date" attribute="1" defaultMemberUniqueName="[ServiceAgreement_Account].[Rate Eff Date].[All]" allUniqueName="[ServiceAgreement_Account].[Rate Eff Date].[All]" dimensionUniqueName="[ServiceAgreement_Account]" displayFolder="" count="0" unbalanced="0"/>
    <cacheHierarchy uniqueName="[ServiceAgreement_Account].[Rate Schedule Code]" caption="Rate Schedule Code" attribute="1" defaultMemberUniqueName="[ServiceAgreement_Account].[Rate Schedule Code].[All]" allUniqueName="[ServiceAgreement_Account].[Rate Schedule Code].[All]" dimensionUniqueName="[ServiceAgreement_Account]" displayFolder="" count="0" unbalanced="0"/>
    <cacheHierarchy uniqueName="[ServiceAgreement_Account].[Rate Schedule Description]" caption="Rate Schedule Description" attribute="1" defaultMemberUniqueName="[ServiceAgreement_Account].[Rate Schedule Description].[All]" allUniqueName="[ServiceAgreement_Account].[Rate Schedule Description].[All]" dimensionUniqueName="[ServiceAgreement_Account]" displayFolder="" count="0" unbalanced="0"/>
    <cacheHierarchy uniqueName="[ServiceAgreement_Account].[Rate Schedule Group Code]" caption="Rate Schedule Group Code" attribute="1" defaultMemberUniqueName="[ServiceAgreement_Account].[Rate Schedule Group Code].[All]" allUniqueName="[ServiceAgreement_Account].[Rate Schedule Group Code].[All]" dimensionUniqueName="[ServiceAgreement_Account]" displayFolder="" count="0" unbalanced="0"/>
    <cacheHierarchy uniqueName="[ServiceAgreement_Account].[SA Active Date]" caption="SA Active Date" attribute="1" defaultMemberUniqueName="[ServiceAgreement_Account].[SA Active Date].[All]" allUniqueName="[ServiceAgreement_Account].[SA Active Date].[All]" dimensionUniqueName="[ServiceAgreement_Account]" displayFolder="" count="0" unbalanced="0"/>
    <cacheHierarchy uniqueName="[ServiceAgreement_Account].[SA End Date]" caption="SA End Date" attribute="1" defaultMemberUniqueName="[ServiceAgreement_Account].[SA End Date].[All]" allUniqueName="[ServiceAgreement_Account].[SA End Date].[All]" dimensionUniqueName="[ServiceAgreement_Account]" displayFolder="" count="0" unbalanced="0"/>
    <cacheHierarchy uniqueName="[ServiceAgreement_Account].[SA Install Date]" caption="SA Install Date" attribute="1" defaultMemberUniqueName="[ServiceAgreement_Account].[SA Install Date].[All]" allUniqueName="[ServiceAgreement_Account].[SA Install Date].[All]" dimensionUniqueName="[ServiceAgreement_Account]" displayFolder="" count="0" unbalanced="0"/>
    <cacheHierarchy uniqueName="[ServiceAgreement_Account].[SA Start Date]" caption="SA Start Date" attribute="1" defaultMemberUniqueName="[ServiceAgreement_Account].[SA Start Date].[All]" allUniqueName="[ServiceAgreement_Account].[SA Start Date].[All]" dimensionUniqueName="[ServiceAgreement_Account]" displayFolder="" count="0" unbalanced="0"/>
    <cacheHierarchy uniqueName="[ServiceAgreement_Account].[Service Agreement CIS Division]" caption="Service Agreement CIS Division" attribute="1" defaultMemberUniqueName="[ServiceAgreement_Account].[Service Agreement CIS Division].[All]" allUniqueName="[ServiceAgreement_Account].[Service Agreement CIS Division].[All]" dimensionUniqueName="[ServiceAgreement_Account]" displayFolder="" count="0" unbalanced="0"/>
    <cacheHierarchy uniqueName="[ServiceAgreement_Account].[Service Agreement Contract Type]" caption="Service Agreement Contract Type" attribute="1" defaultMemberUniqueName="[ServiceAgreement_Account].[Service Agreement Contract Type].[All]" allUniqueName="[ServiceAgreement_Account].[Service Agreement Contract Type].[All]" dimensionUniqueName="[ServiceAgreement_Account]" displayFolder="" count="0" unbalanced="0"/>
    <cacheHierarchy uniqueName="[ServiceAgreement_Account].[Service Agreement Status Code]" caption="Service Agreement Status Code" attribute="1" defaultMemberUniqueName="[ServiceAgreement_Account].[Service Agreement Status Code].[All]" allUniqueName="[ServiceAgreement_Account].[Service Agreement Status Code].[All]" dimensionUniqueName="[ServiceAgreement_Account]" displayFolder="" count="0" unbalanced="0"/>
    <cacheHierarchy uniqueName="[ServiceAgreement_Account].[Service Agreement Type Code]" caption="Service Agreement Type Code" attribute="1" defaultMemberUniqueName="[ServiceAgreement_Account].[Service Agreement Type Code].[All]" allUniqueName="[ServiceAgreement_Account].[Service Agreement Type Code].[All]" dimensionUniqueName="[ServiceAgreement_Account]" displayFolder="" count="0" unbalanced="0"/>
    <cacheHierarchy uniqueName="[ServiceAgreement_Account].[Service Agreement Type Desc]" caption="Service Agreement Type Desc" attribute="1" defaultMemberUniqueName="[ServiceAgreement_Account].[Service Agreement Type Desc].[All]" allUniqueName="[ServiceAgreement_Account].[Service Agreement Type Desc].[All]" dimensionUniqueName="[ServiceAgreement_Account]" displayFolder="" count="0" unbalanced="0"/>
    <cacheHierarchy uniqueName="[ServiceAgreement_Account].[Service Agreement Utility Indicator]" caption="Service Agreement Utility Indicator" attribute="1" defaultMemberUniqueName="[ServiceAgreement_Account].[Service Agreement Utility Indicator].[All]" allUniqueName="[ServiceAgreement_Account].[Service Agreement Utility Indicator].[All]" dimensionUniqueName="[ServiceAgreement_Account]" displayFolder="" count="0" unbalanced="0"/>
    <cacheHierarchy uniqueName="[ServiceAgreement_Account].[Service AgreementID]" caption="Service AgreementID" attribute="1" defaultMemberUniqueName="[ServiceAgreement_Account].[Service AgreementID].[All]" allUniqueName="[ServiceAgreement_Account].[Service AgreementID].[All]" dimensionUniqueName="[ServiceAgreement_Account]" displayFolder="" count="0" unbalanced="0"/>
    <cacheHierarchy uniqueName="[ServiceAgreement_Account].[Service Point Type Code]" caption="Service Point Type Code" attribute="1" defaultMemberUniqueName="[ServiceAgreement_Account].[Service Point Type Code].[All]" allUniqueName="[ServiceAgreement_Account].[Service Point Type Code].[All]" dimensionUniqueName="[ServiceAgreement_Account]" displayFolder="" count="0" unbalanced="0"/>
    <cacheHierarchy uniqueName="[ServiceAgreement_Account].[Service Point Type Desc]" caption="Service Point Type Desc" attribute="1" defaultMemberUniqueName="[ServiceAgreement_Account].[Service Point Type Desc].[All]" allUniqueName="[ServiceAgreement_Account].[Service Point Type Desc].[All]" dimensionUniqueName="[ServiceAgreement_Account]" displayFolder="" count="0" unbalanced="0"/>
    <cacheHierarchy uniqueName="[ServiceAgreement_Account].[Service PointID]" caption="Service PointID" attribute="1" defaultMemberUniqueName="[ServiceAgreement_Account].[Service PointID].[All]" allUniqueName="[ServiceAgreement_Account].[Service PointID].[All]" dimensionUniqueName="[ServiceAgreement_Account]" displayFolder="" count="0" unbalanced="0"/>
    <cacheHierarchy uniqueName="[ServiceAgreement_Usage].[Bill Cycle Code]" caption="Bill Cycle Code" attribute="1" defaultMemberUniqueName="[ServiceAgreement_Usage].[Bill Cycle Code].[All]" allUniqueName="[ServiceAgreement_Usage].[Bill Cycle Code].[All]" dimensionUniqueName="[ServiceAgreement_Usage]" displayFolder="" count="0" unbalanced="0"/>
    <cacheHierarchy uniqueName="[ServiceAgreement_Usage].[Budget Plan Code]" caption="Budget Plan Code" attribute="1" defaultMemberUniqueName="[ServiceAgreement_Usage].[Budget Plan Code].[All]" allUniqueName="[ServiceAgreement_Usage].[Budget Plan Code].[All]" dimensionUniqueName="[ServiceAgreement_Usage]" displayFolder="" count="0" unbalanced="0"/>
    <cacheHierarchy uniqueName="[ServiceAgreement_Usage].[Customer Select PoolID]" caption="Customer Select PoolID" attribute="1" defaultMemberUniqueName="[ServiceAgreement_Usage].[Customer Select PoolID].[All]" allUniqueName="[ServiceAgreement_Usage].[Customer Select PoolID].[All]" dimensionUniqueName="[ServiceAgreement_Usage]" displayFolder="" count="0" unbalanced="0"/>
    <cacheHierarchy uniqueName="[ServiceAgreement_Usage].[Customer Select Supplier Code]" caption="Customer Select Supplier Code" attribute="1" defaultMemberUniqueName="[ServiceAgreement_Usage].[Customer Select Supplier Code].[All]" allUniqueName="[ServiceAgreement_Usage].[Customer Select Supplier Code].[All]" dimensionUniqueName="[ServiceAgreement_Usage]" displayFolder="" count="0" unbalanced="0"/>
    <cacheHierarchy uniqueName="[ServiceAgreement_Usage].[Customer Select Supplier Name]" caption="Customer Select Supplier Name" attribute="1" defaultMemberUniqueName="[ServiceAgreement_Usage].[Customer Select Supplier Name].[All]" allUniqueName="[ServiceAgreement_Usage].[Customer Select Supplier Name].[All]" dimensionUniqueName="[ServiceAgreement_Usage]" displayFolder="" count="0" unbalanced="0"/>
    <cacheHierarchy uniqueName="[ServiceAgreement_Usage].[Rate Eff Date]" caption="Rate Eff Date" attribute="1" defaultMemberUniqueName="[ServiceAgreement_Usage].[Rate Eff Date].[All]" allUniqueName="[ServiceAgreement_Usage].[Rate Eff Date].[All]" dimensionUniqueName="[ServiceAgreement_Usage]" displayFolder="" count="0" unbalanced="0"/>
    <cacheHierarchy uniqueName="[ServiceAgreement_Usage].[Rate Schedule Code]" caption="Rate Schedule Code" attribute="1" defaultMemberUniqueName="[ServiceAgreement_Usage].[Rate Schedule Code].[All]" allUniqueName="[ServiceAgreement_Usage].[Rate Schedule Code].[All]" dimensionUniqueName="[ServiceAgreement_Usage]" displayFolder="" count="0" unbalanced="0"/>
    <cacheHierarchy uniqueName="[ServiceAgreement_Usage].[Rate Schedule Description]" caption="Rate Schedule Description" attribute="1" defaultMemberUniqueName="[ServiceAgreement_Usage].[Rate Schedule Description].[All]" allUniqueName="[ServiceAgreement_Usage].[Rate Schedule Description].[All]" dimensionUniqueName="[ServiceAgreement_Usage]" displayFolder="" count="0" unbalanced="0"/>
    <cacheHierarchy uniqueName="[ServiceAgreement_Usage].[Rate Schedule Group Code]" caption="Rate Schedule Group Code" attribute="1" defaultMemberUniqueName="[ServiceAgreement_Usage].[Rate Schedule Group Code].[All]" allUniqueName="[ServiceAgreement_Usage].[Rate Schedule Group Code].[All]" dimensionUniqueName="[ServiceAgreement_Usage]" displayFolder="" count="0" unbalanced="0"/>
    <cacheHierarchy uniqueName="[ServiceAgreement_Usage].[SA Active Date]" caption="SA Active Date" attribute="1" defaultMemberUniqueName="[ServiceAgreement_Usage].[SA Active Date].[All]" allUniqueName="[ServiceAgreement_Usage].[SA Active Date].[All]" dimensionUniqueName="[ServiceAgreement_Usage]" displayFolder="" count="0" unbalanced="0"/>
    <cacheHierarchy uniqueName="[ServiceAgreement_Usage].[SA End Date]" caption="SA End Date" attribute="1" defaultMemberUniqueName="[ServiceAgreement_Usage].[SA End Date].[All]" allUniqueName="[ServiceAgreement_Usage].[SA End Date].[All]" dimensionUniqueName="[ServiceAgreement_Usage]" displayFolder="" count="0" unbalanced="0"/>
    <cacheHierarchy uniqueName="[ServiceAgreement_Usage].[SA Install Date]" caption="SA Install Date" attribute="1" defaultMemberUniqueName="[ServiceAgreement_Usage].[SA Install Date].[All]" allUniqueName="[ServiceAgreement_Usage].[SA Install Date].[All]" dimensionUniqueName="[ServiceAgreement_Usage]" displayFolder="" count="0" unbalanced="0"/>
    <cacheHierarchy uniqueName="[ServiceAgreement_Usage].[SA Start Date]" caption="SA Start Date" attribute="1" defaultMemberUniqueName="[ServiceAgreement_Usage].[SA Start Date].[All]" allUniqueName="[ServiceAgreement_Usage].[SA Start Date].[All]" dimensionUniqueName="[ServiceAgreement_Usage]" displayFolder="" count="0" unbalanced="0"/>
    <cacheHierarchy uniqueName="[ServiceAgreement_Usage].[Service Agreement CIS Division]" caption="Service Agreement CIS Division" attribute="1" defaultMemberUniqueName="[ServiceAgreement_Usage].[Service Agreement CIS Division].[All]" allUniqueName="[ServiceAgreement_Usage].[Service Agreement CIS Division].[All]" dimensionUniqueName="[ServiceAgreement_Usage]" displayFolder="" count="0" unbalanced="0"/>
    <cacheHierarchy uniqueName="[ServiceAgreement_Usage].[Service Agreement Contract Type]" caption="Service Agreement Contract Type" attribute="1" defaultMemberUniqueName="[ServiceAgreement_Usage].[Service Agreement Contract Type].[All]" allUniqueName="[ServiceAgreement_Usage].[Service Agreement Contract Type].[All]" dimensionUniqueName="[ServiceAgreement_Usage]" displayFolder="" count="0" unbalanced="0"/>
    <cacheHierarchy uniqueName="[ServiceAgreement_Usage].[Service Agreement Status Code]" caption="Service Agreement Status Code" attribute="1" defaultMemberUniqueName="[ServiceAgreement_Usage].[Service Agreement Status Code].[All]" allUniqueName="[ServiceAgreement_Usage].[Service Agreement Status Code].[All]" dimensionUniqueName="[ServiceAgreement_Usage]" displayFolder="" count="0" unbalanced="0"/>
    <cacheHierarchy uniqueName="[ServiceAgreement_Usage].[Service Agreement Type Code]" caption="Service Agreement Type Code" attribute="1" defaultMemberUniqueName="[ServiceAgreement_Usage].[Service Agreement Type Code].[All]" allUniqueName="[ServiceAgreement_Usage].[Service Agreement Type Code].[All]" dimensionUniqueName="[ServiceAgreement_Usage]" displayFolder="" count="0" unbalanced="0"/>
    <cacheHierarchy uniqueName="[ServiceAgreement_Usage].[Service Agreement Type Desc]" caption="Service Agreement Type Desc" attribute="1" defaultMemberUniqueName="[ServiceAgreement_Usage].[Service Agreement Type Desc].[All]" allUniqueName="[ServiceAgreement_Usage].[Service Agreement Type Desc].[All]" dimensionUniqueName="[ServiceAgreement_Usage]" displayFolder="" count="0" unbalanced="0"/>
    <cacheHierarchy uniqueName="[ServiceAgreement_Usage].[Service Agreement Utility Indicator]" caption="Service Agreement Utility Indicator" attribute="1" defaultMemberUniqueName="[ServiceAgreement_Usage].[Service Agreement Utility Indicator].[All]" allUniqueName="[ServiceAgreement_Usage].[Service Agreement Utility Indicator].[All]" dimensionUniqueName="[ServiceAgreement_Usage]" displayFolder="" count="0" unbalanced="0"/>
    <cacheHierarchy uniqueName="[ServiceAgreement_Usage].[Service AgreementID]" caption="Service AgreementID" attribute="1" defaultMemberUniqueName="[ServiceAgreement_Usage].[Service AgreementID].[All]" allUniqueName="[ServiceAgreement_Usage].[Service AgreementID].[All]" dimensionUniqueName="[ServiceAgreement_Usage]" displayFolder="" count="0" unbalanced="0"/>
    <cacheHierarchy uniqueName="[ServiceAgreement_Usage].[Service Point Type Code]" caption="Service Point Type Code" attribute="1" defaultMemberUniqueName="[ServiceAgreement_Usage].[Service Point Type Code].[All]" allUniqueName="[ServiceAgreement_Usage].[Service Point Type Code].[All]" dimensionUniqueName="[ServiceAgreement_Usage]" displayFolder="" count="0" unbalanced="0"/>
    <cacheHierarchy uniqueName="[ServiceAgreement_Usage].[Service Point Type Desc]" caption="Service Point Type Desc" attribute="1" defaultMemberUniqueName="[ServiceAgreement_Usage].[Service Point Type Desc].[All]" allUniqueName="[ServiceAgreement_Usage].[Service Point Type Desc].[All]" dimensionUniqueName="[ServiceAgreement_Usage]" displayFolder="" count="0" unbalanced="0"/>
    <cacheHierarchy uniqueName="[ServiceAgreement_Usage].[Service PointID]" caption="Service PointID" attribute="1" defaultMemberUniqueName="[ServiceAgreement_Usage].[Service PointID].[All]" allUniqueName="[ServiceAgreement_Usage].[Service PointID].[All]" dimensionUniqueName="[ServiceAgreement_Usage]" displayFolder="" count="0" unbalanced="0"/>
    <cacheHierarchy uniqueName="[UniqueContactMarketSegment].[Market Segment Code]" caption="Market Segment Code" attribute="1" defaultMemberUniqueName="[UniqueContactMarketSegment].[Market Segment Code].[All]" allUniqueName="[UniqueContactMarketSegment].[Market Segment Code].[All]" dimensionUniqueName="[UniqueContactMarketSegment]" displayFolder="" count="0" unbalanced="0"/>
    <cacheHierarchy uniqueName="[UniqueContactMarketSegment].[Market Segment Description]" caption="Market Segment Description" attribute="1" defaultMemberUniqueName="[UniqueContactMarketSegment].[Market Segment Description].[All]" allUniqueName="[UniqueContactMarketSegment].[Market Segment Description].[All]" dimensionUniqueName="[UniqueContactMarketSegment]" displayFolder="" count="0" unbalanced="0"/>
    <cacheHierarchy uniqueName="[UniqueMarketSegment].[Application Category Code]" caption="Application Category Code" attribute="1" defaultMemberUniqueName="[UniqueMarketSegment].[Application Category Code].[All]" allUniqueName="[UniqueMarketSegment].[Application Category Code].[All]" dimensionUniqueName="[UniqueMarketSegment]" displayFolder="" count="0" unbalanced="0"/>
    <cacheHierarchy uniqueName="[UniqueMarketSegment].[Application Category Description]" caption="Application Category Description" attribute="1" defaultMemberUniqueName="[UniqueMarketSegment].[Application Category Description].[All]" allUniqueName="[UniqueMarketSegment].[Application Category Description].[All]" dimensionUniqueName="[UniqueMarketSegment]" displayFolder="" count="0" unbalanced="0"/>
    <cacheHierarchy uniqueName="[UniqueMarketSegment].[HierUniqueMarketApplicationCategoryCode]" caption="HierUniqueMarketApplicationCategoryCode" defaultMemberUniqueName="[UniqueMarketSegment].[HierUniqueMarketApplicationCategoryCode].[All]" allUniqueName="[UniqueMarketSegment].[HierUniqueMarketApplicationCategoryCode].[All]" dimensionUniqueName="[UniqueMarketSegment]" displayFolder="" count="3" unbalanced="0"/>
    <cacheHierarchy uniqueName="[UniqueMarketSegment].[HierUniqueMarketApplicationCategoryDesc]" caption="HierUniqueMarketApplicationCategoryDesc" defaultMemberUniqueName="[UniqueMarketSegment].[HierUniqueMarketApplicationCategoryDesc].[All]" allUniqueName="[UniqueMarketSegment].[HierUniqueMarketApplicationCategoryDesc].[All]" dimensionUniqueName="[UniqueMarketSegment]" displayFolder="" count="3" unbalanced="0"/>
    <cacheHierarchy uniqueName="[UniqueMarketSegment].[Market Segment Code]" caption="Market Segment Code" attribute="1" defaultMemberUniqueName="[UniqueMarketSegment].[Market Segment Code].[All]" allUniqueName="[UniqueMarketSegment].[Market Segment Code].[All]" dimensionUniqueName="[UniqueMarketSegment]" displayFolder="" count="0" unbalanced="0"/>
    <cacheHierarchy uniqueName="[UniqueMarketSegment].[Market Segment Description]" caption="Market Segment Description" attribute="1" defaultMemberUniqueName="[UniqueMarketSegment].[Market Segment Description].[All]" allUniqueName="[UniqueMarketSegment].[Market Segment Description].[All]" dimensionUniqueName="[UniqueMarketSegment]" displayFolder="" count="0" unbalanced="0"/>
    <cacheHierarchy uniqueName="[UniqueYearBuiltLevelFilter].[Unique Contruction Year Level]" caption="Unique Contruction Year Level" attribute="1" defaultMemberUniqueName="[UniqueYearBuiltLevelFilter].[Unique Contruction Year Level].[All]" allUniqueName="[UniqueYearBuiltLevelFilter].[Unique Contruction Year Level].[All]" dimensionUniqueName="[UniqueYearBuiltLevelFilter]" displayFolder="" count="0" unbalanced="0"/>
    <cacheHierarchy uniqueName="[UsageAcctgDate].[HierAccountingDatePY]" caption="HierAccountingDatePY" defaultMemberUniqueName="[UsageAcctgDate].[HierAccountingDatePY].[All]" allUniqueName="[UsageAcctgDate].[HierAccountingDatePY].[All]" dimensionUniqueName="[UsageAcctgDate]" displayFolder="" count="4" unbalanced="0"/>
    <cacheHierarchy uniqueName="[UsageAcctgDate].[HierAccountingDateYear]" caption="HierAccountingDateYear" defaultMemberUniqueName="[UsageAcctgDate].[HierAccountingDateYear].[All]" allUniqueName="[UsageAcctgDate].[HierAccountingDateYear].[All]" dimensionUniqueName="[UsageAcctgDate]" displayFolder="" count="4" unbalanced="0"/>
    <cacheHierarchy uniqueName="[UsageAcctgDate].[Usage Acctg Date]" caption="Usage Acctg Date" attribute="1" defaultMemberUniqueName="[UsageAcctgDate].[Usage Acctg Date].[All]" allUniqueName="[UsageAcctgDate].[Usage Acctg Date].[All]" dimensionUniqueName="[UsageAcctgDate]" displayFolder="" count="0" unbalanced="0"/>
    <cacheHierarchy uniqueName="[UsageAcctgDate].[Usage Acctg DayOfMonth]" caption="Usage Acctg DayOfMonth" attribute="1" defaultMemberUniqueName="[UsageAcctgDate].[Usage Acctg DayOfMonth].[All]" allUniqueName="[UsageAcctgDate].[Usage Acctg DayOfMonth].[All]" dimensionUniqueName="[UsageAcctgDate]" displayFolder="" count="0" unbalanced="0"/>
    <cacheHierarchy uniqueName="[UsageAcctgDate].[Usage Acctg DayOfWeek]" caption="Usage Acctg DayOfWeek" attribute="1" defaultMemberUniqueName="[UsageAcctgDate].[Usage Acctg DayOfWeek].[All]" allUniqueName="[UsageAcctgDate].[Usage Acctg DayOfWeek].[All]" dimensionUniqueName="[UsageAcctgDate]" displayFolder="" count="0" unbalanced="0"/>
    <cacheHierarchy uniqueName="[UsageAcctgDate].[Usage Acctg DayOfWeekName]" caption="Usage Acctg DayOfWeekName" attribute="1" defaultMemberUniqueName="[UsageAcctgDate].[Usage Acctg DayOfWeekName].[All]" allUniqueName="[UsageAcctgDate].[Usage Acctg DayOfWeekName].[All]" dimensionUniqueName="[UsageAcctgDate]" displayFolder="" count="0" unbalanced="0"/>
    <cacheHierarchy uniqueName="[UsageAcctgDate].[Usage Acctg DayOfYear]" caption="Usage Acctg DayOfYear" attribute="1" defaultMemberUniqueName="[UsageAcctgDate].[Usage Acctg DayOfYear].[All]" allUniqueName="[UsageAcctgDate].[Usage Acctg DayOfYear].[All]" dimensionUniqueName="[UsageAcctgDate]" displayFolder="" count="0" unbalanced="0"/>
    <cacheHierarchy uniqueName="[UsageAcctgDate].[Usage Acctg HolidayInd]" caption="Usage Acctg HolidayInd" attribute="1" defaultMemberUniqueName="[UsageAcctgDate].[Usage Acctg HolidayInd].[All]" allUniqueName="[UsageAcctgDate].[Usage Acctg HolidayInd].[All]" dimensionUniqueName="[UsageAcctgDate]" displayFolder="" count="0" unbalanced="0"/>
    <cacheHierarchy uniqueName="[UsageAcctgDate].[Usage Acctg HolidayName]" caption="Usage Acctg HolidayName" attribute="1" defaultMemberUniqueName="[UsageAcctgDate].[Usage Acctg HolidayName].[All]" allUniqueName="[UsageAcctgDate].[Usage Acctg HolidayName].[All]" dimensionUniqueName="[UsageAcctgDate]" displayFolder="" count="0" unbalanced="0"/>
    <cacheHierarchy uniqueName="[UsageAcctgDate].[Usage Acctg LastDateOfMonth]" caption="Usage Acctg LastDateOfMonth" attribute="1" defaultMemberUniqueName="[UsageAcctgDate].[Usage Acctg LastDateOfMonth].[All]" allUniqueName="[UsageAcctgDate].[Usage Acctg LastDateOfMonth].[All]" dimensionUniqueName="[UsageAcctgDate]" displayFolder="" count="0" unbalanced="0"/>
    <cacheHierarchy uniqueName="[UsageAcctgDate].[Usage Acctg LastDayOfMonthIndicator]" caption="Usage Acctg LastDayOfMonthIndicator" attribute="1" defaultMemberUniqueName="[UsageAcctgDate].[Usage Acctg LastDayOfMonthIndicator].[All]" allUniqueName="[UsageAcctgDate].[Usage Acctg LastDayOfMonthIndicator].[All]" dimensionUniqueName="[UsageAcctgDate]" displayFolder="" count="0" unbalanced="0"/>
    <cacheHierarchy uniqueName="[UsageAcctgDate].[Usage Acctg Month]" caption="Usage Acctg Month" attribute="1" defaultMemberUniqueName="[UsageAcctgDate].[Usage Acctg Month].[All]" allUniqueName="[UsageAcctgDate].[Usage Acctg Month].[All]" dimensionUniqueName="[UsageAcctgDate]" displayFolder="" count="0" unbalanced="0"/>
    <cacheHierarchy uniqueName="[UsageAcctgDate].[Usage Acctg MonthNbr]" caption="Usage Acctg MonthNbr" attribute="1" defaultMemberUniqueName="[UsageAcctgDate].[Usage Acctg MonthNbr].[All]" allUniqueName="[UsageAcctgDate].[Usage Acctg MonthNbr].[All]" dimensionUniqueName="[UsageAcctgDate]" displayFolder="" count="0" unbalanced="0"/>
    <cacheHierarchy uniqueName="[UsageAcctgDate].[Usage Acctg Plan Month and Year]" caption="Usage Acctg Plan Month and Year" attribute="1" defaultMemberUniqueName="[UsageAcctgDate].[Usage Acctg Plan Month and Year].[All]" allUniqueName="[UsageAcctgDate].[Usage Acctg Plan Month and Year].[All]" dimensionUniqueName="[UsageAcctgDate]" displayFolder="" count="0" unbalanced="0"/>
    <cacheHierarchy uniqueName="[UsageAcctgDate].[Usage Acctg Plan Month Number]" caption="Usage Acctg Plan Month Number" attribute="1" defaultMemberUniqueName="[UsageAcctgDate].[Usage Acctg Plan Month Number].[All]" allUniqueName="[UsageAcctgDate].[Usage Acctg Plan Month Number].[All]" dimensionUniqueName="[UsageAcctgDate]" displayFolder="" count="0" unbalanced="0"/>
    <cacheHierarchy uniqueName="[UsageAcctgDate].[Usage Acctg Plan Quarter Number]" caption="Usage Acctg Plan Quarter Number" attribute="1" defaultMemberUniqueName="[UsageAcctgDate].[Usage Acctg Plan Quarter Number].[All]" allUniqueName="[UsageAcctgDate].[Usage Acctg Plan Quarter Number].[All]" dimensionUniqueName="[UsageAcctgDate]" displayFolder="" count="0" unbalanced="0"/>
    <cacheHierarchy uniqueName="[UsageAcctgDate].[Usage Acctg PY]" caption="Usage Acctg PY" attribute="1" defaultMemberUniqueName="[UsageAcctgDate].[Usage Acctg PY].[All]" allUniqueName="[UsageAcctgDate].[Usage Acctg PY].[All]" dimensionUniqueName="[UsageAcctgDate]" displayFolder="" count="0" unbalanced="0"/>
    <cacheHierarchy uniqueName="[UsageAcctgDate].[Usage Acctg Qtr]" caption="Usage Acctg Qtr" attribute="1" defaultMemberUniqueName="[UsageAcctgDate].[Usage Acctg Qtr].[All]" allUniqueName="[UsageAcctgDate].[Usage Acctg Qtr].[All]" dimensionUniqueName="[UsageAcctgDate]" displayFolder="" count="0" unbalanced="0"/>
    <cacheHierarchy uniqueName="[UsageAcctgDate].[Usage Acctg Semester]" caption="Usage Acctg Semester" attribute="1" defaultMemberUniqueName="[UsageAcctgDate].[Usage Acctg Semester].[All]" allUniqueName="[UsageAcctgDate].[Usage Acctg Semester].[All]" dimensionUniqueName="[UsageAcctgDate]" displayFolder="" count="0" unbalanced="0"/>
    <cacheHierarchy uniqueName="[UsageAcctgDate].[Usage Acctg WeekdayWeekend]" caption="Usage Acctg WeekdayWeekend" attribute="1" defaultMemberUniqueName="[UsageAcctgDate].[Usage Acctg WeekdayWeekend].[All]" allUniqueName="[UsageAcctgDate].[Usage Acctg WeekdayWeekend].[All]" dimensionUniqueName="[UsageAcctgDate]" displayFolder="" count="0" unbalanced="0"/>
    <cacheHierarchy uniqueName="[UsageAcctgDate].[Usage Acctg WeekOfMonth]" caption="Usage Acctg WeekOfMonth" attribute="1" defaultMemberUniqueName="[UsageAcctgDate].[Usage Acctg WeekOfMonth].[All]" allUniqueName="[UsageAcctgDate].[Usage Acctg WeekOfMonth].[All]" dimensionUniqueName="[UsageAcctgDate]" displayFolder="" count="0" unbalanced="0"/>
    <cacheHierarchy uniqueName="[UsageAcctgDate].[Usage Acctg WeekOfYear]" caption="Usage Acctg WeekOfYear" attribute="1" defaultMemberUniqueName="[UsageAcctgDate].[Usage Acctg WeekOfYear].[All]" allUniqueName="[UsageAcctgDate].[Usage Acctg WeekOfYear].[All]" dimensionUniqueName="[UsageAcctgDate]" displayFolder="" count="0" unbalanced="0"/>
    <cacheHierarchy uniqueName="[UsageAcctgDate].[Usage Acctg WorkingDayInd]" caption="Usage Acctg WorkingDayInd" attribute="1" defaultMemberUniqueName="[UsageAcctgDate].[Usage Acctg WorkingDayInd].[All]" allUniqueName="[UsageAcctgDate].[Usage Acctg WorkingDayInd].[All]" dimensionUniqueName="[UsageAcctgDate]" displayFolder="" count="0" unbalanced="0"/>
    <cacheHierarchy uniqueName="[UsageAcctgDate].[Usage Acctg Year]" caption="Usage Acctg Year" attribute="1" defaultMemberUniqueName="[UsageAcctgDate].[Usage Acctg Year].[All]" allUniqueName="[UsageAcctgDate].[Usage Acctg Year].[All]" dimensionUniqueName="[UsageAcctgDate]" displayFolder="" count="0" unbalanced="0"/>
    <cacheHierarchy uniqueName="[UsageAcctgDate].[Usage Acctg YearMonthAsInteger]" caption="Usage Acctg YearMonthAsInteger" attribute="1" defaultMemberUniqueName="[UsageAcctgDate].[Usage Acctg YearMonthAsInteger].[All]" allUniqueName="[UsageAcctgDate].[Usage Acctg YearMonthAsInteger].[All]" dimensionUniqueName="[UsageAcctgDate]" displayFolder="" count="0" unbalanced="0"/>
    <cacheHierarchy uniqueName="[UsageAcctgDate].[Usage Acctg YearQuarterAsInteger]" caption="Usage Acctg YearQuarterAsInteger" attribute="1" defaultMemberUniqueName="[UsageAcctgDate].[Usage Acctg YearQuarterAsInteger].[All]" allUniqueName="[UsageAcctgDate].[Usage Acctg YearQuarterAsInteger].[All]" dimensionUniqueName="[UsageAcctgDate]" displayFolder="" count="0" unbalanced="0"/>
    <cacheHierarchy uniqueName="[UsageAcctgDate].[Usage Acctg YearSemesterAsInteger]" caption="Usage Acctg YearSemesterAsInteger" attribute="1" defaultMemberUniqueName="[UsageAcctgDate].[Usage Acctg YearSemesterAsInteger].[All]" allUniqueName="[UsageAcctgDate].[Usage Acctg YearSemesterAsInteger].[All]" dimensionUniqueName="[UsageAcctgDate]" displayFolder="" count="0" unbalanced="0"/>
    <cacheHierarchy uniqueName="[UsageBatchBusDate].[Bus Acctg WorkingDayInd]" caption="Bus Acctg WorkingDayInd" attribute="1" defaultMemberUniqueName="[UsageBatchBusDate].[Bus Acctg WorkingDayInd].[All]" allUniqueName="[UsageBatchBusDate].[Bus Acctg WorkingDayInd].[All]" dimensionUniqueName="[UsageBatchBusDate]" displayFolder="" count="0" unbalanced="0"/>
    <cacheHierarchy uniqueName="[UsageBatchBusDate].[HierBatchBusDatePY]" caption="HierBatchBusDatePY" defaultMemberUniqueName="[UsageBatchBusDate].[HierBatchBusDatePY].[All]" allUniqueName="[UsageBatchBusDate].[HierBatchBusDatePY].[All]" dimensionUniqueName="[UsageBatchBusDate]" displayFolder="" count="4" unbalanced="0"/>
    <cacheHierarchy uniqueName="[UsageBatchBusDate].[HierBatchBusDateYear]" caption="HierBatchBusDateYear" defaultMemberUniqueName="[UsageBatchBusDate].[HierBatchBusDateYear].[All]" allUniqueName="[UsageBatchBusDate].[HierBatchBusDateYear].[All]" dimensionUniqueName="[UsageBatchBusDate]" displayFolder="" count="4" unbalanced="0"/>
    <cacheHierarchy uniqueName="[UsageBatchBusDate].[Usage Bus Date]" caption="Usage Bus Date" attribute="1" defaultMemberUniqueName="[UsageBatchBusDate].[Usage Bus Date].[All]" allUniqueName="[UsageBatchBusDate].[Usage Bus Date].[All]" dimensionUniqueName="[UsageBatchBusDate]" displayFolder="" count="0" unbalanced="0"/>
    <cacheHierarchy uniqueName="[UsageBatchBusDate].[Usage Bus DayOfMonth]" caption="Usage Bus DayOfMonth" attribute="1" defaultMemberUniqueName="[UsageBatchBusDate].[Usage Bus DayOfMonth].[All]" allUniqueName="[UsageBatchBusDate].[Usage Bus DayOfMonth].[All]" dimensionUniqueName="[UsageBatchBusDate]" displayFolder="" count="0" unbalanced="0"/>
    <cacheHierarchy uniqueName="[UsageBatchBusDate].[Usage Bus DayOfWeek]" caption="Usage Bus DayOfWeek" attribute="1" defaultMemberUniqueName="[UsageBatchBusDate].[Usage Bus DayOfWeek].[All]" allUniqueName="[UsageBatchBusDate].[Usage Bus DayOfWeek].[All]" dimensionUniqueName="[UsageBatchBusDate]" displayFolder="" count="0" unbalanced="0"/>
    <cacheHierarchy uniqueName="[UsageBatchBusDate].[Usage Bus DayOfWeekName]" caption="Usage Bus DayOfWeekName" attribute="1" defaultMemberUniqueName="[UsageBatchBusDate].[Usage Bus DayOfWeekName].[All]" allUniqueName="[UsageBatchBusDate].[Usage Bus DayOfWeekName].[All]" dimensionUniqueName="[UsageBatchBusDate]" displayFolder="" count="0" unbalanced="0"/>
    <cacheHierarchy uniqueName="[UsageBatchBusDate].[Usage Bus DayOfYear]" caption="Usage Bus DayOfYear" attribute="1" defaultMemberUniqueName="[UsageBatchBusDate].[Usage Bus DayOfYear].[All]" allUniqueName="[UsageBatchBusDate].[Usage Bus DayOfYear].[All]" dimensionUniqueName="[UsageBatchBusDate]" displayFolder="" count="0" unbalanced="0"/>
    <cacheHierarchy uniqueName="[UsageBatchBusDate].[Usage Bus HolidayInd]" caption="Usage Bus HolidayInd" attribute="1" defaultMemberUniqueName="[UsageBatchBusDate].[Usage Bus HolidayInd].[All]" allUniqueName="[UsageBatchBusDate].[Usage Bus HolidayInd].[All]" dimensionUniqueName="[UsageBatchBusDate]" displayFolder="" count="0" unbalanced="0"/>
    <cacheHierarchy uniqueName="[UsageBatchBusDate].[Usage Bus HolidayName]" caption="Usage Bus HolidayName" attribute="1" defaultMemberUniqueName="[UsageBatchBusDate].[Usage Bus HolidayName].[All]" allUniqueName="[UsageBatchBusDate].[Usage Bus HolidayName].[All]" dimensionUniqueName="[UsageBatchBusDate]" displayFolder="" count="0" unbalanced="0"/>
    <cacheHierarchy uniqueName="[UsageBatchBusDate].[Usage Bus LastDateOfMonth]" caption="Usage Bus LastDateOfMonth" attribute="1" defaultMemberUniqueName="[UsageBatchBusDate].[Usage Bus LastDateOfMonth].[All]" allUniqueName="[UsageBatchBusDate].[Usage Bus LastDateOfMonth].[All]" dimensionUniqueName="[UsageBatchBusDate]" displayFolder="" count="0" unbalanced="0"/>
    <cacheHierarchy uniqueName="[UsageBatchBusDate].[Usage Bus LastDayOfMonthIndicator]" caption="Usage Bus LastDayOfMonthIndicator" attribute="1" defaultMemberUniqueName="[UsageBatchBusDate].[Usage Bus LastDayOfMonthIndicator].[All]" allUniqueName="[UsageBatchBusDate].[Usage Bus LastDayOfMonthIndicator].[All]" dimensionUniqueName="[UsageBatchBusDate]" displayFolder="" count="0" unbalanced="0"/>
    <cacheHierarchy uniqueName="[UsageBatchBusDate].[Usage Bus Month]" caption="Usage Bus Month" attribute="1" defaultMemberUniqueName="[UsageBatchBusDate].[Usage Bus Month].[All]" allUniqueName="[UsageBatchBusDate].[Usage Bus Month].[All]" dimensionUniqueName="[UsageBatchBusDate]" displayFolder="" count="0" unbalanced="0"/>
    <cacheHierarchy uniqueName="[UsageBatchBusDate].[Usage Bus MonthNbr]" caption="Usage Bus MonthNbr" attribute="1" defaultMemberUniqueName="[UsageBatchBusDate].[Usage Bus MonthNbr].[All]" allUniqueName="[UsageBatchBusDate].[Usage Bus MonthNbr].[All]" dimensionUniqueName="[UsageBatchBusDate]" displayFolder="" count="0" unbalanced="0"/>
    <cacheHierarchy uniqueName="[UsageBatchBusDate].[Usage Bus Plan Month and Year]" caption="Usage Bus Plan Month and Year" attribute="1" defaultMemberUniqueName="[UsageBatchBusDate].[Usage Bus Plan Month and Year].[All]" allUniqueName="[UsageBatchBusDate].[Usage Bus Plan Month and Year].[All]" dimensionUniqueName="[UsageBatchBusDate]" displayFolder="" count="0" unbalanced="0"/>
    <cacheHierarchy uniqueName="[UsageBatchBusDate].[Usage Bus Plan Month Number]" caption="Usage Bus Plan Month Number" attribute="1" defaultMemberUniqueName="[UsageBatchBusDate].[Usage Bus Plan Month Number].[All]" allUniqueName="[UsageBatchBusDate].[Usage Bus Plan Month Number].[All]" dimensionUniqueName="[UsageBatchBusDate]" displayFolder="" count="0" unbalanced="0"/>
    <cacheHierarchy uniqueName="[UsageBatchBusDate].[Usage Bus Plan Quarter Number]" caption="Usage Bus Plan Quarter Number" attribute="1" defaultMemberUniqueName="[UsageBatchBusDate].[Usage Bus Plan Quarter Number].[All]" allUniqueName="[UsageBatchBusDate].[Usage Bus Plan Quarter Number].[All]" dimensionUniqueName="[UsageBatchBusDate]" displayFolder="" count="0" unbalanced="0"/>
    <cacheHierarchy uniqueName="[UsageBatchBusDate].[Usage Bus PY]" caption="Usage Bus PY" attribute="1" defaultMemberUniqueName="[UsageBatchBusDate].[Usage Bus PY].[All]" allUniqueName="[UsageBatchBusDate].[Usage Bus PY].[All]" dimensionUniqueName="[UsageBatchBusDate]" displayFolder="" count="0" unbalanced="0"/>
    <cacheHierarchy uniqueName="[UsageBatchBusDate].[Usage Bus Qtr]" caption="Usage Bus Qtr" attribute="1" defaultMemberUniqueName="[UsageBatchBusDate].[Usage Bus Qtr].[All]" allUniqueName="[UsageBatchBusDate].[Usage Bus Qtr].[All]" dimensionUniqueName="[UsageBatchBusDate]" displayFolder="" count="0" unbalanced="0"/>
    <cacheHierarchy uniqueName="[UsageBatchBusDate].[Usage Bus Semester]" caption="Usage Bus Semester" attribute="1" defaultMemberUniqueName="[UsageBatchBusDate].[Usage Bus Semester].[All]" allUniqueName="[UsageBatchBusDate].[Usage Bus Semester].[All]" dimensionUniqueName="[UsageBatchBusDate]" displayFolder="" count="0" unbalanced="0"/>
    <cacheHierarchy uniqueName="[UsageBatchBusDate].[Usage Bus WeekdayWeekend]" caption="Usage Bus WeekdayWeekend" attribute="1" defaultMemberUniqueName="[UsageBatchBusDate].[Usage Bus WeekdayWeekend].[All]" allUniqueName="[UsageBatchBusDate].[Usage Bus WeekdayWeekend].[All]" dimensionUniqueName="[UsageBatchBusDate]" displayFolder="" count="0" unbalanced="0"/>
    <cacheHierarchy uniqueName="[UsageBatchBusDate].[Usage Bus WeekOfMonth]" caption="Usage Bus WeekOfMonth" attribute="1" defaultMemberUniqueName="[UsageBatchBusDate].[Usage Bus WeekOfMonth].[All]" allUniqueName="[UsageBatchBusDate].[Usage Bus WeekOfMonth].[All]" dimensionUniqueName="[UsageBatchBusDate]" displayFolder="" count="0" unbalanced="0"/>
    <cacheHierarchy uniqueName="[UsageBatchBusDate].[Usage Bus WeekOfYear]" caption="Usage Bus WeekOfYear" attribute="1" defaultMemberUniqueName="[UsageBatchBusDate].[Usage Bus WeekOfYear].[All]" allUniqueName="[UsageBatchBusDate].[Usage Bus WeekOfYear].[All]" dimensionUniqueName="[UsageBatchBusDate]" displayFolder="" count="0" unbalanced="0"/>
    <cacheHierarchy uniqueName="[UsageBatchBusDate].[Usage Bus Year]" caption="Usage Bus Year" attribute="1" defaultMemberUniqueName="[UsageBatchBusDate].[Usage Bus Year].[All]" allUniqueName="[UsageBatchBusDate].[Usage Bus Year].[All]" dimensionUniqueName="[UsageBatchBusDate]" displayFolder="" count="0" unbalanced="0"/>
    <cacheHierarchy uniqueName="[UsageBatchBusDate].[Usage Bus YearMonthAsInteger]" caption="Usage Bus YearMonthAsInteger" attribute="1" defaultMemberUniqueName="[UsageBatchBusDate].[Usage Bus YearMonthAsInteger].[All]" allUniqueName="[UsageBatchBusDate].[Usage Bus YearMonthAsInteger].[All]" dimensionUniqueName="[UsageBatchBusDate]" displayFolder="" count="0" unbalanced="0"/>
    <cacheHierarchy uniqueName="[UsageBatchBusDate].[Usage Bus YearQuarterAsInteger]" caption="Usage Bus YearQuarterAsInteger" attribute="1" defaultMemberUniqueName="[UsageBatchBusDate].[Usage Bus YearQuarterAsInteger].[All]" allUniqueName="[UsageBatchBusDate].[Usage Bus YearQuarterAsInteger].[All]" dimensionUniqueName="[UsageBatchBusDate]" displayFolder="" count="0" unbalanced="0"/>
    <cacheHierarchy uniqueName="[UsageBatchBusDate].[Usage Bus YearSemesterAsInteger]" caption="Usage Bus YearSemesterAsInteger" attribute="1" defaultMemberUniqueName="[UsageBatchBusDate].[Usage Bus YearSemesterAsInteger].[All]" allUniqueName="[UsageBatchBusDate].[Usage Bus YearSemesterAsInteger].[All]" dimensionUniqueName="[UsageBatchBusDate]" displayFolder="" count="0" unbalanced="0"/>
    <cacheHierarchy uniqueName="[UsageBillEndDate].[HierBillSegEndDatePY]" caption="HierBillSegEndDatePY" defaultMemberUniqueName="[UsageBillEndDate].[HierBillSegEndDatePY].[All]" allUniqueName="[UsageBillEndDate].[HierBillSegEndDatePY].[All]" dimensionUniqueName="[UsageBillEndDate]" displayFolder="" count="4" unbalanced="0"/>
    <cacheHierarchy uniqueName="[UsageBillEndDate].[HierBillSegEndDateYear]" caption="HierBillSegEndDateYear" defaultMemberUniqueName="[UsageBillEndDate].[HierBillSegEndDateYear].[All]" allUniqueName="[UsageBillEndDate].[HierBillSegEndDateYear].[All]" dimensionUniqueName="[UsageBillEndDate]" displayFolder="" count="4" unbalanced="0"/>
    <cacheHierarchy uniqueName="[UsageBillEndDate].[Usage BillEnd Date]" caption="Usage BillEnd Date" attribute="1" defaultMemberUniqueName="[UsageBillEndDate].[Usage BillEnd Date].[All]" allUniqueName="[UsageBillEndDate].[Usage BillEnd Date].[All]" dimensionUniqueName="[UsageBillEndDate]" displayFolder="" count="0" unbalanced="0"/>
    <cacheHierarchy uniqueName="[UsageBillEndDate].[Usage BillEnd DayOfMonth]" caption="Usage BillEnd DayOfMonth" attribute="1" defaultMemberUniqueName="[UsageBillEndDate].[Usage BillEnd DayOfMonth].[All]" allUniqueName="[UsageBillEndDate].[Usage BillEnd DayOfMonth].[All]" dimensionUniqueName="[UsageBillEndDate]" displayFolder="" count="0" unbalanced="0"/>
    <cacheHierarchy uniqueName="[UsageBillEndDate].[Usage BillEnd DayOfWeek]" caption="Usage BillEnd DayOfWeek" attribute="1" defaultMemberUniqueName="[UsageBillEndDate].[Usage BillEnd DayOfWeek].[All]" allUniqueName="[UsageBillEndDate].[Usage BillEnd DayOfWeek].[All]" dimensionUniqueName="[UsageBillEndDate]" displayFolder="" count="0" unbalanced="0"/>
    <cacheHierarchy uniqueName="[UsageBillEndDate].[Usage BillEnd DayOfWeekName]" caption="Usage BillEnd DayOfWeekName" attribute="1" defaultMemberUniqueName="[UsageBillEndDate].[Usage BillEnd DayOfWeekName].[All]" allUniqueName="[UsageBillEndDate].[Usage BillEnd DayOfWeekName].[All]" dimensionUniqueName="[UsageBillEndDate]" displayFolder="" count="0" unbalanced="0"/>
    <cacheHierarchy uniqueName="[UsageBillEndDate].[Usage BillEnd DayOfYear]" caption="Usage BillEnd DayOfYear" attribute="1" defaultMemberUniqueName="[UsageBillEndDate].[Usage BillEnd DayOfYear].[All]" allUniqueName="[UsageBillEndDate].[Usage BillEnd DayOfYear].[All]" dimensionUniqueName="[UsageBillEndDate]" displayFolder="" count="0" unbalanced="0"/>
    <cacheHierarchy uniqueName="[UsageBillEndDate].[Usage BillEnd HolidayInd]" caption="Usage BillEnd HolidayInd" attribute="1" defaultMemberUniqueName="[UsageBillEndDate].[Usage BillEnd HolidayInd].[All]" allUniqueName="[UsageBillEndDate].[Usage BillEnd HolidayInd].[All]" dimensionUniqueName="[UsageBillEndDate]" displayFolder="" count="0" unbalanced="0"/>
    <cacheHierarchy uniqueName="[UsageBillEndDate].[Usage BillEnd HolidayName]" caption="Usage BillEnd HolidayName" attribute="1" defaultMemberUniqueName="[UsageBillEndDate].[Usage BillEnd HolidayName].[All]" allUniqueName="[UsageBillEndDate].[Usage BillEnd HolidayName].[All]" dimensionUniqueName="[UsageBillEndDate]" displayFolder="" count="0" unbalanced="0"/>
    <cacheHierarchy uniqueName="[UsageBillEndDate].[Usage BillEnd LastDateOfMonth]" caption="Usage BillEnd LastDateOfMonth" attribute="1" defaultMemberUniqueName="[UsageBillEndDate].[Usage BillEnd LastDateOfMonth].[All]" allUniqueName="[UsageBillEndDate].[Usage BillEnd LastDateOfMonth].[All]" dimensionUniqueName="[UsageBillEndDate]" displayFolder="" count="0" unbalanced="0"/>
    <cacheHierarchy uniqueName="[UsageBillEndDate].[Usage BillEnd LastDayOfMonthIndicator]" caption="Usage BillEnd LastDayOfMonthIndicator" attribute="1" defaultMemberUniqueName="[UsageBillEndDate].[Usage BillEnd LastDayOfMonthIndicator].[All]" allUniqueName="[UsageBillEndDate].[Usage BillEnd LastDayOfMonthIndicator].[All]" dimensionUniqueName="[UsageBillEndDate]" displayFolder="" count="0" unbalanced="0"/>
    <cacheHierarchy uniqueName="[UsageBillEndDate].[Usage BillEnd Month]" caption="Usage BillEnd Month" attribute="1" defaultMemberUniqueName="[UsageBillEndDate].[Usage BillEnd Month].[All]" allUniqueName="[UsageBillEndDate].[Usage BillEnd Month].[All]" dimensionUniqueName="[UsageBillEndDate]" displayFolder="" count="0" unbalanced="0"/>
    <cacheHierarchy uniqueName="[UsageBillEndDate].[Usage BillEnd MonthNbr]" caption="Usage BillEnd MonthNbr" attribute="1" defaultMemberUniqueName="[UsageBillEndDate].[Usage BillEnd MonthNbr].[All]" allUniqueName="[UsageBillEndDate].[Usage BillEnd MonthNbr].[All]" dimensionUniqueName="[UsageBillEndDate]" displayFolder="" count="0" unbalanced="0"/>
    <cacheHierarchy uniqueName="[UsageBillEndDate].[Usage BillEnd Plan Month and Year]" caption="Usage BillEnd Plan Month and Year" attribute="1" defaultMemberUniqueName="[UsageBillEndDate].[Usage BillEnd Plan Month and Year].[All]" allUniqueName="[UsageBillEndDate].[Usage BillEnd Plan Month and Year].[All]" dimensionUniqueName="[UsageBillEndDate]" displayFolder="" count="0" unbalanced="0"/>
    <cacheHierarchy uniqueName="[UsageBillEndDate].[Usage BillEnd Plan Month Number]" caption="Usage BillEnd Plan Month Number" attribute="1" defaultMemberUniqueName="[UsageBillEndDate].[Usage BillEnd Plan Month Number].[All]" allUniqueName="[UsageBillEndDate].[Usage BillEnd Plan Month Number].[All]" dimensionUniqueName="[UsageBillEndDate]" displayFolder="" count="0" unbalanced="0"/>
    <cacheHierarchy uniqueName="[UsageBillEndDate].[Usage BillEnd Plan Quarter Number]" caption="Usage BillEnd Plan Quarter Number" attribute="1" defaultMemberUniqueName="[UsageBillEndDate].[Usage BillEnd Plan Quarter Number].[All]" allUniqueName="[UsageBillEndDate].[Usage BillEnd Plan Quarter Number].[All]" dimensionUniqueName="[UsageBillEndDate]" displayFolder="" count="0" unbalanced="0"/>
    <cacheHierarchy uniqueName="[UsageBillEndDate].[Usage BillEnd PY]" caption="Usage BillEnd PY" attribute="1" defaultMemberUniqueName="[UsageBillEndDate].[Usage BillEnd PY].[All]" allUniqueName="[UsageBillEndDate].[Usage BillEnd PY].[All]" dimensionUniqueName="[UsageBillEndDate]" displayFolder="" count="0" unbalanced="0"/>
    <cacheHierarchy uniqueName="[UsageBillEndDate].[Usage BillEnd Qtr]" caption="Usage BillEnd Qtr" attribute="1" defaultMemberUniqueName="[UsageBillEndDate].[Usage BillEnd Qtr].[All]" allUniqueName="[UsageBillEndDate].[Usage BillEnd Qtr].[All]" dimensionUniqueName="[UsageBillEndDate]" displayFolder="" count="0" unbalanced="0"/>
    <cacheHierarchy uniqueName="[UsageBillEndDate].[Usage BillEnd Semester]" caption="Usage BillEnd Semester" attribute="1" defaultMemberUniqueName="[UsageBillEndDate].[Usage BillEnd Semester].[All]" allUniqueName="[UsageBillEndDate].[Usage BillEnd Semester].[All]" dimensionUniqueName="[UsageBillEndDate]" displayFolder="" count="0" unbalanced="0"/>
    <cacheHierarchy uniqueName="[UsageBillEndDate].[Usage BillEnd WeekdayWeekend]" caption="Usage BillEnd WeekdayWeekend" attribute="1" defaultMemberUniqueName="[UsageBillEndDate].[Usage BillEnd WeekdayWeekend].[All]" allUniqueName="[UsageBillEndDate].[Usage BillEnd WeekdayWeekend].[All]" dimensionUniqueName="[UsageBillEndDate]" displayFolder="" count="0" unbalanced="0"/>
    <cacheHierarchy uniqueName="[UsageBillEndDate].[Usage BillEnd WeekOfMonth]" caption="Usage BillEnd WeekOfMonth" attribute="1" defaultMemberUniqueName="[UsageBillEndDate].[Usage BillEnd WeekOfMonth].[All]" allUniqueName="[UsageBillEndDate].[Usage BillEnd WeekOfMonth].[All]" dimensionUniqueName="[UsageBillEndDate]" displayFolder="" count="0" unbalanced="0"/>
    <cacheHierarchy uniqueName="[UsageBillEndDate].[Usage BillEnd WeekOfYear]" caption="Usage BillEnd WeekOfYear" attribute="1" defaultMemberUniqueName="[UsageBillEndDate].[Usage BillEnd WeekOfYear].[All]" allUniqueName="[UsageBillEndDate].[Usage BillEnd WeekOfYear].[All]" dimensionUniqueName="[UsageBillEndDate]" displayFolder="" count="0" unbalanced="0"/>
    <cacheHierarchy uniqueName="[UsageBillEndDate].[Usage BillEnd WorkingDayInd]" caption="Usage BillEnd WorkingDayInd" attribute="1" defaultMemberUniqueName="[UsageBillEndDate].[Usage BillEnd WorkingDayInd].[All]" allUniqueName="[UsageBillEndDate].[Usage BillEnd WorkingDayInd].[All]" dimensionUniqueName="[UsageBillEndDate]" displayFolder="" count="0" unbalanced="0"/>
    <cacheHierarchy uniqueName="[UsageBillEndDate].[Usage BillEnd Year]" caption="Usage BillEnd Year" attribute="1" defaultMemberUniqueName="[UsageBillEndDate].[Usage BillEnd Year].[All]" allUniqueName="[UsageBillEndDate].[Usage BillEnd Year].[All]" dimensionUniqueName="[UsageBillEndDate]" displayFolder="" count="0" unbalanced="0"/>
    <cacheHierarchy uniqueName="[UsageBillEndDate].[Usage BillEnd YearMonthAsInteger]" caption="Usage BillEnd YearMonthAsInteger" attribute="1" defaultMemberUniqueName="[UsageBillEndDate].[Usage BillEnd YearMonthAsInteger].[All]" allUniqueName="[UsageBillEndDate].[Usage BillEnd YearMonthAsInteger].[All]" dimensionUniqueName="[UsageBillEndDate]" displayFolder="" count="0" unbalanced="0"/>
    <cacheHierarchy uniqueName="[UsageBillEndDate].[Usage BillEnd YearQuarterAsInteger]" caption="Usage BillEnd YearQuarterAsInteger" attribute="1" defaultMemberUniqueName="[UsageBillEndDate].[Usage BillEnd YearQuarterAsInteger].[All]" allUniqueName="[UsageBillEndDate].[Usage BillEnd YearQuarterAsInteger].[All]" dimensionUniqueName="[UsageBillEndDate]" displayFolder="" count="0" unbalanced="0"/>
    <cacheHierarchy uniqueName="[UsageBillEndDate].[Usage BillEnd YearSemesterAsInteger]" caption="Usage BillEnd YearSemesterAsInteger" attribute="1" defaultMemberUniqueName="[UsageBillEndDate].[Usage BillEnd YearSemesterAsInteger].[All]" allUniqueName="[UsageBillEndDate].[Usage BillEnd YearSemesterAsInteger].[All]" dimensionUniqueName="[UsageBillEndDate]" displayFolder="" count="0" unbalanced="0"/>
    <cacheHierarchy uniqueName="[UsageBillStartDate].[HierBillSegStartDatePY]" caption="HierBillSegStartDatePY" defaultMemberUniqueName="[UsageBillStartDate].[HierBillSegStartDatePY].[All]" allUniqueName="[UsageBillStartDate].[HierBillSegStartDatePY].[All]" dimensionUniqueName="[UsageBillStartDate]" displayFolder="" count="4" unbalanced="0"/>
    <cacheHierarchy uniqueName="[UsageBillStartDate].[HierBillSegStartDateYear]" caption="HierBillSegStartDateYear" defaultMemberUniqueName="[UsageBillStartDate].[HierBillSegStartDateYear].[All]" allUniqueName="[UsageBillStartDate].[HierBillSegStartDateYear].[All]" dimensionUniqueName="[UsageBillStartDate]" displayFolder="" count="4" unbalanced="0"/>
    <cacheHierarchy uniqueName="[UsageBillStartDate].[Usage BillStart Date]" caption="Usage BillStart Date" attribute="1" defaultMemberUniqueName="[UsageBillStartDate].[Usage BillStart Date].[All]" allUniqueName="[UsageBillStartDate].[Usage BillStart Date].[All]" dimensionUniqueName="[UsageBillStartDate]" displayFolder="" count="0" unbalanced="0"/>
    <cacheHierarchy uniqueName="[UsageBillStartDate].[Usage BillStart DayOfMonth]" caption="Usage BillStart DayOfMonth" attribute="1" defaultMemberUniqueName="[UsageBillStartDate].[Usage BillStart DayOfMonth].[All]" allUniqueName="[UsageBillStartDate].[Usage BillStart DayOfMonth].[All]" dimensionUniqueName="[UsageBillStartDate]" displayFolder="" count="0" unbalanced="0"/>
    <cacheHierarchy uniqueName="[UsageBillStartDate].[Usage BillStart DayOfWeek]" caption="Usage BillStart DayOfWeek" attribute="1" defaultMemberUniqueName="[UsageBillStartDate].[Usage BillStart DayOfWeek].[All]" allUniqueName="[UsageBillStartDate].[Usage BillStart DayOfWeek].[All]" dimensionUniqueName="[UsageBillStartDate]" displayFolder="" count="0" unbalanced="0"/>
    <cacheHierarchy uniqueName="[UsageBillStartDate].[Usage BillStart DayOfWeekName]" caption="Usage BillStart DayOfWeekName" attribute="1" defaultMemberUniqueName="[UsageBillStartDate].[Usage BillStart DayOfWeekName].[All]" allUniqueName="[UsageBillStartDate].[Usage BillStart DayOfWeekName].[All]" dimensionUniqueName="[UsageBillStartDate]" displayFolder="" count="0" unbalanced="0"/>
    <cacheHierarchy uniqueName="[UsageBillStartDate].[Usage BillStart DayOfYear]" caption="Usage BillStart DayOfYear" attribute="1" defaultMemberUniqueName="[UsageBillStartDate].[Usage BillStart DayOfYear].[All]" allUniqueName="[UsageBillStartDate].[Usage BillStart DayOfYear].[All]" dimensionUniqueName="[UsageBillStartDate]" displayFolder="" count="0" unbalanced="0"/>
    <cacheHierarchy uniqueName="[UsageBillStartDate].[Usage BillStart HolidayInd]" caption="Usage BillStart HolidayInd" attribute="1" defaultMemberUniqueName="[UsageBillStartDate].[Usage BillStart HolidayInd].[All]" allUniqueName="[UsageBillStartDate].[Usage BillStart HolidayInd].[All]" dimensionUniqueName="[UsageBillStartDate]" displayFolder="" count="0" unbalanced="0"/>
    <cacheHierarchy uniqueName="[UsageBillStartDate].[Usage BillStart HolidayName]" caption="Usage BillStart HolidayName" attribute="1" defaultMemberUniqueName="[UsageBillStartDate].[Usage BillStart HolidayName].[All]" allUniqueName="[UsageBillStartDate].[Usage BillStart HolidayName].[All]" dimensionUniqueName="[UsageBillStartDate]" displayFolder="" count="0" unbalanced="0"/>
    <cacheHierarchy uniqueName="[UsageBillStartDate].[Usage BillStart LastDateOfMonth]" caption="Usage BillStart LastDateOfMonth" attribute="1" defaultMemberUniqueName="[UsageBillStartDate].[Usage BillStart LastDateOfMonth].[All]" allUniqueName="[UsageBillStartDate].[Usage BillStart LastDateOfMonth].[All]" dimensionUniqueName="[UsageBillStartDate]" displayFolder="" count="0" unbalanced="0"/>
    <cacheHierarchy uniqueName="[UsageBillStartDate].[Usage BillStart LastDayOfMonthIndicator]" caption="Usage BillStart LastDayOfMonthIndicator" attribute="1" defaultMemberUniqueName="[UsageBillStartDate].[Usage BillStart LastDayOfMonthIndicator].[All]" allUniqueName="[UsageBillStartDate].[Usage BillStart LastDayOfMonthIndicator].[All]" dimensionUniqueName="[UsageBillStartDate]" displayFolder="" count="0" unbalanced="0"/>
    <cacheHierarchy uniqueName="[UsageBillStartDate].[Usage BillStart Month]" caption="Usage BillStart Month" attribute="1" defaultMemberUniqueName="[UsageBillStartDate].[Usage BillStart Month].[All]" allUniqueName="[UsageBillStartDate].[Usage BillStart Month].[All]" dimensionUniqueName="[UsageBillStartDate]" displayFolder="" count="0" unbalanced="0"/>
    <cacheHierarchy uniqueName="[UsageBillStartDate].[Usage BillStart MonthNbr]" caption="Usage BillStart MonthNbr" attribute="1" defaultMemberUniqueName="[UsageBillStartDate].[Usage BillStart MonthNbr].[All]" allUniqueName="[UsageBillStartDate].[Usage BillStart MonthNbr].[All]" dimensionUniqueName="[UsageBillStartDate]" displayFolder="" count="0" unbalanced="0"/>
    <cacheHierarchy uniqueName="[UsageBillStartDate].[Usage BillStart Plan Month and Year]" caption="Usage BillStart Plan Month and Year" attribute="1" defaultMemberUniqueName="[UsageBillStartDate].[Usage BillStart Plan Month and Year].[All]" allUniqueName="[UsageBillStartDate].[Usage BillStart Plan Month and Year].[All]" dimensionUniqueName="[UsageBillStartDate]" displayFolder="" count="0" unbalanced="0"/>
    <cacheHierarchy uniqueName="[UsageBillStartDate].[Usage BillStart Plan Month Number]" caption="Usage BillStart Plan Month Number" attribute="1" defaultMemberUniqueName="[UsageBillStartDate].[Usage BillStart Plan Month Number].[All]" allUniqueName="[UsageBillStartDate].[Usage BillStart Plan Month Number].[All]" dimensionUniqueName="[UsageBillStartDate]" displayFolder="" count="0" unbalanced="0"/>
    <cacheHierarchy uniqueName="[UsageBillStartDate].[Usage BillStart Plan Quarter Number]" caption="Usage BillStart Plan Quarter Number" attribute="1" defaultMemberUniqueName="[UsageBillStartDate].[Usage BillStart Plan Quarter Number].[All]" allUniqueName="[UsageBillStartDate].[Usage BillStart Plan Quarter Number].[All]" dimensionUniqueName="[UsageBillStartDate]" displayFolder="" count="0" unbalanced="0"/>
    <cacheHierarchy uniqueName="[UsageBillStartDate].[Usage BillStart PY]" caption="Usage BillStart PY" attribute="1" defaultMemberUniqueName="[UsageBillStartDate].[Usage BillStart PY].[All]" allUniqueName="[UsageBillStartDate].[Usage BillStart PY].[All]" dimensionUniqueName="[UsageBillStartDate]" displayFolder="" count="0" unbalanced="0"/>
    <cacheHierarchy uniqueName="[UsageBillStartDate].[Usage BillStart Qtr]" caption="Usage BillStart Qtr" attribute="1" defaultMemberUniqueName="[UsageBillStartDate].[Usage BillStart Qtr].[All]" allUniqueName="[UsageBillStartDate].[Usage BillStart Qtr].[All]" dimensionUniqueName="[UsageBillStartDate]" displayFolder="" count="0" unbalanced="0"/>
    <cacheHierarchy uniqueName="[UsageBillStartDate].[Usage BillStart Semester]" caption="Usage BillStart Semester" attribute="1" defaultMemberUniqueName="[UsageBillStartDate].[Usage BillStart Semester].[All]" allUniqueName="[UsageBillStartDate].[Usage BillStart Semester].[All]" dimensionUniqueName="[UsageBillStartDate]" displayFolder="" count="0" unbalanced="0"/>
    <cacheHierarchy uniqueName="[UsageBillStartDate].[Usage BillStart WeekdayWeekend]" caption="Usage BillStart WeekdayWeekend" attribute="1" defaultMemberUniqueName="[UsageBillStartDate].[Usage BillStart WeekdayWeekend].[All]" allUniqueName="[UsageBillStartDate].[Usage BillStart WeekdayWeekend].[All]" dimensionUniqueName="[UsageBillStartDate]" displayFolder="" count="0" unbalanced="0"/>
    <cacheHierarchy uniqueName="[UsageBillStartDate].[Usage BillStart WeekOfMonth]" caption="Usage BillStart WeekOfMonth" attribute="1" defaultMemberUniqueName="[UsageBillStartDate].[Usage BillStart WeekOfMonth].[All]" allUniqueName="[UsageBillStartDate].[Usage BillStart WeekOfMonth].[All]" dimensionUniqueName="[UsageBillStartDate]" displayFolder="" count="0" unbalanced="0"/>
    <cacheHierarchy uniqueName="[UsageBillStartDate].[Usage BillStart WeekOfYear]" caption="Usage BillStart WeekOfYear" attribute="1" defaultMemberUniqueName="[UsageBillStartDate].[Usage BillStart WeekOfYear].[All]" allUniqueName="[UsageBillStartDate].[Usage BillStart WeekOfYear].[All]" dimensionUniqueName="[UsageBillStartDate]" displayFolder="" count="0" unbalanced="0"/>
    <cacheHierarchy uniqueName="[UsageBillStartDate].[Usage BillStart WorkingDayInd]" caption="Usage BillStart WorkingDayInd" attribute="1" defaultMemberUniqueName="[UsageBillStartDate].[Usage BillStart WorkingDayInd].[All]" allUniqueName="[UsageBillStartDate].[Usage BillStart WorkingDayInd].[All]" dimensionUniqueName="[UsageBillStartDate]" displayFolder="" count="0" unbalanced="0"/>
    <cacheHierarchy uniqueName="[UsageBillStartDate].[Usage BillStart Year]" caption="Usage BillStart Year" attribute="1" defaultMemberUniqueName="[UsageBillStartDate].[Usage BillStart Year].[All]" allUniqueName="[UsageBillStartDate].[Usage BillStart Year].[All]" dimensionUniqueName="[UsageBillStartDate]" displayFolder="" count="0" unbalanced="0"/>
    <cacheHierarchy uniqueName="[UsageBillStartDate].[Usage BillStart YearMonthAsInteger]" caption="Usage BillStart YearMonthAsInteger" attribute="1" defaultMemberUniqueName="[UsageBillStartDate].[Usage BillStart YearMonthAsInteger].[All]" allUniqueName="[UsageBillStartDate].[Usage BillStart YearMonthAsInteger].[All]" dimensionUniqueName="[UsageBillStartDate]" displayFolder="" count="0" unbalanced="0"/>
    <cacheHierarchy uniqueName="[UsageBillStartDate].[Usage BillStart YearQuarterAsInteger]" caption="Usage BillStart YearQuarterAsInteger" attribute="1" defaultMemberUniqueName="[UsageBillStartDate].[Usage BillStart YearQuarterAsInteger].[All]" allUniqueName="[UsageBillStartDate].[Usage BillStart YearQuarterAsInteger].[All]" dimensionUniqueName="[UsageBillStartDate]" displayFolder="" count="0" unbalanced="0"/>
    <cacheHierarchy uniqueName="[UsageBillStartDate].[Usage BillStart YearSemesterAsInteger]" caption="Usage BillStart YearSemesterAsInteger" attribute="1" defaultMemberUniqueName="[UsageBillStartDate].[Usage BillStart YearSemesterAsInteger].[All]" allUniqueName="[UsageBillStartDate].[Usage BillStart YearSemesterAsInteger].[All]" dimensionUniqueName="[UsageBillStartDate]" displayFolder="" count="0" unbalanced="0"/>
    <cacheHierarchy uniqueName="[AccountCountyHierArchy].[AccountKey]" caption="AccountKey" attribute="1" defaultMemberUniqueName="[AccountCountyHierArchy].[AccountKey].[All]" allUniqueName="[AccountCountyHierArchy].[AccountKey].[All]" dimensionUniqueName="[AccountCountyHierArchy]" displayFolder="" count="0" unbalanced="0" hidden="1"/>
    <cacheHierarchy uniqueName="[AccountCountyHierArchy].[ServiceCountyKey]" caption="ServiceCountyKey" attribute="1" defaultMemberUniqueName="[AccountCountyHierArchy].[ServiceCountyKey].[All]" allUniqueName="[AccountCountyHierArchy].[ServiceCountyKey].[All]" dimensionUniqueName="[AccountCountyHierArchy]" displayFolder="" count="0" unbalanced="0" hidden="1"/>
    <cacheHierarchy uniqueName="[AccountCountyHierArchy].[ServiceTownKey]" caption="ServiceTownKey" attribute="1" defaultMemberUniqueName="[AccountCountyHierArchy].[ServiceTownKey].[All]" allUniqueName="[AccountCountyHierArchy].[ServiceTownKey].[All]" dimensionUniqueName="[AccountCountyHierArchy]" displayFolder="" count="0" unbalanced="0" hidden="1"/>
    <cacheHierarchy uniqueName="[AccountCountyHierArchy].[ServiceTownName]" caption="ServiceTownName" attribute="1" defaultMemberUniqueName="[AccountCountyHierArchy].[ServiceTownName].[All]" allUniqueName="[AccountCountyHierArchy].[ServiceTownName].[All]" dimensionUniqueName="[AccountCountyHierArchy]" displayFolder="" count="0" unbalanced="0" hidden="1"/>
    <cacheHierarchy uniqueName="[AcctA44Ranking].[TableValueKey]" caption="TableValueKey" attribute="1" defaultMemberUniqueName="[AcctA44Ranking].[TableValueKey].[All]" allUniqueName="[AcctA44Ranking].[TableValueKey].[All]" dimensionUniqueName="[AcctA44Ranking]" displayFolder="" count="0" unbalanced="0" hidden="1"/>
    <cacheHierarchy uniqueName="[AcctContactRules].[TableValueKey]" caption="TableValueKey" attribute="1" defaultMemberUniqueName="[AcctContactRules].[TableValueKey].[All]" allUniqueName="[AcctContactRules].[TableValueKey].[All]" dimensionUniqueName="[AcctContactRules]" displayFolder="" count="0" unbalanced="0" hidden="1"/>
    <cacheHierarchy uniqueName="[AcctDualFuelType].[TableValueKey]" caption="TableValueKey" attribute="1" defaultMemberUniqueName="[AcctDualFuelType].[TableValueKey].[All]" allUniqueName="[AcctDualFuelType].[TableValueKey].[All]" dimensionUniqueName="[AcctDualFuelType]" displayFolder="" count="0" unbalanced="0" hidden="1"/>
    <cacheHierarchy uniqueName="[AcctGasLDC].[TableValueKey]" caption="TableValueKey" attribute="1" defaultMemberUniqueName="[AcctGasLDC].[TableValueKey].[All]" allUniqueName="[AcctGasLDC].[TableValueKey].[All]" dimensionUniqueName="[AcctGasLDC]" displayFolder="" count="0" unbalanced="0" hidden="1"/>
    <cacheHierarchy uniqueName="[AcctMarketCode].[TableValueKey]" caption="TableValueKey" attribute="1" defaultMemberUniqueName="[AcctMarketCode].[TableValueKey].[All]" allUniqueName="[AcctMarketCode].[TableValueKey].[All]" dimensionUniqueName="[AcctMarketCode]" displayFolder="" count="0" unbalanced="0" hidden="1"/>
    <cacheHierarchy uniqueName="[AcctNAICSVerificationDate].[Datekey]" caption="Datekey" attribute="1" defaultMemberUniqueName="[AcctNAICSVerificationDate].[Datekey].[All]" allUniqueName="[AcctNAICSVerificationDate].[Datekey].[All]" dimensionUniqueName="[AcctNAICSVerificationDate]" displayFolder="" count="0" unbalanced="0" hidden="1"/>
    <cacheHierarchy uniqueName="[AcctUsageLevelFilter].[AccountKey]" caption="AccountKey" attribute="1" defaultMemberUniqueName="[AcctUsageLevelFilter].[AccountKey].[All]" allUniqueName="[AcctUsageLevelFilter].[AccountKey].[All]" dimensionUniqueName="[AcctUsageLevelFilter]" displayFolder="" count="0" unbalanced="0" hidden="1"/>
    <cacheHierarchy uniqueName="[AcctUsageLevelFilter].[UsageTierOrder]" caption="UsageTierOrder" attribute="1" defaultMemberUniqueName="[AcctUsageLevelFilter].[UsageTierOrder].[All]" allUniqueName="[AcctUsageLevelFilter].[UsageTierOrder].[All]" dimensionUniqueName="[AcctUsageLevelFilter]" displayFolder="" count="0" unbalanced="0" hidden="1"/>
    <cacheHierarchy uniqueName="[Budget ProgramYear].[Datekey]" caption="Datekey" attribute="1" defaultMemberUniqueName="[Budget ProgramYear].[Datekey].[All]" allUniqueName="[Budget ProgramYear].[Datekey].[All]" dimensionUniqueName="[Budget ProgramYear]" displayFolder="" count="0" unbalanced="0" hidden="1"/>
    <cacheHierarchy uniqueName="[DimAccount].[A44RankingTableValueKey]" caption="A44RankingTableValueKey" attribute="1" defaultMemberUniqueName="[DimAccount].[A44RankingTableValueKey].[All]" allUniqueName="[DimAccount].[A44RankingTableValueKey].[All]" dimensionUniqueName="[DimAccount]" displayFolder="" count="0" unbalanced="0" hidden="1"/>
    <cacheHierarchy uniqueName="[DimAccount].[AccountKey]" caption="AccountKey" attribute="1" defaultMemberUniqueName="[DimAccount].[AccountKey].[All]" allUniqueName="[DimAccount].[AccountKey].[All]" dimensionUniqueName="[DimAccount]" displayFolder="" count="0" unbalanced="0" hidden="1"/>
    <cacheHierarchy uniqueName="[DimAccount].[BusinessAccountSegmentKey]" caption="BusinessAccountSegmentKey" attribute="1" defaultMemberUniqueName="[DimAccount].[BusinessAccountSegmentKey].[All]" allUniqueName="[DimAccount].[BusinessAccountSegmentKey].[All]" dimensionUniqueName="[DimAccount]" displayFolder="" count="0" unbalanced="0" hidden="1"/>
    <cacheHierarchy uniqueName="[DimAccount].[BusinessPremiseSegmentKey]" caption="BusinessPremiseSegmentKey" attribute="1" defaultMemberUniqueName="[DimAccount].[BusinessPremiseSegmentKey].[All]" allUniqueName="[DimAccount].[BusinessPremiseSegmentKey].[All]" dimensionUniqueName="[DimAccount]" displayFolder="" count="0" unbalanced="0" hidden="1"/>
    <cacheHierarchy uniqueName="[DimAccount].[CompanyKey]" caption="CompanyKey" attribute="1" defaultMemberUniqueName="[DimAccount].[CompanyKey].[All]" allUniqueName="[DimAccount].[CompanyKey].[All]" dimensionUniqueName="[DimAccount]" displayFolder="" count="0" unbalanced="0" hidden="1"/>
    <cacheHierarchy uniqueName="[DimAccount].[ContactRulesTableValueKey]" caption="ContactRulesTableValueKey" attribute="1" defaultMemberUniqueName="[DimAccount].[ContactRulesTableValueKey].[All]" allUniqueName="[DimAccount].[ContactRulesTableValueKey].[All]" dimensionUniqueName="[DimAccount]" displayFolder="" count="0" unbalanced="0" hidden="1"/>
    <cacheHierarchy uniqueName="[DimAccount].[DualFuelTypeTableValueKey]" caption="DualFuelTypeTableValueKey" attribute="1" defaultMemberUniqueName="[DimAccount].[DualFuelTypeTableValueKey].[All]" allUniqueName="[DimAccount].[DualFuelTypeTableValueKey].[All]" dimensionUniqueName="[DimAccount]" displayFolder="" count="0" unbalanced="0" hidden="1"/>
    <cacheHierarchy uniqueName="[DimAccount].[GasLDCTableValueKey]" caption="GasLDCTableValueKey" attribute="1" defaultMemberUniqueName="[DimAccount].[GasLDCTableValueKey].[All]" allUniqueName="[DimAccount].[GasLDCTableValueKey].[All]" dimensionUniqueName="[DimAccount]" displayFolder="" count="0" unbalanced="0" hidden="1"/>
    <cacheHierarchy uniqueName="[DimAccount].[MarketCodeTableValueKey]" caption="MarketCodeTableValueKey" attribute="1" defaultMemberUniqueName="[DimAccount].[MarketCodeTableValueKey].[All]" allUniqueName="[DimAccount].[MarketCodeTableValueKey].[All]" dimensionUniqueName="[DimAccount]" displayFolder="" count="0" unbalanced="0" hidden="1"/>
    <cacheHierarchy uniqueName="[DimAccount].[NAICSCodeKey]" caption="NAICSCodeKey" attribute="1" defaultMemberUniqueName="[DimAccount].[NAICSCodeKey].[All]" allUniqueName="[DimAccount].[NAICSCodeKey].[All]" dimensionUniqueName="[DimAccount]" displayFolder="" count="0" unbalanced="0" hidden="1"/>
    <cacheHierarchy uniqueName="[DimAccount].[NAICSVerificationDateKey]" caption="NAICSVerificationDateKey" attribute="1" defaultMemberUniqueName="[DimAccount].[NAICSVerificationDateKey].[All]" allUniqueName="[DimAccount].[NAICSVerificationDateKey].[All]" dimensionUniqueName="[DimAccount]" displayFolder="" count="0" unbalanced="0" hidden="1"/>
    <cacheHierarchy uniqueName="[DimAccount].[ParentAccountKey]" caption="ParentAccountKey" attribute="1" defaultMemberUniqueName="[DimAccount].[ParentAccountKey].[All]" allUniqueName="[DimAccount].[ParentAccountKey].[All]" dimensionUniqueName="[DimAccount]" displayFolder="" count="0" unbalanced="0" hidden="1"/>
    <cacheHierarchy uniqueName="[DimAccount].[ResidentialAccountSegmentKey]" caption="ResidentialAccountSegmentKey" attribute="1" defaultMemberUniqueName="[DimAccount].[ResidentialAccountSegmentKey].[All]" allUniqueName="[DimAccount].[ResidentialAccountSegmentKey].[All]" dimensionUniqueName="[DimAccount]" displayFolder="" count="0" unbalanced="0" hidden="1"/>
    <cacheHierarchy uniqueName="[DimAccount].[ResidentialPremiseSegmentKey]" caption="ResidentialPremiseSegmentKey" attribute="1" defaultMemberUniqueName="[DimAccount].[ResidentialPremiseSegmentKey].[All]" allUniqueName="[DimAccount].[ResidentialPremiseSegmentKey].[All]" dimensionUniqueName="[DimAccount]" displayFolder="" count="0" unbalanced="0" hidden="1"/>
    <cacheHierarchy uniqueName="[DimAccount].[ServiceCountyKey]" caption="ServiceCountyKey" attribute="1" defaultMemberUniqueName="[DimAccount].[ServiceCountyKey].[All]" allUniqueName="[DimAccount].[ServiceCountyKey].[All]" dimensionUniqueName="[DimAccount]" displayFolder="" count="0" unbalanced="0" hidden="1"/>
    <cacheHierarchy uniqueName="[DimAccount].[ServiceTownKey]" caption="ServiceTownKey" attribute="1" defaultMemberUniqueName="[DimAccount].[ServiceTownKey].[All]" allUniqueName="[DimAccount].[ServiceTownKey].[All]" dimensionUniqueName="[DimAccount]" displayFolder="" count="0" unbalanced="0" hidden="1"/>
    <cacheHierarchy uniqueName="[DimAccountUsageLevel].[AccountKey]" caption="AccountKey" attribute="1" defaultMemberUniqueName="[DimAccountUsageLevel].[AccountKey].[All]" allUniqueName="[DimAccountUsageLevel].[AccountKey].[All]" dimensionUniqueName="[DimAccountUsageLevel]" displayFolder="" count="0" unbalanced="0" hidden="1"/>
    <cacheHierarchy uniqueName="[DimAccountUsageLevel].[AccountUsageLevelKey]" caption="AccountUsageLevelKey" attribute="1" defaultMemberUniqueName="[DimAccountUsageLevel].[AccountUsageLevelKey].[All]" allUniqueName="[DimAccountUsageLevel].[AccountUsageLevelKey].[All]" dimensionUniqueName="[DimAccountUsageLevel]" displayFolder="" count="0" unbalanced="0" hidden="1"/>
    <cacheHierarchy uniqueName="[DimAccountUsageLevel].[HashByteValueType1]" caption="HashByteValueType1" attribute="1" defaultMemberUniqueName="[DimAccountUsageLevel].[HashByteValueType1].[All]" allUniqueName="[DimAccountUsageLevel].[HashByteValueType1].[All]" dimensionUniqueName="[DimAccountUsageLevel]" displayFolder="" count="0" unbalanced="0" hidden="1"/>
    <cacheHierarchy uniqueName="[DimBuildingType].[BuildingTypeKey]" caption="BuildingTypeKey" attribute="1" defaultMemberUniqueName="[DimBuildingType].[BuildingTypeKey].[All]" allUniqueName="[DimBuildingType].[BuildingTypeKey].[All]" dimensionUniqueName="[DimBuildingType]" displayFolder="" count="0" unbalanced="0" hidden="1"/>
    <cacheHierarchy uniqueName="[DimBusinessAccountSegment].[BusinessAccountSegmentKey]" caption="BusinessAccountSegmentKey" attribute="1" defaultMemberUniqueName="[DimBusinessAccountSegment].[BusinessAccountSegmentKey].[All]" allUniqueName="[DimBusinessAccountSegment].[BusinessAccountSegmentKey].[All]" dimensionUniqueName="[DimBusinessAccountSegment]" displayFolder="" count="0" unbalanced="0" hidden="1"/>
    <cacheHierarchy uniqueName="[DimBusinessPremiseSegment].[BusinessPremiseSegmentKey]" caption="BusinessPremiseSegmentKey" attribute="1" defaultMemberUniqueName="[DimBusinessPremiseSegment].[BusinessPremiseSegmentKey].[All]" allUniqueName="[DimBusinessPremiseSegment].[BusinessPremiseSegmentKey].[All]" dimensionUniqueName="[DimBusinessPremiseSegment]" displayFolder="" count="0" unbalanced="0" hidden="1"/>
    <cacheHierarchy uniqueName="[DimBusinessPremiseSegment].[PremiseID]" caption="PremiseID" attribute="1" defaultMemberUniqueName="[DimBusinessPremiseSegment].[PremiseID].[All]" allUniqueName="[DimBusinessPremiseSegment].[PremiseID].[All]" dimensionUniqueName="[DimBusinessPremiseSegment]" displayFolder="" count="0" unbalanced="0" hidden="1"/>
    <cacheHierarchy uniqueName="[DimContactMailer].[ContactKey]" caption="ContactKey" attribute="1" defaultMemberUniqueName="[DimContactMailer].[ContactKey].[All]" allUniqueName="[DimContactMailer].[ContactKey].[All]" dimensionUniqueName="[DimContactMailer]" displayFolder="" count="0" unbalanced="0" hidden="1"/>
    <cacheHierarchy uniqueName="[DimContactMailer].[ContactMailerKey]" caption="ContactMailerKey" attribute="1" defaultMemberUniqueName="[DimContactMailer].[ContactMailerKey].[All]" allUniqueName="[DimContactMailer].[ContactMailerKey].[All]" dimensionUniqueName="[DimContactMailer]" displayFolder="" count="0" unbalanced="0" hidden="1"/>
    <cacheHierarchy uniqueName="[DimContactMailer].[Mailer Key]" caption="Mailer Key" attribute="1" defaultMemberUniqueName="[DimContactMailer].[Mailer Key].[All]" allUniqueName="[DimContactMailer].[Mailer Key].[All]" dimensionUniqueName="[DimContactMailer]" displayFolder="" count="0" unbalanced="0" hidden="1"/>
    <cacheHierarchy uniqueName="[DimCustomerSelectSupplier].[CustomerSelectSupplierKey]" caption="CustomerSelectSupplierKey" attribute="1" defaultMemberUniqueName="[DimCustomerSelectSupplier].[CustomerSelectSupplierKey].[All]" allUniqueName="[DimCustomerSelectSupplier].[CustomerSelectSupplierKey].[All]" dimensionUniqueName="[DimCustomerSelectSupplier]" displayFolder="" count="0" unbalanced="0" hidden="1"/>
    <cacheHierarchy uniqueName="[DimDate].[LastUpdated]" caption="LastUpdated" attribute="1" time="1" defaultMemberUniqueName="[DimDate].[LastUpdated].[All]" allUniqueName="[DimDate].[LastUpdated].[All]" dimensionUniqueName="[DimDate]" displayFolder="" count="0" unbalanced="0" hidden="1"/>
    <cacheHierarchy uniqueName="[DimEquipmentCode].[EquipmentCodeKey]" caption="EquipmentCodeKey" attribute="1" defaultMemberUniqueName="[DimEquipmentCode].[EquipmentCodeKey].[All]" allUniqueName="[DimEquipmentCode].[EquipmentCodeKey].[All]" dimensionUniqueName="[DimEquipmentCode]" displayFolder="" count="0" unbalanced="0" hidden="1"/>
    <cacheHierarchy uniqueName="[DimEquipmentCode].[MarketSegmentKey]" caption="MarketSegmentKey" attribute="1" defaultMemberUniqueName="[DimEquipmentCode].[MarketSegmentKey].[All]" allUniqueName="[DimEquipmentCode].[MarketSegmentKey].[All]" dimensionUniqueName="[DimEquipmentCode]" displayFolder="" count="0" unbalanced="0" hidden="1"/>
    <cacheHierarchy uniqueName="[DimMeasureGroup].[MeasureGroupKey]" caption="MeasureGroupKey" attribute="1" defaultMemberUniqueName="[DimMeasureGroup].[MeasureGroupKey].[All]" allUniqueName="[DimMeasureGroup].[MeasureGroupKey].[All]" dimensionUniqueName="[DimMeasureGroup]" displayFolder="" count="0" unbalanced="0" hidden="1"/>
    <cacheHierarchy uniqueName="[DimNAICSCode].[NAICS Code]" caption="NAICS Code" attribute="1" defaultMemberUniqueName="[DimNAICSCode].[NAICS Code].[All]" allUniqueName="[DimNAICSCode].[NAICS Code].[All]" dimensionUniqueName="[DimNAICSCode]" displayFolder="" count="0" unbalanced="0" hidden="1"/>
    <cacheHierarchy uniqueName="[DimNAICSCode].[NAICS Code Description]" caption="NAICS Code Description" attribute="1" defaultMemberUniqueName="[DimNAICSCode].[NAICS Code Description].[All]" allUniqueName="[DimNAICSCode].[NAICS Code Description].[All]" dimensionUniqueName="[DimNAICSCode]" displayFolder="" count="0" unbalanced="0" hidden="1"/>
    <cacheHierarchy uniqueName="[DimNAICSCode].[NAICSCodeKey]" caption="NAICSCodeKey" attribute="1" defaultMemberUniqueName="[DimNAICSCode].[NAICSCodeKey].[All]" allUniqueName="[DimNAICSCode].[NAICSCodeKey].[All]" dimensionUniqueName="[DimNAICSCode]" displayFolder="" count="0" unbalanced="0" hidden="1"/>
    <cacheHierarchy uniqueName="[DimPayee].[DQScoreKey]" caption="DQScoreKey" attribute="1" defaultMemberUniqueName="[DimPayee].[DQScoreKey].[All]" allUniqueName="[DimPayee].[DQScoreKey].[All]" dimensionUniqueName="[DimPayee]" displayFolder="" count="0" unbalanced="0" hidden="1"/>
    <cacheHierarchy uniqueName="[DimPayee].[HashByteValueType1]" caption="HashByteValueType1" attribute="1" defaultMemberUniqueName="[DimPayee].[HashByteValueType1].[All]" allUniqueName="[DimPayee].[HashByteValueType1].[All]" dimensionUniqueName="[DimPayee]" displayFolder="" count="0" unbalanced="0" hidden="1"/>
    <cacheHierarchy uniqueName="[DimPayee].[HashByteValueType2]" caption="HashByteValueType2" attribute="1" defaultMemberUniqueName="[DimPayee].[HashByteValueType2].[All]" allUniqueName="[DimPayee].[HashByteValueType2].[All]" dimensionUniqueName="[DimPayee]" displayFolder="" count="0" unbalanced="0" hidden="1"/>
    <cacheHierarchy uniqueName="[DimPayee].[InsertAuditKey]" caption="InsertAuditKey" attribute="1" defaultMemberUniqueName="[DimPayee].[InsertAuditKey].[All]" allUniqueName="[DimPayee].[InsertAuditKey].[All]" dimensionUniqueName="[DimPayee]" displayFolder="" count="0" unbalanced="0" hidden="1"/>
    <cacheHierarchy uniqueName="[DimPayee].[PayeeKey]" caption="PayeeKey" attribute="1" defaultMemberUniqueName="[DimPayee].[PayeeKey].[All]" allUniqueName="[DimPayee].[PayeeKey].[All]" dimensionUniqueName="[DimPayee]" displayFolder="" count="0" unbalanced="0" hidden="1"/>
    <cacheHierarchy uniqueName="[DimPayee].[RowChangeReason]" caption="RowChangeReason" attribute="1" defaultMemberUniqueName="[DimPayee].[RowChangeReason].[All]" allUniqueName="[DimPayee].[RowChangeReason].[All]" dimensionUniqueName="[DimPayee]" displayFolder="" count="0" unbalanced="0" hidden="1"/>
    <cacheHierarchy uniqueName="[DimPayee].[RowEndDate]" caption="RowEndDate" attribute="1" defaultMemberUniqueName="[DimPayee].[RowEndDate].[All]" allUniqueName="[DimPayee].[RowEndDate].[All]" dimensionUniqueName="[DimPayee]" displayFolder="" count="0" unbalanced="0" hidden="1"/>
    <cacheHierarchy uniqueName="[DimPayee].[RowIsCurrent]" caption="RowIsCurrent" attribute="1" defaultMemberUniqueName="[DimPayee].[RowIsCurrent].[All]" allUniqueName="[DimPayee].[RowIsCurrent].[All]" dimensionUniqueName="[DimPayee]" displayFolder="" count="0" unbalanced="0" hidden="1"/>
    <cacheHierarchy uniqueName="[DimPayee].[RowStartDate]" caption="RowStartDate" attribute="1" defaultMemberUniqueName="[DimPayee].[RowStartDate].[All]" allUniqueName="[DimPayee].[RowStartDate].[All]" dimensionUniqueName="[DimPayee]" displayFolder="" count="0" unbalanced="0" hidden="1"/>
    <cacheHierarchy uniqueName="[DimPayee].[UpdateAuditKey]" caption="UpdateAuditKey" attribute="1" defaultMemberUniqueName="[DimPayee].[UpdateAuditKey].[All]" allUniqueName="[DimPayee].[UpdateAuditKey].[All]" dimensionUniqueName="[DimPayee]" displayFolder="" count="0" unbalanced="0" hidden="1"/>
    <cacheHierarchy uniqueName="[DimPipeLineStatus].[DQScoreKey]" caption="DQScoreKey" attribute="1" defaultMemberUniqueName="[DimPipeLineStatus].[DQScoreKey].[All]" allUniqueName="[DimPipeLineStatus].[DQScoreKey].[All]" dimensionUniqueName="[DimPipeLineStatus]" displayFolder="" count="0" unbalanced="0" hidden="1"/>
    <cacheHierarchy uniqueName="[DimPipeLineStatus].[InsertAuditKey]" caption="InsertAuditKey" attribute="1" defaultMemberUniqueName="[DimPipeLineStatus].[InsertAuditKey].[All]" allUniqueName="[DimPipeLineStatus].[InsertAuditKey].[All]" dimensionUniqueName="[DimPipeLineStatus]" displayFolder="" count="0" unbalanced="0" hidden="1"/>
    <cacheHierarchy uniqueName="[DimPipeLineStatus].[PipeLineStatusKey]" caption="PipeLineStatusKey" attribute="1" defaultMemberUniqueName="[DimPipeLineStatus].[PipeLineStatusKey].[All]" allUniqueName="[DimPipeLineStatus].[PipeLineStatusKey].[All]" dimensionUniqueName="[DimPipeLineStatus]" displayFolder="" count="0" unbalanced="0" hidden="1"/>
    <cacheHierarchy uniqueName="[DimPipeLineStatus].[RowChangeReason]" caption="RowChangeReason" attribute="1" defaultMemberUniqueName="[DimPipeLineStatus].[RowChangeReason].[All]" allUniqueName="[DimPipeLineStatus].[RowChangeReason].[All]" dimensionUniqueName="[DimPipeLineStatus]" displayFolder="" count="0" unbalanced="0" hidden="1"/>
    <cacheHierarchy uniqueName="[DimPipeLineStatus].[RowEndDate]" caption="RowEndDate" attribute="1" defaultMemberUniqueName="[DimPipeLineStatus].[RowEndDate].[All]" allUniqueName="[DimPipeLineStatus].[RowEndDate].[All]" dimensionUniqueName="[DimPipeLineStatus]" displayFolder="" count="0" unbalanced="0" hidden="1"/>
    <cacheHierarchy uniqueName="[DimPipeLineStatus].[RowIsCurrent]" caption="RowIsCurrent" attribute="1" defaultMemberUniqueName="[DimPipeLineStatus].[RowIsCurrent].[All]" allUniqueName="[DimPipeLineStatus].[RowIsCurrent].[All]" dimensionUniqueName="[DimPipeLineStatus]" displayFolder="" count="0" unbalanced="0" hidden="1"/>
    <cacheHierarchy uniqueName="[DimPipeLineStatus].[RowStartDate]" caption="RowStartDate" attribute="1" defaultMemberUniqueName="[DimPipeLineStatus].[RowStartDate].[All]" allUniqueName="[DimPipeLineStatus].[RowStartDate].[All]" dimensionUniqueName="[DimPipeLineStatus]" displayFolder="" count="0" unbalanced="0" hidden="1"/>
    <cacheHierarchy uniqueName="[DimPipeLineStatus].[UpdateAuditKey]" caption="UpdateAuditKey" attribute="1" defaultMemberUniqueName="[DimPipeLineStatus].[UpdateAuditKey].[All]" allUniqueName="[DimPipeLineStatus].[UpdateAuditKey].[All]" dimensionUniqueName="[DimPipeLineStatus]" displayFolder="" count="0" unbalanced="0" hidden="1"/>
    <cacheHierarchy uniqueName="[DimPMTIC].[DQScoreKey]" caption="DQScoreKey" attribute="1" defaultMemberUniqueName="[DimPMTIC].[DQScoreKey].[All]" allUniqueName="[DimPMTIC].[DQScoreKey].[All]" dimensionUniqueName="[DimPMTIC]" displayFolder="" count="0" unbalanced="0" hidden="1"/>
    <cacheHierarchy uniqueName="[DimPMTIC].[InsertAuditKey]" caption="InsertAuditKey" attribute="1" defaultMemberUniqueName="[DimPMTIC].[InsertAuditKey].[All]" allUniqueName="[DimPMTIC].[InsertAuditKey].[All]" dimensionUniqueName="[DimPMTIC]" displayFolder="" count="0" unbalanced="0" hidden="1"/>
    <cacheHierarchy uniqueName="[DimPMTIC].[PMTICKey]" caption="PMTICKey" attribute="1" defaultMemberUniqueName="[DimPMTIC].[PMTICKey].[All]" allUniqueName="[DimPMTIC].[PMTICKey].[All]" dimensionUniqueName="[DimPMTIC]" displayFolder="" count="0" unbalanced="0" hidden="1"/>
    <cacheHierarchy uniqueName="[DimPMTIC].[RowChangeReason]" caption="RowChangeReason" attribute="1" defaultMemberUniqueName="[DimPMTIC].[RowChangeReason].[All]" allUniqueName="[DimPMTIC].[RowChangeReason].[All]" dimensionUniqueName="[DimPMTIC]" displayFolder="" count="0" unbalanced="0" hidden="1"/>
    <cacheHierarchy uniqueName="[DimPMTIC].[RowEndDate]" caption="RowEndDate" attribute="1" defaultMemberUniqueName="[DimPMTIC].[RowEndDate].[All]" allUniqueName="[DimPMTIC].[RowEndDate].[All]" dimensionUniqueName="[DimPMTIC]" displayFolder="" count="0" unbalanced="0" hidden="1"/>
    <cacheHierarchy uniqueName="[DimPMTIC].[RowIsCurrent]" caption="RowIsCurrent" attribute="1" defaultMemberUniqueName="[DimPMTIC].[RowIsCurrent].[All]" allUniqueName="[DimPMTIC].[RowIsCurrent].[All]" dimensionUniqueName="[DimPMTIC]" displayFolder="" count="0" unbalanced="0" hidden="1"/>
    <cacheHierarchy uniqueName="[DimPMTIC].[RowStartDate]" caption="RowStartDate" attribute="1" defaultMemberUniqueName="[DimPMTIC].[RowStartDate].[All]" allUniqueName="[DimPMTIC].[RowStartDate].[All]" dimensionUniqueName="[DimPMTIC]" displayFolder="" count="0" unbalanced="0" hidden="1"/>
    <cacheHierarchy uniqueName="[DimPMTIC].[UpdateAuditKey]" caption="UpdateAuditKey" attribute="1" defaultMemberUniqueName="[DimPMTIC].[UpdateAuditKey].[All]" allUniqueName="[DimPMTIC].[UpdateAuditKey].[All]" dimensionUniqueName="[DimPMTIC]" displayFolder="" count="0" unbalanced="0" hidden="1"/>
    <cacheHierarchy uniqueName="[DimPMTMeasure].[PMTMeasureKey]" caption="PMTMeasureKey" attribute="1" defaultMemberUniqueName="[DimPMTMeasure].[PMTMeasureKey].[All]" allUniqueName="[DimPMTMeasure].[PMTMeasureKey].[All]" dimensionUniqueName="[DimPMTMeasure]" displayFolder="" count="0" unbalanced="0" hidden="1"/>
    <cacheHierarchy uniqueName="[DimPMTProgram].[PMTProgramKey]" caption="PMTProgramKey" attribute="1" defaultMemberUniqueName="[DimPMTProgram].[PMTProgramKey].[All]" allUniqueName="[DimPMTProgram].[PMTProgramKey].[All]" dimensionUniqueName="[DimPMTProgram]" displayFolder="" count="0" unbalanced="0" hidden="1"/>
    <cacheHierarchy uniqueName="[DimPMTProgramAccounting].[DimPMTProgramKey]" caption="DimPMTProgramKey" attribute="1" defaultMemberUniqueName="[DimPMTProgramAccounting].[DimPMTProgramKey].[All]" allUniqueName="[DimPMTProgramAccounting].[DimPMTProgramKey].[All]" dimensionUniqueName="[DimPMTProgramAccounting]" displayFolder="" count="0" unbalanced="0" hidden="1"/>
    <cacheHierarchy uniqueName="[DimPMTProject].[AccountKey]" caption="AccountKey" attribute="1" defaultMemberUniqueName="[DimPMTProject].[AccountKey].[All]" allUniqueName="[DimPMTProject].[AccountKey].[All]" dimensionUniqueName="[DimPMTProject]" displayFolder="" count="0" unbalanced="0" hidden="1"/>
    <cacheHierarchy uniqueName="[DimPMTProject].[BuildingTypeKey]" caption="BuildingTypeKey" attribute="1" defaultMemberUniqueName="[DimPMTProject].[BuildingTypeKey].[All]" allUniqueName="[DimPMTProject].[BuildingTypeKey].[All]" dimensionUniqueName="[DimPMTProject]" displayFolder="" count="0" unbalanced="0" hidden="1"/>
    <cacheHierarchy uniqueName="[DimPMTProject].[LastMajorRenovationDateKey]" caption="LastMajorRenovationDateKey" attribute="1" defaultMemberUniqueName="[DimPMTProject].[LastMajorRenovationDateKey].[All]" allUniqueName="[DimPMTProject].[LastMajorRenovationDateKey].[All]" dimensionUniqueName="[DimPMTProject]" displayFolder="" count="0" unbalanced="0" hidden="1"/>
    <cacheHierarchy uniqueName="[DimPMTProject].[PMTProgramKey]" caption="PMTProgramKey" attribute="1" defaultMemberUniqueName="[DimPMTProject].[PMTProgramKey].[All]" allUniqueName="[DimPMTProject].[PMTProgramKey].[All]" dimensionUniqueName="[DimPMTProject]" displayFolder="" count="0" unbalanced="0" hidden="1"/>
    <cacheHierarchy uniqueName="[DimPMTProject].[PMTProjectKey]" caption="PMTProjectKey" attribute="1" defaultMemberUniqueName="[DimPMTProject].[PMTProjectKey].[All]" allUniqueName="[DimPMTProject].[PMTProjectKey].[All]" dimensionUniqueName="[DimPMTProject]" displayFolder="" count="0" unbalanced="0" hidden="1"/>
    <cacheHierarchy uniqueName="[DimPMTProject].[ReferralSourceKey]" caption="ReferralSourceKey" attribute="1" defaultMemberUniqueName="[DimPMTProject].[ReferralSourceKey].[All]" allUniqueName="[DimPMTProject].[ReferralSourceKey].[All]" dimensionUniqueName="[DimPMTProject]" displayFolder="" count="0" unbalanced="0" hidden="1"/>
    <cacheHierarchy uniqueName="[DimPMTProject].[ReportingReferenceDateKey]" caption="ReportingReferenceDateKey" attribute="1" defaultMemberUniqueName="[DimPMTProject].[ReportingReferenceDateKey].[All]" allUniqueName="[DimPMTProject].[ReportingReferenceDateKey].[All]" dimensionUniqueName="[DimPMTProject]" displayFolder="" count="0" unbalanced="0" hidden="1"/>
    <cacheHierarchy uniqueName="[DimPMTSystem].[DQScoreKey]" caption="DQScoreKey" attribute="1" defaultMemberUniqueName="[DimPMTSystem].[DQScoreKey].[All]" allUniqueName="[DimPMTSystem].[DQScoreKey].[All]" dimensionUniqueName="[DimPMTSystem]" displayFolder="" count="0" unbalanced="0" hidden="1"/>
    <cacheHierarchy uniqueName="[DimPMTSystem].[HashByteValueType1]" caption="HashByteValueType1" attribute="1" defaultMemberUniqueName="[DimPMTSystem].[HashByteValueType1].[All]" allUniqueName="[DimPMTSystem].[HashByteValueType1].[All]" dimensionUniqueName="[DimPMTSystem]" displayFolder="" count="0" unbalanced="0" hidden="1"/>
    <cacheHierarchy uniqueName="[DimPMTSystem].[HashByteValueType2]" caption="HashByteValueType2" attribute="1" defaultMemberUniqueName="[DimPMTSystem].[HashByteValueType2].[All]" allUniqueName="[DimPMTSystem].[HashByteValueType2].[All]" dimensionUniqueName="[DimPMTSystem]" displayFolder="" count="0" unbalanced="0" hidden="1"/>
    <cacheHierarchy uniqueName="[DimPMTSystem].[ICName]" caption="ICName" attribute="1" defaultMemberUniqueName="[DimPMTSystem].[ICName].[All]" allUniqueName="[DimPMTSystem].[ICName].[All]" dimensionUniqueName="[DimPMTSystem]" displayFolder="" count="0" unbalanced="0" hidden="1"/>
    <cacheHierarchy uniqueName="[DimPMTSystem].[InsertAuditKey]" caption="InsertAuditKey" attribute="1" defaultMemberUniqueName="[DimPMTSystem].[InsertAuditKey].[All]" allUniqueName="[DimPMTSystem].[InsertAuditKey].[All]" dimensionUniqueName="[DimPMTSystem]" displayFolder="" count="0" unbalanced="0" hidden="1"/>
    <cacheHierarchy uniqueName="[DimPMTSystem].[PMTProgramKey]" caption="PMTProgramKey" attribute="1" defaultMemberUniqueName="[DimPMTSystem].[PMTProgramKey].[All]" allUniqueName="[DimPMTSystem].[PMTProgramKey].[All]" dimensionUniqueName="[DimPMTSystem]" displayFolder="" count="0" unbalanced="0" hidden="1"/>
    <cacheHierarchy uniqueName="[DimPMTSystem].[PMTProjectKey]" caption="PMTProjectKey" attribute="1" defaultMemberUniqueName="[DimPMTSystem].[PMTProjectKey].[All]" allUniqueName="[DimPMTSystem].[PMTProjectKey].[All]" dimensionUniqueName="[DimPMTSystem]" displayFolder="" count="0" unbalanced="0" hidden="1"/>
    <cacheHierarchy uniqueName="[DimPMTSystem].[PMTSystemKey]" caption="PMTSystemKey" attribute="1" defaultMemberUniqueName="[DimPMTSystem].[PMTSystemKey].[All]" allUniqueName="[DimPMTSystem].[PMTSystemKey].[All]" dimensionUniqueName="[DimPMTSystem]" displayFolder="" count="0" unbalanced="0" hidden="1"/>
    <cacheHierarchy uniqueName="[DimPMTSystem].[ReportingReferenceDate]" caption="ReportingReferenceDate" attribute="1" defaultMemberUniqueName="[DimPMTSystem].[ReportingReferenceDate].[All]" allUniqueName="[DimPMTSystem].[ReportingReferenceDate].[All]" dimensionUniqueName="[DimPMTSystem]" displayFolder="" count="0" unbalanced="0" hidden="1"/>
    <cacheHierarchy uniqueName="[DimPMTSystem].[RowChangeReason]" caption="RowChangeReason" attribute="1" defaultMemberUniqueName="[DimPMTSystem].[RowChangeReason].[All]" allUniqueName="[DimPMTSystem].[RowChangeReason].[All]" dimensionUniqueName="[DimPMTSystem]" displayFolder="" count="0" unbalanced="0" hidden="1"/>
    <cacheHierarchy uniqueName="[DimPMTSystem].[RowEndDate]" caption="RowEndDate" attribute="1" defaultMemberUniqueName="[DimPMTSystem].[RowEndDate].[All]" allUniqueName="[DimPMTSystem].[RowEndDate].[All]" dimensionUniqueName="[DimPMTSystem]" displayFolder="" count="0" unbalanced="0" hidden="1"/>
    <cacheHierarchy uniqueName="[DimPMTSystem].[RowIsCurrent]" caption="RowIsCurrent" attribute="1" defaultMemberUniqueName="[DimPMTSystem].[RowIsCurrent].[All]" allUniqueName="[DimPMTSystem].[RowIsCurrent].[All]" dimensionUniqueName="[DimPMTSystem]" displayFolder="" count="0" unbalanced="0" hidden="1"/>
    <cacheHierarchy uniqueName="[DimPMTSystem].[RowStartDate]" caption="RowStartDate" attribute="1" defaultMemberUniqueName="[DimPMTSystem].[RowStartDate].[All]" allUniqueName="[DimPMTSystem].[RowStartDate].[All]" dimensionUniqueName="[DimPMTSystem]" displayFolder="" count="0" unbalanced="0" hidden="1"/>
    <cacheHierarchy uniqueName="[DimPMTSystem].[UpdateAuditKey]" caption="UpdateAuditKey" attribute="1" defaultMemberUniqueName="[DimPMTSystem].[UpdateAuditKey].[All]" allUniqueName="[DimPMTSystem].[UpdateAuditKey].[All]" dimensionUniqueName="[DimPMTSystem]" displayFolder="" count="0" unbalanced="0" hidden="1"/>
    <cacheHierarchy uniqueName="[DimPMTSystem].[VendorProjectID]" caption="VendorProjectID" attribute="1" defaultMemberUniqueName="[DimPMTSystem].[VendorProjectID].[All]" allUniqueName="[DimPMTSystem].[VendorProjectID].[All]" dimensionUniqueName="[DimPMTSystem]" displayFolder="" count="0" unbalanced="0" hidden="1"/>
    <cacheHierarchy uniqueName="[DimProjectTradeAlly].[DQScoreKey]" caption="DQScoreKey" attribute="1" defaultMemberUniqueName="[DimProjectTradeAlly].[DQScoreKey].[All]" allUniqueName="[DimProjectTradeAlly].[DQScoreKey].[All]" dimensionUniqueName="[DimProjectTradeAlly]" displayFolder="" count="0" unbalanced="0" hidden="1"/>
    <cacheHierarchy uniqueName="[DimProjectTradeAlly].[InsertAuditKey]" caption="InsertAuditKey" attribute="1" defaultMemberUniqueName="[DimProjectTradeAlly].[InsertAuditKey].[All]" allUniqueName="[DimProjectTradeAlly].[InsertAuditKey].[All]" dimensionUniqueName="[DimProjectTradeAlly]" displayFolder="" count="0" unbalanced="0" hidden="1"/>
    <cacheHierarchy uniqueName="[DimProjectTradeAlly].[PMTProjectKey]" caption="PMTProjectKey" attribute="1" defaultMemberUniqueName="[DimProjectTradeAlly].[PMTProjectKey].[All]" allUniqueName="[DimProjectTradeAlly].[PMTProjectKey].[All]" dimensionUniqueName="[DimProjectTradeAlly]" displayFolder="" count="0" unbalanced="0" hidden="1"/>
    <cacheHierarchy uniqueName="[DimProjectTradeAlly].[PMTProjectTradeAllyKey]" caption="PMTProjectTradeAllyKey" attribute="1" defaultMemberUniqueName="[DimProjectTradeAlly].[PMTProjectTradeAllyKey].[All]" allUniqueName="[DimProjectTradeAlly].[PMTProjectTradeAllyKey].[All]" dimensionUniqueName="[DimProjectTradeAlly]" displayFolder="" count="0" unbalanced="0" hidden="1"/>
    <cacheHierarchy uniqueName="[DimProjectTradeAlly].[RowChangeReason]" caption="RowChangeReason" attribute="1" defaultMemberUniqueName="[DimProjectTradeAlly].[RowChangeReason].[All]" allUniqueName="[DimProjectTradeAlly].[RowChangeReason].[All]" dimensionUniqueName="[DimProjectTradeAlly]" displayFolder="" count="0" unbalanced="0" hidden="1"/>
    <cacheHierarchy uniqueName="[DimProjectTradeAlly].[RowEndDate]" caption="RowEndDate" attribute="1" defaultMemberUniqueName="[DimProjectTradeAlly].[RowEndDate].[All]" allUniqueName="[DimProjectTradeAlly].[RowEndDate].[All]" dimensionUniqueName="[DimProjectTradeAlly]" displayFolder="" count="0" unbalanced="0" hidden="1"/>
    <cacheHierarchy uniqueName="[DimProjectTradeAlly].[RowIsCurrent]" caption="RowIsCurrent" attribute="1" defaultMemberUniqueName="[DimProjectTradeAlly].[RowIsCurrent].[All]" allUniqueName="[DimProjectTradeAlly].[RowIsCurrent].[All]" dimensionUniqueName="[DimProjectTradeAlly]" displayFolder="" count="0" unbalanced="0" hidden="1"/>
    <cacheHierarchy uniqueName="[DimProjectTradeAlly].[RowStartDate]" caption="RowStartDate" attribute="1" defaultMemberUniqueName="[DimProjectTradeAlly].[RowStartDate].[All]" allUniqueName="[DimProjectTradeAlly].[RowStartDate].[All]" dimensionUniqueName="[DimProjectTradeAlly]" displayFolder="" count="0" unbalanced="0" hidden="1"/>
    <cacheHierarchy uniqueName="[DimProjectTradeAlly].[TradeAllyTypeKey]" caption="TradeAllyTypeKey" attribute="1" defaultMemberUniqueName="[DimProjectTradeAlly].[TradeAllyTypeKey].[All]" allUniqueName="[DimProjectTradeAlly].[TradeAllyTypeKey].[All]" dimensionUniqueName="[DimProjectTradeAlly]" displayFolder="" count="0" unbalanced="0" hidden="1"/>
    <cacheHierarchy uniqueName="[DimProjectTradeAlly].[UpdateAuditKey]" caption="UpdateAuditKey" attribute="1" defaultMemberUniqueName="[DimProjectTradeAlly].[UpdateAuditKey].[All]" allUniqueName="[DimProjectTradeAlly].[UpdateAuditKey].[All]" dimensionUniqueName="[DimProjectTradeAlly]" displayFolder="" count="0" unbalanced="0" hidden="1"/>
    <cacheHierarchy uniqueName="[DimRateSchedule].[RateScheduleKey]" caption="RateScheduleKey" attribute="1" defaultMemberUniqueName="[DimRateSchedule].[RateScheduleKey].[All]" allUniqueName="[DimRateSchedule].[RateScheduleKey].[All]" dimensionUniqueName="[DimRateSchedule]" displayFolder="" count="0" unbalanced="0" hidden="1"/>
    <cacheHierarchy uniqueName="[DimReadType].[ReadTypeKey]" caption="ReadTypeKey" attribute="1" defaultMemberUniqueName="[DimReadType].[ReadTypeKey].[All]" allUniqueName="[DimReadType].[ReadTypeKey].[All]" dimensionUniqueName="[DimReadType]" displayFolder="" count="0" unbalanced="0" hidden="1"/>
    <cacheHierarchy uniqueName="[DimReferralSource].[ReferralSourceKey]" caption="ReferralSourceKey" attribute="1" defaultMemberUniqueName="[DimReferralSource].[ReferralSourceKey].[All]" allUniqueName="[DimReferralSource].[ReferralSourceKey].[All]" dimensionUniqueName="[DimReferralSource]" displayFolder="" count="0" unbalanced="0" hidden="1"/>
    <cacheHierarchy uniqueName="[DimResidentialAccountSegment].[ResidentialAccountSegmentKey]" caption="ResidentialAccountSegmentKey" attribute="1" defaultMemberUniqueName="[DimResidentialAccountSegment].[ResidentialAccountSegmentKey].[All]" allUniqueName="[DimResidentialAccountSegment].[ResidentialAccountSegmentKey].[All]" dimensionUniqueName="[DimResidentialAccountSegment]" displayFolder="" count="0" unbalanced="0" hidden="1"/>
    <cacheHierarchy uniqueName="[DimResidentialPremiseSegment].[ResidentialPremiseSegmentKey]" caption="ResidentialPremiseSegmentKey" attribute="1" defaultMemberUniqueName="[DimResidentialPremiseSegment].[ResidentialPremiseSegmentKey].[All]" allUniqueName="[DimResidentialPremiseSegment].[ResidentialPremiseSegmentKey].[All]" dimensionUniqueName="[DimResidentialPremiseSegment]" displayFolder="" count="0" unbalanced="0" hidden="1"/>
    <cacheHierarchy uniqueName="[DimScenario].[ScenarioKey]" caption="ScenarioKey" attribute="1" defaultMemberUniqueName="[DimScenario].[ScenarioKey].[All]" allUniqueName="[DimScenario].[ScenarioKey].[All]" dimensionUniqueName="[DimScenario]" displayFolder="" count="0" unbalanced="0" hidden="1"/>
    <cacheHierarchy uniqueName="[DimServiceAgreementType].[ServiceAgreementTypeKey]" caption="ServiceAgreementTypeKey" attribute="1" defaultMemberUniqueName="[DimServiceAgreementType].[ServiceAgreementTypeKey].[All]" allUniqueName="[DimServiceAgreementType].[ServiceAgreementTypeKey].[All]" dimensionUniqueName="[DimServiceAgreementType]" displayFolder="" count="0" unbalanced="0" hidden="1"/>
    <cacheHierarchy uniqueName="[DimServiceCounty].[ServiceCountyKey]" caption="ServiceCountyKey" attribute="1" defaultMemberUniqueName="[DimServiceCounty].[ServiceCountyKey].[All]" allUniqueName="[DimServiceCounty].[ServiceCountyKey].[All]" dimensionUniqueName="[DimServiceCounty]" displayFolder="" count="0" unbalanced="0" hidden="1"/>
    <cacheHierarchy uniqueName="[DimServicePointType].[ServicePointTypeKey]" caption="ServicePointTypeKey" attribute="1" defaultMemberUniqueName="[DimServicePointType].[ServicePointTypeKey].[All]" allUniqueName="[DimServicePointType].[ServicePointTypeKey].[All]" dimensionUniqueName="[DimServicePointType]" displayFolder="" count="0" unbalanced="0" hidden="1"/>
    <cacheHierarchy uniqueName="[DimServiceTown].[ServiceTownKey]" caption="ServiceTownKey" attribute="1" defaultMemberUniqueName="[DimServiceTown].[ServiceTownKey].[All]" allUniqueName="[DimServiceTown].[ServiceTownKey].[All]" dimensionUniqueName="[DimServiceTown]" displayFolder="" count="0" unbalanced="0" hidden="1"/>
    <cacheHierarchy uniqueName="[DimSilverPopSurvey].[DQScoreKey]" caption="DQScoreKey" attribute="1" defaultMemberUniqueName="[DimSilverPopSurvey].[DQScoreKey].[All]" allUniqueName="[DimSilverPopSurvey].[DQScoreKey].[All]" dimensionUniqueName="[DimSilverPopSurvey]" displayFolder="" count="0" unbalanced="0" hidden="1"/>
    <cacheHierarchy uniqueName="[DimSilverPopSurvey].[InsertAuditKey]" caption="InsertAuditKey" attribute="1" defaultMemberUniqueName="[DimSilverPopSurvey].[InsertAuditKey].[All]" allUniqueName="[DimSilverPopSurvey].[InsertAuditKey].[All]" dimensionUniqueName="[DimSilverPopSurvey]" displayFolder="" count="0" unbalanced="0" hidden="1"/>
    <cacheHierarchy uniqueName="[DimSilverPopSurvey].[UpdateAuditKey]" caption="UpdateAuditKey" attribute="1" defaultMemberUniqueName="[DimSilverPopSurvey].[UpdateAuditKey].[All]" allUniqueName="[DimSilverPopSurvey].[UpdateAuditKey].[All]" dimensionUniqueName="[DimSilverPopSurvey]" displayFolder="" count="0" unbalanced="0" hidden="1"/>
    <cacheHierarchy uniqueName="[DimSubProgramType].[DQScoreKey]" caption="DQScoreKey" attribute="1" defaultMemberUniqueName="[DimSubProgramType].[DQScoreKey].[All]" allUniqueName="[DimSubProgramType].[DQScoreKey].[All]" dimensionUniqueName="[DimSubProgramType]" displayFolder="" count="0" unbalanced="0" hidden="1"/>
    <cacheHierarchy uniqueName="[DimSubProgramType].[InsertAuditKey]" caption="InsertAuditKey" attribute="1" defaultMemberUniqueName="[DimSubProgramType].[InsertAuditKey].[All]" allUniqueName="[DimSubProgramType].[InsertAuditKey].[All]" dimensionUniqueName="[DimSubProgramType]" displayFolder="" count="0" unbalanced="0" hidden="1"/>
    <cacheHierarchy uniqueName="[DimSubProgramType].[RowChangeReason]" caption="RowChangeReason" attribute="1" defaultMemberUniqueName="[DimSubProgramType].[RowChangeReason].[All]" allUniqueName="[DimSubProgramType].[RowChangeReason].[All]" dimensionUniqueName="[DimSubProgramType]" displayFolder="" count="0" unbalanced="0" hidden="1"/>
    <cacheHierarchy uniqueName="[DimSubProgramType].[RowEndDate]" caption="RowEndDate" attribute="1" defaultMemberUniqueName="[DimSubProgramType].[RowEndDate].[All]" allUniqueName="[DimSubProgramType].[RowEndDate].[All]" dimensionUniqueName="[DimSubProgramType]" displayFolder="" count="0" unbalanced="0" hidden="1"/>
    <cacheHierarchy uniqueName="[DimSubProgramType].[RowIsCurrent]" caption="RowIsCurrent" attribute="1" defaultMemberUniqueName="[DimSubProgramType].[RowIsCurrent].[All]" allUniqueName="[DimSubProgramType].[RowIsCurrent].[All]" dimensionUniqueName="[DimSubProgramType]" displayFolder="" count="0" unbalanced="0" hidden="1"/>
    <cacheHierarchy uniqueName="[DimSubProgramType].[RowStartDate]" caption="RowStartDate" attribute="1" defaultMemberUniqueName="[DimSubProgramType].[RowStartDate].[All]" allUniqueName="[DimSubProgramType].[RowStartDate].[All]" dimensionUniqueName="[DimSubProgramType]" displayFolder="" count="0" unbalanced="0" hidden="1"/>
    <cacheHierarchy uniqueName="[DimSubProgramType].[UpdateAuditKey]" caption="UpdateAuditKey" attribute="1" defaultMemberUniqueName="[DimSubProgramType].[UpdateAuditKey].[All]" allUniqueName="[DimSubProgramType].[UpdateAuditKey].[All]" dimensionUniqueName="[DimSubProgramType]" displayFolder="" count="0" unbalanced="0" hidden="1"/>
    <cacheHierarchy uniqueName="[DimTradeAllyType].[DQScoreKey]" caption="DQScoreKey" attribute="1" defaultMemberUniqueName="[DimTradeAllyType].[DQScoreKey].[All]" allUniqueName="[DimTradeAllyType].[DQScoreKey].[All]" dimensionUniqueName="[DimTradeAllyType]" displayFolder="" count="0" unbalanced="0" hidden="1"/>
    <cacheHierarchy uniqueName="[DimTradeAllyType].[InsertAuditKey]" caption="InsertAuditKey" attribute="1" defaultMemberUniqueName="[DimTradeAllyType].[InsertAuditKey].[All]" allUniqueName="[DimTradeAllyType].[InsertAuditKey].[All]" dimensionUniqueName="[DimTradeAllyType]" displayFolder="" count="0" unbalanced="0" hidden="1"/>
    <cacheHierarchy uniqueName="[DimTradeAllyType].[RowChangeReason]" caption="RowChangeReason" attribute="1" defaultMemberUniqueName="[DimTradeAllyType].[RowChangeReason].[All]" allUniqueName="[DimTradeAllyType].[RowChangeReason].[All]" dimensionUniqueName="[DimTradeAllyType]" displayFolder="" count="0" unbalanced="0" hidden="1"/>
    <cacheHierarchy uniqueName="[DimTradeAllyType].[RowEndDate]" caption="RowEndDate" attribute="1" defaultMemberUniqueName="[DimTradeAllyType].[RowEndDate].[All]" allUniqueName="[DimTradeAllyType].[RowEndDate].[All]" dimensionUniqueName="[DimTradeAllyType]" displayFolder="" count="0" unbalanced="0" hidden="1"/>
    <cacheHierarchy uniqueName="[DimTradeAllyType].[RowIsCurrent]" caption="RowIsCurrent" attribute="1" defaultMemberUniqueName="[DimTradeAllyType].[RowIsCurrent].[All]" allUniqueName="[DimTradeAllyType].[RowIsCurrent].[All]" dimensionUniqueName="[DimTradeAllyType]" displayFolder="" count="0" unbalanced="0" hidden="1"/>
    <cacheHierarchy uniqueName="[DimTradeAllyType].[RowStartDate]" caption="RowStartDate" attribute="1" defaultMemberUniqueName="[DimTradeAllyType].[RowStartDate].[All]" allUniqueName="[DimTradeAllyType].[RowStartDate].[All]" dimensionUniqueName="[DimTradeAllyType]" displayFolder="" count="0" unbalanced="0" hidden="1"/>
    <cacheHierarchy uniqueName="[DimTradeAllyType].[SourceSystemKey]" caption="SourceSystemKey" attribute="1" defaultMemberUniqueName="[DimTradeAllyType].[SourceSystemKey].[All]" allUniqueName="[DimTradeAllyType].[SourceSystemKey].[All]" dimensionUniqueName="[DimTradeAllyType]" displayFolder="" count="0" unbalanced="0" hidden="1"/>
    <cacheHierarchy uniqueName="[DimTradeAllyType].[TradeAllyTypeKey]" caption="TradeAllyTypeKey" attribute="1" defaultMemberUniqueName="[DimTradeAllyType].[TradeAllyTypeKey].[All]" allUniqueName="[DimTradeAllyType].[TradeAllyTypeKey].[All]" dimensionUniqueName="[DimTradeAllyType]" displayFolder="" count="0" unbalanced="0" hidden="1"/>
    <cacheHierarchy uniqueName="[DimTradeAllyType].[UpdateAuditKey]" caption="UpdateAuditKey" attribute="1" defaultMemberUniqueName="[DimTradeAllyType].[UpdateAuditKey].[All]" allUniqueName="[DimTradeAllyType].[UpdateAuditKey].[All]" dimensionUniqueName="[DimTradeAllyType]" displayFolder="" count="0" unbalanced="0" hidden="1"/>
    <cacheHierarchy uniqueName="[DimUser].[DQScoreKey]" caption="DQScoreKey" attribute="1" defaultMemberUniqueName="[DimUser].[DQScoreKey].[All]" allUniqueName="[DimUser].[DQScoreKey].[All]" dimensionUniqueName="[DimUser]" displayFolder="" count="0" unbalanced="0" hidden="1"/>
    <cacheHierarchy uniqueName="[DimUser].[InsertAuditKey]" caption="InsertAuditKey" attribute="1" defaultMemberUniqueName="[DimUser].[InsertAuditKey].[All]" allUniqueName="[DimUser].[InsertAuditKey].[All]" dimensionUniqueName="[DimUser]" displayFolder="" count="0" unbalanced="0" hidden="1"/>
    <cacheHierarchy uniqueName="[DimUser].[RowChangeReason]" caption="RowChangeReason" attribute="1" defaultMemberUniqueName="[DimUser].[RowChangeReason].[All]" allUniqueName="[DimUser].[RowChangeReason].[All]" dimensionUniqueName="[DimUser]" displayFolder="" count="0" unbalanced="0" hidden="1"/>
    <cacheHierarchy uniqueName="[DimUser].[RowEndDate]" caption="RowEndDate" attribute="1" defaultMemberUniqueName="[DimUser].[RowEndDate].[All]" allUniqueName="[DimUser].[RowEndDate].[All]" dimensionUniqueName="[DimUser]" displayFolder="" count="0" unbalanced="0" hidden="1"/>
    <cacheHierarchy uniqueName="[DimUser].[RowIsCurrent]" caption="RowIsCurrent" attribute="1" defaultMemberUniqueName="[DimUser].[RowIsCurrent].[All]" allUniqueName="[DimUser].[RowIsCurrent].[All]" dimensionUniqueName="[DimUser]" displayFolder="" count="0" unbalanced="0" hidden="1"/>
    <cacheHierarchy uniqueName="[DimUser].[RowStartDate]" caption="RowStartDate" attribute="1" defaultMemberUniqueName="[DimUser].[RowStartDate].[All]" allUniqueName="[DimUser].[RowStartDate].[All]" dimensionUniqueName="[DimUser]" displayFolder="" count="0" unbalanced="0" hidden="1"/>
    <cacheHierarchy uniqueName="[DimUser].[SourceSystemKey]" caption="SourceSystemKey" attribute="1" defaultMemberUniqueName="[DimUser].[SourceSystemKey].[All]" allUniqueName="[DimUser].[SourceSystemKey].[All]" dimensionUniqueName="[DimUser]" displayFolder="" count="0" unbalanced="0" hidden="1"/>
    <cacheHierarchy uniqueName="[DimUser].[UpdateAuditKey]" caption="UpdateAuditKey" attribute="1" defaultMemberUniqueName="[DimUser].[UpdateAuditKey].[All]" allUniqueName="[DimUser].[UpdateAuditKey].[All]" dimensionUniqueName="[DimUser]" displayFolder="" count="0" unbalanced="0" hidden="1"/>
    <cacheHierarchy uniqueName="[DimUser].[UserKey]" caption="UserKey" attribute="1" defaultMemberUniqueName="[DimUser].[UserKey].[All]" allUniqueName="[DimUser].[UserKey].[All]" dimensionUniqueName="[DimUser]" displayFolder="" count="0" unbalanced="0" hidden="1"/>
    <cacheHierarchy uniqueName="[DimUser].[UserTypeKey]" caption="UserTypeKey" attribute="1" defaultMemberUniqueName="[DimUser].[UserTypeKey].[All]" allUniqueName="[DimUser].[UserTypeKey].[All]" dimensionUniqueName="[DimUser]" displayFolder="" count="0" unbalanced="0" hidden="1"/>
    <cacheHierarchy uniqueName="[DimUserType].[DQScoreKey]" caption="DQScoreKey" attribute="1" defaultMemberUniqueName="[DimUserType].[DQScoreKey].[All]" allUniqueName="[DimUserType].[DQScoreKey].[All]" dimensionUniqueName="[DimUserType]" displayFolder="" count="0" unbalanced="0" hidden="1"/>
    <cacheHierarchy uniqueName="[DimUserType].[InsertAuditKey]" caption="InsertAuditKey" attribute="1" defaultMemberUniqueName="[DimUserType].[InsertAuditKey].[All]" allUniqueName="[DimUserType].[InsertAuditKey].[All]" dimensionUniqueName="[DimUserType]" displayFolder="" count="0" unbalanced="0" hidden="1"/>
    <cacheHierarchy uniqueName="[DimUserType].[RowChangeReason]" caption="RowChangeReason" attribute="1" defaultMemberUniqueName="[DimUserType].[RowChangeReason].[All]" allUniqueName="[DimUserType].[RowChangeReason].[All]" dimensionUniqueName="[DimUserType]" displayFolder="" count="0" unbalanced="0" hidden="1"/>
    <cacheHierarchy uniqueName="[DimUserType].[RowEndDate]" caption="RowEndDate" attribute="1" defaultMemberUniqueName="[DimUserType].[RowEndDate].[All]" allUniqueName="[DimUserType].[RowEndDate].[All]" dimensionUniqueName="[DimUserType]" displayFolder="" count="0" unbalanced="0" hidden="1"/>
    <cacheHierarchy uniqueName="[DimUserType].[RowIsCurrent]" caption="RowIsCurrent" attribute="1" defaultMemberUniqueName="[DimUserType].[RowIsCurrent].[All]" allUniqueName="[DimUserType].[RowIsCurrent].[All]" dimensionUniqueName="[DimUserType]" displayFolder="" count="0" unbalanced="0" hidden="1"/>
    <cacheHierarchy uniqueName="[DimUserType].[RowStartDate]" caption="RowStartDate" attribute="1" defaultMemberUniqueName="[DimUserType].[RowStartDate].[All]" allUniqueName="[DimUserType].[RowStartDate].[All]" dimensionUniqueName="[DimUserType]" displayFolder="" count="0" unbalanced="0" hidden="1"/>
    <cacheHierarchy uniqueName="[DimUserType].[SourceSystemKey]" caption="SourceSystemKey" attribute="1" defaultMemberUniqueName="[DimUserType].[SourceSystemKey].[All]" allUniqueName="[DimUserType].[SourceSystemKey].[All]" dimensionUniqueName="[DimUserType]" displayFolder="" count="0" unbalanced="0" hidden="1"/>
    <cacheHierarchy uniqueName="[DimUserType].[UpdateAuditKey]" caption="UpdateAuditKey" attribute="1" defaultMemberUniqueName="[DimUserType].[UpdateAuditKey].[All]" allUniqueName="[DimUserType].[UpdateAuditKey].[All]" dimensionUniqueName="[DimUserType]" displayFolder="" count="0" unbalanced="0" hidden="1"/>
    <cacheHierarchy uniqueName="[DimUserType].[UserTypeKey]" caption="UserTypeKey" attribute="1" defaultMemberUniqueName="[DimUserType].[UserTypeKey].[All]" allUniqueName="[DimUserType].[UserTypeKey].[All]" dimensionUniqueName="[DimUserType]" displayFolder="" count="0" unbalanced="0" hidden="1"/>
    <cacheHierarchy uniqueName="[EquipmentDualFuel].[TableValueKey]" caption="TableValueKey" attribute="1" defaultMemberUniqueName="[EquipmentDualFuel].[TableValueKey].[All]" allUniqueName="[EquipmentDualFuel].[TableValueKey].[All]" dimensionUniqueName="[EquipmentDualFuel]" displayFolder="" count="0" unbalanced="0" hidden="1"/>
    <cacheHierarchy uniqueName="[EquipmentFuel].[TableValueKey]" caption="TableValueKey" attribute="1" defaultMemberUniqueName="[EquipmentFuel].[TableValueKey].[All]" allUniqueName="[EquipmentFuel].[TableValueKey].[All]" dimensionUniqueName="[EquipmentFuel]" displayFolder="" count="0" unbalanced="0" hidden="1"/>
    <cacheHierarchy uniqueName="[EquipmentManufacture].[TableValueKey]" caption="TableValueKey" attribute="1" defaultMemberUniqueName="[EquipmentManufacture].[TableValueKey].[All]" allUniqueName="[EquipmentManufacture].[TableValueKey].[All]" dimensionUniqueName="[EquipmentManufacture]" displayFolder="" count="0" unbalanced="0" hidden="1"/>
    <cacheHierarchy uniqueName="[FactCostEffectiveness].[InsertAuditKey]" caption="InsertAuditKey" attribute="1" defaultMemberUniqueName="[FactCostEffectiveness].[InsertAuditKey].[All]" allUniqueName="[FactCostEffectiveness].[InsertAuditKey].[All]" dimensionUniqueName="[FactCostEffectiveness]" displayFolder="" count="0" unbalanced="0" hidden="1"/>
    <cacheHierarchy uniqueName="[FactCostEffectiveness].[UpdateAuditKey]" caption="UpdateAuditKey" attribute="1" defaultMemberUniqueName="[FactCostEffectiveness].[UpdateAuditKey].[All]" allUniqueName="[FactCostEffectiveness].[UpdateAuditKey].[All]" dimensionUniqueName="[FactCostEffectiveness]" displayFolder="" count="0" unbalanced="0" hidden="1"/>
    <cacheHierarchy uniqueName="[FactCostSavings].[DQScoreKey]" caption="DQScoreKey" attribute="1" defaultMemberUniqueName="[FactCostSavings].[DQScoreKey].[All]" allUniqueName="[FactCostSavings].[DQScoreKey].[All]" dimensionUniqueName="[FactCostSavings]" displayFolder="" count="0" unbalanced="0" hidden="1"/>
    <cacheHierarchy uniqueName="[FactCostSavings].[InsertAuditKey]" caption="InsertAuditKey" attribute="1" defaultMemberUniqueName="[FactCostSavings].[InsertAuditKey].[All]" allUniqueName="[FactCostSavings].[InsertAuditKey].[All]" dimensionUniqueName="[FactCostSavings]" displayFolder="" count="0" unbalanced="0" hidden="1"/>
    <cacheHierarchy uniqueName="[FactCostSavings].[UpdateAuditKey]" caption="UpdateAuditKey" attribute="1" defaultMemberUniqueName="[FactCostSavings].[UpdateAuditKey].[All]" allUniqueName="[FactCostSavings].[UpdateAuditKey].[All]" dimensionUniqueName="[FactCostSavings]" displayFolder="" count="0" unbalanced="0" hidden="1"/>
    <cacheHierarchy uniqueName="[FactEEPData].[DQScoreKey]" caption="DQScoreKey" attribute="1" defaultMemberUniqueName="[FactEEPData].[DQScoreKey].[All]" allUniqueName="[FactEEPData].[DQScoreKey].[All]" dimensionUniqueName="[FactEEPData]" displayFolder="" count="0" unbalanced="0" hidden="1"/>
    <cacheHierarchy uniqueName="[FactEEPData].[FactPMTMeasureKey]" caption="FactPMTMeasureKey" attribute="1" defaultMemberUniqueName="[FactEEPData].[FactPMTMeasureKey].[All]" allUniqueName="[FactEEPData].[FactPMTMeasureKey].[All]" dimensionUniqueName="[FactEEPData]" displayFolder="" count="0" unbalanced="0" hidden="1"/>
    <cacheHierarchy uniqueName="[FactEEPData].[InsertAuditKey]" caption="InsertAuditKey" attribute="1" defaultMemberUniqueName="[FactEEPData].[InsertAuditKey].[All]" allUniqueName="[FactEEPData].[InsertAuditKey].[All]" dimensionUniqueName="[FactEEPData]" displayFolder="" count="0" unbalanced="0" hidden="1"/>
    <cacheHierarchy uniqueName="[FactEEPData].[InstallationDateKey]" caption="InstallationDateKey" attribute="1" defaultMemberUniqueName="[FactEEPData].[InstallationDateKey].[All]" allUniqueName="[FactEEPData].[InstallationDateKey].[All]" dimensionUniqueName="[FactEEPData]" displayFolder="" count="0" unbalanced="0" hidden="1"/>
    <cacheHierarchy uniqueName="[FactEEPData].[InvoiceDateKey]" caption="InvoiceDateKey" attribute="1" defaultMemberUniqueName="[FactEEPData].[InvoiceDateKey].[All]" allUniqueName="[FactEEPData].[InvoiceDateKey].[All]" dimensionUniqueName="[FactEEPData]" displayFolder="" count="0" unbalanced="0" hidden="1"/>
    <cacheHierarchy uniqueName="[FactEEPData].[MeasureGroupKey]" caption="MeasureGroupKey" attribute="1" defaultMemberUniqueName="[FactEEPData].[MeasureGroupKey].[All]" allUniqueName="[FactEEPData].[MeasureGroupKey].[All]" dimensionUniqueName="[FactEEPData]" displayFolder="" count="0" unbalanced="0" hidden="1"/>
    <cacheHierarchy uniqueName="[FactEEPData].[PayeeKey]" caption="PayeeKey" attribute="1" defaultMemberUniqueName="[FactEEPData].[PayeeKey].[All]" allUniqueName="[FactEEPData].[PayeeKey].[All]" dimensionUniqueName="[FactEEPData]" displayFolder="" count="0" unbalanced="0" hidden="1"/>
    <cacheHierarchy uniqueName="[FactEEPData].[PMTMeasureKey]" caption="PMTMeasureKey" attribute="1" defaultMemberUniqueName="[FactEEPData].[PMTMeasureKey].[All]" allUniqueName="[FactEEPData].[PMTMeasureKey].[All]" dimensionUniqueName="[FactEEPData]" displayFolder="" count="0" unbalanced="0" hidden="1"/>
    <cacheHierarchy uniqueName="[FactEEPData].[PMTMeasureXrefKey]" caption="PMTMeasureXrefKey" attribute="1" defaultMemberUniqueName="[FactEEPData].[PMTMeasureXrefKey].[All]" allUniqueName="[FactEEPData].[PMTMeasureXrefKey].[All]" dimensionUniqueName="[FactEEPData]" displayFolder="" count="0" unbalanced="0" hidden="1"/>
    <cacheHierarchy uniqueName="[FactEEPData].[PMTProjectKey]" caption="PMTProjectKey" attribute="1" defaultMemberUniqueName="[FactEEPData].[PMTProjectKey].[All]" allUniqueName="[FactEEPData].[PMTProjectKey].[All]" dimensionUniqueName="[FactEEPData]" displayFolder="" count="0" unbalanced="0" hidden="1"/>
    <cacheHierarchy uniqueName="[FactEEPData].[PUPMeasure_HashKey]" caption="PUPMeasure_HashKey" attribute="1" defaultMemberUniqueName="[FactEEPData].[PUPMeasure_HashKey].[All]" allUniqueName="[FactEEPData].[PUPMeasure_HashKey].[All]" dimensionUniqueName="[FactEEPData]" displayFolder="" count="0" unbalanced="0" hidden="1"/>
    <cacheHierarchy uniqueName="[FactEEPData].[PurchaseDateKey]" caption="PurchaseDateKey" attribute="1" defaultMemberUniqueName="[FactEEPData].[PurchaseDateKey].[All]" allUniqueName="[FactEEPData].[PurchaseDateKey].[All]" dimensionUniqueName="[FactEEPData]" displayFolder="" count="0" unbalanced="0" hidden="1"/>
    <cacheHierarchy uniqueName="[FactEEPData].[ReportingReferenceDateKey]" caption="ReportingReferenceDateKey" attribute="1" defaultMemberUniqueName="[FactEEPData].[ReportingReferenceDateKey].[All]" allUniqueName="[FactEEPData].[ReportingReferenceDateKey].[All]" dimensionUniqueName="[FactEEPData]" displayFolder="" count="0" unbalanced="0" hidden="1"/>
    <cacheHierarchy uniqueName="[FactEEPData].[ScenarioKey]" caption="ScenarioKey" attribute="1" defaultMemberUniqueName="[FactEEPData].[ScenarioKey].[All]" allUniqueName="[FactEEPData].[ScenarioKey].[All]" dimensionUniqueName="[FactEEPData]" displayFolder="" count="0" unbalanced="0" hidden="1"/>
    <cacheHierarchy uniqueName="[FactEEPData].[UpdateAuditKey]" caption="UpdateAuditKey" attribute="1" defaultMemberUniqueName="[FactEEPData].[UpdateAuditKey].[All]" allUniqueName="[FactEEPData].[UpdateAuditKey].[All]" dimensionUniqueName="[FactEEPData]" displayFolder="" count="0" unbalanced="0" hidden="1"/>
    <cacheHierarchy uniqueName="[FactEquipment].[AccountKey]" caption="AccountKey" attribute="1" defaultMemberUniqueName="[FactEquipment].[AccountKey].[All]" allUniqueName="[FactEquipment].[AccountKey].[All]" dimensionUniqueName="[FactEquipment]" displayFolder="" count="0" unbalanced="0" hidden="1"/>
    <cacheHierarchy uniqueName="[FactEquipment].[ApplicationCategoryKey]" caption="ApplicationCategoryKey" attribute="1" defaultMemberUniqueName="[FactEquipment].[ApplicationCategoryKey].[All]" allUniqueName="[FactEquipment].[ApplicationCategoryKey].[All]" dimensionUniqueName="[FactEquipment]" displayFolder="" count="0" unbalanced="0" hidden="1"/>
    <cacheHierarchy uniqueName="[FactEquipment].[DualFuelTableValueKey]" caption="DualFuelTableValueKey" attribute="1" defaultMemberUniqueName="[FactEquipment].[DualFuelTableValueKey].[All]" allUniqueName="[FactEquipment].[DualFuelTableValueKey].[All]" dimensionUniqueName="[FactEquipment]" displayFolder="" count="0" unbalanced="0" hidden="1"/>
    <cacheHierarchy uniqueName="[FactEquipment].[EquipmentCodeKey]" caption="EquipmentCodeKey" attribute="1" defaultMemberUniqueName="[FactEquipment].[EquipmentCodeKey].[All]" allUniqueName="[FactEquipment].[EquipmentCodeKey].[All]" dimensionUniqueName="[FactEquipment]" displayFolder="" count="0" unbalanced="0" hidden="1"/>
    <cacheHierarchy uniqueName="[FactEquipment].[EquipmentKey]" caption="EquipmentKey" attribute="1" defaultMemberUniqueName="[FactEquipment].[EquipmentKey].[All]" allUniqueName="[FactEquipment].[EquipmentKey].[All]" dimensionUniqueName="[FactEquipment]" displayFolder="" count="0" unbalanced="0" hidden="1"/>
    <cacheHierarchy uniqueName="[FactEquipment].[FuelTableValueKey]" caption="FuelTableValueKey" attribute="1" defaultMemberUniqueName="[FactEquipment].[FuelTableValueKey].[All]" allUniqueName="[FactEquipment].[FuelTableValueKey].[All]" dimensionUniqueName="[FactEquipment]" displayFolder="" count="0" unbalanced="0" hidden="1"/>
    <cacheHierarchy uniqueName="[FactEquipment].[ManufactureTableValueKey]" caption="ManufactureTableValueKey" attribute="1" defaultMemberUniqueName="[FactEquipment].[ManufactureTableValueKey].[All]" allUniqueName="[FactEquipment].[ManufactureTableValueKey].[All]" dimensionUniqueName="[FactEquipment]" displayFolder="" count="0" unbalanced="0" hidden="1"/>
    <cacheHierarchy uniqueName="[FactEquipment].[MarketSegmentKey]" caption="MarketSegmentKey" attribute="1" defaultMemberUniqueName="[FactEquipment].[MarketSegmentKey].[All]" allUniqueName="[FactEquipment].[MarketSegmentKey].[All]" dimensionUniqueName="[FactEquipment]" displayFolder="" count="0" unbalanced="0" hidden="1"/>
    <cacheHierarchy uniqueName="[FactMeasureParticipation].[MeasureParticipationKey]" caption="MeasureParticipationKey" attribute="1" defaultMemberUniqueName="[FactMeasureParticipation].[MeasureParticipationKey].[All]" allUniqueName="[FactMeasureParticipation].[MeasureParticipationKey].[All]" dimensionUniqueName="[FactMeasureParticipation]" displayFolder="" count="0" unbalanced="0" hidden="1"/>
    <cacheHierarchy uniqueName="[FactMeasureParticipation].[PMTMeasureKey]" caption="PMTMeasureKey" attribute="1" defaultMemberUniqueName="[FactMeasureParticipation].[PMTMeasureKey].[All]" allUniqueName="[FactMeasureParticipation].[PMTMeasureKey].[All]" dimensionUniqueName="[FactMeasureParticipation]" displayFolder="" count="0" unbalanced="0" hidden="1"/>
    <cacheHierarchy uniqueName="[FactMeasureParticipation].[PMTProgramKey]" caption="PMTProgramKey" attribute="1" defaultMemberUniqueName="[FactMeasureParticipation].[PMTProgramKey].[All]" allUniqueName="[FactMeasureParticipation].[PMTProgramKey].[All]" dimensionUniqueName="[FactMeasureParticipation]" displayFolder="" count="0" unbalanced="0" hidden="1"/>
    <cacheHierarchy uniqueName="[FactMeasureParticipation].[ScenarioKey]" caption="ScenarioKey" attribute="1" defaultMemberUniqueName="[FactMeasureParticipation].[ScenarioKey].[All]" allUniqueName="[FactMeasureParticipation].[ScenarioKey].[All]" dimensionUniqueName="[FactMeasureParticipation]" displayFolder="" count="0" unbalanced="0" hidden="1"/>
    <cacheHierarchy uniqueName="[FactMOCCallLog].[AccountKey]" caption="AccountKey" attribute="1" defaultMemberUniqueName="[FactMOCCallLog].[AccountKey].[All]" allUniqueName="[FactMOCCallLog].[AccountKey].[All]" dimensionUniqueName="[FactMOCCallLog]" displayFolder="" count="0" unbalanced="0" hidden="1"/>
    <cacheHierarchy uniqueName="[FactMOCCallLog].[ActivityDateKey]" caption="ActivityDateKey" attribute="1" defaultMemberUniqueName="[FactMOCCallLog].[ActivityDateKey].[All]" allUniqueName="[FactMOCCallLog].[ActivityDateKey].[All]" dimensionUniqueName="[FactMOCCallLog]" displayFolder="" count="0" unbalanced="0" hidden="1"/>
    <cacheHierarchy uniqueName="[FactMOCCallLog].[AssessmentScheduledDateKey]" caption="AssessmentScheduledDateKey" attribute="1" defaultMemberUniqueName="[FactMOCCallLog].[AssessmentScheduledDateKey].[All]" allUniqueName="[FactMOCCallLog].[AssessmentScheduledDateKey].[All]" dimensionUniqueName="[FactMOCCallLog]" displayFolder="" count="0" unbalanced="0" hidden="1"/>
    <cacheHierarchy uniqueName="[FactMOCCallLog].[DQScoreKey]" caption="DQScoreKey" attribute="1" defaultMemberUniqueName="[FactMOCCallLog].[DQScoreKey].[All]" allUniqueName="[FactMOCCallLog].[DQScoreKey].[All]" dimensionUniqueName="[FactMOCCallLog]" displayFolder="" count="0" unbalanced="0" hidden="1"/>
    <cacheHierarchy uniqueName="[FactMOCCallLog].[EventDateKey]" caption="EventDateKey" attribute="1" defaultMemberUniqueName="[FactMOCCallLog].[EventDateKey].[All]" allUniqueName="[FactMOCCallLog].[EventDateKey].[All]" dimensionUniqueName="[FactMOCCallLog]" displayFolder="" count="0" unbalanced="0" hidden="1"/>
    <cacheHierarchy uniqueName="[FactMOCCallLog].[InsertAuditKey]" caption="InsertAuditKey" attribute="1" defaultMemberUniqueName="[FactMOCCallLog].[InsertAuditKey].[All]" allUniqueName="[FactMOCCallLog].[InsertAuditKey].[All]" dimensionUniqueName="[FactMOCCallLog]" displayFolder="" count="0" unbalanced="0" hidden="1"/>
    <cacheHierarchy uniqueName="[FactMOCCallLog].[MOCCallLogKey]" caption="MOCCallLogKey" attribute="1" defaultMemberUniqueName="[FactMOCCallLog].[MOCCallLogKey].[All]" allUniqueName="[FactMOCCallLog].[MOCCallLogKey].[All]" dimensionUniqueName="[FactMOCCallLog]" displayFolder="" count="0" unbalanced="0" hidden="1"/>
    <cacheHierarchy uniqueName="[FactMOCCallLog].[UpdateAuditKey]" caption="UpdateAuditKey" attribute="1" defaultMemberUniqueName="[FactMOCCallLog].[UpdateAuditKey].[All]" allUniqueName="[FactMOCCallLog].[UpdateAuditKey].[All]" dimensionUniqueName="[FactMOCCallLog]" displayFolder="" count="0" unbalanced="0" hidden="1"/>
    <cacheHierarchy uniqueName="[FactMOCCallLog].[UserKey]" caption="UserKey" attribute="1" defaultMemberUniqueName="[FactMOCCallLog].[UserKey].[All]" allUniqueName="[FactMOCCallLog].[UserKey].[All]" dimensionUniqueName="[FactMOCCallLog]" displayFolder="" count="0" unbalanced="0" hidden="1"/>
    <cacheHierarchy uniqueName="[FactMOCLead].[AccountKey]" caption="AccountKey" attribute="1" defaultMemberUniqueName="[FactMOCLead].[AccountKey].[All]" allUniqueName="[FactMOCLead].[AccountKey].[All]" dimensionUniqueName="[FactMOCLead]" displayFolder="" count="0" unbalanced="0" hidden="1"/>
    <cacheHierarchy uniqueName="[FactMOCLead].[CreatedDateKey]" caption="CreatedDateKey" attribute="1" defaultMemberUniqueName="[FactMOCLead].[CreatedDateKey].[All]" allUniqueName="[FactMOCLead].[CreatedDateKey].[All]" dimensionUniqueName="[FactMOCLead]" displayFolder="" count="0" unbalanced="0" hidden="1"/>
    <cacheHierarchy uniqueName="[FactMOCLead].[DQScoreKey]" caption="DQScoreKey" attribute="1" defaultMemberUniqueName="[FactMOCLead].[DQScoreKey].[All]" allUniqueName="[FactMOCLead].[DQScoreKey].[All]" dimensionUniqueName="[FactMOCLead]" displayFolder="" count="0" unbalanced="0" hidden="1"/>
    <cacheHierarchy uniqueName="[FactMOCLead].[InsertAuditKey]" caption="InsertAuditKey" attribute="1" defaultMemberUniqueName="[FactMOCLead].[InsertAuditKey].[All]" allUniqueName="[FactMOCLead].[InsertAuditKey].[All]" dimensionUniqueName="[FactMOCLead]" displayFolder="" count="0" unbalanced="0" hidden="1"/>
    <cacheHierarchy uniqueName="[FactMOCLead].[MOCLeadKey]" caption="MOCLeadKey" attribute="1" defaultMemberUniqueName="[FactMOCLead].[MOCLeadKey].[All]" allUniqueName="[FactMOCLead].[MOCLeadKey].[All]" dimensionUniqueName="[FactMOCLead]" displayFolder="" count="0" unbalanced="0" hidden="1"/>
    <cacheHierarchy uniqueName="[FactMOCLead].[UpdateAuditKey]" caption="UpdateAuditKey" attribute="1" defaultMemberUniqueName="[FactMOCLead].[UpdateAuditKey].[All]" allUniqueName="[FactMOCLead].[UpdateAuditKey].[All]" dimensionUniqueName="[FactMOCLead]" displayFolder="" count="0" unbalanced="0" hidden="1"/>
    <cacheHierarchy uniqueName="[FactMOCLead].[UserKey]" caption="UserKey" attribute="1" defaultMemberUniqueName="[FactMOCLead].[UserKey].[All]" allUniqueName="[FactMOCLead].[UserKey].[All]" dimensionUniqueName="[FactMOCLead]" displayFolder="" count="0" unbalanced="0" hidden="1"/>
    <cacheHierarchy uniqueName="[FactPipeline].[FactPipelineMeasureKey]" caption="FactPipelineMeasureKey" attribute="1" defaultMemberUniqueName="[FactPipeline].[FactPipelineMeasureKey].[All]" allUniqueName="[FactPipeline].[FactPipelineMeasureKey].[All]" dimensionUniqueName="[FactPipeline]" displayFolder="" count="0" unbalanced="0" hidden="1"/>
    <cacheHierarchy uniqueName="[FactPipeline].[InsertAuditKey]" caption="InsertAuditKey" attribute="1" defaultMemberUniqueName="[FactPipeline].[InsertAuditKey].[All]" allUniqueName="[FactPipeline].[InsertAuditKey].[All]" dimensionUniqueName="[FactPipeline]" displayFolder="" count="0" unbalanced="0" hidden="1"/>
    <cacheHierarchy uniqueName="[FactPipeline].[InvoiceDateKey]" caption="InvoiceDateKey" attribute="1" defaultMemberUniqueName="[FactPipeline].[InvoiceDateKey].[All]" allUniqueName="[FactPipeline].[InvoiceDateKey].[All]" dimensionUniqueName="[FactPipeline]" displayFolder="" count="0" unbalanced="0" hidden="1"/>
    <cacheHierarchy uniqueName="[FactPipeline].[MeasureGroupKey]" caption="MeasureGroupKey" attribute="1" defaultMemberUniqueName="[FactPipeline].[MeasureGroupKey].[All]" allUniqueName="[FactPipeline].[MeasureGroupKey].[All]" dimensionUniqueName="[FactPipeline]" displayFolder="" count="0" unbalanced="0" hidden="1"/>
    <cacheHierarchy uniqueName="[FactPipeline].[PipelineAccountkey]" caption="PipelineAccountkey" attribute="1" defaultMemberUniqueName="[FactPipeline].[PipelineAccountkey].[All]" allUniqueName="[FactPipeline].[PipelineAccountkey].[All]" dimensionUniqueName="[FactPipeline]" displayFolder="" count="0" unbalanced="0" hidden="1"/>
    <cacheHierarchy uniqueName="[FactPipeline].[PipeLineStatusKey]" caption="PipeLineStatusKey" attribute="1" defaultMemberUniqueName="[FactPipeline].[PipeLineStatusKey].[All]" allUniqueName="[FactPipeline].[PipeLineStatusKey].[All]" dimensionUniqueName="[FactPipeline]" displayFolder="" count="0" unbalanced="0" hidden="1"/>
    <cacheHierarchy uniqueName="[FactPipeline].[PMTProgramKey]" caption="PMTProgramKey" attribute="1" defaultMemberUniqueName="[FactPipeline].[PMTProgramKey].[All]" allUniqueName="[FactPipeline].[PMTProgramKey].[All]" dimensionUniqueName="[FactPipeline]" displayFolder="" count="0" unbalanced="0" hidden="1"/>
    <cacheHierarchy uniqueName="[FactPipeline].[PUPMeasure_Hashkey]" caption="PUPMeasure_Hashkey" attribute="1" defaultMemberUniqueName="[FactPipeline].[PUPMeasure_Hashkey].[All]" allUniqueName="[FactPipeline].[PUPMeasure_Hashkey].[All]" dimensionUniqueName="[FactPipeline]" displayFolder="" count="0" unbalanced="0" hidden="1"/>
    <cacheHierarchy uniqueName="[FactPipeline].[UpdateAuditKey]" caption="UpdateAuditKey" attribute="1" defaultMemberUniqueName="[FactPipeline].[UpdateAuditKey].[All]" allUniqueName="[FactPipeline].[UpdateAuditKey].[All]" dimensionUniqueName="[FactPipeline]" displayFolder="" count="0" unbalanced="0" hidden="1"/>
    <cacheHierarchy uniqueName="[FactPredictiveAnalytics].[DQScoreKey]" caption="DQScoreKey" attribute="1" defaultMemberUniqueName="[FactPredictiveAnalytics].[DQScoreKey].[All]" allUniqueName="[FactPredictiveAnalytics].[DQScoreKey].[All]" dimensionUniqueName="[FactPredictiveAnalytics]" displayFolder="" count="0" unbalanced="0" hidden="1"/>
    <cacheHierarchy uniqueName="[FactPredictiveAnalytics].[FactPMTMeasureKey]" caption="FactPMTMeasureKey" attribute="1" defaultMemberUniqueName="[FactPredictiveAnalytics].[FactPMTMeasureKey].[All]" allUniqueName="[FactPredictiveAnalytics].[FactPMTMeasureKey].[All]" dimensionUniqueName="[FactPredictiveAnalytics]" displayFolder="" count="0" unbalanced="0" hidden="1"/>
    <cacheHierarchy uniqueName="[FactPredictiveAnalytics].[InsertAuditKey]" caption="InsertAuditKey" attribute="1" defaultMemberUniqueName="[FactPredictiveAnalytics].[InsertAuditKey].[All]" allUniqueName="[FactPredictiveAnalytics].[InsertAuditKey].[All]" dimensionUniqueName="[FactPredictiveAnalytics]" displayFolder="" count="0" unbalanced="0" hidden="1"/>
    <cacheHierarchy uniqueName="[FactPredictiveAnalytics].[MeasureGroupKey]" caption="MeasureGroupKey" attribute="1" defaultMemberUniqueName="[FactPredictiveAnalytics].[MeasureGroupKey].[All]" allUniqueName="[FactPredictiveAnalytics].[MeasureGroupKey].[All]" dimensionUniqueName="[FactPredictiveAnalytics]" displayFolder="" count="0" unbalanced="0" hidden="1"/>
    <cacheHierarchy uniqueName="[FactPredictiveAnalytics].[PMTProgramKey]" caption="PMTProgramKey" attribute="1" defaultMemberUniqueName="[FactPredictiveAnalytics].[PMTProgramKey].[All]" allUniqueName="[FactPredictiveAnalytics].[PMTProgramKey].[All]" dimensionUniqueName="[FactPredictiveAnalytics]" displayFolder="" count="0" unbalanced="0" hidden="1"/>
    <cacheHierarchy uniqueName="[FactPredictiveAnalytics].[PredictiveAnalyticsKey]" caption="PredictiveAnalyticsKey" attribute="1" defaultMemberUniqueName="[FactPredictiveAnalytics].[PredictiveAnalyticsKey].[All]" allUniqueName="[FactPredictiveAnalytics].[PredictiveAnalyticsKey].[All]" dimensionUniqueName="[FactPredictiveAnalytics]" displayFolder="" count="0" unbalanced="0" hidden="1"/>
    <cacheHierarchy uniqueName="[FactPredictiveAnalytics].[UpdateAuditKey]" caption="UpdateAuditKey" attribute="1" defaultMemberUniqueName="[FactPredictiveAnalytics].[UpdateAuditKey].[All]" allUniqueName="[FactPredictiveAnalytics].[UpdateAuditKey].[All]" dimensionUniqueName="[FactPredictiveAnalytics]" displayFolder="" count="0" unbalanced="0" hidden="1"/>
    <cacheHierarchy uniqueName="[FactSilverPopSurvey].[DQScoreKey]" caption="DQScoreKey" attribute="1" defaultMemberUniqueName="[FactSilverPopSurvey].[DQScoreKey].[All]" allUniqueName="[FactSilverPopSurvey].[DQScoreKey].[All]" dimensionUniqueName="[FactSilverPopSurvey]" displayFolder="" count="0" unbalanced="0" hidden="1"/>
    <cacheHierarchy uniqueName="[FactSilverPopSurvey].[InsertAuditKey]" caption="InsertAuditKey" attribute="1" defaultMemberUniqueName="[FactSilverPopSurvey].[InsertAuditKey].[All]" allUniqueName="[FactSilverPopSurvey].[InsertAuditKey].[All]" dimensionUniqueName="[FactSilverPopSurvey]" displayFolder="" count="0" unbalanced="0" hidden="1"/>
    <cacheHierarchy uniqueName="[FactSilverPopSurvey].[UpdateAuditKey]" caption="UpdateAuditKey" attribute="1" defaultMemberUniqueName="[FactSilverPopSurvey].[UpdateAuditKey].[All]" allUniqueName="[FactSilverPopSurvey].[UpdateAuditKey].[All]" dimensionUniqueName="[FactSilverPopSurvey]" displayFolder="" count="0" unbalanced="0" hidden="1"/>
    <cacheHierarchy uniqueName="[FactUsage].[AccountingDateKey]" caption="AccountingDateKey" attribute="1" defaultMemberUniqueName="[FactUsage].[AccountingDateKey].[All]" allUniqueName="[FactUsage].[AccountingDateKey].[All]" dimensionUniqueName="[FactUsage]" displayFolder="" count="0" unbalanced="0" hidden="1"/>
    <cacheHierarchy uniqueName="[FactUsage].[AccountKey]" caption="AccountKey" attribute="1" defaultMemberUniqueName="[FactUsage].[AccountKey].[All]" allUniqueName="[FactUsage].[AccountKey].[All]" dimensionUniqueName="[FactUsage]" displayFolder="" count="0" unbalanced="0" hidden="1"/>
    <cacheHierarchy uniqueName="[FactUsage].[BatchBusinessDateKey]" caption="BatchBusinessDateKey" attribute="1" defaultMemberUniqueName="[FactUsage].[BatchBusinessDateKey].[All]" allUniqueName="[FactUsage].[BatchBusinessDateKey].[All]" dimensionUniqueName="[FactUsage]" displayFolder="" count="0" unbalanced="0" hidden="1"/>
    <cacheHierarchy uniqueName="[FactUsage].[BillSegmentEndDateKey]" caption="BillSegmentEndDateKey" attribute="1" defaultMemberUniqueName="[FactUsage].[BillSegmentEndDateKey].[All]" allUniqueName="[FactUsage].[BillSegmentEndDateKey].[All]" dimensionUniqueName="[FactUsage]" displayFolder="" count="0" unbalanced="0" hidden="1"/>
    <cacheHierarchy uniqueName="[FactUsage].[BillSegmentStartDateKey]" caption="BillSegmentStartDateKey" attribute="1" defaultMemberUniqueName="[FactUsage].[BillSegmentStartDateKey].[All]" allUniqueName="[FactUsage].[BillSegmentStartDateKey].[All]" dimensionUniqueName="[FactUsage]" displayFolder="" count="0" unbalanced="0" hidden="1"/>
    <cacheHierarchy uniqueName="[FactUsage].[CustomerSelectSupplierKey]" caption="CustomerSelectSupplierKey" attribute="1" defaultMemberUniqueName="[FactUsage].[CustomerSelectSupplierKey].[All]" allUniqueName="[FactUsage].[CustomerSelectSupplierKey].[All]" dimensionUniqueName="[FactUsage]" displayFolder="" count="0" unbalanced="0" hidden="1"/>
    <cacheHierarchy uniqueName="[FactUsage].[FinancialTransactionKeyID]" caption="FinancialTransactionKeyID" attribute="1" defaultMemberUniqueName="[FactUsage].[FinancialTransactionKeyID].[All]" allUniqueName="[FactUsage].[FinancialTransactionKeyID].[All]" dimensionUniqueName="[FactUsage]" displayFolder="" count="0" unbalanced="0" hidden="1"/>
    <cacheHierarchy uniqueName="[FactUsage].[RateScheduleKey]" caption="RateScheduleKey" attribute="1" defaultMemberUniqueName="[FactUsage].[RateScheduleKey].[All]" allUniqueName="[FactUsage].[RateScheduleKey].[All]" dimensionUniqueName="[FactUsage]" displayFolder="" count="0" unbalanced="0" hidden="1"/>
    <cacheHierarchy uniqueName="[FactUsage].[ReadTypeKey]" caption="ReadTypeKey" attribute="1" defaultMemberUniqueName="[FactUsage].[ReadTypeKey].[All]" allUniqueName="[FactUsage].[ReadTypeKey].[All]" dimensionUniqueName="[FactUsage]" displayFolder="" count="0" unbalanced="0" hidden="1"/>
    <cacheHierarchy uniqueName="[FactUsage].[ServiceAgreementKey]" caption="ServiceAgreementKey" attribute="1" defaultMemberUniqueName="[FactUsage].[ServiceAgreementKey].[All]" allUniqueName="[FactUsage].[ServiceAgreementKey].[All]" dimensionUniqueName="[FactUsage]" displayFolder="" count="0" unbalanced="0" hidden="1"/>
    <cacheHierarchy uniqueName="[FactUsage].[ServiceAgreementTypeKey]" caption="ServiceAgreementTypeKey" attribute="1" defaultMemberUniqueName="[FactUsage].[ServiceAgreementTypeKey].[All]" allUniqueName="[FactUsage].[ServiceAgreementTypeKey].[All]" dimensionUniqueName="[FactUsage]" displayFolder="" count="0" unbalanced="0" hidden="1"/>
    <cacheHierarchy uniqueName="[FactUsage].[ServiceCountyKey]" caption="ServiceCountyKey" attribute="1" defaultMemberUniqueName="[FactUsage].[ServiceCountyKey].[All]" allUniqueName="[FactUsage].[ServiceCountyKey].[All]" dimensionUniqueName="[FactUsage]" displayFolder="" count="0" unbalanced="0" hidden="1"/>
    <cacheHierarchy uniqueName="[FactUsage].[ServicePointTypeKey]" caption="ServicePointTypeKey" attribute="1" defaultMemberUniqueName="[FactUsage].[ServicePointTypeKey].[All]" allUniqueName="[FactUsage].[ServicePointTypeKey].[All]" dimensionUniqueName="[FactUsage]" displayFolder="" count="0" unbalanced="0" hidden="1"/>
    <cacheHierarchy uniqueName="[FactUsage].[ServiceTownKey]" caption="ServiceTownKey" attribute="1" defaultMemberUniqueName="[FactUsage].[ServiceTownKey].[All]" allUniqueName="[FactUsage].[ServiceTownKey].[All]" dimensionUniqueName="[FactUsage]" displayFolder="" count="0" unbalanced="0" hidden="1"/>
    <cacheHierarchy uniqueName="[FactUsage].[UsageKey]" caption="UsageKey" attribute="1" defaultMemberUniqueName="[FactUsage].[UsageKey].[All]" allUniqueName="[FactUsage].[UsageKey].[All]" dimensionUniqueName="[FactUsage]" displayFolder="" count="0" unbalanced="0" hidden="1"/>
    <cacheHierarchy uniqueName="[HierProgramProjectMeasure].[AccountKey]" caption="AccountKey" attribute="1" defaultMemberUniqueName="[HierProgramProjectMeasure].[AccountKey].[All]" allUniqueName="[HierProgramProjectMeasure].[AccountKey].[All]" dimensionUniqueName="[HierProgramProjectMeasure]" displayFolder="" count="0" unbalanced="0" hidden="1"/>
    <cacheHierarchy uniqueName="[HierProgramProjectMeasure].[FactPMTMeasureKey]" caption="FactPMTMeasureKey" attribute="1" defaultMemberUniqueName="[HierProgramProjectMeasure].[FactPMTMeasureKey].[All]" allUniqueName="[HierProgramProjectMeasure].[FactPMTMeasureKey].[All]" dimensionUniqueName="[HierProgramProjectMeasure]" displayFolder="" count="0" unbalanced="0" hidden="1"/>
    <cacheHierarchy uniqueName="[HierProgramProjectMeasure].[PMTMeasureKey]" caption="PMTMeasureKey" attribute="1" defaultMemberUniqueName="[HierProgramProjectMeasure].[PMTMeasureKey].[All]" allUniqueName="[HierProgramProjectMeasure].[PMTMeasureKey].[All]" dimensionUniqueName="[HierProgramProjectMeasure]" displayFolder="" count="0" unbalanced="0" hidden="1"/>
    <cacheHierarchy uniqueName="[HierProgramProjectMeasure].[PMTProgramKey]" caption="PMTProgramKey" attribute="1" defaultMemberUniqueName="[HierProgramProjectMeasure].[PMTProgramKey].[All]" allUniqueName="[HierProgramProjectMeasure].[PMTProgramKey].[All]" dimensionUniqueName="[HierProgramProjectMeasure]" displayFolder="" count="0" unbalanced="0" hidden="1"/>
    <cacheHierarchy uniqueName="[HierProgramProjectMeasure].[PMTProjectKey]" caption="PMTProjectKey" attribute="1" defaultMemberUniqueName="[HierProgramProjectMeasure].[PMTProjectKey].[All]" allUniqueName="[HierProgramProjectMeasure].[PMTProjectKey].[All]" dimensionUniqueName="[HierProgramProjectMeasure]" displayFolder="" count="0" unbalanced="0" hidden="1"/>
    <cacheHierarchy uniqueName="[PMTInstallDate].[DateKey]" caption="DateKey" attribute="1" defaultMemberUniqueName="[PMTInstallDate].[DateKey].[All]" allUniqueName="[PMTInstallDate].[DateKey].[All]" dimensionUniqueName="[PMTInstallDate]" displayFolder="" count="0" unbalanced="0" hidden="1"/>
    <cacheHierarchy uniqueName="[PMTInvoiceDate].[Datekey]" caption="Datekey" attribute="1" defaultMemberUniqueName="[PMTInvoiceDate].[Datekey].[All]" allUniqueName="[PMTInvoiceDate].[Datekey].[All]" dimensionUniqueName="[PMTInvoiceDate]" displayFolder="" count="0" unbalanced="0" hidden="1"/>
    <cacheHierarchy uniqueName="[PMTProject_Contact_Contact].[AccountKey]" caption="AccountKey" attribute="1" defaultMemberUniqueName="[PMTProject_Contact_Contact].[AccountKey].[All]" allUniqueName="[PMTProject_Contact_Contact].[AccountKey].[All]" dimensionUniqueName="[PMTProject_Contact_Contact]" displayFolder="" count="0" unbalanced="0" hidden="1"/>
    <cacheHierarchy uniqueName="[PMTProject_Contact_Contact].[ContactKey]" caption="ContactKey" attribute="1" defaultMemberUniqueName="[PMTProject_Contact_Contact].[ContactKey].[All]" allUniqueName="[PMTProject_Contact_Contact].[ContactKey].[All]" dimensionUniqueName="[PMTProject_Contact_Contact]" displayFolder="" count="0" unbalanced="0" hidden="1"/>
    <cacheHierarchy uniqueName="[PMTProject_Contact_Contact].[PMTProjectKey]" caption="PMTProjectKey" attribute="1" defaultMemberUniqueName="[PMTProject_Contact_Contact].[PMTProjectKey].[All]" allUniqueName="[PMTProject_Contact_Contact].[PMTProjectKey].[All]" dimensionUniqueName="[PMTProject_Contact_Contact]" displayFolder="" count="0" unbalanced="0" hidden="1"/>
    <cacheHierarchy uniqueName="[PMTProject_Contact_Customer].[AccountKey]" caption="AccountKey" attribute="1" defaultMemberUniqueName="[PMTProject_Contact_Customer].[AccountKey].[All]" allUniqueName="[PMTProject_Contact_Customer].[AccountKey].[All]" dimensionUniqueName="[PMTProject_Contact_Customer]" displayFolder="" count="0" unbalanced="0" hidden="1"/>
    <cacheHierarchy uniqueName="[PMTProject_Contact_Customer].[ContactKey]" caption="ContactKey" attribute="1" defaultMemberUniqueName="[PMTProject_Contact_Customer].[ContactKey].[All]" allUniqueName="[PMTProject_Contact_Customer].[ContactKey].[All]" dimensionUniqueName="[PMTProject_Contact_Customer]" displayFolder="" count="0" unbalanced="0" hidden="1"/>
    <cacheHierarchy uniqueName="[PMTProject_Contact_Customer].[PMTProjectKey]" caption="PMTProjectKey" attribute="1" defaultMemberUniqueName="[PMTProject_Contact_Customer].[PMTProjectKey].[All]" allUniqueName="[PMTProject_Contact_Customer].[PMTProjectKey].[All]" dimensionUniqueName="[PMTProject_Contact_Customer]" displayFolder="" count="0" unbalanced="0" hidden="1"/>
    <cacheHierarchy uniqueName="[PMTProject_Contact_Landlord].[AccountKey]" caption="AccountKey" attribute="1" defaultMemberUniqueName="[PMTProject_Contact_Landlord].[AccountKey].[All]" allUniqueName="[PMTProject_Contact_Landlord].[AccountKey].[All]" dimensionUniqueName="[PMTProject_Contact_Landlord]" displayFolder="" count="0" unbalanced="0" hidden="1"/>
    <cacheHierarchy uniqueName="[PMTProject_Contact_Landlord].[ContactKey]" caption="ContactKey" attribute="1" defaultMemberUniqueName="[PMTProject_Contact_Landlord].[ContactKey].[All]" allUniqueName="[PMTProject_Contact_Landlord].[ContactKey].[All]" dimensionUniqueName="[PMTProject_Contact_Landlord]" displayFolder="" count="0" unbalanced="0" hidden="1"/>
    <cacheHierarchy uniqueName="[PMTProject_Contact_Landlord].[PMTProjectKey]" caption="PMTProjectKey" attribute="1" defaultMemberUniqueName="[PMTProject_Contact_Landlord].[PMTProjectKey].[All]" allUniqueName="[PMTProject_Contact_Landlord].[PMTProjectKey].[All]" dimensionUniqueName="[PMTProject_Contact_Landlord]" displayFolder="" count="0" unbalanced="0" hidden="1"/>
    <cacheHierarchy uniqueName="[PMTRptRefDate].[Datekey]" caption="Datekey" attribute="1" defaultMemberUniqueName="[PMTRptRefDate].[Datekey].[All]" allUniqueName="[PMTRptRefDate].[Datekey].[All]" dimensionUniqueName="[PMTRptRefDate]" displayFolder="" count="0" unbalanced="0" hidden="1"/>
    <cacheHierarchy uniqueName="[PMTYearBuiltLevelFilter].[ContructionYearLevelSort]" caption="ContructionYearLevelSort" attribute="1" defaultMemberUniqueName="[PMTYearBuiltLevelFilter].[ContructionYearLevelSort].[All]" allUniqueName="[PMTYearBuiltLevelFilter].[ContructionYearLevelSort].[All]" dimensionUniqueName="[PMTYearBuiltLevelFilter]" displayFolder="" count="0" unbalanced="0" hidden="1"/>
    <cacheHierarchy uniqueName="[PMTYearBuiltLevelFilter].[PMTProjectKey]" caption="PMTProjectKey" attribute="1" defaultMemberUniqueName="[PMTYearBuiltLevelFilter].[PMTProjectKey].[All]" allUniqueName="[PMTYearBuiltLevelFilter].[PMTProjectKey].[All]" dimensionUniqueName="[PMTYearBuiltLevelFilter]" displayFolder="" count="0" unbalanced="0" hidden="1"/>
    <cacheHierarchy uniqueName="[Project_LastRenovationDate].[Datekey]" caption="Datekey" attribute="1" defaultMemberUniqueName="[Project_LastRenovationDate].[Datekey].[All]" allUniqueName="[Project_LastRenovationDate].[Datekey].[All]" dimensionUniqueName="[Project_LastRenovationDate]" displayFolder="" count="0" unbalanced="0" hidden="1"/>
    <cacheHierarchy uniqueName="[ServiceAgreement_Account].[AccountKey]" caption="AccountKey" attribute="1" defaultMemberUniqueName="[ServiceAgreement_Account].[AccountKey].[All]" allUniqueName="[ServiceAgreement_Account].[AccountKey].[All]" dimensionUniqueName="[ServiceAgreement_Account]" displayFolder="" count="0" unbalanced="0" hidden="1"/>
    <cacheHierarchy uniqueName="[ServiceAgreement_Account].[ServiceAgreementKey]" caption="ServiceAgreementKey" attribute="1" defaultMemberUniqueName="[ServiceAgreement_Account].[ServiceAgreementKey].[All]" allUniqueName="[ServiceAgreement_Account].[ServiceAgreementKey].[All]" dimensionUniqueName="[ServiceAgreement_Account]" displayFolder="" count="0" unbalanced="0" hidden="1"/>
    <cacheHierarchy uniqueName="[ServiceAgreement_Usage].[AccountKey]" caption="AccountKey" attribute="1" defaultMemberUniqueName="[ServiceAgreement_Usage].[AccountKey].[All]" allUniqueName="[ServiceAgreement_Usage].[AccountKey].[All]" dimensionUniqueName="[ServiceAgreement_Usage]" displayFolder="" count="0" unbalanced="0" hidden="1"/>
    <cacheHierarchy uniqueName="[ServiceAgreement_Usage].[ServiceAgreementKey]" caption="ServiceAgreementKey" attribute="1" defaultMemberUniqueName="[ServiceAgreement_Usage].[ServiceAgreementKey].[All]" allUniqueName="[ServiceAgreement_Usage].[ServiceAgreementKey].[All]" dimensionUniqueName="[ServiceAgreement_Usage]" displayFolder="" count="0" unbalanced="0" hidden="1"/>
    <cacheHierarchy uniqueName="[UniqueContactMarketSegment].[ContactKey]" caption="ContactKey" attribute="1" defaultMemberUniqueName="[UniqueContactMarketSegment].[ContactKey].[All]" allUniqueName="[UniqueContactMarketSegment].[ContactKey].[All]" dimensionUniqueName="[UniqueContactMarketSegment]" displayFolder="" count="0" unbalanced="0" hidden="1"/>
    <cacheHierarchy uniqueName="[UniqueContactMarketSegment].[MarketSegmentKey]" caption="MarketSegmentKey" attribute="1" defaultMemberUniqueName="[UniqueContactMarketSegment].[MarketSegmentKey].[All]" allUniqueName="[UniqueContactMarketSegment].[MarketSegmentKey].[All]" dimensionUniqueName="[UniqueContactMarketSegment]" displayFolder="" count="0" unbalanced="0" hidden="1"/>
    <cacheHierarchy uniqueName="[UniqueMarketSegment].[ApplicationCategoryKey]" caption="ApplicationCategoryKey" attribute="1" defaultMemberUniqueName="[UniqueMarketSegment].[ApplicationCategoryKey].[All]" allUniqueName="[UniqueMarketSegment].[ApplicationCategoryKey].[All]" dimensionUniqueName="[UniqueMarketSegment]" displayFolder="" count="0" unbalanced="0" hidden="1"/>
    <cacheHierarchy uniqueName="[UniqueMarketSegment].[MarketSegmentKey]" caption="MarketSegmentKey" attribute="1" defaultMemberUniqueName="[UniqueMarketSegment].[MarketSegmentKey].[All]" allUniqueName="[UniqueMarketSegment].[MarketSegmentKey].[All]" dimensionUniqueName="[UniqueMarketSegment]" displayFolder="" count="0" unbalanced="0" hidden="1"/>
    <cacheHierarchy uniqueName="[UniqueYearBuiltLevelFilter].[AccountKey]" caption="AccountKey" attribute="1" defaultMemberUniqueName="[UniqueYearBuiltLevelFilter].[AccountKey].[All]" allUniqueName="[UniqueYearBuiltLevelFilter].[AccountKey].[All]" dimensionUniqueName="[UniqueYearBuiltLevelFilter]" displayFolder="" count="0" unbalanced="0" hidden="1"/>
    <cacheHierarchy uniqueName="[UniqueYearBuiltLevelFilter].[ContructionYearLevelSort]" caption="ContructionYearLevelSort" attribute="1" defaultMemberUniqueName="[UniqueYearBuiltLevelFilter].[ContructionYearLevelSort].[All]" allUniqueName="[UniqueYearBuiltLevelFilter].[ContructionYearLevelSort].[All]" dimensionUniqueName="[UniqueYearBuiltLevelFilter]" displayFolder="" count="0" unbalanced="0" hidden="1"/>
    <cacheHierarchy uniqueName="[UsageAcctgDate].[Datekey]" caption="Datekey" attribute="1" defaultMemberUniqueName="[UsageAcctgDate].[Datekey].[All]" allUniqueName="[UsageAcctgDate].[Datekey].[All]" dimensionUniqueName="[UsageAcctgDate]" displayFolder="" count="0" unbalanced="0" hidden="1"/>
    <cacheHierarchy uniqueName="[UsageBatchBusDate].[Datekey]" caption="Datekey" attribute="1" defaultMemberUniqueName="[UsageBatchBusDate].[Datekey].[All]" allUniqueName="[UsageBatchBusDate].[Datekey].[All]" dimensionUniqueName="[UsageBatchBusDate]" displayFolder="" count="0" unbalanced="0" hidden="1"/>
    <cacheHierarchy uniqueName="[UsageBillEndDate].[Datekey]" caption="Datekey" attribute="1" defaultMemberUniqueName="[UsageBillEndDate].[Datekey].[All]" allUniqueName="[UsageBillEndDate].[Datekey].[All]" dimensionUniqueName="[UsageBillEndDate]" displayFolder="" count="0" unbalanced="0" hidden="1"/>
    <cacheHierarchy uniqueName="[UsageBillStartDate].[Datekey]" caption="Datekey" attribute="1" defaultMemberUniqueName="[UsageBillStartDate].[Datekey].[All]" allUniqueName="[UsageBillStartDate].[Datekey].[All]" dimensionUniqueName="[UsageBillStartDate]" displayFolder="" count="0" unbalanced="0" hidden="1"/>
    <cacheHierarchy uniqueName="[Measures].[Count of NAICS VerificationDate]" caption="Count of NAICS VerificationDate" measure="1" displayFolder="Customer Account" measureGroup="DimAccount" count="0"/>
    <cacheHierarchy uniqueName="[Measures].[Count of Account ID]" caption="Count of Account ID" measure="1" displayFolder="Customer Account" measureGroup="DimAccount" count="0"/>
    <cacheHierarchy uniqueName="[Measures].[Distinct Count of Account ID]" caption="Distinct Count of Account ID" measure="1" displayFolder="Customer Account" measureGroup="DimAccount" count="0"/>
    <cacheHierarchy uniqueName="[Measures].[Count of Last Major RenovationDate]" caption="Count of Last Major RenovationDate" measure="1" displayFolder="" measureGroup="DimPMTProject" count="0"/>
    <cacheHierarchy uniqueName="[Measures].[Distinct Count of Project Account]" caption="Distinct Count of Project Account" measure="1" displayFolder="" measureGroup="DimPMTProject" count="0"/>
    <cacheHierarchy uniqueName="[Measures].[Count of Project Account]" caption="Count of Project Account" measure="1" displayFolder="" measureGroup="DimPMTProject" count="0"/>
    <cacheHierarchy uniqueName="[Measures].[Sum of Number Of Pieces]" caption="Sum of Number Of Pieces" measure="1" displayFolder="" measureGroup="FactEquipment" count="0"/>
    <cacheHierarchy uniqueName="[Measures].[Sum of MBTU Hour]" caption="Sum of MBTU Hour" measure="1" displayFolder="" measureGroup="FactEquipment" count="0"/>
    <cacheHierarchy uniqueName="[Measures].[Sum of KW Hour]" caption="Sum of KW Hour" measure="1" displayFolder="" measureGroup="FactEquipment" count="0"/>
    <cacheHierarchy uniqueName="[Measures].[Sum of Equipment Cost]" caption="Sum of Equipment Cost" measure="1" displayFolder="" measureGroup="FactEquipment" count="0"/>
    <cacheHierarchy uniqueName="[Measures].[Sum of Usage Hours Year]" caption="Sum of Usage Hours Year" measure="1" displayFolder="" measureGroup="FactEquipment" count="0"/>
    <cacheHierarchy uniqueName="[Measures].[Sum of Usage Hours Day]" caption="Sum of Usage Hours Day" measure="1" displayFolder="" measureGroup="FactEquipment" count="0"/>
    <cacheHierarchy uniqueName="[Measures].[Average of Number Of Pieces]" caption="Average of Number Of Pieces" measure="1" displayFolder="" measureGroup="FactEquipment" count="0"/>
    <cacheHierarchy uniqueName="[Measures].[Average of MBTU Hour]" caption="Average of MBTU Hour" measure="1" displayFolder="" measureGroup="FactEquipment" count="0"/>
    <cacheHierarchy uniqueName="[Measures].[Average of KW Hour]" caption="Average of KW Hour" measure="1" displayFolder="" measureGroup="FactEquipment" count="0"/>
    <cacheHierarchy uniqueName="[Measures].[Average of Equipment Cost]" caption="Average of Equipment Cost" measure="1" displayFolder="" measureGroup="FactEquipment" count="0"/>
    <cacheHierarchy uniqueName="[Measures].[Average of Usage Hours Year]" caption="Average of Usage Hours Year" measure="1" displayFolder="" measureGroup="FactEquipment" count="0"/>
    <cacheHierarchy uniqueName="[Measures].[Average of Usage Hours Day]" caption="Average of Usage Hours Day" measure="1" displayFolder="" measureGroup="FactEquipment" count="0"/>
    <cacheHierarchy uniqueName="[Measures].[Distinct Count of Equipment Account]" caption="Distinct Count of Equipment Account" measure="1" displayFolder="" measureGroup="FactEquipment" count="0"/>
    <cacheHierarchy uniqueName="[Measures].[Count of Equipment Account]" caption="Count of Equipment Account" measure="1" displayFolder="" measureGroup="FactEquipment" count="0"/>
    <cacheHierarchy uniqueName="[Measures].[Sum of Participation]" caption="Sum of Participation" measure="1" displayFolder="" measureGroup="FactMeasureParticipation" count="0"/>
    <cacheHierarchy uniqueName="[Measures].[Sum of Participation Incentives]" caption="Sum of Participation Incentives" measure="1" displayFolder="" measureGroup="FactMeasureParticipation" count="0"/>
    <cacheHierarchy uniqueName="[Measures].[Average of Participation]" caption="Average of Participation" measure="1" displayFolder="" measureGroup="FactMeasureParticipation" count="0"/>
    <cacheHierarchy uniqueName="[Measures].[Average of Participation Incentives]" caption="Average of Participation Incentives" measure="1" displayFolder="" measureGroup="FactMeasureParticipation" count="0"/>
    <cacheHierarchy uniqueName="[Measures].[Sum of Direct Install Labor]" caption="Sum of Direct Install Labor" measure="1" displayFolder="" measureGroup="FactMeasureParticipation" count="0"/>
    <cacheHierarchy uniqueName="[Measures].[Sum of Direct Install Materials]" caption="Sum of Direct Install Materials" measure="1" displayFolder="" measureGroup="FactMeasureParticipation" count="0"/>
    <cacheHierarchy uniqueName="[Measures].[Count of AccountingDate]" caption="Count of AccountingDate" measure="1" displayFolder="" measureGroup="FactUsage" count="0"/>
    <cacheHierarchy uniqueName="[Measures].[Count of Batch BusinessDate]" caption="Count of Batch BusinessDate" measure="1" displayFolder="" measureGroup="FactUsage" count="0"/>
    <cacheHierarchy uniqueName="[Measures].[Count of Bill Segment StartDate]" caption="Count of Bill Segment StartDate" measure="1" displayFolder="" measureGroup="FactUsage" count="0"/>
    <cacheHierarchy uniqueName="[Measures].[Average of Billed Days Count]" caption="Average of Billed Days Count" measure="1" displayFolder="" measureGroup="FactUsage" count="0"/>
    <cacheHierarchy uniqueName="[Measures].[Total Sales Gas Quantity]" caption="Total Sales Gas Quantity" measure="1" displayFolder="" measureGroup="FactUsage" count="0"/>
    <cacheHierarchy uniqueName="[Measures].[Average of Sales Gas Quantity]" caption="Average of Sales Gas Quantity" measure="1" displayFolder="" measureGroup="FactUsage" count="0"/>
    <cacheHierarchy uniqueName="[Measures].[Total Transportation Gas Quantity]" caption="Total Transportation Gas Quantity" measure="1" displayFolder="" measureGroup="FactUsage" count="0"/>
    <cacheHierarchy uniqueName="[Measures].[Average of Transportation Gas Quantity]" caption="Average of Transportation Gas Quantity" measure="1" displayFolder="" measureGroup="FactUsage" count="0"/>
    <cacheHierarchy uniqueName="[Measures].[Sum of Customer Select Gas Quantity]" caption="Sum of Customer Select Gas Quantity" measure="1" displayFolder="" measureGroup="FactUsage" count="0"/>
    <cacheHierarchy uniqueName="[Measures].[Average of Customer Select Gas Quantity]" caption="Average of Customer Select Gas Quantity" measure="1" displayFolder="" measureGroup="FactUsage" count="0"/>
    <cacheHierarchy uniqueName="[Measures].[Sum of Franchise Gas Quantity]" caption="Sum of Franchise Gas Quantity" measure="1" displayFolder="" measureGroup="FactUsage" count="0"/>
    <cacheHierarchy uniqueName="[Measures].[Average of Franchise Gas Quantity]" caption="Average of Franchise Gas Quantity" measure="1" displayFolder="" measureGroup="FactUsage" count="0"/>
    <cacheHierarchy uniqueName="[Measures].[Sum of Other Gas Quantity]" caption="Sum of Other Gas Quantity" measure="1" displayFolder="" measureGroup="FactUsage" count="0"/>
    <cacheHierarchy uniqueName="[Measures].[Average of Other Gas Quantity]" caption="Average of Other Gas Quantity" measure="1" displayFolder="" measureGroup="FactUsage" count="0"/>
    <cacheHierarchy uniqueName="[Measures].[Average of Total Gas Quantity]" caption="Average of Total Gas Quantity" measure="1" displayFolder="" measureGroup="FactUsage" count="0"/>
    <cacheHierarchy uniqueName="[Measures].[Count of Bill Segment EndDate]" caption="Count of Bill Segment EndDate" measure="1" displayFolder="" measureGroup="FactUsage" count="0"/>
    <cacheHierarchy uniqueName="[Measures].[Count of Usage Account]" caption="Count of Usage Account" measure="1" displayFolder="" measureGroup="FactUsage" count="0"/>
    <cacheHierarchy uniqueName="[Measures].[Distinct Count of Usage Account]" caption="Distinct Count of Usage Account" measure="1" displayFolder="" measureGroup="FactUsage" count="0"/>
    <cacheHierarchy uniqueName="[Measures].[Sum of Current Total Bill Amount]" caption="Sum of Current Total Bill Amount" measure="1" displayFolder="" measureGroup="FactUsage" count="0"/>
    <cacheHierarchy uniqueName="[Measures].[Count of PMTProject Contact]" caption="Count of PMTProject Contact" measure="1" displayFolder="" measureGroup="PMTProject_Contact_Contact" count="0"/>
    <cacheHierarchy uniqueName="[Measures].[Count of PMTProject Customer]" caption="Count of PMTProject Customer" measure="1" displayFolder="" measureGroup="PMTProject_Contact_Customer" count="0"/>
    <cacheHierarchy uniqueName="[Measures].[Count of PMTProject Landlord]" caption="Count of PMTProject Landlord" measure="1" displayFolder="" measureGroup="PMTProject_Contact_Landlord" count="0"/>
    <cacheHierarchy uniqueName="[Measures].[Average of AdministrationCost]" caption="Average of AdministrationCost" measure="1" displayFolder="" measureGroup="FactEEPData" count="0"/>
    <cacheHierarchy uniqueName="[Measures].[Average of IncentiveCost]" caption="Average of IncentiveCost" measure="1" displayFolder="" measureGroup="FactEEPData" count="0"/>
    <cacheHierarchy uniqueName="[Measures].[Average of MarketingCost]" caption="Average of MarketingCost" measure="1" displayFolder="" measureGroup="FactEEPData" count="0"/>
    <cacheHierarchy uniqueName="[Measures].[Average of ActualProgramDollarCost]" caption="Average of ActualProgramDollarCost" measure="1" displayFolder="" measureGroup="FactEEPData" count="0"/>
    <cacheHierarchy uniqueName="[Measures].[Average of CustomerCopay]" caption="Average of CustomerCopay" measure="1" displayFolder="" measureGroup="FactEEPData" count="0"/>
    <cacheHierarchy uniqueName="[Measures].[Average of GrossAnnualThermSavings]" caption="Average of GrossAnnualThermSavings" measure="1" displayFolder="" measureGroup="FactEEPData" count="0"/>
    <cacheHierarchy uniqueName="[Measures].[Average of IncrementalCost]" caption="Average of IncrementalCost" measure="1" displayFolder="" measureGroup="FactEEPData" count="0"/>
    <cacheHierarchy uniqueName="[Measures].[Average of InstallationEquipmentCost]" caption="Average of InstallationEquipmentCost" measure="1" displayFolder="" measureGroup="FactEEPData" count="0"/>
    <cacheHierarchy uniqueName="[Measures].[Average of NetAnnualThermsMeasure]" caption="Average of NetAnnualThermsMeasure" measure="1" displayFolder="" measureGroup="FactEEPData" count="0"/>
    <cacheHierarchy uniqueName="[Measures].[Sum of NetAnnualThermsMeasure]" caption="Sum of NetAnnualThermsMeasure" measure="1" displayFolder="" measureGroup="FactEEPData" count="0"/>
    <cacheHierarchy uniqueName="[Measures].[Average of NetAnnualThermsProgram]" caption="Average of NetAnnualThermsProgram" measure="1" displayFolder="" measureGroup="FactEEPData" count="0"/>
    <cacheHierarchy uniqueName="[Measures].[Sum of NetAnnualThermsProgram]" caption="Sum of NetAnnualThermsProgram" measure="1" displayFolder="" measureGroup="FactEEPData" count="0"/>
    <cacheHierarchy uniqueName="[Measures].[Average of Quantity]" caption="Average of Quantity" measure="1" displayFolder="" measureGroup="FactEEPData" count="0"/>
    <cacheHierarchy uniqueName="[Measures].[Sum of Quantity]" caption="Sum of Quantity" measure="1" displayFolder="" measureGroup="FactEEPData" count="0" oneField="1">
      <fieldsUsage count="1">
        <fieldUsage x="6"/>
      </fieldsUsage>
    </cacheHierarchy>
    <cacheHierarchy uniqueName="[Measures].[Average of SquareFeet]" caption="Average of SquareFeet" measure="1" displayFolder="" measureGroup="FactEEPData" count="0"/>
    <cacheHierarchy uniqueName="[Measures].[Average of TotalMeasureCost]" caption="Average of TotalMeasureCost" measure="1" displayFolder="" measureGroup="FactEEPData" count="0"/>
    <cacheHierarchy uniqueName="[Measures].[Sum of TotalMeasureCost]" caption="Sum of TotalMeasureCost" measure="1" displayFolder="" measureGroup="FactEEPData" count="0"/>
    <cacheHierarchy uniqueName="[Measures].[Count of InstallationDate]" caption="Count of InstallationDate" measure="1" displayFolder="" measureGroup="FactEEPData" count="0"/>
    <cacheHierarchy uniqueName="[Measures].[Sum of ActualProgramDollarCost]" caption="Sum of ActualProgramDollarCost" measure="1" displayFolder="" measureGroup="FactEEPData" count="0" oneField="1">
      <fieldsUsage count="1">
        <fieldUsage x="11"/>
      </fieldsUsage>
    </cacheHierarchy>
    <cacheHierarchy uniqueName="[Measures].[Sum of AdministrationCost]" caption="Sum of AdministrationCost" measure="1" displayFolder="" measureGroup="FactEEPData" count="0"/>
    <cacheHierarchy uniqueName="[Measures].[Sum of GrossAnnualThermSavings]" caption="Sum of GrossAnnualThermSavings" measure="1" displayFolder="" measureGroup="FactEEPData" count="0" oneField="1">
      <fieldsUsage count="1">
        <fieldUsage x="13"/>
      </fieldsUsage>
    </cacheHierarchy>
    <cacheHierarchy uniqueName="[Measures].[Sum of IncentiveCost]" caption="Sum of IncentiveCost" measure="1" displayFolder="" measureGroup="FactEEPData" count="0"/>
    <cacheHierarchy uniqueName="[Measures].[Sum of IncrementalCost]" caption="Sum of IncrementalCost" measure="1" displayFolder="" measureGroup="FactEEPData" count="0" oneField="1">
      <fieldsUsage count="1">
        <fieldUsage x="14"/>
      </fieldsUsage>
    </cacheHierarchy>
    <cacheHierarchy uniqueName="[Measures].[Sum of InstallationEquipmentCost]" caption="Sum of InstallationEquipmentCost" measure="1" displayFolder="" measureGroup="FactEEPData" count="0"/>
    <cacheHierarchy uniqueName="[Measures].[Sum of MarketingCost]" caption="Sum of MarketingCost" measure="1" displayFolder="" measureGroup="FactEEPData" count="0"/>
    <cacheHierarchy uniqueName="[Measures].[Sum of SquareFeet]" caption="Sum of SquareFeet" measure="1" displayFolder="" measureGroup="FactEEPData" count="0"/>
    <cacheHierarchy uniqueName="[Measures].[Sum of CustomerCopay]" caption="Sum of CustomerCopay" measure="1" displayFolder="" measureGroup="FactEEPData" count="0"/>
    <cacheHierarchy uniqueName="[Measures].[Average ActualProgramDollarCost Per NetAnnualTherm]" caption="Average ActualProgramDollarCost Per NetAnnualTherm" measure="1" displayFolder="Financial" measureGroup="FactEEPData" count="0"/>
    <cacheHierarchy uniqueName="[Measures].[Count of Measure]" caption="Count of Measure" measure="1" displayFolder="" measureGroup="FactEEPData" count="0"/>
    <cacheHierarchy uniqueName="[Measures].[Count of Project]" caption="Count of Project" measure="1" displayFolder="" measureGroup="FactEEPData" count="0" oneField="1">
      <fieldsUsage count="1">
        <fieldUsage x="5"/>
      </fieldsUsage>
    </cacheHierarchy>
    <cacheHierarchy uniqueName="[Measures].[Distinct Count of Project]" caption="Distinct Count of Project" measure="1" displayFolder="" measureGroup="FactEEPData" count="0"/>
    <cacheHierarchy uniqueName="[Measures].[Distinct Count of Measure]" caption="Distinct Count of Measure" measure="1" displayFolder="" measureGroup="FactEEPData" count="0"/>
    <cacheHierarchy uniqueName="[Measures].[Total Cost Actual]" caption="Total Cost Actual" measure="1" displayFolder="" measureGroup="FactEEPData" count="0"/>
    <cacheHierarchy uniqueName="[Measures].[Total Cost Planned]" caption="Total Cost Planned" measure="1" displayFolder="" measureGroup="FactEEPData" count="0"/>
    <cacheHierarchy uniqueName="[Measures].[Total Cost Filed Plan]" caption="Total Cost Filed Plan" measure="1" displayFolder="" measureGroup="FactEEPData" count="0"/>
    <cacheHierarchy uniqueName="[Measures].[Total Cost Annual Plan]" caption="Total Cost Annual Plan" measure="1" displayFolder="" measureGroup="FactEEPData" count="0"/>
    <cacheHierarchy uniqueName="[Measures].[Total Cost Accounting Budget]" caption="Total Cost Accounting Budget" measure="1" displayFolder="" measureGroup="FactEEPData" count="0"/>
    <cacheHierarchy uniqueName="[Measures].[Total Cost Forecast]" caption="Total Cost Forecast" measure="1" displayFolder="" measureGroup="FactEEPData" count="0"/>
    <cacheHierarchy uniqueName="[Measures].[Total Cost Informational]" caption="Total Cost Informational" measure="1" displayFolder="" measureGroup="FactEEPData" count="0"/>
    <cacheHierarchy uniqueName="[Measures].[Total Gross Therm Savings Actual]" caption="Total Gross Therm Savings Actual" measure="1" displayFolder="" measureGroup="FactEEPData" count="0"/>
    <cacheHierarchy uniqueName="[Measures].[Total Gross Therm Savings Budget]" caption="Total Gross Therm Savings Budget" measure="1" displayFolder="" measureGroup="FactEEPData" count="0"/>
    <cacheHierarchy uniqueName="[Measures].[Total Net Therms Achieved]" caption="Total Net Therms Achieved" measure="1" displayFolder="" measureGroup="FactEEPData" count="0"/>
    <cacheHierarchy uniqueName="[Measures].[Total Net Therms Budget]" caption="Total Net Therms Budget" measure="1" displayFolder="" measureGroup="FactEEPData" count="0"/>
    <cacheHierarchy uniqueName="[Measures].[Total Actual Incentive Paid]" caption="Total Actual Incentive Paid" measure="1" displayFolder="Financial" measureGroup="FactEEPData" count="0"/>
    <cacheHierarchy uniqueName="[Measures].[Total Budget Incentive Cost]" caption="Total Budget Incentive Cost" measure="1" displayFolder="" measureGroup="FactEEPData" count="0"/>
    <cacheHierarchy uniqueName="[Measures].[Total Actual Admin Paid]" caption="Total Actual Admin Paid" measure="1" displayFolder="Financial" measureGroup="FactEEPData" count="0"/>
    <cacheHierarchy uniqueName="[Measures].[Total Budget Admin Cost]" caption="Total Budget Admin Cost" measure="1" displayFolder="" measureGroup="FactEEPData" count="0"/>
    <cacheHierarchy uniqueName="[Measures].[Total Actual Marketing Paid]" caption="Total Actual Marketing Paid" measure="1" displayFolder="Financial" measureGroup="FactEEPData" count="0"/>
    <cacheHierarchy uniqueName="[Measures].[Total Budget Marketing Cost]" caption="Total Budget Marketing Cost" measure="1" displayFolder="" measureGroup="FactEEPData" count="0"/>
    <cacheHierarchy uniqueName="[Measures].[Total Delivered Budgeted Cost By Therm]" caption="Total Delivered Budgeted Cost By Therm" measure="1" displayFolder="" measureGroup="FactEEPData" count="0"/>
    <cacheHierarchy uniqueName="[Measures].[Total Delivered Actual Cost By Therm]" caption="Total Delivered Actual Cost By Therm" measure="1" displayFolder="" measureGroup="FactEEPData" count="0"/>
    <cacheHierarchy uniqueName="[Measures].[Total Net Therms PY PCT Achieved]" caption="Total Net Therms PY PCT Achieved" measure="1" displayFolder="" measureGroup="FactEEPData" count="0"/>
    <cacheHierarchy uniqueName="[Measures].[Total Program Cost PY PCT Achieved]" caption="Total Program Cost PY PCT Achieved" measure="1" displayFolder="" measureGroup="FactEEPData" count="0"/>
    <cacheHierarchy uniqueName="[Measures].[Total Net Lifecycle Therms Achieved]" caption="Total Net Lifecycle Therms Achieved" measure="1" displayFolder="" measureGroup="FactEEPData" count="0"/>
    <cacheHierarchy uniqueName="[Measures].[Total Weighted Average Measure Life]" caption="Total Weighted Average Measure Life" measure="1" displayFolder="" measureGroup="FactEEPData" count="0"/>
    <cacheHierarchy uniqueName="[Measures].[Sum of BudgetProgramDollarCost]" caption="Sum of BudgetProgramDollarCost" measure="1" displayFolder="" measureGroup="FactEEPData" count="0"/>
    <cacheHierarchy uniqueName="[Measures].[Count of PMTProject IC]" caption="Count of PMTProject IC" measure="1" displayFolder="" measureGroup="PMTProject_Contact_IC" count="0"/>
    <cacheHierarchy uniqueName="[Measures].[__Default measure]" caption="__Default measure" measure="1" displayFolder="" count="0" hidden="1"/>
  </cacheHierarchies>
  <kpis count="0"/>
  <dimensions count="87">
    <dimension name="Account_Contact" uniqueName="[Account_Contact]" caption="Account_Contact"/>
    <dimension name="AccountCountyHierArchy" uniqueName="[AccountCountyHierArchy]" caption="AccountCountyHierArchy"/>
    <dimension name="AcctA44Ranking" uniqueName="[AcctA44Ranking]" caption="AcctA44Ranking"/>
    <dimension name="AcctContactRules" uniqueName="[AcctContactRules]" caption="AcctContactRules"/>
    <dimension name="AcctDualFuelType" uniqueName="[AcctDualFuelType]" caption="AcctDualFuelType"/>
    <dimension name="AcctGasLDC" uniqueName="[AcctGasLDC]" caption="AcctGasLDC"/>
    <dimension name="AcctMarketCode" uniqueName="[AcctMarketCode]" caption="AcctMarketCode"/>
    <dimension name="AcctNAICSVerificationDate" uniqueName="[AcctNAICSVerificationDate]" caption="AcctNAICSVerificationDate"/>
    <dimension name="AcctUsageLevelFilter" uniqueName="[AcctUsageLevelFilter]" caption="AcctUsageLevelFilter"/>
    <dimension name="Budget ProgramYear" uniqueName="[Budget ProgramYear]" caption="Budget ProgramYear"/>
    <dimension name="DimAccount" uniqueName="[DimAccount]" caption="DimAccount"/>
    <dimension name="DimAccountingCodeCostClassification" uniqueName="[DimAccountingCodeCostClassification]" caption="DimAccountingCodeCostClassification"/>
    <dimension name="DimAccountingCodeProgramName" uniqueName="[DimAccountingCodeProgramName]" caption="DimAccountingCodeProgramName"/>
    <dimension name="DimAccountUsageLevel" uniqueName="[DimAccountUsageLevel]" caption="DimAccountUsageLevel"/>
    <dimension name="DimBuildingType" uniqueName="[DimBuildingType]" caption="DimBuildingType"/>
    <dimension name="DimBusinessAccountSegment" uniqueName="[DimBusinessAccountSegment]" caption="DimBusinessAccountSegment"/>
    <dimension name="DimBusinessPremiseSegment" uniqueName="[DimBusinessPremiseSegment]" caption="DimBusinessPremiseSegment"/>
    <dimension name="DimContactMailer" uniqueName="[DimContactMailer]" caption="DimContactMailer"/>
    <dimension name="DimCustomerSelectSupplier" uniqueName="[DimCustomerSelectSupplier]" caption="DimCustomerSelectSupplier"/>
    <dimension name="DimDate" uniqueName="[DimDate]" caption="DimDate"/>
    <dimension name="DimEquipmentCode" uniqueName="[DimEquipmentCode]" caption="DimEquipmentCode"/>
    <dimension name="DimMeasureGroup" uniqueName="[DimMeasureGroup]" caption="DimMeasureGroup"/>
    <dimension name="DimPayee" uniqueName="[DimPayee]" caption="DimPayee"/>
    <dimension name="DimPipeLineStatus" uniqueName="[DimPipeLineStatus]" caption="DimPipeLineStatus"/>
    <dimension name="DimPMTIC" uniqueName="[DimPMTIC]" caption="DimPMTIC"/>
    <dimension name="DimPMTMeasure" uniqueName="[DimPMTMeasure]" caption="DimPMTMeasure"/>
    <dimension name="DimPMTProgram" uniqueName="[DimPMTProgram]" caption="DimPMTProgram"/>
    <dimension name="DimPMTProgramAccounting" uniqueName="[DimPMTProgramAccounting]" caption="DimPMTProgramAccounting"/>
    <dimension name="DimPMTProject" uniqueName="[DimPMTProject]" caption="DimPMTProject"/>
    <dimension name="DimPMTSystem" uniqueName="[DimPMTSystem]" caption="DimPMTSystem"/>
    <dimension name="DimProjectTradeAlly" uniqueName="[DimProjectTradeAlly]" caption="DimProjectTradeAlly"/>
    <dimension name="DimRateSchedule" uniqueName="[DimRateSchedule]" caption="DimRateSchedule"/>
    <dimension name="DimReadType" uniqueName="[DimReadType]" caption="DimReadType"/>
    <dimension name="DimReferralSource" uniqueName="[DimReferralSource]" caption="DimReferralSource"/>
    <dimension name="DimResidentialAccountSegment" uniqueName="[DimResidentialAccountSegment]" caption="DimResidentialAccountSegment"/>
    <dimension name="DimResidentialPremiseSegment" uniqueName="[DimResidentialPremiseSegment]" caption="DimResidentialPremiseSegment"/>
    <dimension name="DimScenario" uniqueName="[DimScenario]" caption="DimScenario"/>
    <dimension name="DimServiceAgreementType" uniqueName="[DimServiceAgreementType]" caption="DimServiceAgreementType"/>
    <dimension name="DimServiceCounty" uniqueName="[DimServiceCounty]" caption="DimServiceCounty"/>
    <dimension name="DimServicePointType" uniqueName="[DimServicePointType]" caption="DimServicePointType"/>
    <dimension name="DimServiceTown" uniqueName="[DimServiceTown]" caption="DimServiceTown"/>
    <dimension name="DimSilverPopSurvey" uniqueName="[DimSilverPopSurvey]" caption="DimSilverPopSurvey"/>
    <dimension name="DimSubProgramType" uniqueName="[DimSubProgramType]" caption="DimSubProgramType"/>
    <dimension name="DimTradeAlly_Parent" uniqueName="[DimTradeAlly_Parent]" caption="DimTradeAlly_Parent"/>
    <dimension name="DimTradeAllyType" uniqueName="[DimTradeAllyType]" caption="DimTradeAllyType"/>
    <dimension name="DimUser" uniqueName="[DimUser]" caption="DimUser"/>
    <dimension name="DimUserType" uniqueName="[DimUserType]" caption="DimUserType"/>
    <dimension name="EquipmentDualFuel" uniqueName="[EquipmentDualFuel]" caption="EquipmentDualFuel"/>
    <dimension name="EquipmentFuel" uniqueName="[EquipmentFuel]" caption="EquipmentFuel"/>
    <dimension name="EquipmentManufacture" uniqueName="[EquipmentManufacture]" caption="EquipmentManufacture"/>
    <dimension name="FactCostEffectiveness" uniqueName="[FactCostEffectiveness]" caption="FactCostEffectiveness"/>
    <dimension name="FactCostSavings" uniqueName="[FactCostSavings]" caption="FactCostSavings"/>
    <dimension name="FactEEPData" uniqueName="[FactEEPData]" caption="FactEEPData"/>
    <dimension name="FactEquipment" uniqueName="[FactEquipment]" caption="FactEquipment"/>
    <dimension name="FactForecastTotalThermSavings" uniqueName="[FactForecastTotalThermSavings]" caption="FactForecastTotalThermSavings"/>
    <dimension name="FactMeasureParticipation" uniqueName="[FactMeasureParticipation]" caption="FactMeasureParticipation"/>
    <dimension name="FactMOCCallLog" uniqueName="[FactMOCCallLog]" caption="FactMOCCallLog"/>
    <dimension name="FactMOCLead" uniqueName="[FactMOCLead]" caption="FactMOCLead"/>
    <dimension name="FactPipeline" uniqueName="[FactPipeline]" caption="FactPipeline"/>
    <dimension name="FactPredictiveAnalytics" uniqueName="[FactPredictiveAnalytics]" caption="FactPredictiveAnalytics"/>
    <dimension name="FactSilverpopEmailActivity" uniqueName="[FactSilverpopEmailActivity]" caption="FactSilverpopEmailActivity"/>
    <dimension name="FactSilverPopSurvey" uniqueName="[FactSilverPopSurvey]" caption="FactSilverPopSurvey"/>
    <dimension name="FactUsage" uniqueName="[FactUsage]" caption="FactUsage"/>
    <dimension name="HierProgramProjectMeasure" uniqueName="[HierProgramProjectMeasure]" caption="HierProgramProjectMeasure"/>
    <dimension measure="1" name="Measures" uniqueName="[Measures]" caption="Measures"/>
    <dimension name="MOCActivityDate" uniqueName="[MOCActivityDate]" caption="MOCActivityDate"/>
    <dimension name="MOCAssessmentDate" uniqueName="[MOCAssessmentDate]" caption="MOCAssessmentDate"/>
    <dimension name="MOCEventDate" uniqueName="[MOCEventDate]" caption="MOCEventDate"/>
    <dimension name="PMTInstallDate" uniqueName="[PMTInstallDate]" caption="PMTInstallDate"/>
    <dimension name="PMTInvoiceDate" uniqueName="[PMTInvoiceDate]" caption="PMTInvoiceDate"/>
    <dimension name="PMTProject_Contact_Contact" uniqueName="[PMTProject_Contact_Contact]" caption="PMTProject_Contact_Contact"/>
    <dimension name="PMTProject_Contact_Customer" uniqueName="[PMTProject_Contact_Customer]" caption="PMTProject_Contact_Customer"/>
    <dimension name="PMTProject_Contact_IC" uniqueName="[PMTProject_Contact_IC]" caption="PMTProject_Contact_IC"/>
    <dimension name="PMTProject_Contact_Landlord" uniqueName="[PMTProject_Contact_Landlord]" caption="PMTProject_Contact_Landlord"/>
    <dimension name="PMTPurchaseDate" uniqueName="[PMTPurchaseDate]" caption="PMTPurchaseDate"/>
    <dimension name="PMTRptRefDate" uniqueName="[PMTRptRefDate]" caption="PMTRptRefDate"/>
    <dimension name="PMTYearBuiltLevelFilter" uniqueName="[PMTYearBuiltLevelFilter]" caption="PMTYearBuiltLevelFilter"/>
    <dimension name="Project_LastRenovationDate" uniqueName="[Project_LastRenovationDate]" caption="Project_LastRenovationDate"/>
    <dimension name="ServiceAgreement_Account" uniqueName="[ServiceAgreement_Account]" caption="ServiceAgreement_Account"/>
    <dimension name="ServiceAgreement_Usage" uniqueName="[ServiceAgreement_Usage]" caption="ServiceAgreement_Usage"/>
    <dimension name="UniqueContactMarketSegment" uniqueName="[UniqueContactMarketSegment]" caption="UniqueContactMarketSegment"/>
    <dimension name="UniqueMarketSegment" uniqueName="[UniqueMarketSegment]" caption="UniqueMarketSegment"/>
    <dimension name="UniqueYearBuiltLevelFilter" uniqueName="[UniqueYearBuiltLevelFilter]" caption="UniqueYearBuiltLevelFilter"/>
    <dimension name="UsageAcctgDate" uniqueName="[UsageAcctgDate]" caption="UsageAcctgDate"/>
    <dimension name="UsageBatchBusDate" uniqueName="[UsageBatchBusDate]" caption="UsageBatchBusDate"/>
    <dimension name="UsageBillEndDate" uniqueName="[UsageBillEndDate]" caption="UsageBillEndDate"/>
    <dimension name="UsageBillStartDate" uniqueName="[UsageBillStartDate]" caption="UsageBillStartDate"/>
  </dimensions>
  <measureGroups count="87">
    <measureGroup name="Account_Contact" caption="Account_Contact"/>
    <measureGroup name="AccountCountyHierArchy" caption="AccountCountyHierArchy"/>
    <measureGroup name="AcctA44Ranking" caption="AcctA44Ranking"/>
    <measureGroup name="AcctContactRules" caption="AcctContactRules"/>
    <measureGroup name="AcctDualFuelType" caption="AcctDualFuelType"/>
    <measureGroup name="AcctGasLDC" caption="AcctGasLDC"/>
    <measureGroup name="AcctMarketCode" caption="AcctMarketCode"/>
    <measureGroup name="AcctNAICSVerificationDate" caption="AcctNAICSVerificationDate"/>
    <measureGroup name="AcctUsageLevelFilter" caption="AcctUsageLevelFilter"/>
    <measureGroup name="Budget ProgramYear" caption="Budget ProgramYear"/>
    <measureGroup name="DimAccount" caption="DimAccount"/>
    <measureGroup name="DimAccountingCodeCostClassification" caption="DimAccountingCodeCostClassification"/>
    <measureGroup name="DimAccountingCodeProgramName" caption="DimAccountingCodeProgramName"/>
    <measureGroup name="DimAccountUsageLevel" caption="DimAccountUsageLevel"/>
    <measureGroup name="DimBuildingType" caption="DimBuildingType"/>
    <measureGroup name="DimBusinessAccountSegment" caption="DimBusinessAccountSegment"/>
    <measureGroup name="DimBusinessPremiseSegment" caption="DimBusinessPremiseSegment"/>
    <measureGroup name="DimContactMailer" caption="DimContactMailer"/>
    <measureGroup name="DimCustomerSelectSupplier" caption="DimCustomerSelectSupplier"/>
    <measureGroup name="DimDate" caption="DimDate"/>
    <measureGroup name="DimEquipmentCode" caption="DimEquipmentCode"/>
    <measureGroup name="DimMeasureGroup" caption="DimMeasureGroup"/>
    <measureGroup name="DimNAICSCode" caption="DimNAICSCode"/>
    <measureGroup name="DimPayee" caption="DimPayee"/>
    <measureGroup name="DimPipeLineStatus" caption="DimPipeLineStatus"/>
    <measureGroup name="DimPMTIC" caption="DimPMTIC"/>
    <measureGroup name="DimPMTMeasure" caption="DimPMTMeasure"/>
    <measureGroup name="DimPMTProgram" caption="DimPMTProgram"/>
    <measureGroup name="DimPMTProgramAccounting" caption="DimPMTProgramAccounting"/>
    <measureGroup name="DimPMTProject" caption="DimPMTProject"/>
    <measureGroup name="DimPMTSystem" caption="DimPMTSystem"/>
    <measureGroup name="DimProjectTradeAlly" caption="DimProjectTradeAlly"/>
    <measureGroup name="DimRateSchedule" caption="DimRateSchedule"/>
    <measureGroup name="DimReadType" caption="DimReadType"/>
    <measureGroup name="DimReferralSource" caption="DimReferralSource"/>
    <measureGroup name="DimResidentialAccountSegment" caption="DimResidentialAccountSegment"/>
    <measureGroup name="DimResidentialPremiseSegment" caption="DimResidentialPremiseSegment"/>
    <measureGroup name="DimScenario" caption="DimScenario"/>
    <measureGroup name="DimServiceAgreementType" caption="DimServiceAgreementType"/>
    <measureGroup name="DimServiceCounty" caption="DimServiceCounty"/>
    <measureGroup name="DimServicePointType" caption="DimServicePointType"/>
    <measureGroup name="DimServiceTown" caption="DimServiceTown"/>
    <measureGroup name="DimSilverPopSurvey" caption="DimSilverPopSurvey"/>
    <measureGroup name="DimSubProgramType" caption="DimSubProgramType"/>
    <measureGroup name="DimTradeAlly_Parent" caption="DimTradeAlly_Parent"/>
    <measureGroup name="DimTradeAllyType" caption="DimTradeAllyType"/>
    <measureGroup name="DimUser" caption="DimUser"/>
    <measureGroup name="DimUserType" caption="DimUserType"/>
    <measureGroup name="EquipmentDualFuel" caption="EquipmentDualFuel"/>
    <measureGroup name="EquipmentFuel" caption="EquipmentFuel"/>
    <measureGroup name="EquipmentManufacture" caption="EquipmentManufacture"/>
    <measureGroup name="FactCostEffectiveness" caption="FactCostEffectiveness"/>
    <measureGroup name="FactCostSavings" caption="FactCostSavings"/>
    <measureGroup name="FactEEPData" caption="FactEEPData"/>
    <measureGroup name="FactEquipment" caption="FactEquipment"/>
    <measureGroup name="FactForecastTotalThermSavings" caption="FactForecastTotalThermSavings"/>
    <measureGroup name="FactMeasureParticipation" caption="FactMeasureParticipation"/>
    <measureGroup name="FactMOCCallLog" caption="FactMOCCallLog"/>
    <measureGroup name="FactMOCLead" caption="FactMOCLead"/>
    <measureGroup name="FactPipeline" caption="FactPipeline"/>
    <measureGroup name="FactPredictiveAnalytics" caption="FactPredictiveAnalytics"/>
    <measureGroup name="FactSilverpopEmailActivity" caption="FactSilverpopEmailActivity"/>
    <measureGroup name="FactSilverPopSurvey" caption="FactSilverPopSurvey"/>
    <measureGroup name="FactUsage" caption="FactUsage"/>
    <measureGroup name="HierProgramProjectMeasure" caption="HierProgramProjectMeasure"/>
    <measureGroup name="MOCActivityDate" caption="MOCActivityDate"/>
    <measureGroup name="MOCAssessmentDate" caption="MOCAssessmentDate"/>
    <measureGroup name="MOCEventDate" caption="MOCEventDate"/>
    <measureGroup name="PMTInstallDate" caption="PMTInstallDate"/>
    <measureGroup name="PMTInvoiceDate" caption="PMTInvoiceDate"/>
    <measureGroup name="PMTProject_Contact_Contact" caption="PMTProject_Contact_Contact"/>
    <measureGroup name="PMTProject_Contact_Customer" caption="PMTProject_Contact_Customer"/>
    <measureGroup name="PMTProject_Contact_IC" caption="PMTProject_Contact_IC"/>
    <measureGroup name="PMTProject_Contact_Landlord" caption="PMTProject_Contact_Landlord"/>
    <measureGroup name="PMTPurchaseDate" caption="PMTPurchaseDate"/>
    <measureGroup name="PMTRptRefDate" caption="PMTRptRefDate"/>
    <measureGroup name="PMTYearBuiltLevelFilter" caption="PMTYearBuiltLevelFilter"/>
    <measureGroup name="Project_LastRenovationDate" caption="Project_LastRenovationDate"/>
    <measureGroup name="ServiceAgreement_Account" caption="ServiceAgreement_Account"/>
    <measureGroup name="ServiceAgreement_Usage" caption="ServiceAgreement_Usage"/>
    <measureGroup name="UniqueContactMarketSegment" caption="UniqueContactMarketSegment"/>
    <measureGroup name="UniqueMarketSegment" caption="UniqueMarketSegment"/>
    <measureGroup name="UniqueYearBuiltLevelFilter" caption="UniqueYearBuiltLevelFilter"/>
    <measureGroup name="UsageAcctgDate" caption="UsageAcctgDate"/>
    <measureGroup name="UsageBatchBusDate" caption="UsageBatchBusDate"/>
    <measureGroup name="UsageBillEndDate" caption="UsageBillEndDate"/>
    <measureGroup name="UsageBillStartDate" caption="UsageBillStartDate"/>
  </measureGroups>
  <maps count="626">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10"/>
    <map measureGroup="0" dimension="15"/>
    <map measureGroup="0" dimension="16"/>
    <map measureGroup="0" dimension="21"/>
    <map measureGroup="0" dimension="26"/>
    <map measureGroup="0" dimension="34"/>
    <map measureGroup="0" dimension="35"/>
    <map measureGroup="0" dimension="59"/>
    <map measureGroup="0" dimension="82"/>
    <map measureGroup="1" dimension="1"/>
    <map measureGroup="2" dimension="2"/>
    <map measureGroup="3" dimension="3"/>
    <map measureGroup="4" dimension="4"/>
    <map measureGroup="5" dimension="5"/>
    <map measureGroup="6" dimension="6"/>
    <map measureGroup="7" dimension="7"/>
    <map measureGroup="8" dimension="8"/>
    <map measureGroup="9" dimension="9"/>
    <map measureGroup="10" dimension="1"/>
    <map measureGroup="10" dimension="2"/>
    <map measureGroup="10" dimension="3"/>
    <map measureGroup="10" dimension="4"/>
    <map measureGroup="10" dimension="5"/>
    <map measureGroup="10" dimension="6"/>
    <map measureGroup="10" dimension="7"/>
    <map measureGroup="10" dimension="8"/>
    <map measureGroup="10" dimension="10"/>
    <map measureGroup="10" dimension="15"/>
    <map measureGroup="10" dimension="16"/>
    <map measureGroup="10" dimension="21"/>
    <map measureGroup="10" dimension="26"/>
    <map measureGroup="10" dimension="34"/>
    <map measureGroup="10" dimension="35"/>
    <map measureGroup="10" dimension="59"/>
    <map measureGroup="10" dimension="82"/>
    <map measureGroup="11" dimension="11"/>
    <map measureGroup="12" dimension="12"/>
    <map measureGroup="13" dimension="1"/>
    <map measureGroup="13" dimension="2"/>
    <map measureGroup="13" dimension="3"/>
    <map measureGroup="13" dimension="4"/>
    <map measureGroup="13" dimension="5"/>
    <map measureGroup="13" dimension="6"/>
    <map measureGroup="13" dimension="7"/>
    <map measureGroup="13" dimension="8"/>
    <map measureGroup="13" dimension="10"/>
    <map measureGroup="13" dimension="13"/>
    <map measureGroup="13" dimension="15"/>
    <map measureGroup="13" dimension="16"/>
    <map measureGroup="13" dimension="21"/>
    <map measureGroup="13" dimension="26"/>
    <map measureGroup="13" dimension="34"/>
    <map measureGroup="13" dimension="35"/>
    <map measureGroup="13" dimension="59"/>
    <map measureGroup="13" dimension="82"/>
    <map measureGroup="14" dimension="14"/>
    <map measureGroup="15" dimension="15"/>
    <map measureGroup="16" dimension="16"/>
    <map measureGroup="17" dimension="0"/>
    <map measureGroup="17" dimension="1"/>
    <map measureGroup="17" dimension="2"/>
    <map measureGroup="17" dimension="3"/>
    <map measureGroup="17" dimension="4"/>
    <map measureGroup="17" dimension="5"/>
    <map measureGroup="17" dimension="6"/>
    <map measureGroup="17" dimension="7"/>
    <map measureGroup="17" dimension="8"/>
    <map measureGroup="17" dimension="10"/>
    <map measureGroup="17" dimension="15"/>
    <map measureGroup="17" dimension="16"/>
    <map measureGroup="17" dimension="17"/>
    <map measureGroup="17" dimension="21"/>
    <map measureGroup="17" dimension="26"/>
    <map measureGroup="17" dimension="34"/>
    <map measureGroup="17" dimension="35"/>
    <map measureGroup="17" dimension="59"/>
    <map measureGroup="17" dimension="82"/>
    <map measureGroup="18" dimension="18"/>
    <map measureGroup="19" dimension="19"/>
    <map measureGroup="20" dimension="20"/>
    <map measureGroup="21" dimension="21"/>
    <map measureGroup="23" dimension="22"/>
    <map measureGroup="24" dimension="23"/>
    <map measureGroup="25" dimension="24"/>
    <map measureGroup="26" dimension="25"/>
    <map measureGroup="27" dimension="26"/>
    <map measureGroup="28" dimension="27"/>
    <map measureGroup="29" dimension="1"/>
    <map measureGroup="29" dimension="2"/>
    <map measureGroup="29" dimension="3"/>
    <map measureGroup="29" dimension="4"/>
    <map measureGroup="29" dimension="5"/>
    <map measureGroup="29" dimension="6"/>
    <map measureGroup="29" dimension="7"/>
    <map measureGroup="29" dimension="8"/>
    <map measureGroup="29" dimension="10"/>
    <map measureGroup="29" dimension="14"/>
    <map measureGroup="29" dimension="15"/>
    <map measureGroup="29" dimension="16"/>
    <map measureGroup="29" dimension="21"/>
    <map measureGroup="29" dimension="24"/>
    <map measureGroup="29" dimension="26"/>
    <map measureGroup="29" dimension="27"/>
    <map measureGroup="29" dimension="28"/>
    <map measureGroup="29" dimension="30"/>
    <map measureGroup="29" dimension="33"/>
    <map measureGroup="29" dimension="34"/>
    <map measureGroup="29" dimension="35"/>
    <map measureGroup="29" dimension="42"/>
    <map measureGroup="29" dimension="43"/>
    <map measureGroup="29" dimension="44"/>
    <map measureGroup="29" dimension="59"/>
    <map measureGroup="29" dimension="76"/>
    <map measureGroup="29" dimension="77"/>
    <map measureGroup="29" dimension="82"/>
    <map measureGroup="30" dimension="1"/>
    <map measureGroup="30" dimension="2"/>
    <map measureGroup="30" dimension="3"/>
    <map measureGroup="30" dimension="4"/>
    <map measureGroup="30" dimension="5"/>
    <map measureGroup="30" dimension="6"/>
    <map measureGroup="30" dimension="7"/>
    <map measureGroup="30" dimension="8"/>
    <map measureGroup="30" dimension="10"/>
    <map measureGroup="30" dimension="14"/>
    <map measureGroup="30" dimension="15"/>
    <map measureGroup="30" dimension="16"/>
    <map measureGroup="30" dimension="21"/>
    <map measureGroup="30" dimension="24"/>
    <map measureGroup="30" dimension="26"/>
    <map measureGroup="30" dimension="27"/>
    <map measureGroup="30" dimension="28"/>
    <map measureGroup="30" dimension="29"/>
    <map measureGroup="30" dimension="30"/>
    <map measureGroup="30" dimension="33"/>
    <map measureGroup="30" dimension="34"/>
    <map measureGroup="30" dimension="35"/>
    <map measureGroup="30" dimension="42"/>
    <map measureGroup="30" dimension="43"/>
    <map measureGroup="30" dimension="44"/>
    <map measureGroup="30" dimension="59"/>
    <map measureGroup="30" dimension="76"/>
    <map measureGroup="30" dimension="77"/>
    <map measureGroup="30" dimension="82"/>
    <map measureGroup="31" dimension="1"/>
    <map measureGroup="31" dimension="2"/>
    <map measureGroup="31" dimension="3"/>
    <map measureGroup="31" dimension="4"/>
    <map measureGroup="31" dimension="5"/>
    <map measureGroup="31" dimension="6"/>
    <map measureGroup="31" dimension="7"/>
    <map measureGroup="31" dimension="8"/>
    <map measureGroup="31" dimension="10"/>
    <map measureGroup="31" dimension="14"/>
    <map measureGroup="31" dimension="15"/>
    <map measureGroup="31" dimension="16"/>
    <map measureGroup="31" dimension="21"/>
    <map measureGroup="31" dimension="24"/>
    <map measureGroup="31" dimension="26"/>
    <map measureGroup="31" dimension="27"/>
    <map measureGroup="31" dimension="28"/>
    <map measureGroup="31" dimension="30"/>
    <map measureGroup="31" dimension="33"/>
    <map measureGroup="31" dimension="34"/>
    <map measureGroup="31" dimension="35"/>
    <map measureGroup="31" dimension="42"/>
    <map measureGroup="31" dimension="43"/>
    <map measureGroup="31" dimension="44"/>
    <map measureGroup="31" dimension="59"/>
    <map measureGroup="31" dimension="76"/>
    <map measureGroup="31" dimension="77"/>
    <map measureGroup="31" dimension="82"/>
    <map measureGroup="32" dimension="31"/>
    <map measureGroup="33" dimension="32"/>
    <map measureGroup="34" dimension="33"/>
    <map measureGroup="35" dimension="34"/>
    <map measureGroup="36" dimension="35"/>
    <map measureGroup="37" dimension="36"/>
    <map measureGroup="38" dimension="37"/>
    <map measureGroup="39" dimension="38"/>
    <map measureGroup="40" dimension="39"/>
    <map measureGroup="41" dimension="40"/>
    <map measureGroup="42" dimension="21"/>
    <map measureGroup="42" dimension="26"/>
    <map measureGroup="42" dimension="41"/>
    <map measureGroup="43" dimension="42"/>
    <map measureGroup="44" dimension="43"/>
    <map measureGroup="45" dimension="1"/>
    <map measureGroup="45" dimension="2"/>
    <map measureGroup="45" dimension="3"/>
    <map measureGroup="45" dimension="4"/>
    <map measureGroup="45" dimension="5"/>
    <map measureGroup="45" dimension="6"/>
    <map measureGroup="45" dimension="7"/>
    <map measureGroup="45" dimension="8"/>
    <map measureGroup="45" dimension="10"/>
    <map measureGroup="45" dimension="14"/>
    <map measureGroup="45" dimension="15"/>
    <map measureGroup="45" dimension="16"/>
    <map measureGroup="45" dimension="21"/>
    <map measureGroup="45" dimension="24"/>
    <map measureGroup="45" dimension="26"/>
    <map measureGroup="45" dimension="27"/>
    <map measureGroup="45" dimension="28"/>
    <map measureGroup="45" dimension="30"/>
    <map measureGroup="45" dimension="33"/>
    <map measureGroup="45" dimension="34"/>
    <map measureGroup="45" dimension="35"/>
    <map measureGroup="45" dimension="42"/>
    <map measureGroup="45" dimension="43"/>
    <map measureGroup="45" dimension="44"/>
    <map measureGroup="45" dimension="59"/>
    <map measureGroup="45" dimension="76"/>
    <map measureGroup="45" dimension="77"/>
    <map measureGroup="45" dimension="82"/>
    <map measureGroup="46" dimension="45"/>
    <map measureGroup="46" dimension="46"/>
    <map measureGroup="47" dimension="46"/>
    <map measureGroup="48" dimension="47"/>
    <map measureGroup="49" dimension="48"/>
    <map measureGroup="50" dimension="49"/>
    <map measureGroup="51" dimension="26"/>
    <map measureGroup="51" dimension="27"/>
    <map measureGroup="51" dimension="50"/>
    <map measureGroup="52" dimension="26"/>
    <map measureGroup="52" dimension="51"/>
    <map measureGroup="53" dimension="1"/>
    <map measureGroup="53" dimension="2"/>
    <map measureGroup="53" dimension="3"/>
    <map measureGroup="53" dimension="4"/>
    <map measureGroup="53" dimension="5"/>
    <map measureGroup="53" dimension="6"/>
    <map measureGroup="53" dimension="7"/>
    <map measureGroup="53" dimension="8"/>
    <map measureGroup="53" dimension="9"/>
    <map measureGroup="53" dimension="10"/>
    <map measureGroup="53" dimension="11"/>
    <map measureGroup="53" dimension="12"/>
    <map measureGroup="53" dimension="14"/>
    <map measureGroup="53" dimension="15"/>
    <map measureGroup="53" dimension="16"/>
    <map measureGroup="53" dimension="19"/>
    <map measureGroup="53" dimension="21"/>
    <map measureGroup="53" dimension="22"/>
    <map measureGroup="53" dimension="24"/>
    <map measureGroup="53" dimension="26"/>
    <map measureGroup="53" dimension="27"/>
    <map measureGroup="53" dimension="28"/>
    <map measureGroup="53" dimension="30"/>
    <map measureGroup="53" dimension="33"/>
    <map measureGroup="53" dimension="34"/>
    <map measureGroup="53" dimension="35"/>
    <map measureGroup="53" dimension="36"/>
    <map measureGroup="53" dimension="42"/>
    <map measureGroup="53" dimension="43"/>
    <map measureGroup="53" dimension="44"/>
    <map measureGroup="53" dimension="52"/>
    <map measureGroup="53" dimension="59"/>
    <map measureGroup="53" dimension="63"/>
    <map measureGroup="53" dimension="68"/>
    <map measureGroup="53" dimension="69"/>
    <map measureGroup="53" dimension="74"/>
    <map measureGroup="53" dimension="75"/>
    <map measureGroup="53" dimension="76"/>
    <map measureGroup="53" dimension="77"/>
    <map measureGroup="53" dimension="82"/>
    <map measureGroup="54" dimension="1"/>
    <map measureGroup="54" dimension="2"/>
    <map measureGroup="54" dimension="3"/>
    <map measureGroup="54" dimension="4"/>
    <map measureGroup="54" dimension="5"/>
    <map measureGroup="54" dimension="6"/>
    <map measureGroup="54" dimension="7"/>
    <map measureGroup="54" dimension="8"/>
    <map measureGroup="54" dimension="10"/>
    <map measureGroup="54" dimension="15"/>
    <map measureGroup="54" dimension="16"/>
    <map measureGroup="54" dimension="20"/>
    <map measureGroup="54" dimension="21"/>
    <map measureGroup="54" dimension="26"/>
    <map measureGroup="54" dimension="34"/>
    <map measureGroup="54" dimension="35"/>
    <map measureGroup="54" dimension="47"/>
    <map measureGroup="54" dimension="48"/>
    <map measureGroup="54" dimension="49"/>
    <map measureGroup="54" dimension="53"/>
    <map measureGroup="54" dimension="59"/>
    <map measureGroup="54" dimension="81"/>
    <map measureGroup="54" dimension="82"/>
    <map measureGroup="55" dimension="26"/>
    <map measureGroup="55" dimension="54"/>
    <map measureGroup="56" dimension="9"/>
    <map measureGroup="56" dimension="25"/>
    <map measureGroup="56" dimension="26"/>
    <map measureGroup="56" dimension="36"/>
    <map measureGroup="56" dimension="55"/>
    <map measureGroup="57" dimension="1"/>
    <map measureGroup="57" dimension="2"/>
    <map measureGroup="57" dimension="3"/>
    <map measureGroup="57" dimension="4"/>
    <map measureGroup="57" dimension="5"/>
    <map measureGroup="57" dimension="6"/>
    <map measureGroup="57" dimension="7"/>
    <map measureGroup="57" dimension="8"/>
    <map measureGroup="57" dimension="10"/>
    <map measureGroup="57" dimension="15"/>
    <map measureGroup="57" dimension="16"/>
    <map measureGroup="57" dimension="19"/>
    <map measureGroup="57" dimension="21"/>
    <map measureGroup="57" dimension="26"/>
    <map measureGroup="57" dimension="34"/>
    <map measureGroup="57" dimension="35"/>
    <map measureGroup="57" dimension="45"/>
    <map measureGroup="57" dimension="46"/>
    <map measureGroup="57" dimension="56"/>
    <map measureGroup="57" dimension="59"/>
    <map measureGroup="57" dimension="65"/>
    <map measureGroup="57" dimension="66"/>
    <map measureGroup="57" dimension="67"/>
    <map measureGroup="57" dimension="82"/>
    <map measureGroup="58" dimension="1"/>
    <map measureGroup="58" dimension="2"/>
    <map measureGroup="58" dimension="3"/>
    <map measureGroup="58" dimension="4"/>
    <map measureGroup="58" dimension="5"/>
    <map measureGroup="58" dimension="6"/>
    <map measureGroup="58" dimension="7"/>
    <map measureGroup="58" dimension="8"/>
    <map measureGroup="58" dimension="10"/>
    <map measureGroup="58" dimension="15"/>
    <map measureGroup="58" dimension="16"/>
    <map measureGroup="58" dimension="19"/>
    <map measureGroup="58" dimension="21"/>
    <map measureGroup="58" dimension="26"/>
    <map measureGroup="58" dimension="34"/>
    <map measureGroup="58" dimension="35"/>
    <map measureGroup="58" dimension="45"/>
    <map measureGroup="58" dimension="46"/>
    <map measureGroup="58" dimension="57"/>
    <map measureGroup="58" dimension="59"/>
    <map measureGroup="58" dimension="82"/>
    <map measureGroup="59" dimension="1"/>
    <map measureGroup="59" dimension="2"/>
    <map measureGroup="59" dimension="3"/>
    <map measureGroup="59" dimension="4"/>
    <map measureGroup="59" dimension="5"/>
    <map measureGroup="59" dimension="6"/>
    <map measureGroup="59" dimension="7"/>
    <map measureGroup="59" dimension="8"/>
    <map measureGroup="59" dimension="10"/>
    <map measureGroup="59" dimension="15"/>
    <map measureGroup="59" dimension="16"/>
    <map measureGroup="59" dimension="19"/>
    <map measureGroup="59" dimension="21"/>
    <map measureGroup="59" dimension="23"/>
    <map measureGroup="59" dimension="26"/>
    <map measureGroup="59" dimension="34"/>
    <map measureGroup="59" dimension="35"/>
    <map measureGroup="59" dimension="58"/>
    <map measureGroup="59" dimension="59"/>
    <map measureGroup="59" dimension="82"/>
    <map measureGroup="60" dimension="1"/>
    <map measureGroup="60" dimension="2"/>
    <map measureGroup="60" dimension="3"/>
    <map measureGroup="60" dimension="4"/>
    <map measureGroup="60" dimension="5"/>
    <map measureGroup="60" dimension="6"/>
    <map measureGroup="60" dimension="7"/>
    <map measureGroup="60" dimension="8"/>
    <map measureGroup="60" dimension="10"/>
    <map measureGroup="60" dimension="15"/>
    <map measureGroup="60" dimension="16"/>
    <map measureGroup="60" dimension="21"/>
    <map measureGroup="60" dimension="26"/>
    <map measureGroup="60" dimension="34"/>
    <map measureGroup="60" dimension="35"/>
    <map measureGroup="60" dimension="59"/>
    <map measureGroup="60" dimension="82"/>
    <map measureGroup="61" dimension="1"/>
    <map measureGroup="61" dimension="2"/>
    <map measureGroup="61" dimension="3"/>
    <map measureGroup="61" dimension="4"/>
    <map measureGroup="61" dimension="5"/>
    <map measureGroup="61" dimension="6"/>
    <map measureGroup="61" dimension="7"/>
    <map measureGroup="61" dimension="8"/>
    <map measureGroup="61" dimension="10"/>
    <map measureGroup="61" dimension="15"/>
    <map measureGroup="61" dimension="16"/>
    <map measureGroup="61" dimension="19"/>
    <map measureGroup="61" dimension="21"/>
    <map measureGroup="61" dimension="26"/>
    <map measureGroup="61" dimension="34"/>
    <map measureGroup="61" dimension="35"/>
    <map measureGroup="61" dimension="59"/>
    <map measureGroup="61" dimension="60"/>
    <map measureGroup="61" dimension="82"/>
    <map measureGroup="62" dimension="1"/>
    <map measureGroup="62" dimension="2"/>
    <map measureGroup="62" dimension="3"/>
    <map measureGroup="62" dimension="4"/>
    <map measureGroup="62" dimension="5"/>
    <map measureGroup="62" dimension="6"/>
    <map measureGroup="62" dimension="7"/>
    <map measureGroup="62" dimension="8"/>
    <map measureGroup="62" dimension="10"/>
    <map measureGroup="62" dimension="15"/>
    <map measureGroup="62" dimension="16"/>
    <map measureGroup="62" dimension="21"/>
    <map measureGroup="62" dimension="26"/>
    <map measureGroup="62" dimension="34"/>
    <map measureGroup="62" dimension="35"/>
    <map measureGroup="62" dimension="59"/>
    <map measureGroup="62" dimension="61"/>
    <map measureGroup="62" dimension="82"/>
    <map measureGroup="63" dimension="1"/>
    <map measureGroup="63" dimension="2"/>
    <map measureGroup="63" dimension="3"/>
    <map measureGroup="63" dimension="4"/>
    <map measureGroup="63" dimension="5"/>
    <map measureGroup="63" dimension="6"/>
    <map measureGroup="63" dimension="7"/>
    <map measureGroup="63" dimension="8"/>
    <map measureGroup="63" dimension="10"/>
    <map measureGroup="63" dimension="15"/>
    <map measureGroup="63" dimension="16"/>
    <map measureGroup="63" dimension="18"/>
    <map measureGroup="63" dimension="19"/>
    <map measureGroup="63" dimension="21"/>
    <map measureGroup="63" dimension="26"/>
    <map measureGroup="63" dimension="31"/>
    <map measureGroup="63" dimension="32"/>
    <map measureGroup="63" dimension="34"/>
    <map measureGroup="63" dimension="35"/>
    <map measureGroup="63" dimension="37"/>
    <map measureGroup="63" dimension="38"/>
    <map measureGroup="63" dimension="39"/>
    <map measureGroup="63" dimension="40"/>
    <map measureGroup="63" dimension="59"/>
    <map measureGroup="63" dimension="62"/>
    <map measureGroup="63" dimension="79"/>
    <map measureGroup="63" dimension="82"/>
    <map measureGroup="63" dimension="83"/>
    <map measureGroup="63" dimension="84"/>
    <map measureGroup="63" dimension="85"/>
    <map measureGroup="63" dimension="86"/>
    <map measureGroup="64" dimension="63"/>
    <map measureGroup="65" dimension="65"/>
    <map measureGroup="66" dimension="66"/>
    <map measureGroup="67" dimension="67"/>
    <map measureGroup="68" dimension="68"/>
    <map measureGroup="69" dimension="69"/>
    <map measureGroup="70" dimension="1"/>
    <map measureGroup="70" dimension="2"/>
    <map measureGroup="70" dimension="3"/>
    <map measureGroup="70" dimension="4"/>
    <map measureGroup="70" dimension="5"/>
    <map measureGroup="70" dimension="6"/>
    <map measureGroup="70" dimension="7"/>
    <map measureGroup="70" dimension="8"/>
    <map measureGroup="70" dimension="10"/>
    <map measureGroup="70" dimension="14"/>
    <map measureGroup="70" dimension="15"/>
    <map measureGroup="70" dimension="16"/>
    <map measureGroup="70" dimension="21"/>
    <map measureGroup="70" dimension="24"/>
    <map measureGroup="70" dimension="26"/>
    <map measureGroup="70" dimension="27"/>
    <map measureGroup="70" dimension="28"/>
    <map measureGroup="70" dimension="30"/>
    <map measureGroup="70" dimension="33"/>
    <map measureGroup="70" dimension="34"/>
    <map measureGroup="70" dimension="35"/>
    <map measureGroup="70" dimension="42"/>
    <map measureGroup="70" dimension="43"/>
    <map measureGroup="70" dimension="44"/>
    <map measureGroup="70" dimension="59"/>
    <map measureGroup="70" dimension="70"/>
    <map measureGroup="70" dimension="76"/>
    <map measureGroup="70" dimension="77"/>
    <map measureGroup="70" dimension="82"/>
    <map measureGroup="71" dimension="1"/>
    <map measureGroup="71" dimension="2"/>
    <map measureGroup="71" dimension="3"/>
    <map measureGroup="71" dimension="4"/>
    <map measureGroup="71" dimension="5"/>
    <map measureGroup="71" dimension="6"/>
    <map measureGroup="71" dimension="7"/>
    <map measureGroup="71" dimension="8"/>
    <map measureGroup="71" dimension="10"/>
    <map measureGroup="71" dimension="14"/>
    <map measureGroup="71" dimension="15"/>
    <map measureGroup="71" dimension="16"/>
    <map measureGroup="71" dimension="21"/>
    <map measureGroup="71" dimension="24"/>
    <map measureGroup="71" dimension="26"/>
    <map measureGroup="71" dimension="27"/>
    <map measureGroup="71" dimension="28"/>
    <map measureGroup="71" dimension="30"/>
    <map measureGroup="71" dimension="33"/>
    <map measureGroup="71" dimension="34"/>
    <map measureGroup="71" dimension="35"/>
    <map measureGroup="71" dimension="42"/>
    <map measureGroup="71" dimension="43"/>
    <map measureGroup="71" dimension="44"/>
    <map measureGroup="71" dimension="59"/>
    <map measureGroup="71" dimension="71"/>
    <map measureGroup="71" dimension="76"/>
    <map measureGroup="71" dimension="77"/>
    <map measureGroup="71" dimension="82"/>
    <map measureGroup="72" dimension="1"/>
    <map measureGroup="72" dimension="2"/>
    <map measureGroup="72" dimension="3"/>
    <map measureGroup="72" dimension="4"/>
    <map measureGroup="72" dimension="5"/>
    <map measureGroup="72" dimension="6"/>
    <map measureGroup="72" dimension="7"/>
    <map measureGroup="72" dimension="8"/>
    <map measureGroup="72" dimension="10"/>
    <map measureGroup="72" dimension="14"/>
    <map measureGroup="72" dimension="15"/>
    <map measureGroup="72" dimension="16"/>
    <map measureGroup="72" dimension="21"/>
    <map measureGroup="72" dimension="24"/>
    <map measureGroup="72" dimension="26"/>
    <map measureGroup="72" dimension="27"/>
    <map measureGroup="72" dimension="28"/>
    <map measureGroup="72" dimension="30"/>
    <map measureGroup="72" dimension="33"/>
    <map measureGroup="72" dimension="34"/>
    <map measureGroup="72" dimension="35"/>
    <map measureGroup="72" dimension="42"/>
    <map measureGroup="72" dimension="43"/>
    <map measureGroup="72" dimension="44"/>
    <map measureGroup="72" dimension="59"/>
    <map measureGroup="72" dimension="72"/>
    <map measureGroup="72" dimension="76"/>
    <map measureGroup="72" dimension="77"/>
    <map measureGroup="72" dimension="82"/>
    <map measureGroup="73" dimension="1"/>
    <map measureGroup="73" dimension="2"/>
    <map measureGroup="73" dimension="3"/>
    <map measureGroup="73" dimension="4"/>
    <map measureGroup="73" dimension="5"/>
    <map measureGroup="73" dimension="6"/>
    <map measureGroup="73" dimension="7"/>
    <map measureGroup="73" dimension="8"/>
    <map measureGroup="73" dimension="10"/>
    <map measureGroup="73" dimension="14"/>
    <map measureGroup="73" dimension="15"/>
    <map measureGroup="73" dimension="16"/>
    <map measureGroup="73" dimension="21"/>
    <map measureGroup="73" dimension="24"/>
    <map measureGroup="73" dimension="26"/>
    <map measureGroup="73" dimension="27"/>
    <map measureGroup="73" dimension="28"/>
    <map measureGroup="73" dimension="30"/>
    <map measureGroup="73" dimension="33"/>
    <map measureGroup="73" dimension="34"/>
    <map measureGroup="73" dimension="35"/>
    <map measureGroup="73" dimension="42"/>
    <map measureGroup="73" dimension="43"/>
    <map measureGroup="73" dimension="44"/>
    <map measureGroup="73" dimension="59"/>
    <map measureGroup="73" dimension="73"/>
    <map measureGroup="73" dimension="76"/>
    <map measureGroup="73" dimension="77"/>
    <map measureGroup="73" dimension="82"/>
    <map measureGroup="74" dimension="74"/>
    <map measureGroup="75" dimension="9"/>
    <map measureGroup="75" dimension="75"/>
    <map measureGroup="76" dimension="76"/>
    <map measureGroup="77" dimension="77"/>
    <map measureGroup="78" dimension="1"/>
    <map measureGroup="78" dimension="2"/>
    <map measureGroup="78" dimension="3"/>
    <map measureGroup="78" dimension="4"/>
    <map measureGroup="78" dimension="5"/>
    <map measureGroup="78" dimension="6"/>
    <map measureGroup="78" dimension="7"/>
    <map measureGroup="78" dimension="8"/>
    <map measureGroup="78" dimension="10"/>
    <map measureGroup="78" dimension="15"/>
    <map measureGroup="78" dimension="16"/>
    <map measureGroup="78" dimension="21"/>
    <map measureGroup="78" dimension="26"/>
    <map measureGroup="78" dimension="34"/>
    <map measureGroup="78" dimension="35"/>
    <map measureGroup="78" dimension="59"/>
    <map measureGroup="78" dimension="78"/>
    <map measureGroup="78" dimension="82"/>
    <map measureGroup="79" dimension="79"/>
    <map measureGroup="80" dimension="0"/>
    <map measureGroup="80" dimension="1"/>
    <map measureGroup="80" dimension="2"/>
    <map measureGroup="80" dimension="3"/>
    <map measureGroup="80" dimension="4"/>
    <map measureGroup="80" dimension="5"/>
    <map measureGroup="80" dimension="6"/>
    <map measureGroup="80" dimension="7"/>
    <map measureGroup="80" dimension="8"/>
    <map measureGroup="80" dimension="10"/>
    <map measureGroup="80" dimension="15"/>
    <map measureGroup="80" dimension="16"/>
    <map measureGroup="80" dimension="21"/>
    <map measureGroup="80" dimension="26"/>
    <map measureGroup="80" dimension="34"/>
    <map measureGroup="80" dimension="35"/>
    <map measureGroup="80" dimension="59"/>
    <map measureGroup="80" dimension="80"/>
    <map measureGroup="80" dimension="82"/>
    <map measureGroup="81" dimension="81"/>
    <map measureGroup="82" dimension="82"/>
    <map measureGroup="83" dimension="83"/>
    <map measureGroup="84" dimension="84"/>
    <map measureGroup="85" dimension="85"/>
    <map measureGroup="86" dimension="8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ndy Opdyke" refreshedDate="44267.644327546295" backgroundQuery="1" createdVersion="6" refreshedVersion="6" minRefreshableVersion="3" recordCount="0" supportSubquery="1" supportAdvancedDrill="1" xr:uid="{73BB751F-B544-4174-B0DA-73B9B69CBFBA}">
  <cacheSource type="external" connectionId="2"/>
  <cacheFields count="7">
    <cacheField name="[Range 2 1].[ProgramName].[ProgramName]" caption="ProgramName" numFmtId="0" hierarchy="2" level="1">
      <sharedItems containsSemiMixedTypes="0" containsNonDate="0" containsString="0"/>
    </cacheField>
    <cacheField name="[Range 2 1].[Measure Name].[Measure Name]" caption="Measure Name" numFmtId="0" hierarchy="1" level="1">
      <sharedItems count="3">
        <s v="Advanced Thermostat - Manual Baseline"/>
        <s v="Advanced Thermostat - Programmable Baseline"/>
        <s v="Advanced Thermostat - Unknown Baseline"/>
      </sharedItems>
    </cacheField>
    <cacheField name="[Measures].[Sum of Sum of Quantity 2]" caption="Sum of Sum of Quantity 2" numFmtId="0" hierarchy="32" level="32767"/>
    <cacheField name="[Range 2 1].[HouseholdFactor].[HouseholdFactor]" caption="HouseholdFactor" numFmtId="0" hierarchy="5" level="1">
      <sharedItems count="2">
        <s v="0.65"/>
        <s v="1"/>
      </sharedItems>
    </cacheField>
    <cacheField name="[Measures].[Count of ProjectName 2]" caption="Count of ProjectName 2" numFmtId="0" hierarchy="33" level="32767"/>
    <cacheField name="[Range 2 1].[Program Year].[Program Year]" caption="Program Year" numFmtId="0" level="1">
      <sharedItems containsSemiMixedTypes="0" containsNonDate="0" containsString="0"/>
    </cacheField>
    <cacheField name="Dummy0" numFmtId="0" hierarchy="36" level="32767">
      <extLst>
        <ext xmlns:x14="http://schemas.microsoft.com/office/spreadsheetml/2009/9/main" uri="{63CAB8AC-B538-458d-9737-405883B0398D}">
          <x14:cacheField ignore="1"/>
        </ext>
      </extLst>
    </cacheField>
  </cacheFields>
  <cacheHierarchies count="37">
    <cacheHierarchy uniqueName="[Range 2 1].[Program Year]" caption="Program Year" attribute="1" defaultMemberUniqueName="[Range 2 1].[Program Year].[All]" allUniqueName="[Range 2 1].[Program Year].[All]" dimensionUniqueName="[Range 2 1]" displayFolder="" count="2" memberValueDatatype="130" unbalanced="0">
      <fieldsUsage count="2">
        <fieldUsage x="-1"/>
        <fieldUsage x="5"/>
      </fieldsUsage>
    </cacheHierarchy>
    <cacheHierarchy uniqueName="[Range 2 1].[Measure Name]" caption="Measure Name" attribute="1" defaultMemberUniqueName="[Range 2 1].[Measure Name].[All]" allUniqueName="[Range 2 1].[Measure Name].[All]" dimensionUniqueName="[Range 2 1]" displayFolder="" count="2" memberValueDatatype="130" unbalanced="0">
      <fieldsUsage count="2">
        <fieldUsage x="-1"/>
        <fieldUsage x="1"/>
      </fieldsUsage>
    </cacheHierarchy>
    <cacheHierarchy uniqueName="[Range 2 1].[ProgramName]" caption="ProgramName" attribute="1" defaultMemberUniqueName="[Range 2 1].[ProgramName].[All]" allUniqueName="[Range 2 1].[ProgramName].[All]" dimensionUniqueName="[Range 2 1]" displayFolder="" count="2" memberValueDatatype="130" unbalanced="0">
      <fieldsUsage count="2">
        <fieldUsage x="-1"/>
        <fieldUsage x="0"/>
      </fieldsUsage>
    </cacheHierarchy>
    <cacheHierarchy uniqueName="[Range 2 1].[ProjectName]" caption="ProjectName" attribute="1" defaultMemberUniqueName="[Range 2 1].[ProjectName].[All]" allUniqueName="[Range 2 1].[ProjectName].[All]" dimensionUniqueName="[Range 2 1]" displayFolder="" count="0" memberValueDatatype="130" unbalanced="0"/>
    <cacheHierarchy uniqueName="[Range 2 1].[MeasureName]" caption="MeasureName" attribute="1" defaultMemberUniqueName="[Range 2 1].[MeasureName].[All]" allUniqueName="[Range 2 1].[MeasureName].[All]" dimensionUniqueName="[Range 2 1]" displayFolder="" count="0" memberValueDatatype="130" unbalanced="0"/>
    <cacheHierarchy uniqueName="[Range 2 1].[HouseholdFactor]" caption="HouseholdFactor" attribute="1" defaultMemberUniqueName="[Range 2 1].[HouseholdFactor].[All]" allUniqueName="[Range 2 1].[HouseholdFactor].[All]" dimensionUniqueName="[Range 2 1]" displayFolder="" count="2" memberValueDatatype="130" unbalanced="0">
      <fieldsUsage count="2">
        <fieldUsage x="-1"/>
        <fieldUsage x="3"/>
      </fieldsUsage>
    </cacheHierarchy>
    <cacheHierarchy uniqueName="[Range 2 1].[Sum of Quantity]" caption="Sum of Quantity" attribute="1" defaultMemberUniqueName="[Range 2 1].[Sum of Quantity].[All]" allUniqueName="[Range 2 1].[Sum of Quantity].[All]" dimensionUniqueName="[Range 2 1]" displayFolder="" count="0" memberValueDatatype="20" unbalanced="0"/>
    <cacheHierarchy uniqueName="[Range 2 1].[Sum of NetAnnualThermsMeasure]" caption="Sum of NetAnnualThermsMeasure" attribute="1" defaultMemberUniqueName="[Range 2 1].[Sum of NetAnnualThermsMeasure].[All]" allUniqueName="[Range 2 1].[Sum of NetAnnualThermsMeasure].[All]" dimensionUniqueName="[Range 2 1]" displayFolder="" count="0" memberValueDatatype="5" unbalanced="0"/>
    <cacheHierarchy uniqueName="[Range 2 1].[Sum of ActualProgramDollarCost]" caption="Sum of ActualProgramDollarCost" attribute="1" defaultMemberUniqueName="[Range 2 1].[Sum of ActualProgramDollarCost].[All]" allUniqueName="[Range 2 1].[Sum of ActualProgramDollarCost].[All]" dimensionUniqueName="[Range 2 1]" displayFolder="" count="0" memberValueDatatype="20" unbalanced="0"/>
    <cacheHierarchy uniqueName="[Table1_2].[Program Year]" caption="Program Year" attribute="1" defaultMemberUniqueName="[Table1_2].[Program Year].[All]" allUniqueName="[Table1_2].[Program Year].[All]" dimensionUniqueName="[Table1_2]" displayFolder="" count="0" memberValueDatatype="130" unbalanced="0"/>
    <cacheHierarchy uniqueName="[Table1_2].[ProgramName]" caption="ProgramName" attribute="1" defaultMemberUniqueName="[Table1_2].[ProgramName].[All]" allUniqueName="[Table1_2].[ProgramName].[All]" dimensionUniqueName="[Table1_2]" displayFolder="" count="0" memberValueDatatype="130" unbalanced="0"/>
    <cacheHierarchy uniqueName="[Table1_2].[ProjectName]" caption="ProjectName" attribute="1" defaultMemberUniqueName="[Table1_2].[ProjectName].[All]" allUniqueName="[Table1_2].[ProjectName].[All]" dimensionUniqueName="[Table1_2]" displayFolder="" count="0" memberValueDatatype="130" unbalanced="0"/>
    <cacheHierarchy uniqueName="[Table1_2].[MeasureName]" caption="MeasureName" attribute="1" defaultMemberUniqueName="[Table1_2].[MeasureName].[All]" allUniqueName="[Table1_2].[MeasureName].[All]" dimensionUniqueName="[Table1_2]" displayFolder="" count="0" memberValueDatatype="130" unbalanced="0"/>
    <cacheHierarchy uniqueName="[Table1_2].[Model]" caption="Model" attribute="1" defaultMemberUniqueName="[Table1_2].[Model].[All]" allUniqueName="[Table1_2].[Model].[All]" dimensionUniqueName="[Table1_2]" displayFolder="" count="0" memberValueDatatype="130" unbalanced="0"/>
    <cacheHierarchy uniqueName="[Table1_2].[Count of Measure]" caption="Count of Measure" attribute="1" defaultMemberUniqueName="[Table1_2].[Count of Measure].[All]" allUniqueName="[Table1_2].[Count of Measure].[All]" dimensionUniqueName="[Table1_2]" displayFolder="" count="0" memberValueDatatype="20" unbalanced="0"/>
    <cacheHierarchy uniqueName="[Table1_2].[InputCap]" caption="InputCap" attribute="1" defaultMemberUniqueName="[Table1_2].[InputCap].[All]" allUniqueName="[Table1_2].[InputCap].[All]" dimensionUniqueName="[Table1_2]" displayFolder="" count="0" memberValueDatatype="20" unbalanced="0"/>
    <cacheHierarchy uniqueName="[Table1_2 1].[Program Year]" caption="Program Year" attribute="1" defaultMemberUniqueName="[Table1_2 1].[Program Year].[All]" allUniqueName="[Table1_2 1].[Program Year].[All]" dimensionUniqueName="[Table1_2 1]" displayFolder="" count="0" memberValueDatatype="130" unbalanced="0"/>
    <cacheHierarchy uniqueName="[Table1_2 1].[ProgramName]" caption="ProgramName" attribute="1" defaultMemberUniqueName="[Table1_2 1].[ProgramName].[All]" allUniqueName="[Table1_2 1].[ProgramName].[All]" dimensionUniqueName="[Table1_2 1]" displayFolder="" count="0" memberValueDatatype="130" unbalanced="0"/>
    <cacheHierarchy uniqueName="[Table1_2 1].[ProjectName]" caption="ProjectName" attribute="1" defaultMemberUniqueName="[Table1_2 1].[ProjectName].[All]" allUniqueName="[Table1_2 1].[ProjectName].[All]" dimensionUniqueName="[Table1_2 1]" displayFolder="" count="0" memberValueDatatype="130" unbalanced="0"/>
    <cacheHierarchy uniqueName="[Table1_2 1].[MeasureName]" caption="MeasureName" attribute="1" defaultMemberUniqueName="[Table1_2 1].[MeasureName].[All]" allUniqueName="[Table1_2 1].[MeasureName].[All]" dimensionUniqueName="[Table1_2 1]" displayFolder="" count="0" memberValueDatatype="130" unbalanced="0"/>
    <cacheHierarchy uniqueName="[Table1_2 1].[Model]" caption="Model" attribute="1" defaultMemberUniqueName="[Table1_2 1].[Model].[All]" allUniqueName="[Table1_2 1].[Model].[All]" dimensionUniqueName="[Table1_2 1]" displayFolder="" count="0" memberValueDatatype="130" unbalanced="0"/>
    <cacheHierarchy uniqueName="[Table1_2 1].[Count of Measure]" caption="Count of Measure" attribute="1" defaultMemberUniqueName="[Table1_2 1].[Count of Measure].[All]" allUniqueName="[Table1_2 1].[Count of Measure].[All]" dimensionUniqueName="[Table1_2 1]" displayFolder="" count="0" memberValueDatatype="20" unbalanced="0"/>
    <cacheHierarchy uniqueName="[Table1_2 1].[InputCap]" caption="InputCap" attribute="1" defaultMemberUniqueName="[Table1_2 1].[InputCap].[All]" allUniqueName="[Table1_2 1].[InputCap].[All]" dimensionUniqueName="[Table1_2 1]" displayFolder="" count="0" memberValueDatatype="20" unbalanced="0"/>
    <cacheHierarchy uniqueName="[Measures].[CountBlank]" caption="CountBlank" measure="1" displayFolder="" measureGroup="Table1_2" count="0"/>
    <cacheHierarchy uniqueName="[Measures].[Count]" caption="Count" measure="1" displayFolder="" measureGroup="Table1_2" count="0"/>
    <cacheHierarchy uniqueName="[Measures].[AveInputCap]" caption="AveInputCap" measure="1" displayFolder="" measureGroup="Table1_2" count="0"/>
    <cacheHierarchy uniqueName="[Measures].[__XL_Count Table1_2]" caption="__XL_Count Table1_2" measure="1" displayFolder="" measureGroup="Table1_2" count="0" hidden="1"/>
    <cacheHierarchy uniqueName="[Measures].[__XL_Count Range 2 1]" caption="__XL_Count Range 2 1" measure="1" displayFolder="" measureGroup="Range 2 1" count="0" hidden="1"/>
    <cacheHierarchy uniqueName="[Measures].[__XL_Count Table1_2 1]" caption="__XL_Count Table1_2 1" measure="1" displayFolder="" measureGroup="Table1_2 1" count="0" hidden="1"/>
    <cacheHierarchy uniqueName="[Measures].[__No measures defined]" caption="__No measures defined" measure="1" displayFolder="" count="0" hidden="1"/>
    <cacheHierarchy uniqueName="[Measures].[Count of Model]" caption="Count of Model" measure="1" displayFolder="" measureGroup="Table1_2" count="0" hidden="1">
      <extLst>
        <ext xmlns:x15="http://schemas.microsoft.com/office/spreadsheetml/2010/11/main" uri="{B97F6D7D-B522-45F9-BDA1-12C45D357490}">
          <x15:cacheHierarchy aggregatedColumn="13"/>
        </ext>
      </extLst>
    </cacheHierarchy>
    <cacheHierarchy uniqueName="[Measures].[Sum of InputCap]" caption="Sum of InputCap" measure="1" displayFolder="" measureGroup="Table1_2" count="0" hidden="1">
      <extLst>
        <ext xmlns:x15="http://schemas.microsoft.com/office/spreadsheetml/2010/11/main" uri="{B97F6D7D-B522-45F9-BDA1-12C45D357490}">
          <x15:cacheHierarchy aggregatedColumn="15"/>
        </ext>
      </extLst>
    </cacheHierarchy>
    <cacheHierarchy uniqueName="[Measures].[Sum of Sum of Quantity 2]" caption="Sum of Sum of Quantity 2" measure="1" displayFolder="" measureGroup="Range 2 1" count="0" oneField="1" hidden="1">
      <fieldsUsage count="1">
        <fieldUsage x="2"/>
      </fieldsUsage>
      <extLst>
        <ext xmlns:x15="http://schemas.microsoft.com/office/spreadsheetml/2010/11/main" uri="{B97F6D7D-B522-45F9-BDA1-12C45D357490}">
          <x15:cacheHierarchy aggregatedColumn="6"/>
        </ext>
      </extLst>
    </cacheHierarchy>
    <cacheHierarchy uniqueName="[Measures].[Count of ProjectName 2]" caption="Count of ProjectName 2" measure="1" displayFolder="" measureGroup="Range 2 1" count="0" oneField="1" hidden="1">
      <fieldsUsage count="1">
        <fieldUsage x="4"/>
      </fieldsUsage>
      <extLst>
        <ext xmlns:x15="http://schemas.microsoft.com/office/spreadsheetml/2010/11/main" uri="{B97F6D7D-B522-45F9-BDA1-12C45D357490}">
          <x15:cacheHierarchy aggregatedColumn="3"/>
        </ext>
      </extLst>
    </cacheHierarchy>
    <cacheHierarchy uniqueName="[Measures].[Count of Model 2]" caption="Count of Model 2" measure="1" displayFolder="" measureGroup="Table1_2 1" count="0" hidden="1">
      <extLst>
        <ext xmlns:x15="http://schemas.microsoft.com/office/spreadsheetml/2010/11/main" uri="{B97F6D7D-B522-45F9-BDA1-12C45D357490}">
          <x15:cacheHierarchy aggregatedColumn="20"/>
        </ext>
      </extLst>
    </cacheHierarchy>
    <cacheHierarchy uniqueName="[Measures].[Sum of InputCap 2]" caption="Sum of InputCap 2" measure="1" displayFolder="" measureGroup="Table1_2 1" count="0" hidden="1">
      <extLst>
        <ext xmlns:x15="http://schemas.microsoft.com/office/spreadsheetml/2010/11/main" uri="{B97F6D7D-B522-45F9-BDA1-12C45D357490}">
          <x15:cacheHierarchy aggregatedColumn="22"/>
        </ext>
      </extLst>
    </cacheHierarchy>
    <cacheHierarchy uniqueName="Dummy0" caption="Program Year" measure="1" count="0">
      <extLst>
        <ext xmlns:x14="http://schemas.microsoft.com/office/spreadsheetml/2009/9/main" uri="{8CF416AD-EC4C-4aba-99F5-12A058AE0983}">
          <x14:cacheHierarchy ignore="1"/>
        </ext>
      </extLst>
    </cacheHierarchy>
  </cacheHierarchies>
  <kpis count="0"/>
  <dimensions count="4">
    <dimension measure="1" name="Measures" uniqueName="[Measures]" caption="Measures"/>
    <dimension name="Range 2 1" uniqueName="[Range 2 1]" caption="Range 2 1"/>
    <dimension name="Table1_2" uniqueName="[Table1_2]" caption="Table1_2"/>
    <dimension name="Table1_2 1" uniqueName="[Table1_2 1]" caption="Table1_2 1"/>
  </dimensions>
  <measureGroups count="3">
    <measureGroup name="Range 2 1" caption="Range 2 1"/>
    <measureGroup name="Table1_2" caption="Table1_2"/>
    <measureGroup name="Table1_2 1" caption="Table1_2 1"/>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DCFD1A2-21B3-4BC5-9FB9-C3C15DE7546E}" name="PivotTable4" cacheId="3" applyNumberFormats="0" applyBorderFormats="0" applyFontFormats="0" applyPatternFormats="0" applyAlignmentFormats="0" applyWidthHeightFormats="1" dataCaption="Values" updatedVersion="6" minRefreshableVersion="3" useAutoFormatting="1" subtotalHiddenItems="1" itemPrintTitles="1" createdVersion="6" indent="0" compact="0" compactData="0" multipleFieldFilters="0">
  <location ref="K111:O118" firstHeaderRow="0" firstDataRow="1" firstDataCol="2" rowPageCount="2" colPageCount="1"/>
  <pivotFields count="7">
    <pivotField axis="axisPage" compact="0" allDrilled="1" outline="0" subtotalTop="0" showAll="0" dataSourceSort="1" defaultSubtotal="0" defaultAttributeDrillState="1"/>
    <pivotField axis="axisRow" compact="0" allDrilled="1" outline="0" subtotalTop="0" showAll="0" dataSourceSort="1" defaultSubtotal="0" defaultAttributeDrillState="1">
      <items count="3">
        <item x="0"/>
        <item x="1"/>
        <item x="2"/>
      </items>
    </pivotField>
    <pivotField dataField="1" compact="0" outline="0" subtotalTop="0" showAll="0" defaultSubtotal="0"/>
    <pivotField axis="axisRow" compact="0" allDrilled="1" outline="0" subtotalTop="0" showAll="0" dataSourceSort="1" defaultSubtotal="0" defaultAttributeDrillState="1">
      <items count="2">
        <item x="0"/>
        <item x="1"/>
      </items>
    </pivotField>
    <pivotField dataField="1" compact="0" outline="0" subtotalTop="0" showAll="0" defaultSubtotal="0"/>
    <pivotField axis="axisPage" compact="0" allDrilled="1" outline="0" subtotalTop="0" showAll="0" dataSourceSort="1" defaultSubtotal="0" defaultAttributeDrillState="1"/>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2">
    <field x="1"/>
    <field x="3"/>
  </rowFields>
  <rowItems count="7">
    <i>
      <x/>
      <x/>
    </i>
    <i r="1">
      <x v="1"/>
    </i>
    <i>
      <x v="1"/>
      <x/>
    </i>
    <i r="1">
      <x v="1"/>
    </i>
    <i>
      <x v="2"/>
      <x/>
    </i>
    <i r="1">
      <x v="1"/>
    </i>
    <i t="grand">
      <x/>
    </i>
  </rowItems>
  <colFields count="1">
    <field x="-2"/>
  </colFields>
  <colItems count="3">
    <i>
      <x/>
    </i>
    <i i="1">
      <x v="1"/>
    </i>
    <i i="2">
      <x v="2"/>
    </i>
  </colItems>
  <pageFields count="2">
    <pageField fld="0" hier="2" name="[Range 2 1].[ProgramName].&amp;[HEER Program]" cap="HEER Program"/>
    <pageField fld="5" hier="0" name="[Range 2].[Program Year].&amp;[PY2018]" cap="PY2018"/>
  </pageFields>
  <dataFields count="3">
    <dataField name="Count of Project" fld="4" subtotal="count" baseField="0" baseItem="0"/>
    <dataField name="Quantity" fld="2" baseField="0" baseItem="0"/>
    <dataField name="Sum of Sum of Quantity2" fld="6" showDataAs="percentOfTotal" baseField="3" baseItem="0" numFmtId="10">
      <extLst>
        <ext xmlns:x14="http://schemas.microsoft.com/office/spreadsheetml/2009/9/main" uri="{E15A36E0-9728-4e99-A89B-3F7291B0FE68}">
          <x14:dataField sourceField="2" uniqueName="[__Xl2].[Measures].[Sum of Sum of Quantity]"/>
        </ext>
      </extLst>
    </dataField>
  </dataFields>
  <formats count="1">
    <format dxfId="27">
      <pivotArea outline="0" fieldPosition="0">
        <references count="3">
          <reference field="4294967294" count="1" selected="0">
            <x v="2"/>
          </reference>
          <reference field="1" count="0" selected="0"/>
          <reference field="3" count="0" selected="0"/>
        </references>
      </pivotArea>
    </format>
  </formats>
  <pivotHierarchies count="37">
    <pivotHierarchy multipleItemSelectionAllowed="1" dragToData="1">
      <members count="3" level="1">
        <member name="[Range 2 1].[Program Year].&amp;[PY2018]"/>
        <member name="[Range 2 1].[Program Year].&amp;[PY2019]"/>
        <member name="[Range 2 1].[Program Year].&amp;[PY2020]"/>
      </members>
    </pivotHierarchy>
    <pivotHierarchy dragToData="1"/>
    <pivotHierarchy multipleItemSelectionAllowed="1" dragToData="1">
      <members count="1" level="1">
        <member name="[Range 2 1].[ProgramName].&amp;[HEER Program]"/>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Quantity"/>
    <pivotHierarchy dragToData="1" caption="Count of Project"/>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2">
    <rowHierarchyUsage hierarchyUsage="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HEER Adv Thermostat Data!$A:$I1">
        <x15:activeTabTopLevelEntity name="[Range 2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06E2B0C-26F8-470B-A370-23C1FBE82C0C}" name="PivotTable15" cacheId="0" applyNumberFormats="0" applyBorderFormats="0" applyFontFormats="0" applyPatternFormats="0" applyAlignmentFormats="0" applyWidthHeightFormats="1" dataCaption="Values" updatedVersion="6" minRefreshableVersion="3" useAutoFormatting="1" subtotalHiddenItems="1" itemPrintTitles="1" createdVersion="6" indent="0" compact="0" compactData="0" multipleFieldFilters="0" fieldListSortAscending="1">
  <location ref="B192:V202" firstHeaderRow="1" firstDataRow="3" firstDataCol="1" rowPageCount="7" colPageCount="1"/>
  <pivotFields count="15">
    <pivotField axis="axisPage" compact="0" allDrilled="1" outline="0" subtotalTop="0" showAll="0" dataSourceSort="1" defaultSubtotal="0" defaultAttributeDrillState="1"/>
    <pivotField compact="0" allDrilled="1" outline="0" subtotalTop="0" showAll="0" dataSourceSort="1" defaultSubtotal="0" defaultAttributeDrillState="1"/>
    <pivotField axis="axisPage" compact="0" allDrilled="1" outline="0" subtotalTop="0" showAll="0" dataSourceSort="1" defaultSubtotal="0" defaultAttributeDrillState="1"/>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0">
        <item s="1" x="0"/>
        <item s="1" x="1"/>
        <item s="1" x="2"/>
        <item s="1" x="3"/>
        <item s="1" x="4"/>
        <item s="1" x="5"/>
        <item s="1" x="6"/>
        <item x="7"/>
        <item x="8"/>
        <item x="9"/>
      </items>
      <extLst>
        <ext xmlns:x14="http://schemas.microsoft.com/office/spreadsheetml/2009/9/main" uri="{2946ED86-A175-432a-8AC1-64E0C546D7DE}">
          <x14:pivotField fillDownLabels="1"/>
        </ext>
      </extLst>
    </pivotField>
    <pivotField dataField="1" compact="0" outline="0" subtotalTop="0" showAll="0" defaultSubtotal="0"/>
    <pivotField dataField="1" compact="0" outline="0" subtotalTop="0" showAll="0" defaultSubtotal="0"/>
    <pivotField axis="axisPage" compact="0" allDrilled="1" outline="0" subtotalTop="0" showAll="0" sortType="descending" defaultSubtotal="0" defaultAttributeDrillState="1">
      <items count="3">
        <item s="1" x="2"/>
        <item s="1" x="1"/>
        <item s="1" x="0"/>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dataField="1" compact="0" outline="0" subtotalTop="0" showAll="0" defaultSubtotal="0"/>
    <pivotField axis="axisPage" compact="0" allDrilled="1" outline="0" subtotalTop="0" showAll="0" sortType="descending" defaultSubtotal="0" defaultAttributeDrillState="1"/>
    <pivotField dataField="1" compact="0" outline="0" subtotalTop="0" showAll="0" defaultSubtotal="0"/>
    <pivotField dataField="1" compact="0" outline="0" subtotalTop="0" showAll="0" defaultSubtotal="0"/>
  </pivotFields>
  <rowFields count="1">
    <field x="4"/>
  </rowFields>
  <rowItems count="8">
    <i>
      <x/>
    </i>
    <i>
      <x v="1"/>
    </i>
    <i>
      <x v="2"/>
    </i>
    <i>
      <x v="3"/>
    </i>
    <i>
      <x v="4"/>
    </i>
    <i>
      <x v="5"/>
    </i>
    <i>
      <x v="6"/>
    </i>
    <i t="grand">
      <x/>
    </i>
  </rowItems>
  <colFields count="2">
    <field x="-2"/>
    <field x="8"/>
  </colFields>
  <colItems count="20">
    <i>
      <x/>
      <x/>
    </i>
    <i r="1">
      <x v="1"/>
    </i>
    <i r="1">
      <x v="2"/>
    </i>
    <i i="1">
      <x v="1"/>
      <x/>
    </i>
    <i r="1" i="1">
      <x v="1"/>
    </i>
    <i r="1" i="1">
      <x v="2"/>
    </i>
    <i i="2">
      <x v="2"/>
      <x/>
    </i>
    <i r="1" i="2">
      <x v="1"/>
    </i>
    <i r="1" i="2">
      <x v="2"/>
    </i>
    <i i="3">
      <x v="3"/>
      <x/>
    </i>
    <i r="1" i="3">
      <x v="1"/>
    </i>
    <i r="1" i="3">
      <x v="2"/>
    </i>
    <i i="4">
      <x v="4"/>
      <x/>
    </i>
    <i r="1" i="4">
      <x v="1"/>
    </i>
    <i r="1" i="4">
      <x v="2"/>
    </i>
    <i t="grand">
      <x/>
    </i>
    <i t="grand" i="1">
      <x v="1"/>
    </i>
    <i t="grand" i="2">
      <x v="2"/>
    </i>
    <i t="grand" i="3">
      <x v="3"/>
    </i>
    <i t="grand" i="4">
      <x v="4"/>
    </i>
  </colItems>
  <pageFields count="7">
    <pageField fld="0" hier="626" name="[DimScenario].[Scenario Name].&amp;[Actual]" cap="Actual"/>
    <pageField fld="2" hier="918" name="[FactEEPData].[VariableCostIdentifier].&amp;[No]" cap="No"/>
    <pageField fld="9" hier="441" name="[DimPMTProject].[Program Year].&amp;[PY2018]" cap="PY2018"/>
    <pageField fld="3" hier="344" name="[DimPMTProgram].[Program Acronym].&amp;[IQ]" cap="IQ"/>
    <pageField fld="10" hier="453" name="[DimPMTProject].[PropertySector].[All]" cap="All"/>
    <pageField fld="12" hier="402" name="[DimPMTProject].[JointProject].&amp;" cap=""/>
    <pageField fld="7" hier="448" name="[DimPMTProject].[Project Type].[All]" cap="All"/>
  </pageFields>
  <dataFields count="5">
    <dataField fld="5" baseField="0" baseItem="0"/>
    <dataField fld="6" baseField="0" baseItem="0"/>
    <dataField fld="11" baseField="0" baseItem="0"/>
    <dataField fld="13" baseField="0" baseItem="0"/>
    <dataField fld="14" baseField="0" baseItem="0"/>
  </dataFields>
  <formats count="9">
    <format dxfId="8">
      <pivotArea outline="0" fieldPosition="0">
        <references count="4">
          <reference field="4294967294" count="1" selected="0">
            <x v="1"/>
          </reference>
          <reference field="4" count="1" selected="0">
            <x v="8"/>
          </reference>
          <reference field="7" count="0" selected="0"/>
          <reference field="8" count="1" selected="0">
            <x v="3"/>
          </reference>
        </references>
      </pivotArea>
    </format>
    <format dxfId="7">
      <pivotArea outline="0" fieldPosition="0">
        <references count="4">
          <reference field="4294967294" count="1" selected="0">
            <x v="1"/>
          </reference>
          <reference field="4" count="1" selected="0">
            <x v="9"/>
          </reference>
          <reference field="7" count="0" selected="0"/>
          <reference field="8" count="1" selected="0">
            <x v="3"/>
          </reference>
        </references>
      </pivotArea>
    </format>
    <format dxfId="6">
      <pivotArea outline="0" fieldPosition="0">
        <references count="4">
          <reference field="4294967294" count="1" selected="0">
            <x v="1"/>
          </reference>
          <reference field="4" count="1" selected="0">
            <x v="7"/>
          </reference>
          <reference field="7" count="0" selected="0"/>
          <reference field="8" count="1" selected="0">
            <x v="3"/>
          </reference>
        </references>
      </pivotArea>
    </format>
    <format dxfId="5">
      <pivotArea type="topRight" dataOnly="0" labelOnly="1" outline="0" fieldPosition="0"/>
    </format>
    <format dxfId="4">
      <pivotArea dataOnly="0" labelOnly="1" outline="0" fieldPosition="0">
        <references count="1">
          <reference field="4294967294" count="1">
            <x v="0"/>
          </reference>
        </references>
      </pivotArea>
    </format>
    <format dxfId="3">
      <pivotArea dataOnly="0" labelOnly="1" outline="0" fieldPosition="0">
        <references count="1">
          <reference field="4294967294" count="2">
            <x v="1"/>
            <x v="2"/>
          </reference>
        </references>
      </pivotArea>
    </format>
    <format dxfId="2">
      <pivotArea field="8" dataOnly="0" labelOnly="1" grandCol="1" outline="0" axis="axisCol" fieldPosition="1">
        <references count="1">
          <reference field="4294967294" count="1" selected="0">
            <x v="0"/>
          </reference>
        </references>
      </pivotArea>
    </format>
    <format dxfId="1">
      <pivotArea field="8" dataOnly="0" labelOnly="1" grandCol="1" outline="0" axis="axisCol" fieldPosition="1">
        <references count="1">
          <reference field="4294967294" count="1" selected="0">
            <x v="1"/>
          </reference>
        </references>
      </pivotArea>
    </format>
    <format dxfId="0">
      <pivotArea field="8" dataOnly="0" labelOnly="1" grandCol="1" outline="0" axis="axisCol" fieldPosition="1">
        <references count="1">
          <reference field="4294967294" count="1" selected="0">
            <x v="2"/>
          </reference>
        </references>
      </pivotArea>
    </format>
  </formats>
  <pivotHierarchies count="201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embers count="8" level="1">
        <member name=""/>
        <member name=""/>
        <member name="[DimMeasureGroup].[MeasureGroupName].&amp;[Wall Insulation]"/>
        <member name=""/>
        <member name=""/>
        <member name=""/>
        <member name=""/>
        <member name=""/>
      </members>
    </pivotHierarchy>
    <pivotHierarchy/>
    <pivotHierarchy multipleItemSelectionAllowed="1">
      <members count="1" level="1">
        <member name="[DimMeasureGroup].[ProgramYear].&amp;[PY202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 level="1">
        <member name="[DimPMTProject].[JointProject].&amp;"/>
        <member name="[DimPMTProject].[JointProject].&amp;[Gas only]"/>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3" level="1">
        <member name="[DimPMTProject].[Program Year].&amp;[PY2018]"/>
        <member name="[DimPMTProject].[Program Year].&amp;[PY2019]"/>
        <member name="[DimPMTProject].[Program Year].&amp;[PY2020]"/>
      </members>
    </pivotHierarchy>
    <pivotHierarchy/>
    <pivotHierarchy/>
    <pivotHierarchy/>
    <pivotHierarchy/>
    <pivotHierarchy/>
    <pivotHierarchy/>
    <pivotHierarchy multipleItemSelectionAllowed="1">
      <members count="5" level="1">
        <member name=""/>
        <member name=""/>
        <member name=""/>
        <member name="[DimPMTProject].[Project Type].&amp;[Market Transformation]"/>
        <member name="[DimPMTProject].[Project Type].&amp;[Market Transformation Initiatives]"/>
      </members>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FactEEPData].[VariableCostIdentifier].&amp;[No]"/>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11"/>
  </rowHierarchiesUsage>
  <colHierarchiesUsage count="2">
    <colHierarchyUsage hierarchyUsage="-2"/>
    <colHierarchyUsage hierarchyUsage="291"/>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A790C24-3052-4ED1-8DAC-7526911A0A69}" name="PivotTable16" cacheId="2" applyNumberFormats="0" applyBorderFormats="0" applyFontFormats="0" applyPatternFormats="0" applyAlignmentFormats="0" applyWidthHeightFormats="1" dataCaption="Values" updatedVersion="6" minRefreshableVersion="3" useAutoFormatting="1" subtotalHiddenItems="1" itemPrintTitles="1" createdVersion="6" indent="0" compact="0" compactData="0" multipleFieldFilters="0" fieldListSortAscending="1">
  <location ref="B170:V180" firstHeaderRow="1" firstDataRow="3" firstDataCol="1" rowPageCount="6" colPageCount="1"/>
  <pivotFields count="15">
    <pivotField axis="axisPage" compact="0" allDrilled="1" outline="0" subtotalTop="0" showAll="0" dataSourceSort="1" defaultSubtotal="0" defaultAttributeDrillState="1"/>
    <pivotField compact="0" allDrilled="1" outline="0" subtotalTop="0" showAll="0" dataSourceSort="1" defaultSubtotal="0" defaultAttributeDrillState="1"/>
    <pivotField axis="axisPage" compact="0" allDrilled="1" outline="0" subtotalTop="0" showAll="0" dataSourceSort="1" defaultSubtotal="0" defaultAttributeDrillState="1"/>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0">
        <item s="1" x="0"/>
        <item s="1" x="1"/>
        <item s="1" x="2"/>
        <item s="1" x="3"/>
        <item s="1" x="4"/>
        <item s="1" x="5"/>
        <item s="1" x="6"/>
        <item x="7"/>
        <item x="8"/>
        <item x="9"/>
      </items>
      <extLst>
        <ext xmlns:x14="http://schemas.microsoft.com/office/spreadsheetml/2009/9/main" uri="{2946ED86-A175-432a-8AC1-64E0C546D7DE}">
          <x14:pivotField fillDownLabels="1"/>
        </ext>
      </extLst>
    </pivotField>
    <pivotField dataField="1" compact="0" outline="0" subtotalTop="0" showAll="0" defaultSubtotal="0"/>
    <pivotField dataField="1" compact="0" outline="0" subtotalTop="0" showAll="0" defaultSubtotal="0"/>
    <pivotField axis="axisPage" compact="0" allDrilled="1" outline="0" subtotalTop="0" showAll="0" sortType="descending" defaultSubtotal="0" defaultAttributeDrillState="1">
      <items count="3">
        <item s="1" x="2"/>
        <item s="1" x="1"/>
        <item s="1" x="0"/>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dataField="1" compact="0" outline="0" subtotalTop="0" showAll="0" defaultSubtotal="0"/>
    <pivotField compact="0" allDrilled="1" outline="0" subtotalTop="0" showAll="0" sortType="descending" defaultSubtotal="0" defaultAttributeDrillState="1">
      <items count="2">
        <item x="1"/>
        <item x="0"/>
      </items>
    </pivotField>
    <pivotField dataField="1" compact="0" outline="0" subtotalTop="0" showAll="0" defaultSubtotal="0"/>
    <pivotField dataField="1" compact="0" outline="0" subtotalTop="0" showAll="0" defaultSubtotal="0"/>
  </pivotFields>
  <rowFields count="1">
    <field x="4"/>
  </rowFields>
  <rowItems count="8">
    <i>
      <x/>
    </i>
    <i>
      <x v="1"/>
    </i>
    <i>
      <x v="2"/>
    </i>
    <i>
      <x v="3"/>
    </i>
    <i>
      <x v="4"/>
    </i>
    <i>
      <x v="5"/>
    </i>
    <i>
      <x v="6"/>
    </i>
    <i t="grand">
      <x/>
    </i>
  </rowItems>
  <colFields count="2">
    <field x="-2"/>
    <field x="8"/>
  </colFields>
  <colItems count="20">
    <i>
      <x/>
      <x/>
    </i>
    <i r="1">
      <x v="1"/>
    </i>
    <i r="1">
      <x v="2"/>
    </i>
    <i i="1">
      <x v="1"/>
      <x/>
    </i>
    <i r="1" i="1">
      <x v="1"/>
    </i>
    <i r="1" i="1">
      <x v="2"/>
    </i>
    <i i="2">
      <x v="2"/>
      <x/>
    </i>
    <i r="1" i="2">
      <x v="1"/>
    </i>
    <i r="1" i="2">
      <x v="2"/>
    </i>
    <i i="3">
      <x v="3"/>
      <x/>
    </i>
    <i r="1" i="3">
      <x v="1"/>
    </i>
    <i r="1" i="3">
      <x v="2"/>
    </i>
    <i i="4">
      <x v="4"/>
      <x/>
    </i>
    <i r="1" i="4">
      <x v="1"/>
    </i>
    <i r="1" i="4">
      <x v="2"/>
    </i>
    <i t="grand">
      <x/>
    </i>
    <i t="grand" i="1">
      <x v="1"/>
    </i>
    <i t="grand" i="2">
      <x v="2"/>
    </i>
    <i t="grand" i="3">
      <x v="3"/>
    </i>
    <i t="grand" i="4">
      <x v="4"/>
    </i>
  </colItems>
  <pageFields count="6">
    <pageField fld="0" hier="626" name="[DimScenario].[Scenario Name].&amp;[Actual]" cap="Actual"/>
    <pageField fld="2" hier="918" name="[FactEEPData].[VariableCostIdentifier].&amp;[No]" cap="No"/>
    <pageField fld="9" hier="441" name="[DimPMTProject].[Program Year].&amp;[PY2018]" cap="PY2018"/>
    <pageField fld="3" hier="344" name="[DimPMTProgram].[Program Acronym].&amp;[IQ]" cap="IQ"/>
    <pageField fld="10" hier="453" name="[DimPMTProject].[PropertySector].[All]" cap="All"/>
    <pageField fld="7" hier="448" name="[DimPMTProject].[Project Type].[All]" cap="All"/>
  </pageFields>
  <dataFields count="5">
    <dataField fld="5" baseField="0" baseItem="0"/>
    <dataField fld="6" baseField="0" baseItem="0"/>
    <dataField fld="11" baseField="0" baseItem="0"/>
    <dataField fld="13" baseField="0" baseItem="0"/>
    <dataField fld="14" baseField="0" baseItem="0"/>
  </dataFields>
  <formats count="9">
    <format dxfId="17">
      <pivotArea outline="0" fieldPosition="0">
        <references count="4">
          <reference field="4294967294" count="1" selected="0">
            <x v="1"/>
          </reference>
          <reference field="4" count="1" selected="0">
            <x v="8"/>
          </reference>
          <reference field="7" count="0" selected="0"/>
          <reference field="8" count="1" selected="0">
            <x v="3"/>
          </reference>
        </references>
      </pivotArea>
    </format>
    <format dxfId="16">
      <pivotArea outline="0" fieldPosition="0">
        <references count="4">
          <reference field="4294967294" count="1" selected="0">
            <x v="1"/>
          </reference>
          <reference field="4" count="1" selected="0">
            <x v="9"/>
          </reference>
          <reference field="7" count="0" selected="0"/>
          <reference field="8" count="1" selected="0">
            <x v="3"/>
          </reference>
        </references>
      </pivotArea>
    </format>
    <format dxfId="15">
      <pivotArea outline="0" fieldPosition="0">
        <references count="4">
          <reference field="4294967294" count="1" selected="0">
            <x v="1"/>
          </reference>
          <reference field="4" count="1" selected="0">
            <x v="7"/>
          </reference>
          <reference field="7" count="0" selected="0"/>
          <reference field="8" count="1" selected="0">
            <x v="3"/>
          </reference>
        </references>
      </pivotArea>
    </format>
    <format dxfId="14">
      <pivotArea type="topRight" dataOnly="0" labelOnly="1" outline="0" fieldPosition="0"/>
    </format>
    <format dxfId="13">
      <pivotArea dataOnly="0" labelOnly="1" outline="0" fieldPosition="0">
        <references count="1">
          <reference field="4294967294" count="1">
            <x v="0"/>
          </reference>
        </references>
      </pivotArea>
    </format>
    <format dxfId="12">
      <pivotArea dataOnly="0" labelOnly="1" outline="0" fieldPosition="0">
        <references count="1">
          <reference field="4294967294" count="2">
            <x v="1"/>
            <x v="2"/>
          </reference>
        </references>
      </pivotArea>
    </format>
    <format dxfId="11">
      <pivotArea field="8" dataOnly="0" labelOnly="1" grandCol="1" outline="0" axis="axisCol" fieldPosition="1">
        <references count="1">
          <reference field="4294967294" count="1" selected="0">
            <x v="0"/>
          </reference>
        </references>
      </pivotArea>
    </format>
    <format dxfId="10">
      <pivotArea field="8" dataOnly="0" labelOnly="1" grandCol="1" outline="0" axis="axisCol" fieldPosition="1">
        <references count="1">
          <reference field="4294967294" count="1" selected="0">
            <x v="1"/>
          </reference>
        </references>
      </pivotArea>
    </format>
    <format dxfId="9">
      <pivotArea field="8" dataOnly="0" labelOnly="1" grandCol="1" outline="0" axis="axisCol" fieldPosition="1">
        <references count="1">
          <reference field="4294967294" count="1" selected="0">
            <x v="2"/>
          </reference>
        </references>
      </pivotArea>
    </format>
  </formats>
  <pivotHierarchies count="201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embers count="8" level="1">
        <member name=""/>
        <member name=""/>
        <member name="[DimMeasureGroup].[MeasureGroupName].&amp;[Wall Insulation]"/>
        <member name=""/>
        <member name=""/>
        <member name=""/>
        <member name=""/>
        <member name=""/>
      </members>
    </pivotHierarchy>
    <pivotHierarchy/>
    <pivotHierarchy multipleItemSelectionAllowed="1">
      <members count="1" level="1">
        <member name="[DimMeasureGroup].[ProgramYear].&amp;[PY202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3" level="1">
        <member name="[DimPMTProject].[Program Year].&amp;[PY2018]"/>
        <member name="[DimPMTProject].[Program Year].&amp;[PY2019]"/>
        <member name="[DimPMTProject].[Program Year].&amp;[PY2020]"/>
      </members>
    </pivotHierarchy>
    <pivotHierarchy/>
    <pivotHierarchy/>
    <pivotHierarchy/>
    <pivotHierarchy/>
    <pivotHierarchy/>
    <pivotHierarchy/>
    <pivotHierarchy multipleItemSelectionAllowed="1">
      <members count="5" level="1">
        <member name=""/>
        <member name=""/>
        <member name=""/>
        <member name="[DimPMTProject].[Project Type].&amp;[Market Transformation]"/>
        <member name="[DimPMTProject].[Project Type].&amp;[Market Transformation Initiatives]"/>
      </members>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FactEEPData].[VariableCostIdentifier].&amp;[No]"/>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11"/>
  </rowHierarchiesUsage>
  <colHierarchiesUsage count="2">
    <colHierarchyUsage hierarchyUsage="-2"/>
    <colHierarchyUsage hierarchyUsage="291"/>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880A250-5928-40D7-9F9C-C5174BF6F72C}" name="PivotTable17" cacheId="1" applyNumberFormats="0" applyBorderFormats="0" applyFontFormats="0" applyPatternFormats="0" applyAlignmentFormats="0" applyWidthHeightFormats="1" dataCaption="Values" updatedVersion="6" minRefreshableVersion="3" useAutoFormatting="1" subtotalHiddenItems="1" itemPrintTitles="1" createdVersion="6" indent="0" compact="0" compactData="0" multipleFieldFilters="0" fieldListSortAscending="1">
  <location ref="B215:W227" firstHeaderRow="1" firstDataRow="3" firstDataCol="2" rowPageCount="5" colPageCount="1"/>
  <pivotFields count="15">
    <pivotField axis="axisPage" compact="0" allDrilled="1" outline="0" subtotalTop="0" showAll="0" dataSourceSort="1" defaultSubtotal="0" defaultAttributeDrillState="1"/>
    <pivotField compact="0" allDrilled="1" outline="0" subtotalTop="0" showAll="0" dataSourceSort="1" defaultSubtotal="0" defaultAttributeDrillState="1"/>
    <pivotField axis="axisPage" compact="0" allDrilled="1" outline="0" subtotalTop="0" showAll="0" dataSourceSort="1" defaultSubtotal="0" defaultAttributeDrillState="1"/>
    <pivotField axis="axisPage" compact="0" allDrilled="1" outline="0" subtotalTop="0" showAll="0" dataSourceSort="1" defaultSubtotal="0" defaultAttributeDrillState="1">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7">
        <item s="1" x="0"/>
        <item s="1" x="1"/>
        <item s="1" x="2"/>
        <item s="1" x="3"/>
        <item x="4"/>
        <item x="5"/>
        <item x="6"/>
      </items>
      <extLst>
        <ext xmlns:x14="http://schemas.microsoft.com/office/spreadsheetml/2009/9/main" uri="{2946ED86-A175-432a-8AC1-64E0C546D7DE}">
          <x14:pivotField fillDownLabels="1"/>
        </ext>
      </extLst>
    </pivotField>
    <pivotField dataField="1" compact="0" outline="0" subtotalTop="0" showAll="0" defaultSubtotal="0"/>
    <pivotField dataField="1" compact="0" outline="0" subtotalTop="0" showAll="0" defaultSubtotal="0"/>
    <pivotField axis="axisRow" compact="0" allDrilled="1" outline="0" subtotalTop="0" showAll="0" sortType="descending" defaultSubtotal="0" defaultAttributeDrillState="1">
      <items count="3">
        <item s="1" x="2"/>
        <item s="1" x="1"/>
        <item s="1" x="0"/>
      </items>
      <extLst>
        <ext xmlns:x14="http://schemas.microsoft.com/office/spreadsheetml/2009/9/main" uri="{2946ED86-A175-432a-8AC1-64E0C546D7DE}">
          <x14:pivotField fillDownLabels="1"/>
        </ext>
      </extLst>
    </pivotField>
    <pivotField axis="axisCol" compact="0" allDrilled="1" outline="0" subtotalTop="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dataField="1" compact="0" outline="0" subtotalTop="0" showAll="0" defaultSubtotal="0"/>
    <pivotField compact="0" allDrilled="1" outline="0" subtotalTop="0" showAll="0" sortType="descending" defaultSubtotal="0" defaultAttributeDrillState="1">
      <items count="2">
        <item x="1"/>
        <item x="0"/>
      </items>
    </pivotField>
    <pivotField dataField="1" compact="0" outline="0" subtotalTop="0" showAll="0" defaultSubtotal="0"/>
    <pivotField dataField="1" compact="0" outline="0" subtotalTop="0" showAll="0" defaultSubtotal="0"/>
  </pivotFields>
  <rowFields count="2">
    <field x="7"/>
    <field x="4"/>
  </rowFields>
  <rowItems count="10">
    <i>
      <x/>
      <x/>
    </i>
    <i r="1">
      <x v="1"/>
    </i>
    <i r="1">
      <x v="2"/>
    </i>
    <i>
      <x v="1"/>
      <x/>
    </i>
    <i r="1">
      <x v="1"/>
    </i>
    <i r="1">
      <x v="2"/>
    </i>
    <i r="1">
      <x v="3"/>
    </i>
    <i>
      <x v="2"/>
      <x/>
    </i>
    <i r="1">
      <x v="1"/>
    </i>
    <i t="grand">
      <x/>
    </i>
  </rowItems>
  <colFields count="2">
    <field x="-2"/>
    <field x="8"/>
  </colFields>
  <colItems count="20">
    <i>
      <x/>
      <x/>
    </i>
    <i r="1">
      <x v="1"/>
    </i>
    <i r="1">
      <x v="2"/>
    </i>
    <i i="1">
      <x v="1"/>
      <x/>
    </i>
    <i r="1" i="1">
      <x v="1"/>
    </i>
    <i r="1" i="1">
      <x v="2"/>
    </i>
    <i i="2">
      <x v="2"/>
      <x/>
    </i>
    <i r="1" i="2">
      <x v="1"/>
    </i>
    <i r="1" i="2">
      <x v="2"/>
    </i>
    <i i="3">
      <x v="3"/>
      <x/>
    </i>
    <i r="1" i="3">
      <x v="1"/>
    </i>
    <i r="1" i="3">
      <x v="2"/>
    </i>
    <i i="4">
      <x v="4"/>
      <x/>
    </i>
    <i r="1" i="4">
      <x v="1"/>
    </i>
    <i r="1" i="4">
      <x v="2"/>
    </i>
    <i t="grand">
      <x/>
    </i>
    <i t="grand" i="1">
      <x v="1"/>
    </i>
    <i t="grand" i="2">
      <x v="2"/>
    </i>
    <i t="grand" i="3">
      <x v="3"/>
    </i>
    <i t="grand" i="4">
      <x v="4"/>
    </i>
  </colItems>
  <pageFields count="5">
    <pageField fld="0" hier="626" name="[DimScenario].[Scenario Name].&amp;[Actual]" cap="Actual"/>
    <pageField fld="2" hier="918" name="[FactEEPData].[VariableCostIdentifier].&amp;[No]" cap="No"/>
    <pageField fld="9" hier="441" name="[DimPMTProject].[Program Year].&amp;[PY2018]" cap="PY2018"/>
    <pageField fld="3" hier="344" name="[DimPMTProgram].[Program Acronym].&amp;[IQ]" cap="IQ"/>
    <pageField fld="10" hier="453" name="[DimPMTProject].[PropertySector].[All]" cap="All"/>
  </pageFields>
  <dataFields count="5">
    <dataField fld="5" baseField="0" baseItem="0"/>
    <dataField fld="6" baseField="0" baseItem="0"/>
    <dataField fld="11" baseField="0" baseItem="0"/>
    <dataField fld="13" baseField="0" baseItem="0"/>
    <dataField fld="14" baseField="0" baseItem="0"/>
  </dataFields>
  <formats count="9">
    <format dxfId="26">
      <pivotArea outline="0" fieldPosition="0">
        <references count="4">
          <reference field="4294967294" count="1" selected="0">
            <x v="1"/>
          </reference>
          <reference field="4" count="1" selected="0">
            <x v="5"/>
          </reference>
          <reference field="7" count="0" selected="0"/>
          <reference field="8" count="1" selected="0">
            <x v="3"/>
          </reference>
        </references>
      </pivotArea>
    </format>
    <format dxfId="25">
      <pivotArea outline="0" fieldPosition="0">
        <references count="4">
          <reference field="4294967294" count="1" selected="0">
            <x v="1"/>
          </reference>
          <reference field="4" count="1" selected="0">
            <x v="6"/>
          </reference>
          <reference field="7" count="0" selected="0"/>
          <reference field="8" count="1" selected="0">
            <x v="3"/>
          </reference>
        </references>
      </pivotArea>
    </format>
    <format dxfId="24">
      <pivotArea outline="0" fieldPosition="0">
        <references count="4">
          <reference field="4294967294" count="1" selected="0">
            <x v="1"/>
          </reference>
          <reference field="4" count="1" selected="0">
            <x v="4"/>
          </reference>
          <reference field="7" count="0" selected="0"/>
          <reference field="8" count="1" selected="0">
            <x v="3"/>
          </reference>
        </references>
      </pivotArea>
    </format>
    <format dxfId="23">
      <pivotArea type="topRight" dataOnly="0" labelOnly="1" outline="0" fieldPosition="0"/>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2">
            <x v="1"/>
            <x v="2"/>
          </reference>
        </references>
      </pivotArea>
    </format>
    <format dxfId="20">
      <pivotArea field="8" dataOnly="0" labelOnly="1" grandCol="1" outline="0" axis="axisCol" fieldPosition="1">
        <references count="1">
          <reference field="4294967294" count="1" selected="0">
            <x v="0"/>
          </reference>
        </references>
      </pivotArea>
    </format>
    <format dxfId="19">
      <pivotArea field="8" dataOnly="0" labelOnly="1" grandCol="1" outline="0" axis="axisCol" fieldPosition="1">
        <references count="1">
          <reference field="4294967294" count="1" selected="0">
            <x v="1"/>
          </reference>
        </references>
      </pivotArea>
    </format>
    <format dxfId="18">
      <pivotArea field="8" dataOnly="0" labelOnly="1" grandCol="1" outline="0" axis="axisCol" fieldPosition="1">
        <references count="1">
          <reference field="4294967294" count="1" selected="0">
            <x v="2"/>
          </reference>
        </references>
      </pivotArea>
    </format>
  </formats>
  <pivotHierarchies count="201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embers count="8" level="1">
        <member name=""/>
        <member name=""/>
        <member name="[DimMeasureGroup].[MeasureGroupName].&amp;[Wall Insulation]"/>
        <member name=""/>
        <member name="[DimMeasureGroup].[MeasureGroupName].&amp;[Wall Insulation SF]"/>
        <member name="[DimMeasureGroup].[MeasureGroupName].&amp;[Rim/Band Joist Insulation]"/>
        <member name=""/>
        <member name="[DimMeasureGroup].[MeasureGroupName].&amp;[Floor Insulation Above Crawlspace]"/>
      </members>
    </pivotHierarchy>
    <pivotHierarchy/>
    <pivotHierarchy multipleItemSelectionAllowed="1">
      <members count="1" level="1">
        <member name="[DimMeasureGroup].[ProgramYear].&amp;[PY202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3" level="1">
        <member name="[DimPMTProject].[Program Year].&amp;[PY2018]"/>
        <member name="[DimPMTProject].[Program Year].&amp;[PY2019]"/>
        <member name="[DimPMTProject].[Program Year].&amp;[PY2020]"/>
      </members>
    </pivotHierarchy>
    <pivotHierarchy/>
    <pivotHierarchy/>
    <pivotHierarchy/>
    <pivotHierarchy/>
    <pivotHierarchy/>
    <pivotHierarchy/>
    <pivotHierarchy multipleItemSelectionAllowed="1">
      <members count="6" level="1">
        <member name=""/>
        <member name=""/>
        <member name="[DimPMTProject].[Project Type].&amp;[Weatherization - SF]"/>
        <member name=""/>
        <member name="[DimPMTProject].[Project Type].&amp;[Market Transformation]"/>
        <member name="[DimPMTProject].[Project Type].&amp;[Market Transformation Initiatives]"/>
      </members>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FactEEPData].[VariableCostIdentifier].&amp;[No]"/>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448"/>
    <rowHierarchyUsage hierarchyUsage="311"/>
  </rowHierarchiesUsage>
  <colHierarchiesUsage count="2">
    <colHierarchyUsage hierarchyUsage="-2"/>
    <colHierarchyUsage hierarchyUsage="291"/>
  </colHierarchiesUsage>
  <extLst>
    <ext xmlns:x14="http://schemas.microsoft.com/office/spreadsheetml/2009/9/main" uri="{962EF5D1-5CA2-4c93-8EF4-DBF5C05439D2}">
      <x14:pivotTableDefinition xmlns:xm="http://schemas.microsoft.com/office/excel/2006/main" calculatedMembersInFilters="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1-10-20T20:14:55.02" personId="{89780F47-0001-482C-B985-C056024FEA05}" id="{55E351B0-87D6-4D7E-AB08-AB5F065F6C14}">
    <text>Using Standard inputs for planning model</text>
  </threadedComment>
</ThreadedComments>
</file>

<file path=xl/threadedComments/threadedComment10.xml><?xml version="1.0" encoding="utf-8"?>
<ThreadedComments xmlns="http://schemas.microsoft.com/office/spreadsheetml/2018/threadedcomments" xmlns:x="http://schemas.openxmlformats.org/spreadsheetml/2006/main">
  <threadedComment ref="R278" dT="2020-02-12T19:30:29.78" personId="{3CA68B2A-CFB6-4D76-8B94-D5D34B59C16F}" id="{E81B678D-301B-4C1F-ACD8-FD71FFE9EC91}">
    <text>SF: 6.44 ; MF: 4.65</text>
  </threadedComment>
</ThreadedComments>
</file>

<file path=xl/threadedComments/threadedComment2.xml><?xml version="1.0" encoding="utf-8"?>
<ThreadedComments xmlns="http://schemas.microsoft.com/office/spreadsheetml/2018/threadedcomments" xmlns:x="http://schemas.openxmlformats.org/spreadsheetml/2006/main">
  <threadedComment ref="G4" personId="{4DB91E4F-505F-4B3C-96F0-DCC5D9A869CD}" id="{D4423C7B-ADD3-4BF1-9979-89ECD7B4A028}">
    <text>Custom Input</text>
  </threadedComment>
  <threadedComment ref="G5" personId="{4DB91E4F-505F-4B3C-96F0-DCC5D9A869CD}" id="{82C08AB2-DAA1-4A59-9505-B62CAFBC75DE}">
    <text>Custom Input</text>
  </threadedComment>
  <threadedComment ref="G6" personId="{4DB91E4F-505F-4B3C-96F0-DCC5D9A869CD}" id="{F6F8174E-F7BA-4AD9-9916-AFCDC851A4EF}">
    <text>Custom Input</text>
  </threadedComment>
  <threadedComment ref="G7" personId="{4DB91E4F-505F-4B3C-96F0-DCC5D9A869CD}" id="{22B2F07A-E228-4B53-A808-FA45E229035D}">
    <text>Custom Input</text>
  </threadedComment>
  <threadedComment ref="G8" personId="{4DB91E4F-505F-4B3C-96F0-DCC5D9A869CD}" id="{5D006E7E-E016-4184-91CE-F0B60E2867E1}">
    <text>Custom Input</text>
  </threadedComment>
</ThreadedComments>
</file>

<file path=xl/threadedComments/threadedComment3.xml><?xml version="1.0" encoding="utf-8"?>
<ThreadedComments xmlns="http://schemas.microsoft.com/office/spreadsheetml/2018/threadedcomments" xmlns:x="http://schemas.openxmlformats.org/spreadsheetml/2006/main">
  <threadedComment ref="H3" personId="{3CA68B2A-CFB6-4D76-8B94-D5D34B59C16F}" id="{23BB5B6F-23F0-4B75-A5BF-324148B59ADC}">
    <text>It should be custom input. Double check participation data.</text>
  </threadedComment>
  <threadedComment ref="H3" dT="2020-04-21T17:24:48.21" personId="{3CA68B2A-CFB6-4D76-8B94-D5D34B59C16F}" id="{939D6249-1C76-4710-B05C-66AD36F22DAC}" parentId="{23BB5B6F-23F0-4B75-A5BF-324148B59ADC}">
    <text>Refer to "C&amp;I Furnace and Boiler Btuh Research_BL" file under "Custom TRM v.9" folder</text>
  </threadedComment>
  <threadedComment ref="F49" personId="{3CA68B2A-CFB6-4D76-8B94-D5D34B59C16F}" id="{4CBEF855-DFB1-419D-8391-F6637986CE0B}">
    <text>Deleted default values from TRM, actual value must be used in algorithm. Double check participation data to see if it requires already, otherwise those values are required by IC.</text>
  </threadedComment>
  <threadedComment ref="B88" personId="{C0AC00F1-DB68-419F-920B-D0E961E2FFAC}" id="{5EAC8583-225D-4947-8C29-54F79C4E0A20}">
    <text>VEIC will check these numbers again</text>
  </threadedComment>
</ThreadedComments>
</file>

<file path=xl/threadedComments/threadedComment4.xml><?xml version="1.0" encoding="utf-8"?>
<ThreadedComments xmlns="http://schemas.microsoft.com/office/spreadsheetml/2018/threadedcomments" xmlns:x="http://schemas.openxmlformats.org/spreadsheetml/2006/main">
  <threadedComment ref="B10" dT="2021-01-15T21:12:29.56" personId="{3E924319-7148-4681-95A1-DA04D6820A32}" id="{E0B60812-F56D-4004-A730-653A0682D23B}">
    <text>Guidehouse updated this value from 12 to 15 per IL TRM v9.0.</text>
  </threadedComment>
</ThreadedComments>
</file>

<file path=xl/threadedComments/threadedComment5.xml><?xml version="1.0" encoding="utf-8"?>
<ThreadedComments xmlns="http://schemas.microsoft.com/office/spreadsheetml/2018/threadedcomments" xmlns:x="http://schemas.openxmlformats.org/spreadsheetml/2006/main">
  <threadedComment ref="H51" dT="2021-01-08T19:47:08.56" personId="{3E924319-7148-4681-95A1-DA04D6820A32}" id="{D46BE4D8-F291-4676-BBD1-B5444641D540}">
    <text>In v9, this is 18.5</text>
  </threadedComment>
  <threadedComment ref="I51" dT="2021-01-08T20:05:02.94" personId="{3E924319-7148-4681-95A1-DA04D6820A32}" id="{4C53A02C-CE46-4E1B-B726-1B56CBC88B7C}">
    <text>This also looks like it should be updated.</text>
  </threadedComment>
  <threadedComment ref="E87" dT="2021-01-11T15:13:50.63" personId="{3E924319-7148-4681-95A1-DA04D6820A32}" id="{CFCF32B3-18E2-48A3-B535-5CCDAC06D464}">
    <text>This variable is not in TRM v9.0. What is the source?</text>
  </threadedComment>
  <threadedComment ref="G87" dT="2021-01-11T15:13:24.03" personId="{3E924319-7148-4681-95A1-DA04D6820A32}" id="{820D7B7F-2741-4AE2-87D2-5295DB720D5E}">
    <text>This should be eta_B according to conventions in TRM v9.0</text>
  </threadedComment>
</ThreadedComments>
</file>

<file path=xl/threadedComments/threadedComment6.xml><?xml version="1.0" encoding="utf-8"?>
<ThreadedComments xmlns="http://schemas.microsoft.com/office/spreadsheetml/2018/threadedcomments" xmlns:x="http://schemas.openxmlformats.org/spreadsheetml/2006/main">
  <threadedComment ref="G81" personId="{9BD296EA-B556-498B-87F3-AEA4E7B66B41}" id="{673BB76F-4858-4AA2-8B8E-6B5950B4CDD5}">
    <text xml:space="preserve">upper bound of TRM assumption
</text>
  </threadedComment>
  <threadedComment ref="G82" personId="{9BD296EA-B556-498B-87F3-AEA4E7B66B41}" id="{CA439481-C792-42C2-A9A3-4CCBCC25B72D}">
    <text xml:space="preserve">upper bound of TRM assumption
</text>
  </threadedComment>
  <threadedComment ref="A85" personId="{9BD296EA-B556-498B-87F3-AEA4E7B66B41}" id="{D0EC2BA4-7926-4A97-9A9D-ECF277A2FCD3}">
    <text>Calculated average for planning values</text>
  </threadedComment>
</ThreadedComments>
</file>

<file path=xl/threadedComments/threadedComment7.xml><?xml version="1.0" encoding="utf-8"?>
<ThreadedComments xmlns="http://schemas.microsoft.com/office/spreadsheetml/2018/threadedcomments" xmlns:x="http://schemas.openxmlformats.org/spreadsheetml/2006/main">
  <threadedComment ref="L4" dT="2020-07-29T14:40:13.21" personId="{3CA68B2A-CFB6-4D76-8B94-D5D34B59C16F}" id="{36B0A889-CAC3-4DEE-AC7F-DDF17AA3099E}">
    <text>custom input</text>
  </threadedComment>
</ThreadedComments>
</file>

<file path=xl/threadedComments/threadedComment8.xml><?xml version="1.0" encoding="utf-8"?>
<ThreadedComments xmlns="http://schemas.microsoft.com/office/spreadsheetml/2018/threadedcomments" xmlns:x="http://schemas.openxmlformats.org/spreadsheetml/2006/main">
  <threadedComment ref="J4" dT="2020-07-29T16:10:17.01" personId="{3CA68B2A-CFB6-4D76-8B94-D5D34B59C16F}" id="{89145DAF-6E7E-4FF3-94DB-609438EEF05D}">
    <text>Custom Input</text>
  </threadedComment>
</ThreadedComments>
</file>

<file path=xl/threadedComments/threadedComment9.xml><?xml version="1.0" encoding="utf-8"?>
<ThreadedComments xmlns="http://schemas.microsoft.com/office/spreadsheetml/2018/threadedcomments" xmlns:x="http://schemas.openxmlformats.org/spreadsheetml/2006/main">
  <threadedComment ref="AC3" dT="2022-01-27T22:27:38.98" personId="{E3AE3ED0-2564-40F6-832F-9555D42DA854}" id="{AA038127-CEE3-46F1-896C-E0A3E7BDDFE8}">
    <text>assuming 2/3rd is vertical length</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4"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energystar.gov/sites/default/files/Commercial%20Ovens%20Final%20Version%202.2%20Specification.pdf" TargetMode="External"/><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5" Type="http://schemas.openxmlformats.org/officeDocument/2006/relationships/drawing" Target="../drawings/drawing5.xml"/><Relationship Id="rId4" Type="http://schemas.openxmlformats.org/officeDocument/2006/relationships/printerSettings" Target="../printerSettings/printerSettings50.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6.bin"/><Relationship Id="rId4" Type="http://schemas.microsoft.com/office/2017/10/relationships/threadedComment" Target="../threadedComments/threadedComment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9.bin"/><Relationship Id="rId1" Type="http://schemas.openxmlformats.org/officeDocument/2006/relationships/hyperlink" Target="file:///C:\ksimkins\AppData\Roaming\Microsoft\Excel\Notes%20with%20CR%20-%20Custom%20TRM%20V5\Copy%20of%20Nicor%20Commercial%20Measures%20-%20Cost%20and%20Savings%20Data%20for%20BEER%20with%20KS%20edits.xlsx" TargetMode="External"/><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microsoft.com/office/2017/10/relationships/threadedComment" Target="../threadedComments/threadedComment4.xm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microsoft.com/office/2017/10/relationships/threadedComment" Target="../threadedComments/threadedComment5.xm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7.bin"/><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02.bin"/><Relationship Id="rId4" Type="http://schemas.microsoft.com/office/2017/10/relationships/threadedComment" Target="../threadedComments/threadedComment6.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05.bin"/><Relationship Id="rId4" Type="http://schemas.microsoft.com/office/2017/10/relationships/threadedComment" Target="../threadedComments/threadedComment7.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06.bin"/><Relationship Id="rId4" Type="http://schemas.microsoft.com/office/2017/10/relationships/threadedComment" Target="../threadedComments/threadedComment8.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27.bin"/><Relationship Id="rId1" Type="http://schemas.openxmlformats.org/officeDocument/2006/relationships/pivotTable" Target="../pivotTables/pivotTable1.xml"/><Relationship Id="rId4" Type="http://schemas.openxmlformats.org/officeDocument/2006/relationships/comments" Target="../comments18.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microsoft.com/office/2017/10/relationships/threadedComment" Target="../threadedComments/threadedComment9.xm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5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6.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6" Type="http://schemas.openxmlformats.org/officeDocument/2006/relationships/comments" Target="../comments23.xml"/><Relationship Id="rId5" Type="http://schemas.openxmlformats.org/officeDocument/2006/relationships/vmlDrawing" Target="../drawings/vmlDrawing23.vml"/><Relationship Id="rId4" Type="http://schemas.openxmlformats.org/officeDocument/2006/relationships/drawing" Target="../drawings/drawing8.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comments" Target="../comments24.xml"/><Relationship Id="rId5" Type="http://schemas.openxmlformats.org/officeDocument/2006/relationships/vmlDrawing" Target="../drawings/vmlDrawing24.vml"/><Relationship Id="rId4" Type="http://schemas.openxmlformats.org/officeDocument/2006/relationships/drawing" Target="../drawings/drawing9.xm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s>
</file>

<file path=xl/worksheets/_rels/sheet66.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comments" Target="../comments26.xml"/><Relationship Id="rId5" Type="http://schemas.openxmlformats.org/officeDocument/2006/relationships/vmlDrawing" Target="../drawings/vmlDrawing26.vml"/><Relationship Id="rId4" Type="http://schemas.openxmlformats.org/officeDocument/2006/relationships/printerSettings" Target="../printerSettings/printerSettings16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1.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microsoft.com/office/2017/10/relationships/threadedComment" Target="../threadedComments/threadedComment10.xml"/><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comments" Target="../comments27.xml"/><Relationship Id="rId5" Type="http://schemas.openxmlformats.org/officeDocument/2006/relationships/vmlDrawing" Target="../drawings/vmlDrawing27.vml"/><Relationship Id="rId4" Type="http://schemas.openxmlformats.org/officeDocument/2006/relationships/drawing" Target="../drawings/drawing11.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microsoft.com/office/2017/10/relationships/threadedComment" Target="../threadedComments/threadedComment1.xm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48"/>
  <sheetViews>
    <sheetView zoomScale="80" zoomScaleNormal="80" workbookViewId="0">
      <selection activeCell="A33" sqref="A33"/>
    </sheetView>
  </sheetViews>
  <sheetFormatPr defaultRowHeight="14.5" x14ac:dyDescent="0.35"/>
  <cols>
    <col min="1" max="1" width="157" style="3" customWidth="1"/>
  </cols>
  <sheetData>
    <row r="1" spans="1:1" x14ac:dyDescent="0.35">
      <c r="A1" s="31" t="s">
        <v>0</v>
      </c>
    </row>
    <row r="2" spans="1:1" x14ac:dyDescent="0.35">
      <c r="A2" s="32" t="s">
        <v>1</v>
      </c>
    </row>
    <row r="3" spans="1:1" x14ac:dyDescent="0.35">
      <c r="A3" s="33"/>
    </row>
    <row r="4" spans="1:1" x14ac:dyDescent="0.35">
      <c r="A4" s="34" t="s">
        <v>2</v>
      </c>
    </row>
    <row r="5" spans="1:1" x14ac:dyDescent="0.35">
      <c r="A5" s="34"/>
    </row>
    <row r="6" spans="1:1" ht="70" x14ac:dyDescent="0.35">
      <c r="A6" s="33" t="s">
        <v>3</v>
      </c>
    </row>
    <row r="7" spans="1:1" x14ac:dyDescent="0.35">
      <c r="A7" s="33"/>
    </row>
    <row r="8" spans="1:1" ht="28" x14ac:dyDescent="0.35">
      <c r="A8" s="33" t="s">
        <v>4</v>
      </c>
    </row>
    <row r="9" spans="1:1" x14ac:dyDescent="0.35">
      <c r="A9" s="33"/>
    </row>
    <row r="10" spans="1:1" x14ac:dyDescent="0.35">
      <c r="A10" s="33" t="s">
        <v>5</v>
      </c>
    </row>
    <row r="11" spans="1:1" x14ac:dyDescent="0.35">
      <c r="A11" s="33"/>
    </row>
    <row r="12" spans="1:1" x14ac:dyDescent="0.35">
      <c r="A12" s="34" t="s">
        <v>6</v>
      </c>
    </row>
    <row r="13" spans="1:1" x14ac:dyDescent="0.35">
      <c r="A13" s="33"/>
    </row>
    <row r="14" spans="1:1" x14ac:dyDescent="0.35">
      <c r="A14" s="23" t="s">
        <v>7</v>
      </c>
    </row>
    <row r="15" spans="1:1" x14ac:dyDescent="0.35">
      <c r="A15" s="33"/>
    </row>
    <row r="16" spans="1:1" x14ac:dyDescent="0.35">
      <c r="A16" s="35" t="s">
        <v>8</v>
      </c>
    </row>
    <row r="17" spans="1:1" x14ac:dyDescent="0.35">
      <c r="A17" s="36"/>
    </row>
    <row r="18" spans="1:1" ht="28" x14ac:dyDescent="0.35">
      <c r="A18" s="35" t="s">
        <v>9</v>
      </c>
    </row>
    <row r="19" spans="1:1" x14ac:dyDescent="0.35">
      <c r="A19" s="36"/>
    </row>
    <row r="20" spans="1:1" ht="28" x14ac:dyDescent="0.35">
      <c r="A20" s="37" t="s">
        <v>10</v>
      </c>
    </row>
    <row r="21" spans="1:1" x14ac:dyDescent="0.35">
      <c r="A21" s="33"/>
    </row>
    <row r="22" spans="1:1" x14ac:dyDescent="0.35">
      <c r="A22" s="34" t="s">
        <v>11</v>
      </c>
    </row>
    <row r="23" spans="1:1" x14ac:dyDescent="0.35">
      <c r="A23" s="34"/>
    </row>
    <row r="24" spans="1:1" ht="42" x14ac:dyDescent="0.35">
      <c r="A24" s="37" t="s">
        <v>12</v>
      </c>
    </row>
    <row r="25" spans="1:1" ht="28" x14ac:dyDescent="0.35">
      <c r="A25" s="37" t="s">
        <v>13</v>
      </c>
    </row>
    <row r="26" spans="1:1" ht="42" x14ac:dyDescent="0.35">
      <c r="A26" s="37" t="s">
        <v>14</v>
      </c>
    </row>
    <row r="27" spans="1:1" x14ac:dyDescent="0.35">
      <c r="A27" s="37"/>
    </row>
    <row r="28" spans="1:1" x14ac:dyDescent="0.35">
      <c r="A28" s="34"/>
    </row>
    <row r="29" spans="1:1" x14ac:dyDescent="0.35">
      <c r="A29" s="34" t="s">
        <v>15</v>
      </c>
    </row>
    <row r="30" spans="1:1" x14ac:dyDescent="0.35">
      <c r="A30" s="34"/>
    </row>
    <row r="31" spans="1:1" ht="28" x14ac:dyDescent="0.35">
      <c r="A31" s="37" t="s">
        <v>16</v>
      </c>
    </row>
    <row r="32" spans="1:1" ht="56" x14ac:dyDescent="0.35">
      <c r="A32" s="37" t="s">
        <v>17</v>
      </c>
    </row>
    <row r="33" spans="1:1" ht="42" x14ac:dyDescent="0.35">
      <c r="A33" s="37" t="s">
        <v>18</v>
      </c>
    </row>
    <row r="34" spans="1:1" x14ac:dyDescent="0.35">
      <c r="A34" s="34"/>
    </row>
    <row r="35" spans="1:1" x14ac:dyDescent="0.35">
      <c r="A35" s="34" t="s">
        <v>19</v>
      </c>
    </row>
    <row r="36" spans="1:1" x14ac:dyDescent="0.35">
      <c r="A36" s="34"/>
    </row>
    <row r="37" spans="1:1" ht="42" x14ac:dyDescent="0.35">
      <c r="A37" s="33" t="s">
        <v>20</v>
      </c>
    </row>
    <row r="38" spans="1:1" x14ac:dyDescent="0.35">
      <c r="A38" s="33"/>
    </row>
    <row r="39" spans="1:1" ht="70" x14ac:dyDescent="0.35">
      <c r="A39" s="33" t="s">
        <v>21</v>
      </c>
    </row>
    <row r="40" spans="1:1" x14ac:dyDescent="0.35">
      <c r="A40" s="33"/>
    </row>
    <row r="41" spans="1:1" x14ac:dyDescent="0.35">
      <c r="A41" s="33"/>
    </row>
    <row r="42" spans="1:1" x14ac:dyDescent="0.35">
      <c r="A42" s="33"/>
    </row>
    <row r="43" spans="1:1" x14ac:dyDescent="0.35">
      <c r="A43" s="33"/>
    </row>
    <row r="44" spans="1:1" x14ac:dyDescent="0.35">
      <c r="A44" s="33"/>
    </row>
    <row r="47" spans="1:1" x14ac:dyDescent="0.35">
      <c r="A47" s="39" t="s">
        <v>22</v>
      </c>
    </row>
    <row r="48" spans="1:1" x14ac:dyDescent="0.35">
      <c r="A48" s="39" t="s">
        <v>23</v>
      </c>
    </row>
  </sheetData>
  <customSheetViews>
    <customSheetView guid="{ECD6FE6A-9548-414E-B8AA-6998703C57E0}" fitToPage="1">
      <selection activeCell="A14" sqref="A14"/>
      <pageMargins left="0" right="0" top="0" bottom="0" header="0" footer="0"/>
      <pageSetup scale="57" fitToHeight="0" orientation="portrait" r:id="rId1"/>
      <headerFooter>
        <oddFooter>&amp;L&amp;"Arial,Regular"&amp;14&amp;A
&amp;F&amp;C&amp;"Arial,Regular"&amp;14&amp;P</oddFooter>
      </headerFooter>
    </customSheetView>
    <customSheetView guid="{11DE45F5-F478-4ED6-8DFF-12002C22A637}" fitToPage="1">
      <selection activeCell="A14" sqref="A14"/>
      <pageMargins left="0" right="0" top="0" bottom="0" header="0" footer="0"/>
      <pageSetup scale="57" fitToHeight="0" orientation="portrait" r:id="rId2"/>
      <headerFooter>
        <oddFooter>&amp;L&amp;"Arial,Regular"&amp;14&amp;A
&amp;F&amp;C&amp;"Arial,Regular"&amp;14&amp;P</oddFooter>
      </headerFooter>
    </customSheetView>
  </customSheetViews>
  <pageMargins left="0.7" right="0.7" top="0.75" bottom="0.75" header="0.3" footer="0.3"/>
  <pageSetup scale="57" fitToHeight="0" orientation="portrait" r:id="rId3"/>
  <headerFooter>
    <oddFooter>&amp;L&amp;"Arial,Regular"&amp;14&amp;A
&amp;F&amp;C&amp;"Arial,Regular"&amp;14&amp;P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Q81"/>
  <sheetViews>
    <sheetView view="pageBreakPreview" zoomScale="60" zoomScaleNormal="100" workbookViewId="0">
      <selection activeCell="J23" sqref="J23"/>
    </sheetView>
  </sheetViews>
  <sheetFormatPr defaultRowHeight="14.5" x14ac:dyDescent="0.35"/>
  <cols>
    <col min="1" max="1" width="24.54296875" customWidth="1"/>
    <col min="2" max="2" width="30.54296875" bestFit="1" customWidth="1"/>
    <col min="3" max="3" width="13.81640625" customWidth="1"/>
    <col min="4" max="4" width="15.81640625" customWidth="1"/>
    <col min="5" max="5" width="12.26953125" customWidth="1"/>
    <col min="6" max="6" width="16.1796875" customWidth="1"/>
    <col min="7" max="7" width="11.81640625" customWidth="1"/>
    <col min="8" max="8" width="48.54296875" bestFit="1" customWidth="1"/>
    <col min="9" max="9" width="16.1796875" bestFit="1" customWidth="1"/>
    <col min="10" max="11" width="21.54296875" customWidth="1"/>
    <col min="12" max="12" width="9.7265625" bestFit="1" customWidth="1"/>
    <col min="13" max="13" width="10.26953125" customWidth="1"/>
    <col min="14" max="14" width="12.453125" customWidth="1"/>
    <col min="15" max="15" width="11.26953125" customWidth="1"/>
    <col min="27" max="27" width="12.453125" customWidth="1"/>
  </cols>
  <sheetData>
    <row r="1" spans="1:17" ht="15" customHeight="1" x14ac:dyDescent="0.35">
      <c r="A1" s="947" t="s">
        <v>400</v>
      </c>
      <c r="B1" s="948"/>
      <c r="C1" s="948"/>
      <c r="D1" s="948"/>
      <c r="E1" s="949"/>
      <c r="F1" s="949"/>
      <c r="G1" s="949"/>
      <c r="H1" s="949"/>
      <c r="I1" s="949"/>
      <c r="J1" s="949"/>
      <c r="K1" s="950"/>
      <c r="L1" s="3045" t="s">
        <v>1032</v>
      </c>
      <c r="M1" s="3046"/>
      <c r="N1" s="3047"/>
      <c r="O1" s="3045" t="s">
        <v>1033</v>
      </c>
      <c r="P1" s="3046"/>
      <c r="Q1" s="3047"/>
    </row>
    <row r="2" spans="1:17" s="199" customFormat="1" ht="29" x14ac:dyDescent="0.35">
      <c r="A2" s="952" t="s">
        <v>1035</v>
      </c>
      <c r="B2" s="952" t="s">
        <v>155</v>
      </c>
      <c r="C2" s="953" t="s">
        <v>1036</v>
      </c>
      <c r="D2" s="953" t="s">
        <v>1037</v>
      </c>
      <c r="E2" s="952" t="s">
        <v>1038</v>
      </c>
      <c r="F2" s="952" t="s">
        <v>1039</v>
      </c>
      <c r="G2" s="952" t="s">
        <v>1527</v>
      </c>
      <c r="H2" s="952" t="s">
        <v>1480</v>
      </c>
      <c r="I2" s="952" t="s">
        <v>1040</v>
      </c>
      <c r="J2" s="952" t="s">
        <v>1041</v>
      </c>
      <c r="K2" s="952" t="s">
        <v>1043</v>
      </c>
      <c r="L2" s="990" t="s">
        <v>1044</v>
      </c>
      <c r="M2" s="990" t="s">
        <v>1045</v>
      </c>
      <c r="N2" s="990" t="s">
        <v>1046</v>
      </c>
      <c r="O2" s="990" t="s">
        <v>1044</v>
      </c>
      <c r="P2" s="990" t="s">
        <v>1045</v>
      </c>
      <c r="Q2" s="990" t="s">
        <v>1046</v>
      </c>
    </row>
    <row r="3" spans="1:17" s="60" customFormat="1" ht="26.5" x14ac:dyDescent="0.35">
      <c r="A3" s="955" t="s">
        <v>400</v>
      </c>
      <c r="B3" s="955" t="s">
        <v>1528</v>
      </c>
      <c r="C3" s="956" t="s">
        <v>399</v>
      </c>
      <c r="D3" s="957" t="s">
        <v>1071</v>
      </c>
      <c r="E3" s="958" t="s">
        <v>1072</v>
      </c>
      <c r="F3" s="958">
        <f>+$C$62</f>
        <v>12</v>
      </c>
      <c r="G3" s="69" t="s">
        <v>1529</v>
      </c>
      <c r="H3" s="973" t="s">
        <v>1482</v>
      </c>
      <c r="I3" s="960"/>
      <c r="J3" s="965" t="s">
        <v>1366</v>
      </c>
      <c r="K3" s="965"/>
      <c r="L3" s="991"/>
      <c r="M3" s="992"/>
      <c r="N3" s="991">
        <f>IF(G3=B80,(D20+D21+D22)*B28/100000,0)</f>
        <v>148.64153124999993</v>
      </c>
      <c r="O3" s="991"/>
      <c r="P3" s="992"/>
      <c r="Q3" s="991">
        <f>N3*F3</f>
        <v>1783.698374999999</v>
      </c>
    </row>
    <row r="4" spans="1:17" ht="15" thickBot="1" x14ac:dyDescent="0.4"/>
    <row r="5" spans="1:17" ht="15" thickBot="1" x14ac:dyDescent="0.4">
      <c r="A5" s="74" t="s">
        <v>1188</v>
      </c>
      <c r="B5" s="64"/>
      <c r="C5" s="64"/>
      <c r="D5" s="64"/>
      <c r="E5" s="64"/>
      <c r="F5" s="64"/>
      <c r="G5" s="64"/>
      <c r="H5" s="64"/>
      <c r="I5" s="64"/>
      <c r="J5" s="65"/>
    </row>
    <row r="6" spans="1:17" ht="15" thickBot="1" x14ac:dyDescent="0.4">
      <c r="A6" s="74" t="s">
        <v>1530</v>
      </c>
      <c r="B6" s="63"/>
      <c r="C6" s="868"/>
      <c r="D6" s="63"/>
      <c r="E6" s="63"/>
      <c r="F6" s="63"/>
      <c r="G6" s="63"/>
      <c r="H6" s="63"/>
      <c r="I6" s="63"/>
      <c r="J6" s="335"/>
    </row>
    <row r="7" spans="1:17" ht="36.75" customHeight="1" x14ac:dyDescent="0.35">
      <c r="A7" s="3058" t="s">
        <v>1531</v>
      </c>
      <c r="B7" s="3059"/>
      <c r="C7" s="3059"/>
      <c r="D7" s="3059"/>
      <c r="E7" s="3059"/>
      <c r="F7" s="3059"/>
      <c r="G7" s="3059"/>
      <c r="H7" s="3059"/>
      <c r="I7" s="3059"/>
      <c r="J7" s="3060"/>
    </row>
    <row r="8" spans="1:17" x14ac:dyDescent="0.35">
      <c r="A8" s="304" t="s">
        <v>1532</v>
      </c>
      <c r="B8" s="52"/>
      <c r="C8" s="52"/>
      <c r="D8" s="52"/>
      <c r="E8" s="52"/>
      <c r="F8" s="52"/>
      <c r="G8" s="52"/>
      <c r="H8" s="69"/>
      <c r="I8" s="69"/>
      <c r="J8" s="100"/>
    </row>
    <row r="9" spans="1:17" x14ac:dyDescent="0.35">
      <c r="A9" s="304" t="s">
        <v>1295</v>
      </c>
      <c r="B9" s="69"/>
      <c r="C9" s="69"/>
      <c r="D9" s="69"/>
      <c r="E9" s="69"/>
      <c r="F9" s="69"/>
      <c r="G9" s="69"/>
      <c r="H9" s="69"/>
      <c r="I9" s="69"/>
      <c r="J9" s="100"/>
    </row>
    <row r="10" spans="1:17" ht="15" thickBot="1" x14ac:dyDescent="0.4">
      <c r="A10" s="305" t="s">
        <v>1533</v>
      </c>
      <c r="B10" s="69"/>
      <c r="C10" s="68"/>
      <c r="D10" s="69"/>
      <c r="E10" s="69"/>
      <c r="F10" s="69"/>
      <c r="G10" s="69"/>
      <c r="H10" s="69"/>
      <c r="I10" s="69"/>
      <c r="J10" s="100"/>
    </row>
    <row r="11" spans="1:17" ht="15" thickBot="1" x14ac:dyDescent="0.4">
      <c r="A11" s="74" t="s">
        <v>1534</v>
      </c>
      <c r="B11" s="63"/>
      <c r="C11" s="868"/>
      <c r="D11" s="63"/>
      <c r="E11" s="63"/>
      <c r="F11" s="63"/>
      <c r="G11" s="63"/>
      <c r="H11" s="63"/>
      <c r="I11" s="63"/>
      <c r="J11" s="335"/>
    </row>
    <row r="12" spans="1:17" ht="29.25" customHeight="1" x14ac:dyDescent="0.35">
      <c r="A12" s="3058" t="s">
        <v>1531</v>
      </c>
      <c r="B12" s="3059"/>
      <c r="C12" s="3059"/>
      <c r="D12" s="3059"/>
      <c r="E12" s="3059"/>
      <c r="F12" s="3059"/>
      <c r="G12" s="3059"/>
      <c r="H12" s="3059"/>
      <c r="I12" s="3059"/>
      <c r="J12" s="3060"/>
    </row>
    <row r="13" spans="1:17" x14ac:dyDescent="0.35">
      <c r="A13" s="304" t="s">
        <v>1532</v>
      </c>
      <c r="B13" s="52"/>
      <c r="C13" s="52"/>
      <c r="D13" s="52"/>
      <c r="E13" s="52"/>
      <c r="F13" s="52"/>
      <c r="G13" s="52"/>
      <c r="H13" s="69"/>
      <c r="I13" s="69"/>
      <c r="J13" s="100"/>
    </row>
    <row r="14" spans="1:17" ht="15" thickBot="1" x14ac:dyDescent="0.4">
      <c r="A14" s="309" t="s">
        <v>1295</v>
      </c>
      <c r="B14" s="161"/>
      <c r="C14" s="869"/>
      <c r="D14" s="161"/>
      <c r="E14" s="161"/>
      <c r="F14" s="161"/>
      <c r="G14" s="161"/>
      <c r="H14" s="161"/>
      <c r="I14" s="161"/>
      <c r="J14" s="163"/>
    </row>
    <row r="15" spans="1:17" ht="15" thickBot="1" x14ac:dyDescent="0.4">
      <c r="A15" s="154" t="s">
        <v>1078</v>
      </c>
      <c r="B15" s="1142">
        <f>'Measure-Level Adjustments'!A2</f>
        <v>44592</v>
      </c>
      <c r="C15" s="274"/>
    </row>
    <row r="16" spans="1:17" ht="15" thickBot="1" x14ac:dyDescent="0.4">
      <c r="A16" s="154" t="s">
        <v>1079</v>
      </c>
      <c r="B16" s="577" t="s">
        <v>1535</v>
      </c>
      <c r="C16" s="274"/>
    </row>
    <row r="17" spans="1:10" ht="15" thickBot="1" x14ac:dyDescent="0.4">
      <c r="A17" s="55"/>
      <c r="C17" s="274"/>
    </row>
    <row r="18" spans="1:10" ht="15" thickBot="1" x14ac:dyDescent="0.4">
      <c r="A18" s="74" t="s">
        <v>1296</v>
      </c>
      <c r="B18" s="64"/>
      <c r="C18" s="64"/>
      <c r="D18" s="65"/>
    </row>
    <row r="19" spans="1:10" x14ac:dyDescent="0.35">
      <c r="A19" s="870"/>
      <c r="B19" s="870"/>
      <c r="C19" s="259" t="str">
        <f>B25</f>
        <v>ΔkWh</v>
      </c>
      <c r="D19" s="259" t="str">
        <f>C25</f>
        <v>ΔTherms</v>
      </c>
    </row>
    <row r="20" spans="1:10" x14ac:dyDescent="0.35">
      <c r="A20" s="1" t="s">
        <v>1297</v>
      </c>
      <c r="B20" s="1"/>
      <c r="C20" s="871">
        <f>(B58*B32*B34*(B26-(B30/(B42*B32*B34))-(B46*B50/60)))-(B56*B32*B34*(B26-(B30/(B40*B32*B34))-(B44*B48/60)))</f>
        <v>3582.8571428571413</v>
      </c>
      <c r="D20" s="872">
        <f>(C58*B32*B34*(B26-(B30/(C42*B32*B34))-(B46*B50/60)))-(C56*B32*B34*(B26-(B30/(C40*B32*B34))-(B44*B48/60)))</f>
        <v>11258.333333333314</v>
      </c>
    </row>
    <row r="21" spans="1:10" x14ac:dyDescent="0.35">
      <c r="A21" s="1" t="s">
        <v>1298</v>
      </c>
      <c r="B21" s="1"/>
      <c r="C21" s="873">
        <f>(B46*B50/60*B54*B32*B34)-(B44*B48/60*B52*B32*B34)</f>
        <v>2000</v>
      </c>
      <c r="D21" s="237">
        <f>(B46*B50/60*C54*B32*B34)-(B44*B48/60*C52*B32*B34)</f>
        <v>6000</v>
      </c>
      <c r="F21" s="298"/>
      <c r="G21" s="298"/>
    </row>
    <row r="22" spans="1:10" x14ac:dyDescent="0.35">
      <c r="A22" s="1" t="s">
        <v>1299</v>
      </c>
      <c r="B22" s="1"/>
      <c r="C22" s="873">
        <f>(B30*B60/B38)-(B30*B60/B36)</f>
        <v>1527.4725274725242</v>
      </c>
      <c r="D22" s="237">
        <f>(B30*C60/C38)-(B30*C60/C36)</f>
        <v>23437.5</v>
      </c>
      <c r="F22" s="298"/>
      <c r="G22" s="298"/>
    </row>
    <row r="23" spans="1:10" ht="15" thickBot="1" x14ac:dyDescent="0.4"/>
    <row r="24" spans="1:10" ht="15" thickBot="1" x14ac:dyDescent="0.4">
      <c r="A24" s="74" t="s">
        <v>1285</v>
      </c>
      <c r="B24" s="75" t="s">
        <v>1199</v>
      </c>
      <c r="C24" s="75" t="s">
        <v>1199</v>
      </c>
      <c r="D24" s="76" t="s">
        <v>1082</v>
      </c>
      <c r="E24" s="64"/>
      <c r="F24" s="64"/>
      <c r="G24" s="65"/>
      <c r="J24" s="480"/>
    </row>
    <row r="25" spans="1:10" ht="15.75" customHeight="1" thickBot="1" x14ac:dyDescent="0.4">
      <c r="A25" s="995"/>
      <c r="B25" s="874" t="str">
        <f>L2</f>
        <v>ΔkWh</v>
      </c>
      <c r="C25" s="874" t="str">
        <f>N2</f>
        <v>ΔTherms</v>
      </c>
      <c r="D25" s="870"/>
      <c r="E25" s="870"/>
      <c r="F25" s="870"/>
      <c r="G25" s="996"/>
      <c r="J25" s="480"/>
    </row>
    <row r="26" spans="1:10" x14ac:dyDescent="0.35">
      <c r="A26" s="856" t="s">
        <v>1300</v>
      </c>
      <c r="B26" s="354">
        <v>12</v>
      </c>
      <c r="C26" s="80"/>
      <c r="D26" s="79" t="s">
        <v>1495</v>
      </c>
      <c r="E26" s="80"/>
      <c r="F26" s="80"/>
      <c r="G26" s="81"/>
    </row>
    <row r="27" spans="1:10" ht="15" thickBot="1" x14ac:dyDescent="0.4">
      <c r="A27" s="857"/>
      <c r="B27" s="127"/>
      <c r="C27" s="85"/>
      <c r="D27" s="84" t="s">
        <v>1302</v>
      </c>
      <c r="E27" s="85"/>
      <c r="F27" s="85"/>
      <c r="G27" s="86"/>
    </row>
    <row r="28" spans="1:10" x14ac:dyDescent="0.35">
      <c r="A28" s="856" t="s">
        <v>1536</v>
      </c>
      <c r="B28" s="354">
        <v>365.25</v>
      </c>
      <c r="C28" s="80"/>
      <c r="D28" s="79" t="s">
        <v>1303</v>
      </c>
      <c r="E28" s="80"/>
      <c r="F28" s="80"/>
      <c r="G28" s="81"/>
    </row>
    <row r="29" spans="1:10" ht="15" thickBot="1" x14ac:dyDescent="0.4">
      <c r="A29" s="857"/>
      <c r="B29" s="127"/>
      <c r="C29" s="85"/>
      <c r="D29" s="84" t="s">
        <v>1304</v>
      </c>
      <c r="E29" s="85"/>
      <c r="F29" s="85"/>
      <c r="G29" s="86"/>
    </row>
    <row r="30" spans="1:10" x14ac:dyDescent="0.35">
      <c r="A30" s="856" t="s">
        <v>1305</v>
      </c>
      <c r="B30" s="354">
        <v>100</v>
      </c>
      <c r="C30" s="80"/>
      <c r="D30" s="79" t="s">
        <v>1537</v>
      </c>
      <c r="E30" s="80"/>
      <c r="F30" s="80"/>
      <c r="G30" s="81"/>
    </row>
    <row r="31" spans="1:10" ht="15" thickBot="1" x14ac:dyDescent="0.4">
      <c r="A31" s="857"/>
      <c r="B31" s="127"/>
      <c r="C31" s="85"/>
      <c r="D31" s="84" t="s">
        <v>1307</v>
      </c>
      <c r="E31" s="85"/>
      <c r="F31" s="85"/>
      <c r="G31" s="86"/>
    </row>
    <row r="32" spans="1:10" x14ac:dyDescent="0.35">
      <c r="A32" s="856" t="s">
        <v>1538</v>
      </c>
      <c r="B32" s="354">
        <v>3</v>
      </c>
      <c r="C32" s="80"/>
      <c r="D32" s="79" t="s">
        <v>1539</v>
      </c>
      <c r="E32" s="80"/>
      <c r="F32" s="80"/>
      <c r="G32" s="81"/>
    </row>
    <row r="33" spans="1:7" ht="15" thickBot="1" x14ac:dyDescent="0.4">
      <c r="A33" s="857"/>
      <c r="B33" s="127"/>
      <c r="C33" s="85"/>
      <c r="D33" s="84" t="s">
        <v>1540</v>
      </c>
      <c r="E33" s="85"/>
      <c r="F33" s="85"/>
      <c r="G33" s="86"/>
    </row>
    <row r="34" spans="1:7" x14ac:dyDescent="0.35">
      <c r="A34" s="856" t="s">
        <v>1541</v>
      </c>
      <c r="B34" s="354">
        <v>2</v>
      </c>
      <c r="C34" s="80"/>
      <c r="D34" s="79" t="s">
        <v>1542</v>
      </c>
      <c r="E34" s="80"/>
      <c r="F34" s="80"/>
      <c r="G34" s="81"/>
    </row>
    <row r="35" spans="1:7" ht="15" thickBot="1" x14ac:dyDescent="0.4">
      <c r="A35" s="857"/>
      <c r="B35" s="127"/>
      <c r="C35" s="85"/>
      <c r="D35" s="84" t="s">
        <v>1543</v>
      </c>
      <c r="E35" s="85"/>
      <c r="F35" s="85"/>
      <c r="G35" s="86"/>
    </row>
    <row r="36" spans="1:7" x14ac:dyDescent="0.35">
      <c r="A36" s="856" t="s">
        <v>1544</v>
      </c>
      <c r="B36" s="858">
        <v>0.7</v>
      </c>
      <c r="C36" s="858">
        <v>0.38</v>
      </c>
      <c r="D36" s="79" t="s">
        <v>1545</v>
      </c>
      <c r="E36" s="80"/>
      <c r="F36" s="80"/>
      <c r="G36" s="81"/>
    </row>
    <row r="37" spans="1:7" ht="15" thickBot="1" x14ac:dyDescent="0.4">
      <c r="A37" s="857"/>
      <c r="B37" s="859"/>
      <c r="C37" s="859"/>
      <c r="D37" s="84" t="s">
        <v>1546</v>
      </c>
      <c r="E37" s="85"/>
      <c r="F37" s="85"/>
      <c r="G37" s="86"/>
    </row>
    <row r="38" spans="1:7" x14ac:dyDescent="0.35">
      <c r="A38" s="856" t="s">
        <v>1311</v>
      </c>
      <c r="B38" s="858">
        <v>0.65</v>
      </c>
      <c r="C38" s="858">
        <v>0.32</v>
      </c>
      <c r="D38" s="79" t="s">
        <v>1312</v>
      </c>
      <c r="E38" s="80"/>
      <c r="F38" s="80"/>
      <c r="G38" s="81"/>
    </row>
    <row r="39" spans="1:7" ht="15" thickBot="1" x14ac:dyDescent="0.4">
      <c r="A39" s="857"/>
      <c r="B39" s="859"/>
      <c r="C39" s="859"/>
      <c r="D39" s="84" t="s">
        <v>1547</v>
      </c>
      <c r="E39" s="85"/>
      <c r="F39" s="85"/>
      <c r="G39" s="86"/>
    </row>
    <row r="40" spans="1:7" x14ac:dyDescent="0.35">
      <c r="A40" s="856" t="s">
        <v>1314</v>
      </c>
      <c r="B40" s="875">
        <f>40/6</f>
        <v>6.666666666666667</v>
      </c>
      <c r="C40" s="80">
        <f>45/6</f>
        <v>7.5</v>
      </c>
      <c r="D40" s="79" t="s">
        <v>1315</v>
      </c>
      <c r="E40" s="80"/>
      <c r="F40" s="80"/>
      <c r="G40" s="81"/>
    </row>
    <row r="41" spans="1:7" ht="15" thickBot="1" x14ac:dyDescent="0.4">
      <c r="A41" s="857"/>
      <c r="B41" s="127"/>
      <c r="C41" s="85"/>
      <c r="D41" s="84" t="s">
        <v>1548</v>
      </c>
      <c r="E41" s="85"/>
      <c r="F41" s="85"/>
      <c r="G41" s="86"/>
    </row>
    <row r="42" spans="1:7" x14ac:dyDescent="0.35">
      <c r="A42" s="856" t="s">
        <v>1317</v>
      </c>
      <c r="B42" s="875">
        <f>35/6</f>
        <v>5.833333333333333</v>
      </c>
      <c r="C42" s="392">
        <f>25/6</f>
        <v>4.166666666666667</v>
      </c>
      <c r="D42" s="79" t="s">
        <v>1549</v>
      </c>
      <c r="E42" s="80"/>
      <c r="F42" s="80"/>
      <c r="G42" s="81"/>
    </row>
    <row r="43" spans="1:7" ht="15" thickBot="1" x14ac:dyDescent="0.4">
      <c r="A43" s="857"/>
      <c r="B43" s="127"/>
      <c r="C43" s="85"/>
      <c r="D43" s="84" t="s">
        <v>1550</v>
      </c>
      <c r="E43" s="85"/>
      <c r="F43" s="85"/>
      <c r="G43" s="86"/>
    </row>
    <row r="44" spans="1:7" x14ac:dyDescent="0.35">
      <c r="A44" s="856" t="s">
        <v>1320</v>
      </c>
      <c r="B44" s="354">
        <v>1</v>
      </c>
      <c r="C44" s="80"/>
      <c r="D44" s="79" t="s">
        <v>1321</v>
      </c>
      <c r="E44" s="80"/>
      <c r="F44" s="80"/>
      <c r="G44" s="81"/>
    </row>
    <row r="45" spans="1:7" ht="15" thickBot="1" x14ac:dyDescent="0.4">
      <c r="A45" s="857"/>
      <c r="B45" s="127"/>
      <c r="C45" s="85"/>
      <c r="D45" s="84" t="s">
        <v>1322</v>
      </c>
      <c r="E45" s="85"/>
      <c r="F45" s="85"/>
      <c r="G45" s="86"/>
    </row>
    <row r="46" spans="1:7" ht="29.25" customHeight="1" x14ac:dyDescent="0.35">
      <c r="A46" s="856" t="s">
        <v>1323</v>
      </c>
      <c r="B46" s="354">
        <v>1</v>
      </c>
      <c r="C46" s="80"/>
      <c r="D46" s="79" t="s">
        <v>1321</v>
      </c>
      <c r="E46" s="80"/>
      <c r="F46" s="80"/>
      <c r="G46" s="81"/>
    </row>
    <row r="47" spans="1:7" ht="29.25" customHeight="1" thickBot="1" x14ac:dyDescent="0.4">
      <c r="A47" s="857"/>
      <c r="B47" s="127"/>
      <c r="C47" s="85"/>
      <c r="D47" s="84" t="s">
        <v>1322</v>
      </c>
      <c r="E47" s="85"/>
      <c r="F47" s="85"/>
      <c r="G47" s="86"/>
    </row>
    <row r="48" spans="1:7" x14ac:dyDescent="0.35">
      <c r="A48" s="856" t="s">
        <v>1324</v>
      </c>
      <c r="B48" s="354">
        <v>15</v>
      </c>
      <c r="C48" s="80"/>
      <c r="D48" s="79" t="s">
        <v>1325</v>
      </c>
      <c r="E48" s="80"/>
      <c r="F48" s="80"/>
      <c r="G48" s="81"/>
    </row>
    <row r="49" spans="1:10" ht="15" thickBot="1" x14ac:dyDescent="0.4">
      <c r="A49" s="857"/>
      <c r="B49" s="127"/>
      <c r="C49" s="85"/>
      <c r="D49" s="84" t="s">
        <v>1326</v>
      </c>
      <c r="E49" s="85"/>
      <c r="F49" s="85"/>
      <c r="G49" s="86"/>
    </row>
    <row r="50" spans="1:10" x14ac:dyDescent="0.35">
      <c r="A50" s="856" t="s">
        <v>1327</v>
      </c>
      <c r="B50" s="354">
        <v>15</v>
      </c>
      <c r="C50" s="80"/>
      <c r="D50" s="79" t="s">
        <v>1325</v>
      </c>
      <c r="E50" s="80"/>
      <c r="F50" s="80"/>
      <c r="G50" s="81"/>
    </row>
    <row r="51" spans="1:10" ht="15" thickBot="1" x14ac:dyDescent="0.4">
      <c r="A51" s="857"/>
      <c r="B51" s="127"/>
      <c r="C51" s="85"/>
      <c r="D51" s="84" t="s">
        <v>1326</v>
      </c>
      <c r="E51" s="85"/>
      <c r="F51" s="85"/>
      <c r="G51" s="86"/>
    </row>
    <row r="52" spans="1:10" x14ac:dyDescent="0.35">
      <c r="A52" s="856" t="s">
        <v>1328</v>
      </c>
      <c r="B52" s="876">
        <f>8000/6</f>
        <v>1333.3333333333333</v>
      </c>
      <c r="C52" s="91">
        <f>60000/6</f>
        <v>10000</v>
      </c>
      <c r="D52" s="3051" t="s">
        <v>1551</v>
      </c>
      <c r="E52" s="3051"/>
      <c r="F52" s="80"/>
      <c r="G52" s="81"/>
    </row>
    <row r="53" spans="1:10" ht="15" thickBot="1" x14ac:dyDescent="0.4">
      <c r="A53" s="857"/>
      <c r="B53" s="877"/>
      <c r="C53" s="92"/>
      <c r="D53" s="878" t="s">
        <v>1552</v>
      </c>
      <c r="E53" s="879"/>
      <c r="F53" s="85"/>
      <c r="G53" s="86"/>
    </row>
    <row r="54" spans="1:10" ht="26.25" customHeight="1" x14ac:dyDescent="0.35">
      <c r="A54" s="856" t="s">
        <v>1331</v>
      </c>
      <c r="B54" s="876">
        <f>16000/6</f>
        <v>2666.6666666666665</v>
      </c>
      <c r="C54" s="91">
        <f>84000/6</f>
        <v>14000</v>
      </c>
      <c r="D54" s="3051" t="s">
        <v>1553</v>
      </c>
      <c r="E54" s="3051"/>
      <c r="F54" s="3051"/>
      <c r="G54" s="81"/>
    </row>
    <row r="55" spans="1:10" ht="26.25" customHeight="1" thickBot="1" x14ac:dyDescent="0.4">
      <c r="A55" s="857"/>
      <c r="B55" s="877"/>
      <c r="C55" s="92"/>
      <c r="D55" s="878" t="s">
        <v>1554</v>
      </c>
      <c r="E55" s="879"/>
      <c r="F55" s="879"/>
      <c r="G55" s="86"/>
    </row>
    <row r="56" spans="1:10" x14ac:dyDescent="0.35">
      <c r="A56" s="856" t="s">
        <v>1555</v>
      </c>
      <c r="B56" s="876">
        <v>320</v>
      </c>
      <c r="C56" s="91">
        <v>2650</v>
      </c>
      <c r="D56" s="3051" t="s">
        <v>1556</v>
      </c>
      <c r="E56" s="3051"/>
      <c r="F56" s="3051"/>
      <c r="G56" s="81"/>
    </row>
    <row r="57" spans="1:10" ht="15" thickBot="1" x14ac:dyDescent="0.4">
      <c r="A57" s="857"/>
      <c r="B57" s="877"/>
      <c r="C57" s="92"/>
      <c r="D57" s="878" t="s">
        <v>1557</v>
      </c>
      <c r="E57" s="879"/>
      <c r="F57" s="879"/>
      <c r="G57" s="86"/>
    </row>
    <row r="58" spans="1:10" x14ac:dyDescent="0.35">
      <c r="A58" s="856" t="s">
        <v>1337</v>
      </c>
      <c r="B58" s="876">
        <v>400</v>
      </c>
      <c r="C58" s="91">
        <v>3500</v>
      </c>
      <c r="D58" s="79" t="s">
        <v>1558</v>
      </c>
      <c r="E58" s="80"/>
      <c r="F58" s="80"/>
      <c r="G58" s="81"/>
    </row>
    <row r="59" spans="1:10" ht="15" thickBot="1" x14ac:dyDescent="0.4">
      <c r="A59" s="857"/>
      <c r="B59" s="877"/>
      <c r="C59" s="92"/>
      <c r="D59" s="84" t="s">
        <v>1559</v>
      </c>
      <c r="E59" s="85"/>
      <c r="F59" s="85"/>
      <c r="G59" s="86"/>
    </row>
    <row r="60" spans="1:10" x14ac:dyDescent="0.35">
      <c r="A60" s="856" t="s">
        <v>1522</v>
      </c>
      <c r="B60" s="352">
        <v>139</v>
      </c>
      <c r="C60" s="87">
        <v>475</v>
      </c>
      <c r="D60" s="79" t="s">
        <v>1560</v>
      </c>
      <c r="E60" s="80"/>
      <c r="F60" s="80"/>
      <c r="G60" s="81"/>
    </row>
    <row r="61" spans="1:10" ht="15" thickBot="1" x14ac:dyDescent="0.4">
      <c r="A61" s="88"/>
      <c r="B61" s="85"/>
      <c r="C61" s="85"/>
      <c r="D61" s="84" t="s">
        <v>1561</v>
      </c>
      <c r="E61" s="85"/>
      <c r="F61" s="85"/>
      <c r="G61" s="86"/>
    </row>
    <row r="62" spans="1:10" ht="15" thickBot="1" x14ac:dyDescent="0.4">
      <c r="A62" s="93" t="s">
        <v>1083</v>
      </c>
      <c r="B62" s="80">
        <v>12</v>
      </c>
      <c r="C62" s="80">
        <f>+B62</f>
        <v>12</v>
      </c>
      <c r="D62" s="79" t="s">
        <v>1084</v>
      </c>
      <c r="E62" s="80"/>
      <c r="F62" s="80"/>
      <c r="G62" s="81"/>
    </row>
    <row r="63" spans="1:10" x14ac:dyDescent="0.35">
      <c r="A63" s="856" t="s">
        <v>1040</v>
      </c>
      <c r="B63" s="80"/>
      <c r="C63" s="80"/>
      <c r="D63" s="3052"/>
      <c r="E63" s="3052"/>
      <c r="F63" s="3052"/>
      <c r="G63" s="3053"/>
    </row>
    <row r="64" spans="1:10" ht="15" thickBot="1" x14ac:dyDescent="0.4">
      <c r="A64" s="88"/>
      <c r="B64" s="85"/>
      <c r="C64" s="85"/>
      <c r="D64" s="3054"/>
      <c r="E64" s="3054"/>
      <c r="F64" s="3054"/>
      <c r="G64" s="3055"/>
      <c r="J64" s="85"/>
    </row>
    <row r="65" spans="1:11" x14ac:dyDescent="0.35">
      <c r="A65" s="93" t="s">
        <v>1562</v>
      </c>
      <c r="B65" s="80"/>
      <c r="C65" s="80"/>
      <c r="D65" s="79" t="s">
        <v>1563</v>
      </c>
      <c r="E65" s="80"/>
      <c r="F65" s="80"/>
      <c r="G65" s="80"/>
      <c r="H65" s="80"/>
      <c r="I65" s="80"/>
      <c r="J65" s="81"/>
    </row>
    <row r="66" spans="1:11" x14ac:dyDescent="0.35">
      <c r="A66" s="254" t="s">
        <v>1255</v>
      </c>
      <c r="D66" s="3056" t="s">
        <v>1564</v>
      </c>
      <c r="E66" s="3056"/>
      <c r="F66" s="3056"/>
      <c r="G66" s="3056"/>
      <c r="H66" s="3056"/>
      <c r="I66" s="3056"/>
      <c r="J66" s="3057"/>
      <c r="K66" s="412"/>
    </row>
    <row r="67" spans="1:11" ht="37.5" customHeight="1" thickBot="1" x14ac:dyDescent="0.4">
      <c r="A67" s="88"/>
      <c r="B67" s="85"/>
      <c r="C67" s="85"/>
      <c r="D67" s="3041"/>
      <c r="E67" s="3041"/>
      <c r="F67" s="3041"/>
      <c r="G67" s="3041"/>
      <c r="H67" s="3041"/>
      <c r="I67" s="3041"/>
      <c r="J67" s="3042"/>
      <c r="K67" s="412"/>
    </row>
    <row r="68" spans="1:11" ht="15" thickBot="1" x14ac:dyDescent="0.4"/>
    <row r="69" spans="1:11" ht="15" thickBot="1" x14ac:dyDescent="0.4">
      <c r="A69" s="97" t="s">
        <v>1257</v>
      </c>
      <c r="B69" s="98"/>
      <c r="C69" s="64"/>
      <c r="D69" s="64"/>
      <c r="E69" s="65"/>
    </row>
    <row r="70" spans="1:11" x14ac:dyDescent="0.35">
      <c r="A70" s="99"/>
      <c r="B70" s="880" t="s">
        <v>1480</v>
      </c>
      <c r="C70" s="112" t="s">
        <v>1179</v>
      </c>
      <c r="D70" s="69"/>
      <c r="E70" s="100"/>
    </row>
    <row r="71" spans="1:11" x14ac:dyDescent="0.35">
      <c r="A71" s="99"/>
      <c r="B71" s="255" t="s">
        <v>1481</v>
      </c>
      <c r="C71" s="255">
        <v>0.32</v>
      </c>
      <c r="D71" s="69"/>
      <c r="E71" s="100"/>
    </row>
    <row r="72" spans="1:11" x14ac:dyDescent="0.35">
      <c r="A72" s="99"/>
      <c r="B72" s="255" t="s">
        <v>1482</v>
      </c>
      <c r="C72" s="255">
        <v>0.41</v>
      </c>
      <c r="D72" s="69"/>
      <c r="E72" s="100"/>
    </row>
    <row r="73" spans="1:11" x14ac:dyDescent="0.35">
      <c r="A73" s="99"/>
      <c r="B73" s="255" t="s">
        <v>1278</v>
      </c>
      <c r="C73" s="255">
        <v>0.46</v>
      </c>
      <c r="D73" s="69"/>
      <c r="E73" s="100"/>
    </row>
    <row r="74" spans="1:11" x14ac:dyDescent="0.35">
      <c r="A74" s="99"/>
      <c r="B74" s="255" t="s">
        <v>1483</v>
      </c>
      <c r="C74" s="255">
        <v>0.51</v>
      </c>
      <c r="D74" s="69"/>
      <c r="E74" s="100"/>
    </row>
    <row r="75" spans="1:11" x14ac:dyDescent="0.35">
      <c r="A75" s="99"/>
      <c r="B75" s="255" t="s">
        <v>1484</v>
      </c>
      <c r="C75" s="255">
        <v>0.36</v>
      </c>
      <c r="D75" s="69"/>
      <c r="E75" s="100"/>
    </row>
    <row r="76" spans="1:11" x14ac:dyDescent="0.35">
      <c r="A76" s="99"/>
      <c r="B76" s="255" t="s">
        <v>1282</v>
      </c>
      <c r="C76" s="255">
        <v>0.36</v>
      </c>
      <c r="D76" s="69"/>
      <c r="E76" s="100"/>
    </row>
    <row r="77" spans="1:11" x14ac:dyDescent="0.35">
      <c r="A77" s="99"/>
      <c r="B77" s="69"/>
      <c r="C77" s="69"/>
      <c r="D77" s="69"/>
      <c r="E77" s="100"/>
    </row>
    <row r="78" spans="1:11" x14ac:dyDescent="0.35">
      <c r="A78" s="99"/>
      <c r="B78" s="180" t="s">
        <v>1565</v>
      </c>
      <c r="C78" s="69"/>
      <c r="D78" s="69"/>
      <c r="E78" s="100"/>
    </row>
    <row r="79" spans="1:11" x14ac:dyDescent="0.35">
      <c r="A79" s="99"/>
      <c r="B79" s="49" t="s">
        <v>1566</v>
      </c>
      <c r="C79" s="69"/>
      <c r="D79" s="69"/>
      <c r="E79" s="100"/>
    </row>
    <row r="80" spans="1:11" x14ac:dyDescent="0.35">
      <c r="A80" s="99"/>
      <c r="B80" s="49" t="s">
        <v>1529</v>
      </c>
      <c r="C80" s="69"/>
      <c r="D80" s="69"/>
      <c r="E80" s="100"/>
    </row>
    <row r="81" spans="1:5" ht="15" thickBot="1" x14ac:dyDescent="0.4">
      <c r="A81" s="261"/>
      <c r="B81" s="161"/>
      <c r="C81" s="161"/>
      <c r="D81" s="161"/>
      <c r="E81" s="163"/>
    </row>
  </sheetData>
  <customSheetViews>
    <customSheetView guid="{ECD6FE6A-9548-414E-B8AA-6998703C57E0}" scale="60" showPageBreaks="1" fitToPage="1" view="pageBreakPreview">
      <pageMargins left="0" right="0" top="0" bottom="0" header="0" footer="0"/>
      <pageSetup scale="37" orientation="landscape" verticalDpi="300" r:id="rId1"/>
    </customSheetView>
    <customSheetView guid="{11DE45F5-F478-4ED6-8DFF-12002C22A637}" scale="60" showPageBreaks="1" fitToPage="1" view="pageBreakPreview">
      <pageMargins left="0" right="0" top="0" bottom="0" header="0" footer="0"/>
      <pageSetup scale="37" orientation="landscape" verticalDpi="300" r:id="rId2"/>
    </customSheetView>
  </customSheetViews>
  <mergeCells count="10">
    <mergeCell ref="L1:N1"/>
    <mergeCell ref="O1:Q1"/>
    <mergeCell ref="A7:J7"/>
    <mergeCell ref="A12:J12"/>
    <mergeCell ref="D52:E52"/>
    <mergeCell ref="D54:F54"/>
    <mergeCell ref="D56:F56"/>
    <mergeCell ref="D63:G63"/>
    <mergeCell ref="D64:G64"/>
    <mergeCell ref="D66:J67"/>
  </mergeCells>
  <dataValidations disablePrompts="1" count="3">
    <dataValidation type="list" allowBlank="1" showInputMessage="1" showErrorMessage="1" sqref="D3" xr:uid="{00000000-0002-0000-0800-000000000000}">
      <formula1>MeasureType</formula1>
    </dataValidation>
    <dataValidation type="list" allowBlank="1" showInputMessage="1" showErrorMessage="1" sqref="H3" xr:uid="{00000000-0002-0000-0800-000001000000}">
      <formula1>EStarG1</formula1>
    </dataValidation>
    <dataValidation type="list" allowBlank="1" showInputMessage="1" showErrorMessage="1" sqref="G3" xr:uid="{00000000-0002-0000-0800-000002000000}">
      <formula1>Fuel1</formula1>
    </dataValidation>
  </dataValidations>
  <pageMargins left="0.7" right="0.7" top="0.75" bottom="0.75" header="0.3" footer="0.3"/>
  <pageSetup scale="37" orientation="landscape" verticalDpi="30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AG68"/>
  <sheetViews>
    <sheetView topLeftCell="A40" zoomScaleNormal="100" zoomScaleSheetLayoutView="90" workbookViewId="0">
      <selection activeCell="B62" sqref="B62:D64"/>
    </sheetView>
  </sheetViews>
  <sheetFormatPr defaultRowHeight="14.5" x14ac:dyDescent="0.35"/>
  <cols>
    <col min="1" max="1" width="24.453125" customWidth="1"/>
    <col min="2" max="2" width="34.453125" customWidth="1"/>
    <col min="3" max="3" width="23.453125" customWidth="1"/>
    <col min="4" max="4" width="17.54296875" customWidth="1"/>
    <col min="5" max="5" width="27.54296875" customWidth="1"/>
    <col min="6" max="6" width="11.81640625" customWidth="1"/>
    <col min="7" max="7" width="45" customWidth="1"/>
    <col min="8" max="8" width="52.81640625" bestFit="1" customWidth="1"/>
    <col min="9" max="9" width="10.7265625" customWidth="1"/>
    <col min="10" max="10" width="15" customWidth="1"/>
    <col min="11" max="11" width="16.7265625" customWidth="1"/>
    <col min="12" max="12" width="12.54296875" customWidth="1"/>
    <col min="13" max="13" width="11" customWidth="1"/>
    <col min="14" max="14" width="10.26953125" customWidth="1"/>
    <col min="15" max="15" width="13.54296875" customWidth="1"/>
    <col min="16" max="16" width="13.1796875" customWidth="1"/>
    <col min="18" max="18" width="12.81640625" customWidth="1"/>
    <col min="19" max="19" width="16.26953125" customWidth="1"/>
  </cols>
  <sheetData>
    <row r="1" spans="1:33" x14ac:dyDescent="0.35">
      <c r="A1" s="969" t="s">
        <v>545</v>
      </c>
      <c r="B1" s="968" t="s">
        <v>1567</v>
      </c>
      <c r="C1" s="968"/>
      <c r="D1" s="968"/>
      <c r="E1" s="967"/>
      <c r="F1" s="967"/>
      <c r="G1" s="967"/>
      <c r="H1" s="967"/>
      <c r="I1" s="967"/>
      <c r="J1" s="967"/>
      <c r="K1" s="967"/>
      <c r="L1" s="3010" t="s">
        <v>1032</v>
      </c>
      <c r="M1" s="3011"/>
      <c r="N1" s="3011"/>
      <c r="O1" s="3012"/>
      <c r="P1" s="3013" t="s">
        <v>1033</v>
      </c>
      <c r="Q1" s="3014"/>
      <c r="R1" s="3014"/>
      <c r="S1" s="3014"/>
      <c r="T1" s="3061" t="s">
        <v>1158</v>
      </c>
      <c r="U1" s="3062"/>
      <c r="V1" s="3062"/>
      <c r="W1" s="3062"/>
      <c r="X1" s="3062"/>
      <c r="Y1" s="3062"/>
      <c r="Z1" s="3062"/>
      <c r="AA1" s="3062"/>
      <c r="AB1" s="3062"/>
      <c r="AC1" s="3062"/>
      <c r="AD1" s="3062"/>
      <c r="AE1" s="2621"/>
    </row>
    <row r="2" spans="1:33" ht="29.5" x14ac:dyDescent="0.4">
      <c r="A2" s="969" t="s">
        <v>1035</v>
      </c>
      <c r="B2" s="969" t="s">
        <v>155</v>
      </c>
      <c r="C2" s="953" t="s">
        <v>1036</v>
      </c>
      <c r="D2" s="953" t="s">
        <v>1037</v>
      </c>
      <c r="E2" s="952" t="s">
        <v>1038</v>
      </c>
      <c r="F2" s="952" t="s">
        <v>1568</v>
      </c>
      <c r="G2" s="952" t="s">
        <v>1569</v>
      </c>
      <c r="H2" s="952" t="s">
        <v>1039</v>
      </c>
      <c r="I2" s="952" t="s">
        <v>1570</v>
      </c>
      <c r="J2" s="952" t="s">
        <v>1290</v>
      </c>
      <c r="K2" s="969" t="s">
        <v>1041</v>
      </c>
      <c r="L2" s="970" t="s">
        <v>1044</v>
      </c>
      <c r="M2" s="970" t="s">
        <v>1045</v>
      </c>
      <c r="N2" s="970" t="s">
        <v>1046</v>
      </c>
      <c r="O2" s="970" t="s">
        <v>1164</v>
      </c>
      <c r="P2" s="970" t="s">
        <v>1044</v>
      </c>
      <c r="Q2" s="970" t="s">
        <v>1045</v>
      </c>
      <c r="R2" s="970" t="s">
        <v>1046</v>
      </c>
      <c r="S2" s="971" t="s">
        <v>1164</v>
      </c>
      <c r="T2" s="349" t="s">
        <v>1354</v>
      </c>
      <c r="U2" s="349" t="s">
        <v>1571</v>
      </c>
      <c r="V2" s="349" t="s">
        <v>1572</v>
      </c>
      <c r="W2" s="349" t="s">
        <v>1573</v>
      </c>
      <c r="X2" s="349" t="s">
        <v>1574</v>
      </c>
      <c r="Y2" s="349" t="s">
        <v>1575</v>
      </c>
      <c r="Z2" s="349" t="s">
        <v>1576</v>
      </c>
      <c r="AA2" s="349" t="s">
        <v>1577</v>
      </c>
      <c r="AB2" s="349" t="s">
        <v>1300</v>
      </c>
      <c r="AC2" s="349" t="s">
        <v>1578</v>
      </c>
      <c r="AD2" s="349" t="s">
        <v>1579</v>
      </c>
      <c r="AE2" s="2622" t="s">
        <v>1580</v>
      </c>
      <c r="AF2" s="55"/>
      <c r="AG2" s="55"/>
    </row>
    <row r="3" spans="1:33" ht="43.5" x14ac:dyDescent="0.35">
      <c r="A3" s="966" t="s">
        <v>552</v>
      </c>
      <c r="B3" s="966" t="str">
        <f>$B$1&amp;"- "&amp;G3&amp;" - "&amp;E3</f>
        <v>High Efficiency Pre-Rinse Spray Valve- Medium-sized casual dining restaurants - DI</v>
      </c>
      <c r="C3" s="972" t="s">
        <v>1581</v>
      </c>
      <c r="D3" s="957" t="s">
        <v>1582</v>
      </c>
      <c r="E3" s="69" t="s">
        <v>1583</v>
      </c>
      <c r="F3" s="610" t="s">
        <v>1584</v>
      </c>
      <c r="G3" s="973" t="s">
        <v>1585</v>
      </c>
      <c r="H3" s="974">
        <f>+$B$40</f>
        <v>5</v>
      </c>
      <c r="I3" s="975"/>
      <c r="J3" s="976"/>
      <c r="K3" s="972" t="s">
        <v>1187</v>
      </c>
      <c r="L3" s="977"/>
      <c r="M3" s="978"/>
      <c r="N3" s="1650">
        <f>IF(F3=$A$68,T3*8.33*1*(U3-V3)*(1/Y3)/100000*(1-AD3),0)</f>
        <v>237.414996</v>
      </c>
      <c r="O3" s="1650">
        <f>T3</f>
        <v>32572.800000000003</v>
      </c>
      <c r="P3" s="977"/>
      <c r="Q3" s="978"/>
      <c r="R3" s="1650">
        <f>N3*H3</f>
        <v>1187.0749800000001</v>
      </c>
      <c r="S3" s="1654">
        <f>O3*H3</f>
        <v>162864</v>
      </c>
      <c r="T3" s="2625">
        <f>(Z3-AA3)*60*AB3*AC3*AE3</f>
        <v>32572.800000000003</v>
      </c>
      <c r="U3" s="49">
        <f>V3+$B$22</f>
        <v>120.7</v>
      </c>
      <c r="V3" s="49">
        <f>+$B$25</f>
        <v>50.7</v>
      </c>
      <c r="W3" s="291">
        <f>+$B$27</f>
        <v>0.98</v>
      </c>
      <c r="X3" s="49">
        <f>IF(F3=$A$67,1,0)</f>
        <v>0</v>
      </c>
      <c r="Y3" s="291">
        <f>+$B$30</f>
        <v>0.8</v>
      </c>
      <c r="Z3" s="1655">
        <f>VLOOKUP(E3,$A$62:$C$64,2,FALSE)</f>
        <v>2.14</v>
      </c>
      <c r="AA3" s="1655">
        <f>VLOOKUP(E3,$A$62:$C$64,3,FALSE)</f>
        <v>0.98</v>
      </c>
      <c r="AB3" s="49">
        <f>VLOOKUP(G3,$A$49:$B$51,2,FALSE)</f>
        <v>1.5</v>
      </c>
      <c r="AC3" s="49">
        <f>+$B$37</f>
        <v>312</v>
      </c>
      <c r="AD3" s="49">
        <f>+IF(F3="Gas",0,1)</f>
        <v>0</v>
      </c>
      <c r="AE3" s="2624">
        <f>VLOOKUP(E3,$A$62:$D$64,4,FALSE)</f>
        <v>1</v>
      </c>
    </row>
    <row r="4" spans="1:33" ht="29" x14ac:dyDescent="0.35">
      <c r="A4" s="966" t="s">
        <v>550</v>
      </c>
      <c r="B4" s="966" t="str">
        <f>$B$1&amp;"- "&amp;G4&amp;" - "&amp;E4</f>
        <v>High Efficiency Pre-Rinse Spray Valve- Small, quick- service restaurants - DI</v>
      </c>
      <c r="C4" s="972" t="s">
        <v>549</v>
      </c>
      <c r="D4" s="957" t="s">
        <v>1582</v>
      </c>
      <c r="E4" s="69" t="s">
        <v>1583</v>
      </c>
      <c r="F4" s="610" t="s">
        <v>1584</v>
      </c>
      <c r="G4" s="973" t="s">
        <v>1586</v>
      </c>
      <c r="H4" s="974">
        <f>+$B$40</f>
        <v>5</v>
      </c>
      <c r="I4" s="975"/>
      <c r="J4" s="976"/>
      <c r="K4" s="972" t="s">
        <v>1187</v>
      </c>
      <c r="L4" s="977"/>
      <c r="M4" s="978"/>
      <c r="N4" s="1650">
        <f>IF(F4=$A$68,T4*8.33*1*(U4-V4)*(1/Y4)/100000*(1-AD4),0)</f>
        <v>158.27666400000004</v>
      </c>
      <c r="O4" s="1650">
        <f>T4</f>
        <v>21715.200000000004</v>
      </c>
      <c r="P4" s="977"/>
      <c r="Q4" s="978"/>
      <c r="R4" s="1650">
        <f>N4*H4</f>
        <v>791.38332000000014</v>
      </c>
      <c r="S4" s="1654">
        <f>O4*H4</f>
        <v>108576.00000000003</v>
      </c>
      <c r="T4" s="2625">
        <f>(Z4-AA4)*60*AB4*AC4*AE4</f>
        <v>21715.200000000004</v>
      </c>
      <c r="U4" s="49">
        <f>V4+$B$22</f>
        <v>120.7</v>
      </c>
      <c r="V4" s="49">
        <f>+$B$25</f>
        <v>50.7</v>
      </c>
      <c r="W4" s="291">
        <f>+$B$27</f>
        <v>0.98</v>
      </c>
      <c r="X4" s="49">
        <f>IF(F4=$A$67,1,0)</f>
        <v>0</v>
      </c>
      <c r="Y4" s="291">
        <f>+$B$30</f>
        <v>0.8</v>
      </c>
      <c r="Z4" s="1655">
        <f>VLOOKUP(E4,$A$62:$C$64,2,FALSE)</f>
        <v>2.14</v>
      </c>
      <c r="AA4" s="1655">
        <f>VLOOKUP(E4,$A$62:$C$64,3,FALSE)</f>
        <v>0.98</v>
      </c>
      <c r="AB4" s="49">
        <f>VLOOKUP(G4,$A$49:$B$51,2,FALSE)</f>
        <v>1</v>
      </c>
      <c r="AC4" s="49">
        <f>+$B$37</f>
        <v>312</v>
      </c>
      <c r="AD4" s="49">
        <f>+IF(F4="Gas",0,1)</f>
        <v>0</v>
      </c>
      <c r="AE4" s="2624">
        <f>VLOOKUP(E4,$A$62:$D$64,4,FALSE)</f>
        <v>1</v>
      </c>
    </row>
    <row r="5" spans="1:33" ht="28" customHeight="1" x14ac:dyDescent="0.35">
      <c r="A5" s="966" t="s">
        <v>1587</v>
      </c>
      <c r="B5" s="966" t="str">
        <f>$B$1&amp;"- "&amp;G5&amp;" - "&amp;E5</f>
        <v>High Efficiency Pre-Rinse Spray Valve- Large institutional establishments with cafeteria - DI</v>
      </c>
      <c r="C5" s="972" t="s">
        <v>1588</v>
      </c>
      <c r="D5" s="957" t="s">
        <v>1582</v>
      </c>
      <c r="E5" s="69" t="s">
        <v>1583</v>
      </c>
      <c r="F5" s="610" t="s">
        <v>1584</v>
      </c>
      <c r="G5" s="973" t="s">
        <v>1589</v>
      </c>
      <c r="H5" s="974">
        <f>+$B$40</f>
        <v>5</v>
      </c>
      <c r="I5" s="975"/>
      <c r="J5" s="976"/>
      <c r="K5" s="972" t="s">
        <v>1187</v>
      </c>
      <c r="L5" s="977"/>
      <c r="M5" s="978"/>
      <c r="N5" s="1650">
        <f>IF(F5=$A$68,T5*8.33*1*(U5-V5)*(1/Y5)/100000*(1-AD5),0)</f>
        <v>474.829992</v>
      </c>
      <c r="O5" s="1650">
        <f>T5</f>
        <v>65145.600000000006</v>
      </c>
      <c r="P5" s="977"/>
      <c r="Q5" s="978"/>
      <c r="R5" s="1650">
        <f>N5*H5</f>
        <v>2374.1499600000002</v>
      </c>
      <c r="S5" s="1654">
        <f>O5*H5</f>
        <v>325728</v>
      </c>
      <c r="T5" s="2625">
        <f>(Z5-AA5)*60*AB5*AC5*AE5</f>
        <v>65145.600000000006</v>
      </c>
      <c r="U5" s="49">
        <f>V5+$B$22</f>
        <v>120.7</v>
      </c>
      <c r="V5" s="49">
        <f>+$B$25</f>
        <v>50.7</v>
      </c>
      <c r="W5" s="291">
        <f>+$B$27</f>
        <v>0.98</v>
      </c>
      <c r="X5" s="49">
        <f>IF(F5=$A$67,1,0)</f>
        <v>0</v>
      </c>
      <c r="Y5" s="291">
        <f>+$B$30</f>
        <v>0.8</v>
      </c>
      <c r="Z5" s="1655">
        <f>VLOOKUP(E5,$A$62:$C$64,2,FALSE)</f>
        <v>2.14</v>
      </c>
      <c r="AA5" s="1655">
        <f>VLOOKUP(E5,$A$62:$C$64,3,FALSE)</f>
        <v>0.98</v>
      </c>
      <c r="AB5" s="49">
        <f>VLOOKUP(G5,$A$49:$B$51,2,FALSE)</f>
        <v>3</v>
      </c>
      <c r="AC5" s="49">
        <f>+$B$37</f>
        <v>312</v>
      </c>
      <c r="AD5" s="49">
        <f>+IF(F5="Gas",0,1)</f>
        <v>0</v>
      </c>
      <c r="AE5" s="2624">
        <f>VLOOKUP(E5,$A$62:$D$64,4,FALSE)</f>
        <v>1</v>
      </c>
    </row>
    <row r="6" spans="1:33" ht="43.5" x14ac:dyDescent="0.35">
      <c r="A6" s="966" t="s">
        <v>1590</v>
      </c>
      <c r="B6" s="966" t="str">
        <f>$B$1&amp;"- "&amp;G6&amp;" - "&amp;E6</f>
        <v>High Efficiency Pre-Rinse Spray Valve- Medium-sized casual dining restaurants - TOS</v>
      </c>
      <c r="C6" s="972" t="s">
        <v>1591</v>
      </c>
      <c r="D6" s="957" t="s">
        <v>1582</v>
      </c>
      <c r="E6" s="69" t="s">
        <v>1072</v>
      </c>
      <c r="F6" s="610" t="s">
        <v>1584</v>
      </c>
      <c r="G6" s="973" t="s">
        <v>1585</v>
      </c>
      <c r="H6" s="974">
        <f>+$B$40</f>
        <v>5</v>
      </c>
      <c r="I6" s="975"/>
      <c r="J6" s="976"/>
      <c r="K6" s="972" t="s">
        <v>1187</v>
      </c>
      <c r="L6" s="977"/>
      <c r="M6" s="978"/>
      <c r="N6" s="1650">
        <f>IF(F6=$A$68,T6*8.33*1*(U6-V6)*(1/Y6)/100000*(1-AD6),0)</f>
        <v>51.167025000000002</v>
      </c>
      <c r="O6" s="1650">
        <f>T6</f>
        <v>7020</v>
      </c>
      <c r="P6" s="977"/>
      <c r="Q6" s="978"/>
      <c r="R6" s="1650">
        <f>N6*H6</f>
        <v>255.83512500000001</v>
      </c>
      <c r="S6" s="1654">
        <f>O6*H6</f>
        <v>35100</v>
      </c>
      <c r="T6" s="2625">
        <f>(Z6-AA6)*60*AB6*AC6*AE6</f>
        <v>7020</v>
      </c>
      <c r="U6" s="49">
        <f>V6+$B$22</f>
        <v>120.7</v>
      </c>
      <c r="V6" s="49">
        <f>+$B$25</f>
        <v>50.7</v>
      </c>
      <c r="W6" s="291">
        <f>+$B$27</f>
        <v>0.98</v>
      </c>
      <c r="X6" s="49">
        <f>IF(F6=$A$67,1,0)</f>
        <v>0</v>
      </c>
      <c r="Y6" s="291">
        <f>+$B$30</f>
        <v>0.8</v>
      </c>
      <c r="Z6" s="1655">
        <f>VLOOKUP(E6,$A$62:$C$64,2,FALSE)</f>
        <v>1.23</v>
      </c>
      <c r="AA6" s="1655">
        <f>VLOOKUP(E6,$A$62:$C$64,3,FALSE)</f>
        <v>0.98</v>
      </c>
      <c r="AB6" s="49">
        <f>VLOOKUP(G6,$A$49:$B$51,2,FALSE)</f>
        <v>1.5</v>
      </c>
      <c r="AC6" s="49">
        <f>+$B$37</f>
        <v>312</v>
      </c>
      <c r="AD6" s="49">
        <f>+IF(F6="Gas",0,1)</f>
        <v>0</v>
      </c>
      <c r="AE6" s="2624">
        <f>VLOOKUP(E6,$A$62:$D$64,4,FALSE)</f>
        <v>1</v>
      </c>
    </row>
    <row r="7" spans="1:33" s="85" customFormat="1" ht="15" thickBot="1" x14ac:dyDescent="0.4">
      <c r="A7" s="980"/>
      <c r="B7" s="980"/>
      <c r="C7" s="981"/>
      <c r="D7" s="982"/>
      <c r="E7" s="980"/>
      <c r="F7" s="980"/>
      <c r="G7" s="980"/>
      <c r="H7" s="980"/>
      <c r="I7" s="980"/>
      <c r="J7" s="980"/>
      <c r="K7" s="980"/>
      <c r="L7" s="980"/>
      <c r="M7" s="980"/>
      <c r="N7" s="1651"/>
      <c r="O7" s="1651"/>
      <c r="P7" s="980"/>
      <c r="Q7" s="980"/>
      <c r="R7" s="1651"/>
      <c r="S7" s="1651"/>
      <c r="W7" s="635"/>
      <c r="Y7" s="635"/>
    </row>
    <row r="8" spans="1:33" ht="15" thickTop="1" x14ac:dyDescent="0.35">
      <c r="A8" s="983"/>
      <c r="B8" s="984" t="s">
        <v>1592</v>
      </c>
      <c r="C8" s="985"/>
      <c r="D8" s="984"/>
      <c r="E8" s="983"/>
      <c r="F8" s="983"/>
      <c r="G8" s="983"/>
      <c r="H8" s="983"/>
      <c r="I8" s="983"/>
      <c r="J8" s="983"/>
      <c r="K8" s="983"/>
      <c r="L8" s="983"/>
      <c r="M8" s="983"/>
      <c r="N8" s="1652"/>
      <c r="O8" s="1652"/>
      <c r="P8" s="983"/>
      <c r="Q8" s="983"/>
      <c r="R8" s="1652"/>
      <c r="S8" s="1652"/>
      <c r="T8" s="48" t="s">
        <v>1082</v>
      </c>
      <c r="W8" s="115"/>
      <c r="Y8" s="115"/>
    </row>
    <row r="9" spans="1:33" ht="29" x14ac:dyDescent="0.35">
      <c r="A9" s="966" t="s">
        <v>544</v>
      </c>
      <c r="B9" s="966" t="str">
        <f>$B$1&amp;"- "&amp;G9&amp;" - "&amp;E9</f>
        <v>High Efficiency Pre-Rinse Spray Valve- Average of all buildings - DI</v>
      </c>
      <c r="C9" s="972" t="s">
        <v>543</v>
      </c>
      <c r="D9" s="957" t="s">
        <v>1582</v>
      </c>
      <c r="E9" s="69" t="str">
        <f>E5</f>
        <v>DI</v>
      </c>
      <c r="F9" s="610" t="s">
        <v>1584</v>
      </c>
      <c r="G9" s="973" t="s">
        <v>1593</v>
      </c>
      <c r="H9" s="974">
        <f>+$B$40</f>
        <v>5</v>
      </c>
      <c r="I9" s="975"/>
      <c r="J9" s="976"/>
      <c r="K9" s="972" t="s">
        <v>1187</v>
      </c>
      <c r="L9" s="986"/>
      <c r="M9" s="987"/>
      <c r="N9" s="1653">
        <f>N4*0.4+N3*0.45+N5*0.15</f>
        <v>241.37191260000003</v>
      </c>
      <c r="O9" s="1653">
        <f>O4*0.4+O3*0.45+O5*0.15</f>
        <v>33115.680000000008</v>
      </c>
      <c r="P9" s="986"/>
      <c r="Q9" s="986"/>
      <c r="R9" s="1653">
        <f>R4*0.4+R3*0.45+R5*0.15</f>
        <v>1206.8595630000002</v>
      </c>
      <c r="S9" s="1653">
        <f>S4*0.4+S3*0.45+S5*0.15</f>
        <v>165578.40000000002</v>
      </c>
      <c r="T9" t="s">
        <v>1594</v>
      </c>
      <c r="W9" s="115"/>
      <c r="Y9" s="115"/>
    </row>
    <row r="10" spans="1:33" ht="29" x14ac:dyDescent="0.35">
      <c r="A10" s="966" t="s">
        <v>1595</v>
      </c>
      <c r="B10" s="966" t="s">
        <v>1596</v>
      </c>
      <c r="C10" s="972" t="s">
        <v>1597</v>
      </c>
      <c r="D10" s="957" t="s">
        <v>1582</v>
      </c>
      <c r="E10" s="69" t="s">
        <v>1598</v>
      </c>
      <c r="F10" s="610" t="s">
        <v>1584</v>
      </c>
      <c r="G10" s="973" t="s">
        <v>1593</v>
      </c>
      <c r="H10" s="974">
        <f>+$B$40</f>
        <v>5</v>
      </c>
      <c r="I10" s="975"/>
      <c r="J10" s="976"/>
      <c r="K10" s="972" t="s">
        <v>1187</v>
      </c>
      <c r="L10" s="986"/>
      <c r="M10" s="987"/>
      <c r="N10" s="1653">
        <f>N4*0.4+N3*0.45+N5*0.15</f>
        <v>241.37191260000003</v>
      </c>
      <c r="O10" s="1653">
        <f>O4*0.4+O3*0.45+O5*0.15</f>
        <v>33115.680000000008</v>
      </c>
      <c r="P10" s="986"/>
      <c r="Q10" s="986"/>
      <c r="R10" s="1653">
        <f>R4*0.4+R3*0.45+R5*0.15</f>
        <v>1206.8595630000002</v>
      </c>
      <c r="S10" s="1653">
        <f>S4*0.4+S3*0.45+S5*0.15</f>
        <v>165578.40000000002</v>
      </c>
      <c r="T10" t="s">
        <v>1594</v>
      </c>
      <c r="W10" s="115"/>
      <c r="Y10" s="115"/>
    </row>
    <row r="11" spans="1:33" ht="15" thickBot="1" x14ac:dyDescent="0.4">
      <c r="N11" s="298"/>
    </row>
    <row r="12" spans="1:33" ht="15" thickBot="1" x14ac:dyDescent="0.4">
      <c r="A12" s="74" t="s">
        <v>1188</v>
      </c>
      <c r="B12" s="64"/>
      <c r="C12" s="64"/>
      <c r="D12" s="64"/>
      <c r="E12" s="65"/>
    </row>
    <row r="13" spans="1:33" x14ac:dyDescent="0.35">
      <c r="A13" s="67" t="s">
        <v>1599</v>
      </c>
      <c r="B13" s="69"/>
      <c r="C13" s="69"/>
      <c r="D13" s="69"/>
      <c r="E13" s="70"/>
    </row>
    <row r="14" spans="1:33" x14ac:dyDescent="0.35">
      <c r="A14" s="67" t="s">
        <v>1600</v>
      </c>
      <c r="B14" s="69"/>
      <c r="C14" s="69"/>
      <c r="D14" s="69"/>
      <c r="E14" s="70"/>
      <c r="O14" s="298"/>
    </row>
    <row r="15" spans="1:33" ht="15" thickBot="1" x14ac:dyDescent="0.4">
      <c r="A15" s="71" t="s">
        <v>1601</v>
      </c>
      <c r="B15" s="72"/>
      <c r="C15" s="72"/>
      <c r="D15" s="72"/>
      <c r="E15" s="73"/>
    </row>
    <row r="16" spans="1:33" ht="15" thickBot="1" x14ac:dyDescent="0.4">
      <c r="A16" s="154" t="s">
        <v>1078</v>
      </c>
      <c r="B16" s="2619">
        <v>44474</v>
      </c>
    </row>
    <row r="17" spans="1:19" ht="15" thickBot="1" x14ac:dyDescent="0.4">
      <c r="A17" s="154" t="s">
        <v>1079</v>
      </c>
      <c r="B17" s="2620" t="s">
        <v>1602</v>
      </c>
    </row>
    <row r="18" spans="1:19" ht="15" thickBot="1" x14ac:dyDescent="0.4"/>
    <row r="19" spans="1:19" ht="15" thickBot="1" x14ac:dyDescent="0.4">
      <c r="A19" s="637" t="s">
        <v>1285</v>
      </c>
      <c r="B19" s="638" t="s">
        <v>1199</v>
      </c>
      <c r="C19" s="639" t="s">
        <v>1082</v>
      </c>
      <c r="D19" s="383"/>
      <c r="E19" s="383"/>
      <c r="F19" s="383"/>
      <c r="G19" s="384"/>
    </row>
    <row r="20" spans="1:19" x14ac:dyDescent="0.35">
      <c r="A20" s="640" t="s">
        <v>1354</v>
      </c>
      <c r="B20" s="380" t="s">
        <v>1603</v>
      </c>
      <c r="C20" s="641" t="s">
        <v>1604</v>
      </c>
      <c r="D20" s="380"/>
      <c r="E20" s="380"/>
      <c r="F20" s="380"/>
      <c r="G20" s="381"/>
      <c r="S20" s="53"/>
    </row>
    <row r="21" spans="1:19" ht="15" thickBot="1" x14ac:dyDescent="0.4">
      <c r="A21" s="99"/>
      <c r="B21" s="69"/>
      <c r="C21" s="69" t="s">
        <v>1605</v>
      </c>
      <c r="D21" s="69"/>
      <c r="E21" s="69"/>
      <c r="F21" s="69"/>
      <c r="G21" s="100"/>
    </row>
    <row r="22" spans="1:19" x14ac:dyDescent="0.35">
      <c r="A22" s="640" t="s">
        <v>1571</v>
      </c>
      <c r="B22" s="2618">
        <v>70</v>
      </c>
      <c r="C22" s="641" t="s">
        <v>1606</v>
      </c>
      <c r="D22" s="380"/>
      <c r="E22" s="380"/>
      <c r="F22" s="380"/>
      <c r="G22" s="381"/>
    </row>
    <row r="23" spans="1:19" x14ac:dyDescent="0.35">
      <c r="A23" s="99"/>
      <c r="B23" s="69"/>
      <c r="C23" s="69" t="s">
        <v>1607</v>
      </c>
      <c r="D23" s="69"/>
      <c r="E23" s="69"/>
      <c r="F23" s="69"/>
      <c r="G23" s="100"/>
    </row>
    <row r="24" spans="1:19" ht="15" thickBot="1" x14ac:dyDescent="0.4">
      <c r="A24" s="261"/>
      <c r="B24" s="161"/>
      <c r="C24" s="642" t="s">
        <v>1608</v>
      </c>
      <c r="D24" s="161"/>
      <c r="E24" s="161"/>
      <c r="F24" s="161"/>
      <c r="G24" s="163"/>
    </row>
    <row r="25" spans="1:19" x14ac:dyDescent="0.35">
      <c r="A25" s="640" t="s">
        <v>1572</v>
      </c>
      <c r="B25" s="2595">
        <v>50.7</v>
      </c>
      <c r="C25" s="641" t="s">
        <v>1609</v>
      </c>
      <c r="D25" s="380"/>
      <c r="E25" s="380"/>
      <c r="F25" s="380"/>
      <c r="G25" s="381"/>
    </row>
    <row r="26" spans="1:19" ht="15" thickBot="1" x14ac:dyDescent="0.4">
      <c r="A26" s="261"/>
      <c r="B26" s="161"/>
      <c r="C26" s="161" t="s">
        <v>1610</v>
      </c>
      <c r="D26" s="161"/>
      <c r="E26" s="161"/>
      <c r="F26" s="161"/>
      <c r="G26" s="163"/>
    </row>
    <row r="27" spans="1:19" ht="15" x14ac:dyDescent="0.4">
      <c r="A27" s="640" t="s">
        <v>1573</v>
      </c>
      <c r="B27" s="2617">
        <v>0.98</v>
      </c>
      <c r="C27" s="641" t="s">
        <v>1611</v>
      </c>
      <c r="D27" s="380"/>
      <c r="E27" s="380"/>
      <c r="F27" s="380"/>
      <c r="G27" s="381"/>
    </row>
    <row r="28" spans="1:19" ht="15" thickBot="1" x14ac:dyDescent="0.4">
      <c r="A28" s="261"/>
      <c r="B28" s="161"/>
      <c r="C28" s="161" t="s">
        <v>1612</v>
      </c>
      <c r="D28" s="161"/>
      <c r="E28" s="2616"/>
      <c r="F28" s="161"/>
      <c r="G28" s="163"/>
    </row>
    <row r="29" spans="1:19" ht="15" thickBot="1" x14ac:dyDescent="0.4">
      <c r="A29" s="644" t="s">
        <v>1574</v>
      </c>
      <c r="B29" s="946" t="s">
        <v>1613</v>
      </c>
      <c r="C29" s="606" t="s">
        <v>1614</v>
      </c>
      <c r="D29" s="606"/>
      <c r="E29" s="606"/>
      <c r="F29" s="606"/>
      <c r="G29" s="607"/>
    </row>
    <row r="30" spans="1:19" ht="15" x14ac:dyDescent="0.4">
      <c r="A30" s="640" t="s">
        <v>1575</v>
      </c>
      <c r="B30" s="643">
        <v>0.8</v>
      </c>
      <c r="C30" s="641" t="s">
        <v>1615</v>
      </c>
      <c r="D30" s="380"/>
      <c r="E30" s="380"/>
      <c r="F30" s="380"/>
      <c r="G30" s="381"/>
    </row>
    <row r="31" spans="1:19" ht="15" thickBot="1" x14ac:dyDescent="0.4">
      <c r="A31" s="261"/>
      <c r="B31" s="161"/>
      <c r="C31" s="161" t="s">
        <v>1616</v>
      </c>
      <c r="D31" s="161"/>
      <c r="E31" s="161"/>
      <c r="F31" s="161"/>
      <c r="G31" s="163"/>
    </row>
    <row r="32" spans="1:19" ht="29.25" customHeight="1" x14ac:dyDescent="0.35">
      <c r="A32" s="640" t="s">
        <v>1576</v>
      </c>
      <c r="B32" s="645" t="s">
        <v>1617</v>
      </c>
      <c r="C32" s="641" t="s">
        <v>1618</v>
      </c>
      <c r="D32" s="380"/>
      <c r="E32" s="380"/>
      <c r="F32" s="380"/>
      <c r="G32" s="381"/>
    </row>
    <row r="33" spans="1:7" ht="15" thickBot="1" x14ac:dyDescent="0.4">
      <c r="A33" s="261"/>
      <c r="B33" s="161"/>
      <c r="C33" s="161" t="s">
        <v>1619</v>
      </c>
      <c r="D33" s="161"/>
      <c r="E33" s="161"/>
      <c r="F33" s="161"/>
      <c r="G33" s="163"/>
    </row>
    <row r="34" spans="1:7" x14ac:dyDescent="0.35">
      <c r="A34" s="640" t="s">
        <v>1577</v>
      </c>
      <c r="B34" s="645" t="s">
        <v>1617</v>
      </c>
      <c r="C34" s="641" t="s">
        <v>1620</v>
      </c>
      <c r="D34" s="380"/>
      <c r="E34" s="380"/>
      <c r="F34" s="380"/>
      <c r="G34" s="646"/>
    </row>
    <row r="35" spans="1:7" ht="15" thickBot="1" x14ac:dyDescent="0.4">
      <c r="A35" s="261"/>
      <c r="B35" s="161"/>
      <c r="C35" s="161" t="s">
        <v>1619</v>
      </c>
      <c r="D35" s="161"/>
      <c r="E35" s="161"/>
      <c r="F35" s="161"/>
      <c r="G35" s="163"/>
    </row>
    <row r="36" spans="1:7" ht="15" thickBot="1" x14ac:dyDescent="0.4">
      <c r="A36" s="644" t="s">
        <v>1300</v>
      </c>
      <c r="B36" s="647" t="s">
        <v>1617</v>
      </c>
      <c r="C36" s="648" t="s">
        <v>1621</v>
      </c>
      <c r="D36" s="606"/>
      <c r="E36" s="606"/>
      <c r="F36" s="606"/>
      <c r="G36" s="607"/>
    </row>
    <row r="37" spans="1:7" ht="15" thickBot="1" x14ac:dyDescent="0.4">
      <c r="A37" s="309" t="s">
        <v>1578</v>
      </c>
      <c r="B37" s="642">
        <v>312</v>
      </c>
      <c r="C37" s="642" t="s">
        <v>1622</v>
      </c>
      <c r="D37" s="161"/>
      <c r="E37" s="161"/>
      <c r="F37" s="161"/>
      <c r="G37" s="163"/>
    </row>
    <row r="38" spans="1:7" x14ac:dyDescent="0.35">
      <c r="A38" s="304" t="s">
        <v>1574</v>
      </c>
      <c r="B38" s="52"/>
      <c r="C38" s="52" t="s">
        <v>1623</v>
      </c>
      <c r="D38" s="69"/>
      <c r="E38" s="69"/>
      <c r="F38" s="69"/>
      <c r="G38" s="100"/>
    </row>
    <row r="39" spans="1:7" ht="15" thickBot="1" x14ac:dyDescent="0.4">
      <c r="A39" s="304"/>
      <c r="B39" s="52"/>
      <c r="C39" s="52" t="s">
        <v>1624</v>
      </c>
      <c r="D39" s="69"/>
      <c r="E39" s="69"/>
      <c r="F39" s="69"/>
      <c r="G39" s="100"/>
    </row>
    <row r="40" spans="1:7" x14ac:dyDescent="0.35">
      <c r="A40" s="640" t="s">
        <v>1431</v>
      </c>
      <c r="B40" s="380">
        <v>5</v>
      </c>
      <c r="C40" s="380" t="s">
        <v>1625</v>
      </c>
      <c r="D40" s="380"/>
      <c r="E40" s="380"/>
      <c r="F40" s="380"/>
      <c r="G40" s="381"/>
    </row>
    <row r="41" spans="1:7" ht="15" thickBot="1" x14ac:dyDescent="0.4">
      <c r="A41" s="261"/>
      <c r="B41" s="161"/>
      <c r="C41" s="642" t="s">
        <v>1626</v>
      </c>
      <c r="D41" s="161"/>
      <c r="E41" s="161"/>
      <c r="F41" s="161"/>
      <c r="G41" s="163"/>
    </row>
    <row r="42" spans="1:7" ht="52.5" customHeight="1" x14ac:dyDescent="0.35">
      <c r="A42" s="640" t="s">
        <v>1627</v>
      </c>
      <c r="B42" s="380"/>
      <c r="C42" s="3065" t="s">
        <v>1628</v>
      </c>
      <c r="D42" s="3065"/>
      <c r="E42" s="3065"/>
      <c r="F42" s="3065"/>
      <c r="G42" s="3066"/>
    </row>
    <row r="43" spans="1:7" x14ac:dyDescent="0.35">
      <c r="A43" s="99"/>
      <c r="B43" s="69"/>
      <c r="C43" s="69"/>
      <c r="D43" s="69"/>
      <c r="E43" s="69"/>
      <c r="F43" s="69"/>
      <c r="G43" s="100"/>
    </row>
    <row r="44" spans="1:7" ht="40.5" customHeight="1" thickBot="1" x14ac:dyDescent="0.4">
      <c r="A44" s="309" t="s">
        <v>1255</v>
      </c>
      <c r="B44" s="161"/>
      <c r="C44" s="3063" t="s">
        <v>1629</v>
      </c>
      <c r="D44" s="3063"/>
      <c r="E44" s="3063"/>
      <c r="F44" s="3063"/>
      <c r="G44" s="3064"/>
    </row>
    <row r="46" spans="1:7" ht="15" thickBot="1" x14ac:dyDescent="0.4"/>
    <row r="47" spans="1:7" ht="15" thickBot="1" x14ac:dyDescent="0.4">
      <c r="A47" s="97" t="s">
        <v>1257</v>
      </c>
      <c r="B47" s="64"/>
      <c r="C47" s="64"/>
      <c r="D47" s="65"/>
    </row>
    <row r="48" spans="1:7" x14ac:dyDescent="0.35">
      <c r="A48" s="649" t="s">
        <v>1569</v>
      </c>
      <c r="B48" s="650" t="s">
        <v>1272</v>
      </c>
      <c r="C48" s="380"/>
      <c r="D48" s="381"/>
    </row>
    <row r="49" spans="1:4" ht="26" x14ac:dyDescent="0.35">
      <c r="A49" s="631" t="s">
        <v>1586</v>
      </c>
      <c r="B49" s="632">
        <v>1</v>
      </c>
      <c r="C49" s="69"/>
      <c r="D49" s="100"/>
    </row>
    <row r="50" spans="1:4" ht="26" x14ac:dyDescent="0.35">
      <c r="A50" s="631" t="s">
        <v>1585</v>
      </c>
      <c r="B50" s="632">
        <v>1.5</v>
      </c>
      <c r="C50" s="69"/>
      <c r="D50" s="100"/>
    </row>
    <row r="51" spans="1:4" ht="26" x14ac:dyDescent="0.35">
      <c r="A51" s="631" t="s">
        <v>1589</v>
      </c>
      <c r="B51" s="632">
        <v>3</v>
      </c>
      <c r="C51" s="69"/>
      <c r="D51" s="100"/>
    </row>
    <row r="52" spans="1:4" x14ac:dyDescent="0.35">
      <c r="A52" s="255" t="s">
        <v>1363</v>
      </c>
      <c r="B52" s="124">
        <f>AVERAGE(B49:B51)</f>
        <v>1.8333333333333333</v>
      </c>
      <c r="C52" s="69"/>
      <c r="D52" s="100"/>
    </row>
    <row r="53" spans="1:4" x14ac:dyDescent="0.35">
      <c r="A53" s="99"/>
      <c r="B53" s="69"/>
      <c r="C53" s="69"/>
      <c r="D53" s="100"/>
    </row>
    <row r="54" spans="1:4" x14ac:dyDescent="0.35">
      <c r="A54" s="651" t="s">
        <v>1630</v>
      </c>
      <c r="B54" s="652"/>
      <c r="C54" s="69"/>
      <c r="D54" s="100"/>
    </row>
    <row r="55" spans="1:4" x14ac:dyDescent="0.35">
      <c r="A55" s="290" t="s">
        <v>1631</v>
      </c>
      <c r="B55" s="49"/>
      <c r="C55" s="69"/>
      <c r="D55" s="100"/>
    </row>
    <row r="56" spans="1:4" x14ac:dyDescent="0.35">
      <c r="A56" s="290"/>
      <c r="B56" s="49"/>
      <c r="C56" s="69"/>
      <c r="D56" s="100"/>
    </row>
    <row r="57" spans="1:4" x14ac:dyDescent="0.35">
      <c r="A57" s="290"/>
      <c r="B57" s="49"/>
      <c r="C57" s="69"/>
      <c r="D57" s="100"/>
    </row>
    <row r="58" spans="1:4" x14ac:dyDescent="0.35">
      <c r="A58" s="290"/>
      <c r="B58" s="49"/>
      <c r="C58" s="69"/>
      <c r="D58" s="100"/>
    </row>
    <row r="59" spans="1:4" x14ac:dyDescent="0.35">
      <c r="A59" s="99"/>
      <c r="B59" s="69"/>
      <c r="C59" s="69"/>
      <c r="D59" s="100"/>
    </row>
    <row r="60" spans="1:4" x14ac:dyDescent="0.35">
      <c r="A60" s="99"/>
      <c r="B60" s="69"/>
      <c r="C60" s="69"/>
      <c r="D60" s="100"/>
    </row>
    <row r="61" spans="1:4" x14ac:dyDescent="0.35">
      <c r="A61" s="651"/>
      <c r="B61" s="652" t="s">
        <v>1576</v>
      </c>
      <c r="C61" s="652" t="s">
        <v>1577</v>
      </c>
      <c r="D61" s="652" t="s">
        <v>1580</v>
      </c>
    </row>
    <row r="62" spans="1:4" x14ac:dyDescent="0.35">
      <c r="A62" s="290" t="s">
        <v>1072</v>
      </c>
      <c r="B62" s="1649">
        <v>1.23</v>
      </c>
      <c r="C62" s="1649">
        <v>0.98</v>
      </c>
      <c r="D62" s="2623">
        <v>1</v>
      </c>
    </row>
    <row r="63" spans="1:4" x14ac:dyDescent="0.35">
      <c r="A63" s="290" t="s">
        <v>1632</v>
      </c>
      <c r="B63" s="1649">
        <v>2.14</v>
      </c>
      <c r="C63" s="1649">
        <v>0.98</v>
      </c>
      <c r="D63" s="2623">
        <v>1</v>
      </c>
    </row>
    <row r="64" spans="1:4" x14ac:dyDescent="0.35">
      <c r="A64" s="290" t="s">
        <v>1583</v>
      </c>
      <c r="B64" s="1649">
        <v>2.14</v>
      </c>
      <c r="C64" s="1649">
        <v>0.98</v>
      </c>
      <c r="D64" s="2818">
        <v>1</v>
      </c>
    </row>
    <row r="65" spans="1:4" x14ac:dyDescent="0.35">
      <c r="A65" s="99"/>
      <c r="B65" s="69"/>
      <c r="C65" s="69"/>
      <c r="D65" s="100"/>
    </row>
    <row r="66" spans="1:4" x14ac:dyDescent="0.35">
      <c r="A66" s="651" t="s">
        <v>1574</v>
      </c>
      <c r="B66" s="69"/>
      <c r="C66" s="69"/>
      <c r="D66" s="100"/>
    </row>
    <row r="67" spans="1:4" x14ac:dyDescent="0.35">
      <c r="A67" s="290" t="s">
        <v>1566</v>
      </c>
      <c r="B67" s="69"/>
      <c r="C67" s="69"/>
      <c r="D67" s="100"/>
    </row>
    <row r="68" spans="1:4" ht="15" thickBot="1" x14ac:dyDescent="0.4">
      <c r="A68" s="653" t="s">
        <v>1584</v>
      </c>
      <c r="B68" s="161"/>
      <c r="C68" s="161"/>
      <c r="D68" s="163"/>
    </row>
  </sheetData>
  <customSheetViews>
    <customSheetView guid="{ECD6FE6A-9548-414E-B8AA-6998703C57E0}" scale="60" showPageBreaks="1" fitToPage="1" printArea="1" hiddenRows="1" view="pageBreakPreview">
      <pageMargins left="0" right="0" top="0" bottom="0" header="0" footer="0"/>
      <pageSetup scale="24" orientation="landscape" r:id="rId1"/>
    </customSheetView>
    <customSheetView guid="{11DE45F5-F478-4ED6-8DFF-12002C22A637}" scale="60" showPageBreaks="1" fitToPage="1" printArea="1" hiddenRows="1" view="pageBreakPreview">
      <pageMargins left="0" right="0" top="0" bottom="0" header="0" footer="0"/>
      <pageSetup scale="24" orientation="landscape" r:id="rId2"/>
    </customSheetView>
  </customSheetViews>
  <mergeCells count="5">
    <mergeCell ref="L1:O1"/>
    <mergeCell ref="P1:S1"/>
    <mergeCell ref="T1:AD1"/>
    <mergeCell ref="C44:G44"/>
    <mergeCell ref="C42:G42"/>
  </mergeCells>
  <dataValidations disablePrompts="1" count="6">
    <dataValidation type="list" allowBlank="1" showInputMessage="1" showErrorMessage="1" sqref="J3:J6 J9:J10" xr:uid="{00000000-0002-0000-0900-000000000000}">
      <formula1>$A$55:$A$58</formula1>
    </dataValidation>
    <dataValidation type="list" allowBlank="1" showInputMessage="1" showErrorMessage="1" sqref="J7:J8" xr:uid="{00000000-0002-0000-0900-000001000000}">
      <formula1>$A$55:$A$56</formula1>
    </dataValidation>
    <dataValidation type="list" allowBlank="1" showInputMessage="1" showErrorMessage="1" sqref="D3:D10" xr:uid="{00000000-0002-0000-0900-000002000000}">
      <formula1>MeasureType</formula1>
    </dataValidation>
    <dataValidation type="list" allowBlank="1" showInputMessage="1" showErrorMessage="1" sqref="G3:G8" xr:uid="{00000000-0002-0000-0900-000003000000}">
      <formula1>HEPRSV2</formula1>
    </dataValidation>
    <dataValidation type="list" allowBlank="1" showInputMessage="1" showErrorMessage="1" sqref="F3:F10" xr:uid="{00000000-0002-0000-0900-000004000000}">
      <formula1>Fuel1</formula1>
    </dataValidation>
    <dataValidation type="list" allowBlank="1" showInputMessage="1" showErrorMessage="1" sqref="E3:E8" xr:uid="{00000000-0002-0000-0900-000005000000}">
      <formula1>HEPRSV1</formula1>
    </dataValidation>
  </dataValidations>
  <pageMargins left="0.7" right="0.7" top="0.75" bottom="0.75" header="0.3" footer="0.3"/>
  <pageSetup scale="24" orientation="landscap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AC46"/>
  <sheetViews>
    <sheetView zoomScale="110" zoomScaleNormal="110" workbookViewId="0">
      <selection activeCell="B3" sqref="B3"/>
    </sheetView>
  </sheetViews>
  <sheetFormatPr defaultRowHeight="14.5" x14ac:dyDescent="0.35"/>
  <cols>
    <col min="1" max="1" width="22.26953125" bestFit="1" customWidth="1"/>
    <col min="2" max="2" width="26.54296875" bestFit="1" customWidth="1"/>
    <col min="3" max="3" width="20" bestFit="1" customWidth="1"/>
    <col min="4" max="4" width="17" customWidth="1"/>
    <col min="5" max="5" width="14.453125" customWidth="1"/>
    <col min="6" max="6" width="13.1796875" customWidth="1"/>
    <col min="7" max="7" width="16.1796875" bestFit="1" customWidth="1"/>
    <col min="8" max="8" width="28.81640625" bestFit="1" customWidth="1"/>
    <col min="9"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5.1796875" customWidth="1"/>
    <col min="17" max="17" width="15.81640625" customWidth="1"/>
    <col min="18" max="18" width="4.81640625" bestFit="1" customWidth="1"/>
    <col min="19" max="19" width="16.54296875" customWidth="1"/>
    <col min="20" max="20" width="16" customWidth="1"/>
    <col min="21" max="21" width="9.81640625" customWidth="1"/>
    <col min="22" max="22" width="13.26953125" customWidth="1"/>
    <col min="23" max="23" width="14.54296875" customWidth="1"/>
    <col min="24" max="24" width="11.81640625" customWidth="1"/>
    <col min="25" max="26" width="6.54296875" customWidth="1"/>
    <col min="27" max="27" width="26.26953125" bestFit="1" customWidth="1"/>
    <col min="28" max="28" width="30.26953125" bestFit="1" customWidth="1"/>
  </cols>
  <sheetData>
    <row r="1" spans="1:29" ht="15" customHeight="1" x14ac:dyDescent="0.35">
      <c r="A1" s="947" t="s">
        <v>409</v>
      </c>
      <c r="B1" s="948"/>
      <c r="C1" s="948"/>
      <c r="D1" s="948"/>
      <c r="E1" s="949"/>
      <c r="F1" s="949"/>
      <c r="G1" s="949"/>
      <c r="H1" s="949"/>
      <c r="I1" s="950"/>
      <c r="J1" s="3045" t="s">
        <v>1032</v>
      </c>
      <c r="K1" s="3046"/>
      <c r="L1" s="3047"/>
      <c r="M1" s="3045" t="s">
        <v>1033</v>
      </c>
      <c r="N1" s="3046"/>
      <c r="O1" s="3046"/>
      <c r="P1" s="3067" t="s">
        <v>1158</v>
      </c>
      <c r="Q1" s="3067"/>
      <c r="R1" s="3067"/>
      <c r="S1" s="3067"/>
      <c r="T1" s="3067"/>
      <c r="U1" s="3067"/>
      <c r="V1" s="3067"/>
      <c r="W1" s="3067"/>
      <c r="X1" s="3067"/>
      <c r="Y1" s="3067"/>
      <c r="Z1" s="3067"/>
      <c r="AA1" s="3067"/>
      <c r="AB1" s="3067"/>
      <c r="AC1" s="1188"/>
    </row>
    <row r="2" spans="1:29" s="199" customFormat="1" ht="29" x14ac:dyDescent="0.35">
      <c r="A2" s="952" t="s">
        <v>1035</v>
      </c>
      <c r="B2" s="952" t="s">
        <v>155</v>
      </c>
      <c r="C2" s="953" t="s">
        <v>1036</v>
      </c>
      <c r="D2" s="953" t="s">
        <v>1037</v>
      </c>
      <c r="E2" s="952" t="s">
        <v>1038</v>
      </c>
      <c r="F2" s="952" t="s">
        <v>1039</v>
      </c>
      <c r="G2" s="952" t="s">
        <v>1040</v>
      </c>
      <c r="H2" s="952" t="s">
        <v>1041</v>
      </c>
      <c r="I2" s="952" t="s">
        <v>1043</v>
      </c>
      <c r="J2" s="990" t="s">
        <v>1044</v>
      </c>
      <c r="K2" s="990" t="s">
        <v>1045</v>
      </c>
      <c r="L2" s="990" t="s">
        <v>1046</v>
      </c>
      <c r="M2" s="990" t="s">
        <v>1044</v>
      </c>
      <c r="N2" s="990" t="s">
        <v>1045</v>
      </c>
      <c r="O2" s="1147" t="s">
        <v>1046</v>
      </c>
      <c r="P2" s="1187" t="s">
        <v>1633</v>
      </c>
      <c r="Q2" s="1187" t="s">
        <v>1634</v>
      </c>
      <c r="R2" s="1187" t="s">
        <v>1063</v>
      </c>
      <c r="S2" s="1187" t="s">
        <v>1635</v>
      </c>
      <c r="T2" s="1187" t="s">
        <v>1636</v>
      </c>
      <c r="U2" s="1187" t="s">
        <v>1637</v>
      </c>
      <c r="V2" s="1187" t="s">
        <v>1515</v>
      </c>
      <c r="W2" s="1187" t="s">
        <v>1638</v>
      </c>
      <c r="X2" s="1187" t="s">
        <v>1639</v>
      </c>
      <c r="Y2" s="1187" t="s">
        <v>1640</v>
      </c>
      <c r="Z2" s="1187" t="s">
        <v>1641</v>
      </c>
      <c r="AA2" s="1187" t="s">
        <v>1642</v>
      </c>
      <c r="AB2" s="1187" t="s">
        <v>1643</v>
      </c>
    </row>
    <row r="3" spans="1:29" s="60" customFormat="1" x14ac:dyDescent="0.35">
      <c r="A3" s="955" t="s">
        <v>409</v>
      </c>
      <c r="B3" s="955" t="s">
        <v>408</v>
      </c>
      <c r="C3" s="956" t="s">
        <v>408</v>
      </c>
      <c r="D3" s="957" t="s">
        <v>1071</v>
      </c>
      <c r="E3" s="958" t="s">
        <v>1072</v>
      </c>
      <c r="F3" s="958">
        <f>+$B$45</f>
        <v>12</v>
      </c>
      <c r="G3" s="960"/>
      <c r="H3" s="965" t="s">
        <v>1284</v>
      </c>
      <c r="I3" s="965"/>
      <c r="J3" s="991"/>
      <c r="K3" s="992"/>
      <c r="L3" s="991">
        <f>+(P3+Q3)*R3/AA3</f>
        <v>706.68</v>
      </c>
      <c r="M3" s="991"/>
      <c r="N3" s="992"/>
      <c r="O3" s="964">
        <f>L3*F3</f>
        <v>8480.16</v>
      </c>
      <c r="P3" s="1189">
        <f>+(S3-T3)*U3*V3/AB3</f>
        <v>2500</v>
      </c>
      <c r="Q3" s="1189">
        <f>+(W3-X3)*(Y3*Z3)</f>
        <v>224000</v>
      </c>
      <c r="R3" s="1190">
        <f>+$B$22</f>
        <v>312</v>
      </c>
      <c r="S3" s="1191">
        <f>+$B$24</f>
        <v>64000</v>
      </c>
      <c r="T3" s="1191">
        <f>+$B$26</f>
        <v>54000</v>
      </c>
      <c r="U3" s="1191">
        <f>+$B$28</f>
        <v>1</v>
      </c>
      <c r="V3" s="1191">
        <f>+$B$30</f>
        <v>15</v>
      </c>
      <c r="W3" s="1191">
        <f>+$B$32</f>
        <v>140000</v>
      </c>
      <c r="X3" s="1191">
        <f>+$B$34</f>
        <v>105000</v>
      </c>
      <c r="Y3" s="1192">
        <f>+$B$36</f>
        <v>0.8</v>
      </c>
      <c r="Z3" s="1191">
        <f>+$B$38</f>
        <v>8</v>
      </c>
      <c r="AA3" s="1191">
        <f>+$B$41</f>
        <v>100000</v>
      </c>
      <c r="AB3" s="1191">
        <f>+$B$42</f>
        <v>60</v>
      </c>
    </row>
    <row r="4" spans="1:29" s="60" customFormat="1" ht="29" x14ac:dyDescent="0.35">
      <c r="A4" s="955" t="s">
        <v>1644</v>
      </c>
      <c r="B4" s="955" t="s">
        <v>1645</v>
      </c>
      <c r="C4" s="956" t="s">
        <v>1645</v>
      </c>
      <c r="D4" s="957" t="s">
        <v>1071</v>
      </c>
      <c r="E4" s="958" t="s">
        <v>1072</v>
      </c>
      <c r="F4" s="958">
        <f>+$B$45</f>
        <v>12</v>
      </c>
      <c r="G4" s="960"/>
      <c r="H4" s="965" t="s">
        <v>1284</v>
      </c>
      <c r="I4" s="965" t="s">
        <v>1075</v>
      </c>
      <c r="J4" s="991"/>
      <c r="K4" s="992"/>
      <c r="L4" s="991">
        <f>+(P4+Q4)*R4/AA4</f>
        <v>706.68</v>
      </c>
      <c r="M4" s="991"/>
      <c r="N4" s="992"/>
      <c r="O4" s="964">
        <f>L4*F4</f>
        <v>8480.16</v>
      </c>
      <c r="P4" s="1189">
        <f>+(S4-T4)*U4*V4/AB4</f>
        <v>2500</v>
      </c>
      <c r="Q4" s="1189">
        <f>+(W4-X4)*(Y4*Z4)</f>
        <v>224000</v>
      </c>
      <c r="R4" s="1190">
        <f>+$B$22</f>
        <v>312</v>
      </c>
      <c r="S4" s="1191">
        <f>+$B$24</f>
        <v>64000</v>
      </c>
      <c r="T4" s="1191">
        <f>+$B$26</f>
        <v>54000</v>
      </c>
      <c r="U4" s="1191">
        <f>+$B$28</f>
        <v>1</v>
      </c>
      <c r="V4" s="1191">
        <f>+$B$30</f>
        <v>15</v>
      </c>
      <c r="W4" s="1191">
        <f>+$B$32</f>
        <v>140000</v>
      </c>
      <c r="X4" s="1191">
        <f>+$B$34</f>
        <v>105000</v>
      </c>
      <c r="Y4" s="1192">
        <f>+$B$36</f>
        <v>0.8</v>
      </c>
      <c r="Z4" s="1191">
        <f>+$B$38</f>
        <v>8</v>
      </c>
      <c r="AA4" s="1191">
        <f>+$B$41</f>
        <v>100000</v>
      </c>
      <c r="AB4" s="1191">
        <f>+$B$42</f>
        <v>60</v>
      </c>
    </row>
    <row r="6" spans="1:29" ht="15" thickBot="1" x14ac:dyDescent="0.4"/>
    <row r="7" spans="1:29" ht="15" thickBot="1" x14ac:dyDescent="0.4">
      <c r="A7" s="154" t="s">
        <v>1078</v>
      </c>
      <c r="B7" s="1142">
        <f>'Measure-Level Adjustments'!A2</f>
        <v>44592</v>
      </c>
    </row>
    <row r="8" spans="1:29" ht="15" thickBot="1" x14ac:dyDescent="0.4">
      <c r="A8" s="154" t="s">
        <v>1079</v>
      </c>
      <c r="B8" s="577" t="s">
        <v>410</v>
      </c>
    </row>
    <row r="10" spans="1:29" ht="15" thickBot="1" x14ac:dyDescent="0.4"/>
    <row r="11" spans="1:29" ht="15" thickBot="1" x14ac:dyDescent="0.4">
      <c r="A11" s="74" t="s">
        <v>1188</v>
      </c>
      <c r="B11" s="64"/>
      <c r="C11" s="64"/>
      <c r="D11" s="64"/>
      <c r="E11" s="64"/>
      <c r="F11" s="65"/>
    </row>
    <row r="12" spans="1:29" x14ac:dyDescent="0.35">
      <c r="A12" s="99"/>
      <c r="B12" s="69"/>
      <c r="C12" s="69"/>
      <c r="D12" s="69"/>
      <c r="E12" s="69"/>
      <c r="F12" s="100"/>
    </row>
    <row r="13" spans="1:29" x14ac:dyDescent="0.35">
      <c r="A13" s="99"/>
      <c r="B13" s="69"/>
      <c r="C13" s="69"/>
      <c r="D13" s="69"/>
      <c r="E13" s="69"/>
      <c r="F13" s="100"/>
    </row>
    <row r="14" spans="1:29" ht="15" thickBot="1" x14ac:dyDescent="0.4">
      <c r="A14" s="261"/>
      <c r="B14" s="161"/>
      <c r="C14" s="161"/>
      <c r="D14" s="161"/>
      <c r="E14" s="161"/>
      <c r="F14" s="163"/>
    </row>
    <row r="16" spans="1:29" ht="15" thickBot="1" x14ac:dyDescent="0.4"/>
    <row r="17" spans="1:6" ht="15" thickBot="1" x14ac:dyDescent="0.4">
      <c r="A17" s="637" t="s">
        <v>1285</v>
      </c>
      <c r="B17" s="638" t="s">
        <v>1199</v>
      </c>
      <c r="C17" s="639" t="s">
        <v>1646</v>
      </c>
      <c r="D17" s="383"/>
      <c r="E17" s="383"/>
      <c r="F17" s="384"/>
    </row>
    <row r="18" spans="1:6" x14ac:dyDescent="0.35">
      <c r="A18" s="1152" t="s">
        <v>1633</v>
      </c>
      <c r="B18" s="1172"/>
      <c r="C18" s="1154" t="s">
        <v>1647</v>
      </c>
      <c r="D18" s="1153"/>
      <c r="E18" s="1153"/>
      <c r="F18" s="1155"/>
    </row>
    <row r="19" spans="1:6" ht="15" thickBot="1" x14ac:dyDescent="0.4">
      <c r="A19" s="1156"/>
      <c r="B19" s="1173"/>
      <c r="C19" s="1157" t="s">
        <v>1648</v>
      </c>
      <c r="D19" s="1157"/>
      <c r="E19" s="1157"/>
      <c r="F19" s="1158"/>
    </row>
    <row r="20" spans="1:6" x14ac:dyDescent="0.35">
      <c r="A20" s="1152" t="s">
        <v>1634</v>
      </c>
      <c r="B20" s="1172"/>
      <c r="C20" s="1154" t="s">
        <v>1649</v>
      </c>
      <c r="D20" s="1153"/>
      <c r="E20" s="1153"/>
      <c r="F20" s="1155"/>
    </row>
    <row r="21" spans="1:6" ht="15" thickBot="1" x14ac:dyDescent="0.4">
      <c r="A21" s="1156"/>
      <c r="B21" s="1173"/>
      <c r="C21" s="1157" t="s">
        <v>1648</v>
      </c>
      <c r="D21" s="1157"/>
      <c r="E21" s="1157"/>
      <c r="F21" s="1158"/>
    </row>
    <row r="22" spans="1:6" x14ac:dyDescent="0.35">
      <c r="A22" s="1159" t="s">
        <v>1063</v>
      </c>
      <c r="B22" s="1172">
        <v>312</v>
      </c>
      <c r="C22" s="1153" t="s">
        <v>1650</v>
      </c>
      <c r="D22" s="1153"/>
      <c r="E22" s="1153"/>
      <c r="F22" s="1155"/>
    </row>
    <row r="23" spans="1:6" ht="15" thickBot="1" x14ac:dyDescent="0.4">
      <c r="A23" s="1160"/>
      <c r="B23" s="1173"/>
      <c r="C23" s="1157" t="s">
        <v>1651</v>
      </c>
      <c r="D23" s="1157"/>
      <c r="E23" s="1157"/>
      <c r="F23" s="1158"/>
    </row>
    <row r="24" spans="1:6" x14ac:dyDescent="0.35">
      <c r="A24" s="1159" t="s">
        <v>1635</v>
      </c>
      <c r="B24" s="1174">
        <v>64000</v>
      </c>
      <c r="C24" s="1153" t="s">
        <v>1652</v>
      </c>
      <c r="D24" s="1153"/>
      <c r="E24" s="1153"/>
      <c r="F24" s="1155"/>
    </row>
    <row r="25" spans="1:6" ht="15" thickBot="1" x14ac:dyDescent="0.4">
      <c r="A25" s="1160"/>
      <c r="B25" s="1175"/>
      <c r="C25" s="1157" t="s">
        <v>1653</v>
      </c>
      <c r="D25" s="1157"/>
      <c r="E25" s="1157"/>
      <c r="F25" s="1158"/>
    </row>
    <row r="26" spans="1:6" x14ac:dyDescent="0.35">
      <c r="A26" s="1159" t="s">
        <v>1636</v>
      </c>
      <c r="B26" s="1174">
        <v>54000</v>
      </c>
      <c r="C26" s="1153" t="s">
        <v>1654</v>
      </c>
      <c r="D26" s="1153"/>
      <c r="E26" s="1153"/>
      <c r="F26" s="1155"/>
    </row>
    <row r="27" spans="1:6" ht="15" thickBot="1" x14ac:dyDescent="0.4">
      <c r="A27" s="1160"/>
      <c r="B27" s="1173"/>
      <c r="C27" s="1157" t="s">
        <v>1655</v>
      </c>
      <c r="D27" s="1157"/>
      <c r="E27" s="1157"/>
      <c r="F27" s="1158"/>
    </row>
    <row r="28" spans="1:6" x14ac:dyDescent="0.35">
      <c r="A28" s="1159" t="s">
        <v>1637</v>
      </c>
      <c r="B28" s="1172">
        <v>1</v>
      </c>
      <c r="C28" s="1153" t="s">
        <v>1656</v>
      </c>
      <c r="D28" s="1153"/>
      <c r="E28" s="1153"/>
      <c r="F28" s="1155"/>
    </row>
    <row r="29" spans="1:6" ht="15" thickBot="1" x14ac:dyDescent="0.4">
      <c r="A29" s="1160"/>
      <c r="B29" s="1173"/>
      <c r="C29" s="1157" t="s">
        <v>1657</v>
      </c>
      <c r="D29" s="1157"/>
      <c r="E29" s="1157"/>
      <c r="F29" s="1158"/>
    </row>
    <row r="30" spans="1:6" x14ac:dyDescent="0.35">
      <c r="A30" s="1159" t="s">
        <v>1515</v>
      </c>
      <c r="B30" s="1172">
        <v>15</v>
      </c>
      <c r="C30" s="1153" t="s">
        <v>1658</v>
      </c>
      <c r="D30" s="1153"/>
      <c r="E30" s="1153"/>
      <c r="F30" s="1155"/>
    </row>
    <row r="31" spans="1:6" ht="15" thickBot="1" x14ac:dyDescent="0.4">
      <c r="A31" s="1160"/>
      <c r="B31" s="1173"/>
      <c r="C31" s="1157" t="s">
        <v>1659</v>
      </c>
      <c r="D31" s="1157"/>
      <c r="E31" s="1157"/>
      <c r="F31" s="1158"/>
    </row>
    <row r="32" spans="1:6" x14ac:dyDescent="0.35">
      <c r="A32" s="1159" t="s">
        <v>1638</v>
      </c>
      <c r="B32" s="1174">
        <v>140000</v>
      </c>
      <c r="C32" s="1153" t="s">
        <v>1660</v>
      </c>
      <c r="D32" s="1153"/>
      <c r="E32" s="1153"/>
      <c r="F32" s="1155"/>
    </row>
    <row r="33" spans="1:6" ht="15" thickBot="1" x14ac:dyDescent="0.4">
      <c r="A33" s="1160"/>
      <c r="B33" s="1175"/>
      <c r="C33" s="1157" t="s">
        <v>1661</v>
      </c>
      <c r="D33" s="1157"/>
      <c r="E33" s="1157"/>
      <c r="F33" s="1158"/>
    </row>
    <row r="34" spans="1:6" ht="15" customHeight="1" x14ac:dyDescent="0.35">
      <c r="A34" s="1159" t="s">
        <v>1639</v>
      </c>
      <c r="B34" s="1174">
        <v>105000</v>
      </c>
      <c r="C34" s="1153" t="s">
        <v>1662</v>
      </c>
      <c r="D34" s="1153"/>
      <c r="E34" s="1153"/>
      <c r="F34" s="1155"/>
    </row>
    <row r="35" spans="1:6" ht="15" thickBot="1" x14ac:dyDescent="0.4">
      <c r="A35" s="1160"/>
      <c r="B35" s="1173"/>
      <c r="C35" s="1157" t="s">
        <v>1663</v>
      </c>
      <c r="D35" s="1157"/>
      <c r="E35" s="1157"/>
      <c r="F35" s="1158"/>
    </row>
    <row r="36" spans="1:6" ht="15" customHeight="1" x14ac:dyDescent="0.35">
      <c r="A36" s="1159" t="s">
        <v>1640</v>
      </c>
      <c r="B36" s="1176">
        <v>0.8</v>
      </c>
      <c r="C36" s="1153" t="s">
        <v>1664</v>
      </c>
      <c r="D36" s="1153"/>
      <c r="E36" s="1153"/>
      <c r="F36" s="1155"/>
    </row>
    <row r="37" spans="1:6" ht="15" thickBot="1" x14ac:dyDescent="0.4">
      <c r="A37" s="1160"/>
      <c r="B37" s="1173"/>
      <c r="C37" s="1157" t="s">
        <v>1665</v>
      </c>
      <c r="D37" s="1157"/>
      <c r="E37" s="1157"/>
      <c r="F37" s="1158"/>
    </row>
    <row r="38" spans="1:6" ht="15" customHeight="1" x14ac:dyDescent="0.35">
      <c r="A38" s="1159" t="s">
        <v>1641</v>
      </c>
      <c r="B38" s="1172">
        <v>8</v>
      </c>
      <c r="C38" s="1153" t="s">
        <v>1125</v>
      </c>
      <c r="D38" s="1153"/>
      <c r="E38" s="1153"/>
      <c r="F38" s="1155"/>
    </row>
    <row r="39" spans="1:6" ht="15" thickBot="1" x14ac:dyDescent="0.4">
      <c r="A39" s="1160"/>
      <c r="B39" s="1173"/>
      <c r="C39" s="1157" t="s">
        <v>1666</v>
      </c>
      <c r="D39" s="1157"/>
      <c r="E39" s="1157"/>
      <c r="F39" s="1158"/>
    </row>
    <row r="40" spans="1:6" ht="15" customHeight="1" x14ac:dyDescent="0.35">
      <c r="A40" s="1159" t="s">
        <v>1416</v>
      </c>
      <c r="B40" s="1172"/>
      <c r="C40" s="1153" t="s">
        <v>1667</v>
      </c>
      <c r="D40" s="1153"/>
      <c r="E40" s="1153"/>
      <c r="F40" s="1155"/>
    </row>
    <row r="41" spans="1:6" x14ac:dyDescent="0.35">
      <c r="A41" s="1161"/>
      <c r="B41" s="1177">
        <v>100000</v>
      </c>
      <c r="C41" s="1162" t="s">
        <v>1668</v>
      </c>
      <c r="D41" s="1162"/>
      <c r="E41" s="1162"/>
      <c r="F41" s="1163"/>
    </row>
    <row r="42" spans="1:6" ht="15" thickBot="1" x14ac:dyDescent="0.4">
      <c r="A42" s="1160"/>
      <c r="B42" s="1173">
        <v>60</v>
      </c>
      <c r="C42" s="1157" t="s">
        <v>1669</v>
      </c>
      <c r="D42" s="1157"/>
      <c r="E42" s="1157"/>
      <c r="F42" s="1158"/>
    </row>
    <row r="43" spans="1:6" ht="15" customHeight="1" x14ac:dyDescent="0.35">
      <c r="A43" s="1159" t="s">
        <v>1040</v>
      </c>
      <c r="B43" s="1178"/>
      <c r="C43" s="1153"/>
      <c r="D43" s="1153"/>
      <c r="E43" s="1153"/>
      <c r="F43" s="1155"/>
    </row>
    <row r="44" spans="1:6" ht="15" thickBot="1" x14ac:dyDescent="0.4">
      <c r="A44" s="1160"/>
      <c r="B44" s="1173"/>
      <c r="C44" s="1157"/>
      <c r="D44" s="1157"/>
      <c r="E44" s="1157"/>
      <c r="F44" s="1158"/>
    </row>
    <row r="45" spans="1:6" ht="15" customHeight="1" x14ac:dyDescent="0.35">
      <c r="A45" s="1159" t="s">
        <v>1083</v>
      </c>
      <c r="B45" s="1172">
        <v>12</v>
      </c>
      <c r="C45" s="1153" t="s">
        <v>1670</v>
      </c>
      <c r="D45" s="1153"/>
      <c r="E45" s="1153"/>
      <c r="F45" s="1155"/>
    </row>
    <row r="46" spans="1:6" ht="15" thickBot="1" x14ac:dyDescent="0.4">
      <c r="A46" s="1160"/>
      <c r="B46" s="1171"/>
      <c r="C46" s="1157" t="s">
        <v>1671</v>
      </c>
      <c r="D46" s="1157"/>
      <c r="E46" s="1157"/>
      <c r="F46" s="1158"/>
    </row>
  </sheetData>
  <customSheetViews>
    <customSheetView guid="{ECD6FE6A-9548-414E-B8AA-6998703C57E0}" scale="60" showPageBreaks="1" fitToPage="1" view="pageBreakPreview">
      <pageMargins left="0" right="0" top="0" bottom="0" header="0" footer="0"/>
      <pageSetup scale="28" orientation="landscape" verticalDpi="300" r:id="rId1"/>
    </customSheetView>
    <customSheetView guid="{11DE45F5-F478-4ED6-8DFF-12002C22A637}" scale="60" showPageBreaks="1" fitToPage="1" view="pageBreakPreview">
      <pageMargins left="0" right="0" top="0" bottom="0" header="0" footer="0"/>
      <pageSetup scale="28" orientation="landscape" verticalDpi="300" r:id="rId2"/>
    </customSheetView>
  </customSheetViews>
  <mergeCells count="3">
    <mergeCell ref="P1:AB1"/>
    <mergeCell ref="J1:L1"/>
    <mergeCell ref="M1:O1"/>
  </mergeCells>
  <dataValidations count="1">
    <dataValidation type="list" allowBlank="1" showInputMessage="1" showErrorMessage="1" sqref="D3:D4" xr:uid="{00000000-0002-0000-0A00-000000000000}">
      <formula1>MeasureType</formula1>
    </dataValidation>
  </dataValidations>
  <pageMargins left="0.7" right="0.7" top="0.75" bottom="0.75" header="0.3" footer="0.3"/>
  <pageSetup scale="28" orientation="landscape" verticalDpi="30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T30"/>
  <sheetViews>
    <sheetView topLeftCell="A10" zoomScaleNormal="100" zoomScaleSheetLayoutView="110" workbookViewId="0">
      <selection activeCell="K40" sqref="K40"/>
    </sheetView>
  </sheetViews>
  <sheetFormatPr defaultRowHeight="14.5" x14ac:dyDescent="0.35"/>
  <cols>
    <col min="1" max="1" width="22.26953125" bestFit="1" customWidth="1"/>
    <col min="2" max="2" width="32.54296875" bestFit="1" customWidth="1"/>
    <col min="3" max="3" width="20" bestFit="1" customWidth="1"/>
    <col min="4" max="4" width="17.54296875" customWidth="1"/>
    <col min="5" max="5" width="14.45312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4.7265625" customWidth="1"/>
    <col min="17" max="17" width="13.26953125" customWidth="1"/>
    <col min="20" max="20" width="15.26953125" customWidth="1"/>
  </cols>
  <sheetData>
    <row r="1" spans="1:20" ht="15" customHeight="1" x14ac:dyDescent="0.35">
      <c r="A1" s="1428" t="s">
        <v>406</v>
      </c>
      <c r="B1" s="948"/>
      <c r="C1" s="948"/>
      <c r="D1" s="948"/>
      <c r="E1" s="949"/>
      <c r="F1" s="949"/>
      <c r="G1" s="949"/>
      <c r="H1" s="949"/>
      <c r="I1" s="950"/>
      <c r="J1" s="3045" t="s">
        <v>1032</v>
      </c>
      <c r="K1" s="3046"/>
      <c r="L1" s="3047"/>
      <c r="M1" s="3045" t="s">
        <v>1033</v>
      </c>
      <c r="N1" s="3046"/>
      <c r="O1" s="3047"/>
      <c r="P1" s="3067" t="s">
        <v>1158</v>
      </c>
      <c r="Q1" s="3067"/>
      <c r="R1" s="3067"/>
      <c r="S1" s="3067"/>
      <c r="T1" s="3067"/>
    </row>
    <row r="2" spans="1:20" s="199" customFormat="1" ht="43.5" x14ac:dyDescent="0.35">
      <c r="A2" s="952" t="s">
        <v>1035</v>
      </c>
      <c r="B2" s="952" t="s">
        <v>155</v>
      </c>
      <c r="C2" s="953" t="s">
        <v>1036</v>
      </c>
      <c r="D2" s="953" t="s">
        <v>1037</v>
      </c>
      <c r="E2" s="952" t="s">
        <v>1038</v>
      </c>
      <c r="F2" s="952" t="s">
        <v>1039</v>
      </c>
      <c r="G2" s="952" t="s">
        <v>1040</v>
      </c>
      <c r="H2" s="952" t="s">
        <v>1041</v>
      </c>
      <c r="I2" s="952" t="s">
        <v>1043</v>
      </c>
      <c r="J2" s="990" t="s">
        <v>1044</v>
      </c>
      <c r="K2" s="990" t="s">
        <v>1045</v>
      </c>
      <c r="L2" s="990" t="s">
        <v>1046</v>
      </c>
      <c r="M2" s="990" t="s">
        <v>1044</v>
      </c>
      <c r="N2" s="990" t="s">
        <v>1045</v>
      </c>
      <c r="O2" s="990" t="s">
        <v>1046</v>
      </c>
      <c r="P2" s="1187" t="s">
        <v>1638</v>
      </c>
      <c r="Q2" s="1187" t="s">
        <v>1639</v>
      </c>
      <c r="R2" s="1187" t="s">
        <v>1640</v>
      </c>
      <c r="S2" s="1187" t="s">
        <v>1641</v>
      </c>
      <c r="T2" s="1187" t="s">
        <v>1642</v>
      </c>
    </row>
    <row r="3" spans="1:20" s="60" customFormat="1" x14ac:dyDescent="0.35">
      <c r="A3" s="955" t="s">
        <v>406</v>
      </c>
      <c r="B3" s="2626" t="s">
        <v>1672</v>
      </c>
      <c r="C3" s="2626" t="s">
        <v>1672</v>
      </c>
      <c r="D3" s="957" t="s">
        <v>1071</v>
      </c>
      <c r="E3" s="958" t="s">
        <v>1072</v>
      </c>
      <c r="F3" s="958">
        <f>+$B$29</f>
        <v>12</v>
      </c>
      <c r="G3" s="1186"/>
      <c r="H3" s="965" t="s">
        <v>1284</v>
      </c>
      <c r="I3" s="965"/>
      <c r="J3" s="991"/>
      <c r="K3" s="992"/>
      <c r="L3" s="991">
        <f>+(P3-Q3)*(R3*S3)/T3</f>
        <v>599.04</v>
      </c>
      <c r="M3" s="991">
        <f>J3*F3</f>
        <v>0</v>
      </c>
      <c r="N3" s="992">
        <f>K3</f>
        <v>0</v>
      </c>
      <c r="O3" s="991">
        <f>L3*F3</f>
        <v>7188.48</v>
      </c>
      <c r="P3" s="1193">
        <f>+$B$17</f>
        <v>90000</v>
      </c>
      <c r="Q3" s="1193">
        <f>+$B$19</f>
        <v>50000</v>
      </c>
      <c r="R3" s="1194">
        <f>+$B$21</f>
        <v>0.6</v>
      </c>
      <c r="S3" s="1193">
        <f>+$B$23</f>
        <v>2496</v>
      </c>
      <c r="T3" s="1193">
        <f>+$B$26</f>
        <v>100000</v>
      </c>
    </row>
    <row r="4" spans="1:20" s="60" customFormat="1" ht="29" x14ac:dyDescent="0.35">
      <c r="A4" s="955" t="s">
        <v>1673</v>
      </c>
      <c r="B4" s="2626" t="s">
        <v>1674</v>
      </c>
      <c r="C4" s="2626" t="s">
        <v>1674</v>
      </c>
      <c r="D4" s="957" t="s">
        <v>1071</v>
      </c>
      <c r="E4" s="958" t="s">
        <v>1072</v>
      </c>
      <c r="F4" s="958">
        <f>+$B$29</f>
        <v>12</v>
      </c>
      <c r="G4" s="1186"/>
      <c r="H4" s="965" t="s">
        <v>1284</v>
      </c>
      <c r="I4" s="965" t="s">
        <v>1075</v>
      </c>
      <c r="J4" s="991"/>
      <c r="K4" s="992"/>
      <c r="L4" s="991">
        <f>+(P4-Q4)*(R4*S4)/T4</f>
        <v>599.04</v>
      </c>
      <c r="M4" s="991">
        <f>J4*F4</f>
        <v>0</v>
      </c>
      <c r="N4" s="992">
        <f>K4</f>
        <v>0</v>
      </c>
      <c r="O4" s="991">
        <f>L4*F4</f>
        <v>7188.48</v>
      </c>
      <c r="P4" s="1193">
        <f>+$B$17</f>
        <v>90000</v>
      </c>
      <c r="Q4" s="1193">
        <f>+$B$19</f>
        <v>50000</v>
      </c>
      <c r="R4" s="1194">
        <f>+$B$21</f>
        <v>0.6</v>
      </c>
      <c r="S4" s="1193">
        <f>+$B$23</f>
        <v>2496</v>
      </c>
      <c r="T4" s="1193">
        <f>+$B$26</f>
        <v>100000</v>
      </c>
    </row>
    <row r="6" spans="1:20" ht="15" thickBot="1" x14ac:dyDescent="0.4"/>
    <row r="7" spans="1:20" ht="15" thickBot="1" x14ac:dyDescent="0.4">
      <c r="A7" s="154" t="s">
        <v>1078</v>
      </c>
      <c r="B7" s="1142">
        <v>44484</v>
      </c>
    </row>
    <row r="8" spans="1:20" ht="15" thickBot="1" x14ac:dyDescent="0.4">
      <c r="A8" s="154" t="s">
        <v>1079</v>
      </c>
      <c r="B8" s="2620" t="s">
        <v>1602</v>
      </c>
    </row>
    <row r="9" spans="1:20" ht="15" thickBot="1" x14ac:dyDescent="0.4"/>
    <row r="10" spans="1:20" ht="15" thickBot="1" x14ac:dyDescent="0.4">
      <c r="A10" s="74" t="s">
        <v>1188</v>
      </c>
      <c r="B10" s="64"/>
      <c r="C10" s="64"/>
      <c r="D10" s="64"/>
      <c r="E10" s="64"/>
      <c r="F10" s="65"/>
    </row>
    <row r="11" spans="1:20" x14ac:dyDescent="0.35">
      <c r="B11" s="69"/>
      <c r="C11" s="69"/>
      <c r="D11" s="69"/>
      <c r="E11" s="69"/>
      <c r="F11" s="100"/>
    </row>
    <row r="12" spans="1:20" x14ac:dyDescent="0.35">
      <c r="A12" s="99"/>
      <c r="B12" s="69"/>
      <c r="D12" s="69"/>
      <c r="E12" s="69"/>
      <c r="F12" s="100"/>
    </row>
    <row r="13" spans="1:20" ht="15" thickBot="1" x14ac:dyDescent="0.4">
      <c r="A13" s="261"/>
      <c r="B13" s="161"/>
      <c r="C13" s="161"/>
      <c r="D13" s="161"/>
      <c r="E13" s="161"/>
      <c r="F13" s="163"/>
    </row>
    <row r="15" spans="1:20" ht="15" thickBot="1" x14ac:dyDescent="0.4"/>
    <row r="16" spans="1:20" ht="15" thickBot="1" x14ac:dyDescent="0.4">
      <c r="A16" s="637" t="s">
        <v>1285</v>
      </c>
      <c r="B16" s="638" t="s">
        <v>1199</v>
      </c>
      <c r="C16" s="639" t="s">
        <v>1646</v>
      </c>
      <c r="D16" s="383"/>
      <c r="E16" s="384"/>
    </row>
    <row r="17" spans="1:5" x14ac:dyDescent="0.35">
      <c r="A17" s="1179" t="s">
        <v>1638</v>
      </c>
      <c r="B17" s="1166">
        <v>90000</v>
      </c>
      <c r="C17" s="1164" t="s">
        <v>1675</v>
      </c>
      <c r="D17" s="1164"/>
      <c r="E17" s="1183"/>
    </row>
    <row r="18" spans="1:5" ht="15" thickBot="1" x14ac:dyDescent="0.4">
      <c r="A18" s="1180"/>
      <c r="B18" s="1167"/>
      <c r="C18" s="1165" t="s">
        <v>1676</v>
      </c>
      <c r="D18" s="1165"/>
      <c r="E18" s="1184"/>
    </row>
    <row r="19" spans="1:5" x14ac:dyDescent="0.35">
      <c r="A19" s="1179" t="s">
        <v>1639</v>
      </c>
      <c r="B19" s="1166">
        <v>50000</v>
      </c>
      <c r="C19" s="2627" t="s">
        <v>1677</v>
      </c>
      <c r="D19" s="2627"/>
      <c r="E19" s="2628"/>
    </row>
    <row r="20" spans="1:5" ht="15" thickBot="1" x14ac:dyDescent="0.4">
      <c r="A20" s="1180"/>
      <c r="B20" s="1165"/>
      <c r="C20" s="2629" t="s">
        <v>1678</v>
      </c>
      <c r="D20" s="2629"/>
      <c r="E20" s="2630"/>
    </row>
    <row r="21" spans="1:5" x14ac:dyDescent="0.35">
      <c r="A21" s="1179" t="s">
        <v>1640</v>
      </c>
      <c r="B21" s="1168">
        <v>0.6</v>
      </c>
      <c r="C21" s="1164" t="s">
        <v>1679</v>
      </c>
      <c r="D21" s="1164"/>
      <c r="E21" s="1183"/>
    </row>
    <row r="22" spans="1:5" ht="15" thickBot="1" x14ac:dyDescent="0.4">
      <c r="A22" s="1180"/>
      <c r="B22" s="1165"/>
      <c r="C22" s="1165" t="s">
        <v>1680</v>
      </c>
      <c r="D22" s="1165"/>
      <c r="E22" s="1184"/>
    </row>
    <row r="23" spans="1:5" x14ac:dyDescent="0.35">
      <c r="A23" s="1179" t="s">
        <v>1641</v>
      </c>
      <c r="B23" s="1166">
        <v>2496</v>
      </c>
      <c r="C23" s="1164" t="s">
        <v>1681</v>
      </c>
      <c r="D23" s="1164"/>
      <c r="E23" s="1183"/>
    </row>
    <row r="24" spans="1:5" ht="15" thickBot="1" x14ac:dyDescent="0.4">
      <c r="A24" s="1180"/>
      <c r="B24" s="1165"/>
      <c r="C24" s="1165" t="s">
        <v>1682</v>
      </c>
      <c r="D24" s="1165"/>
      <c r="E24" s="1184"/>
    </row>
    <row r="25" spans="1:5" x14ac:dyDescent="0.35">
      <c r="A25" s="1179" t="s">
        <v>1416</v>
      </c>
      <c r="B25" s="1164"/>
      <c r="C25" s="1164" t="s">
        <v>1667</v>
      </c>
      <c r="D25" s="1164"/>
      <c r="E25" s="1183"/>
    </row>
    <row r="26" spans="1:5" ht="15" thickBot="1" x14ac:dyDescent="0.4">
      <c r="A26" s="1181"/>
      <c r="B26" s="1169">
        <v>100000</v>
      </c>
      <c r="C26" s="1182" t="s">
        <v>1668</v>
      </c>
      <c r="D26" s="1182"/>
      <c r="E26" s="1185"/>
    </row>
    <row r="27" spans="1:5" x14ac:dyDescent="0.35">
      <c r="A27" s="1179" t="s">
        <v>1040</v>
      </c>
      <c r="B27" s="1170"/>
      <c r="C27" s="1164"/>
      <c r="D27" s="1164"/>
      <c r="E27" s="1183"/>
    </row>
    <row r="28" spans="1:5" ht="15" thickBot="1" x14ac:dyDescent="0.4">
      <c r="A28" s="1180"/>
      <c r="B28" s="1165"/>
      <c r="C28" s="1165"/>
      <c r="D28" s="1165"/>
      <c r="E28" s="1184"/>
    </row>
    <row r="29" spans="1:5" x14ac:dyDescent="0.35">
      <c r="A29" s="1179" t="s">
        <v>1083</v>
      </c>
      <c r="B29" s="1164">
        <v>12</v>
      </c>
      <c r="C29" s="1164" t="s">
        <v>1670</v>
      </c>
      <c r="D29" s="1164"/>
      <c r="E29" s="1183"/>
    </row>
    <row r="30" spans="1:5" ht="15" thickBot="1" x14ac:dyDescent="0.4">
      <c r="A30" s="1180"/>
      <c r="B30" s="1165"/>
      <c r="C30" s="1165" t="s">
        <v>1671</v>
      </c>
      <c r="D30" s="1165"/>
      <c r="E30" s="1184"/>
    </row>
  </sheetData>
  <customSheetViews>
    <customSheetView guid="{ECD6FE6A-9548-414E-B8AA-6998703C57E0}" scale="60" showPageBreaks="1" fitToPage="1" view="pageBreakPreview">
      <pageMargins left="0" right="0" top="0" bottom="0" header="0" footer="0"/>
      <pageSetup scale="43" orientation="landscape" verticalDpi="300" r:id="rId1"/>
    </customSheetView>
    <customSheetView guid="{11DE45F5-F478-4ED6-8DFF-12002C22A637}" scale="60" showPageBreaks="1" fitToPage="1" view="pageBreakPreview">
      <pageMargins left="0" right="0" top="0" bottom="0" header="0" footer="0"/>
      <pageSetup scale="43" orientation="landscape" verticalDpi="300" r:id="rId2"/>
    </customSheetView>
  </customSheetViews>
  <mergeCells count="3">
    <mergeCell ref="J1:L1"/>
    <mergeCell ref="M1:O1"/>
    <mergeCell ref="P1:T1"/>
  </mergeCells>
  <dataValidations count="1">
    <dataValidation type="list" allowBlank="1" showInputMessage="1" showErrorMessage="1" sqref="D3:D4" xr:uid="{00000000-0002-0000-0B00-000000000000}">
      <formula1>MeasureType</formula1>
    </dataValidation>
  </dataValidations>
  <pageMargins left="0.7" right="0.7" top="0.75" bottom="0.75" header="0.3" footer="0.3"/>
  <pageSetup scale="43" orientation="landscape" verticalDpi="30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CE41B-8953-4308-8843-2174C8274EBB}">
  <sheetPr>
    <tabColor theme="4" tint="0.79998168889431442"/>
  </sheetPr>
  <dimension ref="A1:T17"/>
  <sheetViews>
    <sheetView workbookViewId="0">
      <selection activeCell="A7" sqref="A7:D7"/>
    </sheetView>
  </sheetViews>
  <sheetFormatPr defaultRowHeight="14.5" x14ac:dyDescent="0.35"/>
  <cols>
    <col min="1" max="1" width="9.453125" customWidth="1"/>
    <col min="2" max="2" width="16.7265625" customWidth="1"/>
    <col min="3" max="3" width="20" bestFit="1" customWidth="1"/>
    <col min="4" max="4" width="23" customWidth="1"/>
    <col min="5" max="5" width="14.453125" customWidth="1"/>
    <col min="6" max="6" width="13.26953125" customWidth="1"/>
    <col min="7" max="7" width="16.54296875" customWidth="1"/>
    <col min="8" max="8" width="11.81640625" customWidth="1"/>
    <col min="9" max="9" width="11.1796875" customWidth="1"/>
    <col min="10" max="10" width="12" bestFit="1" customWidth="1"/>
    <col min="11" max="12" width="11" bestFit="1" customWidth="1"/>
    <col min="13" max="13" width="20.26953125" customWidth="1"/>
    <col min="14" max="14" width="11.26953125" customWidth="1"/>
    <col min="16" max="16" width="11.7265625" customWidth="1"/>
    <col min="17" max="17" width="11" bestFit="1" customWidth="1"/>
  </cols>
  <sheetData>
    <row r="1" spans="1:20" ht="15" customHeight="1" x14ac:dyDescent="0.35">
      <c r="A1" s="1702"/>
      <c r="B1" s="1703"/>
      <c r="C1" s="1703"/>
      <c r="D1" s="1703"/>
      <c r="E1" s="1820"/>
      <c r="F1" s="1820"/>
      <c r="G1" s="1820"/>
      <c r="H1" s="1820"/>
      <c r="I1" s="1820"/>
      <c r="J1" s="1820"/>
      <c r="K1" s="3069" t="s">
        <v>1032</v>
      </c>
      <c r="L1" s="3070"/>
      <c r="M1" s="3071"/>
      <c r="N1" s="3069" t="s">
        <v>1033</v>
      </c>
      <c r="O1" s="3070"/>
      <c r="P1" s="3070"/>
      <c r="Q1" s="2993" t="s">
        <v>1158</v>
      </c>
      <c r="R1" s="2993"/>
      <c r="S1" s="2993"/>
      <c r="T1" s="2993"/>
    </row>
    <row r="2" spans="1:20" s="199" customFormat="1" ht="43.5" x14ac:dyDescent="0.35">
      <c r="A2" s="1821" t="s">
        <v>1035</v>
      </c>
      <c r="B2" s="1821" t="s">
        <v>155</v>
      </c>
      <c r="C2" s="1822" t="s">
        <v>1036</v>
      </c>
      <c r="D2" s="1822" t="s">
        <v>1037</v>
      </c>
      <c r="E2" s="1821" t="s">
        <v>1038</v>
      </c>
      <c r="F2" s="1821" t="s">
        <v>1039</v>
      </c>
      <c r="G2" s="1821" t="s">
        <v>1683</v>
      </c>
      <c r="H2" s="1821" t="s">
        <v>1684</v>
      </c>
      <c r="I2" s="1821" t="s">
        <v>1040</v>
      </c>
      <c r="J2" s="1821" t="s">
        <v>1041</v>
      </c>
      <c r="K2" s="1823" t="s">
        <v>1044</v>
      </c>
      <c r="L2" s="1823" t="s">
        <v>1045</v>
      </c>
      <c r="M2" s="1823" t="s">
        <v>1046</v>
      </c>
      <c r="N2" s="1823" t="s">
        <v>1044</v>
      </c>
      <c r="O2" s="1823" t="s">
        <v>1045</v>
      </c>
      <c r="P2" s="1824" t="s">
        <v>1046</v>
      </c>
      <c r="Q2" s="886" t="s">
        <v>1685</v>
      </c>
      <c r="R2" s="886" t="s">
        <v>1686</v>
      </c>
      <c r="S2" s="716" t="s">
        <v>1687</v>
      </c>
      <c r="T2" s="886" t="s">
        <v>1688</v>
      </c>
    </row>
    <row r="3" spans="1:20" s="60" customFormat="1" ht="43.5" x14ac:dyDescent="0.35">
      <c r="A3" s="1796" t="s">
        <v>419</v>
      </c>
      <c r="B3" s="1796" t="s">
        <v>418</v>
      </c>
      <c r="C3" s="1798" t="s">
        <v>418</v>
      </c>
      <c r="D3" s="1825" t="s">
        <v>1689</v>
      </c>
      <c r="E3" s="1826" t="s">
        <v>1072</v>
      </c>
      <c r="F3" s="1903">
        <v>20</v>
      </c>
      <c r="G3" s="1827" t="s">
        <v>1690</v>
      </c>
      <c r="H3" s="1827" t="s">
        <v>1691</v>
      </c>
      <c r="I3" s="1828"/>
      <c r="J3" s="1829" t="s">
        <v>1692</v>
      </c>
      <c r="K3" s="1830"/>
      <c r="L3" s="1831"/>
      <c r="M3" s="1830">
        <f>((Q3*R3*S3)/(T3*100000))</f>
        <v>5998.5</v>
      </c>
      <c r="N3" s="1830">
        <f>K3*F3</f>
        <v>0</v>
      </c>
      <c r="O3" s="1831">
        <f>L3</f>
        <v>0</v>
      </c>
      <c r="P3" s="1832">
        <f>M3*F3</f>
        <v>119970</v>
      </c>
      <c r="Q3" s="257">
        <v>430</v>
      </c>
      <c r="R3" s="257">
        <v>7.75</v>
      </c>
      <c r="S3" s="257">
        <f>VLOOKUP(H3,G12:H16,2)</f>
        <v>144000</v>
      </c>
      <c r="T3" s="1833">
        <v>0.8</v>
      </c>
    </row>
    <row r="4" spans="1:20" s="60" customFormat="1" ht="58" x14ac:dyDescent="0.35">
      <c r="A4" s="1796" t="s">
        <v>1693</v>
      </c>
      <c r="B4" s="1796" t="s">
        <v>1694</v>
      </c>
      <c r="C4" s="1798" t="s">
        <v>1694</v>
      </c>
      <c r="D4" s="1825" t="s">
        <v>1689</v>
      </c>
      <c r="E4" s="1826" t="s">
        <v>1072</v>
      </c>
      <c r="F4" s="1903">
        <v>20</v>
      </c>
      <c r="G4" s="1827" t="s">
        <v>1695</v>
      </c>
      <c r="H4" s="1827" t="s">
        <v>1696</v>
      </c>
      <c r="I4" s="1828"/>
      <c r="J4" s="1829" t="s">
        <v>1692</v>
      </c>
      <c r="K4" s="1830"/>
      <c r="L4" s="1831"/>
      <c r="M4" s="1830">
        <f>((Q4*R4*S4)/(T4*100000))</f>
        <v>6073.4812499999998</v>
      </c>
      <c r="N4" s="1830">
        <f>K4*F4</f>
        <v>0</v>
      </c>
      <c r="O4" s="1831">
        <f>L4</f>
        <v>0</v>
      </c>
      <c r="P4" s="1832">
        <f>M4*F4</f>
        <v>121469.625</v>
      </c>
      <c r="Q4" s="233">
        <v>430</v>
      </c>
      <c r="R4" s="233">
        <v>7.75</v>
      </c>
      <c r="S4" s="233">
        <f>VLOOKUP(H4,G13:H17,2)</f>
        <v>145800</v>
      </c>
      <c r="T4" s="1834">
        <v>0.8</v>
      </c>
    </row>
    <row r="5" spans="1:20" x14ac:dyDescent="0.35">
      <c r="A5" s="1835"/>
      <c r="B5" s="1835"/>
      <c r="C5" s="1835"/>
      <c r="D5" s="1835"/>
      <c r="E5" s="1835"/>
      <c r="F5" s="1835"/>
      <c r="G5" s="1835"/>
      <c r="H5" s="1835"/>
      <c r="I5" s="1835"/>
      <c r="J5" s="1835"/>
      <c r="K5" s="1835"/>
      <c r="L5" s="1835"/>
      <c r="M5" s="1835"/>
      <c r="N5" s="1835"/>
      <c r="O5" s="1835"/>
      <c r="P5" s="1835"/>
    </row>
    <row r="7" spans="1:20" x14ac:dyDescent="0.35">
      <c r="A7" s="3072" t="s">
        <v>1697</v>
      </c>
      <c r="B7" s="3072"/>
      <c r="C7" s="3072"/>
      <c r="D7" s="3072"/>
    </row>
    <row r="8" spans="1:20" x14ac:dyDescent="0.35">
      <c r="A8" s="3068" t="s">
        <v>1698</v>
      </c>
      <c r="B8" s="3068"/>
      <c r="C8" s="3068"/>
      <c r="D8" s="3068"/>
    </row>
    <row r="9" spans="1:20" x14ac:dyDescent="0.35">
      <c r="A9" s="3068" t="s">
        <v>1699</v>
      </c>
      <c r="B9" s="3068"/>
      <c r="C9" s="3068"/>
      <c r="D9" s="3068"/>
    </row>
    <row r="11" spans="1:20" ht="39" x14ac:dyDescent="0.35">
      <c r="B11" s="56" t="s">
        <v>1683</v>
      </c>
      <c r="C11" s="295" t="s">
        <v>1700</v>
      </c>
      <c r="D11" s="295" t="s">
        <v>1701</v>
      </c>
      <c r="E11" s="56" t="s">
        <v>1702</v>
      </c>
      <c r="G11" s="56" t="s">
        <v>1703</v>
      </c>
      <c r="H11" s="56" t="s">
        <v>1704</v>
      </c>
    </row>
    <row r="12" spans="1:20" ht="15" customHeight="1" x14ac:dyDescent="0.35">
      <c r="B12" s="415" t="s">
        <v>1690</v>
      </c>
      <c r="C12" s="2533">
        <v>1992</v>
      </c>
      <c r="D12" s="1836">
        <f>4966*$R$3</f>
        <v>38486.5</v>
      </c>
      <c r="E12" s="415">
        <f>0.68*$R$3</f>
        <v>5.2700000000000005</v>
      </c>
      <c r="G12" s="1" t="s">
        <v>1705</v>
      </c>
      <c r="H12" s="1">
        <v>154000</v>
      </c>
    </row>
    <row r="13" spans="1:20" x14ac:dyDescent="0.35">
      <c r="B13" s="415" t="s">
        <v>1695</v>
      </c>
      <c r="C13" s="2533">
        <v>1180</v>
      </c>
      <c r="D13" s="1836">
        <f>4966*$R$3</f>
        <v>38486.5</v>
      </c>
      <c r="E13" s="415">
        <f>0.68*$R$3</f>
        <v>5.2700000000000005</v>
      </c>
      <c r="G13" s="1" t="s">
        <v>1691</v>
      </c>
      <c r="H13" s="1">
        <v>144000</v>
      </c>
    </row>
    <row r="14" spans="1:20" x14ac:dyDescent="0.35">
      <c r="G14" s="1" t="s">
        <v>1706</v>
      </c>
      <c r="H14" s="1">
        <v>132000</v>
      </c>
    </row>
    <row r="15" spans="1:20" x14ac:dyDescent="0.35">
      <c r="G15" s="1" t="s">
        <v>1707</v>
      </c>
      <c r="H15" s="1">
        <v>102000</v>
      </c>
    </row>
    <row r="16" spans="1:20" x14ac:dyDescent="0.35">
      <c r="G16" s="1" t="s">
        <v>1708</v>
      </c>
      <c r="H16" s="1">
        <v>104000</v>
      </c>
    </row>
    <row r="17" spans="7:8" x14ac:dyDescent="0.35">
      <c r="G17" s="1" t="s">
        <v>1696</v>
      </c>
      <c r="H17" s="1">
        <f>H12*0.3+H13*0.6+H14*0.1</f>
        <v>145800</v>
      </c>
    </row>
  </sheetData>
  <mergeCells count="6">
    <mergeCell ref="A9:D9"/>
    <mergeCell ref="K1:M1"/>
    <mergeCell ref="N1:P1"/>
    <mergeCell ref="Q1:T1"/>
    <mergeCell ref="A7:D7"/>
    <mergeCell ref="A8:D8"/>
  </mergeCells>
  <dataValidations count="2">
    <dataValidation type="list" allowBlank="1" showInputMessage="1" showErrorMessage="1" sqref="D3:D4" xr:uid="{4D5AAA03-ADFA-4663-ACB8-C833F613C85C}">
      <formula1>MeasureType</formula1>
    </dataValidation>
    <dataValidation type="list" allowBlank="1" showInputMessage="1" showErrorMessage="1" sqref="G3:G4" xr:uid="{EBE2AEB1-E0CC-490D-BFCC-CDE4D926EDD2}">
      <formula1>KDVC1</formula1>
    </dataValidation>
  </dataValidation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T30"/>
  <sheetViews>
    <sheetView view="pageBreakPreview" zoomScale="60" zoomScaleNormal="100" workbookViewId="0">
      <selection activeCell="A3" sqref="A3:XFD3"/>
    </sheetView>
  </sheetViews>
  <sheetFormatPr defaultRowHeight="14.5" x14ac:dyDescent="0.35"/>
  <cols>
    <col min="1" max="1" width="22.26953125" bestFit="1" customWidth="1"/>
    <col min="2" max="2" width="36.26953125" bestFit="1" customWidth="1"/>
    <col min="3" max="3" width="20" bestFit="1" customWidth="1"/>
    <col min="4" max="4" width="9.54296875" customWidth="1"/>
    <col min="5" max="5" width="14.45312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4.7265625" customWidth="1"/>
    <col min="17" max="17" width="12.1796875" customWidth="1"/>
    <col min="20" max="20" width="13.81640625" customWidth="1"/>
  </cols>
  <sheetData>
    <row r="1" spans="1:20" ht="15" customHeight="1" x14ac:dyDescent="0.35">
      <c r="A1" s="1428" t="s">
        <v>415</v>
      </c>
      <c r="B1" s="948"/>
      <c r="C1" s="948"/>
      <c r="D1" s="948"/>
      <c r="E1" s="949"/>
      <c r="F1" s="949"/>
      <c r="G1" s="949"/>
      <c r="H1" s="949"/>
      <c r="I1" s="950"/>
      <c r="J1" s="3045" t="s">
        <v>1032</v>
      </c>
      <c r="K1" s="3046"/>
      <c r="L1" s="3047"/>
      <c r="M1" s="3045" t="s">
        <v>1033</v>
      </c>
      <c r="N1" s="3046"/>
      <c r="O1" s="3047"/>
      <c r="P1" s="3067" t="s">
        <v>1158</v>
      </c>
      <c r="Q1" s="3067"/>
      <c r="R1" s="3067"/>
      <c r="S1" s="3067"/>
      <c r="T1" s="3067"/>
    </row>
    <row r="2" spans="1:20" s="199" customFormat="1" ht="43.5" x14ac:dyDescent="0.35">
      <c r="A2" s="952" t="s">
        <v>1035</v>
      </c>
      <c r="B2" s="952" t="s">
        <v>155</v>
      </c>
      <c r="C2" s="953" t="s">
        <v>1036</v>
      </c>
      <c r="D2" s="953" t="s">
        <v>1037</v>
      </c>
      <c r="E2" s="952" t="s">
        <v>1038</v>
      </c>
      <c r="F2" s="952" t="s">
        <v>1039</v>
      </c>
      <c r="G2" s="952" t="s">
        <v>1040</v>
      </c>
      <c r="H2" s="952" t="s">
        <v>1041</v>
      </c>
      <c r="I2" s="952" t="s">
        <v>1043</v>
      </c>
      <c r="J2" s="990" t="s">
        <v>1044</v>
      </c>
      <c r="K2" s="990" t="s">
        <v>1045</v>
      </c>
      <c r="L2" s="990" t="s">
        <v>1046</v>
      </c>
      <c r="M2" s="990" t="s">
        <v>1044</v>
      </c>
      <c r="N2" s="990" t="s">
        <v>1045</v>
      </c>
      <c r="O2" s="990" t="s">
        <v>1046</v>
      </c>
      <c r="P2" s="1187" t="s">
        <v>1638</v>
      </c>
      <c r="Q2" s="1187" t="s">
        <v>1639</v>
      </c>
      <c r="R2" s="1187" t="s">
        <v>1640</v>
      </c>
      <c r="S2" s="1187" t="s">
        <v>1641</v>
      </c>
      <c r="T2" s="1187" t="s">
        <v>1642</v>
      </c>
    </row>
    <row r="3" spans="1:20" s="60" customFormat="1" ht="29" x14ac:dyDescent="0.35">
      <c r="A3" s="955" t="s">
        <v>415</v>
      </c>
      <c r="B3" s="955" t="s">
        <v>414</v>
      </c>
      <c r="C3" s="956" t="s">
        <v>414</v>
      </c>
      <c r="D3" s="957" t="s">
        <v>1071</v>
      </c>
      <c r="E3" s="958" t="s">
        <v>1072</v>
      </c>
      <c r="F3" s="958">
        <f>+$B$29</f>
        <v>12</v>
      </c>
      <c r="G3" s="960"/>
      <c r="H3" s="965" t="s">
        <v>1284</v>
      </c>
      <c r="I3" s="965"/>
      <c r="J3" s="991"/>
      <c r="K3" s="992"/>
      <c r="L3" s="991">
        <f>+(P3-Q3)*(R3*S3)/T3</f>
        <v>240.23999999999995</v>
      </c>
      <c r="M3" s="991"/>
      <c r="N3" s="992"/>
      <c r="O3" s="991">
        <f>+L3*F3</f>
        <v>2882.8799999999992</v>
      </c>
      <c r="P3" s="1193">
        <f>+$B$17</f>
        <v>38500</v>
      </c>
      <c r="Q3" s="1193">
        <f>+$B$19</f>
        <v>24750</v>
      </c>
      <c r="R3" s="1194">
        <f>+$B$21</f>
        <v>0.7</v>
      </c>
      <c r="S3" s="1193">
        <f>+$B$23</f>
        <v>2496</v>
      </c>
      <c r="T3" s="1193">
        <f>+$B$26</f>
        <v>100000</v>
      </c>
    </row>
    <row r="4" spans="1:20" s="60" customFormat="1" ht="29" x14ac:dyDescent="0.35">
      <c r="A4" s="955" t="s">
        <v>1709</v>
      </c>
      <c r="B4" s="956" t="s">
        <v>1710</v>
      </c>
      <c r="C4" s="956" t="s">
        <v>1710</v>
      </c>
      <c r="D4" s="957" t="s">
        <v>1071</v>
      </c>
      <c r="E4" s="958" t="s">
        <v>1072</v>
      </c>
      <c r="F4" s="958">
        <f>+$B$29</f>
        <v>12</v>
      </c>
      <c r="G4" s="960"/>
      <c r="H4" s="965" t="s">
        <v>1284</v>
      </c>
      <c r="I4" s="965" t="s">
        <v>1075</v>
      </c>
      <c r="J4" s="991"/>
      <c r="K4" s="992"/>
      <c r="L4" s="991">
        <f>+(P4-Q4)*(R4*S4)/T4</f>
        <v>240.23999999999995</v>
      </c>
      <c r="M4" s="991"/>
      <c r="N4" s="992"/>
      <c r="O4" s="991">
        <f>+L4*F4</f>
        <v>2882.8799999999992</v>
      </c>
      <c r="P4" s="1193">
        <f>+$B$17</f>
        <v>38500</v>
      </c>
      <c r="Q4" s="1193">
        <f>+$B$19</f>
        <v>24750</v>
      </c>
      <c r="R4" s="1194">
        <f>+$B$21</f>
        <v>0.7</v>
      </c>
      <c r="S4" s="1193">
        <f>+$B$23</f>
        <v>2496</v>
      </c>
      <c r="T4" s="1193">
        <f>+$B$26</f>
        <v>100000</v>
      </c>
    </row>
    <row r="6" spans="1:20" ht="15" thickBot="1" x14ac:dyDescent="0.4"/>
    <row r="7" spans="1:20" ht="15" thickBot="1" x14ac:dyDescent="0.4">
      <c r="A7" s="154" t="s">
        <v>1078</v>
      </c>
      <c r="B7" s="1142">
        <f>'Measure-Level Adjustments'!A2</f>
        <v>44592</v>
      </c>
    </row>
    <row r="8" spans="1:20" ht="15" thickBot="1" x14ac:dyDescent="0.4">
      <c r="A8" s="154" t="s">
        <v>1079</v>
      </c>
      <c r="B8" s="577" t="s">
        <v>416</v>
      </c>
    </row>
    <row r="9" spans="1:20" ht="15" thickBot="1" x14ac:dyDescent="0.4"/>
    <row r="10" spans="1:20" ht="15" thickBot="1" x14ac:dyDescent="0.4">
      <c r="A10" s="74" t="s">
        <v>1188</v>
      </c>
      <c r="B10" s="64"/>
      <c r="C10" s="64"/>
      <c r="D10" s="64"/>
      <c r="E10" s="64"/>
      <c r="F10" s="65"/>
    </row>
    <row r="11" spans="1:20" x14ac:dyDescent="0.35">
      <c r="B11" s="69"/>
      <c r="C11" s="69"/>
      <c r="D11" s="69"/>
      <c r="E11" s="69"/>
      <c r="F11" s="100"/>
    </row>
    <row r="12" spans="1:20" x14ac:dyDescent="0.35">
      <c r="A12" s="99"/>
      <c r="B12" s="69"/>
      <c r="C12" s="69"/>
      <c r="D12" s="69"/>
      <c r="E12" s="69"/>
      <c r="F12" s="100"/>
    </row>
    <row r="13" spans="1:20" ht="15" thickBot="1" x14ac:dyDescent="0.4">
      <c r="A13" s="261"/>
      <c r="B13" s="161"/>
      <c r="C13" s="161"/>
      <c r="D13" s="161"/>
      <c r="E13" s="161"/>
      <c r="F13" s="163"/>
    </row>
    <row r="15" spans="1:20" ht="15" thickBot="1" x14ac:dyDescent="0.4"/>
    <row r="16" spans="1:20" ht="15" thickBot="1" x14ac:dyDescent="0.4">
      <c r="A16" s="637" t="s">
        <v>1285</v>
      </c>
      <c r="B16" s="638" t="s">
        <v>1199</v>
      </c>
      <c r="C16" s="639" t="s">
        <v>1646</v>
      </c>
      <c r="D16" s="383"/>
      <c r="E16" s="383"/>
      <c r="F16" s="384"/>
    </row>
    <row r="17" spans="1:6" x14ac:dyDescent="0.35">
      <c r="A17" s="379" t="s">
        <v>1638</v>
      </c>
      <c r="B17" s="673">
        <v>38500</v>
      </c>
      <c r="C17" s="380" t="s">
        <v>1711</v>
      </c>
      <c r="D17" s="380"/>
      <c r="E17" s="380"/>
      <c r="F17" s="381"/>
    </row>
    <row r="18" spans="1:6" ht="15" thickBot="1" x14ac:dyDescent="0.4">
      <c r="A18" s="261"/>
      <c r="B18" s="499"/>
      <c r="C18" s="161" t="s">
        <v>1712</v>
      </c>
      <c r="D18" s="161"/>
      <c r="E18" s="161"/>
      <c r="F18" s="163"/>
    </row>
    <row r="19" spans="1:6" x14ac:dyDescent="0.35">
      <c r="A19" s="379" t="s">
        <v>1639</v>
      </c>
      <c r="B19" s="673">
        <v>24750</v>
      </c>
      <c r="C19" s="380" t="s">
        <v>1713</v>
      </c>
      <c r="D19" s="380"/>
      <c r="E19" s="380"/>
      <c r="F19" s="381"/>
    </row>
    <row r="20" spans="1:6" ht="15" thickBot="1" x14ac:dyDescent="0.4">
      <c r="A20" s="261"/>
      <c r="B20" s="161"/>
      <c r="C20" s="161" t="s">
        <v>1714</v>
      </c>
      <c r="D20" s="161"/>
      <c r="E20" s="161"/>
      <c r="F20" s="163"/>
    </row>
    <row r="21" spans="1:6" x14ac:dyDescent="0.35">
      <c r="A21" s="379" t="s">
        <v>1640</v>
      </c>
      <c r="B21" s="1195">
        <v>0.7</v>
      </c>
      <c r="C21" s="380" t="s">
        <v>1715</v>
      </c>
      <c r="D21" s="380"/>
      <c r="E21" s="380"/>
      <c r="F21" s="381"/>
    </row>
    <row r="22" spans="1:6" ht="15" thickBot="1" x14ac:dyDescent="0.4">
      <c r="A22" s="261"/>
      <c r="B22" s="161"/>
      <c r="C22" s="161" t="s">
        <v>1716</v>
      </c>
      <c r="D22" s="161"/>
      <c r="E22" s="161"/>
      <c r="F22" s="163"/>
    </row>
    <row r="23" spans="1:6" x14ac:dyDescent="0.35">
      <c r="A23" s="379" t="s">
        <v>1641</v>
      </c>
      <c r="B23" s="673">
        <v>2496</v>
      </c>
      <c r="C23" s="380" t="s">
        <v>1717</v>
      </c>
      <c r="D23" s="380"/>
      <c r="E23" s="380"/>
      <c r="F23" s="381"/>
    </row>
    <row r="24" spans="1:6" ht="15" thickBot="1" x14ac:dyDescent="0.4">
      <c r="A24" s="261"/>
      <c r="B24" s="161"/>
      <c r="C24" s="161" t="s">
        <v>1682</v>
      </c>
      <c r="D24" s="161"/>
      <c r="E24" s="161"/>
      <c r="F24" s="163"/>
    </row>
    <row r="25" spans="1:6" x14ac:dyDescent="0.35">
      <c r="A25" s="379" t="s">
        <v>1416</v>
      </c>
      <c r="B25" s="380"/>
      <c r="C25" s="380" t="s">
        <v>1718</v>
      </c>
      <c r="D25" s="380"/>
      <c r="E25" s="380"/>
      <c r="F25" s="381"/>
    </row>
    <row r="26" spans="1:6" ht="15" thickBot="1" x14ac:dyDescent="0.4">
      <c r="A26" s="99"/>
      <c r="B26" s="1196">
        <v>100000</v>
      </c>
      <c r="C26" s="69" t="s">
        <v>1668</v>
      </c>
      <c r="D26" s="69"/>
      <c r="E26" s="69"/>
      <c r="F26" s="100"/>
    </row>
    <row r="27" spans="1:6" x14ac:dyDescent="0.35">
      <c r="A27" s="379" t="s">
        <v>1040</v>
      </c>
      <c r="B27" s="1197"/>
      <c r="C27" s="380"/>
      <c r="D27" s="380"/>
      <c r="E27" s="380"/>
      <c r="F27" s="381"/>
    </row>
    <row r="28" spans="1:6" ht="15" thickBot="1" x14ac:dyDescent="0.4">
      <c r="A28" s="261"/>
      <c r="B28" s="161"/>
      <c r="C28" s="1198"/>
      <c r="D28" s="161"/>
      <c r="E28" s="161"/>
      <c r="F28" s="163"/>
    </row>
    <row r="29" spans="1:6" x14ac:dyDescent="0.35">
      <c r="A29" s="379" t="s">
        <v>1083</v>
      </c>
      <c r="B29" s="380">
        <v>12</v>
      </c>
      <c r="C29" s="380" t="s">
        <v>1670</v>
      </c>
      <c r="D29" s="380"/>
      <c r="E29" s="380"/>
      <c r="F29" s="381"/>
    </row>
    <row r="30" spans="1:6" ht="15" thickBot="1" x14ac:dyDescent="0.4">
      <c r="A30" s="261"/>
      <c r="B30" s="161"/>
      <c r="C30" s="161" t="s">
        <v>1671</v>
      </c>
      <c r="D30" s="161"/>
      <c r="E30" s="161"/>
      <c r="F30" s="163"/>
    </row>
  </sheetData>
  <customSheetViews>
    <customSheetView guid="{ECD6FE6A-9548-414E-B8AA-6998703C57E0}" scale="60" showPageBreaks="1" fitToPage="1" view="pageBreakPreview">
      <pageMargins left="0" right="0" top="0" bottom="0" header="0" footer="0"/>
      <pageSetup scale="44" orientation="landscape" verticalDpi="300" r:id="rId1"/>
    </customSheetView>
    <customSheetView guid="{11DE45F5-F478-4ED6-8DFF-12002C22A637}" scale="60" showPageBreaks="1" fitToPage="1" view="pageBreakPreview">
      <pageMargins left="0" right="0" top="0" bottom="0" header="0" footer="0"/>
      <pageSetup scale="44" orientation="landscape" verticalDpi="300" r:id="rId2"/>
    </customSheetView>
  </customSheetViews>
  <mergeCells count="3">
    <mergeCell ref="J1:L1"/>
    <mergeCell ref="M1:O1"/>
    <mergeCell ref="P1:T1"/>
  </mergeCells>
  <dataValidations disablePrompts="1" count="1">
    <dataValidation type="list" allowBlank="1" showInputMessage="1" showErrorMessage="1" sqref="D3:D4" xr:uid="{00000000-0002-0000-0C00-000000000000}">
      <formula1>MeasureType</formula1>
    </dataValidation>
  </dataValidations>
  <pageMargins left="0.7" right="0.7" top="0.75" bottom="0.75" header="0.3" footer="0.3"/>
  <pageSetup scale="43" orientation="landscape" verticalDpi="30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T31"/>
  <sheetViews>
    <sheetView view="pageBreakPreview" zoomScale="60" zoomScaleNormal="100" workbookViewId="0"/>
  </sheetViews>
  <sheetFormatPr defaultRowHeight="14.5" x14ac:dyDescent="0.35"/>
  <cols>
    <col min="1" max="1" width="22.26953125" bestFit="1" customWidth="1"/>
    <col min="2" max="2" width="30.453125" bestFit="1" customWidth="1"/>
    <col min="3" max="3" width="20" bestFit="1" customWidth="1"/>
    <col min="4" max="4" width="9.54296875" customWidth="1"/>
    <col min="5" max="5" width="15.17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3.81640625" customWidth="1"/>
    <col min="17" max="17" width="12.7265625" customWidth="1"/>
    <col min="20" max="21" width="13.81640625" customWidth="1"/>
  </cols>
  <sheetData>
    <row r="1" spans="1:20" x14ac:dyDescent="0.35">
      <c r="A1" s="1799" t="s">
        <v>1031</v>
      </c>
    </row>
    <row r="2" spans="1:20" ht="15" customHeight="1" x14ac:dyDescent="0.35">
      <c r="A2" s="1428" t="s">
        <v>412</v>
      </c>
      <c r="B2" s="948"/>
      <c r="C2" s="948"/>
      <c r="D2" s="948"/>
      <c r="E2" s="949"/>
      <c r="F2" s="949"/>
      <c r="G2" s="949"/>
      <c r="H2" s="949"/>
      <c r="I2" s="950"/>
      <c r="J2" s="3045" t="s">
        <v>1032</v>
      </c>
      <c r="K2" s="3046"/>
      <c r="L2" s="3047"/>
      <c r="M2" s="3045" t="s">
        <v>1033</v>
      </c>
      <c r="N2" s="3046"/>
      <c r="O2" s="3047"/>
      <c r="P2" s="3067" t="s">
        <v>1158</v>
      </c>
      <c r="Q2" s="3067"/>
      <c r="R2" s="3067"/>
      <c r="S2" s="3067"/>
      <c r="T2" s="3067"/>
    </row>
    <row r="3" spans="1:20" s="199" customFormat="1" ht="43.5" x14ac:dyDescent="0.35">
      <c r="A3" s="952" t="s">
        <v>1035</v>
      </c>
      <c r="B3" s="952" t="s">
        <v>155</v>
      </c>
      <c r="C3" s="953" t="s">
        <v>1036</v>
      </c>
      <c r="D3" s="953" t="s">
        <v>1037</v>
      </c>
      <c r="E3" s="952" t="s">
        <v>1038</v>
      </c>
      <c r="F3" s="952" t="s">
        <v>1039</v>
      </c>
      <c r="G3" s="952" t="s">
        <v>1040</v>
      </c>
      <c r="H3" s="952" t="s">
        <v>1041</v>
      </c>
      <c r="I3" s="952" t="s">
        <v>1043</v>
      </c>
      <c r="J3" s="990" t="s">
        <v>1044</v>
      </c>
      <c r="K3" s="990" t="s">
        <v>1045</v>
      </c>
      <c r="L3" s="990" t="s">
        <v>1046</v>
      </c>
      <c r="M3" s="990" t="s">
        <v>1044</v>
      </c>
      <c r="N3" s="990" t="s">
        <v>1045</v>
      </c>
      <c r="O3" s="990" t="s">
        <v>1046</v>
      </c>
      <c r="P3" s="1187" t="s">
        <v>1638</v>
      </c>
      <c r="Q3" s="1187" t="s">
        <v>1639</v>
      </c>
      <c r="R3" s="1187" t="s">
        <v>1640</v>
      </c>
      <c r="S3" s="1187" t="s">
        <v>1641</v>
      </c>
      <c r="T3" s="1187" t="s">
        <v>1642</v>
      </c>
    </row>
    <row r="4" spans="1:20" s="60" customFormat="1" ht="29" x14ac:dyDescent="0.35">
      <c r="A4" s="955" t="s">
        <v>412</v>
      </c>
      <c r="B4" s="955" t="s">
        <v>411</v>
      </c>
      <c r="C4" s="956" t="s">
        <v>411</v>
      </c>
      <c r="D4" s="957" t="s">
        <v>1071</v>
      </c>
      <c r="E4" s="958" t="s">
        <v>1072</v>
      </c>
      <c r="F4" s="958">
        <f>+$B$30</f>
        <v>12</v>
      </c>
      <c r="G4" s="960"/>
      <c r="H4" s="965" t="s">
        <v>1284</v>
      </c>
      <c r="I4" s="965"/>
      <c r="J4" s="991"/>
      <c r="K4" s="992"/>
      <c r="L4" s="991">
        <f>+(P4-Q4)*(R4*S4)/T4</f>
        <v>943.48799999999983</v>
      </c>
      <c r="M4" s="991"/>
      <c r="N4" s="992"/>
      <c r="O4" s="991">
        <f>+L4*F4</f>
        <v>11321.855999999998</v>
      </c>
      <c r="P4" s="1193">
        <f>+$B$18</f>
        <v>144000</v>
      </c>
      <c r="Q4" s="1193">
        <f>+$B$20</f>
        <v>90000</v>
      </c>
      <c r="R4" s="1194">
        <f>+$B$22</f>
        <v>0.7</v>
      </c>
      <c r="S4" s="1193">
        <f>+$B$24</f>
        <v>2496</v>
      </c>
      <c r="T4" s="1193">
        <f>+$B$27</f>
        <v>100000</v>
      </c>
    </row>
    <row r="5" spans="1:20" s="60" customFormat="1" ht="29" x14ac:dyDescent="0.35">
      <c r="A5" s="955" t="s">
        <v>1719</v>
      </c>
      <c r="B5" s="955" t="s">
        <v>1720</v>
      </c>
      <c r="C5" s="956" t="s">
        <v>1720</v>
      </c>
      <c r="D5" s="957" t="s">
        <v>1071</v>
      </c>
      <c r="E5" s="958" t="s">
        <v>1072</v>
      </c>
      <c r="F5" s="958">
        <f>+$B$30</f>
        <v>12</v>
      </c>
      <c r="G5" s="960"/>
      <c r="H5" s="965" t="s">
        <v>1284</v>
      </c>
      <c r="I5" s="965" t="s">
        <v>1075</v>
      </c>
      <c r="J5" s="991"/>
      <c r="K5" s="992"/>
      <c r="L5" s="991">
        <f>+(P5-Q5)*(R5*S5)/T5</f>
        <v>943.48799999999983</v>
      </c>
      <c r="M5" s="991"/>
      <c r="N5" s="992"/>
      <c r="O5" s="991">
        <f>+L5*F5</f>
        <v>11321.855999999998</v>
      </c>
      <c r="P5" s="1193">
        <f>+$B$18</f>
        <v>144000</v>
      </c>
      <c r="Q5" s="1193">
        <f>+$B$20</f>
        <v>90000</v>
      </c>
      <c r="R5" s="1194">
        <f>+$B$22</f>
        <v>0.7</v>
      </c>
      <c r="S5" s="1193">
        <f>+$B$24</f>
        <v>2496</v>
      </c>
      <c r="T5" s="1193">
        <f>+$B$27</f>
        <v>100000</v>
      </c>
    </row>
    <row r="7" spans="1:20" ht="15" thickBot="1" x14ac:dyDescent="0.4"/>
    <row r="8" spans="1:20" ht="15" thickBot="1" x14ac:dyDescent="0.4">
      <c r="A8" s="154" t="s">
        <v>1078</v>
      </c>
      <c r="B8" s="1142">
        <f>'Measure-Level Adjustments'!A2</f>
        <v>44592</v>
      </c>
    </row>
    <row r="9" spans="1:20" ht="15" thickBot="1" x14ac:dyDescent="0.4">
      <c r="A9" s="154" t="s">
        <v>1079</v>
      </c>
      <c r="B9" s="577" t="s">
        <v>413</v>
      </c>
    </row>
    <row r="11" spans="1:20" ht="15" thickBot="1" x14ac:dyDescent="0.4"/>
    <row r="12" spans="1:20" ht="15" thickBot="1" x14ac:dyDescent="0.4">
      <c r="A12" s="74" t="s">
        <v>1188</v>
      </c>
      <c r="B12" s="64"/>
      <c r="C12" s="64"/>
      <c r="D12" s="64"/>
      <c r="E12" s="64"/>
      <c r="F12" s="65"/>
    </row>
    <row r="13" spans="1:20" x14ac:dyDescent="0.35">
      <c r="B13" s="69"/>
      <c r="C13" s="69"/>
      <c r="D13" s="69"/>
      <c r="E13" s="69"/>
      <c r="F13" s="100"/>
    </row>
    <row r="14" spans="1:20" x14ac:dyDescent="0.35">
      <c r="A14" s="99"/>
      <c r="B14" s="69"/>
      <c r="C14" s="69"/>
      <c r="D14" s="69"/>
      <c r="E14" s="69"/>
      <c r="F14" s="100"/>
    </row>
    <row r="15" spans="1:20" ht="15" thickBot="1" x14ac:dyDescent="0.4">
      <c r="A15" s="261"/>
      <c r="B15" s="161"/>
      <c r="C15" s="161"/>
      <c r="D15" s="161"/>
      <c r="E15" s="161"/>
      <c r="F15" s="163"/>
    </row>
    <row r="16" spans="1:20" ht="15" thickBot="1" x14ac:dyDescent="0.4"/>
    <row r="17" spans="1:6" ht="15" thickBot="1" x14ac:dyDescent="0.4">
      <c r="A17" s="637" t="s">
        <v>1285</v>
      </c>
      <c r="B17" s="638" t="s">
        <v>1199</v>
      </c>
      <c r="C17" s="639" t="s">
        <v>1646</v>
      </c>
      <c r="D17" s="383"/>
      <c r="E17" s="383"/>
      <c r="F17" s="384"/>
    </row>
    <row r="18" spans="1:6" x14ac:dyDescent="0.35">
      <c r="A18" s="379" t="s">
        <v>1638</v>
      </c>
      <c r="B18" s="673">
        <v>144000</v>
      </c>
      <c r="C18" s="380" t="s">
        <v>1721</v>
      </c>
      <c r="D18" s="380"/>
      <c r="E18" s="380"/>
      <c r="F18" s="381"/>
    </row>
    <row r="19" spans="1:6" ht="15" thickBot="1" x14ac:dyDescent="0.4">
      <c r="A19" s="261"/>
      <c r="B19" s="499"/>
      <c r="C19" s="161" t="s">
        <v>1722</v>
      </c>
      <c r="D19" s="161"/>
      <c r="E19" s="161"/>
      <c r="F19" s="163"/>
    </row>
    <row r="20" spans="1:6" x14ac:dyDescent="0.35">
      <c r="A20" s="379" t="s">
        <v>1639</v>
      </c>
      <c r="B20" s="673">
        <v>90000</v>
      </c>
      <c r="C20" s="380" t="s">
        <v>1723</v>
      </c>
      <c r="D20" s="380"/>
      <c r="E20" s="380"/>
      <c r="F20" s="381"/>
    </row>
    <row r="21" spans="1:6" ht="15" thickBot="1" x14ac:dyDescent="0.4">
      <c r="A21" s="261"/>
      <c r="B21" s="161"/>
      <c r="C21" s="161" t="s">
        <v>1724</v>
      </c>
      <c r="D21" s="161"/>
      <c r="E21" s="161"/>
      <c r="F21" s="163"/>
    </row>
    <row r="22" spans="1:6" x14ac:dyDescent="0.35">
      <c r="A22" s="379" t="s">
        <v>1640</v>
      </c>
      <c r="B22" s="1195">
        <v>0.7</v>
      </c>
      <c r="C22" s="380" t="s">
        <v>1725</v>
      </c>
      <c r="D22" s="380"/>
      <c r="E22" s="380"/>
      <c r="F22" s="381"/>
    </row>
    <row r="23" spans="1:6" ht="15" thickBot="1" x14ac:dyDescent="0.4">
      <c r="A23" s="261"/>
      <c r="B23" s="161"/>
      <c r="C23" s="161" t="s">
        <v>1716</v>
      </c>
      <c r="D23" s="161"/>
      <c r="E23" s="161"/>
      <c r="F23" s="163"/>
    </row>
    <row r="24" spans="1:6" x14ac:dyDescent="0.35">
      <c r="A24" s="379" t="s">
        <v>1641</v>
      </c>
      <c r="B24" s="673">
        <v>2496</v>
      </c>
      <c r="C24" s="380" t="s">
        <v>1726</v>
      </c>
      <c r="D24" s="380"/>
      <c r="E24" s="380"/>
      <c r="F24" s="381"/>
    </row>
    <row r="25" spans="1:6" ht="15" thickBot="1" x14ac:dyDescent="0.4">
      <c r="A25" s="261"/>
      <c r="B25" s="161"/>
      <c r="C25" s="161" t="s">
        <v>1682</v>
      </c>
      <c r="D25" s="161"/>
      <c r="E25" s="161"/>
      <c r="F25" s="163"/>
    </row>
    <row r="26" spans="1:6" x14ac:dyDescent="0.35">
      <c r="A26" s="379" t="s">
        <v>1416</v>
      </c>
      <c r="B26" s="380"/>
      <c r="C26" s="380" t="s">
        <v>1727</v>
      </c>
      <c r="D26" s="380"/>
      <c r="E26" s="380"/>
      <c r="F26" s="381"/>
    </row>
    <row r="27" spans="1:6" ht="15" thickBot="1" x14ac:dyDescent="0.4">
      <c r="A27" s="99"/>
      <c r="B27" s="1196">
        <v>100000</v>
      </c>
      <c r="C27" s="69" t="s">
        <v>1668</v>
      </c>
      <c r="D27" s="69"/>
      <c r="E27" s="69"/>
      <c r="F27" s="100"/>
    </row>
    <row r="28" spans="1:6" x14ac:dyDescent="0.35">
      <c r="A28" s="379" t="s">
        <v>1040</v>
      </c>
      <c r="B28" s="1197"/>
      <c r="C28" s="380"/>
      <c r="D28" s="380"/>
      <c r="E28" s="380"/>
      <c r="F28" s="381"/>
    </row>
    <row r="29" spans="1:6" ht="15" thickBot="1" x14ac:dyDescent="0.4">
      <c r="A29" s="261"/>
      <c r="B29" s="161"/>
      <c r="C29" s="161"/>
      <c r="D29" s="161"/>
      <c r="E29" s="161"/>
      <c r="F29" s="163"/>
    </row>
    <row r="30" spans="1:6" x14ac:dyDescent="0.35">
      <c r="A30" s="379" t="s">
        <v>1083</v>
      </c>
      <c r="B30" s="380">
        <v>12</v>
      </c>
      <c r="C30" s="380" t="s">
        <v>1670</v>
      </c>
      <c r="D30" s="380"/>
      <c r="E30" s="380"/>
      <c r="F30" s="381"/>
    </row>
    <row r="31" spans="1:6" ht="15" thickBot="1" x14ac:dyDescent="0.4">
      <c r="A31" s="261"/>
      <c r="B31" s="161"/>
      <c r="C31" s="161" t="s">
        <v>1671</v>
      </c>
      <c r="D31" s="161"/>
      <c r="E31" s="161"/>
      <c r="F31" s="163"/>
    </row>
  </sheetData>
  <customSheetViews>
    <customSheetView guid="{ECD6FE6A-9548-414E-B8AA-6998703C57E0}" scale="60" showPageBreaks="1" fitToPage="1" view="pageBreakPreview">
      <pageMargins left="0" right="0" top="0" bottom="0" header="0" footer="0"/>
      <pageSetup scale="45" orientation="landscape" verticalDpi="300" r:id="rId1"/>
    </customSheetView>
    <customSheetView guid="{11DE45F5-F478-4ED6-8DFF-12002C22A637}" scale="60" showPageBreaks="1" fitToPage="1" view="pageBreakPreview">
      <pageMargins left="0" right="0" top="0" bottom="0" header="0" footer="0"/>
      <pageSetup scale="45" orientation="landscape" verticalDpi="300" r:id="rId2"/>
    </customSheetView>
  </customSheetViews>
  <mergeCells count="3">
    <mergeCell ref="J2:L2"/>
    <mergeCell ref="M2:O2"/>
    <mergeCell ref="P2:T2"/>
  </mergeCells>
  <dataValidations disablePrompts="1" count="1">
    <dataValidation type="list" allowBlank="1" showInputMessage="1" showErrorMessage="1" sqref="D4:D5" xr:uid="{00000000-0002-0000-0D00-000000000000}">
      <formula1>MeasureType</formula1>
    </dataValidation>
  </dataValidations>
  <hyperlinks>
    <hyperlink ref="A1" location="'Measure-Level Adjustments'!Print_Titles" display="Measure Level Tab" xr:uid="{17EE0C7D-518A-4BF3-8258-B5D9C0B16E5C}"/>
  </hyperlinks>
  <pageMargins left="0.7" right="0.7" top="0.75" bottom="0.75" header="0.3" footer="0.3"/>
  <pageSetup scale="44" orientation="landscape" verticalDpi="3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O13"/>
  <sheetViews>
    <sheetView view="pageBreakPreview" zoomScale="60" zoomScaleNormal="100" workbookViewId="0"/>
  </sheetViews>
  <sheetFormatPr defaultRowHeight="14.5" x14ac:dyDescent="0.35"/>
  <cols>
    <col min="1" max="1" width="22.26953125" bestFit="1" customWidth="1"/>
    <col min="2" max="2" width="32" bestFit="1" customWidth="1"/>
    <col min="3" max="3" width="16.81640625" customWidth="1"/>
    <col min="4" max="4" width="14.7265625" customWidth="1"/>
    <col min="5" max="5" width="21.542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s>
  <sheetData>
    <row r="1" spans="1:15" x14ac:dyDescent="0.35">
      <c r="A1" s="1799" t="s">
        <v>1031</v>
      </c>
    </row>
    <row r="2" spans="1:15" ht="15" customHeight="1" x14ac:dyDescent="0.35">
      <c r="A2" s="1428" t="s">
        <v>403</v>
      </c>
      <c r="B2" s="948"/>
      <c r="C2" s="948"/>
      <c r="D2" s="948"/>
      <c r="E2" s="949"/>
      <c r="F2" s="949"/>
      <c r="G2" s="949"/>
      <c r="H2" s="949"/>
      <c r="I2" s="950"/>
      <c r="J2" s="3045" t="s">
        <v>1032</v>
      </c>
      <c r="K2" s="3046"/>
      <c r="L2" s="3047"/>
      <c r="M2" s="3045" t="s">
        <v>1033</v>
      </c>
      <c r="N2" s="3046"/>
      <c r="O2" s="3047"/>
    </row>
    <row r="3" spans="1:15" s="199" customFormat="1" ht="29" x14ac:dyDescent="0.35">
      <c r="A3" s="952" t="s">
        <v>1035</v>
      </c>
      <c r="B3" s="952" t="s">
        <v>155</v>
      </c>
      <c r="C3" s="953" t="s">
        <v>1036</v>
      </c>
      <c r="D3" s="953" t="s">
        <v>1037</v>
      </c>
      <c r="E3" s="952" t="s">
        <v>1038</v>
      </c>
      <c r="F3" s="952" t="s">
        <v>1039</v>
      </c>
      <c r="G3" s="952" t="s">
        <v>1040</v>
      </c>
      <c r="H3" s="952" t="s">
        <v>1041</v>
      </c>
      <c r="I3" s="952" t="s">
        <v>1043</v>
      </c>
      <c r="J3" s="990" t="s">
        <v>1044</v>
      </c>
      <c r="K3" s="990" t="s">
        <v>1045</v>
      </c>
      <c r="L3" s="990" t="s">
        <v>1046</v>
      </c>
      <c r="M3" s="990" t="s">
        <v>1044</v>
      </c>
      <c r="N3" s="990" t="s">
        <v>1045</v>
      </c>
      <c r="O3" s="990" t="s">
        <v>1046</v>
      </c>
    </row>
    <row r="4" spans="1:15" s="60" customFormat="1" x14ac:dyDescent="0.35">
      <c r="A4" s="955" t="s">
        <v>403</v>
      </c>
      <c r="B4" s="955" t="s">
        <v>402</v>
      </c>
      <c r="C4" s="956" t="s">
        <v>402</v>
      </c>
      <c r="D4" s="957" t="s">
        <v>1071</v>
      </c>
      <c r="E4" s="958" t="s">
        <v>1072</v>
      </c>
      <c r="F4" s="958">
        <f>+$B$9</f>
        <v>12</v>
      </c>
      <c r="G4" s="960"/>
      <c r="H4" s="965" t="s">
        <v>1284</v>
      </c>
      <c r="I4" s="965"/>
      <c r="J4" s="991"/>
      <c r="K4" s="992"/>
      <c r="L4" s="991">
        <f>+$B$11</f>
        <v>1380</v>
      </c>
      <c r="M4" s="991"/>
      <c r="N4" s="992"/>
      <c r="O4" s="991">
        <f>L4*F4</f>
        <v>16560</v>
      </c>
    </row>
    <row r="5" spans="1:15" s="60" customFormat="1" ht="29" x14ac:dyDescent="0.35">
      <c r="A5" s="955" t="s">
        <v>1728</v>
      </c>
      <c r="B5" s="955" t="s">
        <v>1729</v>
      </c>
      <c r="C5" s="956" t="s">
        <v>1729</v>
      </c>
      <c r="D5" s="957" t="s">
        <v>1071</v>
      </c>
      <c r="E5" s="958" t="s">
        <v>1072</v>
      </c>
      <c r="F5" s="958">
        <f>+$B$9</f>
        <v>12</v>
      </c>
      <c r="G5" s="960"/>
      <c r="H5" s="965" t="s">
        <v>1284</v>
      </c>
      <c r="I5" s="965" t="s">
        <v>1075</v>
      </c>
      <c r="J5" s="991"/>
      <c r="K5" s="992"/>
      <c r="L5" s="991">
        <f>+$B$11</f>
        <v>1380</v>
      </c>
      <c r="M5" s="991"/>
      <c r="N5" s="992"/>
      <c r="O5" s="991">
        <f>L5*F5</f>
        <v>16560</v>
      </c>
    </row>
    <row r="7" spans="1:15" ht="15" thickBot="1" x14ac:dyDescent="0.4"/>
    <row r="8" spans="1:15" ht="15" thickBot="1" x14ac:dyDescent="0.4">
      <c r="A8" s="74" t="s">
        <v>1285</v>
      </c>
      <c r="B8" s="75" t="s">
        <v>1199</v>
      </c>
      <c r="C8" s="76" t="s">
        <v>1082</v>
      </c>
      <c r="D8" s="64"/>
      <c r="E8" s="65"/>
    </row>
    <row r="9" spans="1:15" ht="15" thickBot="1" x14ac:dyDescent="0.4">
      <c r="A9" s="94" t="s">
        <v>1431</v>
      </c>
      <c r="B9" s="364">
        <v>12</v>
      </c>
      <c r="C9" s="364" t="s">
        <v>1287</v>
      </c>
      <c r="D9" s="364"/>
      <c r="E9" s="96"/>
    </row>
    <row r="10" spans="1:15" ht="18" customHeight="1" thickBot="1" x14ac:dyDescent="0.4">
      <c r="A10" s="94" t="s">
        <v>1040</v>
      </c>
      <c r="B10" s="364"/>
      <c r="C10" s="364"/>
      <c r="D10" s="364"/>
      <c r="E10" s="96"/>
    </row>
    <row r="11" spans="1:15" ht="15" thickBot="1" x14ac:dyDescent="0.4">
      <c r="A11" s="94" t="s">
        <v>1730</v>
      </c>
      <c r="B11" s="364">
        <v>1380</v>
      </c>
      <c r="C11" s="364" t="s">
        <v>1731</v>
      </c>
      <c r="D11" s="364"/>
      <c r="E11" s="96"/>
    </row>
    <row r="12" spans="1:15" ht="15" thickBot="1" x14ac:dyDescent="0.4">
      <c r="A12" s="154" t="s">
        <v>1078</v>
      </c>
      <c r="B12" s="1142">
        <f>'Measure-Level Adjustments'!A2</f>
        <v>44592</v>
      </c>
    </row>
    <row r="13" spans="1:15" ht="15" thickBot="1" x14ac:dyDescent="0.4">
      <c r="A13" s="154" t="s">
        <v>1079</v>
      </c>
      <c r="B13" s="577" t="s">
        <v>404</v>
      </c>
    </row>
  </sheetData>
  <customSheetViews>
    <customSheetView guid="{ECD6FE6A-9548-414E-B8AA-6998703C57E0}" scale="60" showPageBreaks="1" fitToPage="1" view="pageBreakPreview">
      <pageMargins left="0" right="0" top="0" bottom="0" header="0" footer="0"/>
      <pageSetup scale="55" orientation="landscape" verticalDpi="300" r:id="rId1"/>
    </customSheetView>
    <customSheetView guid="{11DE45F5-F478-4ED6-8DFF-12002C22A637}" scale="60" showPageBreaks="1" fitToPage="1" view="pageBreakPreview">
      <pageMargins left="0" right="0" top="0" bottom="0" header="0" footer="0"/>
      <pageSetup scale="55" orientation="landscape" verticalDpi="300" r:id="rId2"/>
    </customSheetView>
  </customSheetViews>
  <mergeCells count="2">
    <mergeCell ref="J2:L2"/>
    <mergeCell ref="M2:O2"/>
  </mergeCells>
  <dataValidations count="1">
    <dataValidation type="list" allowBlank="1" showInputMessage="1" showErrorMessage="1" sqref="D4:D5" xr:uid="{00000000-0002-0000-0E00-000000000000}">
      <formula1>MeasureType</formula1>
    </dataValidation>
  </dataValidations>
  <hyperlinks>
    <hyperlink ref="A1" location="'Measure-Level Adjustments'!Print_Titles" display="Measure Level Tab" xr:uid="{CA7BB6BE-64E6-47F9-B194-C8BF974ED099}"/>
  </hyperlinks>
  <pageMargins left="0.7" right="0.7" top="0.75" bottom="0.75" header="0.3" footer="0.3"/>
  <pageSetup scale="54" orientation="landscape" verticalDpi="300"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pageSetUpPr fitToPage="1"/>
  </sheetPr>
  <dimension ref="A1:U35"/>
  <sheetViews>
    <sheetView view="pageBreakPreview" zoomScale="60" zoomScaleNormal="100" workbookViewId="0">
      <pane xSplit="1" ySplit="3" topLeftCell="B4" activePane="bottomRight" state="frozen"/>
      <selection pane="topRight" activeCell="B1" sqref="B1"/>
      <selection pane="bottomLeft" activeCell="A3" sqref="A3"/>
      <selection pane="bottomRight"/>
    </sheetView>
  </sheetViews>
  <sheetFormatPr defaultRowHeight="14.5" x14ac:dyDescent="0.35"/>
  <cols>
    <col min="1" max="1" width="19.81640625" bestFit="1" customWidth="1"/>
    <col min="2" max="2" width="39.453125" bestFit="1" customWidth="1"/>
    <col min="3" max="3" width="22" customWidth="1"/>
    <col min="4" max="4" width="9.54296875" customWidth="1"/>
    <col min="5" max="5" width="26.1796875" customWidth="1"/>
    <col min="6" max="6" width="13.26953125" customWidth="1"/>
    <col min="7" max="7" width="12.26953125" customWidth="1"/>
    <col min="8" max="9" width="11.81640625" customWidth="1"/>
    <col min="10" max="10" width="11.1796875" customWidth="1"/>
    <col min="11" max="11" width="12" bestFit="1" customWidth="1"/>
    <col min="12" max="12" width="48.1796875" customWidth="1"/>
    <col min="13" max="13" width="11" bestFit="1" customWidth="1"/>
    <col min="14" max="14" width="12.453125" customWidth="1"/>
    <col min="15" max="15" width="11.26953125" customWidth="1"/>
    <col min="16" max="16" width="13.54296875" customWidth="1"/>
    <col min="17" max="18" width="12.26953125" customWidth="1"/>
    <col min="21" max="21" width="14.54296875" customWidth="1"/>
  </cols>
  <sheetData>
    <row r="1" spans="1:21" x14ac:dyDescent="0.35">
      <c r="A1" s="1799" t="s">
        <v>1031</v>
      </c>
    </row>
    <row r="2" spans="1:21" ht="15" customHeight="1" x14ac:dyDescent="0.35">
      <c r="A2" s="1428" t="s">
        <v>390</v>
      </c>
      <c r="B2" s="993" t="s">
        <v>1732</v>
      </c>
      <c r="C2" s="948"/>
      <c r="D2" s="948"/>
      <c r="E2" s="949"/>
      <c r="F2" s="949"/>
      <c r="G2" s="949"/>
      <c r="H2" s="949"/>
      <c r="I2" s="950"/>
      <c r="J2" s="3045" t="s">
        <v>1032</v>
      </c>
      <c r="K2" s="3046"/>
      <c r="L2" s="3047"/>
      <c r="M2" s="3045" t="s">
        <v>1033</v>
      </c>
      <c r="N2" s="3046"/>
      <c r="O2" s="3047"/>
      <c r="P2" s="3067" t="s">
        <v>1158</v>
      </c>
      <c r="Q2" s="3067"/>
      <c r="R2" s="3067"/>
      <c r="S2" s="3067"/>
      <c r="T2" s="3067"/>
      <c r="U2" s="3067"/>
    </row>
    <row r="3" spans="1:21" s="199" customFormat="1" ht="43.5" x14ac:dyDescent="0.35">
      <c r="A3" s="952" t="s">
        <v>1035</v>
      </c>
      <c r="B3" s="952" t="s">
        <v>155</v>
      </c>
      <c r="C3" s="953" t="s">
        <v>1036</v>
      </c>
      <c r="D3" s="953" t="s">
        <v>1037</v>
      </c>
      <c r="E3" s="952" t="s">
        <v>1038</v>
      </c>
      <c r="F3" s="952" t="s">
        <v>1039</v>
      </c>
      <c r="G3" s="952" t="s">
        <v>1040</v>
      </c>
      <c r="H3" s="952" t="s">
        <v>1041</v>
      </c>
      <c r="I3" s="952" t="s">
        <v>1043</v>
      </c>
      <c r="J3" s="990" t="s">
        <v>1044</v>
      </c>
      <c r="K3" s="990" t="s">
        <v>1045</v>
      </c>
      <c r="L3" s="990" t="s">
        <v>1046</v>
      </c>
      <c r="M3" s="990" t="s">
        <v>1044</v>
      </c>
      <c r="N3" s="990" t="s">
        <v>1045</v>
      </c>
      <c r="O3" s="990" t="s">
        <v>1046</v>
      </c>
      <c r="P3" s="1187" t="s">
        <v>1733</v>
      </c>
      <c r="Q3" s="1187" t="s">
        <v>1734</v>
      </c>
      <c r="R3" s="1187" t="s">
        <v>1735</v>
      </c>
      <c r="S3" s="1187" t="s">
        <v>1640</v>
      </c>
      <c r="T3" s="1187" t="s">
        <v>1641</v>
      </c>
      <c r="U3" s="1187" t="s">
        <v>1642</v>
      </c>
    </row>
    <row r="4" spans="1:21" s="60" customFormat="1" ht="29" x14ac:dyDescent="0.35">
      <c r="A4" s="955" t="s">
        <v>390</v>
      </c>
      <c r="B4" s="955" t="str">
        <f>$B$2&amp;" "&amp;C4</f>
        <v>Rack Oven - Double Oven Rack Oven - Double</v>
      </c>
      <c r="C4" s="956" t="s">
        <v>392</v>
      </c>
      <c r="D4" s="957" t="s">
        <v>1071</v>
      </c>
      <c r="E4" s="958" t="s">
        <v>1072</v>
      </c>
      <c r="F4" s="958">
        <f>+$B$34</f>
        <v>12</v>
      </c>
      <c r="G4" s="1186"/>
      <c r="H4" s="965" t="s">
        <v>1284</v>
      </c>
      <c r="I4" s="965"/>
      <c r="J4" s="991"/>
      <c r="K4" s="992"/>
      <c r="L4" s="1193">
        <f>+P4*(R4-Q4)*S4*T4*1/U4</f>
        <v>1930.5000000000007</v>
      </c>
      <c r="M4" s="991"/>
      <c r="N4" s="992"/>
      <c r="O4" s="991">
        <f>+L4*F4</f>
        <v>23166.000000000007</v>
      </c>
      <c r="P4" s="1193">
        <f>+$B$18</f>
        <v>275000</v>
      </c>
      <c r="Q4" s="1194">
        <f>+$B$21</f>
        <v>0.3</v>
      </c>
      <c r="R4" s="1194">
        <f>+$B$23</f>
        <v>0.55000000000000004</v>
      </c>
      <c r="S4" s="1194">
        <f>+$B$26</f>
        <v>0.75</v>
      </c>
      <c r="T4" s="1193">
        <f>+$B$28</f>
        <v>3744</v>
      </c>
      <c r="U4" s="1193">
        <f>+$B$31</f>
        <v>100000</v>
      </c>
    </row>
    <row r="5" spans="1:21" s="60" customFormat="1" ht="29" x14ac:dyDescent="0.35">
      <c r="A5" s="955" t="s">
        <v>389</v>
      </c>
      <c r="B5" s="955" t="str">
        <f>C5&amp;" "</f>
        <v xml:space="preserve">Rack Oven - Single </v>
      </c>
      <c r="C5" s="956" t="s">
        <v>388</v>
      </c>
      <c r="D5" s="957" t="s">
        <v>1071</v>
      </c>
      <c r="E5" s="958" t="s">
        <v>1072</v>
      </c>
      <c r="F5" s="958">
        <f>+$B$34</f>
        <v>12</v>
      </c>
      <c r="G5" s="1186"/>
      <c r="H5" s="965" t="s">
        <v>1284</v>
      </c>
      <c r="I5" s="965"/>
      <c r="J5" s="991"/>
      <c r="K5" s="992"/>
      <c r="L5" s="1193">
        <f>+P5*(R5-Q5)*S5*T5*1/U5</f>
        <v>1034</v>
      </c>
      <c r="M5" s="991"/>
      <c r="N5" s="992"/>
      <c r="O5" s="991">
        <f>+L5*F5</f>
        <v>12408</v>
      </c>
      <c r="P5" s="1193">
        <f>+$B$20</f>
        <v>184116.80911680911</v>
      </c>
      <c r="Q5" s="1194">
        <f>+$B$21</f>
        <v>0.3</v>
      </c>
      <c r="R5" s="1194">
        <v>0.5</v>
      </c>
      <c r="S5" s="1194">
        <f>+$B$26</f>
        <v>0.75</v>
      </c>
      <c r="T5" s="1193">
        <f>+$B$28</f>
        <v>3744</v>
      </c>
      <c r="U5" s="1193">
        <f>+$B$31</f>
        <v>100000</v>
      </c>
    </row>
    <row r="6" spans="1:21" x14ac:dyDescent="0.35">
      <c r="A6" s="961"/>
      <c r="B6" s="961"/>
      <c r="C6" s="961"/>
      <c r="D6" s="961"/>
      <c r="E6" s="961"/>
      <c r="F6" s="961"/>
      <c r="G6" s="961"/>
      <c r="H6" s="961"/>
      <c r="I6" s="961"/>
      <c r="J6" s="961"/>
      <c r="K6" s="961"/>
      <c r="L6" s="961"/>
      <c r="M6" s="961"/>
      <c r="N6" s="961"/>
      <c r="O6" s="961"/>
      <c r="P6" s="961"/>
      <c r="Q6" s="961"/>
      <c r="R6" s="961"/>
      <c r="S6" s="961"/>
      <c r="T6" s="961"/>
      <c r="U6" s="961"/>
    </row>
    <row r="7" spans="1:21" ht="15" thickBot="1" x14ac:dyDescent="0.4"/>
    <row r="8" spans="1:21" ht="15" thickBot="1" x14ac:dyDescent="0.4">
      <c r="A8" s="154" t="s">
        <v>1078</v>
      </c>
      <c r="B8" s="1142">
        <f>'Measure-Level Adjustments'!A2</f>
        <v>44592</v>
      </c>
    </row>
    <row r="9" spans="1:21" ht="15" thickBot="1" x14ac:dyDescent="0.4">
      <c r="A9" s="154" t="s">
        <v>1079</v>
      </c>
      <c r="B9" s="577" t="s">
        <v>393</v>
      </c>
      <c r="L9" s="298"/>
    </row>
    <row r="10" spans="1:21" ht="15" thickBot="1" x14ac:dyDescent="0.4"/>
    <row r="11" spans="1:21" ht="15" thickBot="1" x14ac:dyDescent="0.4">
      <c r="A11" s="74" t="s">
        <v>1188</v>
      </c>
      <c r="B11" s="64"/>
      <c r="C11" s="64"/>
      <c r="D11" s="64"/>
      <c r="E11" s="64"/>
      <c r="F11" s="65"/>
    </row>
    <row r="12" spans="1:21" x14ac:dyDescent="0.35">
      <c r="A12" s="69"/>
      <c r="B12" s="69"/>
      <c r="C12" s="69"/>
      <c r="D12" s="69"/>
      <c r="E12" s="69"/>
      <c r="F12" s="100"/>
    </row>
    <row r="13" spans="1:21" x14ac:dyDescent="0.35">
      <c r="A13" s="99"/>
      <c r="B13" s="69"/>
      <c r="C13" s="69"/>
      <c r="D13" s="69"/>
      <c r="E13" s="69"/>
      <c r="F13" s="100"/>
    </row>
    <row r="14" spans="1:21" ht="15" thickBot="1" x14ac:dyDescent="0.4">
      <c r="A14" s="261"/>
      <c r="B14" s="161"/>
      <c r="C14" s="161"/>
      <c r="D14" s="161"/>
      <c r="E14" s="161"/>
      <c r="F14" s="163"/>
    </row>
    <row r="16" spans="1:21" ht="15" thickBot="1" x14ac:dyDescent="0.4"/>
    <row r="17" spans="1:7" ht="15" thickBot="1" x14ac:dyDescent="0.4">
      <c r="A17" s="637" t="s">
        <v>1285</v>
      </c>
      <c r="B17" s="638" t="s">
        <v>1199</v>
      </c>
      <c r="C17" s="639" t="s">
        <v>1646</v>
      </c>
      <c r="D17" s="383"/>
      <c r="E17" s="383"/>
      <c r="F17" s="384"/>
    </row>
    <row r="18" spans="1:7" x14ac:dyDescent="0.35">
      <c r="A18" s="1199" t="s">
        <v>1733</v>
      </c>
      <c r="B18" s="1208">
        <v>275000</v>
      </c>
      <c r="C18" s="1200" t="s">
        <v>1736</v>
      </c>
      <c r="D18" s="1200"/>
      <c r="E18" s="1200"/>
      <c r="F18" s="1205"/>
    </row>
    <row r="19" spans="1:7" ht="15" thickBot="1" x14ac:dyDescent="0.4">
      <c r="A19" s="1201"/>
      <c r="B19" s="1209"/>
      <c r="C19" s="1202" t="s">
        <v>1737</v>
      </c>
      <c r="D19" s="1202"/>
      <c r="E19" s="1202"/>
      <c r="F19" s="1206"/>
    </row>
    <row r="20" spans="1:7" ht="15" thickBot="1" x14ac:dyDescent="0.4">
      <c r="A20" s="1203" t="s">
        <v>1738</v>
      </c>
      <c r="B20" s="1214">
        <v>184116.80911680911</v>
      </c>
      <c r="C20" s="1204" t="s">
        <v>1739</v>
      </c>
      <c r="D20" s="1204"/>
      <c r="E20" s="1204"/>
      <c r="F20" s="1207"/>
    </row>
    <row r="21" spans="1:7" x14ac:dyDescent="0.35">
      <c r="A21" s="1199" t="s">
        <v>1734</v>
      </c>
      <c r="B21" s="1210">
        <v>0.3</v>
      </c>
      <c r="C21" s="1200" t="s">
        <v>1740</v>
      </c>
      <c r="D21" s="1200"/>
      <c r="E21" s="1200"/>
      <c r="F21" s="1205"/>
    </row>
    <row r="22" spans="1:7" ht="15" thickBot="1" x14ac:dyDescent="0.4">
      <c r="A22" s="1201"/>
      <c r="B22" s="1211"/>
      <c r="C22" s="1202" t="s">
        <v>1741</v>
      </c>
      <c r="D22" s="1202"/>
      <c r="E22" s="1202"/>
      <c r="F22" s="1206"/>
    </row>
    <row r="23" spans="1:7" x14ac:dyDescent="0.35">
      <c r="A23" s="1199" t="s">
        <v>1735</v>
      </c>
      <c r="B23" s="1212">
        <v>0.55000000000000004</v>
      </c>
      <c r="C23" s="1200" t="s">
        <v>1742</v>
      </c>
      <c r="D23" s="1200"/>
      <c r="E23" s="1200"/>
      <c r="F23" s="1205"/>
    </row>
    <row r="24" spans="1:7" x14ac:dyDescent="0.35">
      <c r="A24" s="1816"/>
      <c r="B24" s="1817"/>
      <c r="C24" s="1818" t="s">
        <v>1743</v>
      </c>
      <c r="D24" s="1818"/>
      <c r="E24" s="1818"/>
      <c r="F24" s="1819"/>
    </row>
    <row r="25" spans="1:7" ht="15" thickBot="1" x14ac:dyDescent="0.4">
      <c r="A25" s="1201"/>
      <c r="B25" s="1815">
        <v>0.5</v>
      </c>
      <c r="C25" s="1202" t="s">
        <v>1744</v>
      </c>
      <c r="D25" s="1202"/>
      <c r="E25" s="1202"/>
      <c r="F25" s="1206"/>
      <c r="G25" s="1799" t="s">
        <v>1745</v>
      </c>
    </row>
    <row r="26" spans="1:7" x14ac:dyDescent="0.35">
      <c r="A26" s="1199" t="s">
        <v>1640</v>
      </c>
      <c r="B26" s="1210">
        <v>0.75</v>
      </c>
      <c r="C26" s="1200" t="s">
        <v>1746</v>
      </c>
      <c r="D26" s="1200"/>
      <c r="E26" s="1200"/>
      <c r="F26" s="1205"/>
    </row>
    <row r="27" spans="1:7" ht="15" thickBot="1" x14ac:dyDescent="0.4">
      <c r="A27" s="1201"/>
      <c r="B27" s="1211"/>
      <c r="C27" s="1202" t="s">
        <v>1747</v>
      </c>
      <c r="D27" s="1202"/>
      <c r="E27" s="1202"/>
      <c r="F27" s="1206"/>
    </row>
    <row r="28" spans="1:7" x14ac:dyDescent="0.35">
      <c r="A28" s="1199" t="s">
        <v>1641</v>
      </c>
      <c r="B28" s="1208">
        <v>3744</v>
      </c>
      <c r="C28" s="1200" t="s">
        <v>1125</v>
      </c>
      <c r="D28" s="1200"/>
      <c r="E28" s="1200"/>
      <c r="F28" s="1205"/>
    </row>
    <row r="29" spans="1:7" ht="15" thickBot="1" x14ac:dyDescent="0.4">
      <c r="A29" s="1201"/>
      <c r="B29" s="1211"/>
      <c r="C29" s="1202" t="s">
        <v>1748</v>
      </c>
      <c r="D29" s="1202"/>
      <c r="E29" s="1202"/>
      <c r="F29" s="1206"/>
    </row>
    <row r="30" spans="1:7" x14ac:dyDescent="0.35">
      <c r="A30" s="1199" t="s">
        <v>1416</v>
      </c>
      <c r="B30" s="1213"/>
      <c r="C30" s="1200"/>
      <c r="D30" s="1200"/>
      <c r="E30" s="1200"/>
      <c r="F30" s="1205"/>
    </row>
    <row r="31" spans="1:7" ht="15" thickBot="1" x14ac:dyDescent="0.4">
      <c r="A31" s="1203"/>
      <c r="B31" s="1214">
        <v>100000</v>
      </c>
      <c r="C31" s="1204" t="s">
        <v>1668</v>
      </c>
      <c r="D31" s="1204"/>
      <c r="E31" s="1204"/>
      <c r="F31" s="1207"/>
    </row>
    <row r="32" spans="1:7" x14ac:dyDescent="0.35">
      <c r="A32" s="1199" t="s">
        <v>1040</v>
      </c>
      <c r="B32" s="1215"/>
      <c r="C32" s="1200"/>
      <c r="D32" s="1200"/>
      <c r="E32" s="1200"/>
      <c r="F32" s="1205"/>
    </row>
    <row r="33" spans="1:6" ht="15" thickBot="1" x14ac:dyDescent="0.4">
      <c r="A33" s="1201"/>
      <c r="B33" s="1211"/>
      <c r="C33" s="1202"/>
      <c r="D33" s="1202"/>
      <c r="E33" s="1202"/>
      <c r="F33" s="1206"/>
    </row>
    <row r="34" spans="1:6" x14ac:dyDescent="0.35">
      <c r="A34" s="1199" t="s">
        <v>1083</v>
      </c>
      <c r="B34" s="1213">
        <v>12</v>
      </c>
      <c r="C34" s="1200" t="s">
        <v>1670</v>
      </c>
      <c r="D34" s="1200"/>
      <c r="E34" s="1200"/>
      <c r="F34" s="1205"/>
    </row>
    <row r="35" spans="1:6" ht="15" thickBot="1" x14ac:dyDescent="0.4">
      <c r="A35" s="1201"/>
      <c r="B35" s="1211"/>
      <c r="C35" s="1202" t="s">
        <v>1671</v>
      </c>
      <c r="D35" s="1202"/>
      <c r="E35" s="1202"/>
      <c r="F35" s="1206"/>
    </row>
  </sheetData>
  <customSheetViews>
    <customSheetView guid="{ECD6FE6A-9548-414E-B8AA-6998703C57E0}" scale="60" showPageBreaks="1" fitToPage="1" view="pageBreakPreview">
      <pageMargins left="0" right="0" top="0" bottom="0" header="0" footer="0"/>
      <pageSetup scale="42" orientation="landscape" verticalDpi="300" r:id="rId1"/>
    </customSheetView>
    <customSheetView guid="{11DE45F5-F478-4ED6-8DFF-12002C22A637}" scale="60" showPageBreaks="1" fitToPage="1" view="pageBreakPreview">
      <pageMargins left="0" right="0" top="0" bottom="0" header="0" footer="0"/>
      <pageSetup scale="42" orientation="landscape" verticalDpi="300" r:id="rId2"/>
    </customSheetView>
  </customSheetViews>
  <mergeCells count="3">
    <mergeCell ref="J2:L2"/>
    <mergeCell ref="M2:O2"/>
    <mergeCell ref="P2:U2"/>
  </mergeCells>
  <dataValidations count="1">
    <dataValidation type="list" allowBlank="1" showInputMessage="1" showErrorMessage="1" sqref="D4:D5" xr:uid="{00000000-0002-0000-0F00-000000000000}">
      <formula1>MeasureType</formula1>
    </dataValidation>
  </dataValidations>
  <hyperlinks>
    <hyperlink ref="A1" location="'Measure-Level Adjustments'!Print_Titles" display="Measure Level Tab" xr:uid="{26B6F079-D9DE-41EE-9806-DF63B58786A8}"/>
    <hyperlink ref="G25" r:id="rId3" xr:uid="{6739C5E9-FBF1-41DF-960E-0D9EA3D383B7}"/>
  </hyperlinks>
  <pageMargins left="0.7" right="0.7" top="0.75" bottom="0.75" header="0.3" footer="0.3"/>
  <pageSetup scale="35" orientation="landscape" verticalDpi="300"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BA110"/>
  <sheetViews>
    <sheetView zoomScaleNormal="100" zoomScaleSheetLayoutView="70" workbookViewId="0">
      <pane xSplit="1" ySplit="3" topLeftCell="B43" activePane="bottomRight" state="frozen"/>
      <selection pane="topRight" activeCell="B1" sqref="B1"/>
      <selection pane="bottomLeft" activeCell="A3" sqref="A3"/>
      <selection pane="bottomRight" activeCell="J45" sqref="J45"/>
    </sheetView>
  </sheetViews>
  <sheetFormatPr defaultRowHeight="14.5" x14ac:dyDescent="0.35"/>
  <cols>
    <col min="1" max="1" width="14.1796875" customWidth="1"/>
    <col min="2" max="2" width="44.7265625" customWidth="1"/>
    <col min="3" max="3" width="20" bestFit="1" customWidth="1"/>
    <col min="4" max="4" width="11.81640625" customWidth="1"/>
    <col min="5" max="5" width="9.54296875" customWidth="1"/>
    <col min="6" max="6" width="18.453125" bestFit="1" customWidth="1"/>
    <col min="7" max="7" width="18.453125" customWidth="1"/>
    <col min="8" max="8" width="13.453125" customWidth="1"/>
    <col min="9" max="9" width="12.1796875" customWidth="1"/>
    <col min="10" max="10" width="14.26953125" customWidth="1"/>
    <col min="11" max="11" width="14.453125" bestFit="1" customWidth="1"/>
    <col min="12" max="12" width="22.81640625" customWidth="1"/>
    <col min="13" max="13" width="12.81640625" customWidth="1"/>
    <col min="14" max="14" width="10.453125" customWidth="1"/>
    <col min="16" max="16" width="10.26953125" customWidth="1"/>
    <col min="17" max="17" width="12.54296875" bestFit="1" customWidth="1"/>
    <col min="19" max="19" width="14.453125" style="60" customWidth="1"/>
    <col min="23" max="23" width="13.26953125" bestFit="1" customWidth="1"/>
    <col min="28" max="28" width="10.81640625" bestFit="1" customWidth="1"/>
    <col min="29" max="29" width="13.54296875" bestFit="1" customWidth="1"/>
    <col min="30" max="30" width="8.453125" bestFit="1" customWidth="1"/>
    <col min="31" max="31" width="4.81640625" bestFit="1" customWidth="1"/>
    <col min="32" max="32" width="6.453125" bestFit="1" customWidth="1"/>
    <col min="33" max="33" width="9" bestFit="1" customWidth="1"/>
    <col min="34" max="34" width="9.7265625" bestFit="1" customWidth="1"/>
    <col min="35" max="35" width="7.453125" bestFit="1" customWidth="1"/>
    <col min="36" max="36" width="8.54296875" bestFit="1" customWidth="1"/>
    <col min="37" max="37" width="9.54296875" bestFit="1" customWidth="1"/>
  </cols>
  <sheetData>
    <row r="1" spans="1:53" x14ac:dyDescent="0.35">
      <c r="A1" s="1799" t="s">
        <v>1031</v>
      </c>
    </row>
    <row r="2" spans="1:53" ht="15" customHeight="1" x14ac:dyDescent="0.35">
      <c r="A2" s="1428" t="s">
        <v>479</v>
      </c>
      <c r="B2" s="993" t="s">
        <v>1749</v>
      </c>
      <c r="C2" s="997"/>
      <c r="D2" s="997"/>
      <c r="E2" s="998"/>
      <c r="F2" s="998"/>
      <c r="G2" s="998"/>
      <c r="H2" s="998"/>
      <c r="I2" s="998"/>
      <c r="J2" s="998"/>
      <c r="K2" s="998"/>
      <c r="L2" s="998"/>
      <c r="M2" s="998"/>
      <c r="N2" s="998"/>
      <c r="O2" s="3045" t="s">
        <v>1032</v>
      </c>
      <c r="P2" s="3046"/>
      <c r="Q2" s="3047"/>
      <c r="R2" s="3045" t="s">
        <v>1033</v>
      </c>
      <c r="S2" s="3046"/>
      <c r="T2" s="3046"/>
      <c r="U2" s="3094" t="s">
        <v>1750</v>
      </c>
      <c r="V2" s="3095"/>
      <c r="W2" s="3095"/>
      <c r="X2" s="3095"/>
      <c r="Y2" s="3095"/>
      <c r="Z2" s="3095"/>
      <c r="AA2" s="3095"/>
      <c r="AB2" s="3095"/>
      <c r="AC2" s="3094" t="s">
        <v>1751</v>
      </c>
      <c r="AD2" s="3095"/>
      <c r="AE2" s="3095"/>
      <c r="AF2" s="3095"/>
      <c r="AG2" s="3095"/>
      <c r="AH2" s="3095"/>
      <c r="AI2" s="3095"/>
      <c r="AJ2" s="3095"/>
      <c r="AK2" s="3095"/>
    </row>
    <row r="3" spans="1:53" s="672" customFormat="1" ht="30" x14ac:dyDescent="0.45">
      <c r="A3" s="969" t="s">
        <v>1035</v>
      </c>
      <c r="B3" s="953" t="s">
        <v>155</v>
      </c>
      <c r="C3" s="953" t="s">
        <v>1036</v>
      </c>
      <c r="D3" s="953" t="s">
        <v>1037</v>
      </c>
      <c r="E3" s="998" t="s">
        <v>1038</v>
      </c>
      <c r="F3" s="998" t="s">
        <v>1752</v>
      </c>
      <c r="G3" s="998" t="s">
        <v>1753</v>
      </c>
      <c r="H3" s="998" t="s">
        <v>1754</v>
      </c>
      <c r="I3" s="998" t="s">
        <v>1360</v>
      </c>
      <c r="J3" s="998" t="s">
        <v>1755</v>
      </c>
      <c r="K3" s="998" t="s">
        <v>1043</v>
      </c>
      <c r="L3" s="998" t="s">
        <v>1039</v>
      </c>
      <c r="M3" s="998" t="s">
        <v>1040</v>
      </c>
      <c r="N3" s="998" t="s">
        <v>1041</v>
      </c>
      <c r="O3" s="998" t="s">
        <v>1044</v>
      </c>
      <c r="P3" s="998" t="s">
        <v>1045</v>
      </c>
      <c r="Q3" s="998" t="s">
        <v>1046</v>
      </c>
      <c r="R3" s="998" t="s">
        <v>1044</v>
      </c>
      <c r="S3" s="998" t="s">
        <v>1045</v>
      </c>
      <c r="T3" s="999" t="s">
        <v>1046</v>
      </c>
      <c r="U3" s="883" t="s">
        <v>1571</v>
      </c>
      <c r="V3" s="884" t="s">
        <v>1572</v>
      </c>
      <c r="W3" s="884" t="s">
        <v>1756</v>
      </c>
      <c r="X3" s="885" t="s">
        <v>1757</v>
      </c>
      <c r="Y3" s="884" t="s">
        <v>1758</v>
      </c>
      <c r="Z3" s="884" t="s">
        <v>1759</v>
      </c>
      <c r="AA3" s="886" t="s">
        <v>1760</v>
      </c>
      <c r="AB3" s="886" t="s">
        <v>1761</v>
      </c>
      <c r="AC3" s="886" t="s">
        <v>1762</v>
      </c>
      <c r="AD3" s="887" t="s">
        <v>1763</v>
      </c>
      <c r="AE3" s="887" t="s">
        <v>1764</v>
      </c>
      <c r="AF3" s="887" t="s">
        <v>1765</v>
      </c>
      <c r="AG3" s="887" t="s">
        <v>1766</v>
      </c>
      <c r="AH3" s="887" t="s">
        <v>1767</v>
      </c>
      <c r="AI3" s="887" t="s">
        <v>1768</v>
      </c>
      <c r="AJ3" s="887" t="s">
        <v>1769</v>
      </c>
      <c r="AK3" s="887" t="s">
        <v>1770</v>
      </c>
      <c r="AM3" s="888"/>
      <c r="AN3" s="888"/>
      <c r="AO3" s="888"/>
      <c r="AP3" s="199"/>
      <c r="AQ3" s="199"/>
      <c r="AR3" s="199"/>
      <c r="AS3" s="199"/>
      <c r="AT3" s="889"/>
      <c r="AU3" s="889"/>
      <c r="AV3" s="199"/>
      <c r="AW3" s="199"/>
      <c r="AX3" s="199"/>
      <c r="AY3" s="199"/>
      <c r="AZ3" s="889"/>
      <c r="BA3" s="199"/>
    </row>
    <row r="4" spans="1:53" s="60" customFormat="1" ht="29" x14ac:dyDescent="0.35">
      <c r="A4" s="955" t="s">
        <v>478</v>
      </c>
      <c r="B4" s="955" t="str">
        <f>$B$2&amp;" - "&amp;F4&amp;", Bld Type = "&amp;I4&amp;IF(F4=$B$60, IF(I4=$I$87, "", ", Sml Biz"), "")</f>
        <v>Storage Water Heater - Gas, Standard, ≥0.67 EF, Bld Type = Average, Sml Biz</v>
      </c>
      <c r="C4" s="956" t="s">
        <v>477</v>
      </c>
      <c r="D4" s="957" t="s">
        <v>1771</v>
      </c>
      <c r="E4" s="610" t="s">
        <v>1632</v>
      </c>
      <c r="F4" s="973" t="s">
        <v>1772</v>
      </c>
      <c r="G4" s="610">
        <v>0.67</v>
      </c>
      <c r="H4" s="69" t="s">
        <v>1773</v>
      </c>
      <c r="I4" s="973" t="s">
        <v>1363</v>
      </c>
      <c r="J4" s="69" t="s">
        <v>1774</v>
      </c>
      <c r="K4" s="69"/>
      <c r="L4" s="1000">
        <f>+$B$22</f>
        <v>15</v>
      </c>
      <c r="M4" s="1001"/>
      <c r="N4" s="1002"/>
      <c r="O4" s="1003"/>
      <c r="P4" s="1003"/>
      <c r="Q4" s="2631">
        <f>+((((U4-V4)*(W4*X4)*1*((1/Y4)-(1/Z4)))/100000)-B54)+AC4</f>
        <v>50.462432363192917</v>
      </c>
      <c r="R4" s="1003"/>
      <c r="S4" s="1004"/>
      <c r="T4" s="2632">
        <f>Q4*L4</f>
        <v>756.9364854478938</v>
      </c>
      <c r="U4" s="257">
        <f>+$B$28</f>
        <v>125</v>
      </c>
      <c r="V4" s="2746">
        <f>+$B$30</f>
        <v>50.7</v>
      </c>
      <c r="W4" s="655">
        <f>+AA4*$G$88</f>
        <v>28839.285714285717</v>
      </c>
      <c r="X4" s="257">
        <f>+$B$34</f>
        <v>8.33</v>
      </c>
      <c r="Y4" s="890">
        <f>+IF(AND(J4="&lt;75,000",AA4&lt;55),$J$62-($K$62*AA4),IF(AND(J4="&lt;75,000",AA4&gt;55),$J$63-($K$63*AA4),IF(AND(J4="&gt;75,000",AA4&gt;55),$J$64-$K$64*AA4)))</f>
        <v>0.56330000000000002</v>
      </c>
      <c r="Z4" s="890">
        <f>+G4</f>
        <v>0.67</v>
      </c>
      <c r="AA4" s="257">
        <v>50</v>
      </c>
      <c r="AB4" s="891">
        <v>100000</v>
      </c>
      <c r="AC4" s="891"/>
      <c r="AD4" s="891"/>
      <c r="AE4" s="891"/>
      <c r="AF4" s="891"/>
      <c r="AG4" s="891"/>
      <c r="AH4" s="891"/>
      <c r="AI4" s="891"/>
      <c r="AJ4" s="891"/>
      <c r="AK4" s="891"/>
      <c r="AM4" s="892"/>
      <c r="AN4" s="892"/>
      <c r="AO4" s="892"/>
      <c r="AP4" s="892"/>
      <c r="AQ4" s="892"/>
      <c r="AR4" s="892"/>
      <c r="AS4" s="892"/>
      <c r="AV4" s="892"/>
      <c r="AW4" s="892"/>
      <c r="AX4" s="892"/>
      <c r="AY4" s="892"/>
      <c r="BA4" s="892"/>
    </row>
    <row r="5" spans="1:53" s="60" customFormat="1" ht="29" x14ac:dyDescent="0.35">
      <c r="A5" s="955" t="s">
        <v>483</v>
      </c>
      <c r="B5" s="955" t="str">
        <f>$B$2&amp;" - "&amp;F5&amp;", Bld Type = "&amp;I5&amp;IF(F5=$B$60, IF(I5=$I$87, "", ", Sml Biz"), "")</f>
        <v>Storage Water Heater - Gas,High Efficiency, ≥88% TE, Bld Type = Average</v>
      </c>
      <c r="C5" s="956" t="s">
        <v>482</v>
      </c>
      <c r="D5" s="957" t="s">
        <v>1771</v>
      </c>
      <c r="E5" s="610" t="s">
        <v>1632</v>
      </c>
      <c r="F5" s="973" t="s">
        <v>1775</v>
      </c>
      <c r="G5" s="610">
        <v>0.88</v>
      </c>
      <c r="H5" s="69" t="s">
        <v>1776</v>
      </c>
      <c r="I5" s="973" t="s">
        <v>1363</v>
      </c>
      <c r="J5" s="69" t="s">
        <v>1777</v>
      </c>
      <c r="K5" s="69"/>
      <c r="L5" s="1000">
        <f>+$B$22</f>
        <v>15</v>
      </c>
      <c r="M5" s="1001"/>
      <c r="N5" s="1002"/>
      <c r="O5" s="1003"/>
      <c r="P5" s="1003"/>
      <c r="Q5" s="2631">
        <f>+((U5-V5)*(W5*X5)*1*((1/Y5)-(1/Z5)))/100000+AC5</f>
        <v>350.51919514182515</v>
      </c>
      <c r="R5" s="1003"/>
      <c r="S5" s="1004"/>
      <c r="T5" s="2632">
        <f>Q5*L5</f>
        <v>5257.7879271273769</v>
      </c>
      <c r="U5" s="257">
        <f>+$B$28</f>
        <v>125</v>
      </c>
      <c r="V5" s="2746">
        <f>+$B$30</f>
        <v>50.7</v>
      </c>
      <c r="W5" s="655">
        <f>+AA5*$G$88</f>
        <v>57678.571428571435</v>
      </c>
      <c r="X5" s="257">
        <f>+$B$34</f>
        <v>8.33</v>
      </c>
      <c r="Y5" s="890">
        <f>+IF(AND(J5="&lt;75,000",AA5&lt;55),$J$62-($K$62*AA5),IF(AND(J5="&lt;75,000",AA5&gt;55),$J$63-($K$63*AA5),IF(AND(J5="&gt;75,000",AA5&gt;55),$J$64-$K$64*AA5)))</f>
        <v>0.49019999999999997</v>
      </c>
      <c r="Z5" s="890">
        <f>+G5</f>
        <v>0.88</v>
      </c>
      <c r="AA5" s="257">
        <f>+$B$44</f>
        <v>100</v>
      </c>
      <c r="AB5" s="891">
        <f>+AD5</f>
        <v>175000</v>
      </c>
      <c r="AC5" s="893">
        <f>+(AG5-AF5)*AK5/100000</f>
        <v>27.941624999999998</v>
      </c>
      <c r="AD5" s="891">
        <f>+$B$42</f>
        <v>175000</v>
      </c>
      <c r="AE5" s="891">
        <f>+$AA$5</f>
        <v>100</v>
      </c>
      <c r="AF5" s="891">
        <f>+$B$46</f>
        <v>1000</v>
      </c>
      <c r="AG5" s="894">
        <f>+AD5/AH5+AI5*SQRT(AE5)</f>
        <v>1318.75</v>
      </c>
      <c r="AH5" s="894">
        <f>+$B$52</f>
        <v>800</v>
      </c>
      <c r="AI5" s="894">
        <f>+$B$53</f>
        <v>110</v>
      </c>
      <c r="AJ5" s="891">
        <f>+$B$49</f>
        <v>100000</v>
      </c>
      <c r="AK5" s="891">
        <f>+$B$48</f>
        <v>8766</v>
      </c>
      <c r="AL5"/>
    </row>
    <row r="6" spans="1:53" s="60" customFormat="1" ht="43.5" x14ac:dyDescent="0.35">
      <c r="A6" s="955" t="s">
        <v>483</v>
      </c>
      <c r="B6" s="955" t="s">
        <v>1778</v>
      </c>
      <c r="C6" s="956" t="s">
        <v>1779</v>
      </c>
      <c r="D6" s="957" t="s">
        <v>1771</v>
      </c>
      <c r="E6" s="610" t="s">
        <v>1632</v>
      </c>
      <c r="F6" s="973" t="s">
        <v>1780</v>
      </c>
      <c r="G6" s="610">
        <v>0.9</v>
      </c>
      <c r="H6" s="69" t="s">
        <v>1776</v>
      </c>
      <c r="I6" s="973" t="s">
        <v>1363</v>
      </c>
      <c r="J6" s="69" t="s">
        <v>1777</v>
      </c>
      <c r="K6" s="69"/>
      <c r="L6" s="1000">
        <f>+$B$22</f>
        <v>15</v>
      </c>
      <c r="M6" s="1001"/>
      <c r="N6" s="1002"/>
      <c r="O6" s="1003"/>
      <c r="P6" s="1003"/>
      <c r="Q6" s="2631">
        <f>+((U6-V6)*(W6*X6)*1*((1/Y6)-(1/Z6)))/100000+AC6</f>
        <v>359.53393346253222</v>
      </c>
      <c r="R6" s="1003"/>
      <c r="S6" s="1004"/>
      <c r="T6" s="2632">
        <f>Q6*L6</f>
        <v>5393.0090019379832</v>
      </c>
      <c r="U6" s="257">
        <f>+$B$28</f>
        <v>125</v>
      </c>
      <c r="V6" s="2746">
        <f>+$B$30</f>
        <v>50.7</v>
      </c>
      <c r="W6" s="655">
        <f>+AA6*$G$88</f>
        <v>57678.571428571435</v>
      </c>
      <c r="X6" s="257">
        <f>+$B$34</f>
        <v>8.33</v>
      </c>
      <c r="Y6" s="890">
        <f>+IF(AND(J6="&lt;75,000",AA6&lt;55),$J$62-($K$62*AA6),IF(AND(J6="&lt;75,000",AA6&gt;55),$J$63-($K$63*AA6),IF(AND(J6="&gt;75,000",AA6&gt;55),$J$64-$K$64*AA6)))</f>
        <v>0.49019999999999997</v>
      </c>
      <c r="Z6" s="890">
        <f>+G6</f>
        <v>0.9</v>
      </c>
      <c r="AA6" s="257">
        <f>+$B$44</f>
        <v>100</v>
      </c>
      <c r="AB6" s="891">
        <f>+AD6</f>
        <v>175000</v>
      </c>
      <c r="AC6" s="893">
        <f>+(AG6-AF6)*AK6/100000</f>
        <v>27.941624999999998</v>
      </c>
      <c r="AD6" s="891">
        <f>+$B$42</f>
        <v>175000</v>
      </c>
      <c r="AE6" s="891">
        <f>+$AA$5</f>
        <v>100</v>
      </c>
      <c r="AF6" s="891">
        <f>+$B$46</f>
        <v>1000</v>
      </c>
      <c r="AG6" s="894">
        <f>+AD6/AH6+AI6*SQRT(AE6)</f>
        <v>1318.75</v>
      </c>
      <c r="AH6" s="894">
        <f>+$B$52</f>
        <v>800</v>
      </c>
      <c r="AI6" s="894">
        <f>+$B$53</f>
        <v>110</v>
      </c>
      <c r="AJ6" s="891">
        <f>+$B$49</f>
        <v>100000</v>
      </c>
      <c r="AK6" s="891">
        <f>+$B$48</f>
        <v>8766</v>
      </c>
      <c r="AL6"/>
    </row>
    <row r="7" spans="1:53" x14ac:dyDescent="0.35">
      <c r="A7" s="961"/>
      <c r="B7" s="961"/>
      <c r="C7" s="961"/>
      <c r="D7" s="961"/>
      <c r="E7" s="961"/>
      <c r="F7" s="961"/>
      <c r="G7" s="961"/>
      <c r="H7" s="961"/>
      <c r="I7" s="961"/>
      <c r="J7" s="961"/>
      <c r="K7" s="961"/>
      <c r="L7" s="961"/>
      <c r="M7" s="1005"/>
      <c r="N7" s="961"/>
      <c r="O7" s="961"/>
      <c r="P7" s="961"/>
      <c r="Q7" s="961"/>
      <c r="R7" s="961"/>
      <c r="S7" s="961"/>
      <c r="T7" s="1006"/>
      <c r="U7" s="1006"/>
      <c r="V7" s="1006"/>
      <c r="W7" s="1006"/>
      <c r="X7" s="1006"/>
      <c r="Y7" s="1006"/>
      <c r="Z7" s="1006"/>
      <c r="AA7" s="1006"/>
      <c r="AB7" s="1006"/>
      <c r="AC7" s="1006"/>
      <c r="AD7" s="1006"/>
      <c r="AE7" s="1006"/>
      <c r="AF7" s="1006"/>
      <c r="AG7" s="1006"/>
      <c r="AH7" s="1006"/>
      <c r="AI7" s="1006"/>
      <c r="AJ7" s="1006"/>
      <c r="AK7" s="1006"/>
    </row>
    <row r="8" spans="1:53" ht="15" thickBot="1" x14ac:dyDescent="0.4"/>
    <row r="9" spans="1:53" ht="15" thickBot="1" x14ac:dyDescent="0.4">
      <c r="A9" s="74" t="s">
        <v>1781</v>
      </c>
      <c r="B9" s="64"/>
      <c r="C9" s="64"/>
      <c r="D9" s="64"/>
      <c r="E9" s="64"/>
      <c r="F9" s="65"/>
    </row>
    <row r="10" spans="1:53" x14ac:dyDescent="0.35">
      <c r="A10" s="2606"/>
      <c r="B10" s="895"/>
      <c r="C10" s="380"/>
      <c r="D10" s="380"/>
      <c r="E10" s="380"/>
      <c r="F10" s="381"/>
    </row>
    <row r="11" spans="1:53" x14ac:dyDescent="0.35">
      <c r="A11" s="2860" t="s">
        <v>1782</v>
      </c>
      <c r="B11" s="104"/>
      <c r="C11" s="69"/>
      <c r="D11" s="69"/>
      <c r="E11" s="69"/>
      <c r="F11" s="100"/>
    </row>
    <row r="12" spans="1:53" x14ac:dyDescent="0.35">
      <c r="A12" s="2698"/>
      <c r="B12" s="69"/>
      <c r="C12" s="69"/>
      <c r="D12" s="69"/>
      <c r="E12" s="69"/>
      <c r="F12" s="100"/>
    </row>
    <row r="13" spans="1:53" x14ac:dyDescent="0.35">
      <c r="A13" s="99"/>
      <c r="B13" s="69"/>
      <c r="C13" s="69"/>
      <c r="D13" s="69"/>
      <c r="E13" s="69"/>
      <c r="F13" s="100"/>
    </row>
    <row r="14" spans="1:53" ht="16.5" x14ac:dyDescent="0.45">
      <c r="A14" s="896" t="s">
        <v>1762</v>
      </c>
      <c r="B14" s="69"/>
      <c r="C14" s="69"/>
      <c r="D14" s="69"/>
      <c r="E14" s="69"/>
      <c r="F14" s="100"/>
    </row>
    <row r="15" spans="1:53" x14ac:dyDescent="0.35">
      <c r="A15" s="99"/>
      <c r="B15" s="69"/>
      <c r="C15" s="69"/>
      <c r="D15" s="69"/>
      <c r="E15" s="69"/>
      <c r="F15" s="100"/>
    </row>
    <row r="16" spans="1:53" x14ac:dyDescent="0.35">
      <c r="A16" s="99"/>
      <c r="B16" s="69" t="s">
        <v>1783</v>
      </c>
      <c r="C16" s="69"/>
      <c r="D16" s="69"/>
      <c r="E16" s="69"/>
      <c r="F16" s="100"/>
    </row>
    <row r="17" spans="1:32" x14ac:dyDescent="0.35">
      <c r="A17" s="261"/>
      <c r="B17" s="161"/>
      <c r="C17" s="161"/>
      <c r="D17" s="161"/>
      <c r="E17" s="161"/>
      <c r="F17" s="163"/>
      <c r="Q17" s="60"/>
      <c r="R17" s="60"/>
      <c r="T17" s="60"/>
      <c r="U17" s="60"/>
      <c r="V17" s="60"/>
      <c r="W17" s="60"/>
      <c r="X17" s="60"/>
      <c r="Y17" s="60"/>
      <c r="Z17" s="60"/>
      <c r="AA17" s="60"/>
      <c r="AB17" s="60"/>
      <c r="AC17" s="60"/>
      <c r="AD17" s="60"/>
      <c r="AE17" s="60"/>
      <c r="AF17" s="60"/>
    </row>
    <row r="18" spans="1:32" x14ac:dyDescent="0.35">
      <c r="A18" s="154" t="s">
        <v>1078</v>
      </c>
      <c r="B18" s="1556">
        <f>'Measure-Level Adjustments'!A2</f>
        <v>44592</v>
      </c>
      <c r="Q18" s="60"/>
      <c r="R18" s="60"/>
      <c r="T18" s="60"/>
      <c r="U18" s="60"/>
      <c r="V18" s="60"/>
      <c r="W18" s="60"/>
      <c r="X18" s="60"/>
      <c r="Y18" s="60"/>
      <c r="Z18" s="60"/>
      <c r="AA18" s="60"/>
      <c r="AB18" s="60"/>
      <c r="AC18" s="60"/>
      <c r="AD18" s="60"/>
      <c r="AE18" s="60"/>
      <c r="AF18" s="60"/>
    </row>
    <row r="19" spans="1:32" x14ac:dyDescent="0.35">
      <c r="A19" s="154" t="s">
        <v>1079</v>
      </c>
      <c r="B19" s="2620" t="s">
        <v>1784</v>
      </c>
      <c r="Q19" s="60"/>
      <c r="R19" s="60"/>
      <c r="T19" s="60"/>
      <c r="U19" s="60"/>
      <c r="V19" s="60"/>
      <c r="W19" s="60"/>
      <c r="X19" s="60"/>
      <c r="Y19" s="60"/>
      <c r="Z19" s="60"/>
      <c r="AA19" s="60"/>
      <c r="AB19" s="60"/>
      <c r="AC19" s="60"/>
      <c r="AD19" s="60"/>
      <c r="AE19" s="60"/>
      <c r="AF19" s="60"/>
    </row>
    <row r="20" spans="1:32" ht="15" thickBot="1" x14ac:dyDescent="0.4">
      <c r="Q20" s="60"/>
      <c r="R20" s="60"/>
      <c r="T20" s="60"/>
      <c r="U20" s="60"/>
      <c r="V20" s="60"/>
      <c r="W20" s="60"/>
      <c r="X20" s="60"/>
      <c r="Y20" s="60"/>
      <c r="Z20" s="60"/>
      <c r="AA20" s="60"/>
      <c r="AB20" s="60"/>
      <c r="AC20" s="60"/>
      <c r="AD20" s="60"/>
      <c r="AE20" s="60"/>
      <c r="AF20" s="60"/>
    </row>
    <row r="21" spans="1:32" ht="15" thickBot="1" x14ac:dyDescent="0.4">
      <c r="A21" s="74" t="s">
        <v>1785</v>
      </c>
      <c r="B21" s="75" t="s">
        <v>1199</v>
      </c>
      <c r="C21" s="76" t="s">
        <v>1082</v>
      </c>
      <c r="D21" s="383"/>
      <c r="E21" s="383"/>
      <c r="F21" s="383"/>
      <c r="G21" s="383"/>
      <c r="H21" s="384"/>
      <c r="Q21" s="60"/>
      <c r="R21" s="60"/>
      <c r="T21" s="60"/>
      <c r="U21" s="60"/>
      <c r="V21" s="60"/>
      <c r="W21" s="60"/>
      <c r="X21" s="60"/>
      <c r="Y21" s="60"/>
      <c r="Z21" s="60"/>
      <c r="AA21" s="60"/>
      <c r="AB21" s="60"/>
      <c r="AC21" s="60"/>
      <c r="AD21" s="60"/>
      <c r="AE21" s="60"/>
      <c r="AF21" s="60"/>
    </row>
    <row r="22" spans="1:32" x14ac:dyDescent="0.35">
      <c r="A22" s="93" t="s">
        <v>1083</v>
      </c>
      <c r="B22" s="80">
        <v>15</v>
      </c>
      <c r="C22" s="80" t="s">
        <v>1786</v>
      </c>
      <c r="H22" s="253"/>
      <c r="Q22" s="60"/>
      <c r="R22" s="60"/>
      <c r="T22" s="60"/>
      <c r="U22" s="60"/>
      <c r="V22" s="60"/>
      <c r="W22" s="60"/>
      <c r="X22" s="60"/>
      <c r="Y22" s="60"/>
      <c r="Z22" s="60"/>
      <c r="AA22" s="60"/>
      <c r="AB22" s="60"/>
      <c r="AC22" s="60"/>
      <c r="AD22" s="60"/>
      <c r="AE22" s="60"/>
      <c r="AF22" s="60"/>
    </row>
    <row r="23" spans="1:32" ht="15" thickBot="1" x14ac:dyDescent="0.4">
      <c r="A23" s="254"/>
      <c r="C23" t="s">
        <v>1787</v>
      </c>
      <c r="H23" s="253"/>
      <c r="Q23" s="60"/>
      <c r="R23" s="60"/>
      <c r="T23" s="60"/>
      <c r="U23" s="60"/>
      <c r="V23" s="60"/>
      <c r="W23" s="60"/>
      <c r="X23" s="60"/>
      <c r="Y23" s="60"/>
      <c r="Z23" s="60"/>
      <c r="AA23" s="60"/>
      <c r="AB23" s="60"/>
      <c r="AC23" s="60"/>
      <c r="AD23" s="60"/>
      <c r="AE23" s="60"/>
      <c r="AF23" s="60"/>
    </row>
    <row r="24" spans="1:32" x14ac:dyDescent="0.35">
      <c r="A24" s="93" t="s">
        <v>1040</v>
      </c>
      <c r="B24" s="80"/>
      <c r="C24" s="81"/>
      <c r="D24" s="80"/>
      <c r="E24" s="80"/>
      <c r="F24" s="80"/>
      <c r="G24" s="80"/>
      <c r="H24" s="81"/>
      <c r="Q24" s="60"/>
      <c r="R24" s="60"/>
      <c r="T24" s="60"/>
      <c r="U24" s="60"/>
      <c r="V24" s="60"/>
      <c r="W24" s="60"/>
      <c r="X24" s="60"/>
      <c r="Y24" s="60"/>
      <c r="Z24" s="60"/>
      <c r="AA24" s="60"/>
      <c r="AB24" s="60"/>
      <c r="AC24" s="60"/>
      <c r="AD24" s="60"/>
      <c r="AE24" s="60"/>
      <c r="AF24" s="60"/>
    </row>
    <row r="25" spans="1:32" ht="15" thickBot="1" x14ac:dyDescent="0.4">
      <c r="A25" s="254"/>
      <c r="C25" s="253"/>
      <c r="H25" s="253"/>
      <c r="Q25" s="60"/>
      <c r="R25" s="60"/>
      <c r="T25" s="60"/>
      <c r="U25" s="60"/>
      <c r="V25" s="60"/>
      <c r="W25" s="60"/>
      <c r="X25" s="60"/>
      <c r="Y25" s="60"/>
      <c r="Z25" s="60"/>
      <c r="AA25" s="60"/>
      <c r="AB25" s="60"/>
      <c r="AC25" s="60"/>
      <c r="AD25" s="60"/>
      <c r="AE25" s="60"/>
      <c r="AF25" s="60"/>
    </row>
    <row r="26" spans="1:32" x14ac:dyDescent="0.35">
      <c r="A26" s="93" t="s">
        <v>1286</v>
      </c>
      <c r="B26" s="80"/>
      <c r="C26" s="81" t="s">
        <v>1788</v>
      </c>
      <c r="D26" s="80"/>
      <c r="E26" s="80"/>
      <c r="F26" s="80"/>
      <c r="G26" s="80"/>
      <c r="H26" s="81"/>
      <c r="Q26" s="60"/>
      <c r="R26" s="60"/>
      <c r="T26" s="60"/>
      <c r="U26" s="60"/>
      <c r="V26" s="60"/>
      <c r="W26" s="60"/>
      <c r="X26" s="60"/>
      <c r="Y26" s="60"/>
      <c r="Z26" s="60"/>
      <c r="AA26" s="60"/>
      <c r="AB26" s="60"/>
      <c r="AC26" s="60"/>
      <c r="AD26" s="60"/>
      <c r="AE26" s="60"/>
      <c r="AF26" s="60"/>
    </row>
    <row r="27" spans="1:32" ht="15" thickBot="1" x14ac:dyDescent="0.4">
      <c r="A27" s="88"/>
      <c r="B27" s="85"/>
      <c r="C27" s="86" t="s">
        <v>1789</v>
      </c>
      <c r="D27" s="85"/>
      <c r="E27" s="85"/>
      <c r="F27" s="85"/>
      <c r="G27" s="85"/>
      <c r="H27" s="86"/>
      <c r="Q27" s="60"/>
      <c r="R27" s="60"/>
      <c r="T27" s="60"/>
      <c r="U27" s="60"/>
      <c r="V27" s="60"/>
      <c r="W27" s="60"/>
      <c r="X27" s="60"/>
      <c r="Y27" s="60"/>
      <c r="Z27" s="60"/>
      <c r="AA27" s="60"/>
      <c r="AB27" s="60"/>
      <c r="AC27" s="60"/>
      <c r="AD27" s="60"/>
      <c r="AE27" s="60"/>
      <c r="AF27" s="60"/>
    </row>
    <row r="28" spans="1:32" x14ac:dyDescent="0.35">
      <c r="A28" s="897" t="s">
        <v>1571</v>
      </c>
      <c r="B28" s="80">
        <v>125</v>
      </c>
      <c r="C28" s="312" t="s">
        <v>1790</v>
      </c>
      <c r="D28" s="80"/>
      <c r="E28" s="80"/>
      <c r="F28" s="80"/>
      <c r="G28" s="80"/>
      <c r="H28" s="81"/>
      <c r="Q28" s="60"/>
      <c r="R28" s="60"/>
      <c r="T28" s="60"/>
      <c r="U28" s="60"/>
      <c r="V28" s="60"/>
      <c r="W28" s="60"/>
      <c r="X28" s="60"/>
      <c r="Y28" s="60"/>
      <c r="Z28" s="60"/>
      <c r="AA28" s="60"/>
      <c r="AB28" s="60"/>
      <c r="AC28" s="60"/>
      <c r="AD28" s="60"/>
      <c r="AE28" s="60"/>
      <c r="AF28" s="60"/>
    </row>
    <row r="29" spans="1:32" ht="15" thickBot="1" x14ac:dyDescent="0.4">
      <c r="A29" s="88"/>
      <c r="B29" s="85"/>
      <c r="C29" s="85" t="s">
        <v>1084</v>
      </c>
      <c r="D29" s="85"/>
      <c r="E29" s="85"/>
      <c r="F29" s="85"/>
      <c r="G29" s="85"/>
      <c r="H29" s="86"/>
      <c r="Q29" s="60"/>
      <c r="R29" s="60"/>
      <c r="T29" s="60"/>
      <c r="U29" s="60"/>
      <c r="V29" s="60"/>
      <c r="W29" s="60"/>
      <c r="X29" s="60"/>
      <c r="Y29" s="60"/>
      <c r="Z29" s="60"/>
      <c r="AA29" s="60"/>
      <c r="AB29" s="60"/>
      <c r="AC29" s="60"/>
      <c r="AD29" s="60"/>
      <c r="AE29" s="60"/>
      <c r="AF29" s="60"/>
    </row>
    <row r="30" spans="1:32" x14ac:dyDescent="0.35">
      <c r="A30" s="390" t="s">
        <v>1572</v>
      </c>
      <c r="B30" s="2595">
        <v>50.7</v>
      </c>
      <c r="C30" s="80" t="s">
        <v>1791</v>
      </c>
      <c r="D30" s="80"/>
      <c r="E30" s="80"/>
      <c r="F30" s="80"/>
      <c r="G30" s="80"/>
      <c r="H30" s="81" t="s">
        <v>1514</v>
      </c>
      <c r="Q30" s="60"/>
      <c r="R30" s="60"/>
      <c r="T30" s="60"/>
      <c r="U30" s="60"/>
      <c r="V30" s="60"/>
      <c r="W30" s="60"/>
      <c r="X30" s="60"/>
      <c r="Y30" s="60"/>
      <c r="Z30" s="60"/>
      <c r="AA30" s="60"/>
      <c r="AB30" s="60"/>
      <c r="AC30" s="60"/>
      <c r="AD30" s="60"/>
      <c r="AE30" s="60"/>
      <c r="AF30" s="60"/>
    </row>
    <row r="31" spans="1:32" ht="15" thickBot="1" x14ac:dyDescent="0.4">
      <c r="A31" s="88"/>
      <c r="B31" s="85"/>
      <c r="C31" s="85" t="s">
        <v>1084</v>
      </c>
      <c r="D31" s="85"/>
      <c r="E31" s="85"/>
      <c r="F31" s="85"/>
      <c r="G31" s="85"/>
      <c r="H31" s="86"/>
      <c r="Q31" s="60"/>
      <c r="R31" s="60"/>
      <c r="T31" s="60"/>
      <c r="U31" s="60"/>
      <c r="V31" s="60"/>
      <c r="W31" s="60"/>
      <c r="X31" s="60"/>
      <c r="Y31" s="60"/>
      <c r="Z31" s="60"/>
      <c r="AA31" s="60"/>
      <c r="AB31" s="60"/>
      <c r="AC31" s="60"/>
      <c r="AD31" s="60"/>
      <c r="AE31" s="60"/>
      <c r="AF31" s="60"/>
    </row>
    <row r="32" spans="1:32" x14ac:dyDescent="0.35">
      <c r="A32" s="898" t="s">
        <v>1756</v>
      </c>
      <c r="B32" s="60" t="s">
        <v>1792</v>
      </c>
      <c r="C32" s="3056" t="s">
        <v>1793</v>
      </c>
      <c r="D32" s="3056"/>
      <c r="E32" s="3056"/>
      <c r="F32" s="3056"/>
      <c r="G32" s="3056"/>
      <c r="H32" s="3057"/>
      <c r="Q32" s="60"/>
      <c r="R32" s="60"/>
      <c r="T32" s="60"/>
      <c r="U32" s="60"/>
      <c r="V32" s="60"/>
      <c r="W32" s="60"/>
      <c r="X32" s="60"/>
      <c r="Y32" s="60"/>
      <c r="Z32" s="60"/>
      <c r="AA32" s="60"/>
      <c r="AB32" s="60"/>
      <c r="AC32" s="60"/>
      <c r="AD32" s="60"/>
      <c r="AE32" s="60"/>
      <c r="AF32" s="60"/>
    </row>
    <row r="33" spans="1:32" ht="15" thickBot="1" x14ac:dyDescent="0.4">
      <c r="A33" s="254"/>
      <c r="C33" s="899" t="s">
        <v>1794</v>
      </c>
      <c r="H33" s="253"/>
      <c r="Q33" s="60"/>
      <c r="R33" s="60"/>
      <c r="T33" s="60"/>
      <c r="U33" s="60"/>
      <c r="V33" s="60"/>
      <c r="W33" s="60"/>
      <c r="X33" s="60"/>
      <c r="Y33" s="60"/>
      <c r="Z33" s="60"/>
      <c r="AA33" s="60"/>
      <c r="AB33" s="60"/>
      <c r="AC33" s="60"/>
      <c r="AD33" s="60"/>
      <c r="AE33" s="60"/>
      <c r="AF33" s="60"/>
    </row>
    <row r="34" spans="1:32" x14ac:dyDescent="0.35">
      <c r="A34" s="900" t="s">
        <v>1757</v>
      </c>
      <c r="B34" s="80">
        <v>8.33</v>
      </c>
      <c r="C34" s="79" t="s">
        <v>1795</v>
      </c>
      <c r="D34" s="80"/>
      <c r="E34" s="80"/>
      <c r="F34" s="80"/>
      <c r="G34" s="80"/>
      <c r="H34" s="81"/>
      <c r="Q34" s="60"/>
      <c r="R34" s="60"/>
      <c r="T34" s="60"/>
      <c r="U34" s="60"/>
      <c r="V34" s="60"/>
      <c r="W34" s="60"/>
      <c r="X34" s="60"/>
      <c r="Y34" s="60"/>
      <c r="Z34" s="60"/>
      <c r="AA34" s="60"/>
      <c r="AB34" s="60"/>
      <c r="AC34" s="60"/>
      <c r="AD34" s="60"/>
      <c r="AE34" s="60"/>
      <c r="AF34" s="60"/>
    </row>
    <row r="35" spans="1:32" ht="15" thickBot="1" x14ac:dyDescent="0.4">
      <c r="A35" s="88"/>
      <c r="B35" s="85"/>
      <c r="C35" s="85" t="s">
        <v>1796</v>
      </c>
      <c r="D35" s="85"/>
      <c r="E35" s="85"/>
      <c r="F35" s="85"/>
      <c r="G35" s="85"/>
      <c r="H35" s="86"/>
      <c r="Q35" s="60"/>
      <c r="R35" s="60"/>
      <c r="T35" s="60"/>
      <c r="U35" s="60"/>
      <c r="V35" s="60"/>
      <c r="W35" s="60"/>
      <c r="X35" s="60"/>
      <c r="Y35" s="60"/>
      <c r="Z35" s="60"/>
      <c r="AA35" s="60"/>
      <c r="AB35" s="60"/>
      <c r="AC35" s="60"/>
      <c r="AD35" s="60"/>
      <c r="AE35" s="60"/>
      <c r="AF35" s="60"/>
    </row>
    <row r="36" spans="1:32" x14ac:dyDescent="0.35">
      <c r="A36" s="901" t="s">
        <v>1758</v>
      </c>
      <c r="B36" s="80" t="s">
        <v>1792</v>
      </c>
      <c r="C36" s="3019" t="s">
        <v>1797</v>
      </c>
      <c r="D36" s="3019"/>
      <c r="E36" s="3019"/>
      <c r="F36" s="3019"/>
      <c r="G36" s="3019"/>
      <c r="H36" s="3020"/>
      <c r="Q36" s="60"/>
      <c r="R36" s="60"/>
      <c r="T36" s="60"/>
      <c r="U36" s="60"/>
      <c r="V36" s="60"/>
      <c r="W36" s="60"/>
      <c r="X36" s="60"/>
      <c r="Y36" s="60"/>
      <c r="Z36" s="60"/>
      <c r="AA36" s="60"/>
      <c r="AB36" s="60"/>
      <c r="AC36" s="60"/>
      <c r="AD36" s="60"/>
      <c r="AE36" s="60"/>
      <c r="AF36" s="60"/>
    </row>
    <row r="37" spans="1:32" ht="15" thickBot="1" x14ac:dyDescent="0.4">
      <c r="A37" s="855"/>
      <c r="B37" s="85"/>
      <c r="C37" s="85" t="s">
        <v>1798</v>
      </c>
      <c r="D37" s="85"/>
      <c r="E37" s="85"/>
      <c r="F37" s="85"/>
      <c r="G37" s="85"/>
      <c r="H37" s="86"/>
      <c r="Q37" s="60"/>
      <c r="R37" s="60"/>
      <c r="T37" s="60"/>
      <c r="U37" s="60"/>
      <c r="V37" s="60"/>
      <c r="W37" s="60"/>
      <c r="X37" s="60"/>
      <c r="Y37" s="60"/>
      <c r="Z37" s="60"/>
      <c r="AA37" s="60"/>
      <c r="AB37" s="60"/>
      <c r="AC37" s="60"/>
      <c r="AD37" s="60"/>
      <c r="AE37" s="60"/>
      <c r="AF37" s="60"/>
    </row>
    <row r="38" spans="1:32" x14ac:dyDescent="0.35">
      <c r="A38" s="898" t="s">
        <v>1759</v>
      </c>
      <c r="C38" s="3019" t="s">
        <v>1799</v>
      </c>
      <c r="D38" s="3019"/>
      <c r="E38" s="3019"/>
      <c r="F38" s="3019"/>
      <c r="G38" s="3019"/>
      <c r="H38" s="3020"/>
      <c r="Q38" s="60"/>
      <c r="R38" s="60"/>
      <c r="T38" s="60"/>
      <c r="U38" s="60"/>
      <c r="V38" s="60"/>
      <c r="W38" s="60"/>
      <c r="X38" s="60"/>
      <c r="Y38" s="60"/>
      <c r="Z38" s="60"/>
      <c r="AA38" s="60"/>
      <c r="AB38" s="60"/>
      <c r="AC38" s="60"/>
      <c r="AD38" s="60"/>
      <c r="AE38" s="60"/>
      <c r="AF38" s="60"/>
    </row>
    <row r="39" spans="1:32" ht="15" thickBot="1" x14ac:dyDescent="0.4">
      <c r="A39" s="898"/>
      <c r="C39" s="902" t="s">
        <v>1800</v>
      </c>
      <c r="D39" s="903"/>
      <c r="E39" s="903"/>
      <c r="F39" s="903"/>
      <c r="G39" s="903"/>
      <c r="H39" s="904"/>
      <c r="Q39" s="60"/>
      <c r="R39" s="60"/>
      <c r="T39" s="60"/>
      <c r="U39" s="60"/>
      <c r="V39" s="60"/>
      <c r="W39" s="60"/>
      <c r="X39" s="60"/>
      <c r="Y39" s="60"/>
      <c r="Z39" s="60"/>
      <c r="AA39" s="60"/>
      <c r="AB39" s="60"/>
      <c r="AC39" s="60"/>
      <c r="AD39" s="60"/>
      <c r="AE39" s="60"/>
      <c r="AF39" s="60"/>
    </row>
    <row r="40" spans="1:32" ht="29" x14ac:dyDescent="0.35">
      <c r="A40" s="390" t="s">
        <v>1801</v>
      </c>
      <c r="B40" s="276" t="s">
        <v>1802</v>
      </c>
      <c r="C40" s="80" t="s">
        <v>1803</v>
      </c>
      <c r="D40" s="80"/>
      <c r="E40" s="80"/>
      <c r="F40" s="80"/>
      <c r="G40" s="80"/>
      <c r="H40" s="81"/>
      <c r="Q40" s="60"/>
      <c r="R40" s="60"/>
      <c r="T40" s="60"/>
      <c r="U40" s="60"/>
      <c r="V40" s="60"/>
      <c r="W40" s="60"/>
      <c r="X40" s="60"/>
      <c r="Y40" s="60"/>
      <c r="Z40" s="60"/>
      <c r="AA40" s="60"/>
      <c r="AB40" s="60"/>
      <c r="AC40" s="60"/>
      <c r="AD40" s="60"/>
      <c r="AE40" s="60"/>
      <c r="AF40" s="60"/>
    </row>
    <row r="41" spans="1:32" ht="30" customHeight="1" thickBot="1" x14ac:dyDescent="0.4">
      <c r="A41" s="254"/>
      <c r="B41" t="s">
        <v>1804</v>
      </c>
      <c r="C41" t="s">
        <v>1805</v>
      </c>
      <c r="H41" s="253"/>
      <c r="Q41" s="60"/>
      <c r="R41" s="60"/>
      <c r="T41" s="60"/>
      <c r="U41" s="60"/>
      <c r="V41" s="60"/>
      <c r="W41" s="60"/>
      <c r="X41" s="60"/>
      <c r="Y41" s="60"/>
      <c r="Z41" s="60"/>
      <c r="AA41" s="60"/>
      <c r="AB41" s="60"/>
      <c r="AC41" s="60"/>
      <c r="AD41" s="60"/>
      <c r="AE41" s="60"/>
      <c r="AF41" s="60"/>
    </row>
    <row r="42" spans="1:32" x14ac:dyDescent="0.35">
      <c r="A42" s="390" t="s">
        <v>1763</v>
      </c>
      <c r="B42" s="80">
        <v>175000</v>
      </c>
      <c r="C42" s="80" t="s">
        <v>1806</v>
      </c>
      <c r="D42" s="80"/>
      <c r="E42" s="80"/>
      <c r="F42" s="80"/>
      <c r="G42" s="80"/>
      <c r="H42" s="81"/>
      <c r="Q42" s="60"/>
      <c r="R42" s="60"/>
      <c r="T42" s="60"/>
      <c r="U42" s="60"/>
      <c r="V42" s="60"/>
      <c r="W42" s="60"/>
      <c r="X42" s="60"/>
      <c r="Y42" s="60"/>
      <c r="Z42" s="60"/>
      <c r="AA42" s="60"/>
      <c r="AB42" s="60"/>
      <c r="AC42" s="60"/>
      <c r="AD42" s="60"/>
      <c r="AE42" s="60"/>
      <c r="AF42" s="60"/>
    </row>
    <row r="43" spans="1:32" ht="49.5" customHeight="1" thickBot="1" x14ac:dyDescent="0.4">
      <c r="A43" s="88"/>
      <c r="B43" s="85"/>
      <c r="C43" s="85" t="s">
        <v>1807</v>
      </c>
      <c r="D43" s="85"/>
      <c r="E43" s="85"/>
      <c r="F43" s="85"/>
      <c r="G43" s="85"/>
      <c r="H43" s="86"/>
      <c r="Q43" s="60"/>
      <c r="R43" s="60"/>
      <c r="T43" s="60"/>
      <c r="U43" s="60"/>
      <c r="V43" s="60"/>
      <c r="W43" s="60"/>
      <c r="X43" s="60"/>
      <c r="Y43" s="60"/>
      <c r="Z43" s="60"/>
      <c r="AA43" s="60"/>
      <c r="AB43" s="60"/>
      <c r="AC43" s="60"/>
      <c r="AD43" s="60"/>
      <c r="AE43" s="60"/>
      <c r="AF43" s="60"/>
    </row>
    <row r="44" spans="1:32" x14ac:dyDescent="0.35">
      <c r="A44" s="905" t="s">
        <v>1764</v>
      </c>
      <c r="B44" s="152">
        <v>100</v>
      </c>
      <c r="C44" s="152" t="s">
        <v>1808</v>
      </c>
      <c r="D44" s="152"/>
      <c r="E44" s="152"/>
      <c r="F44" s="152"/>
      <c r="G44" s="152"/>
      <c r="H44" s="153"/>
      <c r="Q44" s="60"/>
      <c r="R44" s="60"/>
      <c r="T44" s="60"/>
      <c r="U44" s="60"/>
      <c r="V44" s="60"/>
      <c r="W44" s="60"/>
      <c r="X44" s="60"/>
      <c r="Y44" s="60"/>
      <c r="Z44" s="60"/>
      <c r="AA44" s="60"/>
      <c r="AB44" s="60"/>
      <c r="AC44" s="60"/>
      <c r="AD44" s="60"/>
      <c r="AE44" s="60"/>
      <c r="AF44" s="60"/>
    </row>
    <row r="45" spans="1:32" ht="15" thickBot="1" x14ac:dyDescent="0.4">
      <c r="A45" s="155"/>
      <c r="B45" s="156"/>
      <c r="C45" s="156" t="s">
        <v>1809</v>
      </c>
      <c r="D45" s="156"/>
      <c r="E45" s="156"/>
      <c r="F45" s="156"/>
      <c r="G45" s="156"/>
      <c r="H45" s="157"/>
      <c r="Q45" s="60"/>
      <c r="R45" s="60"/>
      <c r="T45" s="60"/>
      <c r="U45" s="60"/>
      <c r="V45" s="60"/>
      <c r="W45" s="60"/>
      <c r="X45" s="60"/>
      <c r="Y45" s="60"/>
      <c r="Z45" s="60"/>
      <c r="AA45" s="60"/>
      <c r="AB45" s="60"/>
      <c r="AC45" s="60"/>
      <c r="AD45" s="60"/>
      <c r="AE45" s="60"/>
      <c r="AF45" s="60"/>
    </row>
    <row r="46" spans="1:32" x14ac:dyDescent="0.35">
      <c r="A46" s="390" t="s">
        <v>1765</v>
      </c>
      <c r="B46" s="80">
        <v>1000</v>
      </c>
      <c r="C46" s="80" t="s">
        <v>1810</v>
      </c>
      <c r="D46" s="80"/>
      <c r="E46" s="80"/>
      <c r="F46" s="80"/>
      <c r="G46" s="80"/>
      <c r="H46" s="81"/>
      <c r="Q46" s="60"/>
      <c r="R46" s="60"/>
      <c r="T46" s="60"/>
      <c r="U46" s="60"/>
      <c r="V46" s="60"/>
      <c r="W46" s="60"/>
      <c r="X46" s="60"/>
      <c r="Y46" s="60"/>
      <c r="Z46" s="60"/>
      <c r="AA46" s="60"/>
      <c r="AB46" s="60"/>
      <c r="AC46" s="60"/>
      <c r="AD46" s="60"/>
      <c r="AE46" s="60"/>
      <c r="AF46" s="60"/>
    </row>
    <row r="47" spans="1:32" ht="15" thickBot="1" x14ac:dyDescent="0.4">
      <c r="A47" s="88"/>
      <c r="B47" s="85"/>
      <c r="C47" s="85"/>
      <c r="D47" s="85"/>
      <c r="E47" s="85"/>
      <c r="F47" s="85"/>
      <c r="G47" s="85"/>
      <c r="H47" s="86"/>
      <c r="Q47" s="60"/>
      <c r="R47" s="60"/>
      <c r="T47" s="60"/>
      <c r="U47" s="60"/>
      <c r="V47" s="60"/>
      <c r="W47" s="60"/>
      <c r="X47" s="60"/>
      <c r="Y47" s="60"/>
      <c r="Z47" s="60"/>
      <c r="AA47" s="60"/>
      <c r="AB47" s="60"/>
      <c r="AC47" s="60"/>
      <c r="AD47" s="60"/>
      <c r="AE47" s="60"/>
      <c r="AF47" s="60"/>
    </row>
    <row r="48" spans="1:32" x14ac:dyDescent="0.35">
      <c r="A48" s="390" t="s">
        <v>1811</v>
      </c>
      <c r="B48" s="80">
        <v>8766</v>
      </c>
      <c r="C48" s="80" t="s">
        <v>1812</v>
      </c>
      <c r="D48" s="80"/>
      <c r="E48" s="80"/>
      <c r="F48" s="80"/>
      <c r="G48" s="80"/>
      <c r="H48" s="81"/>
      <c r="Q48" s="60"/>
      <c r="R48" s="60"/>
      <c r="T48" s="60"/>
      <c r="U48" s="60"/>
      <c r="V48" s="60"/>
      <c r="W48" s="60"/>
      <c r="X48" s="60"/>
      <c r="Y48" s="60"/>
      <c r="Z48" s="60"/>
      <c r="AA48" s="60"/>
      <c r="AB48" s="60"/>
      <c r="AC48" s="60"/>
      <c r="AD48" s="60"/>
      <c r="AE48" s="60"/>
      <c r="AF48" s="60"/>
    </row>
    <row r="49" spans="1:32" ht="15" thickBot="1" x14ac:dyDescent="0.4">
      <c r="A49" s="906"/>
      <c r="B49">
        <v>100000</v>
      </c>
      <c r="C49" t="s">
        <v>1813</v>
      </c>
      <c r="H49" s="253"/>
      <c r="Q49" s="60"/>
      <c r="R49" s="60"/>
      <c r="T49" s="60"/>
      <c r="U49" s="60"/>
      <c r="V49" s="60"/>
      <c r="W49" s="60"/>
      <c r="X49" s="60"/>
      <c r="Y49" s="60"/>
      <c r="Z49" s="60"/>
      <c r="AA49" s="60"/>
      <c r="AB49" s="60"/>
      <c r="AC49" s="60"/>
      <c r="AD49" s="60"/>
      <c r="AE49" s="60"/>
      <c r="AF49" s="60"/>
    </row>
    <row r="50" spans="1:32" x14ac:dyDescent="0.35">
      <c r="A50" s="390" t="s">
        <v>1766</v>
      </c>
      <c r="B50" s="80"/>
      <c r="C50" s="80" t="s">
        <v>1814</v>
      </c>
      <c r="D50" s="80"/>
      <c r="E50" s="80"/>
      <c r="F50" s="80"/>
      <c r="G50" s="80"/>
      <c r="H50" s="81"/>
      <c r="Q50" s="60"/>
      <c r="R50" s="60"/>
      <c r="T50" s="60"/>
      <c r="U50" s="60"/>
      <c r="V50" s="60"/>
      <c r="W50" s="60"/>
      <c r="X50" s="60"/>
      <c r="Y50" s="60"/>
      <c r="Z50" s="60"/>
      <c r="AA50" s="60"/>
      <c r="AB50" s="60"/>
      <c r="AC50" s="60"/>
      <c r="AD50" s="60"/>
      <c r="AE50" s="60"/>
      <c r="AF50" s="60"/>
    </row>
    <row r="51" spans="1:32" x14ac:dyDescent="0.35">
      <c r="A51" s="254"/>
      <c r="C51" s="907" t="s">
        <v>1815</v>
      </c>
      <c r="H51" s="253"/>
      <c r="Q51" s="60"/>
      <c r="R51" s="60"/>
      <c r="T51" s="60"/>
      <c r="U51" s="60"/>
      <c r="V51" s="60"/>
      <c r="W51" s="60"/>
      <c r="X51" s="60"/>
      <c r="Y51" s="60"/>
      <c r="Z51" s="60"/>
      <c r="AA51" s="60"/>
      <c r="AB51" s="60"/>
      <c r="AC51" s="60"/>
      <c r="AD51" s="60"/>
      <c r="AE51" s="60"/>
      <c r="AF51" s="60"/>
    </row>
    <row r="52" spans="1:32" x14ac:dyDescent="0.35">
      <c r="A52" s="254"/>
      <c r="B52">
        <v>800</v>
      </c>
      <c r="C52" s="907" t="s">
        <v>1816</v>
      </c>
      <c r="H52" s="253"/>
      <c r="Q52" s="60"/>
      <c r="R52" s="60"/>
      <c r="T52" s="60"/>
      <c r="U52" s="60"/>
      <c r="V52" s="60"/>
      <c r="W52" s="60"/>
      <c r="X52" s="60"/>
      <c r="Y52" s="60"/>
      <c r="Z52" s="60"/>
      <c r="AA52" s="60"/>
      <c r="AB52" s="60"/>
      <c r="AC52" s="60"/>
      <c r="AD52" s="60"/>
      <c r="AE52" s="60"/>
      <c r="AF52" s="60"/>
    </row>
    <row r="53" spans="1:32" x14ac:dyDescent="0.35">
      <c r="A53" s="254"/>
      <c r="B53">
        <v>110</v>
      </c>
      <c r="C53" s="907" t="s">
        <v>1816</v>
      </c>
      <c r="H53" s="253"/>
      <c r="Q53" s="60"/>
      <c r="R53" s="60"/>
      <c r="T53" s="60"/>
      <c r="U53" s="60"/>
      <c r="V53" s="60"/>
      <c r="W53" s="60"/>
      <c r="X53" s="60"/>
      <c r="Y53" s="60"/>
      <c r="Z53" s="60"/>
      <c r="AA53" s="60"/>
      <c r="AB53" s="60"/>
      <c r="AC53" s="60"/>
      <c r="AD53" s="60"/>
      <c r="AE53" s="60"/>
      <c r="AF53" s="60"/>
    </row>
    <row r="54" spans="1:32" ht="30.75" customHeight="1" x14ac:dyDescent="0.35">
      <c r="A54" s="2861" t="s">
        <v>1817</v>
      </c>
      <c r="B54" s="2862">
        <v>0</v>
      </c>
      <c r="C54" s="3092" t="s">
        <v>1818</v>
      </c>
      <c r="D54" s="3092"/>
      <c r="E54" s="3092"/>
      <c r="F54" s="3092"/>
      <c r="G54" s="3092"/>
      <c r="H54" s="3093"/>
      <c r="Q54" s="60"/>
      <c r="R54" s="60"/>
      <c r="T54" s="60"/>
      <c r="U54" s="60"/>
      <c r="V54" s="60"/>
      <c r="W54" s="60"/>
      <c r="X54" s="60"/>
      <c r="Y54" s="60"/>
      <c r="Z54" s="60"/>
      <c r="AA54" s="60"/>
      <c r="AB54" s="60"/>
      <c r="AC54" s="60"/>
      <c r="AD54" s="60"/>
      <c r="AE54" s="60"/>
      <c r="AF54" s="60"/>
    </row>
    <row r="55" spans="1:32" x14ac:dyDescent="0.35">
      <c r="A55" s="783"/>
      <c r="Q55" s="60"/>
      <c r="R55" s="60"/>
      <c r="T55" s="60"/>
      <c r="U55" s="60"/>
      <c r="V55" s="60"/>
      <c r="W55" s="60"/>
      <c r="X55" s="60"/>
      <c r="Y55" s="60"/>
      <c r="Z55" s="60"/>
      <c r="AA55" s="60"/>
      <c r="AB55" s="60"/>
      <c r="AC55" s="60"/>
      <c r="AD55" s="60"/>
      <c r="AE55" s="60"/>
      <c r="AF55" s="60"/>
    </row>
    <row r="56" spans="1:32" x14ac:dyDescent="0.35">
      <c r="Q56" s="60"/>
      <c r="R56" s="60"/>
      <c r="T56" s="60"/>
      <c r="U56" s="60"/>
      <c r="V56" s="60"/>
      <c r="W56" s="60"/>
      <c r="X56" s="60"/>
      <c r="Y56" s="60"/>
      <c r="Z56" s="60"/>
      <c r="AA56" s="60"/>
      <c r="AB56" s="60"/>
      <c r="AC56" s="60"/>
      <c r="AD56" s="60"/>
      <c r="AE56" s="60"/>
      <c r="AF56" s="60"/>
    </row>
    <row r="57" spans="1:32" ht="15" thickBot="1" x14ac:dyDescent="0.4">
      <c r="Q57" s="60"/>
      <c r="R57" s="60"/>
      <c r="T57" s="60"/>
      <c r="U57" s="60"/>
      <c r="V57" s="60"/>
      <c r="W57" s="60"/>
      <c r="X57" s="60"/>
      <c r="Y57" s="60"/>
      <c r="Z57" s="60"/>
      <c r="AA57" s="60"/>
      <c r="AB57" s="60"/>
      <c r="AC57" s="60"/>
      <c r="AD57" s="60"/>
      <c r="AE57" s="60"/>
      <c r="AF57" s="60"/>
    </row>
    <row r="58" spans="1:32" ht="15" thickBot="1" x14ac:dyDescent="0.4">
      <c r="A58" s="97" t="s">
        <v>1257</v>
      </c>
      <c r="B58" s="98"/>
      <c r="C58" s="64"/>
      <c r="D58" s="64"/>
      <c r="E58" s="64"/>
      <c r="F58" s="64"/>
      <c r="G58" s="64"/>
      <c r="H58" s="64"/>
      <c r="I58" s="64"/>
      <c r="J58" s="64"/>
      <c r="K58" s="64"/>
      <c r="L58" s="64"/>
      <c r="M58" s="64"/>
      <c r="N58" s="65"/>
      <c r="Q58" s="60"/>
      <c r="R58" s="60"/>
      <c r="T58" s="60"/>
      <c r="U58" s="60"/>
      <c r="V58" s="60"/>
      <c r="W58" s="60"/>
      <c r="X58" s="60"/>
      <c r="Y58" s="60"/>
      <c r="Z58" s="60"/>
      <c r="AA58" s="60"/>
      <c r="AB58" s="60"/>
      <c r="AC58" s="60"/>
      <c r="AD58" s="60"/>
      <c r="AE58" s="60"/>
      <c r="AF58" s="60"/>
    </row>
    <row r="59" spans="1:32" ht="26.5" thickBot="1" x14ac:dyDescent="0.4">
      <c r="A59" s="908" t="s">
        <v>1819</v>
      </c>
      <c r="B59" s="69" t="s">
        <v>1775</v>
      </c>
      <c r="C59" s="69"/>
      <c r="D59" s="69"/>
      <c r="E59" s="69"/>
      <c r="F59" s="69"/>
      <c r="G59" s="69"/>
      <c r="H59" s="69"/>
      <c r="I59" s="69"/>
      <c r="J59" s="69"/>
      <c r="K59" s="69"/>
      <c r="L59" s="69"/>
      <c r="M59" s="69"/>
      <c r="N59" s="100"/>
      <c r="Q59" s="60"/>
      <c r="R59" s="60"/>
      <c r="T59" s="60"/>
      <c r="U59" s="60"/>
      <c r="V59" s="60"/>
      <c r="W59" s="60"/>
      <c r="X59" s="60"/>
      <c r="Y59" s="60"/>
      <c r="Z59" s="60"/>
      <c r="AA59" s="60"/>
      <c r="AB59" s="60"/>
      <c r="AC59" s="60"/>
      <c r="AD59" s="60"/>
      <c r="AE59" s="60"/>
      <c r="AF59" s="60"/>
    </row>
    <row r="60" spans="1:32" ht="15" thickBot="1" x14ac:dyDescent="0.4">
      <c r="A60" s="290" t="s">
        <v>1072</v>
      </c>
      <c r="B60" s="69" t="s">
        <v>1772</v>
      </c>
      <c r="C60" s="69"/>
      <c r="D60" s="69"/>
      <c r="E60" s="69"/>
      <c r="F60" s="69"/>
      <c r="G60" s="3078" t="s">
        <v>1820</v>
      </c>
      <c r="H60" s="3079"/>
      <c r="I60" s="3079"/>
      <c r="J60" s="3079"/>
      <c r="K60" s="3080"/>
      <c r="L60" s="69"/>
      <c r="M60" s="69"/>
      <c r="N60" s="100"/>
      <c r="Q60" s="60"/>
      <c r="R60" s="60"/>
      <c r="T60" s="60"/>
      <c r="U60" s="60"/>
      <c r="V60" s="60"/>
      <c r="W60" s="60"/>
      <c r="X60" s="60"/>
      <c r="Y60" s="60"/>
      <c r="Z60" s="60"/>
      <c r="AA60" s="60"/>
      <c r="AB60" s="60"/>
      <c r="AC60" s="60"/>
      <c r="AD60" s="60"/>
      <c r="AE60" s="60"/>
      <c r="AF60" s="60"/>
    </row>
    <row r="61" spans="1:32" ht="52.5" thickBot="1" x14ac:dyDescent="0.4">
      <c r="A61" s="290" t="s">
        <v>1632</v>
      </c>
      <c r="B61" s="69" t="s">
        <v>1566</v>
      </c>
      <c r="C61" s="69"/>
      <c r="D61" s="69"/>
      <c r="E61" s="69"/>
      <c r="F61" s="69"/>
      <c r="G61" s="909" t="s">
        <v>1821</v>
      </c>
      <c r="H61" s="1148" t="s">
        <v>1822</v>
      </c>
      <c r="I61" s="1148" t="s">
        <v>1823</v>
      </c>
      <c r="J61" s="3081" t="s">
        <v>1824</v>
      </c>
      <c r="K61" s="3082"/>
      <c r="L61" s="69"/>
      <c r="M61" s="69"/>
      <c r="N61" s="100"/>
      <c r="Q61" s="60"/>
      <c r="R61" s="60"/>
      <c r="T61" s="60"/>
      <c r="U61" s="60"/>
      <c r="V61" s="60"/>
      <c r="W61" s="60"/>
      <c r="X61" s="60"/>
      <c r="Y61" s="60"/>
      <c r="Z61" s="60"/>
      <c r="AA61" s="60"/>
      <c r="AB61" s="60"/>
      <c r="AC61" s="60"/>
      <c r="AD61" s="60"/>
      <c r="AE61" s="60"/>
      <c r="AF61" s="60"/>
    </row>
    <row r="62" spans="1:32" ht="21.75" customHeight="1" x14ac:dyDescent="0.35">
      <c r="A62" s="290" t="s">
        <v>1825</v>
      </c>
      <c r="B62" s="69"/>
      <c r="C62" s="69"/>
      <c r="D62" s="69"/>
      <c r="E62" s="69"/>
      <c r="F62" s="69"/>
      <c r="G62" s="910" t="s">
        <v>1826</v>
      </c>
      <c r="H62" s="911" t="s">
        <v>1827</v>
      </c>
      <c r="I62" s="1522" t="s">
        <v>1828</v>
      </c>
      <c r="J62" s="1522">
        <v>0.64829999999999999</v>
      </c>
      <c r="K62" s="1523">
        <v>1.6999999999999999E-3</v>
      </c>
      <c r="L62" s="881"/>
      <c r="M62" s="881"/>
      <c r="N62" s="100"/>
      <c r="Q62" s="60"/>
      <c r="R62" s="60"/>
      <c r="T62" s="60"/>
      <c r="U62" s="60"/>
      <c r="V62" s="60"/>
      <c r="W62" s="60"/>
      <c r="X62" s="60"/>
      <c r="Y62" s="60"/>
      <c r="Z62" s="60"/>
      <c r="AA62" s="60"/>
      <c r="AB62" s="60"/>
      <c r="AC62" s="60"/>
      <c r="AD62" s="60"/>
      <c r="AE62" s="60"/>
      <c r="AF62" s="60"/>
    </row>
    <row r="63" spans="1:32" ht="65" x14ac:dyDescent="0.35">
      <c r="A63" s="99"/>
      <c r="B63" s="69"/>
      <c r="C63" s="69"/>
      <c r="D63" s="69"/>
      <c r="E63" s="69"/>
      <c r="F63" s="69"/>
      <c r="G63" s="631" t="s">
        <v>1829</v>
      </c>
      <c r="H63" s="255" t="s">
        <v>1830</v>
      </c>
      <c r="I63" s="1524" t="s">
        <v>1831</v>
      </c>
      <c r="J63" s="1524">
        <v>0.78969999999999996</v>
      </c>
      <c r="K63" s="1525">
        <v>4.0000000000000002E-4</v>
      </c>
      <c r="L63" s="881"/>
      <c r="M63" s="881"/>
      <c r="N63" s="100"/>
      <c r="Q63" s="60"/>
      <c r="R63" s="60"/>
      <c r="T63" s="60"/>
      <c r="U63" s="60"/>
      <c r="V63" s="60"/>
      <c r="W63" s="60"/>
      <c r="X63" s="60"/>
      <c r="Y63" s="60"/>
      <c r="Z63" s="60"/>
      <c r="AA63" s="60"/>
      <c r="AB63" s="60"/>
      <c r="AC63" s="60"/>
      <c r="AD63" s="60"/>
      <c r="AE63" s="60"/>
      <c r="AF63" s="60"/>
    </row>
    <row r="64" spans="1:32" ht="25.5" customHeight="1" x14ac:dyDescent="0.35">
      <c r="A64" s="912" t="s">
        <v>1832</v>
      </c>
      <c r="B64" s="1149" t="s">
        <v>1040</v>
      </c>
      <c r="C64" s="1149" t="s">
        <v>1833</v>
      </c>
      <c r="D64" s="1149" t="s">
        <v>1834</v>
      </c>
      <c r="E64" s="69"/>
      <c r="F64" s="69"/>
      <c r="G64" s="631" t="s">
        <v>1826</v>
      </c>
      <c r="H64" s="255" t="s">
        <v>1835</v>
      </c>
      <c r="I64" s="1524" t="s">
        <v>1836</v>
      </c>
      <c r="J64" s="1526">
        <v>0.60019999999999996</v>
      </c>
      <c r="K64" s="1525">
        <v>1.1000000000000001E-3</v>
      </c>
      <c r="L64" s="69"/>
      <c r="M64" s="69"/>
      <c r="N64" s="100"/>
      <c r="Q64" s="60"/>
      <c r="R64" s="60"/>
      <c r="T64" s="60"/>
      <c r="U64" s="60"/>
      <c r="V64" s="60"/>
      <c r="W64" s="60"/>
      <c r="X64" s="60"/>
      <c r="Y64" s="60"/>
      <c r="Z64" s="60"/>
      <c r="AA64" s="60"/>
      <c r="AB64" s="60"/>
      <c r="AC64" s="60"/>
      <c r="AD64" s="60"/>
      <c r="AE64" s="60"/>
      <c r="AF64" s="60"/>
    </row>
    <row r="65" spans="1:32" x14ac:dyDescent="0.35">
      <c r="A65" s="668" t="s">
        <v>1773</v>
      </c>
      <c r="B65" s="116">
        <v>1050</v>
      </c>
      <c r="C65" s="913">
        <v>1781</v>
      </c>
      <c r="D65" s="255">
        <v>0.2</v>
      </c>
      <c r="E65" s="69"/>
      <c r="F65" s="69"/>
      <c r="G65" s="631" t="s">
        <v>1837</v>
      </c>
      <c r="H65" s="255"/>
      <c r="I65" s="255"/>
      <c r="J65" s="255"/>
      <c r="K65" s="629"/>
      <c r="L65" s="69"/>
      <c r="M65" s="69"/>
      <c r="N65" s="100"/>
      <c r="Q65" s="60"/>
      <c r="R65" s="60"/>
      <c r="T65" s="60"/>
      <c r="U65" s="60"/>
      <c r="V65" s="60"/>
      <c r="W65" s="60"/>
      <c r="X65" s="60"/>
      <c r="Y65" s="60"/>
      <c r="Z65" s="60"/>
      <c r="AA65" s="60"/>
      <c r="AB65" s="60"/>
      <c r="AC65" s="60"/>
      <c r="AD65" s="60"/>
      <c r="AE65" s="60"/>
      <c r="AF65" s="60"/>
    </row>
    <row r="66" spans="1:32" ht="15" thickBot="1" x14ac:dyDescent="0.4">
      <c r="A66" s="668" t="s">
        <v>1838</v>
      </c>
      <c r="B66" s="116">
        <v>1050</v>
      </c>
      <c r="C66" s="913">
        <v>4963</v>
      </c>
      <c r="D66" s="255">
        <v>0.56999999999999995</v>
      </c>
      <c r="E66" s="69"/>
      <c r="F66" s="69"/>
      <c r="G66" s="261"/>
      <c r="H66" s="161"/>
      <c r="I66" s="161"/>
      <c r="J66" s="161"/>
      <c r="K66" s="163"/>
      <c r="L66" s="69"/>
      <c r="M66" s="69"/>
      <c r="N66" s="100"/>
      <c r="Q66" s="60"/>
      <c r="R66" s="60"/>
      <c r="T66" s="60"/>
      <c r="U66" s="60"/>
      <c r="V66" s="60"/>
      <c r="W66" s="60"/>
      <c r="X66" s="60"/>
      <c r="Y66" s="60"/>
      <c r="Z66" s="60"/>
      <c r="AA66" s="60"/>
      <c r="AB66" s="60"/>
      <c r="AC66" s="60"/>
      <c r="AD66" s="60"/>
      <c r="AE66" s="60"/>
      <c r="AF66" s="60"/>
    </row>
    <row r="67" spans="1:32" x14ac:dyDescent="0.35">
      <c r="A67" s="668" t="s">
        <v>1776</v>
      </c>
      <c r="B67" s="116">
        <v>1950</v>
      </c>
      <c r="C67" s="913">
        <v>8274</v>
      </c>
      <c r="D67" s="255">
        <v>0.94</v>
      </c>
      <c r="E67" s="69"/>
      <c r="F67" s="69"/>
      <c r="G67" s="69"/>
      <c r="H67" s="69"/>
      <c r="I67" s="69"/>
      <c r="J67" s="69"/>
      <c r="K67" s="69"/>
      <c r="L67" s="69"/>
      <c r="M67" s="69"/>
      <c r="N67" s="100"/>
      <c r="Q67" s="60"/>
      <c r="R67" s="60"/>
      <c r="T67" s="60"/>
      <c r="U67" s="60"/>
      <c r="V67" s="60"/>
      <c r="W67" s="60"/>
      <c r="X67" s="60"/>
      <c r="Y67" s="60"/>
      <c r="Z67" s="60"/>
      <c r="AA67" s="60"/>
      <c r="AB67" s="60"/>
      <c r="AC67" s="60"/>
      <c r="AD67" s="60"/>
      <c r="AE67" s="60"/>
      <c r="AF67" s="60"/>
    </row>
    <row r="68" spans="1:32" x14ac:dyDescent="0.35">
      <c r="A68" s="99"/>
      <c r="B68" s="69"/>
      <c r="C68" s="69"/>
      <c r="D68" s="69"/>
      <c r="E68" s="69"/>
      <c r="F68" s="69"/>
      <c r="G68" s="69"/>
      <c r="H68" s="69"/>
      <c r="I68" s="69"/>
      <c r="J68" s="69"/>
      <c r="K68" s="69"/>
      <c r="L68" s="69"/>
      <c r="M68" s="69"/>
      <c r="N68" s="100"/>
      <c r="Q68" s="60"/>
      <c r="R68" s="60"/>
      <c r="T68" s="60"/>
      <c r="U68" s="60"/>
      <c r="V68" s="60"/>
      <c r="W68" s="60"/>
      <c r="X68" s="60"/>
      <c r="Y68" s="60"/>
      <c r="Z68" s="60"/>
      <c r="AA68" s="60"/>
      <c r="AB68" s="60"/>
      <c r="AC68" s="60"/>
      <c r="AD68" s="60"/>
      <c r="AE68" s="60"/>
      <c r="AF68" s="60"/>
    </row>
    <row r="69" spans="1:32" x14ac:dyDescent="0.35">
      <c r="A69" s="99"/>
      <c r="B69" s="69"/>
      <c r="C69" s="69"/>
      <c r="D69" s="69"/>
      <c r="E69" s="69"/>
      <c r="F69" s="69"/>
      <c r="G69" s="69"/>
      <c r="H69" s="69"/>
      <c r="I69" s="69"/>
      <c r="J69" s="69"/>
      <c r="K69" s="69"/>
      <c r="L69" s="69"/>
      <c r="M69" s="69"/>
      <c r="N69" s="100"/>
      <c r="Q69" s="60"/>
      <c r="R69" s="60"/>
      <c r="T69" s="60"/>
      <c r="U69" s="60"/>
      <c r="V69" s="60"/>
      <c r="W69" s="60"/>
      <c r="X69" s="60"/>
      <c r="Y69" s="60"/>
      <c r="Z69" s="60"/>
      <c r="AA69" s="60"/>
      <c r="AB69" s="60"/>
      <c r="AC69" s="60"/>
      <c r="AD69" s="60"/>
      <c r="AE69" s="60"/>
      <c r="AF69" s="60"/>
    </row>
    <row r="70" spans="1:32" ht="15" thickBot="1" x14ac:dyDescent="0.4">
      <c r="A70" s="99"/>
      <c r="B70" s="69"/>
      <c r="C70" s="69"/>
      <c r="D70" s="69"/>
      <c r="E70" s="69"/>
      <c r="F70" s="69"/>
      <c r="G70" s="69"/>
      <c r="H70" s="69"/>
      <c r="I70" s="69"/>
      <c r="J70" s="69"/>
      <c r="K70" s="69"/>
      <c r="L70" s="69"/>
      <c r="M70" s="69"/>
      <c r="N70" s="100"/>
      <c r="Q70" s="60"/>
      <c r="R70" s="60"/>
      <c r="T70" s="60"/>
      <c r="U70" s="60"/>
      <c r="V70" s="60"/>
      <c r="W70" s="60"/>
      <c r="X70" s="60"/>
      <c r="Y70" s="60"/>
      <c r="Z70" s="60"/>
      <c r="AA70" s="60"/>
      <c r="AB70" s="60"/>
      <c r="AC70" s="60"/>
      <c r="AD70" s="60"/>
      <c r="AE70" s="60"/>
      <c r="AF70" s="60"/>
    </row>
    <row r="71" spans="1:32" ht="15" thickBot="1" x14ac:dyDescent="0.4">
      <c r="A71" s="3083" t="s">
        <v>1040</v>
      </c>
      <c r="B71" s="3084"/>
      <c r="C71" s="3084"/>
      <c r="D71" s="3085"/>
      <c r="E71" s="69"/>
      <c r="F71" s="3086" t="s">
        <v>1839</v>
      </c>
      <c r="G71" s="3087"/>
      <c r="H71" s="69"/>
      <c r="I71" s="3090" t="s">
        <v>1840</v>
      </c>
      <c r="J71" s="3091"/>
      <c r="K71" s="69"/>
      <c r="L71" s="69"/>
      <c r="M71" s="69"/>
      <c r="N71" s="100"/>
      <c r="Q71" s="60"/>
      <c r="R71" s="60"/>
      <c r="T71" s="60"/>
      <c r="U71" s="60"/>
      <c r="V71" s="60"/>
      <c r="W71" s="60"/>
      <c r="X71" s="60"/>
      <c r="Y71" s="60"/>
      <c r="Z71" s="60"/>
      <c r="AA71" s="60"/>
      <c r="AB71" s="60"/>
      <c r="AC71" s="60"/>
      <c r="AD71" s="60"/>
      <c r="AE71" s="60"/>
      <c r="AF71" s="60"/>
    </row>
    <row r="72" spans="1:32" ht="26.25" customHeight="1" thickBot="1" x14ac:dyDescent="0.4">
      <c r="A72" s="909" t="s">
        <v>1821</v>
      </c>
      <c r="B72" s="909" t="s">
        <v>1841</v>
      </c>
      <c r="C72" s="909" t="s">
        <v>1842</v>
      </c>
      <c r="D72" s="909" t="s">
        <v>1040</v>
      </c>
      <c r="E72" s="69"/>
      <c r="F72" s="3073" t="s">
        <v>1843</v>
      </c>
      <c r="G72" s="3074"/>
      <c r="H72" s="69"/>
      <c r="I72" s="3088" t="s">
        <v>1844</v>
      </c>
      <c r="J72" s="3089"/>
      <c r="K72" s="69"/>
      <c r="L72" s="69"/>
      <c r="M72" s="69"/>
      <c r="N72" s="100"/>
      <c r="Q72" s="60"/>
      <c r="R72" s="60"/>
      <c r="T72" s="60"/>
      <c r="U72" s="60"/>
      <c r="V72" s="60"/>
      <c r="W72" s="60"/>
      <c r="X72" s="60"/>
      <c r="Y72" s="60"/>
      <c r="Z72" s="60"/>
      <c r="AA72" s="60"/>
      <c r="AB72" s="60"/>
      <c r="AC72" s="60"/>
      <c r="AD72" s="60"/>
      <c r="AE72" s="60"/>
      <c r="AF72" s="60"/>
    </row>
    <row r="73" spans="1:32" ht="39" x14ac:dyDescent="0.35">
      <c r="A73" s="3075" t="s">
        <v>1845</v>
      </c>
      <c r="B73" s="914" t="s">
        <v>1846</v>
      </c>
      <c r="C73" s="631">
        <v>616</v>
      </c>
      <c r="D73" s="915" t="s">
        <v>1284</v>
      </c>
      <c r="E73" s="69"/>
      <c r="F73" s="1216" t="s">
        <v>1360</v>
      </c>
      <c r="G73" s="112" t="s">
        <v>1847</v>
      </c>
      <c r="H73" s="69"/>
      <c r="I73" s="666" t="s">
        <v>1360</v>
      </c>
      <c r="J73" s="916" t="s">
        <v>1848</v>
      </c>
      <c r="K73" s="69"/>
      <c r="L73" s="69"/>
      <c r="M73" s="69"/>
      <c r="N73" s="100"/>
      <c r="Q73" s="60"/>
      <c r="R73" s="60"/>
      <c r="T73" s="60"/>
      <c r="U73" s="60"/>
      <c r="V73" s="60"/>
      <c r="W73" s="60"/>
      <c r="X73" s="60"/>
      <c r="Y73" s="60"/>
      <c r="Z73" s="60"/>
      <c r="AA73" s="60"/>
      <c r="AB73" s="60"/>
      <c r="AC73" s="60"/>
      <c r="AD73" s="60"/>
      <c r="AE73" s="60"/>
      <c r="AF73" s="60"/>
    </row>
    <row r="74" spans="1:32" ht="15" thickBot="1" x14ac:dyDescent="0.4">
      <c r="A74" s="3076"/>
      <c r="B74" s="917" t="s">
        <v>1849</v>
      </c>
      <c r="C74" s="918">
        <v>1055</v>
      </c>
      <c r="D74" s="918">
        <v>440</v>
      </c>
      <c r="E74" s="69"/>
      <c r="F74" s="631" t="s">
        <v>1850</v>
      </c>
      <c r="G74" s="255">
        <v>528</v>
      </c>
      <c r="H74" s="69"/>
      <c r="I74" s="631" t="s">
        <v>1850</v>
      </c>
      <c r="J74" s="629">
        <v>4594</v>
      </c>
      <c r="K74" s="69"/>
      <c r="L74" s="69"/>
      <c r="M74" s="69"/>
      <c r="N74" s="100"/>
      <c r="Q74" s="60"/>
      <c r="R74" s="60"/>
      <c r="T74" s="60"/>
      <c r="U74" s="60"/>
      <c r="V74" s="60"/>
      <c r="W74" s="60"/>
      <c r="X74" s="60"/>
      <c r="Y74" s="60"/>
      <c r="Z74" s="60"/>
      <c r="AA74" s="60"/>
      <c r="AB74" s="60"/>
      <c r="AC74" s="60"/>
      <c r="AD74" s="60"/>
      <c r="AE74" s="60"/>
      <c r="AF74" s="60"/>
    </row>
    <row r="75" spans="1:32" x14ac:dyDescent="0.35">
      <c r="A75" s="3075" t="s">
        <v>1851</v>
      </c>
      <c r="B75" s="919">
        <v>0.8</v>
      </c>
      <c r="C75" s="920">
        <v>4886</v>
      </c>
      <c r="D75" s="915" t="s">
        <v>1284</v>
      </c>
      <c r="E75" s="69"/>
      <c r="F75" s="631" t="s">
        <v>1852</v>
      </c>
      <c r="G75" s="255">
        <v>568</v>
      </c>
      <c r="H75" s="69"/>
      <c r="I75" s="631" t="s">
        <v>1852</v>
      </c>
      <c r="J75" s="629">
        <v>7285</v>
      </c>
      <c r="K75" s="69"/>
      <c r="L75" s="69"/>
      <c r="M75" s="69"/>
      <c r="N75" s="100"/>
      <c r="Q75" s="60"/>
      <c r="R75" s="60"/>
      <c r="T75" s="60"/>
      <c r="U75" s="60"/>
      <c r="V75" s="60"/>
      <c r="W75" s="60"/>
      <c r="X75" s="60"/>
      <c r="Y75" s="60"/>
      <c r="Z75" s="60"/>
      <c r="AA75" s="60"/>
      <c r="AB75" s="60"/>
      <c r="AC75" s="60"/>
      <c r="AD75" s="60"/>
      <c r="AE75" s="60"/>
      <c r="AF75" s="60"/>
    </row>
    <row r="76" spans="1:32" x14ac:dyDescent="0.35">
      <c r="A76" s="3076"/>
      <c r="B76" s="914">
        <v>0.83</v>
      </c>
      <c r="C76" s="631">
        <v>5106</v>
      </c>
      <c r="D76" s="921">
        <v>220</v>
      </c>
      <c r="E76" s="69"/>
      <c r="F76" s="631" t="s">
        <v>1853</v>
      </c>
      <c r="G76" s="255">
        <v>528</v>
      </c>
      <c r="H76" s="69"/>
      <c r="I76" s="631" t="s">
        <v>1853</v>
      </c>
      <c r="J76" s="629">
        <v>697</v>
      </c>
      <c r="K76" s="69"/>
      <c r="L76" s="69"/>
      <c r="M76" s="69"/>
      <c r="N76" s="100"/>
      <c r="Q76" s="60"/>
      <c r="R76" s="60"/>
      <c r="T76" s="60"/>
      <c r="U76" s="60"/>
      <c r="V76" s="60"/>
      <c r="W76" s="60"/>
      <c r="X76" s="60"/>
      <c r="Y76" s="60"/>
      <c r="Z76" s="60"/>
      <c r="AA76" s="60"/>
      <c r="AB76" s="60"/>
      <c r="AC76" s="60"/>
      <c r="AD76" s="60"/>
      <c r="AE76" s="60"/>
      <c r="AF76" s="60"/>
    </row>
    <row r="77" spans="1:32" x14ac:dyDescent="0.35">
      <c r="A77" s="3076"/>
      <c r="B77" s="914">
        <v>0.84</v>
      </c>
      <c r="C77" s="631">
        <v>5299</v>
      </c>
      <c r="D77" s="921">
        <v>413</v>
      </c>
      <c r="E77" s="69"/>
      <c r="F77" s="631" t="s">
        <v>1854</v>
      </c>
      <c r="G77" s="255">
        <v>788</v>
      </c>
      <c r="H77" s="69"/>
      <c r="I77" s="631" t="s">
        <v>1854</v>
      </c>
      <c r="J77" s="629">
        <v>24540</v>
      </c>
      <c r="K77" s="69"/>
      <c r="L77" s="69"/>
      <c r="M77" s="69"/>
      <c r="N77" s="100"/>
      <c r="Q77" s="60"/>
      <c r="R77" s="60"/>
      <c r="T77" s="60"/>
      <c r="U77" s="60"/>
      <c r="V77" s="60"/>
      <c r="W77" s="60"/>
      <c r="X77" s="60"/>
      <c r="Y77" s="60"/>
      <c r="Z77" s="60"/>
      <c r="AA77" s="60"/>
      <c r="AB77" s="60"/>
      <c r="AC77" s="60"/>
      <c r="AD77" s="60"/>
      <c r="AE77" s="60"/>
      <c r="AF77" s="60"/>
    </row>
    <row r="78" spans="1:32" x14ac:dyDescent="0.35">
      <c r="A78" s="3076"/>
      <c r="B78" s="914">
        <v>0.85</v>
      </c>
      <c r="C78" s="631">
        <v>5415</v>
      </c>
      <c r="D78" s="921">
        <v>529</v>
      </c>
      <c r="E78" s="69"/>
      <c r="F78" s="631" t="s">
        <v>1855</v>
      </c>
      <c r="G78" s="255">
        <v>511</v>
      </c>
      <c r="H78" s="69"/>
      <c r="I78" s="631" t="s">
        <v>1855</v>
      </c>
      <c r="J78" s="629">
        <v>1818</v>
      </c>
      <c r="K78" s="69"/>
      <c r="L78" s="69"/>
      <c r="M78" s="69"/>
      <c r="N78" s="100"/>
      <c r="Q78" s="60"/>
      <c r="R78" s="60"/>
      <c r="T78" s="60"/>
      <c r="U78" s="60"/>
      <c r="V78" s="60"/>
      <c r="W78" s="60"/>
      <c r="X78" s="60"/>
      <c r="Y78" s="60"/>
      <c r="Z78" s="60"/>
      <c r="AA78" s="60"/>
      <c r="AB78" s="60"/>
      <c r="AC78" s="60"/>
      <c r="AD78" s="60"/>
      <c r="AE78" s="60"/>
      <c r="AF78" s="60"/>
    </row>
    <row r="79" spans="1:32" x14ac:dyDescent="0.35">
      <c r="A79" s="3076"/>
      <c r="B79" s="914">
        <v>0.86</v>
      </c>
      <c r="C79" s="631">
        <v>5532</v>
      </c>
      <c r="D79" s="921">
        <v>646</v>
      </c>
      <c r="E79" s="69"/>
      <c r="F79" s="631" t="s">
        <v>1856</v>
      </c>
      <c r="G79" s="255">
        <v>528</v>
      </c>
      <c r="H79" s="69"/>
      <c r="I79" s="631" t="s">
        <v>1856</v>
      </c>
      <c r="J79" s="629">
        <v>1354</v>
      </c>
      <c r="K79" s="69"/>
      <c r="L79" s="69"/>
      <c r="M79" s="69"/>
      <c r="N79" s="100"/>
      <c r="Q79" s="60"/>
      <c r="R79" s="60"/>
      <c r="T79" s="60"/>
      <c r="U79" s="60"/>
      <c r="V79" s="60"/>
      <c r="W79" s="60"/>
      <c r="X79" s="60"/>
      <c r="Y79" s="60"/>
      <c r="Z79" s="60"/>
      <c r="AA79" s="60"/>
      <c r="AB79" s="60"/>
      <c r="AC79" s="60"/>
      <c r="AD79" s="60"/>
      <c r="AE79" s="60"/>
      <c r="AF79" s="60"/>
    </row>
    <row r="80" spans="1:32" x14ac:dyDescent="0.35">
      <c r="A80" s="3076"/>
      <c r="B80" s="914">
        <v>0.87</v>
      </c>
      <c r="C80" s="631">
        <v>5648</v>
      </c>
      <c r="D80" s="921">
        <v>762</v>
      </c>
      <c r="E80" s="69"/>
      <c r="F80" s="631" t="s">
        <v>1857</v>
      </c>
      <c r="G80" s="255">
        <v>715</v>
      </c>
      <c r="H80" s="69"/>
      <c r="I80" s="631" t="s">
        <v>1857</v>
      </c>
      <c r="J80" s="629">
        <v>29548</v>
      </c>
      <c r="K80" s="69"/>
      <c r="L80" s="69"/>
      <c r="M80" s="69"/>
      <c r="N80" s="100"/>
      <c r="Q80" s="60"/>
      <c r="R80" s="60"/>
      <c r="T80" s="60"/>
      <c r="U80" s="60"/>
      <c r="V80" s="60"/>
      <c r="W80" s="60"/>
      <c r="X80" s="60"/>
      <c r="Y80" s="60"/>
      <c r="Z80" s="60"/>
      <c r="AA80" s="60"/>
      <c r="AB80" s="60"/>
      <c r="AC80" s="60"/>
      <c r="AD80" s="60"/>
      <c r="AE80" s="60"/>
      <c r="AF80" s="60"/>
    </row>
    <row r="81" spans="1:32" ht="26" x14ac:dyDescent="0.35">
      <c r="A81" s="3076"/>
      <c r="B81" s="914">
        <v>0.88</v>
      </c>
      <c r="C81" s="631">
        <v>5765</v>
      </c>
      <c r="D81" s="921">
        <v>879</v>
      </c>
      <c r="E81" s="69"/>
      <c r="F81" s="631" t="s">
        <v>1858</v>
      </c>
      <c r="G81" s="255">
        <v>341</v>
      </c>
      <c r="H81" s="69"/>
      <c r="I81" s="631" t="s">
        <v>1858</v>
      </c>
      <c r="J81" s="629">
        <v>3941</v>
      </c>
      <c r="K81" s="69"/>
      <c r="L81" s="69"/>
      <c r="M81" s="69"/>
      <c r="N81" s="100"/>
      <c r="Q81" s="60"/>
      <c r="R81" s="60"/>
      <c r="T81" s="60"/>
      <c r="U81" s="60"/>
      <c r="V81" s="60"/>
      <c r="W81" s="60"/>
      <c r="X81" s="60"/>
      <c r="Y81" s="60"/>
      <c r="Z81" s="60"/>
      <c r="AA81" s="60"/>
      <c r="AB81" s="60"/>
      <c r="AC81" s="60"/>
      <c r="AD81" s="60"/>
      <c r="AE81" s="60"/>
      <c r="AF81" s="60"/>
    </row>
    <row r="82" spans="1:32" x14ac:dyDescent="0.35">
      <c r="A82" s="3076"/>
      <c r="B82" s="914">
        <v>0.89</v>
      </c>
      <c r="C82" s="631">
        <v>5882</v>
      </c>
      <c r="D82" s="921">
        <v>996</v>
      </c>
      <c r="E82" s="69"/>
      <c r="F82" s="631" t="s">
        <v>1859</v>
      </c>
      <c r="G82" s="255">
        <v>622</v>
      </c>
      <c r="H82" s="69"/>
      <c r="I82" s="631" t="s">
        <v>1859</v>
      </c>
      <c r="J82" s="629">
        <v>44439</v>
      </c>
      <c r="K82" s="69"/>
      <c r="L82" s="69"/>
      <c r="M82" s="69"/>
      <c r="N82" s="100"/>
      <c r="Q82" s="60"/>
      <c r="R82" s="60"/>
      <c r="T82" s="60"/>
      <c r="U82" s="60"/>
      <c r="V82" s="60"/>
      <c r="W82" s="60"/>
      <c r="X82" s="60"/>
      <c r="Y82" s="60"/>
      <c r="Z82" s="60"/>
      <c r="AA82" s="60"/>
      <c r="AB82" s="60"/>
      <c r="AC82" s="60"/>
      <c r="AD82" s="60"/>
      <c r="AE82" s="60"/>
      <c r="AF82" s="60"/>
    </row>
    <row r="83" spans="1:32" ht="15" thickBot="1" x14ac:dyDescent="0.4">
      <c r="A83" s="3077"/>
      <c r="B83" s="922">
        <v>0.9</v>
      </c>
      <c r="C83" s="684">
        <v>6021</v>
      </c>
      <c r="D83" s="923">
        <v>1135</v>
      </c>
      <c r="E83" s="69"/>
      <c r="F83" s="631" t="s">
        <v>1860</v>
      </c>
      <c r="G83" s="255">
        <v>511</v>
      </c>
      <c r="H83" s="69"/>
      <c r="I83" s="631" t="s">
        <v>1860</v>
      </c>
      <c r="J83" s="629">
        <v>1540</v>
      </c>
      <c r="K83" s="69"/>
      <c r="L83" s="69"/>
      <c r="M83" s="69"/>
      <c r="N83" s="100"/>
      <c r="Q83" s="60"/>
      <c r="R83" s="60"/>
      <c r="T83" s="60"/>
      <c r="U83" s="60"/>
      <c r="V83" s="60"/>
      <c r="W83" s="60"/>
      <c r="X83" s="60"/>
      <c r="Y83" s="60"/>
      <c r="Z83" s="60"/>
      <c r="AA83" s="60"/>
      <c r="AB83" s="60"/>
      <c r="AC83" s="60"/>
      <c r="AD83" s="60"/>
      <c r="AE83" s="60"/>
      <c r="AF83" s="60"/>
    </row>
    <row r="84" spans="1:32" x14ac:dyDescent="0.35">
      <c r="A84" s="99"/>
      <c r="B84" s="69"/>
      <c r="C84" s="69"/>
      <c r="D84" s="69"/>
      <c r="E84" s="69"/>
      <c r="F84" s="631" t="s">
        <v>1861</v>
      </c>
      <c r="G84" s="255">
        <v>528</v>
      </c>
      <c r="H84" s="69"/>
      <c r="I84" s="631" t="s">
        <v>1861</v>
      </c>
      <c r="J84" s="629">
        <v>6111</v>
      </c>
      <c r="K84" s="69"/>
      <c r="L84" s="69"/>
      <c r="M84" s="69"/>
      <c r="N84" s="100"/>
      <c r="Q84" s="60"/>
      <c r="R84" s="60"/>
      <c r="T84" s="60"/>
      <c r="U84" s="60"/>
      <c r="V84" s="60"/>
      <c r="W84" s="60"/>
      <c r="X84" s="60"/>
      <c r="Y84" s="60"/>
      <c r="Z84" s="60"/>
      <c r="AA84" s="60"/>
      <c r="AB84" s="60"/>
      <c r="AC84" s="60"/>
      <c r="AD84" s="60"/>
      <c r="AE84" s="60"/>
      <c r="AF84" s="60"/>
    </row>
    <row r="85" spans="1:32" x14ac:dyDescent="0.35">
      <c r="A85" s="99"/>
      <c r="B85" s="69"/>
      <c r="C85" s="69"/>
      <c r="D85" s="69"/>
      <c r="E85" s="69"/>
      <c r="F85" s="631" t="s">
        <v>1862</v>
      </c>
      <c r="G85" s="255">
        <v>341</v>
      </c>
      <c r="H85" s="69"/>
      <c r="I85" s="631" t="s">
        <v>1862</v>
      </c>
      <c r="J85" s="629">
        <v>1239</v>
      </c>
      <c r="K85" s="69"/>
      <c r="L85" s="69"/>
      <c r="M85" s="69"/>
      <c r="N85" s="100"/>
      <c r="Q85" s="60"/>
      <c r="R85" s="60"/>
      <c r="T85" s="60"/>
      <c r="U85" s="60"/>
      <c r="V85" s="60"/>
      <c r="W85" s="60"/>
      <c r="X85" s="60"/>
      <c r="Y85" s="60"/>
      <c r="Z85" s="60"/>
      <c r="AA85" s="60"/>
      <c r="AB85" s="60"/>
      <c r="AC85" s="60"/>
      <c r="AD85" s="60"/>
      <c r="AE85" s="60"/>
      <c r="AF85" s="60"/>
    </row>
    <row r="86" spans="1:32" x14ac:dyDescent="0.35">
      <c r="A86" s="99"/>
      <c r="B86" s="69"/>
      <c r="C86" s="69"/>
      <c r="D86" s="69"/>
      <c r="E86" s="69"/>
      <c r="F86" s="631" t="s">
        <v>1863</v>
      </c>
      <c r="G86" s="255">
        <v>672</v>
      </c>
      <c r="H86" s="69"/>
      <c r="I86" s="1007" t="s">
        <v>1863</v>
      </c>
      <c r="J86" s="629">
        <v>30503</v>
      </c>
      <c r="K86" s="69"/>
      <c r="L86" s="69"/>
      <c r="M86" s="69"/>
      <c r="N86" s="100"/>
      <c r="Q86" s="60"/>
      <c r="R86" s="60"/>
      <c r="T86" s="60"/>
      <c r="U86" s="60"/>
      <c r="V86" s="60"/>
      <c r="W86" s="60"/>
      <c r="X86" s="60"/>
      <c r="Y86" s="60"/>
      <c r="Z86" s="60"/>
      <c r="AA86" s="60"/>
      <c r="AB86" s="60"/>
      <c r="AC86" s="60"/>
      <c r="AD86" s="60"/>
      <c r="AE86" s="60"/>
      <c r="AF86" s="60"/>
    </row>
    <row r="87" spans="1:32" x14ac:dyDescent="0.35">
      <c r="A87" s="99"/>
      <c r="B87" s="69"/>
      <c r="C87" s="69"/>
      <c r="D87" s="69"/>
      <c r="E87" s="69"/>
      <c r="F87" s="631" t="s">
        <v>1864</v>
      </c>
      <c r="G87" s="255">
        <v>894</v>
      </c>
      <c r="H87" s="69"/>
      <c r="I87" s="1007" t="s">
        <v>1864</v>
      </c>
      <c r="J87" s="629">
        <v>15434</v>
      </c>
      <c r="K87" s="69"/>
      <c r="L87" s="69"/>
      <c r="M87" s="69"/>
      <c r="N87" s="100"/>
      <c r="Q87" s="60"/>
      <c r="R87" s="60"/>
      <c r="T87" s="60"/>
      <c r="U87" s="60"/>
      <c r="V87" s="60"/>
      <c r="W87" s="60"/>
      <c r="X87" s="60"/>
      <c r="Y87" s="60"/>
      <c r="Z87" s="60"/>
      <c r="AA87" s="60"/>
      <c r="AB87" s="60"/>
      <c r="AC87" s="60"/>
      <c r="AD87" s="60"/>
      <c r="AE87" s="60"/>
      <c r="AF87" s="60"/>
    </row>
    <row r="88" spans="1:32" ht="15" thickBot="1" x14ac:dyDescent="0.4">
      <c r="A88" s="99"/>
      <c r="B88" s="69"/>
      <c r="C88" s="69"/>
      <c r="D88" s="69"/>
      <c r="E88" s="69"/>
      <c r="F88" s="631" t="s">
        <v>1363</v>
      </c>
      <c r="G88" s="1217">
        <f>+AVERAGE(G74:G87)</f>
        <v>576.78571428571433</v>
      </c>
      <c r="H88" s="69"/>
      <c r="I88" s="1218" t="s">
        <v>1865</v>
      </c>
      <c r="J88" s="1219">
        <v>12360.214285714286</v>
      </c>
      <c r="K88" s="69"/>
      <c r="L88" s="69"/>
      <c r="M88" s="69"/>
      <c r="N88" s="100"/>
      <c r="Q88" s="60"/>
      <c r="R88" s="60"/>
      <c r="T88" s="60"/>
      <c r="U88" s="60"/>
      <c r="V88" s="60"/>
      <c r="W88" s="60"/>
      <c r="X88" s="60"/>
      <c r="Y88" s="60"/>
      <c r="Z88" s="60"/>
      <c r="AA88" s="60"/>
      <c r="AB88" s="60"/>
      <c r="AC88" s="60"/>
      <c r="AD88" s="60"/>
      <c r="AE88" s="60"/>
      <c r="AF88" s="60"/>
    </row>
    <row r="89" spans="1:32" x14ac:dyDescent="0.35">
      <c r="A89" s="99"/>
      <c r="B89" s="69"/>
      <c r="C89" s="69"/>
      <c r="D89" s="69"/>
      <c r="E89" s="69"/>
      <c r="H89" s="69"/>
      <c r="I89" s="69"/>
      <c r="J89" s="69"/>
      <c r="K89" s="69"/>
      <c r="L89" s="69"/>
      <c r="M89" s="69"/>
      <c r="N89" s="100"/>
      <c r="Q89" s="60"/>
      <c r="R89" s="60"/>
      <c r="T89" s="60"/>
      <c r="U89" s="60"/>
      <c r="V89" s="60"/>
      <c r="W89" s="60"/>
      <c r="X89" s="60"/>
      <c r="Y89" s="60"/>
      <c r="Z89" s="60"/>
      <c r="AA89" s="60"/>
      <c r="AB89" s="60"/>
      <c r="AC89" s="60"/>
      <c r="AD89" s="60"/>
      <c r="AE89" s="60"/>
      <c r="AF89" s="60"/>
    </row>
    <row r="90" spans="1:32" x14ac:dyDescent="0.35">
      <c r="A90" s="99"/>
      <c r="B90" s="69"/>
      <c r="C90" s="69"/>
      <c r="D90" s="69"/>
      <c r="E90" s="69"/>
      <c r="F90" s="69"/>
      <c r="G90" s="69"/>
      <c r="H90" s="69"/>
      <c r="I90" s="69"/>
      <c r="J90" s="69"/>
      <c r="K90" s="69"/>
      <c r="L90" s="69"/>
      <c r="M90" s="69"/>
      <c r="N90" s="100"/>
      <c r="Q90" s="60"/>
      <c r="R90" s="60"/>
      <c r="T90" s="60"/>
      <c r="U90" s="60"/>
      <c r="V90" s="60"/>
      <c r="W90" s="60"/>
      <c r="X90" s="60"/>
      <c r="Y90" s="60"/>
      <c r="Z90" s="60"/>
      <c r="AA90" s="60"/>
      <c r="AB90" s="60"/>
      <c r="AC90" s="60"/>
      <c r="AD90" s="60"/>
      <c r="AE90" s="60"/>
      <c r="AF90" s="60"/>
    </row>
    <row r="91" spans="1:32" ht="15" thickBot="1" x14ac:dyDescent="0.4">
      <c r="A91" s="261"/>
      <c r="B91" s="161"/>
      <c r="C91" s="161"/>
      <c r="D91" s="161"/>
      <c r="E91" s="161"/>
      <c r="F91" s="161"/>
      <c r="G91" s="161"/>
      <c r="H91" s="161"/>
      <c r="I91" s="161"/>
      <c r="J91" s="161"/>
      <c r="K91" s="161"/>
      <c r="L91" s="161"/>
      <c r="M91" s="161"/>
      <c r="N91" s="163"/>
      <c r="Q91" s="60"/>
      <c r="R91" s="60"/>
      <c r="T91" s="60"/>
      <c r="U91" s="60"/>
      <c r="V91" s="60"/>
      <c r="W91" s="60"/>
      <c r="X91" s="60"/>
      <c r="Y91" s="60"/>
      <c r="Z91" s="60"/>
      <c r="AA91" s="60"/>
      <c r="AB91" s="60"/>
      <c r="AC91" s="60"/>
      <c r="AD91" s="60"/>
      <c r="AE91" s="60"/>
      <c r="AF91" s="60"/>
    </row>
    <row r="92" spans="1:32" x14ac:dyDescent="0.35">
      <c r="S92"/>
      <c r="V92" s="60"/>
      <c r="W92" s="60"/>
      <c r="X92" s="60"/>
      <c r="Y92" s="60"/>
      <c r="Z92" s="60"/>
      <c r="AA92" s="60"/>
      <c r="AB92" s="60"/>
      <c r="AC92" s="60"/>
      <c r="AD92" s="60"/>
      <c r="AE92" s="60"/>
      <c r="AF92" s="60"/>
    </row>
    <row r="93" spans="1:32" x14ac:dyDescent="0.35">
      <c r="S93"/>
    </row>
    <row r="94" spans="1:32" x14ac:dyDescent="0.35">
      <c r="S94"/>
    </row>
    <row r="95" spans="1:32" x14ac:dyDescent="0.35">
      <c r="S95"/>
    </row>
    <row r="96" spans="1:32" x14ac:dyDescent="0.35">
      <c r="S96"/>
    </row>
    <row r="97" spans="19:19" x14ac:dyDescent="0.35">
      <c r="S97"/>
    </row>
    <row r="98" spans="19:19" ht="38.25" customHeight="1" x14ac:dyDescent="0.35">
      <c r="S98"/>
    </row>
    <row r="108" spans="19:19" ht="15" customHeight="1" x14ac:dyDescent="0.35"/>
    <row r="110" spans="19:19" ht="15" customHeight="1" x14ac:dyDescent="0.35"/>
  </sheetData>
  <customSheetViews>
    <customSheetView guid="{ECD6FE6A-9548-414E-B8AA-6998703C57E0}" scale="70" showPageBreaks="1" fitToPage="1" printArea="1" view="pageBreakPreview">
      <selection activeCell="Q3" sqref="Q3"/>
      <pageMargins left="0" right="0" top="0" bottom="0" header="0" footer="0"/>
      <pageSetup scale="26" orientation="landscape" r:id="rId1"/>
    </customSheetView>
    <customSheetView guid="{11DE45F5-F478-4ED6-8DFF-12002C22A637}" scale="70" showPageBreaks="1" fitToPage="1" printArea="1" view="pageBreakPreview">
      <selection activeCell="Q3" sqref="Q3"/>
      <pageMargins left="0" right="0" top="0" bottom="0" header="0" footer="0"/>
      <pageSetup scale="26" orientation="landscape" r:id="rId2"/>
    </customSheetView>
  </customSheetViews>
  <mergeCells count="17">
    <mergeCell ref="O2:Q2"/>
    <mergeCell ref="R2:T2"/>
    <mergeCell ref="U2:AB2"/>
    <mergeCell ref="AC2:AK2"/>
    <mergeCell ref="C32:H32"/>
    <mergeCell ref="F72:G72"/>
    <mergeCell ref="A73:A74"/>
    <mergeCell ref="A75:A83"/>
    <mergeCell ref="C36:H36"/>
    <mergeCell ref="C38:H38"/>
    <mergeCell ref="G60:K60"/>
    <mergeCell ref="J61:K61"/>
    <mergeCell ref="A71:D71"/>
    <mergeCell ref="F71:G71"/>
    <mergeCell ref="I72:J72"/>
    <mergeCell ref="I71:J71"/>
    <mergeCell ref="C54:H54"/>
  </mergeCells>
  <dataValidations disablePrompts="1" count="5">
    <dataValidation type="list" allowBlank="1" showInputMessage="1" showErrorMessage="1" sqref="I4:I6" xr:uid="{00000000-0002-0000-1000-000000000000}">
      <formula1>$A$85:$A$90</formula1>
    </dataValidation>
    <dataValidation type="list" allowBlank="1" showInputMessage="1" showErrorMessage="1" sqref="D4:D6" xr:uid="{00000000-0002-0000-1000-000001000000}">
      <formula1>MeasureType</formula1>
    </dataValidation>
    <dataValidation type="list" allowBlank="1" showInputMessage="1" showErrorMessage="1" sqref="H4:H6" xr:uid="{00000000-0002-0000-1000-000002000000}">
      <formula1>SWHr3</formula1>
    </dataValidation>
    <dataValidation type="list" allowBlank="1" showInputMessage="1" showErrorMessage="1" sqref="F4:F6" xr:uid="{00000000-0002-0000-1000-000003000000}">
      <formula1>SWHr2</formula1>
    </dataValidation>
    <dataValidation type="list" allowBlank="1" showInputMessage="1" showErrorMessage="1" sqref="E4:E6" xr:uid="{00000000-0002-0000-1000-000004000000}">
      <formula1>SWHr1</formula1>
    </dataValidation>
  </dataValidations>
  <hyperlinks>
    <hyperlink ref="I61" location="_ftn1" display="_ftn1" xr:uid="{00000000-0004-0000-1000-000000000000}"/>
    <hyperlink ref="A1" location="'Measure-Level Adjustments'!Print_Titles" display="Measure Level Tab" xr:uid="{182E0D03-16E6-4CC5-8F01-7F7F68F08048}"/>
  </hyperlinks>
  <pageMargins left="0.7" right="0.7" top="0.75" bottom="0.75" header="0.3" footer="0.3"/>
  <pageSetup scale="26" orientation="landscape"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T32"/>
  <sheetViews>
    <sheetView tabSelected="1" view="pageBreakPreview" zoomScale="60" zoomScaleNormal="60" workbookViewId="0">
      <pane xSplit="1" ySplit="7" topLeftCell="B8" activePane="bottomRight" state="frozen"/>
      <selection pane="topRight" activeCell="B1" sqref="B1"/>
      <selection pane="bottomLeft" activeCell="A7" sqref="A7"/>
      <selection pane="bottomRight" activeCell="A2" sqref="A2"/>
    </sheetView>
  </sheetViews>
  <sheetFormatPr defaultRowHeight="14.5" x14ac:dyDescent="0.35"/>
  <cols>
    <col min="1" max="1" width="35.54296875" customWidth="1"/>
    <col min="2" max="2" width="20.7265625" customWidth="1"/>
    <col min="3" max="3" width="18.81640625" customWidth="1"/>
    <col min="4" max="4" width="26.54296875" customWidth="1"/>
    <col min="5" max="5" width="34.453125" customWidth="1"/>
    <col min="6" max="7" width="22.54296875" customWidth="1"/>
    <col min="8" max="9" width="19.7265625" customWidth="1"/>
    <col min="10" max="10" width="22.54296875" customWidth="1"/>
    <col min="11" max="11" width="23.1796875" customWidth="1"/>
    <col min="12" max="12" width="34" customWidth="1"/>
    <col min="13" max="15" width="31.26953125" customWidth="1"/>
    <col min="16" max="19" width="30.54296875" customWidth="1"/>
    <col min="20" max="20" width="29.54296875" customWidth="1"/>
    <col min="21" max="21" width="39" customWidth="1"/>
    <col min="22" max="25" width="31.26953125" customWidth="1"/>
    <col min="26" max="30" width="29.81640625" customWidth="1"/>
    <col min="31" max="31" width="30" customWidth="1"/>
    <col min="32" max="32" width="34.81640625" customWidth="1"/>
    <col min="33" max="33" width="21.1796875" customWidth="1"/>
    <col min="34" max="34" width="20.1796875" customWidth="1"/>
    <col min="35" max="35" width="22.26953125" customWidth="1"/>
    <col min="36" max="39" width="18.81640625" bestFit="1" customWidth="1"/>
    <col min="40" max="40" width="21.7265625" customWidth="1"/>
    <col min="41" max="44" width="24.453125" customWidth="1"/>
    <col min="45" max="45" width="23" customWidth="1"/>
    <col min="46" max="46" width="14.453125" bestFit="1" customWidth="1"/>
  </cols>
  <sheetData>
    <row r="1" spans="1:46" ht="25.5" customHeight="1" x14ac:dyDescent="0.35">
      <c r="A1" s="46" t="s">
        <v>24</v>
      </c>
      <c r="B1" s="1319"/>
      <c r="E1" s="2903"/>
      <c r="F1" s="2903"/>
      <c r="G1" s="2903"/>
    </row>
    <row r="2" spans="1:46" ht="37.5" customHeight="1" x14ac:dyDescent="0.35">
      <c r="A2" s="2806">
        <v>44592</v>
      </c>
      <c r="B2" s="1319"/>
      <c r="E2" s="2913"/>
      <c r="F2" s="2913"/>
      <c r="G2" s="2913"/>
    </row>
    <row r="3" spans="1:46" s="1143" customFormat="1" ht="19.5" customHeight="1" x14ac:dyDescent="0.35">
      <c r="A3" s="1320" t="s">
        <v>25</v>
      </c>
    </row>
    <row r="4" spans="1:46" s="11" customFormat="1" ht="29.25" customHeight="1" x14ac:dyDescent="0.4">
      <c r="A4" s="22"/>
      <c r="B4" s="2896" t="s">
        <v>26</v>
      </c>
      <c r="C4" s="2896"/>
      <c r="D4" s="2896"/>
      <c r="E4" s="2896"/>
      <c r="F4" s="2897" t="s">
        <v>27</v>
      </c>
      <c r="G4" s="2897"/>
      <c r="H4" s="2897"/>
      <c r="I4" s="2897"/>
      <c r="J4" s="2897"/>
      <c r="K4" s="2897"/>
      <c r="L4" s="2897"/>
      <c r="M4" s="2898" t="s">
        <v>28</v>
      </c>
      <c r="N4" s="2898"/>
      <c r="O4" s="2898"/>
      <c r="P4" s="2898"/>
      <c r="Q4" s="2898"/>
      <c r="R4" s="2898"/>
      <c r="S4" s="2898"/>
      <c r="T4" s="2898"/>
      <c r="U4" s="2898"/>
      <c r="V4" s="2899" t="s">
        <v>29</v>
      </c>
      <c r="W4" s="2899"/>
      <c r="X4" s="2899"/>
      <c r="Y4" s="2899"/>
      <c r="Z4" s="2899"/>
      <c r="AA4" s="2899"/>
      <c r="AB4" s="2899"/>
      <c r="AC4" s="2899"/>
      <c r="AD4" s="2899"/>
      <c r="AE4" s="2899"/>
      <c r="AF4" s="2899"/>
      <c r="AG4" s="2900" t="s">
        <v>30</v>
      </c>
      <c r="AH4" s="2900"/>
      <c r="AI4" s="2901"/>
      <c r="AJ4" s="2902" t="s">
        <v>31</v>
      </c>
      <c r="AK4" s="2902"/>
      <c r="AL4" s="2902"/>
      <c r="AM4" s="2902"/>
      <c r="AN4" s="2902"/>
      <c r="AO4" s="2895" t="s">
        <v>32</v>
      </c>
      <c r="AP4" s="2895"/>
      <c r="AQ4" s="2895"/>
      <c r="AR4" s="2895"/>
      <c r="AS4" s="2895"/>
    </row>
    <row r="5" spans="1:46" s="1322" customFormat="1" ht="46.5" x14ac:dyDescent="0.35">
      <c r="A5" s="19"/>
      <c r="B5" s="18" t="s">
        <v>33</v>
      </c>
      <c r="C5" s="12" t="s">
        <v>34</v>
      </c>
      <c r="D5" s="12" t="s">
        <v>35</v>
      </c>
      <c r="E5" s="12" t="s">
        <v>36</v>
      </c>
      <c r="F5" s="1515" t="s">
        <v>33</v>
      </c>
      <c r="G5" s="2907" t="s">
        <v>34</v>
      </c>
      <c r="H5" s="2908"/>
      <c r="I5" s="2907" t="s">
        <v>35</v>
      </c>
      <c r="J5" s="2909"/>
      <c r="K5" s="2908"/>
      <c r="L5" s="14" t="s">
        <v>37</v>
      </c>
      <c r="M5" s="18" t="s">
        <v>33</v>
      </c>
      <c r="N5" s="2910" t="s">
        <v>34</v>
      </c>
      <c r="O5" s="2911"/>
      <c r="P5" s="2912"/>
      <c r="Q5" s="2910" t="s">
        <v>35</v>
      </c>
      <c r="R5" s="2911"/>
      <c r="S5" s="2911"/>
      <c r="T5" s="2912"/>
      <c r="U5" s="15" t="s">
        <v>37</v>
      </c>
      <c r="V5" s="18" t="s">
        <v>33</v>
      </c>
      <c r="W5" s="2904" t="s">
        <v>34</v>
      </c>
      <c r="X5" s="2905"/>
      <c r="Y5" s="2905"/>
      <c r="Z5" s="2906"/>
      <c r="AA5" s="2904" t="s">
        <v>35</v>
      </c>
      <c r="AB5" s="2905"/>
      <c r="AC5" s="2905"/>
      <c r="AD5" s="2905"/>
      <c r="AE5" s="2906"/>
      <c r="AF5" s="1321" t="s">
        <v>37</v>
      </c>
      <c r="AG5" s="1515" t="s">
        <v>33</v>
      </c>
      <c r="AH5" s="43" t="s">
        <v>34</v>
      </c>
      <c r="AI5" s="43" t="s">
        <v>35</v>
      </c>
      <c r="AJ5" s="1606" t="s">
        <v>38</v>
      </c>
      <c r="AK5" s="1606" t="s">
        <v>38</v>
      </c>
      <c r="AL5" s="1606" t="s">
        <v>38</v>
      </c>
      <c r="AM5" s="1606" t="s">
        <v>38</v>
      </c>
      <c r="AN5" s="1606" t="s">
        <v>39</v>
      </c>
      <c r="AO5" s="1608" t="s">
        <v>40</v>
      </c>
      <c r="AP5" s="1608" t="s">
        <v>40</v>
      </c>
      <c r="AQ5" s="1608" t="s">
        <v>40</v>
      </c>
      <c r="AR5" s="1608" t="s">
        <v>40</v>
      </c>
      <c r="AS5" s="1608" t="s">
        <v>41</v>
      </c>
      <c r="AT5" s="1589"/>
    </row>
    <row r="6" spans="1:46" s="1322" customFormat="1" ht="31" x14ac:dyDescent="0.35">
      <c r="A6" s="19"/>
      <c r="B6" s="18" t="s">
        <v>42</v>
      </c>
      <c r="C6" s="12" t="s">
        <v>43</v>
      </c>
      <c r="D6" s="12" t="s">
        <v>44</v>
      </c>
      <c r="E6" s="12"/>
      <c r="F6" s="18" t="s">
        <v>42</v>
      </c>
      <c r="G6" s="13" t="s">
        <v>43</v>
      </c>
      <c r="H6" s="13" t="s">
        <v>45</v>
      </c>
      <c r="I6" s="13" t="s">
        <v>46</v>
      </c>
      <c r="J6" s="13" t="s">
        <v>47</v>
      </c>
      <c r="K6" s="13" t="s">
        <v>48</v>
      </c>
      <c r="L6" s="14"/>
      <c r="M6" s="18" t="s">
        <v>42</v>
      </c>
      <c r="N6" s="15" t="s">
        <v>43</v>
      </c>
      <c r="O6" s="15" t="s">
        <v>45</v>
      </c>
      <c r="P6" s="15" t="s">
        <v>49</v>
      </c>
      <c r="Q6" s="15" t="s">
        <v>46</v>
      </c>
      <c r="R6" s="15" t="s">
        <v>47</v>
      </c>
      <c r="S6" s="15" t="s">
        <v>50</v>
      </c>
      <c r="T6" s="15" t="s">
        <v>51</v>
      </c>
      <c r="U6" s="15"/>
      <c r="V6" s="18" t="s">
        <v>42</v>
      </c>
      <c r="W6" s="1321" t="s">
        <v>43</v>
      </c>
      <c r="X6" s="1321" t="s">
        <v>45</v>
      </c>
      <c r="Y6" s="1321" t="s">
        <v>49</v>
      </c>
      <c r="Z6" s="1321" t="s">
        <v>52</v>
      </c>
      <c r="AA6" s="1321" t="s">
        <v>46</v>
      </c>
      <c r="AB6" s="1321" t="s">
        <v>47</v>
      </c>
      <c r="AC6" s="1321" t="s">
        <v>50</v>
      </c>
      <c r="AD6" s="1321" t="s">
        <v>53</v>
      </c>
      <c r="AE6" s="1321" t="s">
        <v>54</v>
      </c>
      <c r="AF6" s="1321"/>
      <c r="AG6" s="1515"/>
      <c r="AH6" s="43"/>
      <c r="AI6" s="43"/>
      <c r="AJ6" s="1606"/>
      <c r="AK6" s="1606"/>
      <c r="AL6" s="1606"/>
      <c r="AM6" s="1606"/>
      <c r="AN6" s="1606"/>
      <c r="AO6" s="1608"/>
      <c r="AP6" s="1608"/>
      <c r="AQ6" s="1608"/>
      <c r="AR6" s="1608"/>
      <c r="AS6" s="1608"/>
      <c r="AT6" s="1589"/>
    </row>
    <row r="7" spans="1:46" s="1322" customFormat="1" ht="24" customHeight="1" x14ac:dyDescent="0.35">
      <c r="A7" s="16" t="s">
        <v>55</v>
      </c>
      <c r="B7" s="18">
        <v>2022</v>
      </c>
      <c r="C7" s="12">
        <v>2022</v>
      </c>
      <c r="D7" s="12">
        <v>2022</v>
      </c>
      <c r="E7" s="12">
        <v>2022</v>
      </c>
      <c r="F7" s="1515">
        <v>2023</v>
      </c>
      <c r="G7" s="13">
        <v>2023</v>
      </c>
      <c r="H7" s="13">
        <v>2023</v>
      </c>
      <c r="I7" s="13">
        <v>2023</v>
      </c>
      <c r="J7" s="13">
        <v>2023</v>
      </c>
      <c r="K7" s="13">
        <v>2023</v>
      </c>
      <c r="L7" s="14">
        <v>2023</v>
      </c>
      <c r="M7" s="18">
        <v>2024</v>
      </c>
      <c r="N7" s="15">
        <v>2024</v>
      </c>
      <c r="O7" s="15">
        <v>2024</v>
      </c>
      <c r="P7" s="15">
        <v>2024</v>
      </c>
      <c r="Q7" s="15">
        <v>2024</v>
      </c>
      <c r="R7" s="15">
        <v>2024</v>
      </c>
      <c r="S7" s="15">
        <v>2024</v>
      </c>
      <c r="T7" s="15">
        <v>2024</v>
      </c>
      <c r="U7" s="15">
        <v>2024</v>
      </c>
      <c r="V7" s="18">
        <v>2025</v>
      </c>
      <c r="W7" s="1321">
        <v>2025</v>
      </c>
      <c r="X7" s="1321">
        <v>2025</v>
      </c>
      <c r="Y7" s="1321">
        <v>2025</v>
      </c>
      <c r="Z7" s="1321">
        <v>2025</v>
      </c>
      <c r="AA7" s="1321">
        <v>2025</v>
      </c>
      <c r="AB7" s="1321">
        <v>2025</v>
      </c>
      <c r="AC7" s="1321">
        <v>2025</v>
      </c>
      <c r="AD7" s="1321">
        <v>2025</v>
      </c>
      <c r="AE7" s="1321">
        <v>2025</v>
      </c>
      <c r="AF7" s="1321">
        <v>2025</v>
      </c>
      <c r="AG7" s="1515" t="s">
        <v>56</v>
      </c>
      <c r="AH7" s="43" t="s">
        <v>56</v>
      </c>
      <c r="AI7" s="43" t="s">
        <v>56</v>
      </c>
      <c r="AJ7" s="1606">
        <v>2022</v>
      </c>
      <c r="AK7" s="1606">
        <v>2023</v>
      </c>
      <c r="AL7" s="1606">
        <v>2024</v>
      </c>
      <c r="AM7" s="1606">
        <v>2025</v>
      </c>
      <c r="AN7" s="1606" t="s">
        <v>56</v>
      </c>
      <c r="AO7" s="1608">
        <v>2022</v>
      </c>
      <c r="AP7" s="1608">
        <v>2023</v>
      </c>
      <c r="AQ7" s="1608">
        <v>2024</v>
      </c>
      <c r="AR7" s="1608">
        <v>2025</v>
      </c>
      <c r="AS7" s="1608" t="s">
        <v>56</v>
      </c>
    </row>
    <row r="8" spans="1:46" s="10" customFormat="1" ht="21.75" customHeight="1" x14ac:dyDescent="0.35">
      <c r="A8" s="4" t="s">
        <v>57</v>
      </c>
      <c r="B8" s="20" t="s">
        <v>58</v>
      </c>
      <c r="C8" s="6" t="s">
        <v>59</v>
      </c>
      <c r="D8" s="6" t="s">
        <v>60</v>
      </c>
      <c r="E8" s="6" t="s">
        <v>61</v>
      </c>
      <c r="F8" s="5" t="s">
        <v>62</v>
      </c>
      <c r="G8" s="7" t="s">
        <v>63</v>
      </c>
      <c r="H8" s="7" t="s">
        <v>64</v>
      </c>
      <c r="I8" s="7" t="s">
        <v>65</v>
      </c>
      <c r="J8" s="7" t="s">
        <v>66</v>
      </c>
      <c r="K8" s="7" t="s">
        <v>67</v>
      </c>
      <c r="L8" s="8" t="s">
        <v>68</v>
      </c>
      <c r="M8" s="20" t="s">
        <v>69</v>
      </c>
      <c r="N8" s="9" t="s">
        <v>70</v>
      </c>
      <c r="O8" s="9" t="s">
        <v>71</v>
      </c>
      <c r="P8" s="9" t="s">
        <v>72</v>
      </c>
      <c r="Q8" s="9" t="s">
        <v>73</v>
      </c>
      <c r="R8" s="9" t="s">
        <v>74</v>
      </c>
      <c r="S8" s="9" t="s">
        <v>75</v>
      </c>
      <c r="T8" s="9" t="s">
        <v>76</v>
      </c>
      <c r="U8" s="9" t="s">
        <v>69</v>
      </c>
      <c r="V8" s="20" t="s">
        <v>77</v>
      </c>
      <c r="W8" s="1323" t="s">
        <v>78</v>
      </c>
      <c r="X8" s="1323" t="s">
        <v>79</v>
      </c>
      <c r="Y8" s="1323" t="s">
        <v>80</v>
      </c>
      <c r="Z8" s="1323" t="s">
        <v>81</v>
      </c>
      <c r="AA8" s="1323" t="s">
        <v>82</v>
      </c>
      <c r="AB8" s="1323" t="s">
        <v>83</v>
      </c>
      <c r="AC8" s="1323" t="s">
        <v>84</v>
      </c>
      <c r="AD8" s="1323" t="s">
        <v>85</v>
      </c>
      <c r="AE8" s="1323" t="s">
        <v>86</v>
      </c>
      <c r="AF8" s="1323" t="s">
        <v>87</v>
      </c>
      <c r="AG8" s="5" t="s">
        <v>88</v>
      </c>
      <c r="AH8" s="44" t="s">
        <v>89</v>
      </c>
      <c r="AI8" s="44" t="s">
        <v>90</v>
      </c>
      <c r="AJ8" s="1607" t="s">
        <v>91</v>
      </c>
      <c r="AK8" s="1607" t="s">
        <v>92</v>
      </c>
      <c r="AL8" s="1607" t="s">
        <v>93</v>
      </c>
      <c r="AM8" s="1607" t="s">
        <v>94</v>
      </c>
      <c r="AN8" s="1607" t="s">
        <v>95</v>
      </c>
      <c r="AO8" s="1609" t="s">
        <v>96</v>
      </c>
      <c r="AP8" s="1609" t="s">
        <v>97</v>
      </c>
      <c r="AQ8" s="1609" t="s">
        <v>98</v>
      </c>
      <c r="AR8" s="1609" t="s">
        <v>99</v>
      </c>
      <c r="AS8" s="1609" t="s">
        <v>100</v>
      </c>
    </row>
    <row r="9" spans="1:46" s="1331" customFormat="1" ht="18" x14ac:dyDescent="0.35">
      <c r="A9" s="1324"/>
      <c r="B9" s="1325"/>
      <c r="C9" s="1325"/>
      <c r="D9" s="1326"/>
      <c r="E9" s="1327"/>
      <c r="F9" s="1325"/>
      <c r="G9" s="1325"/>
      <c r="H9" s="1325"/>
      <c r="I9" s="1325"/>
      <c r="J9" s="1325"/>
      <c r="K9" s="1326"/>
      <c r="L9" s="1328"/>
      <c r="M9" s="1325"/>
      <c r="N9" s="1325"/>
      <c r="O9" s="1325"/>
      <c r="P9" s="1325"/>
      <c r="Q9" s="1325"/>
      <c r="R9" s="1325"/>
      <c r="S9" s="1325"/>
      <c r="T9" s="1326"/>
      <c r="U9" s="1327"/>
      <c r="V9" s="1325"/>
      <c r="W9" s="1325"/>
      <c r="X9" s="1325"/>
      <c r="Y9" s="1325"/>
      <c r="Z9" s="1325"/>
      <c r="AA9" s="1325"/>
      <c r="AB9" s="1325"/>
      <c r="AC9" s="1325"/>
      <c r="AD9" s="1325"/>
      <c r="AE9" s="1326"/>
      <c r="AF9" s="1327"/>
      <c r="AG9" s="1329"/>
      <c r="AH9" s="1330"/>
      <c r="AI9" s="1324"/>
      <c r="AJ9" s="1572"/>
      <c r="AK9" s="1572"/>
      <c r="AL9" s="1572"/>
      <c r="AM9" s="1572"/>
      <c r="AN9" s="1572"/>
      <c r="AO9" s="1572"/>
      <c r="AP9" s="1572"/>
      <c r="AQ9" s="1572"/>
      <c r="AR9" s="1572"/>
      <c r="AS9" s="1572"/>
    </row>
    <row r="10" spans="1:46" s="1331" customFormat="1" ht="24" customHeight="1" x14ac:dyDescent="0.35">
      <c r="A10" s="1326" t="s">
        <v>101</v>
      </c>
      <c r="B10" s="1571">
        <f>SUMIF('Measure-Level Adjustments'!$A$8:$A$619,$A10,'Measure-Level Adjustments'!$AI$8:$AI$619)</f>
        <v>3676464.7913889252</v>
      </c>
      <c r="C10" s="1571">
        <f>SUMIF('Measure-Level Adjustments'!$A$8:$A$619,$A10,'Measure-Level Adjustments'!$AR$8:$AR$619)</f>
        <v>3670615.0869434448</v>
      </c>
      <c r="D10" s="1569">
        <f>C10-B10</f>
        <v>-5849.704445480369</v>
      </c>
      <c r="E10" s="1572" t="s">
        <v>102</v>
      </c>
      <c r="F10" s="1571">
        <f>SUMIF('Measure-Level Adjustments'!$A$8:$A$619,$A10,'Measure-Level Adjustments'!$AJ$8:$AJ$619)</f>
        <v>3676464.7913889252</v>
      </c>
      <c r="G10" s="1571">
        <f>C10</f>
        <v>3670615.0869434448</v>
      </c>
      <c r="H10" s="1571">
        <f>SUMIF('Measure-Level Adjustments'!$A$8:$A$619,$A10,'Measure-Level Adjustments'!$AX$8:$AX$619)</f>
        <v>3670615.0869434448</v>
      </c>
      <c r="I10" s="1571">
        <f>G10-F10</f>
        <v>-5849.704445480369</v>
      </c>
      <c r="J10" s="1571">
        <f>H10-G10</f>
        <v>0</v>
      </c>
      <c r="K10" s="1569">
        <f t="shared" ref="K10:K23" si="0">H10-F10</f>
        <v>-5849.704445480369</v>
      </c>
      <c r="L10" s="1572"/>
      <c r="M10" s="1571">
        <f>SUMIF('Measure-Level Adjustments'!$A$8:$A$619,$A10,'Measure-Level Adjustments'!$AK$8:$AK$619)</f>
        <v>3676464.7913889252</v>
      </c>
      <c r="N10" s="1571">
        <f>C10</f>
        <v>3670615.0869434448</v>
      </c>
      <c r="O10" s="1571">
        <f>H10</f>
        <v>3670615.0869434448</v>
      </c>
      <c r="P10" s="1571">
        <f>SUMIF('Measure-Level Adjustments'!$A$8:$A$619,$A10,'Measure-Level Adjustments'!$BD$8:$BD$619)</f>
        <v>3670615.0869434448</v>
      </c>
      <c r="Q10" s="1571">
        <f>N10-M10</f>
        <v>-5849.704445480369</v>
      </c>
      <c r="R10" s="1571">
        <f>O10-N10</f>
        <v>0</v>
      </c>
      <c r="S10" s="1571">
        <f>P10-O10</f>
        <v>0</v>
      </c>
      <c r="T10" s="1569">
        <f>P10-M10</f>
        <v>-5849.704445480369</v>
      </c>
      <c r="U10" s="1572"/>
      <c r="V10" s="1571">
        <f>SUMIF('Measure-Level Adjustments'!$A$8:$A$619,$A10,'Measure-Level Adjustments'!$AK$8:$AK$619)</f>
        <v>3676464.7913889252</v>
      </c>
      <c r="W10" s="1571">
        <f>C10</f>
        <v>3670615.0869434448</v>
      </c>
      <c r="X10" s="1571">
        <f>H10</f>
        <v>3670615.0869434448</v>
      </c>
      <c r="Y10" s="1571">
        <f>P10</f>
        <v>3670615.0869434448</v>
      </c>
      <c r="Z10" s="1571">
        <f>SUMIF('Measure-Level Adjustments'!$A$8:$A$619,$A10,'Measure-Level Adjustments'!$BJ$8:$BJ$619)</f>
        <v>3670615.0869434448</v>
      </c>
      <c r="AA10" s="1571">
        <f>W10-V10</f>
        <v>-5849.704445480369</v>
      </c>
      <c r="AB10" s="1571">
        <f>X10-W10</f>
        <v>0</v>
      </c>
      <c r="AC10" s="1571">
        <f>Y10-X10</f>
        <v>0</v>
      </c>
      <c r="AD10" s="1571">
        <f>Z10-Y10</f>
        <v>0</v>
      </c>
      <c r="AE10" s="1569">
        <f t="shared" ref="AE10:AE23" si="1">Z10-V10</f>
        <v>-5849.704445480369</v>
      </c>
      <c r="AF10" s="1572"/>
      <c r="AG10" s="1573">
        <f t="shared" ref="AG10:AG23" si="2">B10+F10+M10+V10</f>
        <v>14705859.165555701</v>
      </c>
      <c r="AH10" s="1332">
        <f t="shared" ref="AH10:AH23" si="3">SUM(C10,H10,P10,Z10)</f>
        <v>14682460.347773779</v>
      </c>
      <c r="AI10" s="1569">
        <f>AH10-AG10</f>
        <v>-23398.817781921476</v>
      </c>
      <c r="AJ10" s="1590">
        <f>SUMIF('Measure-Level Adjustments'!$A$8:$A$619,'Program-Level Adjustments'!$A10,'Measure-Level Adjustments'!$BX$8:$BX$619)</f>
        <v>30739086.62349299</v>
      </c>
      <c r="AK10" s="1590">
        <f>SUMIF('Measure-Level Adjustments'!$A$8:$A$619,'Program-Level Adjustments'!$A10,'Measure-Level Adjustments'!$BY$8:$BY$619)</f>
        <v>30739086.62349299</v>
      </c>
      <c r="AL10" s="1590">
        <f>SUMIF('Measure-Level Adjustments'!$A$8:$A$619,'Program-Level Adjustments'!$A10,'Measure-Level Adjustments'!$BZ$8:$BZ$619)</f>
        <v>30739086.62349299</v>
      </c>
      <c r="AM10" s="1590">
        <f>SUMIF('Measure-Level Adjustments'!$A$8:$A$619,'Program-Level Adjustments'!$A10,'Measure-Level Adjustments'!$CA$8:$CA$619)</f>
        <v>30739086.62349299</v>
      </c>
      <c r="AN10" s="1590">
        <f>SUM(AJ10:AM10)</f>
        <v>122956346.49397196</v>
      </c>
      <c r="AO10" s="1590">
        <f>SUMIF('Measure-Level Adjustments'!$A$8:$A$619,'Program-Level Adjustments'!$A10,'Measure-Level Adjustments'!$CG$8:$CG$619)</f>
        <v>30635397.148870148</v>
      </c>
      <c r="AP10" s="1590">
        <f>SUMIF('Measure-Level Adjustments'!$A$8:$A$619,'Program-Level Adjustments'!$A10,'Measure-Level Adjustments'!$CH$8:$CH$619)</f>
        <v>30635397.148870148</v>
      </c>
      <c r="AQ10" s="1590">
        <f>SUMIF('Measure-Level Adjustments'!$A$8:$A$619,'Program-Level Adjustments'!$A10,'Measure-Level Adjustments'!$CI$8:$CI$619)</f>
        <v>30635397.148870148</v>
      </c>
      <c r="AR10" s="1590">
        <f>SUMIF('Measure-Level Adjustments'!$A$8:$A$619,'Program-Level Adjustments'!$A10,'Measure-Level Adjustments'!$CJ$8:$CJ$619)</f>
        <v>30635397.148870148</v>
      </c>
      <c r="AS10" s="1590">
        <f>SUM(AO10:AR10)</f>
        <v>122541588.59548059</v>
      </c>
    </row>
    <row r="11" spans="1:46" s="1331" customFormat="1" ht="24" customHeight="1" x14ac:dyDescent="0.35">
      <c r="A11" s="1326" t="s">
        <v>103</v>
      </c>
      <c r="B11" s="1571">
        <f>SUMIF('Measure-Level Adjustments'!$A$8:$A$619,$A11,'Measure-Level Adjustments'!$AI$8:$AI$619)</f>
        <v>116365.10808530849</v>
      </c>
      <c r="C11" s="1571">
        <f>SUMIF('Measure-Level Adjustments'!$A$8:$A$619,$A11,'Measure-Level Adjustments'!$AR$8:$AR$619)</f>
        <v>92661.104586449335</v>
      </c>
      <c r="D11" s="1569">
        <f t="shared" ref="D11:D23" si="4">C11-B11</f>
        <v>-23704.003498859151</v>
      </c>
      <c r="E11" s="1574" t="s">
        <v>104</v>
      </c>
      <c r="F11" s="1571">
        <f>SUMIF('Measure-Level Adjustments'!$A$8:$A$619,$A11,'Measure-Level Adjustments'!$AJ$8:$AJ$619)</f>
        <v>116365.10808530849</v>
      </c>
      <c r="G11" s="1571">
        <f t="shared" ref="G11:G23" si="5">C11</f>
        <v>92661.104586449335</v>
      </c>
      <c r="H11" s="1571">
        <f>SUMIF('Measure-Level Adjustments'!$A$8:$A$619,$A11,'Measure-Level Adjustments'!$AX$8:$AX$619)</f>
        <v>92661.104586449335</v>
      </c>
      <c r="I11" s="1571">
        <f t="shared" ref="I11:I23" si="6">G11-F11</f>
        <v>-23704.003498859151</v>
      </c>
      <c r="J11" s="1571">
        <f t="shared" ref="J11:J23" si="7">H11-G11</f>
        <v>0</v>
      </c>
      <c r="K11" s="1569">
        <f t="shared" si="0"/>
        <v>-23704.003498859151</v>
      </c>
      <c r="L11" s="1574"/>
      <c r="M11" s="1571">
        <f>SUMIF('Measure-Level Adjustments'!$A$8:$A$619,$A11,'Measure-Level Adjustments'!$AK$8:$AK$619)</f>
        <v>116365.10808530849</v>
      </c>
      <c r="N11" s="1571">
        <f t="shared" ref="N11:N23" si="8">C11</f>
        <v>92661.104586449335</v>
      </c>
      <c r="O11" s="1571">
        <f t="shared" ref="O11:O23" si="9">H11</f>
        <v>92661.104586449335</v>
      </c>
      <c r="P11" s="1571">
        <f>SUMIF('Measure-Level Adjustments'!$A$8:$A$619,$A11,'Measure-Level Adjustments'!$BD$8:$BD$619)</f>
        <v>92661.104586449335</v>
      </c>
      <c r="Q11" s="1571">
        <f t="shared" ref="Q11:Q23" si="10">N11-M11</f>
        <v>-23704.003498859151</v>
      </c>
      <c r="R11" s="1571">
        <f t="shared" ref="R11:R23" si="11">O11-N11</f>
        <v>0</v>
      </c>
      <c r="S11" s="1571">
        <f t="shared" ref="S11:S23" si="12">P11-O11</f>
        <v>0</v>
      </c>
      <c r="T11" s="1569">
        <f t="shared" ref="T11:T23" si="13">P11-M11</f>
        <v>-23704.003498859151</v>
      </c>
      <c r="U11" s="1574"/>
      <c r="V11" s="1571">
        <f>SUMIF('Measure-Level Adjustments'!$A$8:$A$619,$A11,'Measure-Level Adjustments'!$AK$8:$AK$619)</f>
        <v>116365.10808530849</v>
      </c>
      <c r="W11" s="1571">
        <f t="shared" ref="W11:W23" si="14">C11</f>
        <v>92661.104586449335</v>
      </c>
      <c r="X11" s="1571">
        <f t="shared" ref="X11:X23" si="15">H11</f>
        <v>92661.104586449335</v>
      </c>
      <c r="Y11" s="1571">
        <f t="shared" ref="Y11:Y23" si="16">P11</f>
        <v>92661.104586449335</v>
      </c>
      <c r="Z11" s="1571">
        <f>SUMIF('Measure-Level Adjustments'!$A$8:$A$619,$A11,'Measure-Level Adjustments'!$BJ$8:$BJ$619)</f>
        <v>92661.104586449335</v>
      </c>
      <c r="AA11" s="1571">
        <f t="shared" ref="AA11:AA23" si="17">W11-V11</f>
        <v>-23704.003498859151</v>
      </c>
      <c r="AB11" s="1571">
        <f t="shared" ref="AB11:AB23" si="18">X11-W11</f>
        <v>0</v>
      </c>
      <c r="AC11" s="1571">
        <f t="shared" ref="AC11:AC23" si="19">Y11-X11</f>
        <v>0</v>
      </c>
      <c r="AD11" s="1571">
        <f t="shared" ref="AD11:AD23" si="20">Z11-Y11</f>
        <v>0</v>
      </c>
      <c r="AE11" s="1569">
        <f t="shared" si="1"/>
        <v>-23704.003498859151</v>
      </c>
      <c r="AF11" s="1574"/>
      <c r="AG11" s="1573">
        <f t="shared" si="2"/>
        <v>465460.43234123394</v>
      </c>
      <c r="AH11" s="1332">
        <f t="shared" si="3"/>
        <v>370644.41834579734</v>
      </c>
      <c r="AI11" s="1569">
        <f t="shared" ref="AI11:AI23" si="21">AH11-AG11</f>
        <v>-94816.013995436602</v>
      </c>
      <c r="AJ11" s="1590">
        <f>SUMIF('Measure-Level Adjustments'!$A$8:$A$619,'Program-Level Adjustments'!$A11,'Measure-Level Adjustments'!$BX$8:$BX$619)</f>
        <v>2397121.2265573549</v>
      </c>
      <c r="AK11" s="1590">
        <f>SUMIF('Measure-Level Adjustments'!$A$8:$A$619,'Program-Level Adjustments'!$A11,'Measure-Level Adjustments'!$BY$8:$BY$619)</f>
        <v>2397121.2265573549</v>
      </c>
      <c r="AL11" s="1590">
        <f>SUMIF('Measure-Level Adjustments'!$A$8:$A$619,'Program-Level Adjustments'!$A11,'Measure-Level Adjustments'!$BZ$8:$BZ$619)</f>
        <v>2397121.2265573549</v>
      </c>
      <c r="AM11" s="1590">
        <f>SUMIF('Measure-Level Adjustments'!$A$8:$A$619,'Program-Level Adjustments'!$A11,'Measure-Level Adjustments'!$CA$8:$CA$619)</f>
        <v>2397121.2265573549</v>
      </c>
      <c r="AN11" s="1590">
        <f t="shared" ref="AN11:AN23" si="22">SUM(AJ11:AM11)</f>
        <v>9588484.9062294196</v>
      </c>
      <c r="AO11" s="1590">
        <f>SUMIF('Measure-Level Adjustments'!$A$8:$A$619,'Program-Level Adjustments'!$A11,'Measure-Level Adjustments'!$CG$8:$CG$619)</f>
        <v>1908818.7544808565</v>
      </c>
      <c r="AP11" s="1590">
        <f>SUMIF('Measure-Level Adjustments'!$A$8:$A$619,'Program-Level Adjustments'!$A11,'Measure-Level Adjustments'!$CH$8:$CH$619)</f>
        <v>1908818.7544808565</v>
      </c>
      <c r="AQ11" s="1590">
        <f>SUMIF('Measure-Level Adjustments'!$A$8:$A$619,'Program-Level Adjustments'!$A11,'Measure-Level Adjustments'!$CI$8:$CI$619)</f>
        <v>1908818.7544808565</v>
      </c>
      <c r="AR11" s="1590">
        <f>SUMIF('Measure-Level Adjustments'!$A$8:$A$619,'Program-Level Adjustments'!$A11,'Measure-Level Adjustments'!$CJ$8:$CJ$619)</f>
        <v>1908818.7544808565</v>
      </c>
      <c r="AS11" s="1590">
        <f t="shared" ref="AS11:AS23" si="23">SUM(AO11:AR11)</f>
        <v>7635275.0179234259</v>
      </c>
    </row>
    <row r="12" spans="1:46" s="1331" customFormat="1" ht="24" customHeight="1" x14ac:dyDescent="0.35">
      <c r="A12" s="1326" t="s">
        <v>105</v>
      </c>
      <c r="B12" s="1571">
        <f>SUMIF('Measure-Level Adjustments'!$A$8:$A$619,$A12,'Measure-Level Adjustments'!$AI$8:$AI$619)</f>
        <v>1559489.5369641578</v>
      </c>
      <c r="C12" s="1571">
        <f>SUMIF('Measure-Level Adjustments'!$A$8:$A$619,$A12,'Measure-Level Adjustments'!$AR$8:$AR$619)</f>
        <v>1649900.672696887</v>
      </c>
      <c r="D12" s="1569">
        <f t="shared" si="4"/>
        <v>90411.135732729221</v>
      </c>
      <c r="E12" s="1574" t="s">
        <v>104</v>
      </c>
      <c r="F12" s="1571">
        <f>SUMIF('Measure-Level Adjustments'!$A$8:$A$619,$A12,'Measure-Level Adjustments'!$AJ$8:$AJ$619)</f>
        <v>1559489.5369641578</v>
      </c>
      <c r="G12" s="1571">
        <f t="shared" si="5"/>
        <v>1649900.672696887</v>
      </c>
      <c r="H12" s="1571">
        <f>SUMIF('Measure-Level Adjustments'!$A$8:$A$619,$A12,'Measure-Level Adjustments'!$AX$8:$AX$619)</f>
        <v>1649900.672696887</v>
      </c>
      <c r="I12" s="1571">
        <f t="shared" si="6"/>
        <v>90411.135732729221</v>
      </c>
      <c r="J12" s="1571">
        <f t="shared" si="7"/>
        <v>0</v>
      </c>
      <c r="K12" s="1569">
        <f t="shared" si="0"/>
        <v>90411.135732729221</v>
      </c>
      <c r="L12" s="1574"/>
      <c r="M12" s="1571">
        <f>SUMIF('Measure-Level Adjustments'!$A$8:$A$619,$A12,'Measure-Level Adjustments'!$AK$8:$AK$619)</f>
        <v>1559489.5369641578</v>
      </c>
      <c r="N12" s="1571">
        <f t="shared" si="8"/>
        <v>1649900.672696887</v>
      </c>
      <c r="O12" s="1571">
        <f t="shared" si="9"/>
        <v>1649900.672696887</v>
      </c>
      <c r="P12" s="1571">
        <f>SUMIF('Measure-Level Adjustments'!$A$8:$A$619,$A12,'Measure-Level Adjustments'!$BD$8:$BD$619)</f>
        <v>1649900.672696887</v>
      </c>
      <c r="Q12" s="1571">
        <f t="shared" si="10"/>
        <v>90411.135732729221</v>
      </c>
      <c r="R12" s="1571">
        <f t="shared" si="11"/>
        <v>0</v>
      </c>
      <c r="S12" s="1571">
        <f t="shared" si="12"/>
        <v>0</v>
      </c>
      <c r="T12" s="1569">
        <f t="shared" si="13"/>
        <v>90411.135732729221</v>
      </c>
      <c r="U12" s="1574"/>
      <c r="V12" s="1571">
        <f>SUMIF('Measure-Level Adjustments'!$A$8:$A$619,$A12,'Measure-Level Adjustments'!$AK$8:$AK$619)</f>
        <v>1559489.5369641578</v>
      </c>
      <c r="W12" s="1571">
        <f t="shared" si="14"/>
        <v>1649900.672696887</v>
      </c>
      <c r="X12" s="1571">
        <f t="shared" si="15"/>
        <v>1649900.672696887</v>
      </c>
      <c r="Y12" s="1571">
        <f t="shared" si="16"/>
        <v>1649900.672696887</v>
      </c>
      <c r="Z12" s="1571">
        <f>SUMIF('Measure-Level Adjustments'!$A$8:$A$619,$A12,'Measure-Level Adjustments'!$BJ$8:$BJ$619)</f>
        <v>1649900.672696887</v>
      </c>
      <c r="AA12" s="1571">
        <f t="shared" si="17"/>
        <v>90411.135732729221</v>
      </c>
      <c r="AB12" s="1571">
        <f t="shared" si="18"/>
        <v>0</v>
      </c>
      <c r="AC12" s="1571">
        <f t="shared" si="19"/>
        <v>0</v>
      </c>
      <c r="AD12" s="1571">
        <f t="shared" si="20"/>
        <v>0</v>
      </c>
      <c r="AE12" s="1569">
        <f t="shared" si="1"/>
        <v>90411.135732729221</v>
      </c>
      <c r="AF12" s="1574"/>
      <c r="AG12" s="1573">
        <f t="shared" si="2"/>
        <v>6237958.1478566313</v>
      </c>
      <c r="AH12" s="1332">
        <f t="shared" si="3"/>
        <v>6599602.6907875482</v>
      </c>
      <c r="AI12" s="1569">
        <f t="shared" si="21"/>
        <v>361644.54293091688</v>
      </c>
      <c r="AJ12" s="1590">
        <f>SUMIF('Measure-Level Adjustments'!$A$8:$A$619,'Program-Level Adjustments'!$A12,'Measure-Level Adjustments'!$BX$8:$BX$619)</f>
        <v>25712060.504247826</v>
      </c>
      <c r="AK12" s="1590">
        <f>SUMIF('Measure-Level Adjustments'!$A$8:$A$619,'Program-Level Adjustments'!$A12,'Measure-Level Adjustments'!$BY$8:$BY$619)</f>
        <v>25712060.504247826</v>
      </c>
      <c r="AL12" s="1590">
        <f>SUMIF('Measure-Level Adjustments'!$A$8:$A$619,'Program-Level Adjustments'!$A12,'Measure-Level Adjustments'!$BZ$8:$BZ$619)</f>
        <v>25712060.504247826</v>
      </c>
      <c r="AM12" s="1590">
        <f>SUMIF('Measure-Level Adjustments'!$A$8:$A$619,'Program-Level Adjustments'!$A12,'Measure-Level Adjustments'!$CA$8:$CA$619)</f>
        <v>25712060.504247826</v>
      </c>
      <c r="AN12" s="1590">
        <f t="shared" si="22"/>
        <v>102848242.0169913</v>
      </c>
      <c r="AO12" s="1590">
        <f>SUMIF('Measure-Level Adjustments'!$A$8:$A$619,'Program-Level Adjustments'!$A12,'Measure-Level Adjustments'!$CG$8:$CG$619)</f>
        <v>27406040.326371677</v>
      </c>
      <c r="AP12" s="1590">
        <f>SUMIF('Measure-Level Adjustments'!$A$8:$A$619,'Program-Level Adjustments'!$A12,'Measure-Level Adjustments'!$CH$8:$CH$619)</f>
        <v>27406040.326371677</v>
      </c>
      <c r="AQ12" s="1590">
        <f>SUMIF('Measure-Level Adjustments'!$A$8:$A$619,'Program-Level Adjustments'!$A12,'Measure-Level Adjustments'!$CI$8:$CI$619)</f>
        <v>27406040.326371677</v>
      </c>
      <c r="AR12" s="1590">
        <f>SUMIF('Measure-Level Adjustments'!$A$8:$A$619,'Program-Level Adjustments'!$A12,'Measure-Level Adjustments'!$CJ$8:$CJ$619)</f>
        <v>27406040.326371677</v>
      </c>
      <c r="AS12" s="1590">
        <f t="shared" si="23"/>
        <v>109624161.30548671</v>
      </c>
    </row>
    <row r="13" spans="1:46" s="1331" customFormat="1" ht="24" customHeight="1" x14ac:dyDescent="0.35">
      <c r="A13" s="1326" t="s">
        <v>106</v>
      </c>
      <c r="B13" s="1571">
        <f>SUMIF('Measure-Level Adjustments'!$A$8:$A$619,$A13,'Measure-Level Adjustments'!$AI$8:$AI$619)</f>
        <v>1198600.2848376303</v>
      </c>
      <c r="C13" s="1571">
        <f>SUMIF('Measure-Level Adjustments'!$A$8:$A$619,$A13,'Measure-Level Adjustments'!$AR$8:$AR$619)</f>
        <v>1157221.5119811716</v>
      </c>
      <c r="D13" s="1569">
        <f t="shared" si="4"/>
        <v>-41378.772856458789</v>
      </c>
      <c r="E13" s="1574" t="s">
        <v>107</v>
      </c>
      <c r="F13" s="1571">
        <f>SUMIF('Measure-Level Adjustments'!$A$8:$A$619,$A13,'Measure-Level Adjustments'!$AJ$8:$AJ$619)</f>
        <v>1198600.2848376303</v>
      </c>
      <c r="G13" s="1571">
        <f t="shared" si="5"/>
        <v>1157221.5119811716</v>
      </c>
      <c r="H13" s="1571">
        <f>SUMIF('Measure-Level Adjustments'!$A$8:$A$619,$A13,'Measure-Level Adjustments'!$AX$8:$AX$619)</f>
        <v>1157221.5119811716</v>
      </c>
      <c r="I13" s="1571">
        <f t="shared" si="6"/>
        <v>-41378.772856458789</v>
      </c>
      <c r="J13" s="1571">
        <f t="shared" si="7"/>
        <v>0</v>
      </c>
      <c r="K13" s="1569">
        <f t="shared" si="0"/>
        <v>-41378.772856458789</v>
      </c>
      <c r="L13" s="1574"/>
      <c r="M13" s="1571">
        <f>SUMIF('Measure-Level Adjustments'!$A$8:$A$619,$A13,'Measure-Level Adjustments'!$AK$8:$AK$619)</f>
        <v>1198600.2848376303</v>
      </c>
      <c r="N13" s="1571">
        <f t="shared" si="8"/>
        <v>1157221.5119811716</v>
      </c>
      <c r="O13" s="1571">
        <f t="shared" si="9"/>
        <v>1157221.5119811716</v>
      </c>
      <c r="P13" s="1571">
        <f>SUMIF('Measure-Level Adjustments'!$A$8:$A$619,$A13,'Measure-Level Adjustments'!$BD$8:$BD$619)</f>
        <v>1157221.5119811716</v>
      </c>
      <c r="Q13" s="1571">
        <f t="shared" si="10"/>
        <v>-41378.772856458789</v>
      </c>
      <c r="R13" s="1571">
        <f t="shared" si="11"/>
        <v>0</v>
      </c>
      <c r="S13" s="1571">
        <f t="shared" si="12"/>
        <v>0</v>
      </c>
      <c r="T13" s="1569">
        <f t="shared" si="13"/>
        <v>-41378.772856458789</v>
      </c>
      <c r="U13" s="1574"/>
      <c r="V13" s="1571">
        <f>SUMIF('Measure-Level Adjustments'!$A$8:$A$619,$A13,'Measure-Level Adjustments'!$AK$8:$AK$619)</f>
        <v>1198600.2848376303</v>
      </c>
      <c r="W13" s="1571">
        <f t="shared" si="14"/>
        <v>1157221.5119811716</v>
      </c>
      <c r="X13" s="1571">
        <f t="shared" si="15"/>
        <v>1157221.5119811716</v>
      </c>
      <c r="Y13" s="1571">
        <f t="shared" si="16"/>
        <v>1157221.5119811716</v>
      </c>
      <c r="Z13" s="1571">
        <f>SUMIF('Measure-Level Adjustments'!$A$8:$A$619,$A13,'Measure-Level Adjustments'!$BJ$8:$BJ$619)</f>
        <v>1157221.5119811716</v>
      </c>
      <c r="AA13" s="1571">
        <f t="shared" si="17"/>
        <v>-41378.772856458789</v>
      </c>
      <c r="AB13" s="1571">
        <f t="shared" si="18"/>
        <v>0</v>
      </c>
      <c r="AC13" s="1571">
        <f t="shared" si="19"/>
        <v>0</v>
      </c>
      <c r="AD13" s="1571">
        <f t="shared" si="20"/>
        <v>0</v>
      </c>
      <c r="AE13" s="1569">
        <f t="shared" si="1"/>
        <v>-41378.772856458789</v>
      </c>
      <c r="AF13" s="1574"/>
      <c r="AG13" s="1573">
        <f t="shared" si="2"/>
        <v>4794401.1393505214</v>
      </c>
      <c r="AH13" s="1332">
        <f t="shared" si="3"/>
        <v>4628886.0479246862</v>
      </c>
      <c r="AI13" s="1569">
        <f t="shared" si="21"/>
        <v>-165515.09142583515</v>
      </c>
      <c r="AJ13" s="1590">
        <f>SUMIF('Measure-Level Adjustments'!$A$8:$A$619,'Program-Level Adjustments'!$A13,'Measure-Level Adjustments'!$BX$8:$BX$619)</f>
        <v>9482556.0507168602</v>
      </c>
      <c r="AK13" s="1590">
        <f>SUMIF('Measure-Level Adjustments'!$A$8:$A$619,'Program-Level Adjustments'!$A13,'Measure-Level Adjustments'!$BY$8:$BY$619)</f>
        <v>9482556.0507168602</v>
      </c>
      <c r="AL13" s="1590">
        <f>SUMIF('Measure-Level Adjustments'!$A$8:$A$619,'Program-Level Adjustments'!$A13,'Measure-Level Adjustments'!$BZ$8:$BZ$619)</f>
        <v>9482556.0507168602</v>
      </c>
      <c r="AM13" s="1590">
        <f>SUMIF('Measure-Level Adjustments'!$A$8:$A$619,'Program-Level Adjustments'!$A13,'Measure-Level Adjustments'!$CA$8:$CA$619)</f>
        <v>9482556.0507168602</v>
      </c>
      <c r="AN13" s="1590">
        <f t="shared" si="22"/>
        <v>37930224.202867441</v>
      </c>
      <c r="AO13" s="1590">
        <f>SUMIF('Measure-Level Adjustments'!$A$8:$A$619,'Program-Level Adjustments'!$A13,'Measure-Level Adjustments'!$CG$8:$CG$619)</f>
        <v>8222319.3360532224</v>
      </c>
      <c r="AP13" s="1590">
        <f>SUMIF('Measure-Level Adjustments'!$A$8:$A$619,'Program-Level Adjustments'!$A13,'Measure-Level Adjustments'!$CH$8:$CH$619)</f>
        <v>8222319.3360532224</v>
      </c>
      <c r="AQ13" s="1590">
        <f>SUMIF('Measure-Level Adjustments'!$A$8:$A$619,'Program-Level Adjustments'!$A13,'Measure-Level Adjustments'!$CI$8:$CI$619)</f>
        <v>8222319.3360532224</v>
      </c>
      <c r="AR13" s="1590">
        <f>SUMIF('Measure-Level Adjustments'!$A$8:$A$619,'Program-Level Adjustments'!$A13,'Measure-Level Adjustments'!$CJ$8:$CJ$619)</f>
        <v>8222319.3360532224</v>
      </c>
      <c r="AS13" s="1590">
        <f t="shared" si="23"/>
        <v>32889277.34421289</v>
      </c>
    </row>
    <row r="14" spans="1:46" s="1331" customFormat="1" ht="24" customHeight="1" x14ac:dyDescent="0.35">
      <c r="A14" s="1326" t="s">
        <v>108</v>
      </c>
      <c r="B14" s="1571">
        <f>SUMIF('Measure-Level Adjustments'!$A$8:$A$619,$A14,'Measure-Level Adjustments'!$AI$8:$AI$619)</f>
        <v>3147815.826121218</v>
      </c>
      <c r="C14" s="1571">
        <f>SUMIF('Measure-Level Adjustments'!$A$8:$A$619,$A14,'Measure-Level Adjustments'!$AR$8:$AR$619)</f>
        <v>3148037.6698090751</v>
      </c>
      <c r="D14" s="1569">
        <f t="shared" si="4"/>
        <v>221.84368785703555</v>
      </c>
      <c r="E14" s="1572" t="s">
        <v>102</v>
      </c>
      <c r="F14" s="1571">
        <f>SUMIF('Measure-Level Adjustments'!$A$8:$A$619,$A14,'Measure-Level Adjustments'!$AJ$8:$AJ$619)</f>
        <v>3147815.826121218</v>
      </c>
      <c r="G14" s="1571">
        <f t="shared" si="5"/>
        <v>3148037.6698090751</v>
      </c>
      <c r="H14" s="1571">
        <f>SUMIF('Measure-Level Adjustments'!$A$8:$A$619,$A14,'Measure-Level Adjustments'!$AX$8:$AX$619)</f>
        <v>3148037.6698090751</v>
      </c>
      <c r="I14" s="1571">
        <f t="shared" si="6"/>
        <v>221.84368785703555</v>
      </c>
      <c r="J14" s="1571">
        <f t="shared" si="7"/>
        <v>0</v>
      </c>
      <c r="K14" s="1569">
        <f t="shared" si="0"/>
        <v>221.84368785703555</v>
      </c>
      <c r="L14" s="1572"/>
      <c r="M14" s="1571">
        <f>SUMIF('Measure-Level Adjustments'!$A$8:$A$619,$A14,'Measure-Level Adjustments'!$AK$8:$AK$619)</f>
        <v>3147815.826121218</v>
      </c>
      <c r="N14" s="1571">
        <f t="shared" si="8"/>
        <v>3148037.6698090751</v>
      </c>
      <c r="O14" s="1571">
        <f t="shared" si="9"/>
        <v>3148037.6698090751</v>
      </c>
      <c r="P14" s="1571">
        <f>SUMIF('Measure-Level Adjustments'!$A$8:$A$619,$A14,'Measure-Level Adjustments'!$BD$8:$BD$619)</f>
        <v>3148037.6698090751</v>
      </c>
      <c r="Q14" s="1571">
        <f t="shared" si="10"/>
        <v>221.84368785703555</v>
      </c>
      <c r="R14" s="1571">
        <f t="shared" si="11"/>
        <v>0</v>
      </c>
      <c r="S14" s="1571">
        <f t="shared" si="12"/>
        <v>0</v>
      </c>
      <c r="T14" s="1569">
        <f t="shared" si="13"/>
        <v>221.84368785703555</v>
      </c>
      <c r="U14" s="1572"/>
      <c r="V14" s="1571">
        <f>SUMIF('Measure-Level Adjustments'!$A$8:$A$619,$A14,'Measure-Level Adjustments'!$AK$8:$AK$619)</f>
        <v>3147815.826121218</v>
      </c>
      <c r="W14" s="1571">
        <f t="shared" si="14"/>
        <v>3148037.6698090751</v>
      </c>
      <c r="X14" s="1571">
        <f t="shared" si="15"/>
        <v>3148037.6698090751</v>
      </c>
      <c r="Y14" s="1571">
        <f t="shared" si="16"/>
        <v>3148037.6698090751</v>
      </c>
      <c r="Z14" s="1571">
        <f>SUMIF('Measure-Level Adjustments'!$A$8:$A$619,$A14,'Measure-Level Adjustments'!$BJ$8:$BJ$619)</f>
        <v>3148037.6698090751</v>
      </c>
      <c r="AA14" s="1571">
        <f t="shared" si="17"/>
        <v>221.84368785703555</v>
      </c>
      <c r="AB14" s="1571">
        <f t="shared" si="18"/>
        <v>0</v>
      </c>
      <c r="AC14" s="1571">
        <f t="shared" si="19"/>
        <v>0</v>
      </c>
      <c r="AD14" s="1571">
        <f t="shared" si="20"/>
        <v>0</v>
      </c>
      <c r="AE14" s="1569">
        <f t="shared" si="1"/>
        <v>221.84368785703555</v>
      </c>
      <c r="AF14" s="1572"/>
      <c r="AG14" s="1573">
        <f t="shared" si="2"/>
        <v>12591263.304484872</v>
      </c>
      <c r="AH14" s="1332">
        <f t="shared" si="3"/>
        <v>12592150.6792363</v>
      </c>
      <c r="AI14" s="1569">
        <f t="shared" si="21"/>
        <v>887.37475142814219</v>
      </c>
      <c r="AJ14" s="1590">
        <f>SUMIF('Measure-Level Adjustments'!$A$8:$A$619,'Program-Level Adjustments'!$A14,'Measure-Level Adjustments'!$BX$8:$BX$619)</f>
        <v>48151884.210396945</v>
      </c>
      <c r="AK14" s="1590">
        <f>SUMIF('Measure-Level Adjustments'!$A$8:$A$619,'Program-Level Adjustments'!$A14,'Measure-Level Adjustments'!$BY$8:$BY$619)</f>
        <v>48151884.210396945</v>
      </c>
      <c r="AL14" s="1590">
        <f>SUMIF('Measure-Level Adjustments'!$A$8:$A$619,'Program-Level Adjustments'!$A14,'Measure-Level Adjustments'!$BZ$8:$BZ$619)</f>
        <v>48151884.210396945</v>
      </c>
      <c r="AM14" s="1590">
        <f>SUMIF('Measure-Level Adjustments'!$A$8:$A$619,'Program-Level Adjustments'!$A14,'Measure-Level Adjustments'!$CA$8:$CA$619)</f>
        <v>48151884.210396945</v>
      </c>
      <c r="AN14" s="1590">
        <f t="shared" si="22"/>
        <v>192607536.84158778</v>
      </c>
      <c r="AO14" s="1590">
        <f>SUMIF('Measure-Level Adjustments'!$A$8:$A$619,'Program-Level Adjustments'!$A14,'Measure-Level Adjustments'!$CG$8:$CG$619)</f>
        <v>48154768.178339094</v>
      </c>
      <c r="AP14" s="1590">
        <f>SUMIF('Measure-Level Adjustments'!$A$8:$A$619,'Program-Level Adjustments'!$A14,'Measure-Level Adjustments'!$CH$8:$CH$619)</f>
        <v>48154768.178339094</v>
      </c>
      <c r="AQ14" s="1590">
        <f>SUMIF('Measure-Level Adjustments'!$A$8:$A$619,'Program-Level Adjustments'!$A14,'Measure-Level Adjustments'!$CI$8:$CI$619)</f>
        <v>48154768.178339094</v>
      </c>
      <c r="AR14" s="1590">
        <f>SUMIF('Measure-Level Adjustments'!$A$8:$A$619,'Program-Level Adjustments'!$A14,'Measure-Level Adjustments'!$CJ$8:$CJ$619)</f>
        <v>48154768.178339094</v>
      </c>
      <c r="AS14" s="1590">
        <f t="shared" si="23"/>
        <v>192619072.71335638</v>
      </c>
    </row>
    <row r="15" spans="1:46" s="1331" customFormat="1" ht="24" customHeight="1" x14ac:dyDescent="0.35">
      <c r="A15" s="1326" t="s">
        <v>109</v>
      </c>
      <c r="B15" s="1571">
        <f>SUMIF('Measure-Level Adjustments'!$A$8:$A$619,$A15,'Measure-Level Adjustments'!$AI$8:$AI$619)</f>
        <v>377295.2658020074</v>
      </c>
      <c r="C15" s="1571">
        <f>SUMIF('Measure-Level Adjustments'!$A$8:$A$619,$A15,'Measure-Level Adjustments'!$AR$8:$AR$619)</f>
        <v>382735.92175387847</v>
      </c>
      <c r="D15" s="1569">
        <f t="shared" si="4"/>
        <v>5440.655951871071</v>
      </c>
      <c r="E15" s="1574" t="s">
        <v>107</v>
      </c>
      <c r="F15" s="1571">
        <f>SUMIF('Measure-Level Adjustments'!$A$8:$A$619,$A15,'Measure-Level Adjustments'!$AJ$8:$AJ$619)</f>
        <v>377295.2658020074</v>
      </c>
      <c r="G15" s="1571">
        <f t="shared" si="5"/>
        <v>382735.92175387847</v>
      </c>
      <c r="H15" s="1571">
        <f>SUMIF('Measure-Level Adjustments'!$A$8:$A$619,$A15,'Measure-Level Adjustments'!$AX$8:$AX$619)</f>
        <v>382735.92175387847</v>
      </c>
      <c r="I15" s="1571">
        <f t="shared" si="6"/>
        <v>5440.655951871071</v>
      </c>
      <c r="J15" s="1571">
        <f t="shared" si="7"/>
        <v>0</v>
      </c>
      <c r="K15" s="1569">
        <f t="shared" si="0"/>
        <v>5440.655951871071</v>
      </c>
      <c r="L15" s="1572"/>
      <c r="M15" s="1571">
        <f>SUMIF('Measure-Level Adjustments'!$A$8:$A$619,$A15,'Measure-Level Adjustments'!$AK$8:$AK$619)</f>
        <v>377295.2658020074</v>
      </c>
      <c r="N15" s="1571">
        <f t="shared" si="8"/>
        <v>382735.92175387847</v>
      </c>
      <c r="O15" s="1571">
        <f t="shared" si="9"/>
        <v>382735.92175387847</v>
      </c>
      <c r="P15" s="1571">
        <f>SUMIF('Measure-Level Adjustments'!$A$8:$A$619,$A15,'Measure-Level Adjustments'!$BD$8:$BD$619)</f>
        <v>382735.92175387847</v>
      </c>
      <c r="Q15" s="1571">
        <f t="shared" si="10"/>
        <v>5440.655951871071</v>
      </c>
      <c r="R15" s="1571">
        <f t="shared" si="11"/>
        <v>0</v>
      </c>
      <c r="S15" s="1571">
        <f t="shared" si="12"/>
        <v>0</v>
      </c>
      <c r="T15" s="1569">
        <f t="shared" si="13"/>
        <v>5440.655951871071</v>
      </c>
      <c r="U15" s="1572"/>
      <c r="V15" s="1571">
        <f>SUMIF('Measure-Level Adjustments'!$A$8:$A$619,$A15,'Measure-Level Adjustments'!$AK$8:$AK$619)</f>
        <v>377295.2658020074</v>
      </c>
      <c r="W15" s="1571">
        <f t="shared" si="14"/>
        <v>382735.92175387847</v>
      </c>
      <c r="X15" s="1571">
        <f t="shared" si="15"/>
        <v>382735.92175387847</v>
      </c>
      <c r="Y15" s="1571">
        <f t="shared" si="16"/>
        <v>382735.92175387847</v>
      </c>
      <c r="Z15" s="1571">
        <f>SUMIF('Measure-Level Adjustments'!$A$8:$A$619,$A15,'Measure-Level Adjustments'!$BJ$8:$BJ$619)</f>
        <v>382735.92175387847</v>
      </c>
      <c r="AA15" s="1571">
        <f t="shared" si="17"/>
        <v>5440.655951871071</v>
      </c>
      <c r="AB15" s="1571">
        <f t="shared" si="18"/>
        <v>0</v>
      </c>
      <c r="AC15" s="1571">
        <f t="shared" si="19"/>
        <v>0</v>
      </c>
      <c r="AD15" s="1571">
        <f t="shared" si="20"/>
        <v>0</v>
      </c>
      <c r="AE15" s="1569">
        <f t="shared" si="1"/>
        <v>5440.655951871071</v>
      </c>
      <c r="AF15" s="1572"/>
      <c r="AG15" s="1573">
        <f t="shared" si="2"/>
        <v>1509181.0632080296</v>
      </c>
      <c r="AH15" s="1332">
        <f t="shared" si="3"/>
        <v>1530943.6870155139</v>
      </c>
      <c r="AI15" s="1569">
        <f t="shared" si="21"/>
        <v>21762.623807484284</v>
      </c>
      <c r="AJ15" s="1590">
        <f>SUMIF('Measure-Level Adjustments'!$A$8:$A$619,'Program-Level Adjustments'!$A15,'Measure-Level Adjustments'!$BX$8:$BX$619)</f>
        <v>5971716.6455466831</v>
      </c>
      <c r="AK15" s="1590">
        <f>SUMIF('Measure-Level Adjustments'!$A$8:$A$619,'Program-Level Adjustments'!$A15,'Measure-Level Adjustments'!$BY$8:$BY$619)</f>
        <v>5971716.6455466831</v>
      </c>
      <c r="AL15" s="1590">
        <f>SUMIF('Measure-Level Adjustments'!$A$8:$A$619,'Program-Level Adjustments'!$A15,'Measure-Level Adjustments'!$BZ$8:$BZ$619)</f>
        <v>5971716.6455466831</v>
      </c>
      <c r="AM15" s="1590">
        <f>SUMIF('Measure-Level Adjustments'!$A$8:$A$619,'Program-Level Adjustments'!$A15,'Measure-Level Adjustments'!$CA$8:$CA$619)</f>
        <v>5971716.6455466831</v>
      </c>
      <c r="AN15" s="1590">
        <f t="shared" si="22"/>
        <v>23886866.582186732</v>
      </c>
      <c r="AO15" s="1590">
        <f>SUMIF('Measure-Level Adjustments'!$A$8:$A$619,'Program-Level Adjustments'!$A15,'Measure-Level Adjustments'!$CG$8:$CG$619)</f>
        <v>6232619.7589227296</v>
      </c>
      <c r="AP15" s="1590">
        <f>SUMIF('Measure-Level Adjustments'!$A$8:$A$619,'Program-Level Adjustments'!$A15,'Measure-Level Adjustments'!$CH$8:$CH$619)</f>
        <v>6232619.7589227296</v>
      </c>
      <c r="AQ15" s="1590">
        <f>SUMIF('Measure-Level Adjustments'!$A$8:$A$619,'Program-Level Adjustments'!$A15,'Measure-Level Adjustments'!$CI$8:$CI$619)</f>
        <v>6232619.7589227296</v>
      </c>
      <c r="AR15" s="1590">
        <f>SUMIF('Measure-Level Adjustments'!$A$8:$A$619,'Program-Level Adjustments'!$A15,'Measure-Level Adjustments'!$CJ$8:$CJ$619)</f>
        <v>6232619.7589227296</v>
      </c>
      <c r="AS15" s="1590">
        <f t="shared" si="23"/>
        <v>24930479.035690919</v>
      </c>
    </row>
    <row r="16" spans="1:46" s="1331" customFormat="1" ht="24" customHeight="1" x14ac:dyDescent="0.35">
      <c r="A16" s="1326" t="s">
        <v>110</v>
      </c>
      <c r="B16" s="1571">
        <f>SUMIF('Measure-Level Adjustments'!$A$8:$A$619,$A16,'Measure-Level Adjustments'!$AI$8:$AI$619)</f>
        <v>799306.45251587161</v>
      </c>
      <c r="C16" s="1571">
        <f>SUMIF('Measure-Level Adjustments'!$A$8:$A$619,$A16,'Measure-Level Adjustments'!$AR$8:$AR$619)</f>
        <v>810587.12580223416</v>
      </c>
      <c r="D16" s="1569">
        <f t="shared" si="4"/>
        <v>11280.673286362551</v>
      </c>
      <c r="E16" s="1572" t="s">
        <v>102</v>
      </c>
      <c r="F16" s="1571">
        <f>SUMIF('Measure-Level Adjustments'!$A$8:$A$619,$A16,'Measure-Level Adjustments'!$AJ$8:$AJ$619)</f>
        <v>799306.45251587161</v>
      </c>
      <c r="G16" s="1571">
        <f t="shared" si="5"/>
        <v>810587.12580223416</v>
      </c>
      <c r="H16" s="1571">
        <f>SUMIF('Measure-Level Adjustments'!$A$8:$A$619,$A16,'Measure-Level Adjustments'!$AX$8:$AX$619)</f>
        <v>810587.12580223416</v>
      </c>
      <c r="I16" s="1571">
        <f t="shared" si="6"/>
        <v>11280.673286362551</v>
      </c>
      <c r="J16" s="1571">
        <f t="shared" si="7"/>
        <v>0</v>
      </c>
      <c r="K16" s="1569">
        <f t="shared" si="0"/>
        <v>11280.673286362551</v>
      </c>
      <c r="L16" s="1572"/>
      <c r="M16" s="1571">
        <f>SUMIF('Measure-Level Adjustments'!$A$8:$A$619,$A16,'Measure-Level Adjustments'!$AK$8:$AK$619)</f>
        <v>799306.45251587161</v>
      </c>
      <c r="N16" s="1571">
        <f t="shared" si="8"/>
        <v>810587.12580223416</v>
      </c>
      <c r="O16" s="1571">
        <f t="shared" si="9"/>
        <v>810587.12580223416</v>
      </c>
      <c r="P16" s="1571">
        <f>SUMIF('Measure-Level Adjustments'!$A$8:$A$619,$A16,'Measure-Level Adjustments'!$BD$8:$BD$619)</f>
        <v>810587.12580223416</v>
      </c>
      <c r="Q16" s="1571">
        <f t="shared" si="10"/>
        <v>11280.673286362551</v>
      </c>
      <c r="R16" s="1571">
        <f t="shared" si="11"/>
        <v>0</v>
      </c>
      <c r="S16" s="1571">
        <f t="shared" si="12"/>
        <v>0</v>
      </c>
      <c r="T16" s="1569">
        <f t="shared" si="13"/>
        <v>11280.673286362551</v>
      </c>
      <c r="U16" s="1572"/>
      <c r="V16" s="1571">
        <f>SUMIF('Measure-Level Adjustments'!$A$8:$A$619,$A16,'Measure-Level Adjustments'!$AK$8:$AK$619)</f>
        <v>799306.45251587161</v>
      </c>
      <c r="W16" s="1571">
        <f t="shared" si="14"/>
        <v>810587.12580223416</v>
      </c>
      <c r="X16" s="1571">
        <f t="shared" si="15"/>
        <v>810587.12580223416</v>
      </c>
      <c r="Y16" s="1571">
        <f t="shared" si="16"/>
        <v>810587.12580223416</v>
      </c>
      <c r="Z16" s="1571">
        <f>SUMIF('Measure-Level Adjustments'!$A$8:$A$619,$A16,'Measure-Level Adjustments'!$BJ$8:$BJ$619)</f>
        <v>810587.12580223416</v>
      </c>
      <c r="AA16" s="1571">
        <f t="shared" si="17"/>
        <v>11280.673286362551</v>
      </c>
      <c r="AB16" s="1571">
        <f t="shared" si="18"/>
        <v>0</v>
      </c>
      <c r="AC16" s="1571">
        <f t="shared" si="19"/>
        <v>0</v>
      </c>
      <c r="AD16" s="1571">
        <f t="shared" si="20"/>
        <v>0</v>
      </c>
      <c r="AE16" s="1569">
        <f t="shared" si="1"/>
        <v>11280.673286362551</v>
      </c>
      <c r="AF16" s="1572"/>
      <c r="AG16" s="1573">
        <f t="shared" si="2"/>
        <v>3197225.8100634865</v>
      </c>
      <c r="AH16" s="1332">
        <f t="shared" si="3"/>
        <v>3242348.5032089367</v>
      </c>
      <c r="AI16" s="1569">
        <f t="shared" si="21"/>
        <v>45122.693145450205</v>
      </c>
      <c r="AJ16" s="1590">
        <f>SUMIF('Measure-Level Adjustments'!$A$8:$A$619,'Program-Level Adjustments'!$A16,'Measure-Level Adjustments'!$BX$8:$BX$619)</f>
        <v>12628055.00565421</v>
      </c>
      <c r="AK16" s="1590">
        <f>SUMIF('Measure-Level Adjustments'!$A$8:$A$619,'Program-Level Adjustments'!$A16,'Measure-Level Adjustments'!$BY$8:$BY$619)</f>
        <v>12628055.00565421</v>
      </c>
      <c r="AL16" s="1590">
        <f>SUMIF('Measure-Level Adjustments'!$A$8:$A$619,'Program-Level Adjustments'!$A16,'Measure-Level Adjustments'!$BZ$8:$BZ$619)</f>
        <v>12628055.00565421</v>
      </c>
      <c r="AM16" s="1590">
        <f>SUMIF('Measure-Level Adjustments'!$A$8:$A$619,'Program-Level Adjustments'!$A16,'Measure-Level Adjustments'!$CA$8:$CA$619)</f>
        <v>12628055.00565421</v>
      </c>
      <c r="AN16" s="1590">
        <f t="shared" si="22"/>
        <v>50512220.022616841</v>
      </c>
      <c r="AO16" s="1590">
        <f>SUMIF('Measure-Level Adjustments'!$A$8:$A$619,'Program-Level Adjustments'!$A16,'Measure-Level Adjustments'!$CG$8:$CG$619)</f>
        <v>12964785.555820396</v>
      </c>
      <c r="AP16" s="1590">
        <f>SUMIF('Measure-Level Adjustments'!$A$8:$A$619,'Program-Level Adjustments'!$A16,'Measure-Level Adjustments'!$CH$8:$CH$619)</f>
        <v>12964785.555820396</v>
      </c>
      <c r="AQ16" s="1590">
        <f>SUMIF('Measure-Level Adjustments'!$A$8:$A$619,'Program-Level Adjustments'!$A16,'Measure-Level Adjustments'!$CI$8:$CI$619)</f>
        <v>12964785.555820396</v>
      </c>
      <c r="AR16" s="1590">
        <f>SUMIF('Measure-Level Adjustments'!$A$8:$A$619,'Program-Level Adjustments'!$A16,'Measure-Level Adjustments'!$CJ$8:$CJ$619)</f>
        <v>12964785.555820396</v>
      </c>
      <c r="AS16" s="1590">
        <f t="shared" si="23"/>
        <v>51859142.223281585</v>
      </c>
    </row>
    <row r="17" spans="1:46" s="1331" customFormat="1" ht="24" customHeight="1" x14ac:dyDescent="0.35">
      <c r="A17" s="1326" t="s">
        <v>111</v>
      </c>
      <c r="B17" s="1571">
        <f>SUMIF('Measure-Level Adjustments'!$A$8:$A$619,$A17,'Measure-Level Adjustments'!$AI$8:$AI$619)</f>
        <v>37611.888857894373</v>
      </c>
      <c r="C17" s="1571">
        <f>SUMIF('Measure-Level Adjustments'!$A$8:$A$619,$A17,'Measure-Level Adjustments'!$AR$8:$AR$619)</f>
        <v>37705.626690652251</v>
      </c>
      <c r="D17" s="1569">
        <f t="shared" si="4"/>
        <v>93.737832757877186</v>
      </c>
      <c r="E17" s="1572" t="s">
        <v>102</v>
      </c>
      <c r="F17" s="1571">
        <f>SUMIF('Measure-Level Adjustments'!$A$8:$A$619,$A17,'Measure-Level Adjustments'!$AJ$8:$AJ$619)</f>
        <v>37611.888857894373</v>
      </c>
      <c r="G17" s="1571">
        <f t="shared" si="5"/>
        <v>37705.626690652251</v>
      </c>
      <c r="H17" s="1571">
        <f>SUMIF('Measure-Level Adjustments'!$A$8:$A$619,$A17,'Measure-Level Adjustments'!$AX$8:$AX$619)</f>
        <v>37705.626690652251</v>
      </c>
      <c r="I17" s="1571">
        <f t="shared" si="6"/>
        <v>93.737832757877186</v>
      </c>
      <c r="J17" s="1571">
        <f t="shared" si="7"/>
        <v>0</v>
      </c>
      <c r="K17" s="1569">
        <f t="shared" si="0"/>
        <v>93.737832757877186</v>
      </c>
      <c r="L17" s="1572"/>
      <c r="M17" s="1571">
        <f>SUMIF('Measure-Level Adjustments'!$A$8:$A$619,$A17,'Measure-Level Adjustments'!$AK$8:$AK$619)</f>
        <v>37611.888857894373</v>
      </c>
      <c r="N17" s="1571">
        <f t="shared" si="8"/>
        <v>37705.626690652251</v>
      </c>
      <c r="O17" s="1571">
        <f t="shared" si="9"/>
        <v>37705.626690652251</v>
      </c>
      <c r="P17" s="1571">
        <f>SUMIF('Measure-Level Adjustments'!$A$8:$A$619,$A17,'Measure-Level Adjustments'!$BD$8:$BD$619)</f>
        <v>37705.626690652251</v>
      </c>
      <c r="Q17" s="1571">
        <f t="shared" si="10"/>
        <v>93.737832757877186</v>
      </c>
      <c r="R17" s="1571">
        <f t="shared" si="11"/>
        <v>0</v>
      </c>
      <c r="S17" s="1571">
        <f t="shared" si="12"/>
        <v>0</v>
      </c>
      <c r="T17" s="1569">
        <f t="shared" si="13"/>
        <v>93.737832757877186</v>
      </c>
      <c r="U17" s="1572"/>
      <c r="V17" s="1571">
        <f>SUMIF('Measure-Level Adjustments'!$A$8:$A$619,$A17,'Measure-Level Adjustments'!$AK$8:$AK$619)</f>
        <v>37611.888857894373</v>
      </c>
      <c r="W17" s="1571">
        <f t="shared" si="14"/>
        <v>37705.626690652251</v>
      </c>
      <c r="X17" s="1571">
        <f t="shared" si="15"/>
        <v>37705.626690652251</v>
      </c>
      <c r="Y17" s="1571">
        <f t="shared" si="16"/>
        <v>37705.626690652251</v>
      </c>
      <c r="Z17" s="1571">
        <f>SUMIF('Measure-Level Adjustments'!$A$8:$A$619,$A17,'Measure-Level Adjustments'!$BJ$8:$BJ$619)</f>
        <v>37705.626690652251</v>
      </c>
      <c r="AA17" s="1571">
        <f t="shared" si="17"/>
        <v>93.737832757877186</v>
      </c>
      <c r="AB17" s="1571">
        <f t="shared" si="18"/>
        <v>0</v>
      </c>
      <c r="AC17" s="1571">
        <f t="shared" si="19"/>
        <v>0</v>
      </c>
      <c r="AD17" s="1571">
        <f t="shared" si="20"/>
        <v>0</v>
      </c>
      <c r="AE17" s="1569">
        <f t="shared" si="1"/>
        <v>93.737832757877186</v>
      </c>
      <c r="AF17" s="1572"/>
      <c r="AG17" s="1573">
        <f t="shared" si="2"/>
        <v>150447.55543157749</v>
      </c>
      <c r="AH17" s="1332">
        <f t="shared" si="3"/>
        <v>150822.506762609</v>
      </c>
      <c r="AI17" s="1569">
        <f t="shared" si="21"/>
        <v>374.95133103150874</v>
      </c>
      <c r="AJ17" s="1590">
        <f>SUMIF('Measure-Level Adjustments'!$A$8:$A$619,'Program-Level Adjustments'!$A17,'Measure-Level Adjustments'!$BX$8:$BX$619)</f>
        <v>593620.82459781319</v>
      </c>
      <c r="AK17" s="1590">
        <f>SUMIF('Measure-Level Adjustments'!$A$8:$A$619,'Program-Level Adjustments'!$A17,'Measure-Level Adjustments'!$BY$8:$BY$619)</f>
        <v>593620.82459781319</v>
      </c>
      <c r="AL17" s="1590">
        <f>SUMIF('Measure-Level Adjustments'!$A$8:$A$619,'Program-Level Adjustments'!$A17,'Measure-Level Adjustments'!$BZ$8:$BZ$619)</f>
        <v>593620.82459781319</v>
      </c>
      <c r="AM17" s="1590">
        <f>SUMIF('Measure-Level Adjustments'!$A$8:$A$619,'Program-Level Adjustments'!$A17,'Measure-Level Adjustments'!$CA$8:$CA$619)</f>
        <v>593620.82459781319</v>
      </c>
      <c r="AN17" s="1590">
        <f t="shared" si="22"/>
        <v>2374483.2983912528</v>
      </c>
      <c r="AO17" s="1590">
        <f>SUMIF('Measure-Level Adjustments'!$A$8:$A$619,'Program-Level Adjustments'!$A17,'Measure-Level Adjustments'!$CG$8:$CG$619)</f>
        <v>605941.80425098154</v>
      </c>
      <c r="AP17" s="1590">
        <f>SUMIF('Measure-Level Adjustments'!$A$8:$A$619,'Program-Level Adjustments'!$A17,'Measure-Level Adjustments'!$CH$8:$CH$619)</f>
        <v>605941.80425098154</v>
      </c>
      <c r="AQ17" s="1590">
        <f>SUMIF('Measure-Level Adjustments'!$A$8:$A$619,'Program-Level Adjustments'!$A17,'Measure-Level Adjustments'!$CI$8:$CI$619)</f>
        <v>605941.80425098154</v>
      </c>
      <c r="AR17" s="1590">
        <f>SUMIF('Measure-Level Adjustments'!$A$8:$A$619,'Program-Level Adjustments'!$A17,'Measure-Level Adjustments'!$CJ$8:$CJ$619)</f>
        <v>605941.80425098154</v>
      </c>
      <c r="AS17" s="1590">
        <f t="shared" si="23"/>
        <v>2423767.2170039262</v>
      </c>
    </row>
    <row r="18" spans="1:46" s="1331" customFormat="1" ht="24" customHeight="1" x14ac:dyDescent="0.35">
      <c r="A18" s="1326" t="s">
        <v>112</v>
      </c>
      <c r="B18" s="1571">
        <f>SUMIF('Measure-Level Adjustments'!$A$8:$A$619,$A18,'Measure-Level Adjustments'!$AI$8:$AI$619)</f>
        <v>50282.692481266058</v>
      </c>
      <c r="C18" s="1571">
        <f>SUMIF('Measure-Level Adjustments'!$A$8:$A$619,$A18,'Measure-Level Adjustments'!$AR$8:$AR$619)</f>
        <v>50282.692481266058</v>
      </c>
      <c r="D18" s="1569">
        <f t="shared" si="4"/>
        <v>0</v>
      </c>
      <c r="E18" s="1574"/>
      <c r="F18" s="1571">
        <f>SUMIF('Measure-Level Adjustments'!$A$8:$A$619,$A18,'Measure-Level Adjustments'!$AJ$8:$AJ$619)</f>
        <v>50282.692481266058</v>
      </c>
      <c r="G18" s="1571">
        <f t="shared" si="5"/>
        <v>50282.692481266058</v>
      </c>
      <c r="H18" s="1571">
        <f>SUMIF('Measure-Level Adjustments'!$A$8:$A$619,$A18,'Measure-Level Adjustments'!$AX$8:$AX$619)</f>
        <v>50282.692481266058</v>
      </c>
      <c r="I18" s="1571">
        <f t="shared" si="6"/>
        <v>0</v>
      </c>
      <c r="J18" s="1571">
        <f t="shared" si="7"/>
        <v>0</v>
      </c>
      <c r="K18" s="1569">
        <f t="shared" si="0"/>
        <v>0</v>
      </c>
      <c r="L18" s="1574"/>
      <c r="M18" s="1571">
        <f>SUMIF('Measure-Level Adjustments'!$A$8:$A$619,$A18,'Measure-Level Adjustments'!$AK$8:$AK$619)</f>
        <v>50282.692481266058</v>
      </c>
      <c r="N18" s="1571">
        <f t="shared" si="8"/>
        <v>50282.692481266058</v>
      </c>
      <c r="O18" s="1571">
        <f t="shared" si="9"/>
        <v>50282.692481266058</v>
      </c>
      <c r="P18" s="1571">
        <f>SUMIF('Measure-Level Adjustments'!$A$8:$A$619,$A18,'Measure-Level Adjustments'!$BD$8:$BD$619)</f>
        <v>50282.692481266058</v>
      </c>
      <c r="Q18" s="1571">
        <f t="shared" si="10"/>
        <v>0</v>
      </c>
      <c r="R18" s="1571">
        <f t="shared" si="11"/>
        <v>0</v>
      </c>
      <c r="S18" s="1571">
        <f t="shared" si="12"/>
        <v>0</v>
      </c>
      <c r="T18" s="1569">
        <f t="shared" si="13"/>
        <v>0</v>
      </c>
      <c r="U18" s="1574"/>
      <c r="V18" s="1571">
        <f>SUMIF('Measure-Level Adjustments'!$A$8:$A$619,$A18,'Measure-Level Adjustments'!$AK$8:$AK$619)</f>
        <v>50282.692481266058</v>
      </c>
      <c r="W18" s="1571">
        <f t="shared" si="14"/>
        <v>50282.692481266058</v>
      </c>
      <c r="X18" s="1571">
        <f t="shared" si="15"/>
        <v>50282.692481266058</v>
      </c>
      <c r="Y18" s="1571">
        <f t="shared" si="16"/>
        <v>50282.692481266058</v>
      </c>
      <c r="Z18" s="1571">
        <f>SUMIF('Measure-Level Adjustments'!$A$8:$A$619,$A18,'Measure-Level Adjustments'!$BJ$8:$BJ$619)</f>
        <v>50282.692481266058</v>
      </c>
      <c r="AA18" s="1571">
        <f t="shared" si="17"/>
        <v>0</v>
      </c>
      <c r="AB18" s="1571">
        <f t="shared" si="18"/>
        <v>0</v>
      </c>
      <c r="AC18" s="1571">
        <f t="shared" si="19"/>
        <v>0</v>
      </c>
      <c r="AD18" s="1571">
        <f t="shared" si="20"/>
        <v>0</v>
      </c>
      <c r="AE18" s="1569">
        <f t="shared" si="1"/>
        <v>0</v>
      </c>
      <c r="AF18" s="1574"/>
      <c r="AG18" s="1573">
        <f t="shared" si="2"/>
        <v>201130.76992506423</v>
      </c>
      <c r="AH18" s="1332">
        <f t="shared" si="3"/>
        <v>201130.76992506423</v>
      </c>
      <c r="AI18" s="1569">
        <f t="shared" si="21"/>
        <v>0</v>
      </c>
      <c r="AJ18" s="1590">
        <f>SUMIF('Measure-Level Adjustments'!$A$8:$A$619,'Program-Level Adjustments'!$A18,'Measure-Level Adjustments'!$BX$8:$BX$619)</f>
        <v>1035823.4651140808</v>
      </c>
      <c r="AK18" s="1590">
        <f>SUMIF('Measure-Level Adjustments'!$A$8:$A$619,'Program-Level Adjustments'!$A18,'Measure-Level Adjustments'!$BY$8:$BY$619)</f>
        <v>1035823.4651140808</v>
      </c>
      <c r="AL18" s="1590">
        <f>SUMIF('Measure-Level Adjustments'!$A$8:$A$619,'Program-Level Adjustments'!$A18,'Measure-Level Adjustments'!$BZ$8:$BZ$619)</f>
        <v>1035823.4651140808</v>
      </c>
      <c r="AM18" s="1590">
        <f>SUMIF('Measure-Level Adjustments'!$A$8:$A$619,'Program-Level Adjustments'!$A18,'Measure-Level Adjustments'!$CA$8:$CA$619)</f>
        <v>1035823.4651140808</v>
      </c>
      <c r="AN18" s="1590">
        <f t="shared" si="22"/>
        <v>4143293.8604563233</v>
      </c>
      <c r="AO18" s="1590">
        <f>SUMIF('Measure-Level Adjustments'!$A$8:$A$619,'Program-Level Adjustments'!$A18,'Measure-Level Adjustments'!$CG$8:$CG$619)</f>
        <v>1035823.4651140808</v>
      </c>
      <c r="AP18" s="1590">
        <f>SUMIF('Measure-Level Adjustments'!$A$8:$A$619,'Program-Level Adjustments'!$A18,'Measure-Level Adjustments'!$CH$8:$CH$619)</f>
        <v>1035823.4651140808</v>
      </c>
      <c r="AQ18" s="1590">
        <f>SUMIF('Measure-Level Adjustments'!$A$8:$A$619,'Program-Level Adjustments'!$A18,'Measure-Level Adjustments'!$CI$8:$CI$619)</f>
        <v>1035823.4651140808</v>
      </c>
      <c r="AR18" s="1590">
        <f>SUMIF('Measure-Level Adjustments'!$A$8:$A$619,'Program-Level Adjustments'!$A18,'Measure-Level Adjustments'!$CJ$8:$CJ$619)</f>
        <v>1035823.4651140808</v>
      </c>
      <c r="AS18" s="1590">
        <f t="shared" si="23"/>
        <v>4143293.8604563233</v>
      </c>
    </row>
    <row r="19" spans="1:46" s="1331" customFormat="1" ht="24" customHeight="1" x14ac:dyDescent="0.35">
      <c r="A19" s="1326" t="s">
        <v>113</v>
      </c>
      <c r="B19" s="1571">
        <f>SUMIF('Measure-Level Adjustments'!$A$8:$A$619,$A19,'Measure-Level Adjustments'!$AI$8:$AI$619)</f>
        <v>530145.4804635077</v>
      </c>
      <c r="C19" s="1571">
        <f>SUMIF('Measure-Level Adjustments'!$A$8:$A$619,$A19,'Measure-Level Adjustments'!$AR$8:$AR$619)</f>
        <v>476189.80702270643</v>
      </c>
      <c r="D19" s="1569">
        <f t="shared" si="4"/>
        <v>-53955.673440801271</v>
      </c>
      <c r="E19" s="1574" t="s">
        <v>107</v>
      </c>
      <c r="F19" s="1571">
        <f>SUMIF('Measure-Level Adjustments'!$A$8:$A$619,$A19,'Measure-Level Adjustments'!$AJ$8:$AJ$619)</f>
        <v>530145.4804635077</v>
      </c>
      <c r="G19" s="1571">
        <f t="shared" si="5"/>
        <v>476189.80702270643</v>
      </c>
      <c r="H19" s="1571">
        <f>SUMIF('Measure-Level Adjustments'!$A$8:$A$619,$A19,'Measure-Level Adjustments'!$AX$8:$AX$619)</f>
        <v>476189.80702270643</v>
      </c>
      <c r="I19" s="1571">
        <f t="shared" si="6"/>
        <v>-53955.673440801271</v>
      </c>
      <c r="J19" s="1571">
        <f t="shared" si="7"/>
        <v>0</v>
      </c>
      <c r="K19" s="1569">
        <f t="shared" si="0"/>
        <v>-53955.673440801271</v>
      </c>
      <c r="L19" s="1574"/>
      <c r="M19" s="1571">
        <f>SUMIF('Measure-Level Adjustments'!$A$8:$A$619,$A19,'Measure-Level Adjustments'!$AK$8:$AK$619)</f>
        <v>530145.4804635077</v>
      </c>
      <c r="N19" s="1571">
        <f t="shared" si="8"/>
        <v>476189.80702270643</v>
      </c>
      <c r="O19" s="1571">
        <f t="shared" si="9"/>
        <v>476189.80702270643</v>
      </c>
      <c r="P19" s="1571">
        <f>SUMIF('Measure-Level Adjustments'!$A$8:$A$619,$A19,'Measure-Level Adjustments'!$BD$8:$BD$619)</f>
        <v>476189.80702270643</v>
      </c>
      <c r="Q19" s="1571">
        <f t="shared" si="10"/>
        <v>-53955.673440801271</v>
      </c>
      <c r="R19" s="1571">
        <f t="shared" si="11"/>
        <v>0</v>
      </c>
      <c r="S19" s="1571">
        <f t="shared" si="12"/>
        <v>0</v>
      </c>
      <c r="T19" s="1569">
        <f t="shared" si="13"/>
        <v>-53955.673440801271</v>
      </c>
      <c r="U19" s="1574"/>
      <c r="V19" s="1571">
        <f>SUMIF('Measure-Level Adjustments'!$A$8:$A$619,$A19,'Measure-Level Adjustments'!$AK$8:$AK$619)</f>
        <v>530145.4804635077</v>
      </c>
      <c r="W19" s="1571">
        <f t="shared" si="14"/>
        <v>476189.80702270643</v>
      </c>
      <c r="X19" s="1571">
        <f t="shared" si="15"/>
        <v>476189.80702270643</v>
      </c>
      <c r="Y19" s="1571">
        <f t="shared" si="16"/>
        <v>476189.80702270643</v>
      </c>
      <c r="Z19" s="1571">
        <f>SUMIF('Measure-Level Adjustments'!$A$8:$A$619,$A19,'Measure-Level Adjustments'!$BJ$8:$BJ$619)</f>
        <v>476189.80702270643</v>
      </c>
      <c r="AA19" s="1571">
        <f t="shared" si="17"/>
        <v>-53955.673440801271</v>
      </c>
      <c r="AB19" s="1571">
        <f t="shared" si="18"/>
        <v>0</v>
      </c>
      <c r="AC19" s="1571">
        <f t="shared" si="19"/>
        <v>0</v>
      </c>
      <c r="AD19" s="1571">
        <f t="shared" si="20"/>
        <v>0</v>
      </c>
      <c r="AE19" s="1569">
        <f t="shared" si="1"/>
        <v>-53955.673440801271</v>
      </c>
      <c r="AF19" s="1574"/>
      <c r="AG19" s="1573">
        <f t="shared" si="2"/>
        <v>2120581.9218540308</v>
      </c>
      <c r="AH19" s="1332">
        <f t="shared" si="3"/>
        <v>1904759.2280908257</v>
      </c>
      <c r="AI19" s="1569">
        <f t="shared" si="21"/>
        <v>-215822.69376320508</v>
      </c>
      <c r="AJ19" s="1590">
        <f>SUMIF('Measure-Level Adjustments'!$A$8:$A$619,'Program-Level Adjustments'!$A19,'Measure-Level Adjustments'!$BX$8:$BX$619)</f>
        <v>6800876.5554599846</v>
      </c>
      <c r="AK19" s="1590">
        <f>SUMIF('Measure-Level Adjustments'!$A$8:$A$619,'Program-Level Adjustments'!$A19,'Measure-Level Adjustments'!$BY$8:$BY$619)</f>
        <v>6800876.5554599846</v>
      </c>
      <c r="AL19" s="1590">
        <f>SUMIF('Measure-Level Adjustments'!$A$8:$A$619,'Program-Level Adjustments'!$A19,'Measure-Level Adjustments'!$BZ$8:$BZ$619)</f>
        <v>6800876.5554599846</v>
      </c>
      <c r="AM19" s="1590">
        <f>SUMIF('Measure-Level Adjustments'!$A$8:$A$619,'Program-Level Adjustments'!$A19,'Measure-Level Adjustments'!$CA$8:$CA$619)</f>
        <v>6800876.5554599846</v>
      </c>
      <c r="AN19" s="1590">
        <f t="shared" si="22"/>
        <v>27203506.221839938</v>
      </c>
      <c r="AO19" s="1590">
        <f>SUMIF('Measure-Level Adjustments'!$A$8:$A$619,'Program-Level Adjustments'!$A19,'Measure-Level Adjustments'!$CG$8:$CG$619)</f>
        <v>5661658.7589607006</v>
      </c>
      <c r="AP19" s="1590">
        <f>SUMIF('Measure-Level Adjustments'!$A$8:$A$619,'Program-Level Adjustments'!$A19,'Measure-Level Adjustments'!$CH$8:$CH$619)</f>
        <v>5661658.7589607006</v>
      </c>
      <c r="AQ19" s="1590">
        <f>SUMIF('Measure-Level Adjustments'!$A$8:$A$619,'Program-Level Adjustments'!$A19,'Measure-Level Adjustments'!$CI$8:$CI$619)</f>
        <v>5661658.7589607006</v>
      </c>
      <c r="AR19" s="1590">
        <f>SUMIF('Measure-Level Adjustments'!$A$8:$A$619,'Program-Level Adjustments'!$A19,'Measure-Level Adjustments'!$CJ$8:$CJ$619)</f>
        <v>5661658.7589607006</v>
      </c>
      <c r="AS19" s="1590">
        <f t="shared" si="23"/>
        <v>22646635.035842802</v>
      </c>
    </row>
    <row r="20" spans="1:46" s="1331" customFormat="1" ht="24" customHeight="1" x14ac:dyDescent="0.35">
      <c r="A20" s="1326" t="s">
        <v>114</v>
      </c>
      <c r="B20" s="1571">
        <f>SUMIF('Measure-Level Adjustments'!$A$8:$A$619,$A20,'Measure-Level Adjustments'!$AI$8:$AI$619)</f>
        <v>398310.01185346988</v>
      </c>
      <c r="C20" s="1571">
        <f>SUMIF('Measure-Level Adjustments'!$A$8:$A$619,$A20,'Measure-Level Adjustments'!$AR$8:$AR$619)</f>
        <v>403677.19324166491</v>
      </c>
      <c r="D20" s="1569">
        <f t="shared" si="4"/>
        <v>5367.181388195022</v>
      </c>
      <c r="E20" s="1572" t="s">
        <v>102</v>
      </c>
      <c r="F20" s="1571">
        <f>SUMIF('Measure-Level Adjustments'!$A$8:$A$619,$A20,'Measure-Level Adjustments'!$AJ$8:$AJ$619)</f>
        <v>398310.01185346988</v>
      </c>
      <c r="G20" s="1571">
        <f t="shared" si="5"/>
        <v>403677.19324166491</v>
      </c>
      <c r="H20" s="1571">
        <f>SUMIF('Measure-Level Adjustments'!$A$8:$A$619,$A20,'Measure-Level Adjustments'!$AX$8:$AX$619)</f>
        <v>403677.19324166491</v>
      </c>
      <c r="I20" s="1571">
        <f t="shared" si="6"/>
        <v>5367.181388195022</v>
      </c>
      <c r="J20" s="1571">
        <f t="shared" si="7"/>
        <v>0</v>
      </c>
      <c r="K20" s="1569">
        <f t="shared" si="0"/>
        <v>5367.181388195022</v>
      </c>
      <c r="L20" s="1572"/>
      <c r="M20" s="1571">
        <f>SUMIF('Measure-Level Adjustments'!$A$8:$A$619,$A20,'Measure-Level Adjustments'!$AK$8:$AK$619)</f>
        <v>398310.01185346988</v>
      </c>
      <c r="N20" s="1571">
        <f t="shared" si="8"/>
        <v>403677.19324166491</v>
      </c>
      <c r="O20" s="1571">
        <f t="shared" si="9"/>
        <v>403677.19324166491</v>
      </c>
      <c r="P20" s="1571">
        <f>SUMIF('Measure-Level Adjustments'!$A$8:$A$619,$A20,'Measure-Level Adjustments'!$BD$8:$BD$619)</f>
        <v>403677.19324166491</v>
      </c>
      <c r="Q20" s="1571">
        <f t="shared" si="10"/>
        <v>5367.181388195022</v>
      </c>
      <c r="R20" s="1571">
        <f t="shared" si="11"/>
        <v>0</v>
      </c>
      <c r="S20" s="1571">
        <f t="shared" si="12"/>
        <v>0</v>
      </c>
      <c r="T20" s="1569">
        <f t="shared" si="13"/>
        <v>5367.181388195022</v>
      </c>
      <c r="U20" s="1572"/>
      <c r="V20" s="1571">
        <f>SUMIF('Measure-Level Adjustments'!$A$8:$A$619,$A20,'Measure-Level Adjustments'!$AK$8:$AK$619)</f>
        <v>398310.01185346988</v>
      </c>
      <c r="W20" s="1571">
        <f t="shared" si="14"/>
        <v>403677.19324166491</v>
      </c>
      <c r="X20" s="1571">
        <f t="shared" si="15"/>
        <v>403677.19324166491</v>
      </c>
      <c r="Y20" s="1571">
        <f t="shared" si="16"/>
        <v>403677.19324166491</v>
      </c>
      <c r="Z20" s="1571">
        <f>SUMIF('Measure-Level Adjustments'!$A$8:$A$619,$A20,'Measure-Level Adjustments'!$BJ$8:$BJ$619)</f>
        <v>403677.19324166491</v>
      </c>
      <c r="AA20" s="1571">
        <f t="shared" si="17"/>
        <v>5367.181388195022</v>
      </c>
      <c r="AB20" s="1571">
        <f t="shared" si="18"/>
        <v>0</v>
      </c>
      <c r="AC20" s="1571">
        <f t="shared" si="19"/>
        <v>0</v>
      </c>
      <c r="AD20" s="1571">
        <f t="shared" si="20"/>
        <v>0</v>
      </c>
      <c r="AE20" s="1569">
        <f t="shared" si="1"/>
        <v>5367.181388195022</v>
      </c>
      <c r="AF20" s="1572"/>
      <c r="AG20" s="1573">
        <f t="shared" si="2"/>
        <v>1593240.0474138795</v>
      </c>
      <c r="AH20" s="1332">
        <f t="shared" si="3"/>
        <v>1614708.7729666596</v>
      </c>
      <c r="AI20" s="1569">
        <f t="shared" si="21"/>
        <v>21468.725552780088</v>
      </c>
      <c r="AJ20" s="1590">
        <f>SUMIF('Measure-Level Adjustments'!$A$8:$A$619,'Program-Level Adjustments'!$A20,'Measure-Level Adjustments'!$BX$8:$BX$619)</f>
        <v>5343054.5449849833</v>
      </c>
      <c r="AK20" s="1590">
        <f>SUMIF('Measure-Level Adjustments'!$A$8:$A$619,'Program-Level Adjustments'!$A20,'Measure-Level Adjustments'!$BY$8:$BY$619)</f>
        <v>5343054.5449849833</v>
      </c>
      <c r="AL20" s="1590">
        <f>SUMIF('Measure-Level Adjustments'!$A$8:$A$619,'Program-Level Adjustments'!$A20,'Measure-Level Adjustments'!$BZ$8:$BZ$619)</f>
        <v>5343054.5449849833</v>
      </c>
      <c r="AM20" s="1590">
        <f>SUMIF('Measure-Level Adjustments'!$A$8:$A$619,'Program-Level Adjustments'!$A20,'Measure-Level Adjustments'!$CA$8:$CA$619)</f>
        <v>5343054.5449849833</v>
      </c>
      <c r="AN20" s="1590">
        <f t="shared" si="22"/>
        <v>21372218.179939933</v>
      </c>
      <c r="AO20" s="1590">
        <f>SUMIF('Measure-Level Adjustments'!$A$8:$A$619,'Program-Level Adjustments'!$A20,'Measure-Level Adjustments'!$CG$8:$CG$619)</f>
        <v>5427688.2709357161</v>
      </c>
      <c r="AP20" s="1590">
        <f>SUMIF('Measure-Level Adjustments'!$A$8:$A$619,'Program-Level Adjustments'!$A20,'Measure-Level Adjustments'!$CH$8:$CH$619)</f>
        <v>5427688.2709357161</v>
      </c>
      <c r="AQ20" s="1590">
        <f>SUMIF('Measure-Level Adjustments'!$A$8:$A$619,'Program-Level Adjustments'!$A20,'Measure-Level Adjustments'!$CI$8:$CI$619)</f>
        <v>5427688.2709357161</v>
      </c>
      <c r="AR20" s="1590">
        <f>SUMIF('Measure-Level Adjustments'!$A$8:$A$619,'Program-Level Adjustments'!$A20,'Measure-Level Adjustments'!$CJ$8:$CJ$619)</f>
        <v>5427688.2709357161</v>
      </c>
      <c r="AS20" s="1590">
        <f t="shared" si="23"/>
        <v>21710753.083742864</v>
      </c>
    </row>
    <row r="21" spans="1:46" s="1331" customFormat="1" ht="24" customHeight="1" x14ac:dyDescent="0.35">
      <c r="A21" s="1326" t="s">
        <v>115</v>
      </c>
      <c r="B21" s="1571">
        <f>SUMIF('Measure-Level Adjustments'!$A$8:$A$619,$A21,'Measure-Level Adjustments'!$AI$8:$AI$619)</f>
        <v>214984.4018178918</v>
      </c>
      <c r="C21" s="1571">
        <f>SUMIF('Measure-Level Adjustments'!$A$8:$A$619,$A21,'Measure-Level Adjustments'!$AR$8:$AR$619)</f>
        <v>214984.4018178918</v>
      </c>
      <c r="D21" s="1569">
        <f t="shared" si="4"/>
        <v>0</v>
      </c>
      <c r="E21" s="1572"/>
      <c r="F21" s="1571">
        <f>SUMIF('Measure-Level Adjustments'!$A$8:$A$619,$A21,'Measure-Level Adjustments'!$AJ$8:$AJ$619)</f>
        <v>214984.4018178918</v>
      </c>
      <c r="G21" s="1571">
        <f t="shared" si="5"/>
        <v>214984.4018178918</v>
      </c>
      <c r="H21" s="1571">
        <f>SUMIF('Measure-Level Adjustments'!$A$8:$A$619,$A21,'Measure-Level Adjustments'!$AX$8:$AX$619)</f>
        <v>214984.4018178918</v>
      </c>
      <c r="I21" s="1571">
        <f t="shared" si="6"/>
        <v>0</v>
      </c>
      <c r="J21" s="1571">
        <f t="shared" si="7"/>
        <v>0</v>
      </c>
      <c r="K21" s="1569">
        <f t="shared" si="0"/>
        <v>0</v>
      </c>
      <c r="L21" s="1572"/>
      <c r="M21" s="1571">
        <f>SUMIF('Measure-Level Adjustments'!$A$8:$A$619,$A21,'Measure-Level Adjustments'!$AK$8:$AK$619)</f>
        <v>214984.4018178918</v>
      </c>
      <c r="N21" s="1571">
        <f t="shared" si="8"/>
        <v>214984.4018178918</v>
      </c>
      <c r="O21" s="1571">
        <f t="shared" si="9"/>
        <v>214984.4018178918</v>
      </c>
      <c r="P21" s="1571">
        <f>SUMIF('Measure-Level Adjustments'!$A$8:$A$619,$A21,'Measure-Level Adjustments'!$BD$8:$BD$619)</f>
        <v>214984.4018178918</v>
      </c>
      <c r="Q21" s="1571">
        <f t="shared" si="10"/>
        <v>0</v>
      </c>
      <c r="R21" s="1571">
        <f t="shared" si="11"/>
        <v>0</v>
      </c>
      <c r="S21" s="1571">
        <f t="shared" si="12"/>
        <v>0</v>
      </c>
      <c r="T21" s="1569">
        <f t="shared" si="13"/>
        <v>0</v>
      </c>
      <c r="U21" s="1572"/>
      <c r="V21" s="1571">
        <f>SUMIF('Measure-Level Adjustments'!$A$8:$A$619,$A21,'Measure-Level Adjustments'!$AK$8:$AK$619)</f>
        <v>214984.4018178918</v>
      </c>
      <c r="W21" s="1571">
        <f t="shared" si="14"/>
        <v>214984.4018178918</v>
      </c>
      <c r="X21" s="1571">
        <f t="shared" si="15"/>
        <v>214984.4018178918</v>
      </c>
      <c r="Y21" s="1571">
        <f t="shared" si="16"/>
        <v>214984.4018178918</v>
      </c>
      <c r="Z21" s="1571">
        <f>SUMIF('Measure-Level Adjustments'!$A$8:$A$619,$A21,'Measure-Level Adjustments'!$BJ$8:$BJ$619)</f>
        <v>214984.4018178918</v>
      </c>
      <c r="AA21" s="1571">
        <f t="shared" si="17"/>
        <v>0</v>
      </c>
      <c r="AB21" s="1571">
        <f t="shared" si="18"/>
        <v>0</v>
      </c>
      <c r="AC21" s="1571">
        <f t="shared" si="19"/>
        <v>0</v>
      </c>
      <c r="AD21" s="1571">
        <f t="shared" si="20"/>
        <v>0</v>
      </c>
      <c r="AE21" s="1569">
        <f t="shared" si="1"/>
        <v>0</v>
      </c>
      <c r="AF21" s="1572"/>
      <c r="AG21" s="1573">
        <f t="shared" si="2"/>
        <v>859937.60727156722</v>
      </c>
      <c r="AH21" s="1332">
        <f t="shared" si="3"/>
        <v>859937.60727156722</v>
      </c>
      <c r="AI21" s="1569">
        <f t="shared" si="21"/>
        <v>0</v>
      </c>
      <c r="AJ21" s="1590">
        <f>SUMIF('Measure-Level Adjustments'!$A$8:$A$619,'Program-Level Adjustments'!$A21,'Measure-Level Adjustments'!$BX$8:$BX$619)</f>
        <v>4061966.7176380646</v>
      </c>
      <c r="AK21" s="1590">
        <f>SUMIF('Measure-Level Adjustments'!$A$8:$A$619,'Program-Level Adjustments'!$A21,'Measure-Level Adjustments'!$BY$8:$BY$619)</f>
        <v>4061966.7176380646</v>
      </c>
      <c r="AL21" s="1590">
        <f>SUMIF('Measure-Level Adjustments'!$A$8:$A$619,'Program-Level Adjustments'!$A21,'Measure-Level Adjustments'!$BZ$8:$BZ$619)</f>
        <v>4061966.7176380646</v>
      </c>
      <c r="AM21" s="1590">
        <f>SUMIF('Measure-Level Adjustments'!$A$8:$A$619,'Program-Level Adjustments'!$A21,'Measure-Level Adjustments'!$CA$8:$CA$619)</f>
        <v>4061966.7176380646</v>
      </c>
      <c r="AN21" s="1590">
        <f t="shared" si="22"/>
        <v>16247866.870552259</v>
      </c>
      <c r="AO21" s="1590">
        <f>SUMIF('Measure-Level Adjustments'!$A$8:$A$619,'Program-Level Adjustments'!$A21,'Measure-Level Adjustments'!$CG$8:$CG$619)</f>
        <v>4061966.7176380646</v>
      </c>
      <c r="AP21" s="1590">
        <f>SUMIF('Measure-Level Adjustments'!$A$8:$A$619,'Program-Level Adjustments'!$A21,'Measure-Level Adjustments'!$CH$8:$CH$619)</f>
        <v>4061966.7176380646</v>
      </c>
      <c r="AQ21" s="1590">
        <f>SUMIF('Measure-Level Adjustments'!$A$8:$A$619,'Program-Level Adjustments'!$A21,'Measure-Level Adjustments'!$CI$8:$CI$619)</f>
        <v>4061966.7176380646</v>
      </c>
      <c r="AR21" s="1590">
        <f>SUMIF('Measure-Level Adjustments'!$A$8:$A$619,'Program-Level Adjustments'!$A21,'Measure-Level Adjustments'!$CJ$8:$CJ$619)</f>
        <v>4061966.7176380646</v>
      </c>
      <c r="AS21" s="1590">
        <f t="shared" si="23"/>
        <v>16247866.870552259</v>
      </c>
    </row>
    <row r="22" spans="1:46" s="1331" customFormat="1" ht="24" customHeight="1" x14ac:dyDescent="0.35">
      <c r="A22" s="1326" t="s">
        <v>116</v>
      </c>
      <c r="B22" s="1571">
        <f>SUMIF('Measure-Level Adjustments'!$A$8:$A$619,$A22,'Measure-Level Adjustments'!$AI$8:$AI$619)</f>
        <v>1104065.436538259</v>
      </c>
      <c r="C22" s="1571">
        <f>SUMIF('Measure-Level Adjustments'!$A$8:$A$619,$A22,'Measure-Level Adjustments'!$AR$8:$AR$619)</f>
        <v>1267020.934896799</v>
      </c>
      <c r="D22" s="1569">
        <f t="shared" si="4"/>
        <v>162955.49835854</v>
      </c>
      <c r="E22" s="1574" t="s">
        <v>107</v>
      </c>
      <c r="F22" s="1571">
        <f>SUMIF('Measure-Level Adjustments'!$A$8:$A$619,$A22,'Measure-Level Adjustments'!$AJ$8:$AJ$619)</f>
        <v>1104065.436538259</v>
      </c>
      <c r="G22" s="1571">
        <f t="shared" si="5"/>
        <v>1267020.934896799</v>
      </c>
      <c r="H22" s="1571">
        <f>SUMIF('Measure-Level Adjustments'!$A$8:$A$619,$A22,'Measure-Level Adjustments'!$AX$8:$AX$619)</f>
        <v>1267020.934896799</v>
      </c>
      <c r="I22" s="1571">
        <f t="shared" si="6"/>
        <v>162955.49835854</v>
      </c>
      <c r="J22" s="1571">
        <f t="shared" si="7"/>
        <v>0</v>
      </c>
      <c r="K22" s="1569">
        <f t="shared" si="0"/>
        <v>162955.49835854</v>
      </c>
      <c r="L22" s="1572"/>
      <c r="M22" s="1571">
        <f>SUMIF('Measure-Level Adjustments'!$A$8:$A$619,$A22,'Measure-Level Adjustments'!$AK$8:$AK$619)</f>
        <v>1104065.436538259</v>
      </c>
      <c r="N22" s="1571">
        <f t="shared" si="8"/>
        <v>1267020.934896799</v>
      </c>
      <c r="O22" s="1571">
        <f t="shared" si="9"/>
        <v>1267020.934896799</v>
      </c>
      <c r="P22" s="1571">
        <f>SUMIF('Measure-Level Adjustments'!$A$8:$A$619,$A22,'Measure-Level Adjustments'!$BD$8:$BD$619)</f>
        <v>1267020.934896799</v>
      </c>
      <c r="Q22" s="1571">
        <f t="shared" si="10"/>
        <v>162955.49835854</v>
      </c>
      <c r="R22" s="1571">
        <f t="shared" si="11"/>
        <v>0</v>
      </c>
      <c r="S22" s="1571">
        <f t="shared" si="12"/>
        <v>0</v>
      </c>
      <c r="T22" s="1569">
        <f t="shared" si="13"/>
        <v>162955.49835854</v>
      </c>
      <c r="U22" s="1572"/>
      <c r="V22" s="1571">
        <f>SUMIF('Measure-Level Adjustments'!$A$8:$A$619,$A22,'Measure-Level Adjustments'!$AK$8:$AK$619)</f>
        <v>1104065.436538259</v>
      </c>
      <c r="W22" s="1571">
        <f t="shared" si="14"/>
        <v>1267020.934896799</v>
      </c>
      <c r="X22" s="1571">
        <f t="shared" si="15"/>
        <v>1267020.934896799</v>
      </c>
      <c r="Y22" s="1571">
        <f t="shared" si="16"/>
        <v>1267020.934896799</v>
      </c>
      <c r="Z22" s="1571">
        <f>SUMIF('Measure-Level Adjustments'!$A$8:$A$619,$A22,'Measure-Level Adjustments'!$BJ$8:$BJ$619)</f>
        <v>1267020.934896799</v>
      </c>
      <c r="AA22" s="1571">
        <f t="shared" si="17"/>
        <v>162955.49835854</v>
      </c>
      <c r="AB22" s="1571">
        <f t="shared" si="18"/>
        <v>0</v>
      </c>
      <c r="AC22" s="1571">
        <f t="shared" si="19"/>
        <v>0</v>
      </c>
      <c r="AD22" s="1571">
        <f t="shared" si="20"/>
        <v>0</v>
      </c>
      <c r="AE22" s="1569">
        <f t="shared" si="1"/>
        <v>162955.49835854</v>
      </c>
      <c r="AF22" s="1572"/>
      <c r="AG22" s="1573">
        <f t="shared" si="2"/>
        <v>4416261.7461530361</v>
      </c>
      <c r="AH22" s="1332">
        <f t="shared" si="3"/>
        <v>5068083.7395871961</v>
      </c>
      <c r="AI22" s="1569">
        <f t="shared" si="21"/>
        <v>651821.99343416002</v>
      </c>
      <c r="AJ22" s="1590">
        <f>SUMIF('Measure-Level Adjustments'!$A$8:$A$619,'Program-Level Adjustments'!$A22,'Measure-Level Adjustments'!$BX$8:$BX$619)</f>
        <v>8225257.298625052</v>
      </c>
      <c r="AK22" s="1590">
        <f>SUMIF('Measure-Level Adjustments'!$A$8:$A$619,'Program-Level Adjustments'!$A22,'Measure-Level Adjustments'!$BY$8:$BY$619)</f>
        <v>8225257.298625052</v>
      </c>
      <c r="AL22" s="1590">
        <f>SUMIF('Measure-Level Adjustments'!$A$8:$A$619,'Program-Level Adjustments'!$A22,'Measure-Level Adjustments'!$BZ$8:$BZ$619)</f>
        <v>8225257.298625052</v>
      </c>
      <c r="AM22" s="1590">
        <f>SUMIF('Measure-Level Adjustments'!$A$8:$A$619,'Program-Level Adjustments'!$A22,'Measure-Level Adjustments'!$CA$8:$CA$619)</f>
        <v>8225257.298625052</v>
      </c>
      <c r="AN22" s="1590">
        <f t="shared" si="22"/>
        <v>32901029.194500208</v>
      </c>
      <c r="AO22" s="1590">
        <f>SUMIF('Measure-Level Adjustments'!$A$8:$A$619,'Program-Level Adjustments'!$A22,'Measure-Level Adjustments'!$CG$8:$CG$619)</f>
        <v>9381403.2075298745</v>
      </c>
      <c r="AP22" s="1590">
        <f>SUMIF('Measure-Level Adjustments'!$A$8:$A$619,'Program-Level Adjustments'!$A22,'Measure-Level Adjustments'!$CH$8:$CH$619)</f>
        <v>9381403.2075298745</v>
      </c>
      <c r="AQ22" s="1590">
        <f>SUMIF('Measure-Level Adjustments'!$A$8:$A$619,'Program-Level Adjustments'!$A22,'Measure-Level Adjustments'!$CI$8:$CI$619)</f>
        <v>9381403.2075298745</v>
      </c>
      <c r="AR22" s="1590">
        <f>SUMIF('Measure-Level Adjustments'!$A$8:$A$619,'Program-Level Adjustments'!$A22,'Measure-Level Adjustments'!$CJ$8:$CJ$619)</f>
        <v>9381403.2075298745</v>
      </c>
      <c r="AS22" s="1590">
        <f t="shared" si="23"/>
        <v>37525612.830119498</v>
      </c>
    </row>
    <row r="23" spans="1:46" s="1331" customFormat="1" ht="24" customHeight="1" x14ac:dyDescent="0.35">
      <c r="A23" s="1326" t="s">
        <v>117</v>
      </c>
      <c r="B23" s="1571">
        <f>SUMIF('Measure-Level Adjustments'!$A$8:$A$619,$A23,'Measure-Level Adjustments'!$AI$8:$AI$619)</f>
        <v>789469.95617879997</v>
      </c>
      <c r="C23" s="1571">
        <f>SUMIF('Measure-Level Adjustments'!$A$8:$A$619,$A23,'Measure-Level Adjustments'!$AR$8:$AR$619)</f>
        <v>765785.85749343596</v>
      </c>
      <c r="D23" s="1569">
        <f t="shared" si="4"/>
        <v>-23684.098685364006</v>
      </c>
      <c r="E23" s="1574" t="s">
        <v>104</v>
      </c>
      <c r="F23" s="1571">
        <f>SUMIF('Measure-Level Adjustments'!$A$8:$A$619,$A23,'Measure-Level Adjustments'!$AJ$8:$AJ$619)</f>
        <v>789469.95617879997</v>
      </c>
      <c r="G23" s="1571">
        <f t="shared" si="5"/>
        <v>765785.85749343596</v>
      </c>
      <c r="H23" s="1571">
        <f>SUMIF('Measure-Level Adjustments'!$A$8:$A$619,$A23,'Measure-Level Adjustments'!$AX$8:$AX$619)</f>
        <v>765785.85749343596</v>
      </c>
      <c r="I23" s="1571">
        <f t="shared" si="6"/>
        <v>-23684.098685364006</v>
      </c>
      <c r="J23" s="1571">
        <f t="shared" si="7"/>
        <v>0</v>
      </c>
      <c r="K23" s="1569">
        <f t="shared" si="0"/>
        <v>-23684.098685364006</v>
      </c>
      <c r="L23" s="1574"/>
      <c r="M23" s="1571">
        <f>SUMIF('Measure-Level Adjustments'!$A$8:$A$619,$A23,'Measure-Level Adjustments'!$AK$8:$AK$619)</f>
        <v>789469.95617879997</v>
      </c>
      <c r="N23" s="1571">
        <f t="shared" si="8"/>
        <v>765785.85749343596</v>
      </c>
      <c r="O23" s="1571">
        <f t="shared" si="9"/>
        <v>765785.85749343596</v>
      </c>
      <c r="P23" s="1571">
        <f>SUMIF('Measure-Level Adjustments'!$A$8:$A$619,$A23,'Measure-Level Adjustments'!$BD$8:$BD$619)</f>
        <v>765785.85749343596</v>
      </c>
      <c r="Q23" s="1571">
        <f t="shared" si="10"/>
        <v>-23684.098685364006</v>
      </c>
      <c r="R23" s="1571">
        <f t="shared" si="11"/>
        <v>0</v>
      </c>
      <c r="S23" s="1571">
        <f t="shared" si="12"/>
        <v>0</v>
      </c>
      <c r="T23" s="1569">
        <f t="shared" si="13"/>
        <v>-23684.098685364006</v>
      </c>
      <c r="U23" s="1574"/>
      <c r="V23" s="1571">
        <f>SUMIF('Measure-Level Adjustments'!$A$8:$A$619,$A23,'Measure-Level Adjustments'!$AK$8:$AK$619)</f>
        <v>789469.95617879997</v>
      </c>
      <c r="W23" s="1571">
        <f t="shared" si="14"/>
        <v>765785.85749343596</v>
      </c>
      <c r="X23" s="1571">
        <f t="shared" si="15"/>
        <v>765785.85749343596</v>
      </c>
      <c r="Y23" s="1571">
        <f t="shared" si="16"/>
        <v>765785.85749343596</v>
      </c>
      <c r="Z23" s="1571">
        <f>SUMIF('Measure-Level Adjustments'!$A$8:$A$619,$A23,'Measure-Level Adjustments'!$BJ$8:$BJ$619)</f>
        <v>765785.85749343596</v>
      </c>
      <c r="AA23" s="1571">
        <f t="shared" si="17"/>
        <v>-23684.098685364006</v>
      </c>
      <c r="AB23" s="1571">
        <f t="shared" si="18"/>
        <v>0</v>
      </c>
      <c r="AC23" s="1571">
        <f t="shared" si="19"/>
        <v>0</v>
      </c>
      <c r="AD23" s="1571">
        <f t="shared" si="20"/>
        <v>0</v>
      </c>
      <c r="AE23" s="1569">
        <f t="shared" si="1"/>
        <v>-23684.098685364006</v>
      </c>
      <c r="AF23" s="1574"/>
      <c r="AG23" s="1573">
        <f t="shared" si="2"/>
        <v>3157879.8247151999</v>
      </c>
      <c r="AH23" s="1332">
        <f t="shared" si="3"/>
        <v>3063143.4299737439</v>
      </c>
      <c r="AI23" s="1569">
        <f t="shared" si="21"/>
        <v>-94736.394741456024</v>
      </c>
      <c r="AJ23" s="1590">
        <f>SUMIF('Measure-Level Adjustments'!$A$8:$A$619,'Program-Level Adjustments'!$A23,'Measure-Level Adjustments'!$BX$8:$BX$619)</f>
        <v>3947349.7808940001</v>
      </c>
      <c r="AK23" s="1590">
        <f>SUMIF('Measure-Level Adjustments'!$A$8:$A$619,'Program-Level Adjustments'!$A23,'Measure-Level Adjustments'!$BY$8:$BY$619)</f>
        <v>3947349.7808940001</v>
      </c>
      <c r="AL23" s="1590">
        <f>SUMIF('Measure-Level Adjustments'!$A$8:$A$619,'Program-Level Adjustments'!$A23,'Measure-Level Adjustments'!$BZ$8:$BZ$619)</f>
        <v>3947349.7808940001</v>
      </c>
      <c r="AM23" s="1590">
        <f>SUMIF('Measure-Level Adjustments'!$A$8:$A$619,'Program-Level Adjustments'!$A23,'Measure-Level Adjustments'!$CA$8:$CA$619)</f>
        <v>3947349.7808940001</v>
      </c>
      <c r="AN23" s="1590">
        <f t="shared" si="22"/>
        <v>15789399.123576</v>
      </c>
      <c r="AO23" s="1590">
        <f>SUMIF('Measure-Level Adjustments'!$A$8:$A$619,'Program-Level Adjustments'!$A23,'Measure-Level Adjustments'!$CG$8:$CG$619)</f>
        <v>5360501.0024540517</v>
      </c>
      <c r="AP23" s="1590">
        <f>SUMIF('Measure-Level Adjustments'!$A$8:$A$619,'Program-Level Adjustments'!$A23,'Measure-Level Adjustments'!$CH$8:$CH$619)</f>
        <v>5360501.0024540517</v>
      </c>
      <c r="AQ23" s="1590">
        <f>SUMIF('Measure-Level Adjustments'!$A$8:$A$619,'Program-Level Adjustments'!$A23,'Measure-Level Adjustments'!$CI$8:$CI$619)</f>
        <v>5360501.0024540517</v>
      </c>
      <c r="AR23" s="1590">
        <f>SUMIF('Measure-Level Adjustments'!$A$8:$A$619,'Program-Level Adjustments'!$A23,'Measure-Level Adjustments'!$CJ$8:$CJ$619)</f>
        <v>5360501.0024540517</v>
      </c>
      <c r="AS23" s="1590">
        <f t="shared" si="23"/>
        <v>21442004.009816207</v>
      </c>
    </row>
    <row r="24" spans="1:46" s="1331" customFormat="1" ht="18" x14ac:dyDescent="0.35">
      <c r="A24" s="1324"/>
      <c r="B24" s="1325"/>
      <c r="C24" s="1325"/>
      <c r="D24" s="1326"/>
      <c r="E24" s="1327"/>
      <c r="F24" s="1325"/>
      <c r="G24" s="1325"/>
      <c r="H24" s="1325"/>
      <c r="I24" s="1325"/>
      <c r="J24" s="1325"/>
      <c r="K24" s="1326"/>
      <c r="L24" s="1328"/>
      <c r="M24" s="1325"/>
      <c r="N24" s="1325"/>
      <c r="O24" s="1325"/>
      <c r="P24" s="1325"/>
      <c r="Q24" s="1325"/>
      <c r="R24" s="1325"/>
      <c r="S24" s="1325"/>
      <c r="T24" s="1326"/>
      <c r="U24" s="1327"/>
      <c r="V24" s="1325"/>
      <c r="W24" s="1325"/>
      <c r="X24" s="1325"/>
      <c r="Y24" s="1325"/>
      <c r="Z24" s="1325"/>
      <c r="AA24" s="1325"/>
      <c r="AB24" s="1325"/>
      <c r="AC24" s="1325"/>
      <c r="AD24" s="1325"/>
      <c r="AE24" s="1326"/>
      <c r="AF24" s="1327"/>
      <c r="AG24" s="1329"/>
      <c r="AH24" s="1330"/>
      <c r="AI24" s="1324"/>
      <c r="AJ24" s="1572"/>
      <c r="AK24" s="1572"/>
      <c r="AL24" s="1572"/>
      <c r="AM24" s="1572"/>
      <c r="AN24" s="1572"/>
      <c r="AO24" s="1572"/>
      <c r="AP24" s="1572"/>
      <c r="AQ24" s="1572"/>
      <c r="AR24" s="1572"/>
      <c r="AS24" s="1572"/>
    </row>
    <row r="25" spans="1:46" s="1331" customFormat="1" ht="18" x14ac:dyDescent="0.35">
      <c r="A25" s="1324"/>
      <c r="B25" s="1325"/>
      <c r="C25" s="1325"/>
      <c r="D25" s="1326"/>
      <c r="E25" s="1327"/>
      <c r="F25" s="1325"/>
      <c r="G25" s="1325"/>
      <c r="H25" s="1325"/>
      <c r="I25" s="1325"/>
      <c r="J25" s="1325"/>
      <c r="K25" s="1326"/>
      <c r="L25" s="1328"/>
      <c r="M25" s="1325"/>
      <c r="N25" s="1325"/>
      <c r="O25" s="1325"/>
      <c r="P25" s="1325"/>
      <c r="Q25" s="1325"/>
      <c r="R25" s="1325"/>
      <c r="S25" s="1325"/>
      <c r="T25" s="1326"/>
      <c r="U25" s="1327"/>
      <c r="V25" s="1325"/>
      <c r="W25" s="1325"/>
      <c r="X25" s="1325"/>
      <c r="Y25" s="1325"/>
      <c r="Z25" s="1325"/>
      <c r="AA25" s="1325"/>
      <c r="AB25" s="1325"/>
      <c r="AC25" s="1325"/>
      <c r="AD25" s="1325"/>
      <c r="AE25" s="1326"/>
      <c r="AF25" s="1327"/>
      <c r="AG25" s="1329"/>
      <c r="AH25" s="1330"/>
      <c r="AI25" s="1324"/>
      <c r="AJ25" s="1572"/>
      <c r="AK25" s="1572"/>
      <c r="AL25" s="1572"/>
      <c r="AM25" s="1572"/>
      <c r="AN25" s="1572"/>
      <c r="AO25" s="1572"/>
      <c r="AP25" s="1572"/>
      <c r="AQ25" s="1572"/>
      <c r="AR25" s="1572"/>
      <c r="AS25" s="1572"/>
    </row>
    <row r="26" spans="1:46" s="167" customFormat="1" ht="18.5" x14ac:dyDescent="0.35">
      <c r="A26" s="1333"/>
      <c r="B26" s="1334"/>
      <c r="C26" s="1334"/>
      <c r="D26" s="1335"/>
      <c r="E26" s="1336"/>
      <c r="F26" s="1334"/>
      <c r="G26" s="1334"/>
      <c r="H26" s="1334"/>
      <c r="I26" s="1334"/>
      <c r="J26" s="1334"/>
      <c r="K26" s="1335"/>
      <c r="L26" s="1337"/>
      <c r="M26" s="1334"/>
      <c r="N26" s="1334"/>
      <c r="O26" s="1334"/>
      <c r="P26" s="1334"/>
      <c r="Q26" s="1334"/>
      <c r="R26" s="1334"/>
      <c r="S26" s="1334"/>
      <c r="T26" s="1335"/>
      <c r="U26" s="1336"/>
      <c r="V26" s="1334"/>
      <c r="W26" s="1334"/>
      <c r="X26" s="1334"/>
      <c r="Y26" s="1334"/>
      <c r="Z26" s="1334"/>
      <c r="AA26" s="1334"/>
      <c r="AB26" s="1334"/>
      <c r="AC26" s="1334"/>
      <c r="AD26" s="1334"/>
      <c r="AE26" s="1335"/>
      <c r="AF26" s="1336"/>
      <c r="AG26" s="1338"/>
      <c r="AH26" s="1339"/>
      <c r="AI26" s="1333"/>
      <c r="AJ26" s="1574"/>
      <c r="AK26" s="1574"/>
      <c r="AL26" s="1574"/>
      <c r="AM26" s="1574"/>
      <c r="AN26" s="1574"/>
      <c r="AO26" s="1574"/>
      <c r="AP26" s="1574"/>
      <c r="AQ26" s="1574"/>
      <c r="AR26" s="1574"/>
      <c r="AS26" s="1574"/>
    </row>
    <row r="27" spans="1:46" s="167" customFormat="1" ht="18.5" x14ac:dyDescent="0.35">
      <c r="A27" s="1333"/>
      <c r="B27" s="1334"/>
      <c r="C27" s="1334"/>
      <c r="D27" s="1335"/>
      <c r="E27" s="1336"/>
      <c r="F27" s="1334"/>
      <c r="G27" s="1334"/>
      <c r="H27" s="1334"/>
      <c r="I27" s="1334"/>
      <c r="J27" s="1334"/>
      <c r="K27" s="1335"/>
      <c r="L27" s="1337"/>
      <c r="M27" s="1334"/>
      <c r="N27" s="1334"/>
      <c r="O27" s="1334"/>
      <c r="P27" s="1334"/>
      <c r="Q27" s="1334"/>
      <c r="R27" s="1334"/>
      <c r="S27" s="1334"/>
      <c r="T27" s="1335"/>
      <c r="U27" s="1336"/>
      <c r="V27" s="1334"/>
      <c r="W27" s="1334"/>
      <c r="X27" s="1334"/>
      <c r="Y27" s="1334"/>
      <c r="Z27" s="1334"/>
      <c r="AA27" s="1334"/>
      <c r="AB27" s="1334"/>
      <c r="AC27" s="1334"/>
      <c r="AD27" s="1334"/>
      <c r="AE27" s="1335"/>
      <c r="AF27" s="1336"/>
      <c r="AG27" s="1338"/>
      <c r="AH27" s="1339"/>
      <c r="AI27" s="1333"/>
      <c r="AJ27" s="1574"/>
      <c r="AK27" s="1574"/>
      <c r="AL27" s="1574"/>
      <c r="AM27" s="1574"/>
      <c r="AN27" s="1574"/>
      <c r="AO27" s="1574"/>
      <c r="AP27" s="1574"/>
      <c r="AQ27" s="1574"/>
      <c r="AR27" s="1574"/>
      <c r="AS27" s="1574"/>
    </row>
    <row r="28" spans="1:46" s="167" customFormat="1" ht="19" thickBot="1" x14ac:dyDescent="0.4">
      <c r="A28" s="1340"/>
      <c r="B28" s="1341"/>
      <c r="C28" s="1341"/>
      <c r="D28" s="1342"/>
      <c r="E28" s="1343"/>
      <c r="F28" s="1341"/>
      <c r="G28" s="1341"/>
      <c r="H28" s="1341"/>
      <c r="I28" s="1341"/>
      <c r="J28" s="1341"/>
      <c r="K28" s="1342"/>
      <c r="L28" s="1344"/>
      <c r="M28" s="1341"/>
      <c r="N28" s="1341"/>
      <c r="O28" s="1341"/>
      <c r="P28" s="1341"/>
      <c r="Q28" s="1341"/>
      <c r="R28" s="1341"/>
      <c r="S28" s="1341"/>
      <c r="T28" s="1342"/>
      <c r="U28" s="1343"/>
      <c r="V28" s="1341"/>
      <c r="W28" s="1341"/>
      <c r="X28" s="1341"/>
      <c r="Y28" s="1341"/>
      <c r="Z28" s="1341"/>
      <c r="AA28" s="1341"/>
      <c r="AB28" s="1341"/>
      <c r="AC28" s="1341"/>
      <c r="AD28" s="1341"/>
      <c r="AE28" s="1342"/>
      <c r="AF28" s="1343"/>
      <c r="AG28" s="1345"/>
      <c r="AH28" s="1346"/>
      <c r="AI28" s="1347"/>
      <c r="AJ28" s="1574"/>
      <c r="AK28" s="1574"/>
      <c r="AL28" s="1574"/>
      <c r="AM28" s="1574"/>
      <c r="AN28" s="1574"/>
      <c r="AO28" s="1574"/>
      <c r="AP28" s="1574"/>
      <c r="AQ28" s="1574"/>
      <c r="AR28" s="1574"/>
      <c r="AS28" s="1574"/>
    </row>
    <row r="29" spans="1:46" s="1624" customFormat="1" ht="34.5" customHeight="1" thickTop="1" x14ac:dyDescent="0.35">
      <c r="A29" s="1348" t="s">
        <v>118</v>
      </c>
      <c r="B29" s="2781">
        <f>+SUM(B10:B23)</f>
        <v>14000207.133906208</v>
      </c>
      <c r="C29" s="2780">
        <f>+SUM(C10:C23)</f>
        <v>14127405.607217556</v>
      </c>
      <c r="D29" s="2779">
        <f>SUM(D10:D23)</f>
        <v>127198.4733113492</v>
      </c>
      <c r="E29" s="1349"/>
      <c r="F29" s="1570">
        <f>+SUM(F10:F23)</f>
        <v>14000207.133906208</v>
      </c>
      <c r="G29" s="2549">
        <f>+SUM(G10:G23)</f>
        <v>14127405.607217556</v>
      </c>
      <c r="H29" s="2549">
        <f>+SUM(H10:H23)</f>
        <v>14127405.607217556</v>
      </c>
      <c r="I29" s="2549">
        <f>+SUM(I10:I23)</f>
        <v>127198.4733113492</v>
      </c>
      <c r="J29" s="2549">
        <f>+SUM(J10:J23)</f>
        <v>0</v>
      </c>
      <c r="K29" s="1588">
        <f>SUM(K10:K23)</f>
        <v>127198.4733113492</v>
      </c>
      <c r="L29" s="1349"/>
      <c r="M29" s="1570">
        <f t="shared" ref="M29:S29" si="24">+SUM(M10:M23)</f>
        <v>14000207.133906208</v>
      </c>
      <c r="N29" s="2550">
        <f t="shared" si="24"/>
        <v>14127405.607217556</v>
      </c>
      <c r="O29" s="2550">
        <f t="shared" si="24"/>
        <v>14127405.607217556</v>
      </c>
      <c r="P29" s="2550">
        <f t="shared" si="24"/>
        <v>14127405.607217556</v>
      </c>
      <c r="Q29" s="2550">
        <f t="shared" si="24"/>
        <v>127198.4733113492</v>
      </c>
      <c r="R29" s="2550">
        <f t="shared" si="24"/>
        <v>0</v>
      </c>
      <c r="S29" s="2550">
        <f t="shared" si="24"/>
        <v>0</v>
      </c>
      <c r="T29" s="1588">
        <f>SUM(T10:T23)</f>
        <v>127198.4733113492</v>
      </c>
      <c r="U29" s="1349"/>
      <c r="V29" s="1570">
        <f t="shared" ref="V29:AD29" si="25">+SUM(V10:V23)</f>
        <v>14000207.133906208</v>
      </c>
      <c r="W29" s="2551">
        <f t="shared" si="25"/>
        <v>14127405.607217556</v>
      </c>
      <c r="X29" s="2551">
        <f t="shared" si="25"/>
        <v>14127405.607217556</v>
      </c>
      <c r="Y29" s="2551">
        <f t="shared" si="25"/>
        <v>14127405.607217556</v>
      </c>
      <c r="Z29" s="2551">
        <f t="shared" si="25"/>
        <v>14127405.607217556</v>
      </c>
      <c r="AA29" s="2551">
        <f t="shared" si="25"/>
        <v>127198.4733113492</v>
      </c>
      <c r="AB29" s="2551">
        <f t="shared" si="25"/>
        <v>0</v>
      </c>
      <c r="AC29" s="2551">
        <f t="shared" si="25"/>
        <v>0</v>
      </c>
      <c r="AD29" s="2551">
        <f t="shared" si="25"/>
        <v>0</v>
      </c>
      <c r="AE29" s="1588">
        <f>SUM(AE10:AE23)</f>
        <v>127198.4733113492</v>
      </c>
      <c r="AF29" s="1349"/>
      <c r="AG29" s="1570">
        <f>+SUM(AG10:AG23)</f>
        <v>56000828.535624832</v>
      </c>
      <c r="AH29" s="2552">
        <f>+SUM(AH10:AH23)</f>
        <v>56509622.428870223</v>
      </c>
      <c r="AI29" s="2553">
        <f t="shared" ref="AI29:AS29" si="26">SUM(AI10:AI23)</f>
        <v>508793.89324539679</v>
      </c>
      <c r="AJ29" s="2554">
        <f t="shared" si="26"/>
        <v>165090429.45392689</v>
      </c>
      <c r="AK29" s="2554">
        <f t="shared" si="26"/>
        <v>165090429.45392689</v>
      </c>
      <c r="AL29" s="2554">
        <f t="shared" si="26"/>
        <v>165090429.45392689</v>
      </c>
      <c r="AM29" s="2554">
        <f t="shared" si="26"/>
        <v>165090429.45392689</v>
      </c>
      <c r="AN29" s="2554">
        <f t="shared" si="26"/>
        <v>660361717.81570756</v>
      </c>
      <c r="AO29" s="1610">
        <f t="shared" si="26"/>
        <v>167059732.2857416</v>
      </c>
      <c r="AP29" s="1610">
        <f t="shared" si="26"/>
        <v>167059732.2857416</v>
      </c>
      <c r="AQ29" s="1610">
        <f t="shared" si="26"/>
        <v>167059732.2857416</v>
      </c>
      <c r="AR29" s="1610">
        <f t="shared" si="26"/>
        <v>167059732.2857416</v>
      </c>
      <c r="AS29" s="1610">
        <f t="shared" si="26"/>
        <v>668238929.14296639</v>
      </c>
      <c r="AT29" s="1623"/>
    </row>
    <row r="30" spans="1:46" ht="18.75" customHeight="1" x14ac:dyDescent="0.5">
      <c r="A30" s="3"/>
      <c r="C30" s="30"/>
      <c r="AM30" s="1611" t="s">
        <v>119</v>
      </c>
      <c r="AN30" s="2555">
        <f>AN29/SUM(B29,F29,M29,V29)</f>
        <v>11.791999066507017</v>
      </c>
      <c r="AO30" s="433"/>
      <c r="AP30" s="433"/>
      <c r="AQ30" s="433"/>
      <c r="AR30" s="1600" t="s">
        <v>120</v>
      </c>
      <c r="AS30" s="1741">
        <f>AS29/SUM(C29,H29,P29,Z29)</f>
        <v>11.825223748116384</v>
      </c>
    </row>
    <row r="31" spans="1:46" x14ac:dyDescent="0.35">
      <c r="C31" s="298"/>
      <c r="AJ31" s="355"/>
      <c r="AP31" s="355"/>
    </row>
    <row r="32" spans="1:46" ht="21" x14ac:dyDescent="0.5">
      <c r="AJ32" s="298"/>
      <c r="AL32" s="1682"/>
      <c r="AM32" s="1742"/>
      <c r="AN32" s="1743"/>
      <c r="AO32" s="1744"/>
      <c r="AP32" s="1744"/>
      <c r="AQ32" s="1744"/>
      <c r="AR32" s="1742"/>
      <c r="AS32" s="1745"/>
    </row>
  </sheetData>
  <customSheetViews>
    <customSheetView guid="{ECD6FE6A-9548-414E-B8AA-6998703C57E0}" scale="85" showPageBreaks="1" fitToPage="1" printArea="1" view="pageBreakPreview">
      <selection activeCell="B5" sqref="B5"/>
      <pageMargins left="0" right="0" top="0" bottom="0" header="0" footer="0"/>
      <printOptions headings="1" gridLines="1"/>
      <pageSetup scale="22" orientation="landscape" r:id="rId1"/>
      <headerFooter>
        <oddFooter>&amp;L&amp;"Arial,Regular"&amp;14&amp;A
&amp;F&amp;C&amp;"Arial,Regular"&amp;14&amp;P</oddFooter>
      </headerFooter>
    </customSheetView>
    <customSheetView guid="{11DE45F5-F478-4ED6-8DFF-12002C22A637}" scale="85" showPageBreaks="1" fitToPage="1" printArea="1" view="pageBreakPreview">
      <selection activeCell="B5" sqref="B5"/>
      <pageMargins left="0" right="0" top="0" bottom="0" header="0" footer="0"/>
      <printOptions headings="1" gridLines="1"/>
      <pageSetup scale="22" orientation="landscape" r:id="rId2"/>
      <headerFooter>
        <oddFooter>&amp;L&amp;"Arial,Regular"&amp;14&amp;A
&amp;F&amp;C&amp;"Arial,Regular"&amp;14&amp;P</oddFooter>
      </headerFooter>
    </customSheetView>
  </customSheetViews>
  <mergeCells count="15">
    <mergeCell ref="E1:G1"/>
    <mergeCell ref="AA5:AE5"/>
    <mergeCell ref="G5:H5"/>
    <mergeCell ref="I5:K5"/>
    <mergeCell ref="N5:P5"/>
    <mergeCell ref="Q5:T5"/>
    <mergeCell ref="W5:Z5"/>
    <mergeCell ref="E2:G2"/>
    <mergeCell ref="AO4:AS4"/>
    <mergeCell ref="B4:E4"/>
    <mergeCell ref="F4:L4"/>
    <mergeCell ref="M4:U4"/>
    <mergeCell ref="V4:AF4"/>
    <mergeCell ref="AG4:AI4"/>
    <mergeCell ref="AJ4:AN4"/>
  </mergeCells>
  <conditionalFormatting sqref="B10:B23">
    <cfRule type="dataBar" priority="5">
      <dataBar>
        <cfvo type="min"/>
        <cfvo type="max"/>
        <color rgb="FF638EC6"/>
      </dataBar>
      <extLst>
        <ext xmlns:x14="http://schemas.microsoft.com/office/spreadsheetml/2009/9/main" uri="{B025F937-C7B1-47D3-B67F-A62EFF666E3E}">
          <x14:id>{DE3E402B-7F7B-48D0-9272-11637D506C89}</x14:id>
        </ext>
      </extLst>
    </cfRule>
  </conditionalFormatting>
  <conditionalFormatting sqref="C10:C23">
    <cfRule type="dataBar" priority="4">
      <dataBar>
        <cfvo type="min"/>
        <cfvo type="max"/>
        <color theme="9"/>
      </dataBar>
      <extLst>
        <ext xmlns:x14="http://schemas.microsoft.com/office/spreadsheetml/2009/9/main" uri="{B025F937-C7B1-47D3-B67F-A62EFF666E3E}">
          <x14:id>{CFE305A9-FD94-4CBE-B135-6319E3A3B746}</x14:id>
        </ext>
      </extLst>
    </cfRule>
  </conditionalFormatting>
  <conditionalFormatting sqref="D10:D23">
    <cfRule type="cellIs" dxfId="30" priority="1" operator="lessThan">
      <formula>0</formula>
    </cfRule>
    <cfRule type="cellIs" dxfId="29" priority="2" operator="equal">
      <formula>0</formula>
    </cfRule>
    <cfRule type="cellIs" dxfId="28" priority="3" operator="greaterThan">
      <formula>0</formula>
    </cfRule>
  </conditionalFormatting>
  <printOptions headings="1" gridLines="1"/>
  <pageMargins left="0.5" right="0.5" top="0.5" bottom="0.5" header="0.3" footer="0.3"/>
  <pageSetup scale="10" orientation="landscape" r:id="rId3"/>
  <headerFooter>
    <oddFooter>&amp;L&amp;"Arial,Regular"&amp;14&amp;A
&amp;F&amp;C&amp;"Arial,Regular"&amp;14&amp;P</oddFooter>
  </headerFooter>
  <legacyDrawing r:id="rId4"/>
  <extLst>
    <ext xmlns:x14="http://schemas.microsoft.com/office/spreadsheetml/2009/9/main" uri="{78C0D931-6437-407d-A8EE-F0AAD7539E65}">
      <x14:conditionalFormattings>
        <x14:conditionalFormatting xmlns:xm="http://schemas.microsoft.com/office/excel/2006/main">
          <x14:cfRule type="dataBar" id="{DE3E402B-7F7B-48D0-9272-11637D506C89}">
            <x14:dataBar minLength="0" maxLength="100">
              <x14:cfvo type="autoMin"/>
              <x14:cfvo type="autoMax"/>
              <x14:negativeFillColor rgb="FFFF0000"/>
              <x14:axisColor rgb="FF000000"/>
            </x14:dataBar>
          </x14:cfRule>
          <xm:sqref>B10:B23</xm:sqref>
        </x14:conditionalFormatting>
        <x14:conditionalFormatting xmlns:xm="http://schemas.microsoft.com/office/excel/2006/main">
          <x14:cfRule type="dataBar" id="{CFE305A9-FD94-4CBE-B135-6319E3A3B746}">
            <x14:dataBar minLength="0" maxLength="100">
              <x14:cfvo type="autoMin"/>
              <x14:cfvo type="autoMax"/>
              <x14:negativeFillColor rgb="FFFF0000"/>
              <x14:axisColor rgb="FF000000"/>
            </x14:dataBar>
          </x14:cfRule>
          <xm:sqref>C10:C23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AG88"/>
  <sheetViews>
    <sheetView zoomScale="90" zoomScaleNormal="90" zoomScaleSheetLayoutView="85" workbookViewId="0">
      <pane xSplit="1" ySplit="3" topLeftCell="B4" activePane="bottomRight" state="frozen"/>
      <selection pane="topRight" activeCell="B1" sqref="B1"/>
      <selection pane="bottomLeft" activeCell="A3" sqref="A3"/>
      <selection pane="bottomRight" activeCell="AE10" sqref="AE10"/>
    </sheetView>
  </sheetViews>
  <sheetFormatPr defaultRowHeight="14.5" x14ac:dyDescent="0.35"/>
  <cols>
    <col min="1" max="1" width="16.453125" customWidth="1"/>
    <col min="2" max="2" width="55" customWidth="1"/>
    <col min="3" max="3" width="29.7265625" customWidth="1"/>
    <col min="4" max="4" width="20" customWidth="1"/>
    <col min="5" max="5" width="15.453125" customWidth="1"/>
    <col min="6" max="6" width="10.54296875" customWidth="1"/>
    <col min="8" max="8" width="11.1796875" customWidth="1"/>
    <col min="9" max="9" width="11.81640625" customWidth="1"/>
    <col min="10" max="10" width="27.54296875" customWidth="1"/>
    <col min="11" max="11" width="27.1796875" bestFit="1" customWidth="1"/>
    <col min="12" max="12" width="11" bestFit="1" customWidth="1"/>
    <col min="13" max="13" width="27.7265625" customWidth="1"/>
    <col min="14" max="14" width="16.1796875" bestFit="1" customWidth="1"/>
    <col min="15" max="15" width="9.7265625" bestFit="1" customWidth="1"/>
    <col min="16" max="16" width="11" bestFit="1" customWidth="1"/>
    <col min="18" max="18" width="10.54296875" customWidth="1"/>
    <col min="19" max="19" width="10.7265625" bestFit="1" customWidth="1"/>
    <col min="20" max="20" width="11.1796875" customWidth="1"/>
    <col min="21" max="21" width="13" customWidth="1"/>
    <col min="22" max="22" width="11.54296875" customWidth="1"/>
    <col min="24" max="24" width="13.81640625" customWidth="1"/>
    <col min="25" max="25" width="10" customWidth="1"/>
    <col min="28" max="28" width="11" customWidth="1"/>
  </cols>
  <sheetData>
    <row r="1" spans="1:33" x14ac:dyDescent="0.35">
      <c r="A1" s="1799" t="s">
        <v>1031</v>
      </c>
    </row>
    <row r="2" spans="1:33" x14ac:dyDescent="0.35">
      <c r="A2" s="1428" t="s">
        <v>555</v>
      </c>
      <c r="B2" s="993" t="s">
        <v>1866</v>
      </c>
      <c r="C2" s="997"/>
      <c r="D2" s="997"/>
      <c r="E2" s="998"/>
      <c r="F2" s="998"/>
      <c r="G2" s="998"/>
      <c r="H2" s="998"/>
      <c r="I2" s="998"/>
      <c r="J2" s="998"/>
      <c r="K2" s="998"/>
      <c r="L2" s="3013" t="s">
        <v>1032</v>
      </c>
      <c r="M2" s="3014"/>
      <c r="N2" s="3014"/>
      <c r="O2" s="3098"/>
      <c r="P2" s="3013" t="s">
        <v>1033</v>
      </c>
      <c r="Q2" s="3014"/>
      <c r="R2" s="3014"/>
      <c r="S2" s="3014"/>
      <c r="T2" s="3099" t="s">
        <v>1158</v>
      </c>
      <c r="U2" s="3100"/>
      <c r="V2" s="3100"/>
      <c r="W2" s="3100"/>
      <c r="X2" s="3100"/>
      <c r="Y2" s="3100"/>
      <c r="Z2" s="3100"/>
      <c r="AA2" s="3100"/>
      <c r="AB2" s="3100"/>
      <c r="AC2" s="3100"/>
      <c r="AD2" s="3100"/>
      <c r="AE2" s="3100"/>
      <c r="AF2" s="3100"/>
    </row>
    <row r="3" spans="1:33" s="672" customFormat="1" ht="39.5" x14ac:dyDescent="0.35">
      <c r="A3" s="969" t="s">
        <v>1035</v>
      </c>
      <c r="B3" s="953" t="s">
        <v>155</v>
      </c>
      <c r="C3" s="953" t="s">
        <v>1036</v>
      </c>
      <c r="D3" s="953" t="s">
        <v>1037</v>
      </c>
      <c r="E3" s="998" t="s">
        <v>1867</v>
      </c>
      <c r="F3" s="998" t="s">
        <v>1038</v>
      </c>
      <c r="G3" s="998" t="s">
        <v>1360</v>
      </c>
      <c r="H3" s="998" t="s">
        <v>1039</v>
      </c>
      <c r="I3" s="998" t="s">
        <v>1040</v>
      </c>
      <c r="J3" s="998" t="s">
        <v>1868</v>
      </c>
      <c r="K3" s="998" t="s">
        <v>1041</v>
      </c>
      <c r="L3" s="998" t="s">
        <v>1044</v>
      </c>
      <c r="M3" s="998" t="s">
        <v>1045</v>
      </c>
      <c r="N3" s="998" t="s">
        <v>1046</v>
      </c>
      <c r="O3" s="998" t="s">
        <v>1869</v>
      </c>
      <c r="P3" s="998" t="s">
        <v>1044</v>
      </c>
      <c r="Q3" s="998" t="s">
        <v>1045</v>
      </c>
      <c r="R3" s="998" t="s">
        <v>1046</v>
      </c>
      <c r="S3" s="998" t="s">
        <v>1869</v>
      </c>
      <c r="T3" s="924" t="s">
        <v>1870</v>
      </c>
      <c r="U3" s="925" t="s">
        <v>1871</v>
      </c>
      <c r="V3" s="925" t="s">
        <v>1872</v>
      </c>
      <c r="W3" s="925" t="s">
        <v>1873</v>
      </c>
      <c r="X3" s="925" t="s">
        <v>1874</v>
      </c>
      <c r="Y3" s="925" t="s">
        <v>1580</v>
      </c>
      <c r="Z3" s="925" t="s">
        <v>1641</v>
      </c>
      <c r="AA3" s="925" t="s">
        <v>1179</v>
      </c>
      <c r="AB3" s="925" t="s">
        <v>1875</v>
      </c>
      <c r="AC3" s="925" t="s">
        <v>1876</v>
      </c>
      <c r="AD3" s="926" t="s">
        <v>1877</v>
      </c>
      <c r="AE3" s="927" t="s">
        <v>1878</v>
      </c>
      <c r="AF3" s="927" t="s">
        <v>1879</v>
      </c>
    </row>
    <row r="4" spans="1:33" s="60" customFormat="1" ht="19.5" customHeight="1" x14ac:dyDescent="0.35">
      <c r="A4" s="955" t="s">
        <v>559</v>
      </c>
      <c r="B4" s="1008" t="str">
        <f>$B$2&amp;", "&amp;G4&amp;", "&amp;F4&amp;" "&amp;MID(C4, 19, LEN(C4)-23)</f>
        <v>Low Flow Faucet Aerators, Custom, DI Bath</v>
      </c>
      <c r="C4" s="956" t="s">
        <v>558</v>
      </c>
      <c r="D4" s="957" t="s">
        <v>1582</v>
      </c>
      <c r="E4" s="973" t="s">
        <v>1880</v>
      </c>
      <c r="F4" s="1000" t="s">
        <v>1583</v>
      </c>
      <c r="G4" s="972" t="s">
        <v>105</v>
      </c>
      <c r="H4" s="1000">
        <f>+$B$55</f>
        <v>10</v>
      </c>
      <c r="I4" s="1001"/>
      <c r="J4" s="1001"/>
      <c r="K4" s="1002" t="s">
        <v>1881</v>
      </c>
      <c r="L4" s="1003"/>
      <c r="M4" s="1003"/>
      <c r="N4" s="2631">
        <f>AB4*((V4-W4)/V4)*AD4*AC4*Y4</f>
        <v>5.9104899280575545</v>
      </c>
      <c r="O4" s="1003">
        <f>((V4-W4)/V4)*AD4*Y4</f>
        <v>1343.2931654676258</v>
      </c>
      <c r="P4" s="1003"/>
      <c r="Q4" s="1004"/>
      <c r="R4" s="2640">
        <f>N4*H4</f>
        <v>59.104899280575545</v>
      </c>
      <c r="S4" s="1003">
        <f>O4*H4</f>
        <v>13432.931654676258</v>
      </c>
      <c r="T4" s="928" t="s">
        <v>1882</v>
      </c>
      <c r="U4" s="928">
        <f>VLOOKUP(E4,$B$63:$C$64,2,FALSE)</f>
        <v>0</v>
      </c>
      <c r="V4" s="176">
        <f>+$B$21</f>
        <v>1.39</v>
      </c>
      <c r="W4" s="176">
        <f>+$B$24</f>
        <v>0.94</v>
      </c>
      <c r="X4" s="2649">
        <f>+VLOOKUP($T4,$H$63:$I$66,2,FALSE)</f>
        <v>8.7900000000000006E-2</v>
      </c>
      <c r="Y4" s="928">
        <f>+$B$37</f>
        <v>0.95</v>
      </c>
      <c r="Z4" s="2742">
        <f>VLOOKUP(G4,$B$73:$J$86,9,FALSE)</f>
        <v>35.666666666666664</v>
      </c>
      <c r="AA4" s="929">
        <f>VLOOKUP(G4,$B$73:$K$86,10,FALSE)</f>
        <v>6.1333333333333335E-3</v>
      </c>
      <c r="AB4" s="928">
        <f>1-VLOOKUP(E4,$B$63:$C$64,2,FALSE)</f>
        <v>1</v>
      </c>
      <c r="AC4" s="2820">
        <f>+VLOOKUP($T4,$E$63:$F$66,2,FALSE)</f>
        <v>4.4000000000000003E-3</v>
      </c>
      <c r="AD4" s="2822">
        <f>VLOOKUP(G4,$B$73:$I$86,8,FALSE)</f>
        <v>4367.666666666667</v>
      </c>
      <c r="AE4" s="930"/>
      <c r="AF4" s="930"/>
    </row>
    <row r="5" spans="1:33" s="60" customFormat="1" ht="13.5" customHeight="1" x14ac:dyDescent="0.35">
      <c r="A5" s="955" t="s">
        <v>554</v>
      </c>
      <c r="B5" s="1008" t="str">
        <f>$B$2&amp;", "&amp;G5&amp;", "&amp;F5&amp;" "&amp;MID(C5, 19, LEN(C5)-23)</f>
        <v xml:space="preserve">Low Flow Faucet Aerators, Custom, DI Kitchen </v>
      </c>
      <c r="C5" s="956" t="s">
        <v>553</v>
      </c>
      <c r="D5" s="957" t="s">
        <v>1582</v>
      </c>
      <c r="E5" s="973" t="s">
        <v>1880</v>
      </c>
      <c r="F5" s="1000" t="s">
        <v>1583</v>
      </c>
      <c r="G5" s="972" t="s">
        <v>105</v>
      </c>
      <c r="H5" s="1000">
        <f>+$B$55</f>
        <v>10</v>
      </c>
      <c r="I5" s="1001"/>
      <c r="J5" s="1001"/>
      <c r="K5" s="1002" t="s">
        <v>1881</v>
      </c>
      <c r="L5" s="1003"/>
      <c r="M5" s="1003"/>
      <c r="N5" s="2631">
        <f>AB5*((V5-W5)/V5)*AD5*AC5*Y5</f>
        <v>7.1194537769784167</v>
      </c>
      <c r="O5" s="1003">
        <f>((V5-W5)/V5)*AD5*Y5</f>
        <v>1343.2931654676258</v>
      </c>
      <c r="P5" s="1003"/>
      <c r="Q5" s="1004"/>
      <c r="R5" s="2640">
        <f>N5*H5</f>
        <v>71.194537769784162</v>
      </c>
      <c r="S5" s="1003">
        <f>O5*H5</f>
        <v>13432.931654676258</v>
      </c>
      <c r="T5" s="928" t="s">
        <v>1883</v>
      </c>
      <c r="U5" s="928">
        <f>VLOOKUP(E5,$B$63:$C$64,2,FALSE)</f>
        <v>0</v>
      </c>
      <c r="V5" s="176">
        <f>+$B$21</f>
        <v>1.39</v>
      </c>
      <c r="W5" s="176">
        <f>+$B$24</f>
        <v>0.94</v>
      </c>
      <c r="X5" s="2649">
        <f t="shared" ref="X5:X8" si="0">+VLOOKUP($T5,$H$63:$I$66,2,FALSE)</f>
        <v>0.10539999999999999</v>
      </c>
      <c r="Y5" s="928">
        <f>+$B$37</f>
        <v>0.95</v>
      </c>
      <c r="Z5" s="2742">
        <f>VLOOKUP(G5,$B$73:$J$86,9,FALSE)</f>
        <v>35.666666666666664</v>
      </c>
      <c r="AA5" s="929">
        <f>VLOOKUP(G5,$B$73:$K$86,10,FALSE)</f>
        <v>6.1333333333333335E-3</v>
      </c>
      <c r="AB5" s="928">
        <f>1-VLOOKUP(E5,$B$63:$C$64,2,FALSE)</f>
        <v>1</v>
      </c>
      <c r="AC5" s="2820">
        <f t="shared" ref="AC5:AC8" si="1">+VLOOKUP($T5,$E$63:$F$66,2,FALSE)</f>
        <v>5.3E-3</v>
      </c>
      <c r="AD5" s="2822">
        <f>VLOOKUP(G5,$B$73:$I$86,8,FALSE)</f>
        <v>4367.666666666667</v>
      </c>
      <c r="AE5" s="930"/>
      <c r="AF5" s="930"/>
    </row>
    <row r="6" spans="1:33" x14ac:dyDescent="0.35">
      <c r="A6" s="955" t="s">
        <v>561</v>
      </c>
      <c r="B6" s="955" t="str">
        <f>$B$2&amp;", "&amp;G6&amp;", "&amp;F6&amp;" "&amp;C6</f>
        <v>Low Flow Faucet Aerators, Health, DI Laminar Flow</v>
      </c>
      <c r="C6" s="956" t="s">
        <v>560</v>
      </c>
      <c r="D6" s="957" t="s">
        <v>1582</v>
      </c>
      <c r="E6" s="973" t="s">
        <v>1880</v>
      </c>
      <c r="F6" s="1000" t="s">
        <v>1583</v>
      </c>
      <c r="G6" s="972" t="s">
        <v>1854</v>
      </c>
      <c r="H6" s="1000">
        <f>+$B$55</f>
        <v>10</v>
      </c>
      <c r="I6" s="1001"/>
      <c r="J6" s="1001"/>
      <c r="K6" s="1002" t="s">
        <v>1881</v>
      </c>
      <c r="L6" s="1003"/>
      <c r="M6" s="1003"/>
      <c r="N6" s="2631">
        <f>AB6*((V6-W6)/V6)*AD6*AC6*Y6</f>
        <v>37.620137903225817</v>
      </c>
      <c r="O6" s="1003">
        <f>((V6-W6)/V6)*AD6*Y6</f>
        <v>5083.802419354839</v>
      </c>
      <c r="P6" s="1003"/>
      <c r="Q6" s="1004"/>
      <c r="R6" s="2640">
        <f>N6*H6</f>
        <v>376.20137903225816</v>
      </c>
      <c r="S6" s="1003">
        <f>O6*H6</f>
        <v>50838.024193548394</v>
      </c>
      <c r="T6" s="2863" t="s">
        <v>1884</v>
      </c>
      <c r="U6" s="928">
        <f>VLOOKUP(E6,$B$63:$C$64,2,FALSE)</f>
        <v>0</v>
      </c>
      <c r="V6" s="176">
        <f>+$B$22</f>
        <v>3.1</v>
      </c>
      <c r="W6" s="176">
        <f>+$B$25</f>
        <v>2.09</v>
      </c>
      <c r="X6" s="2649">
        <f t="shared" si="0"/>
        <v>0.1477</v>
      </c>
      <c r="Y6" s="928">
        <f>+$B$37</f>
        <v>0.95</v>
      </c>
      <c r="Z6" s="2742">
        <f>VLOOKUP(G6,$B$73:$J$86,9,FALSE)</f>
        <v>134</v>
      </c>
      <c r="AA6" s="929">
        <f>VLOOKUP(G6,$B$73:$K$86,10,FALSE)</f>
        <v>1.44E-2</v>
      </c>
      <c r="AB6" s="928">
        <f>1-VLOOKUP(E6,$B$63:$C$64,2,FALSE)</f>
        <v>1</v>
      </c>
      <c r="AC6" s="2820">
        <f t="shared" si="1"/>
        <v>7.4000000000000003E-3</v>
      </c>
      <c r="AD6" s="2822">
        <f>VLOOKUP(G6,$B$73:$I$86,8,FALSE)</f>
        <v>16425</v>
      </c>
      <c r="AE6" s="930">
        <v>0.83</v>
      </c>
      <c r="AF6" s="930">
        <v>0.95</v>
      </c>
      <c r="AG6" s="60"/>
    </row>
    <row r="7" spans="1:33" s="60" customFormat="1" ht="29" x14ac:dyDescent="0.35">
      <c r="A7" s="955" t="s">
        <v>1885</v>
      </c>
      <c r="B7" s="955" t="s">
        <v>1886</v>
      </c>
      <c r="C7" s="956" t="s">
        <v>1887</v>
      </c>
      <c r="D7" s="957" t="s">
        <v>1582</v>
      </c>
      <c r="E7" s="973" t="s">
        <v>1880</v>
      </c>
      <c r="F7" s="1000" t="s">
        <v>1583</v>
      </c>
      <c r="G7" s="972" t="s">
        <v>105</v>
      </c>
      <c r="H7" s="1000">
        <f>+$B$55</f>
        <v>10</v>
      </c>
      <c r="I7" s="1001"/>
      <c r="J7" s="1001"/>
      <c r="K7" s="1002" t="s">
        <v>1881</v>
      </c>
      <c r="L7" s="1003"/>
      <c r="M7" s="1003"/>
      <c r="N7" s="2631">
        <f>AB7*((V7-W7)/V7)*AD7*AC7*Y7</f>
        <v>5.9104899280575545</v>
      </c>
      <c r="O7" s="1003">
        <f>((V7-W7)/V7)*AD7*Y7</f>
        <v>1343.2931654676258</v>
      </c>
      <c r="P7" s="1003"/>
      <c r="Q7" s="1004"/>
      <c r="R7" s="2640">
        <f>N7*H7</f>
        <v>59.104899280575545</v>
      </c>
      <c r="S7" s="1003">
        <f>O7*H7</f>
        <v>13432.931654676258</v>
      </c>
      <c r="T7" s="928" t="s">
        <v>1882</v>
      </c>
      <c r="U7" s="928">
        <f>VLOOKUP(E7,$B$63:$C$64,2,FALSE)</f>
        <v>0</v>
      </c>
      <c r="V7" s="176">
        <f>+$B$21</f>
        <v>1.39</v>
      </c>
      <c r="W7" s="176">
        <f>+$B$24</f>
        <v>0.94</v>
      </c>
      <c r="X7" s="2649">
        <f t="shared" si="0"/>
        <v>8.7900000000000006E-2</v>
      </c>
      <c r="Y7" s="928">
        <f>+$B$37</f>
        <v>0.95</v>
      </c>
      <c r="Z7" s="2742">
        <f>VLOOKUP(G7,$B$73:$J$86,9,FALSE)</f>
        <v>35.666666666666664</v>
      </c>
      <c r="AA7" s="929">
        <f>VLOOKUP(G7,$B$73:$K$86,10,FALSE)</f>
        <v>6.1333333333333335E-3</v>
      </c>
      <c r="AB7" s="928">
        <f>1-VLOOKUP(E7,$B$63:$C$64,2,FALSE)</f>
        <v>1</v>
      </c>
      <c r="AC7" s="2820">
        <f t="shared" si="1"/>
        <v>4.4000000000000003E-3</v>
      </c>
      <c r="AD7" s="2822">
        <f>VLOOKUP(G7,$B$73:$I$86,8,FALSE)</f>
        <v>4367.666666666667</v>
      </c>
      <c r="AE7" s="930"/>
      <c r="AF7" s="930"/>
    </row>
    <row r="8" spans="1:33" ht="29" x14ac:dyDescent="0.35">
      <c r="A8" s="955" t="s">
        <v>1888</v>
      </c>
      <c r="B8" s="955" t="s">
        <v>1889</v>
      </c>
      <c r="C8" s="956" t="s">
        <v>1890</v>
      </c>
      <c r="D8" s="957" t="s">
        <v>1582</v>
      </c>
      <c r="E8" s="973" t="s">
        <v>1880</v>
      </c>
      <c r="F8" s="1000" t="s">
        <v>1583</v>
      </c>
      <c r="G8" s="972" t="s">
        <v>1854</v>
      </c>
      <c r="H8" s="1000">
        <f>+$B$55</f>
        <v>10</v>
      </c>
      <c r="I8" s="1001"/>
      <c r="J8" s="1001"/>
      <c r="K8" s="1002" t="s">
        <v>1881</v>
      </c>
      <c r="L8" s="1003"/>
      <c r="M8" s="1003"/>
      <c r="N8" s="2631">
        <f>AB8*((V8-W8)/V8)*AD8*AC8*Y8</f>
        <v>37.620137903225817</v>
      </c>
      <c r="O8" s="1003">
        <f>((V8-W8)/V8)*AD8*Y8</f>
        <v>5083.802419354839</v>
      </c>
      <c r="P8" s="1003"/>
      <c r="Q8" s="1004"/>
      <c r="R8" s="2640">
        <f>N8*H8</f>
        <v>376.20137903225816</v>
      </c>
      <c r="S8" s="1003">
        <f>O8*H8</f>
        <v>50838.024193548394</v>
      </c>
      <c r="T8" s="2863" t="s">
        <v>1884</v>
      </c>
      <c r="U8" s="928">
        <f>VLOOKUP(E8,$B$63:$C$64,2,FALSE)</f>
        <v>0</v>
      </c>
      <c r="V8" s="176">
        <f>+$B$22</f>
        <v>3.1</v>
      </c>
      <c r="W8" s="176">
        <f>+$B$25</f>
        <v>2.09</v>
      </c>
      <c r="X8" s="2649">
        <f t="shared" si="0"/>
        <v>0.1477</v>
      </c>
      <c r="Y8" s="928">
        <f>+$B$37</f>
        <v>0.95</v>
      </c>
      <c r="Z8" s="2742">
        <f>VLOOKUP(G8,$B$73:$J$86,9,FALSE)</f>
        <v>134</v>
      </c>
      <c r="AA8" s="929">
        <f>VLOOKUP(G8,$B$73:$K$86,10,FALSE)</f>
        <v>1.44E-2</v>
      </c>
      <c r="AB8" s="928">
        <f>1-VLOOKUP(E8,$B$63:$C$64,2,FALSE)</f>
        <v>1</v>
      </c>
      <c r="AC8" s="2820">
        <f t="shared" si="1"/>
        <v>7.4000000000000003E-3</v>
      </c>
      <c r="AD8" s="2822">
        <f>VLOOKUP(G8,$B$73:$I$86,8,FALSE)</f>
        <v>16425</v>
      </c>
      <c r="AE8" s="930">
        <v>0.83</v>
      </c>
      <c r="AF8" s="930">
        <v>0.95</v>
      </c>
      <c r="AG8" s="60"/>
    </row>
    <row r="9" spans="1:33" ht="15" thickBot="1" x14ac:dyDescent="0.4">
      <c r="B9" s="54"/>
    </row>
    <row r="10" spans="1:33" x14ac:dyDescent="0.35">
      <c r="A10" s="154" t="s">
        <v>1188</v>
      </c>
      <c r="B10" s="64"/>
      <c r="C10" s="64"/>
      <c r="D10" s="64"/>
      <c r="E10" s="64"/>
      <c r="F10" s="64"/>
      <c r="G10" s="64"/>
      <c r="H10" s="64"/>
      <c r="I10" s="64"/>
      <c r="J10" s="65"/>
    </row>
    <row r="11" spans="1:33" x14ac:dyDescent="0.35">
      <c r="A11" s="3101" t="s">
        <v>1891</v>
      </c>
      <c r="B11" s="3102"/>
      <c r="C11" s="3102"/>
      <c r="D11" s="3102"/>
      <c r="E11" s="3102"/>
      <c r="F11" s="3102"/>
      <c r="G11" s="3102"/>
      <c r="H11" s="3102"/>
      <c r="I11" s="3102"/>
      <c r="J11" s="3103"/>
    </row>
    <row r="12" spans="1:33" x14ac:dyDescent="0.35">
      <c r="A12" s="3104" t="s">
        <v>1892</v>
      </c>
      <c r="B12" s="3105"/>
      <c r="C12" s="3105"/>
      <c r="D12" s="3105"/>
      <c r="E12" s="3105"/>
      <c r="F12" s="3105"/>
      <c r="G12" s="3105"/>
      <c r="H12" s="3105"/>
      <c r="I12" s="3105"/>
      <c r="J12" s="3106"/>
    </row>
    <row r="13" spans="1:33" x14ac:dyDescent="0.35">
      <c r="A13" s="3104" t="s">
        <v>1893</v>
      </c>
      <c r="B13" s="3105"/>
      <c r="C13" s="3105"/>
      <c r="D13" s="3105"/>
      <c r="E13" s="3105"/>
      <c r="F13" s="3105"/>
      <c r="G13" s="3105"/>
      <c r="H13" s="3105"/>
      <c r="I13" s="3105"/>
      <c r="J13" s="3106"/>
    </row>
    <row r="14" spans="1:33" x14ac:dyDescent="0.35">
      <c r="A14" s="3104" t="s">
        <v>1894</v>
      </c>
      <c r="B14" s="3105"/>
      <c r="C14" s="3105"/>
      <c r="D14" s="3105"/>
      <c r="E14" s="3105"/>
      <c r="F14" s="3105"/>
      <c r="G14" s="3105"/>
      <c r="H14" s="3105"/>
      <c r="I14" s="3105"/>
      <c r="J14" s="3106"/>
    </row>
    <row r="15" spans="1:33" x14ac:dyDescent="0.35">
      <c r="A15" s="154" t="s">
        <v>1078</v>
      </c>
      <c r="B15" s="1142">
        <f>'Measure-Level Adjustments'!A2</f>
        <v>44592</v>
      </c>
    </row>
    <row r="16" spans="1:33" ht="15" thickBot="1" x14ac:dyDescent="0.4">
      <c r="A16" s="154" t="s">
        <v>1079</v>
      </c>
      <c r="B16" s="2620" t="s">
        <v>1895</v>
      </c>
    </row>
    <row r="17" spans="1:12" ht="15" thickBot="1" x14ac:dyDescent="0.4">
      <c r="A17" s="274"/>
    </row>
    <row r="18" spans="1:12" ht="15" thickBot="1" x14ac:dyDescent="0.4">
      <c r="A18" s="74" t="s">
        <v>1285</v>
      </c>
      <c r="B18" s="75" t="s">
        <v>1199</v>
      </c>
      <c r="C18" s="76" t="s">
        <v>1082</v>
      </c>
      <c r="D18" s="64"/>
      <c r="E18" s="64"/>
      <c r="F18" s="64"/>
      <c r="G18" s="64"/>
      <c r="H18" s="64"/>
      <c r="I18" s="64"/>
      <c r="J18" s="64"/>
      <c r="K18" s="64"/>
      <c r="L18" s="65"/>
    </row>
    <row r="19" spans="1:12" x14ac:dyDescent="0.35">
      <c r="A19" s="1220" t="s">
        <v>1871</v>
      </c>
      <c r="B19" s="1221"/>
      <c r="C19" s="1222" t="s">
        <v>1896</v>
      </c>
      <c r="D19" s="1153"/>
      <c r="E19" s="1153"/>
      <c r="F19" s="1153"/>
      <c r="G19" s="1153"/>
      <c r="H19" s="1153"/>
      <c r="I19" s="1153"/>
      <c r="J19" s="1153"/>
      <c r="K19" s="1153"/>
      <c r="L19" s="1155"/>
    </row>
    <row r="20" spans="1:12" ht="15" thickBot="1" x14ac:dyDescent="0.4">
      <c r="A20" s="1160"/>
      <c r="B20" s="1157"/>
      <c r="C20" s="2633" t="s">
        <v>1897</v>
      </c>
      <c r="D20" s="2633"/>
      <c r="E20" s="2633"/>
      <c r="F20" s="1157"/>
      <c r="G20" s="1157"/>
      <c r="H20" s="1157"/>
      <c r="I20" s="1157"/>
      <c r="J20" s="1157"/>
      <c r="K20" s="1157"/>
      <c r="L20" s="1158"/>
    </row>
    <row r="21" spans="1:12" x14ac:dyDescent="0.35">
      <c r="A21" s="1220" t="s">
        <v>1872</v>
      </c>
      <c r="B21" s="1153">
        <v>1.39</v>
      </c>
      <c r="C21" s="1222" t="s">
        <v>1898</v>
      </c>
      <c r="D21" s="1153"/>
      <c r="E21" s="1153"/>
      <c r="F21" s="1153"/>
      <c r="G21" s="1153"/>
      <c r="H21" s="1153"/>
      <c r="I21" s="1153"/>
      <c r="J21" s="1153"/>
      <c r="K21" s="1153"/>
      <c r="L21" s="1155"/>
    </row>
    <row r="22" spans="1:12" x14ac:dyDescent="0.35">
      <c r="A22" s="1161"/>
      <c r="B22" s="1162">
        <v>3.1</v>
      </c>
      <c r="C22" s="1162" t="s">
        <v>1899</v>
      </c>
      <c r="D22" s="1162"/>
      <c r="E22" s="1162"/>
      <c r="F22" s="1162"/>
      <c r="G22" s="1162"/>
      <c r="H22" s="1162"/>
      <c r="I22" s="1162"/>
      <c r="J22" s="1162"/>
      <c r="K22" s="1162"/>
      <c r="L22" s="1163"/>
    </row>
    <row r="23" spans="1:12" ht="15" thickBot="1" x14ac:dyDescent="0.4">
      <c r="A23" s="1160"/>
      <c r="B23" s="1157"/>
      <c r="C23" s="1157" t="s">
        <v>1900</v>
      </c>
      <c r="D23" s="1157"/>
      <c r="E23" s="1157"/>
      <c r="F23" s="1157"/>
      <c r="G23" s="1157"/>
      <c r="H23" s="1157"/>
      <c r="I23" s="1157"/>
      <c r="J23" s="1157"/>
      <c r="K23" s="1157"/>
      <c r="L23" s="1158"/>
    </row>
    <row r="24" spans="1:12" x14ac:dyDescent="0.35">
      <c r="A24" s="1220" t="s">
        <v>1873</v>
      </c>
      <c r="B24" s="1153">
        <v>0.94</v>
      </c>
      <c r="C24" s="1222" t="s">
        <v>1901</v>
      </c>
      <c r="D24" s="1153"/>
      <c r="E24" s="1153"/>
      <c r="F24" s="1153"/>
      <c r="G24" s="1153"/>
      <c r="H24" s="1153"/>
      <c r="I24" s="1153"/>
      <c r="J24" s="1153"/>
      <c r="K24" s="1153"/>
      <c r="L24" s="1155"/>
    </row>
    <row r="25" spans="1:12" x14ac:dyDescent="0.35">
      <c r="A25" s="1161"/>
      <c r="B25" s="1162">
        <v>2.09</v>
      </c>
      <c r="C25" s="1162" t="s">
        <v>1902</v>
      </c>
      <c r="D25" s="1162"/>
      <c r="E25" s="1162"/>
      <c r="F25" s="1162"/>
      <c r="G25" s="1162"/>
      <c r="H25" s="1162"/>
      <c r="I25" s="1162"/>
      <c r="J25" s="1162"/>
      <c r="K25" s="1162"/>
      <c r="L25" s="1163"/>
    </row>
    <row r="26" spans="1:12" ht="15" thickBot="1" x14ac:dyDescent="0.4">
      <c r="A26" s="1160"/>
      <c r="B26" s="1157"/>
      <c r="C26" s="1157" t="s">
        <v>1903</v>
      </c>
      <c r="D26" s="1157"/>
      <c r="E26" s="1157"/>
      <c r="F26" s="1157"/>
      <c r="G26" s="1157"/>
      <c r="H26" s="1157"/>
      <c r="I26" s="1157"/>
      <c r="J26" s="1157"/>
      <c r="K26" s="1157"/>
      <c r="L26" s="1158"/>
    </row>
    <row r="27" spans="1:12" ht="15" customHeight="1" x14ac:dyDescent="0.35">
      <c r="A27" s="1220" t="s">
        <v>1874</v>
      </c>
      <c r="B27" s="1223" t="s">
        <v>1904</v>
      </c>
      <c r="C27" s="1222" t="s">
        <v>1905</v>
      </c>
      <c r="D27" s="1153"/>
      <c r="E27" s="1153"/>
      <c r="F27" s="1153"/>
      <c r="G27" s="1153"/>
      <c r="H27" s="1153"/>
      <c r="I27" s="1153"/>
      <c r="J27" s="1153"/>
      <c r="K27" s="1153"/>
      <c r="L27" s="1155"/>
    </row>
    <row r="28" spans="1:12" x14ac:dyDescent="0.35">
      <c r="A28" s="1224"/>
      <c r="B28" s="1162"/>
      <c r="C28" s="1225" t="s">
        <v>1906</v>
      </c>
      <c r="D28" s="1162"/>
      <c r="E28" s="1162"/>
      <c r="F28" s="1162"/>
      <c r="G28" s="1162"/>
      <c r="H28" s="1162"/>
      <c r="I28" s="1162"/>
      <c r="J28" s="1162"/>
      <c r="K28" s="1162"/>
      <c r="L28" s="1163"/>
    </row>
    <row r="29" spans="1:12" x14ac:dyDescent="0.35">
      <c r="A29" s="1161"/>
      <c r="B29" s="1162"/>
      <c r="C29" s="1162" t="s">
        <v>1907</v>
      </c>
      <c r="D29" s="1162"/>
      <c r="E29" s="1162"/>
      <c r="F29" s="1162"/>
      <c r="G29" s="1162"/>
      <c r="H29" s="1162"/>
      <c r="I29" s="1162"/>
      <c r="J29" s="1162"/>
      <c r="K29" s="1162"/>
      <c r="L29" s="1163"/>
    </row>
    <row r="30" spans="1:12" x14ac:dyDescent="0.35">
      <c r="A30" s="1224"/>
      <c r="B30" s="1162"/>
      <c r="C30" s="1225" t="s">
        <v>1908</v>
      </c>
      <c r="D30" s="1162"/>
      <c r="E30" s="1162"/>
      <c r="F30" s="1162"/>
      <c r="G30" s="1162"/>
      <c r="H30" s="1162"/>
      <c r="I30" s="1162"/>
      <c r="J30" s="1162"/>
      <c r="K30" s="1162"/>
      <c r="L30" s="1163"/>
    </row>
    <row r="31" spans="1:12" x14ac:dyDescent="0.35">
      <c r="A31" s="1161"/>
      <c r="B31" s="1162"/>
      <c r="C31" s="1225" t="s">
        <v>1909</v>
      </c>
      <c r="D31" s="1162"/>
      <c r="E31" s="1162"/>
      <c r="F31" s="1162"/>
      <c r="G31" s="1162"/>
      <c r="H31" s="1162"/>
      <c r="I31" s="1162"/>
      <c r="J31" s="1162"/>
      <c r="K31" s="1162"/>
      <c r="L31" s="1163"/>
    </row>
    <row r="32" spans="1:12" x14ac:dyDescent="0.35">
      <c r="A32" s="1161"/>
      <c r="B32" s="1162"/>
      <c r="C32" s="1225" t="s">
        <v>1910</v>
      </c>
      <c r="D32" s="1162"/>
      <c r="E32" s="1162"/>
      <c r="F32" s="1162"/>
      <c r="G32" s="1162"/>
      <c r="H32" s="1162"/>
      <c r="I32" s="1162"/>
      <c r="J32" s="1162"/>
      <c r="K32" s="1162"/>
      <c r="L32" s="1163"/>
    </row>
    <row r="33" spans="1:12" x14ac:dyDescent="0.35">
      <c r="A33" s="1161"/>
      <c r="B33" s="1162"/>
      <c r="C33" s="1162" t="s">
        <v>1911</v>
      </c>
      <c r="D33" s="1162"/>
      <c r="E33" s="1162"/>
      <c r="F33" s="1162"/>
      <c r="G33" s="1162"/>
      <c r="H33" s="1162"/>
      <c r="I33" s="1162"/>
      <c r="J33" s="1162"/>
      <c r="K33" s="1162"/>
      <c r="L33" s="1163"/>
    </row>
    <row r="34" spans="1:12" x14ac:dyDescent="0.35">
      <c r="A34" s="1161"/>
      <c r="B34" s="1162"/>
      <c r="C34" s="2634" t="s">
        <v>1912</v>
      </c>
      <c r="D34" s="2634"/>
      <c r="E34" s="2634"/>
      <c r="F34" s="2634"/>
      <c r="G34" s="1162"/>
      <c r="H34" s="1162"/>
      <c r="I34" s="1162"/>
      <c r="J34" s="1162"/>
      <c r="K34" s="1162"/>
      <c r="L34" s="1163"/>
    </row>
    <row r="35" spans="1:12" x14ac:dyDescent="0.35">
      <c r="A35" s="1161"/>
      <c r="B35" s="1162"/>
      <c r="C35" s="1162" t="s">
        <v>1913</v>
      </c>
      <c r="D35" s="1162"/>
      <c r="E35" s="1162"/>
      <c r="F35" s="1162"/>
      <c r="G35" s="1162"/>
      <c r="H35" s="1162"/>
      <c r="I35" s="1162"/>
      <c r="J35" s="1162"/>
      <c r="K35" s="1162"/>
      <c r="L35" s="1163"/>
    </row>
    <row r="36" spans="1:12" ht="15" thickBot="1" x14ac:dyDescent="0.4">
      <c r="A36" s="1160"/>
      <c r="B36" s="1157"/>
      <c r="C36" s="1157" t="s">
        <v>1914</v>
      </c>
      <c r="D36" s="1157"/>
      <c r="E36" s="1157"/>
      <c r="F36" s="1157"/>
      <c r="G36" s="1157"/>
      <c r="H36" s="1157"/>
      <c r="I36" s="1157"/>
      <c r="J36" s="1157"/>
      <c r="K36" s="1157"/>
      <c r="L36" s="1158"/>
    </row>
    <row r="37" spans="1:12" x14ac:dyDescent="0.35">
      <c r="A37" s="1220" t="s">
        <v>1580</v>
      </c>
      <c r="B37" s="1221">
        <v>0.95</v>
      </c>
      <c r="C37" s="1222" t="s">
        <v>1915</v>
      </c>
      <c r="D37" s="1153"/>
      <c r="E37" s="1153"/>
      <c r="F37" s="1153"/>
      <c r="G37" s="1153"/>
      <c r="H37" s="1153"/>
      <c r="I37" s="1153"/>
      <c r="J37" s="1153"/>
      <c r="K37" s="1153"/>
      <c r="L37" s="1155"/>
    </row>
    <row r="38" spans="1:12" ht="15" thickBot="1" x14ac:dyDescent="0.4">
      <c r="A38" s="1160"/>
      <c r="B38" s="1157"/>
      <c r="C38" s="2633" t="s">
        <v>1916</v>
      </c>
      <c r="D38" s="2633"/>
      <c r="E38" s="2633"/>
      <c r="F38" s="2633"/>
      <c r="G38" s="1157"/>
      <c r="H38" s="1157"/>
      <c r="I38" s="1157"/>
      <c r="J38" s="1157"/>
      <c r="K38" s="1157"/>
      <c r="L38" s="1158"/>
    </row>
    <row r="39" spans="1:12" x14ac:dyDescent="0.35">
      <c r="A39" s="1220" t="s">
        <v>1641</v>
      </c>
      <c r="B39" s="1226" t="s">
        <v>1917</v>
      </c>
      <c r="C39" s="1222" t="s">
        <v>1918</v>
      </c>
      <c r="D39" s="1153"/>
      <c r="E39" s="1153"/>
      <c r="F39" s="1153"/>
      <c r="G39" s="1153"/>
      <c r="H39" s="1153"/>
      <c r="I39" s="1153"/>
      <c r="J39" s="1153"/>
      <c r="K39" s="1153"/>
      <c r="L39" s="1155"/>
    </row>
    <row r="40" spans="1:12" x14ac:dyDescent="0.35">
      <c r="A40" s="1161"/>
      <c r="B40" s="1162" t="s">
        <v>1792</v>
      </c>
      <c r="C40" s="1162" t="s">
        <v>1919</v>
      </c>
      <c r="D40" s="1162"/>
      <c r="E40" s="1162"/>
      <c r="F40" s="1162"/>
      <c r="G40" s="1162"/>
      <c r="H40" s="1162"/>
      <c r="I40" s="1162"/>
      <c r="J40" s="1162"/>
      <c r="K40" s="1162"/>
      <c r="L40" s="1163"/>
    </row>
    <row r="41" spans="1:12" x14ac:dyDescent="0.35">
      <c r="A41" s="1161"/>
      <c r="B41" s="1162"/>
      <c r="C41" s="1162" t="s">
        <v>1920</v>
      </c>
      <c r="D41" s="1162"/>
      <c r="E41" s="1162"/>
      <c r="F41" s="1162"/>
      <c r="G41" s="1162"/>
      <c r="H41" s="1162"/>
      <c r="I41" s="1162"/>
      <c r="J41" s="1162"/>
      <c r="K41" s="1162"/>
      <c r="L41" s="1163"/>
    </row>
    <row r="42" spans="1:12" x14ac:dyDescent="0.35">
      <c r="A42" s="1161"/>
      <c r="B42" s="1162"/>
      <c r="C42" s="1162" t="s">
        <v>1921</v>
      </c>
      <c r="D42" s="1162"/>
      <c r="E42" s="1162"/>
      <c r="F42" s="1162"/>
      <c r="G42" s="1162"/>
      <c r="H42" s="1162"/>
      <c r="I42" s="1162"/>
      <c r="J42" s="1162"/>
      <c r="K42" s="1162"/>
      <c r="L42" s="1163"/>
    </row>
    <row r="43" spans="1:12" ht="15" thickBot="1" x14ac:dyDescent="0.4">
      <c r="A43" s="1160"/>
      <c r="B43" s="1157"/>
      <c r="C43" s="1157" t="s">
        <v>1922</v>
      </c>
      <c r="D43" s="1157"/>
      <c r="E43" s="1157"/>
      <c r="F43" s="1157"/>
      <c r="G43" s="1157"/>
      <c r="H43" s="1157"/>
      <c r="I43" s="1157"/>
      <c r="J43" s="1157"/>
      <c r="K43" s="1157"/>
      <c r="L43" s="1158"/>
    </row>
    <row r="44" spans="1:12" x14ac:dyDescent="0.35">
      <c r="A44" s="1220" t="s">
        <v>1179</v>
      </c>
      <c r="B44" s="1153"/>
      <c r="C44" s="1222" t="s">
        <v>1923</v>
      </c>
      <c r="D44" s="1153"/>
      <c r="E44" s="1153"/>
      <c r="F44" s="1153"/>
      <c r="G44" s="1153"/>
      <c r="H44" s="1153"/>
      <c r="I44" s="1153"/>
      <c r="J44" s="1153"/>
      <c r="K44" s="1153"/>
      <c r="L44" s="1155"/>
    </row>
    <row r="45" spans="1:12" ht="15" thickBot="1" x14ac:dyDescent="0.4">
      <c r="A45" s="1160"/>
      <c r="B45" s="1157"/>
      <c r="C45" s="1157" t="s">
        <v>1924</v>
      </c>
      <c r="D45" s="1157"/>
      <c r="E45" s="1157"/>
      <c r="F45" s="1157"/>
      <c r="G45" s="1157"/>
      <c r="H45" s="1157"/>
      <c r="I45" s="1157"/>
      <c r="J45" s="1157"/>
      <c r="K45" s="1157"/>
      <c r="L45" s="1158"/>
    </row>
    <row r="46" spans="1:12" x14ac:dyDescent="0.35">
      <c r="A46" s="1220" t="s">
        <v>1875</v>
      </c>
      <c r="B46" s="1221"/>
      <c r="C46" s="1222" t="s">
        <v>1925</v>
      </c>
      <c r="D46" s="1153"/>
      <c r="E46" s="1153"/>
      <c r="F46" s="1153"/>
      <c r="G46" s="1153"/>
      <c r="H46" s="1153"/>
      <c r="I46" s="1153"/>
      <c r="J46" s="1153"/>
      <c r="K46" s="1153"/>
      <c r="L46" s="1155"/>
    </row>
    <row r="47" spans="1:12" ht="15" thickBot="1" x14ac:dyDescent="0.4">
      <c r="A47" s="1160"/>
      <c r="B47" s="1157"/>
      <c r="C47" s="2633" t="s">
        <v>1926</v>
      </c>
      <c r="D47" s="2633"/>
      <c r="E47" s="2633"/>
      <c r="F47" s="2633"/>
      <c r="G47" s="2633"/>
      <c r="H47" s="1157"/>
      <c r="I47" s="1157"/>
      <c r="J47" s="1157"/>
      <c r="K47" s="1157"/>
      <c r="L47" s="1158"/>
    </row>
    <row r="48" spans="1:12" ht="15" customHeight="1" x14ac:dyDescent="0.35">
      <c r="A48" s="1220" t="s">
        <v>1876</v>
      </c>
      <c r="B48" s="1223" t="s">
        <v>1904</v>
      </c>
      <c r="C48" s="1222" t="s">
        <v>1927</v>
      </c>
      <c r="D48" s="1153"/>
      <c r="E48" s="1153"/>
      <c r="F48" s="1153"/>
      <c r="G48" s="1153"/>
      <c r="H48" s="1153"/>
      <c r="I48" s="1153"/>
      <c r="J48" s="1153"/>
      <c r="K48" s="1153"/>
      <c r="L48" s="1155"/>
    </row>
    <row r="49" spans="1:12" x14ac:dyDescent="0.35">
      <c r="A49" s="1161"/>
      <c r="B49" s="1162"/>
      <c r="C49" s="1162" t="s">
        <v>1928</v>
      </c>
      <c r="D49" s="1162"/>
      <c r="E49" s="1162"/>
      <c r="F49" s="1162"/>
      <c r="G49" s="1162"/>
      <c r="H49" s="1162"/>
      <c r="I49" s="1162"/>
      <c r="J49" s="1162"/>
      <c r="K49" s="1162"/>
      <c r="L49" s="1163"/>
    </row>
    <row r="50" spans="1:12" x14ac:dyDescent="0.35">
      <c r="A50" s="1161"/>
      <c r="B50" s="1162"/>
      <c r="C50" s="1162" t="s">
        <v>1929</v>
      </c>
      <c r="D50" s="1162"/>
      <c r="E50" s="1162"/>
      <c r="F50" s="1162"/>
      <c r="G50" s="1162"/>
      <c r="H50" s="1162"/>
      <c r="I50" s="1162"/>
      <c r="J50" s="1162"/>
      <c r="K50" s="1162"/>
      <c r="L50" s="1163"/>
    </row>
    <row r="51" spans="1:12" x14ac:dyDescent="0.35">
      <c r="A51" s="1161"/>
      <c r="B51" s="1162"/>
      <c r="C51" s="1162" t="s">
        <v>1930</v>
      </c>
      <c r="D51" s="1162"/>
      <c r="E51" s="1162"/>
      <c r="F51" s="1162"/>
      <c r="G51" s="1162"/>
      <c r="H51" s="1162"/>
      <c r="I51" s="1162"/>
      <c r="J51" s="1162"/>
      <c r="K51" s="1162"/>
      <c r="L51" s="1163"/>
    </row>
    <row r="52" spans="1:12" x14ac:dyDescent="0.35">
      <c r="A52" s="1161"/>
      <c r="B52" s="1162"/>
      <c r="C52" s="1162" t="s">
        <v>1931</v>
      </c>
      <c r="D52" s="1162"/>
      <c r="E52" s="1162"/>
      <c r="F52" s="1162"/>
      <c r="G52" s="1162"/>
      <c r="H52" s="1162"/>
      <c r="I52" s="1162"/>
      <c r="J52" s="1162"/>
      <c r="K52" s="1162"/>
      <c r="L52" s="1163"/>
    </row>
    <row r="53" spans="1:12" ht="15" thickBot="1" x14ac:dyDescent="0.4">
      <c r="A53" s="1160"/>
      <c r="B53" s="1157"/>
      <c r="C53" s="1227" t="s">
        <v>1932</v>
      </c>
      <c r="D53" s="1157"/>
      <c r="E53" s="1157"/>
      <c r="F53" s="1157"/>
      <c r="G53" s="1157"/>
      <c r="H53" s="1157"/>
      <c r="I53" s="1157"/>
      <c r="J53" s="1157"/>
      <c r="K53" s="1157"/>
      <c r="L53" s="1158"/>
    </row>
    <row r="54" spans="1:12" ht="29.5" thickBot="1" x14ac:dyDescent="0.4">
      <c r="A54" s="1228" t="s">
        <v>1877</v>
      </c>
      <c r="B54" s="1229" t="s">
        <v>1933</v>
      </c>
      <c r="C54" s="1230" t="s">
        <v>1934</v>
      </c>
      <c r="D54" s="1231"/>
      <c r="E54" s="1231"/>
      <c r="F54" s="1231"/>
      <c r="G54" s="1231"/>
      <c r="H54" s="1231"/>
      <c r="I54" s="1231"/>
      <c r="J54" s="1231"/>
      <c r="K54" s="1231"/>
      <c r="L54" s="1232"/>
    </row>
    <row r="55" spans="1:12" ht="15" thickBot="1" x14ac:dyDescent="0.4">
      <c r="A55" s="662" t="s">
        <v>1083</v>
      </c>
      <c r="B55" s="606">
        <v>10</v>
      </c>
      <c r="C55" s="606" t="s">
        <v>1935</v>
      </c>
      <c r="D55" s="606"/>
      <c r="E55" s="606"/>
      <c r="F55" s="606"/>
      <c r="G55" s="606"/>
      <c r="H55" s="606"/>
      <c r="I55" s="606"/>
      <c r="J55" s="606"/>
      <c r="K55" s="606"/>
      <c r="L55" s="607"/>
    </row>
    <row r="56" spans="1:12" x14ac:dyDescent="0.35">
      <c r="A56" s="379" t="s">
        <v>1040</v>
      </c>
      <c r="B56" s="380"/>
      <c r="C56" s="380" t="s">
        <v>1936</v>
      </c>
      <c r="D56" s="380"/>
      <c r="E56" s="380"/>
      <c r="F56" s="380"/>
      <c r="G56" s="380"/>
      <c r="H56" s="380"/>
      <c r="I56" s="380"/>
      <c r="J56" s="380"/>
      <c r="K56" s="380"/>
      <c r="L56" s="381"/>
    </row>
    <row r="57" spans="1:12" ht="15" thickBot="1" x14ac:dyDescent="0.4">
      <c r="A57" s="261"/>
      <c r="B57" s="161"/>
      <c r="C57" s="161"/>
      <c r="D57" s="161"/>
      <c r="E57" s="161"/>
      <c r="F57" s="161"/>
      <c r="G57" s="161"/>
      <c r="H57" s="161"/>
      <c r="I57" s="161"/>
      <c r="J57" s="161"/>
      <c r="K57" s="161"/>
      <c r="L57" s="163"/>
    </row>
    <row r="59" spans="1:12" ht="15" thickBot="1" x14ac:dyDescent="0.4"/>
    <row r="60" spans="1:12" ht="15" thickBot="1" x14ac:dyDescent="0.4">
      <c r="A60" s="97" t="s">
        <v>1257</v>
      </c>
      <c r="B60" s="64"/>
      <c r="C60" s="64"/>
      <c r="D60" s="64"/>
      <c r="E60" s="64"/>
      <c r="F60" s="64"/>
      <c r="G60" s="64"/>
      <c r="H60" s="64"/>
      <c r="I60" s="64"/>
      <c r="J60" s="64"/>
      <c r="K60" s="64"/>
      <c r="L60" s="65"/>
    </row>
    <row r="61" spans="1:12" x14ac:dyDescent="0.35">
      <c r="A61" s="99"/>
      <c r="B61" s="69"/>
      <c r="C61" s="69"/>
      <c r="D61" s="69"/>
      <c r="E61" s="69"/>
      <c r="F61" s="69"/>
      <c r="G61" s="69"/>
      <c r="H61" s="69"/>
      <c r="I61" s="69"/>
      <c r="J61" s="69"/>
      <c r="K61" s="69"/>
      <c r="L61" s="100"/>
    </row>
    <row r="62" spans="1:12" ht="25.5" customHeight="1" x14ac:dyDescent="0.35">
      <c r="A62" s="99"/>
      <c r="B62" s="680" t="s">
        <v>1937</v>
      </c>
      <c r="C62" s="680" t="s">
        <v>1938</v>
      </c>
      <c r="D62" s="69"/>
      <c r="E62" s="3096" t="s">
        <v>1876</v>
      </c>
      <c r="F62" s="3097"/>
      <c r="G62" s="69"/>
      <c r="H62" s="3096" t="s">
        <v>1874</v>
      </c>
      <c r="I62" s="3097"/>
      <c r="J62" s="69"/>
      <c r="K62" s="69"/>
      <c r="L62" s="100"/>
    </row>
    <row r="63" spans="1:12" x14ac:dyDescent="0.35">
      <c r="A63" s="99"/>
      <c r="B63" s="330" t="s">
        <v>1566</v>
      </c>
      <c r="C63" s="102">
        <v>1</v>
      </c>
      <c r="D63" s="69"/>
      <c r="E63" s="330" t="s">
        <v>1882</v>
      </c>
      <c r="F63" s="2639">
        <v>4.4000000000000003E-3</v>
      </c>
      <c r="G63" s="69"/>
      <c r="H63" s="330" t="s">
        <v>1882</v>
      </c>
      <c r="I63" s="2638">
        <v>8.7900000000000006E-2</v>
      </c>
      <c r="J63" s="69"/>
      <c r="K63" s="69"/>
      <c r="L63" s="100"/>
    </row>
    <row r="64" spans="1:12" ht="24" customHeight="1" x14ac:dyDescent="0.35">
      <c r="A64" s="99"/>
      <c r="B64" s="330" t="s">
        <v>1880</v>
      </c>
      <c r="C64" s="102">
        <v>0</v>
      </c>
      <c r="D64" s="69"/>
      <c r="E64" s="330" t="s">
        <v>1883</v>
      </c>
      <c r="F64" s="2639">
        <v>5.3E-3</v>
      </c>
      <c r="G64" s="69"/>
      <c r="H64" s="330" t="s">
        <v>1883</v>
      </c>
      <c r="I64" s="2638">
        <v>0.10539999999999999</v>
      </c>
      <c r="J64" s="69"/>
      <c r="K64" s="69"/>
      <c r="L64" s="100"/>
    </row>
    <row r="65" spans="1:12" ht="30.75" customHeight="1" x14ac:dyDescent="0.35">
      <c r="A65" s="99"/>
      <c r="B65" s="69"/>
      <c r="C65" s="69"/>
      <c r="D65" s="69"/>
      <c r="E65" s="330" t="s">
        <v>1185</v>
      </c>
      <c r="F65" s="2639">
        <v>5.0000000000000001E-3</v>
      </c>
      <c r="G65" s="69"/>
      <c r="H65" s="330" t="s">
        <v>1185</v>
      </c>
      <c r="I65" s="2638">
        <v>0.1004</v>
      </c>
      <c r="J65" s="69"/>
      <c r="K65" s="69"/>
      <c r="L65" s="100"/>
    </row>
    <row r="66" spans="1:12" x14ac:dyDescent="0.35">
      <c r="A66" s="99"/>
      <c r="B66" s="680" t="s">
        <v>1040</v>
      </c>
      <c r="C66" s="680"/>
      <c r="D66" s="69"/>
      <c r="E66" s="330" t="s">
        <v>1884</v>
      </c>
      <c r="F66" s="2639">
        <v>7.4000000000000003E-3</v>
      </c>
      <c r="G66" s="69"/>
      <c r="H66" s="330" t="s">
        <v>1884</v>
      </c>
      <c r="I66" s="2639">
        <v>0.1477</v>
      </c>
      <c r="J66" s="69"/>
      <c r="K66" s="69"/>
      <c r="L66" s="100"/>
    </row>
    <row r="67" spans="1:12" x14ac:dyDescent="0.35">
      <c r="A67" s="99"/>
      <c r="B67" s="49" t="s">
        <v>1939</v>
      </c>
      <c r="C67" s="2784">
        <v>8</v>
      </c>
      <c r="D67" s="69"/>
      <c r="E67" s="69"/>
      <c r="F67" s="69"/>
      <c r="G67" s="69"/>
      <c r="H67" s="69"/>
      <c r="I67" s="69"/>
      <c r="J67" s="69"/>
      <c r="K67" s="69"/>
      <c r="L67" s="100"/>
    </row>
    <row r="68" spans="1:12" ht="30" customHeight="1" x14ac:dyDescent="0.35">
      <c r="A68" s="99"/>
      <c r="B68" s="49" t="s">
        <v>1940</v>
      </c>
      <c r="C68" s="2784">
        <v>12</v>
      </c>
      <c r="D68" s="69"/>
      <c r="E68" s="69"/>
      <c r="F68" s="69"/>
      <c r="G68" s="69"/>
      <c r="H68" s="69"/>
      <c r="I68" s="69"/>
      <c r="J68" s="69"/>
      <c r="K68" s="69"/>
      <c r="L68" s="100"/>
    </row>
    <row r="69" spans="1:12" ht="26.25" customHeight="1" x14ac:dyDescent="0.35">
      <c r="A69" s="99"/>
      <c r="B69" s="49" t="s">
        <v>1941</v>
      </c>
      <c r="C69" s="2784">
        <v>14.27</v>
      </c>
      <c r="D69" s="69"/>
      <c r="E69" s="69"/>
      <c r="F69" s="69"/>
      <c r="G69" s="69"/>
      <c r="H69" s="69"/>
      <c r="I69" s="69"/>
      <c r="J69" s="69"/>
      <c r="K69" s="69"/>
      <c r="L69" s="100"/>
    </row>
    <row r="70" spans="1:12" ht="26.25" customHeight="1" x14ac:dyDescent="0.35">
      <c r="A70" s="99"/>
      <c r="B70" s="69"/>
      <c r="C70" s="69"/>
      <c r="D70" s="69"/>
      <c r="E70" s="69"/>
      <c r="F70" s="69"/>
      <c r="G70" s="69"/>
      <c r="H70" s="69"/>
      <c r="I70" s="69"/>
      <c r="J70" s="69"/>
      <c r="K70" s="69"/>
      <c r="L70" s="100"/>
    </row>
    <row r="71" spans="1:12" ht="52" x14ac:dyDescent="0.35">
      <c r="A71" s="99"/>
      <c r="B71" s="680" t="s">
        <v>1360</v>
      </c>
      <c r="C71" s="680" t="s">
        <v>1942</v>
      </c>
      <c r="D71" s="680" t="s">
        <v>356</v>
      </c>
      <c r="E71" s="680" t="s">
        <v>1943</v>
      </c>
      <c r="F71" s="680" t="s">
        <v>1944</v>
      </c>
      <c r="G71" s="680" t="s">
        <v>356</v>
      </c>
      <c r="H71" s="680" t="s">
        <v>1945</v>
      </c>
      <c r="I71" s="680" t="s">
        <v>1946</v>
      </c>
      <c r="J71" s="2635" t="s">
        <v>1947</v>
      </c>
      <c r="K71" s="680" t="s">
        <v>1948</v>
      </c>
      <c r="L71" s="100"/>
    </row>
    <row r="72" spans="1:12" x14ac:dyDescent="0.35">
      <c r="A72" s="99"/>
      <c r="B72" s="680"/>
      <c r="C72" s="680" t="s">
        <v>1949</v>
      </c>
      <c r="D72" s="680"/>
      <c r="E72" s="680" t="s">
        <v>1950</v>
      </c>
      <c r="F72" s="680" t="s">
        <v>1951</v>
      </c>
      <c r="G72" s="680"/>
      <c r="H72" s="680" t="s">
        <v>1952</v>
      </c>
      <c r="I72" s="680" t="s">
        <v>1953</v>
      </c>
      <c r="J72" s="2635"/>
      <c r="K72" s="680"/>
      <c r="L72" s="100"/>
    </row>
    <row r="73" spans="1:12" ht="39" x14ac:dyDescent="0.35">
      <c r="A73" s="99"/>
      <c r="B73" s="330" t="s">
        <v>1860</v>
      </c>
      <c r="C73" s="330">
        <v>1</v>
      </c>
      <c r="D73" s="330" t="s">
        <v>1954</v>
      </c>
      <c r="E73" s="330">
        <v>1</v>
      </c>
      <c r="F73" s="330">
        <v>10</v>
      </c>
      <c r="G73" s="330" t="s">
        <v>1955</v>
      </c>
      <c r="H73" s="330">
        <v>250</v>
      </c>
      <c r="I73" s="330">
        <v>2500</v>
      </c>
      <c r="J73" s="2636">
        <v>20</v>
      </c>
      <c r="K73" s="101">
        <v>6.4000000000000003E-3</v>
      </c>
      <c r="L73" s="100"/>
    </row>
    <row r="74" spans="1:12" ht="39" x14ac:dyDescent="0.35">
      <c r="A74" s="99"/>
      <c r="B74" s="330" t="s">
        <v>1855</v>
      </c>
      <c r="C74" s="330">
        <v>1</v>
      </c>
      <c r="D74" s="330" t="s">
        <v>1954</v>
      </c>
      <c r="E74" s="330">
        <v>1</v>
      </c>
      <c r="F74" s="330">
        <v>45</v>
      </c>
      <c r="G74" s="330" t="s">
        <v>1955</v>
      </c>
      <c r="H74" s="330">
        <v>250</v>
      </c>
      <c r="I74" s="330">
        <v>11250</v>
      </c>
      <c r="J74" s="2636">
        <v>92</v>
      </c>
      <c r="K74" s="101">
        <v>2.8799999999999999E-2</v>
      </c>
      <c r="L74" s="100"/>
    </row>
    <row r="75" spans="1:12" ht="26" x14ac:dyDescent="0.35">
      <c r="A75" s="99"/>
      <c r="B75" s="330" t="s">
        <v>1956</v>
      </c>
      <c r="C75" s="330">
        <v>0.7</v>
      </c>
      <c r="D75" s="330" t="s">
        <v>1957</v>
      </c>
      <c r="E75" s="330">
        <v>0.5</v>
      </c>
      <c r="F75" s="330">
        <v>75</v>
      </c>
      <c r="G75" s="330" t="s">
        <v>1958</v>
      </c>
      <c r="H75" s="330">
        <v>365</v>
      </c>
      <c r="I75" s="330">
        <v>9581</v>
      </c>
      <c r="J75" s="2636">
        <v>78</v>
      </c>
      <c r="K75" s="101">
        <v>8.3999999999999995E-3</v>
      </c>
      <c r="L75" s="100"/>
    </row>
    <row r="76" spans="1:12" ht="30" customHeight="1" x14ac:dyDescent="0.35">
      <c r="A76" s="99"/>
      <c r="B76" s="330" t="s">
        <v>1959</v>
      </c>
      <c r="C76" s="330">
        <v>2.4</v>
      </c>
      <c r="D76" s="330" t="s">
        <v>1960</v>
      </c>
      <c r="E76" s="330">
        <v>0.5</v>
      </c>
      <c r="F76" s="330">
        <v>36</v>
      </c>
      <c r="G76" s="330" t="s">
        <v>1958</v>
      </c>
      <c r="H76" s="330">
        <v>365</v>
      </c>
      <c r="I76" s="330">
        <v>15768</v>
      </c>
      <c r="J76" s="2636">
        <v>129</v>
      </c>
      <c r="K76" s="101">
        <v>1.84E-2</v>
      </c>
      <c r="L76" s="100"/>
    </row>
    <row r="77" spans="1:12" ht="39" x14ac:dyDescent="0.35">
      <c r="A77" s="99"/>
      <c r="B77" s="330" t="s">
        <v>1961</v>
      </c>
      <c r="C77" s="330">
        <v>2</v>
      </c>
      <c r="D77" s="330" t="s">
        <v>1962</v>
      </c>
      <c r="E77" s="330">
        <v>1</v>
      </c>
      <c r="F77" s="330">
        <v>5</v>
      </c>
      <c r="G77" s="330" t="s">
        <v>1955</v>
      </c>
      <c r="H77" s="330">
        <v>365</v>
      </c>
      <c r="I77" s="330">
        <v>3650</v>
      </c>
      <c r="J77" s="2636">
        <v>30</v>
      </c>
      <c r="K77" s="101">
        <v>4.3E-3</v>
      </c>
      <c r="L77" s="100"/>
    </row>
    <row r="78" spans="1:12" ht="39" x14ac:dyDescent="0.35">
      <c r="A78" s="99"/>
      <c r="B78" s="330" t="s">
        <v>1853</v>
      </c>
      <c r="C78" s="330">
        <v>2</v>
      </c>
      <c r="D78" s="330" t="s">
        <v>1962</v>
      </c>
      <c r="E78" s="330">
        <v>1</v>
      </c>
      <c r="F78" s="330">
        <v>5</v>
      </c>
      <c r="G78" s="330" t="s">
        <v>1955</v>
      </c>
      <c r="H78" s="330">
        <v>365</v>
      </c>
      <c r="I78" s="330">
        <v>3650</v>
      </c>
      <c r="J78" s="2636">
        <v>30</v>
      </c>
      <c r="K78" s="101">
        <v>4.3E-3</v>
      </c>
      <c r="L78" s="100"/>
    </row>
    <row r="79" spans="1:12" ht="39" x14ac:dyDescent="0.35">
      <c r="A79" s="99"/>
      <c r="B79" s="330" t="s">
        <v>1862</v>
      </c>
      <c r="C79" s="330">
        <v>2</v>
      </c>
      <c r="D79" s="330" t="s">
        <v>1962</v>
      </c>
      <c r="E79" s="330">
        <v>1</v>
      </c>
      <c r="F79" s="330">
        <v>5</v>
      </c>
      <c r="G79" s="330" t="s">
        <v>1963</v>
      </c>
      <c r="H79" s="330">
        <v>250</v>
      </c>
      <c r="I79" s="330">
        <v>2500</v>
      </c>
      <c r="J79" s="2636">
        <v>20</v>
      </c>
      <c r="K79" s="101">
        <v>6.4000000000000003E-3</v>
      </c>
      <c r="L79" s="100"/>
    </row>
    <row r="80" spans="1:12" ht="26" x14ac:dyDescent="0.35">
      <c r="A80" s="99"/>
      <c r="B80" s="330" t="s">
        <v>1964</v>
      </c>
      <c r="C80" s="330">
        <v>0.6</v>
      </c>
      <c r="D80" s="330" t="s">
        <v>1954</v>
      </c>
      <c r="E80" s="330">
        <v>0.5</v>
      </c>
      <c r="F80" s="330">
        <v>50</v>
      </c>
      <c r="G80" s="330" t="s">
        <v>1965</v>
      </c>
      <c r="H80" s="330">
        <v>200</v>
      </c>
      <c r="I80" s="330">
        <v>3000</v>
      </c>
      <c r="J80" s="2636">
        <v>24</v>
      </c>
      <c r="K80" s="101">
        <v>9.5999999999999992E-3</v>
      </c>
      <c r="L80" s="100"/>
    </row>
    <row r="81" spans="1:12" ht="26" x14ac:dyDescent="0.35">
      <c r="A81" s="99"/>
      <c r="B81" s="330" t="s">
        <v>1966</v>
      </c>
      <c r="C81" s="330">
        <v>1.8</v>
      </c>
      <c r="D81" s="330" t="s">
        <v>1954</v>
      </c>
      <c r="E81" s="330">
        <v>0.5</v>
      </c>
      <c r="F81" s="330">
        <v>50</v>
      </c>
      <c r="G81" s="330" t="s">
        <v>1967</v>
      </c>
      <c r="H81" s="330">
        <v>200</v>
      </c>
      <c r="I81" s="330">
        <v>9000</v>
      </c>
      <c r="J81" s="2636">
        <v>73</v>
      </c>
      <c r="K81" s="101">
        <v>2.8799999999999999E-2</v>
      </c>
      <c r="L81" s="100"/>
    </row>
    <row r="82" spans="1:12" ht="26" x14ac:dyDescent="0.35">
      <c r="A82" s="99"/>
      <c r="B82" s="330" t="s">
        <v>1854</v>
      </c>
      <c r="C82" s="330">
        <v>90</v>
      </c>
      <c r="D82" s="330" t="s">
        <v>1968</v>
      </c>
      <c r="E82" s="330">
        <v>0.25</v>
      </c>
      <c r="F82" s="330">
        <v>2</v>
      </c>
      <c r="G82" s="330" t="s">
        <v>1969</v>
      </c>
      <c r="H82" s="330">
        <v>365</v>
      </c>
      <c r="I82" s="330">
        <v>16425</v>
      </c>
      <c r="J82" s="2636">
        <v>134</v>
      </c>
      <c r="K82" s="101">
        <v>1.44E-2</v>
      </c>
      <c r="L82" s="100"/>
    </row>
    <row r="83" spans="1:12" ht="26" x14ac:dyDescent="0.35">
      <c r="A83" s="99"/>
      <c r="B83" s="330" t="s">
        <v>1970</v>
      </c>
      <c r="C83" s="330">
        <v>20</v>
      </c>
      <c r="D83" s="330" t="s">
        <v>1971</v>
      </c>
      <c r="E83" s="330">
        <v>0.25</v>
      </c>
      <c r="F83" s="330">
        <v>1</v>
      </c>
      <c r="G83" s="330" t="s">
        <v>1972</v>
      </c>
      <c r="H83" s="330">
        <v>365</v>
      </c>
      <c r="I83" s="330">
        <v>1825</v>
      </c>
      <c r="J83" s="2636">
        <v>15</v>
      </c>
      <c r="K83" s="101">
        <v>5.9999999999999995E-4</v>
      </c>
      <c r="L83" s="100"/>
    </row>
    <row r="84" spans="1:12" ht="26" x14ac:dyDescent="0.35">
      <c r="A84" s="111"/>
      <c r="B84" s="330" t="s">
        <v>1973</v>
      </c>
      <c r="C84" s="330">
        <v>14</v>
      </c>
      <c r="D84" s="330" t="s">
        <v>1974</v>
      </c>
      <c r="E84" s="330">
        <v>0.25</v>
      </c>
      <c r="F84" s="330">
        <v>1</v>
      </c>
      <c r="G84" s="330" t="s">
        <v>1975</v>
      </c>
      <c r="H84" s="330">
        <v>365</v>
      </c>
      <c r="I84" s="330">
        <v>1278</v>
      </c>
      <c r="J84" s="2636">
        <v>10</v>
      </c>
      <c r="K84" s="101">
        <v>4.0000000000000002E-4</v>
      </c>
      <c r="L84" s="100"/>
    </row>
    <row r="85" spans="1:12" ht="39" x14ac:dyDescent="0.35">
      <c r="A85" s="99"/>
      <c r="B85" s="330" t="s">
        <v>1976</v>
      </c>
      <c r="C85" s="330">
        <v>1</v>
      </c>
      <c r="D85" s="330" t="s">
        <v>1962</v>
      </c>
      <c r="E85" s="330">
        <v>1</v>
      </c>
      <c r="F85" s="330">
        <v>20</v>
      </c>
      <c r="G85" s="330" t="s">
        <v>1963</v>
      </c>
      <c r="H85" s="330">
        <v>250</v>
      </c>
      <c r="I85" s="330">
        <v>5000</v>
      </c>
      <c r="J85" s="2636">
        <v>41</v>
      </c>
      <c r="K85" s="101">
        <v>1.2800000000000001E-2</v>
      </c>
      <c r="L85" s="100"/>
    </row>
    <row r="86" spans="1:12" x14ac:dyDescent="0.35">
      <c r="A86" s="99"/>
      <c r="B86" s="330" t="s">
        <v>105</v>
      </c>
      <c r="C86" s="687">
        <f>AVERAGE(C73,C75,C77,C78,C83,C85)</f>
        <v>4.45</v>
      </c>
      <c r="D86" s="687"/>
      <c r="E86" s="932">
        <f>AVERAGE(E73,E75,E77,E78,E83,E85)</f>
        <v>0.79166666666666663</v>
      </c>
      <c r="F86" s="933">
        <f>AVERAGE(F73,F75,F77,F78,F83,F85)</f>
        <v>19.333333333333332</v>
      </c>
      <c r="G86" s="687"/>
      <c r="H86" s="933">
        <f>AVERAGE(H73,H75,H77,H78,H83,H85)</f>
        <v>326.66666666666669</v>
      </c>
      <c r="I86" s="933">
        <f>AVERAGE(I73,I75,I77,I78,I83,I85)</f>
        <v>4367.666666666667</v>
      </c>
      <c r="J86" s="2637">
        <f>AVERAGE(J73,J75,J77,J78,J83,J85)</f>
        <v>35.666666666666664</v>
      </c>
      <c r="K86" s="934">
        <f>AVERAGE(K73,K75,K77,K78,K83,K85)</f>
        <v>6.1333333333333335E-3</v>
      </c>
      <c r="L86" s="100"/>
    </row>
    <row r="87" spans="1:12" x14ac:dyDescent="0.35">
      <c r="A87" s="99"/>
      <c r="B87" s="69"/>
      <c r="C87" s="69"/>
      <c r="D87" s="69"/>
      <c r="E87" s="69"/>
      <c r="F87" s="69"/>
      <c r="G87" s="69"/>
      <c r="H87" s="69"/>
      <c r="I87" s="69"/>
      <c r="J87" s="69"/>
      <c r="K87" s="69"/>
      <c r="L87" s="100"/>
    </row>
    <row r="88" spans="1:12" ht="15" thickBot="1" x14ac:dyDescent="0.4">
      <c r="A88" s="261"/>
      <c r="B88" s="161"/>
      <c r="C88" s="161"/>
      <c r="D88" s="161"/>
      <c r="E88" s="161"/>
      <c r="F88" s="161"/>
      <c r="G88" s="161"/>
      <c r="H88" s="161"/>
      <c r="I88" s="161"/>
      <c r="J88" s="161"/>
      <c r="K88" s="161"/>
      <c r="L88" s="163"/>
    </row>
  </sheetData>
  <customSheetViews>
    <customSheetView guid="{ECD6FE6A-9548-414E-B8AA-6998703C57E0}" scale="85" showPageBreaks="1" fitToPage="1" printArea="1" view="pageBreakPreview">
      <pageMargins left="0" right="0" top="0" bottom="0" header="0" footer="0"/>
      <pageSetup scale="26" orientation="landscape" r:id="rId1"/>
    </customSheetView>
    <customSheetView guid="{11DE45F5-F478-4ED6-8DFF-12002C22A637}" scale="85" showPageBreaks="1" fitToPage="1" printArea="1" view="pageBreakPreview">
      <pageMargins left="0" right="0" top="0" bottom="0" header="0" footer="0"/>
      <pageSetup scale="26" orientation="landscape" r:id="rId2"/>
    </customSheetView>
  </customSheetViews>
  <mergeCells count="9">
    <mergeCell ref="E62:F62"/>
    <mergeCell ref="H62:I62"/>
    <mergeCell ref="L2:O2"/>
    <mergeCell ref="P2:S2"/>
    <mergeCell ref="T2:AF2"/>
    <mergeCell ref="A11:J11"/>
    <mergeCell ref="A12:J12"/>
    <mergeCell ref="A13:J13"/>
    <mergeCell ref="A14:J14"/>
  </mergeCells>
  <dataValidations count="4">
    <dataValidation type="list" allowBlank="1" showInputMessage="1" showErrorMessage="1" sqref="J4:J8" xr:uid="{00000000-0002-0000-1100-000000000000}">
      <formula1>$B$67:$B$69</formula1>
    </dataValidation>
    <dataValidation type="list" allowBlank="1" showInputMessage="1" showErrorMessage="1" sqref="G4:G8" xr:uid="{00000000-0002-0000-1100-000001000000}">
      <formula1>$B$73:$B$86</formula1>
    </dataValidation>
    <dataValidation type="list" allowBlank="1" showInputMessage="1" showErrorMessage="1" sqref="D4:D8" xr:uid="{00000000-0002-0000-1100-000002000000}">
      <formula1>MeasureType</formula1>
    </dataValidation>
    <dataValidation type="list" allowBlank="1" showInputMessage="1" showErrorMessage="1" sqref="E4:E8" xr:uid="{00000000-0002-0000-1100-000003000000}">
      <formula1>Fuel2</formula1>
    </dataValidation>
  </dataValidations>
  <hyperlinks>
    <hyperlink ref="C71" location="_ftn1" display="_ftn1" xr:uid="{00000000-0004-0000-1100-000000000000}"/>
    <hyperlink ref="E71" location="_ftn2" display="_ftn2" xr:uid="{00000000-0004-0000-1100-000001000000}"/>
    <hyperlink ref="F71" location="_ftn3" display="_ftn3" xr:uid="{00000000-0004-0000-1100-000002000000}"/>
    <hyperlink ref="A1" location="'Measure-Level Adjustments'!Print_Titles" display="Measure Level Tab" xr:uid="{3C99D23D-F969-45BE-862F-95AD970C8753}"/>
  </hyperlinks>
  <pageMargins left="0.7" right="0.7" top="0.75" bottom="0.75" header="0.3" footer="0.3"/>
  <pageSetup scale="26"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AF79"/>
  <sheetViews>
    <sheetView view="pageBreakPreview" topLeftCell="A49" zoomScale="85" zoomScaleNormal="100" zoomScaleSheetLayoutView="85" workbookViewId="0">
      <selection activeCell="C18" sqref="C18"/>
    </sheetView>
  </sheetViews>
  <sheetFormatPr defaultRowHeight="14.5" x14ac:dyDescent="0.35"/>
  <cols>
    <col min="1" max="1" width="19.1796875" customWidth="1"/>
    <col min="2" max="2" width="34.7265625" bestFit="1" customWidth="1"/>
    <col min="3" max="3" width="18" customWidth="1"/>
    <col min="4" max="4" width="28" bestFit="1" customWidth="1"/>
    <col min="5" max="5" width="10.453125" customWidth="1"/>
    <col min="6" max="6" width="9.81640625" customWidth="1"/>
    <col min="9" max="9" width="11.453125" customWidth="1"/>
    <col min="10" max="10" width="11" customWidth="1"/>
    <col min="13" max="15" width="10" bestFit="1" customWidth="1"/>
    <col min="17" max="18" width="11" bestFit="1" customWidth="1"/>
    <col min="19" max="19" width="11.54296875" customWidth="1"/>
    <col min="20" max="20" width="14.81640625" customWidth="1"/>
    <col min="21" max="21" width="16.1796875" bestFit="1" customWidth="1"/>
    <col min="30" max="31" width="12.1796875" customWidth="1"/>
  </cols>
  <sheetData>
    <row r="1" spans="1:32" x14ac:dyDescent="0.35">
      <c r="A1" s="1799" t="s">
        <v>1031</v>
      </c>
    </row>
    <row r="2" spans="1:32" x14ac:dyDescent="0.35">
      <c r="A2" s="1428" t="s">
        <v>563</v>
      </c>
      <c r="B2" s="1036" t="s">
        <v>1977</v>
      </c>
      <c r="C2" s="997"/>
      <c r="D2" s="997"/>
      <c r="E2" s="998"/>
      <c r="F2" s="998"/>
      <c r="G2" s="998"/>
      <c r="H2" s="998"/>
      <c r="I2" s="998"/>
      <c r="J2" s="998"/>
      <c r="K2" s="998"/>
      <c r="L2" s="998"/>
      <c r="M2" s="3013" t="s">
        <v>1032</v>
      </c>
      <c r="N2" s="3014"/>
      <c r="O2" s="3014"/>
      <c r="P2" s="3098"/>
      <c r="Q2" s="3013" t="s">
        <v>1033</v>
      </c>
      <c r="R2" s="3014"/>
      <c r="S2" s="3014"/>
      <c r="T2" s="3014"/>
      <c r="U2" s="3107" t="s">
        <v>1158</v>
      </c>
      <c r="V2" s="3107"/>
      <c r="W2" s="3107"/>
      <c r="X2" s="3107"/>
      <c r="Y2" s="3107"/>
      <c r="Z2" s="3107"/>
      <c r="AA2" s="3107"/>
      <c r="AB2" s="3107"/>
      <c r="AC2" s="3107"/>
      <c r="AD2" s="3107"/>
      <c r="AE2" s="3107"/>
      <c r="AF2" s="3107"/>
    </row>
    <row r="3" spans="1:32" s="672" customFormat="1" ht="84.5" x14ac:dyDescent="0.35">
      <c r="A3" s="969" t="s">
        <v>1035</v>
      </c>
      <c r="B3" s="953" t="s">
        <v>155</v>
      </c>
      <c r="C3" s="953" t="s">
        <v>1036</v>
      </c>
      <c r="D3" s="953" t="s">
        <v>1037</v>
      </c>
      <c r="E3" s="998" t="s">
        <v>1867</v>
      </c>
      <c r="F3" s="998" t="s">
        <v>1038</v>
      </c>
      <c r="G3" s="1009" t="s">
        <v>1978</v>
      </c>
      <c r="H3" s="949" t="s">
        <v>1979</v>
      </c>
      <c r="I3" s="998" t="s">
        <v>1039</v>
      </c>
      <c r="J3" s="998" t="s">
        <v>1040</v>
      </c>
      <c r="K3" s="998" t="s">
        <v>1868</v>
      </c>
      <c r="L3" s="998" t="s">
        <v>1041</v>
      </c>
      <c r="M3" s="998" t="s">
        <v>1044</v>
      </c>
      <c r="N3" s="998" t="s">
        <v>1045</v>
      </c>
      <c r="O3" s="998" t="s">
        <v>1046</v>
      </c>
      <c r="P3" s="998" t="s">
        <v>1869</v>
      </c>
      <c r="Q3" s="998" t="s">
        <v>1044</v>
      </c>
      <c r="R3" s="998" t="s">
        <v>1045</v>
      </c>
      <c r="S3" s="998" t="s">
        <v>1046</v>
      </c>
      <c r="T3" s="998" t="s">
        <v>1869</v>
      </c>
      <c r="U3" s="109" t="s">
        <v>1980</v>
      </c>
      <c r="V3" s="109" t="s">
        <v>1872</v>
      </c>
      <c r="W3" s="109" t="s">
        <v>1873</v>
      </c>
      <c r="X3" s="109" t="s">
        <v>1981</v>
      </c>
      <c r="Y3" s="109" t="s">
        <v>1982</v>
      </c>
      <c r="Z3" s="109" t="s">
        <v>1983</v>
      </c>
      <c r="AA3" s="109" t="s">
        <v>1874</v>
      </c>
      <c r="AB3" s="109" t="s">
        <v>1580</v>
      </c>
      <c r="AC3" s="109" t="s">
        <v>1641</v>
      </c>
      <c r="AD3" s="109" t="s">
        <v>1179</v>
      </c>
      <c r="AE3" s="109" t="s">
        <v>1875</v>
      </c>
      <c r="AF3" s="109" t="s">
        <v>1876</v>
      </c>
    </row>
    <row r="4" spans="1:32" s="60" customFormat="1" ht="52.5" x14ac:dyDescent="0.35">
      <c r="A4" s="955" t="s">
        <v>563</v>
      </c>
      <c r="B4" s="955" t="str">
        <f>$B$2&amp;" "&amp;H4&amp;" GPM"&amp;" - "&amp;F4</f>
        <v>Low Flow Showerheads 1.5 GPM - DI</v>
      </c>
      <c r="C4" s="956" t="s">
        <v>562</v>
      </c>
      <c r="D4" s="957" t="s">
        <v>1582</v>
      </c>
      <c r="E4" s="973" t="s">
        <v>1880</v>
      </c>
      <c r="F4" s="1010" t="s">
        <v>1583</v>
      </c>
      <c r="G4" s="610">
        <v>1</v>
      </c>
      <c r="H4" s="610">
        <v>1.5</v>
      </c>
      <c r="I4" s="1011">
        <f>+$B$54</f>
        <v>10</v>
      </c>
      <c r="J4" s="1001"/>
      <c r="K4" s="1001"/>
      <c r="L4" s="1002" t="s">
        <v>1881</v>
      </c>
      <c r="M4" s="1003"/>
      <c r="N4" s="1004"/>
      <c r="O4" s="2631">
        <f>(AE4*((V4*X4)-(W4*Y4))*Z4*365.25)*AF4*AB4</f>
        <v>21.634983278999997</v>
      </c>
      <c r="P4" s="1003">
        <f>((V4*X4)-(W4*Y4))*Z4*365.25*AB4</f>
        <v>3434.1243299999996</v>
      </c>
      <c r="Q4" s="1003"/>
      <c r="R4" s="1004"/>
      <c r="S4" s="2631">
        <f>O4*I4</f>
        <v>216.34983278999997</v>
      </c>
      <c r="T4" s="1003">
        <f>P4*I4</f>
        <v>34341.243299999995</v>
      </c>
      <c r="U4" s="61">
        <f>VLOOKUP(E4,$B$66:$C$68,2,FALSE)</f>
        <v>0</v>
      </c>
      <c r="V4" s="49">
        <f>+$B$19</f>
        <v>2.67</v>
      </c>
      <c r="W4" s="49">
        <f>H4</f>
        <v>1.5</v>
      </c>
      <c r="X4" s="49">
        <f>+$B$23</f>
        <v>8.1999999999999993</v>
      </c>
      <c r="Y4" s="49">
        <f>+$B$25</f>
        <v>8.1999999999999993</v>
      </c>
      <c r="Z4" s="49">
        <f>G4</f>
        <v>1</v>
      </c>
      <c r="AA4" s="2649">
        <f>+$B$29</f>
        <v>0.125</v>
      </c>
      <c r="AB4" s="61">
        <f>+$B$39</f>
        <v>0.98</v>
      </c>
      <c r="AC4" s="124">
        <f>((V4*X4)*Z4*365.25)*$B$45/$B$44</f>
        <v>90.204904786641933</v>
      </c>
      <c r="AD4" s="49">
        <f>+$B$46</f>
        <v>2.7799999999999998E-2</v>
      </c>
      <c r="AE4" s="291">
        <f>+VLOOKUP(E4,$B$72:$C$74,2)</f>
        <v>1</v>
      </c>
      <c r="AF4" s="2649">
        <f>+$B$50</f>
        <v>6.3E-3</v>
      </c>
    </row>
    <row r="5" spans="1:32" s="60" customFormat="1" ht="52.5" x14ac:dyDescent="0.35">
      <c r="A5" s="955" t="s">
        <v>1984</v>
      </c>
      <c r="B5" s="955" t="s">
        <v>1985</v>
      </c>
      <c r="C5" s="956" t="s">
        <v>1986</v>
      </c>
      <c r="D5" s="957" t="s">
        <v>1582</v>
      </c>
      <c r="E5" s="973" t="s">
        <v>1880</v>
      </c>
      <c r="F5" s="1010" t="s">
        <v>1583</v>
      </c>
      <c r="G5" s="610">
        <v>1</v>
      </c>
      <c r="H5" s="610">
        <v>1.5</v>
      </c>
      <c r="I5" s="1011">
        <f>+$B$54</f>
        <v>10</v>
      </c>
      <c r="J5" s="1001"/>
      <c r="K5" s="1001"/>
      <c r="L5" s="1002" t="s">
        <v>1881</v>
      </c>
      <c r="M5" s="1003"/>
      <c r="N5" s="1004"/>
      <c r="O5" s="2631">
        <f>(AE5*((V5*X5)-(W5*Y5))*Z5*365.25)*AF5*AB5</f>
        <v>21.634983278999997</v>
      </c>
      <c r="P5" s="1003">
        <f>((V5*X5)-(W5*Y5))*Z5*365.25*AB5</f>
        <v>3434.1243299999996</v>
      </c>
      <c r="Q5" s="1003"/>
      <c r="R5" s="1004"/>
      <c r="S5" s="2631">
        <f>O5*I5</f>
        <v>216.34983278999997</v>
      </c>
      <c r="T5" s="1003">
        <f>P5*I5</f>
        <v>34341.243299999995</v>
      </c>
      <c r="U5" s="61">
        <f>VLOOKUP(E5,$B$66:$C$68,2,FALSE)</f>
        <v>0</v>
      </c>
      <c r="V5" s="49">
        <f>+$B$19</f>
        <v>2.67</v>
      </c>
      <c r="W5" s="49">
        <f>H5</f>
        <v>1.5</v>
      </c>
      <c r="X5" s="49">
        <f>+$B$23</f>
        <v>8.1999999999999993</v>
      </c>
      <c r="Y5" s="49">
        <f>+$B$25</f>
        <v>8.1999999999999993</v>
      </c>
      <c r="Z5" s="49">
        <f>G5</f>
        <v>1</v>
      </c>
      <c r="AA5" s="2649">
        <f>+$B$29</f>
        <v>0.125</v>
      </c>
      <c r="AB5" s="61">
        <f>+$B$39</f>
        <v>0.98</v>
      </c>
      <c r="AC5" s="124">
        <f>((V5*X5)*Z5*365.25)*$B$45/$B$44</f>
        <v>90.204904786641933</v>
      </c>
      <c r="AD5" s="49">
        <f>+$B$46</f>
        <v>2.7799999999999998E-2</v>
      </c>
      <c r="AE5" s="291">
        <f>+VLOOKUP(E5,$B$72:$C$74,2)</f>
        <v>1</v>
      </c>
      <c r="AF5" s="2649">
        <f>+$B$50</f>
        <v>6.3E-3</v>
      </c>
    </row>
    <row r="7" spans="1:32" ht="15" thickBot="1" x14ac:dyDescent="0.4"/>
    <row r="8" spans="1:32" ht="15" thickBot="1" x14ac:dyDescent="0.4">
      <c r="A8" s="154" t="s">
        <v>1188</v>
      </c>
      <c r="B8" s="64"/>
      <c r="C8" s="64"/>
      <c r="D8" s="64"/>
      <c r="E8" s="64"/>
      <c r="F8" s="64"/>
      <c r="G8" s="64"/>
      <c r="H8" s="64"/>
      <c r="I8" s="64"/>
      <c r="J8" s="65"/>
    </row>
    <row r="9" spans="1:32" x14ac:dyDescent="0.35">
      <c r="A9" s="67" t="s">
        <v>1987</v>
      </c>
      <c r="B9" s="69"/>
      <c r="C9" s="69"/>
      <c r="D9" s="69"/>
      <c r="E9" s="69"/>
      <c r="F9" s="69"/>
      <c r="G9" s="69"/>
      <c r="H9" s="69"/>
      <c r="I9" s="69"/>
      <c r="J9" s="70"/>
    </row>
    <row r="10" spans="1:32" x14ac:dyDescent="0.35">
      <c r="A10" s="67" t="s">
        <v>1988</v>
      </c>
      <c r="B10" s="69"/>
      <c r="C10" s="69"/>
      <c r="D10" s="69"/>
      <c r="E10" s="69"/>
      <c r="F10" s="69"/>
      <c r="G10" s="69"/>
      <c r="H10" s="69"/>
      <c r="I10" s="69"/>
      <c r="J10" s="70"/>
    </row>
    <row r="11" spans="1:32" x14ac:dyDescent="0.35">
      <c r="A11" s="67" t="s">
        <v>1989</v>
      </c>
      <c r="B11" s="68"/>
      <c r="C11" s="69"/>
      <c r="D11" s="69"/>
      <c r="E11" s="69"/>
      <c r="F11" s="69"/>
      <c r="G11" s="69"/>
      <c r="H11" s="69"/>
      <c r="I11" s="69"/>
      <c r="J11" s="70"/>
    </row>
    <row r="12" spans="1:32" ht="15" thickBot="1" x14ac:dyDescent="0.4">
      <c r="A12" s="71" t="s">
        <v>1990</v>
      </c>
      <c r="B12" s="249"/>
      <c r="C12" s="72"/>
      <c r="D12" s="72"/>
      <c r="E12" s="72"/>
      <c r="F12" s="72"/>
      <c r="G12" s="72"/>
      <c r="H12" s="72"/>
      <c r="I12" s="72"/>
      <c r="J12" s="73"/>
    </row>
    <row r="13" spans="1:32" ht="15" thickBot="1" x14ac:dyDescent="0.4">
      <c r="A13" s="154" t="s">
        <v>1078</v>
      </c>
      <c r="B13" s="1142">
        <f>'Measure-Level Adjustments'!A2</f>
        <v>44592</v>
      </c>
    </row>
    <row r="14" spans="1:32" ht="15" thickBot="1" x14ac:dyDescent="0.4">
      <c r="A14" s="154" t="s">
        <v>1079</v>
      </c>
      <c r="B14" s="2620" t="s">
        <v>1991</v>
      </c>
    </row>
    <row r="15" spans="1:32" ht="15" thickBot="1" x14ac:dyDescent="0.4">
      <c r="A15" s="55"/>
      <c r="B15" s="274"/>
    </row>
    <row r="16" spans="1:32" ht="15" thickBot="1" x14ac:dyDescent="0.4">
      <c r="A16" s="74" t="s">
        <v>1285</v>
      </c>
      <c r="B16" s="75" t="s">
        <v>1199</v>
      </c>
      <c r="C16" s="76" t="s">
        <v>1082</v>
      </c>
      <c r="D16" s="882"/>
      <c r="E16" s="882"/>
      <c r="F16" s="882"/>
      <c r="G16" s="882"/>
      <c r="H16" s="882"/>
      <c r="I16" s="882"/>
      <c r="J16" s="882"/>
      <c r="K16" s="882"/>
      <c r="L16" s="882"/>
      <c r="M16" s="882"/>
      <c r="N16" s="882"/>
      <c r="O16" s="882"/>
      <c r="P16" s="882"/>
      <c r="Q16" s="882"/>
      <c r="R16" s="882"/>
      <c r="S16" s="882"/>
    </row>
    <row r="17" spans="1:19" x14ac:dyDescent="0.35">
      <c r="A17" s="640" t="s">
        <v>1980</v>
      </c>
      <c r="B17" s="643"/>
      <c r="C17" s="641" t="s">
        <v>1896</v>
      </c>
      <c r="D17" s="380"/>
      <c r="E17" s="380"/>
      <c r="F17" s="380"/>
      <c r="G17" s="380"/>
      <c r="H17" s="380"/>
      <c r="I17" s="380"/>
      <c r="J17" s="380"/>
      <c r="K17" s="380"/>
      <c r="L17" s="380"/>
      <c r="M17" s="380"/>
      <c r="N17" s="380"/>
      <c r="O17" s="380"/>
      <c r="P17" s="380"/>
      <c r="Q17" s="380"/>
      <c r="R17" s="380"/>
      <c r="S17" s="381"/>
    </row>
    <row r="18" spans="1:19" ht="15" thickBot="1" x14ac:dyDescent="0.4">
      <c r="A18" s="261"/>
      <c r="B18" s="2616"/>
      <c r="C18" s="2616" t="s">
        <v>1992</v>
      </c>
      <c r="D18" s="2616"/>
      <c r="E18" s="2616"/>
      <c r="F18" s="2616"/>
      <c r="G18" s="2616"/>
      <c r="H18" s="2616"/>
      <c r="I18" s="2616"/>
      <c r="J18" s="2616"/>
      <c r="K18" s="2823"/>
      <c r="L18" s="2616"/>
      <c r="M18" s="2616"/>
      <c r="N18" s="2616"/>
      <c r="O18" s="2616"/>
      <c r="P18" s="2616"/>
      <c r="Q18" s="2616"/>
      <c r="R18" s="2616"/>
      <c r="S18" s="2824"/>
    </row>
    <row r="19" spans="1:19" x14ac:dyDescent="0.35">
      <c r="A19" s="640" t="s">
        <v>1872</v>
      </c>
      <c r="B19" s="380">
        <v>2.67</v>
      </c>
      <c r="C19" s="641" t="s">
        <v>1993</v>
      </c>
      <c r="D19" s="380"/>
      <c r="E19" s="380"/>
      <c r="F19" s="380"/>
      <c r="G19" s="380"/>
      <c r="H19" s="380"/>
      <c r="I19" s="380"/>
      <c r="J19" s="380"/>
      <c r="K19" s="380"/>
      <c r="L19" s="380"/>
      <c r="M19" s="380"/>
      <c r="N19" s="380"/>
      <c r="O19" s="380"/>
      <c r="P19" s="380"/>
      <c r="Q19" s="380"/>
      <c r="R19" s="380"/>
      <c r="S19" s="381"/>
    </row>
    <row r="20" spans="1:19" ht="15" thickBot="1" x14ac:dyDescent="0.4">
      <c r="A20" s="261"/>
      <c r="B20" s="161"/>
      <c r="C20" s="161" t="s">
        <v>1287</v>
      </c>
      <c r="D20" s="161"/>
      <c r="E20" s="161"/>
      <c r="F20" s="161"/>
      <c r="G20" s="161"/>
      <c r="H20" s="161"/>
      <c r="I20" s="161"/>
      <c r="J20" s="161"/>
      <c r="K20" s="161"/>
      <c r="L20" s="161"/>
      <c r="M20" s="161"/>
      <c r="N20" s="161"/>
      <c r="O20" s="161"/>
      <c r="P20" s="161"/>
      <c r="Q20" s="161"/>
      <c r="R20" s="161"/>
      <c r="S20" s="163"/>
    </row>
    <row r="21" spans="1:19" x14ac:dyDescent="0.35">
      <c r="A21" s="640" t="s">
        <v>1873</v>
      </c>
      <c r="B21" s="1119" t="s">
        <v>1994</v>
      </c>
      <c r="C21" s="641" t="s">
        <v>1995</v>
      </c>
      <c r="D21" s="380"/>
      <c r="E21" s="380"/>
      <c r="F21" s="380"/>
      <c r="G21" s="380"/>
      <c r="H21" s="380"/>
      <c r="I21" s="380"/>
      <c r="J21" s="380"/>
      <c r="K21" s="380"/>
      <c r="L21" s="380"/>
      <c r="M21" s="380"/>
      <c r="N21" s="380"/>
      <c r="O21" s="380"/>
      <c r="P21" s="380"/>
      <c r="Q21" s="380"/>
      <c r="R21" s="380"/>
      <c r="S21" s="381"/>
    </row>
    <row r="22" spans="1:19" ht="15" thickBot="1" x14ac:dyDescent="0.4">
      <c r="A22" s="309"/>
      <c r="B22" s="161"/>
      <c r="C22" s="642" t="s">
        <v>1996</v>
      </c>
      <c r="D22" s="161"/>
      <c r="E22" s="161"/>
      <c r="F22" s="161"/>
      <c r="G22" s="161"/>
      <c r="H22" s="161"/>
      <c r="I22" s="161"/>
      <c r="J22" s="161"/>
      <c r="K22" s="161"/>
      <c r="L22" s="161"/>
      <c r="M22" s="161"/>
      <c r="N22" s="161"/>
      <c r="O22" s="161"/>
      <c r="P22" s="161"/>
      <c r="Q22" s="161"/>
      <c r="R22" s="161"/>
      <c r="S22" s="163"/>
    </row>
    <row r="23" spans="1:19" x14ac:dyDescent="0.35">
      <c r="A23" s="640" t="s">
        <v>1981</v>
      </c>
      <c r="B23" s="380">
        <v>8.1999999999999993</v>
      </c>
      <c r="C23" s="641" t="s">
        <v>1997</v>
      </c>
      <c r="D23" s="380"/>
      <c r="E23" s="380"/>
      <c r="F23" s="380"/>
      <c r="G23" s="380"/>
      <c r="H23" s="380"/>
      <c r="I23" s="380"/>
      <c r="J23" s="380"/>
      <c r="K23" s="380"/>
      <c r="L23" s="380"/>
      <c r="M23" s="380"/>
      <c r="N23" s="380"/>
      <c r="O23" s="380"/>
      <c r="P23" s="380"/>
      <c r="Q23" s="380"/>
      <c r="R23" s="380"/>
      <c r="S23" s="381"/>
    </row>
    <row r="24" spans="1:19" ht="15" thickBot="1" x14ac:dyDescent="0.4">
      <c r="A24" s="309"/>
      <c r="B24" s="161"/>
      <c r="C24" s="642" t="s">
        <v>1287</v>
      </c>
      <c r="D24" s="161"/>
      <c r="E24" s="161"/>
      <c r="F24" s="161"/>
      <c r="G24" s="161"/>
      <c r="H24" s="161"/>
      <c r="I24" s="161"/>
      <c r="J24" s="161"/>
      <c r="K24" s="161"/>
      <c r="L24" s="161"/>
      <c r="M24" s="161"/>
      <c r="N24" s="161"/>
      <c r="O24" s="161"/>
      <c r="P24" s="161"/>
      <c r="Q24" s="161"/>
      <c r="R24" s="161"/>
      <c r="S24" s="163"/>
    </row>
    <row r="25" spans="1:19" x14ac:dyDescent="0.35">
      <c r="A25" s="640" t="s">
        <v>1982</v>
      </c>
      <c r="B25" s="380">
        <v>8.1999999999999993</v>
      </c>
      <c r="C25" s="641" t="s">
        <v>1997</v>
      </c>
      <c r="D25" s="380"/>
      <c r="E25" s="380"/>
      <c r="F25" s="380"/>
      <c r="G25" s="380"/>
      <c r="H25" s="380"/>
      <c r="I25" s="380"/>
      <c r="J25" s="380"/>
      <c r="K25" s="380"/>
      <c r="L25" s="380"/>
      <c r="M25" s="380"/>
      <c r="N25" s="380"/>
      <c r="O25" s="380"/>
      <c r="P25" s="380"/>
      <c r="Q25" s="380"/>
      <c r="R25" s="380"/>
      <c r="S25" s="381"/>
    </row>
    <row r="26" spans="1:19" ht="15" thickBot="1" x14ac:dyDescent="0.4">
      <c r="A26" s="261"/>
      <c r="B26" s="161"/>
      <c r="C26" s="642" t="s">
        <v>1287</v>
      </c>
      <c r="D26" s="161"/>
      <c r="E26" s="161"/>
      <c r="F26" s="161"/>
      <c r="G26" s="161"/>
      <c r="H26" s="161"/>
      <c r="I26" s="161"/>
      <c r="J26" s="161"/>
      <c r="K26" s="161"/>
      <c r="L26" s="161"/>
      <c r="M26" s="161"/>
      <c r="N26" s="161"/>
      <c r="O26" s="161"/>
      <c r="P26" s="161"/>
      <c r="Q26" s="161"/>
      <c r="R26" s="161"/>
      <c r="S26" s="163"/>
    </row>
    <row r="27" spans="1:19" x14ac:dyDescent="0.35">
      <c r="A27" s="640" t="s">
        <v>1983</v>
      </c>
      <c r="B27" s="380">
        <f>G4</f>
        <v>1</v>
      </c>
      <c r="C27" s="641" t="s">
        <v>1998</v>
      </c>
      <c r="D27" s="380"/>
      <c r="E27" s="380"/>
      <c r="F27" s="380"/>
      <c r="G27" s="380"/>
      <c r="H27" s="380"/>
      <c r="I27" s="1233"/>
      <c r="J27" s="380"/>
      <c r="K27" s="380"/>
      <c r="L27" s="380"/>
      <c r="M27" s="380"/>
      <c r="N27" s="380"/>
      <c r="O27" s="380"/>
      <c r="P27" s="380"/>
      <c r="Q27" s="380"/>
      <c r="R27" s="380"/>
      <c r="S27" s="381"/>
    </row>
    <row r="28" spans="1:19" ht="15" thickBot="1" x14ac:dyDescent="0.4">
      <c r="A28" s="309"/>
      <c r="B28" s="161"/>
      <c r="C28" s="642" t="s">
        <v>1999</v>
      </c>
      <c r="D28" s="161"/>
      <c r="E28" s="161"/>
      <c r="F28" s="161"/>
      <c r="G28" s="161"/>
      <c r="H28" s="161"/>
      <c r="I28" s="869"/>
      <c r="J28" s="161"/>
      <c r="K28" s="161"/>
      <c r="L28" s="161"/>
      <c r="M28" s="161"/>
      <c r="N28" s="161"/>
      <c r="O28" s="161"/>
      <c r="P28" s="161"/>
      <c r="Q28" s="161"/>
      <c r="R28" s="161"/>
      <c r="S28" s="163"/>
    </row>
    <row r="29" spans="1:19" x14ac:dyDescent="0.35">
      <c r="A29" s="640" t="s">
        <v>1874</v>
      </c>
      <c r="B29" s="2595">
        <v>0.125</v>
      </c>
      <c r="C29" s="641" t="s">
        <v>2000</v>
      </c>
      <c r="D29" s="380"/>
      <c r="E29" s="380"/>
      <c r="F29" s="380"/>
      <c r="G29" s="380"/>
      <c r="H29" s="380"/>
      <c r="I29" s="1233"/>
      <c r="J29" s="380"/>
      <c r="K29" s="380"/>
      <c r="L29" s="380"/>
      <c r="M29" s="380"/>
      <c r="N29" s="380"/>
      <c r="O29" s="380"/>
      <c r="P29" s="380"/>
      <c r="Q29" s="380"/>
      <c r="R29" s="380"/>
      <c r="S29" s="381"/>
    </row>
    <row r="30" spans="1:19" x14ac:dyDescent="0.35">
      <c r="A30" s="304"/>
      <c r="B30" s="69"/>
      <c r="C30" s="52" t="s">
        <v>2001</v>
      </c>
      <c r="D30" s="69"/>
      <c r="E30" s="69"/>
      <c r="F30" s="69"/>
      <c r="G30" s="69"/>
      <c r="H30" s="69"/>
      <c r="I30" s="68"/>
      <c r="J30" s="69"/>
      <c r="K30" s="69"/>
      <c r="L30" s="69"/>
      <c r="M30" s="69"/>
      <c r="N30" s="69"/>
      <c r="O30" s="69"/>
      <c r="P30" s="69"/>
      <c r="Q30" s="69"/>
      <c r="R30" s="69"/>
      <c r="S30" s="100"/>
    </row>
    <row r="31" spans="1:19" x14ac:dyDescent="0.35">
      <c r="A31" s="304"/>
      <c r="B31" s="69"/>
      <c r="C31" s="2641" t="s">
        <v>2002</v>
      </c>
      <c r="D31" s="2641"/>
      <c r="E31" s="2641"/>
      <c r="F31" s="2641"/>
      <c r="G31" s="2641"/>
      <c r="H31" s="2641"/>
      <c r="I31" s="2642"/>
      <c r="J31" s="2641"/>
      <c r="K31" s="2641"/>
      <c r="L31" s="2641"/>
      <c r="M31" s="2641"/>
      <c r="N31" s="2641"/>
      <c r="O31" s="2641"/>
      <c r="P31" s="2641"/>
      <c r="Q31" s="2641"/>
      <c r="R31" s="2641"/>
      <c r="S31" s="2643"/>
    </row>
    <row r="32" spans="1:19" x14ac:dyDescent="0.35">
      <c r="A32" s="304"/>
      <c r="B32" s="69"/>
      <c r="C32" s="52" t="s">
        <v>2003</v>
      </c>
      <c r="D32" s="69"/>
      <c r="E32" s="69"/>
      <c r="F32" s="69"/>
      <c r="G32" s="69"/>
      <c r="H32" s="69"/>
      <c r="I32" s="68"/>
      <c r="J32" s="69"/>
      <c r="K32" s="69"/>
      <c r="L32" s="69"/>
      <c r="M32" s="69"/>
      <c r="N32" s="69"/>
      <c r="O32" s="69"/>
      <c r="P32" s="69"/>
      <c r="Q32" s="69"/>
      <c r="R32" s="69"/>
      <c r="S32" s="100"/>
    </row>
    <row r="33" spans="1:19" x14ac:dyDescent="0.35">
      <c r="A33" s="304"/>
      <c r="B33" s="69"/>
      <c r="C33" s="52" t="s">
        <v>1909</v>
      </c>
      <c r="D33" s="69"/>
      <c r="E33" s="69"/>
      <c r="F33" s="69"/>
      <c r="G33" s="69"/>
      <c r="H33" s="69"/>
      <c r="I33" s="68"/>
      <c r="J33" s="69"/>
      <c r="K33" s="69"/>
      <c r="L33" s="69"/>
      <c r="M33" s="69"/>
      <c r="N33" s="69"/>
      <c r="O33" s="69"/>
      <c r="P33" s="69"/>
      <c r="Q33" s="69"/>
      <c r="R33" s="69"/>
      <c r="S33" s="100"/>
    </row>
    <row r="34" spans="1:19" x14ac:dyDescent="0.35">
      <c r="A34" s="304"/>
      <c r="B34" s="69"/>
      <c r="C34" s="52" t="s">
        <v>1910</v>
      </c>
      <c r="D34" s="69"/>
      <c r="E34" s="69"/>
      <c r="F34" s="69"/>
      <c r="G34" s="69"/>
      <c r="H34" s="69"/>
      <c r="I34" s="68"/>
      <c r="J34" s="69"/>
      <c r="K34" s="69"/>
      <c r="L34" s="69"/>
      <c r="M34" s="69"/>
      <c r="N34" s="69"/>
      <c r="O34" s="69"/>
      <c r="P34" s="69"/>
      <c r="Q34" s="69"/>
      <c r="R34" s="69"/>
      <c r="S34" s="100"/>
    </row>
    <row r="35" spans="1:19" x14ac:dyDescent="0.35">
      <c r="A35" s="304"/>
      <c r="B35" s="69"/>
      <c r="C35" s="1657" t="s">
        <v>2004</v>
      </c>
      <c r="D35" s="1657"/>
      <c r="E35" s="1657"/>
      <c r="F35" s="1657"/>
      <c r="G35" s="1657"/>
      <c r="H35" s="1657"/>
      <c r="I35" s="1658"/>
      <c r="J35" s="1657"/>
      <c r="K35" s="1657"/>
      <c r="L35" s="1657"/>
      <c r="M35" s="1657"/>
      <c r="N35" s="1657"/>
      <c r="O35" s="1657"/>
      <c r="P35" s="1657"/>
      <c r="Q35" s="1657"/>
      <c r="R35" s="1657"/>
      <c r="S35" s="1659"/>
    </row>
    <row r="36" spans="1:19" x14ac:dyDescent="0.35">
      <c r="A36" s="304"/>
      <c r="B36" s="69"/>
      <c r="C36" s="69" t="s">
        <v>2005</v>
      </c>
      <c r="D36" s="69"/>
      <c r="E36" s="69"/>
      <c r="F36" s="69"/>
      <c r="G36" s="69"/>
      <c r="H36" s="69"/>
      <c r="I36" s="68"/>
      <c r="J36" s="69"/>
      <c r="K36" s="69"/>
      <c r="L36" s="69"/>
      <c r="M36" s="69"/>
      <c r="N36" s="69"/>
      <c r="O36" s="69"/>
      <c r="P36" s="69"/>
      <c r="Q36" s="69"/>
      <c r="R36" s="69"/>
      <c r="S36" s="100"/>
    </row>
    <row r="37" spans="1:19" x14ac:dyDescent="0.35">
      <c r="A37" s="304"/>
      <c r="B37" s="159"/>
      <c r="C37" s="69" t="s">
        <v>2006</v>
      </c>
      <c r="D37" s="69"/>
      <c r="E37" s="69"/>
      <c r="F37" s="69"/>
      <c r="G37" s="69"/>
      <c r="H37" s="69"/>
      <c r="I37" s="68"/>
      <c r="J37" s="69"/>
      <c r="K37" s="69"/>
      <c r="L37" s="69"/>
      <c r="M37" s="69"/>
      <c r="N37" s="69"/>
      <c r="O37" s="69"/>
      <c r="P37" s="69"/>
      <c r="Q37" s="69"/>
      <c r="R37" s="69"/>
      <c r="S37" s="100"/>
    </row>
    <row r="38" spans="1:19" ht="15" thickBot="1" x14ac:dyDescent="0.4">
      <c r="A38" s="261"/>
      <c r="B38" s="161"/>
      <c r="C38" s="161" t="s">
        <v>1914</v>
      </c>
      <c r="D38" s="161"/>
      <c r="E38" s="161"/>
      <c r="F38" s="161"/>
      <c r="G38" s="161"/>
      <c r="H38" s="161"/>
      <c r="I38" s="869"/>
      <c r="J38" s="161"/>
      <c r="K38" s="161"/>
      <c r="L38" s="161"/>
      <c r="M38" s="161"/>
      <c r="N38" s="161"/>
      <c r="O38" s="161"/>
      <c r="P38" s="161"/>
      <c r="Q38" s="161"/>
      <c r="R38" s="161"/>
      <c r="S38" s="163"/>
    </row>
    <row r="39" spans="1:19" x14ac:dyDescent="0.35">
      <c r="A39" s="640" t="s">
        <v>1580</v>
      </c>
      <c r="B39" s="643">
        <v>0.98</v>
      </c>
      <c r="C39" s="641" t="s">
        <v>2007</v>
      </c>
      <c r="D39" s="380"/>
      <c r="E39" s="380"/>
      <c r="F39" s="380"/>
      <c r="G39" s="380"/>
      <c r="H39" s="380"/>
      <c r="I39" s="1233"/>
      <c r="J39" s="380"/>
      <c r="K39" s="380"/>
      <c r="L39" s="380"/>
      <c r="M39" s="380"/>
      <c r="N39" s="380"/>
      <c r="O39" s="380"/>
      <c r="P39" s="380"/>
      <c r="Q39" s="380"/>
      <c r="R39" s="380"/>
      <c r="S39" s="381"/>
    </row>
    <row r="40" spans="1:19" x14ac:dyDescent="0.35">
      <c r="A40" s="304"/>
      <c r="B40" s="429"/>
      <c r="C40" s="52" t="s">
        <v>1287</v>
      </c>
      <c r="D40" s="69"/>
      <c r="E40" s="69"/>
      <c r="F40" s="69"/>
      <c r="G40" s="69"/>
      <c r="H40" s="69"/>
      <c r="I40" s="68"/>
      <c r="J40" s="69"/>
      <c r="K40" s="69"/>
      <c r="L40" s="69"/>
      <c r="M40" s="69"/>
      <c r="N40" s="69"/>
      <c r="O40" s="69"/>
      <c r="P40" s="69"/>
      <c r="Q40" s="69"/>
      <c r="R40" s="69"/>
      <c r="S40" s="100"/>
    </row>
    <row r="41" spans="1:19" ht="15" thickBot="1" x14ac:dyDescent="0.4">
      <c r="A41" s="309"/>
      <c r="B41" s="1234"/>
      <c r="C41" s="2610" t="s">
        <v>2008</v>
      </c>
      <c r="D41" s="2611"/>
      <c r="E41" s="2611"/>
      <c r="F41" s="2611"/>
      <c r="G41" s="2611"/>
      <c r="H41" s="2611"/>
      <c r="I41" s="2644"/>
      <c r="J41" s="2611"/>
      <c r="K41" s="2611"/>
      <c r="L41" s="2611"/>
      <c r="M41" s="2611"/>
      <c r="N41" s="2611"/>
      <c r="O41" s="2611"/>
      <c r="P41" s="2611"/>
      <c r="Q41" s="2611"/>
      <c r="R41" s="2611"/>
      <c r="S41" s="2574"/>
    </row>
    <row r="42" spans="1:19" x14ac:dyDescent="0.35">
      <c r="A42" s="640" t="s">
        <v>1641</v>
      </c>
      <c r="B42" s="438"/>
      <c r="C42" s="641" t="s">
        <v>2009</v>
      </c>
      <c r="D42" s="380"/>
      <c r="E42" s="380"/>
      <c r="F42" s="380"/>
      <c r="G42" s="380"/>
      <c r="H42" s="380"/>
      <c r="I42" s="1233"/>
      <c r="J42" s="380"/>
      <c r="K42" s="380"/>
      <c r="L42" s="380"/>
      <c r="M42" s="380"/>
      <c r="N42" s="380"/>
      <c r="O42" s="380"/>
      <c r="P42" s="380"/>
      <c r="Q42" s="380"/>
      <c r="R42" s="380"/>
      <c r="S42" s="381"/>
    </row>
    <row r="43" spans="1:19" x14ac:dyDescent="0.35">
      <c r="A43" s="304"/>
      <c r="B43" s="429"/>
      <c r="C43" s="52" t="s">
        <v>2010</v>
      </c>
      <c r="D43" s="69"/>
      <c r="E43" s="69"/>
      <c r="F43" s="69"/>
      <c r="G43" s="69"/>
      <c r="H43" s="69"/>
      <c r="I43" s="68"/>
      <c r="J43" s="69"/>
      <c r="K43" s="69"/>
      <c r="L43" s="69"/>
      <c r="M43" s="69"/>
      <c r="N43" s="69"/>
      <c r="O43" s="69"/>
      <c r="P43" s="69"/>
      <c r="Q43" s="69"/>
      <c r="R43" s="69"/>
      <c r="S43" s="100"/>
    </row>
    <row r="44" spans="1:19" x14ac:dyDescent="0.35">
      <c r="A44" s="304"/>
      <c r="B44" s="2645">
        <v>53.9</v>
      </c>
      <c r="C44" s="52" t="s">
        <v>2011</v>
      </c>
      <c r="D44" s="69"/>
      <c r="E44" s="69"/>
      <c r="F44" s="69"/>
      <c r="G44" s="69"/>
      <c r="H44" s="69"/>
      <c r="I44" s="68"/>
      <c r="J44" s="69"/>
      <c r="K44" s="69"/>
      <c r="L44" s="69"/>
      <c r="M44" s="69"/>
      <c r="N44" s="69"/>
      <c r="O44" s="69"/>
      <c r="P44" s="69"/>
      <c r="Q44" s="69"/>
      <c r="R44" s="69"/>
      <c r="S44" s="100"/>
    </row>
    <row r="45" spans="1:19" ht="15" thickBot="1" x14ac:dyDescent="0.4">
      <c r="A45" s="309"/>
      <c r="B45" s="2646">
        <v>0.60799999999999998</v>
      </c>
      <c r="C45" s="642" t="s">
        <v>2012</v>
      </c>
      <c r="D45" s="161"/>
      <c r="E45" s="161"/>
      <c r="F45" s="161"/>
      <c r="G45" s="161"/>
      <c r="H45" s="161"/>
      <c r="I45" s="869"/>
      <c r="J45" s="161"/>
      <c r="K45" s="161"/>
      <c r="L45" s="161"/>
      <c r="M45" s="161"/>
      <c r="N45" s="161"/>
      <c r="O45" s="161"/>
      <c r="P45" s="161"/>
      <c r="Q45" s="161"/>
      <c r="R45" s="161"/>
      <c r="S45" s="163"/>
    </row>
    <row r="46" spans="1:19" x14ac:dyDescent="0.35">
      <c r="A46" s="640" t="s">
        <v>1179</v>
      </c>
      <c r="B46" s="380">
        <v>2.7799999999999998E-2</v>
      </c>
      <c r="C46" s="641" t="s">
        <v>1923</v>
      </c>
      <c r="D46" s="380"/>
      <c r="E46" s="380"/>
      <c r="F46" s="380"/>
      <c r="G46" s="380"/>
      <c r="H46" s="380"/>
      <c r="I46" s="1233"/>
      <c r="J46" s="380"/>
      <c r="K46" s="380"/>
      <c r="L46" s="380"/>
      <c r="M46" s="380"/>
      <c r="N46" s="380"/>
      <c r="O46" s="380"/>
      <c r="P46" s="380"/>
      <c r="Q46" s="380"/>
      <c r="R46" s="380"/>
      <c r="S46" s="381"/>
    </row>
    <row r="47" spans="1:19" ht="15" thickBot="1" x14ac:dyDescent="0.4">
      <c r="A47" s="261"/>
      <c r="B47" s="161"/>
      <c r="C47" s="642" t="s">
        <v>1287</v>
      </c>
      <c r="D47" s="161"/>
      <c r="E47" s="161"/>
      <c r="F47" s="161"/>
      <c r="G47" s="161"/>
      <c r="H47" s="161"/>
      <c r="I47" s="869"/>
      <c r="J47" s="161"/>
      <c r="K47" s="161"/>
      <c r="L47" s="161"/>
      <c r="M47" s="161"/>
      <c r="N47" s="161"/>
      <c r="O47" s="161"/>
      <c r="P47" s="161"/>
      <c r="Q47" s="161"/>
      <c r="R47" s="161"/>
      <c r="S47" s="163"/>
    </row>
    <row r="48" spans="1:19" x14ac:dyDescent="0.35">
      <c r="A48" s="640" t="s">
        <v>1875</v>
      </c>
      <c r="B48" s="1195"/>
      <c r="C48" s="641" t="s">
        <v>1925</v>
      </c>
      <c r="D48" s="380"/>
      <c r="E48" s="380"/>
      <c r="F48" s="380"/>
      <c r="G48" s="380"/>
      <c r="H48" s="380"/>
      <c r="I48" s="1233"/>
      <c r="J48" s="380"/>
      <c r="K48" s="380"/>
      <c r="L48" s="380"/>
      <c r="M48" s="380"/>
      <c r="N48" s="380"/>
      <c r="O48" s="380"/>
      <c r="P48" s="380"/>
      <c r="Q48" s="380"/>
      <c r="R48" s="380"/>
      <c r="S48" s="381"/>
    </row>
    <row r="49" spans="1:19" ht="15" thickBot="1" x14ac:dyDescent="0.4">
      <c r="A49" s="309"/>
      <c r="B49" s="162"/>
      <c r="C49" s="642" t="s">
        <v>2013</v>
      </c>
      <c r="D49" s="161"/>
      <c r="E49" s="161"/>
      <c r="F49" s="161"/>
      <c r="G49" s="161"/>
      <c r="H49" s="161"/>
      <c r="I49" s="869"/>
      <c r="J49" s="161"/>
      <c r="K49" s="161"/>
      <c r="L49" s="161"/>
      <c r="M49" s="161"/>
      <c r="N49" s="161"/>
      <c r="O49" s="161"/>
      <c r="P49" s="161"/>
      <c r="Q49" s="161"/>
      <c r="R49" s="161"/>
      <c r="S49" s="163"/>
    </row>
    <row r="50" spans="1:19" x14ac:dyDescent="0.35">
      <c r="A50" s="640" t="s">
        <v>1876</v>
      </c>
      <c r="B50" s="2595">
        <v>6.3E-3</v>
      </c>
      <c r="C50" s="641" t="s">
        <v>1927</v>
      </c>
      <c r="D50" s="380"/>
      <c r="E50" s="380"/>
      <c r="F50" s="380"/>
      <c r="G50" s="380"/>
      <c r="H50" s="380"/>
      <c r="I50" s="1233"/>
      <c r="J50" s="380"/>
      <c r="K50" s="380"/>
      <c r="L50" s="380"/>
      <c r="M50" s="380"/>
      <c r="N50" s="380"/>
      <c r="O50" s="380"/>
      <c r="P50" s="380"/>
      <c r="Q50" s="380"/>
      <c r="R50" s="380"/>
      <c r="S50" s="381"/>
    </row>
    <row r="51" spans="1:19" x14ac:dyDescent="0.35">
      <c r="A51" s="304"/>
      <c r="B51" s="159"/>
      <c r="C51" s="52" t="s">
        <v>2014</v>
      </c>
      <c r="D51" s="69"/>
      <c r="E51" s="69"/>
      <c r="F51" s="69"/>
      <c r="G51" s="69"/>
      <c r="H51" s="69"/>
      <c r="I51" s="68"/>
      <c r="J51" s="69"/>
      <c r="K51" s="69"/>
      <c r="L51" s="69"/>
      <c r="M51" s="69"/>
      <c r="N51" s="69"/>
      <c r="O51" s="69"/>
      <c r="P51" s="69"/>
      <c r="Q51" s="69"/>
      <c r="R51" s="69"/>
      <c r="S51" s="100"/>
    </row>
    <row r="52" spans="1:19" x14ac:dyDescent="0.35">
      <c r="A52" s="304"/>
      <c r="B52" s="159"/>
      <c r="C52" s="52" t="s">
        <v>2015</v>
      </c>
      <c r="D52" s="69"/>
      <c r="E52" s="69"/>
      <c r="F52" s="69"/>
      <c r="G52" s="69"/>
      <c r="H52" s="69"/>
      <c r="I52" s="68"/>
      <c r="J52" s="69"/>
      <c r="K52" s="69"/>
      <c r="L52" s="69"/>
      <c r="M52" s="69"/>
      <c r="N52" s="69"/>
      <c r="O52" s="69"/>
      <c r="P52" s="69"/>
      <c r="Q52" s="69"/>
      <c r="R52" s="69"/>
      <c r="S52" s="100"/>
    </row>
    <row r="53" spans="1:19" ht="15" thickBot="1" x14ac:dyDescent="0.4">
      <c r="A53" s="261"/>
      <c r="B53" s="161"/>
      <c r="C53" s="642" t="s">
        <v>2016</v>
      </c>
      <c r="D53" s="161"/>
      <c r="E53" s="161"/>
      <c r="F53" s="161"/>
      <c r="G53" s="161"/>
      <c r="H53" s="161"/>
      <c r="I53" s="869"/>
      <c r="J53" s="161"/>
      <c r="K53" s="161"/>
      <c r="L53" s="161"/>
      <c r="M53" s="161"/>
      <c r="N53" s="161"/>
      <c r="O53" s="161"/>
      <c r="P53" s="161"/>
      <c r="Q53" s="161"/>
      <c r="R53" s="161"/>
      <c r="S53" s="163"/>
    </row>
    <row r="54" spans="1:19" ht="15" thickBot="1" x14ac:dyDescent="0.4">
      <c r="A54" s="379" t="s">
        <v>1083</v>
      </c>
      <c r="B54" s="380">
        <v>10</v>
      </c>
      <c r="C54" s="641" t="s">
        <v>1287</v>
      </c>
      <c r="D54" s="380"/>
      <c r="E54" s="380"/>
      <c r="F54" s="380"/>
      <c r="G54" s="380"/>
      <c r="H54" s="380"/>
      <c r="I54" s="380"/>
      <c r="J54" s="380"/>
      <c r="K54" s="380"/>
      <c r="L54" s="380"/>
      <c r="M54" s="380"/>
      <c r="N54" s="380"/>
      <c r="O54" s="380"/>
      <c r="P54" s="380"/>
      <c r="Q54" s="380"/>
      <c r="R54" s="380"/>
      <c r="S54" s="381"/>
    </row>
    <row r="55" spans="1:19" x14ac:dyDescent="0.35">
      <c r="A55" s="379" t="s">
        <v>1040</v>
      </c>
      <c r="B55" s="380"/>
      <c r="C55" s="380"/>
      <c r="D55" s="380"/>
      <c r="E55" s="380"/>
      <c r="F55" s="380"/>
      <c r="G55" s="380"/>
      <c r="H55" s="380"/>
      <c r="I55" s="380"/>
      <c r="J55" s="380"/>
      <c r="K55" s="380"/>
      <c r="L55" s="380"/>
      <c r="M55" s="380"/>
      <c r="N55" s="380"/>
      <c r="O55" s="380"/>
      <c r="P55" s="380"/>
      <c r="Q55" s="380"/>
      <c r="R55" s="380"/>
      <c r="S55" s="381"/>
    </row>
    <row r="56" spans="1:19" ht="15" thickBot="1" x14ac:dyDescent="0.4">
      <c r="A56" s="261"/>
      <c r="B56" s="161"/>
      <c r="C56" s="642"/>
      <c r="D56" s="161"/>
      <c r="E56" s="161"/>
      <c r="F56" s="161"/>
      <c r="G56" s="161"/>
      <c r="H56" s="161"/>
      <c r="I56" s="161"/>
      <c r="J56" s="161"/>
      <c r="K56" s="161"/>
      <c r="L56" s="161"/>
      <c r="M56" s="161"/>
      <c r="N56" s="161"/>
      <c r="O56" s="161"/>
      <c r="P56" s="161"/>
      <c r="Q56" s="161"/>
      <c r="R56" s="161"/>
      <c r="S56" s="163"/>
    </row>
    <row r="60" spans="1:19" ht="15" thickBot="1" x14ac:dyDescent="0.4"/>
    <row r="61" spans="1:19" ht="15" thickBot="1" x14ac:dyDescent="0.4">
      <c r="A61" s="97" t="s">
        <v>1257</v>
      </c>
      <c r="B61" s="64"/>
      <c r="C61" s="64"/>
      <c r="D61" s="64"/>
      <c r="E61" s="64"/>
      <c r="F61" s="64"/>
      <c r="G61" s="65"/>
    </row>
    <row r="62" spans="1:19" x14ac:dyDescent="0.35">
      <c r="A62" s="99"/>
      <c r="B62" s="69"/>
      <c r="C62" s="69"/>
      <c r="D62" s="69"/>
      <c r="E62" s="69"/>
      <c r="F62" s="69"/>
      <c r="G62" s="100"/>
    </row>
    <row r="63" spans="1:19" x14ac:dyDescent="0.35">
      <c r="A63" s="99"/>
      <c r="B63" s="69"/>
      <c r="C63" s="69"/>
      <c r="D63" s="69"/>
      <c r="E63" s="69"/>
      <c r="F63" s="69"/>
      <c r="G63" s="100"/>
    </row>
    <row r="64" spans="1:19" x14ac:dyDescent="0.35">
      <c r="A64" s="99"/>
      <c r="B64" s="69"/>
      <c r="C64" s="69"/>
      <c r="D64" s="69"/>
      <c r="E64" s="69"/>
      <c r="F64" s="69"/>
      <c r="G64" s="100"/>
    </row>
    <row r="65" spans="1:7" ht="26" x14ac:dyDescent="0.35">
      <c r="A65" s="99"/>
      <c r="B65" s="680" t="s">
        <v>1937</v>
      </c>
      <c r="C65" s="680" t="s">
        <v>1938</v>
      </c>
      <c r="D65" s="69"/>
      <c r="E65" s="56" t="s">
        <v>1979</v>
      </c>
      <c r="F65" s="69"/>
      <c r="G65" s="100"/>
    </row>
    <row r="66" spans="1:7" x14ac:dyDescent="0.35">
      <c r="A66" s="99"/>
      <c r="B66" s="330" t="s">
        <v>1566</v>
      </c>
      <c r="C66" s="102">
        <v>1</v>
      </c>
      <c r="D66" s="69"/>
      <c r="E66" s="255">
        <v>2</v>
      </c>
      <c r="F66" s="69"/>
      <c r="G66" s="100"/>
    </row>
    <row r="67" spans="1:7" ht="14.25" customHeight="1" x14ac:dyDescent="0.35">
      <c r="A67" s="99"/>
      <c r="B67" s="330" t="s">
        <v>1880</v>
      </c>
      <c r="C67" s="102">
        <v>0</v>
      </c>
      <c r="D67" s="69"/>
      <c r="E67" s="255">
        <v>1.75</v>
      </c>
      <c r="F67" s="69"/>
      <c r="G67" s="100"/>
    </row>
    <row r="68" spans="1:7" x14ac:dyDescent="0.35">
      <c r="A68" s="99"/>
      <c r="B68" s="2647" t="s">
        <v>1185</v>
      </c>
      <c r="C68" s="2648">
        <v>0.16</v>
      </c>
      <c r="D68" s="69"/>
      <c r="E68" s="255">
        <v>1.5</v>
      </c>
      <c r="F68" s="69"/>
      <c r="G68" s="100"/>
    </row>
    <row r="69" spans="1:7" ht="29" x14ac:dyDescent="0.35">
      <c r="A69" s="99"/>
      <c r="B69" s="69"/>
      <c r="C69" s="69"/>
      <c r="D69" s="69"/>
      <c r="E69" s="257" t="s">
        <v>2017</v>
      </c>
      <c r="F69" s="69"/>
      <c r="G69" s="100"/>
    </row>
    <row r="70" spans="1:7" x14ac:dyDescent="0.35">
      <c r="A70" s="99"/>
      <c r="B70" s="69"/>
      <c r="C70" s="69"/>
      <c r="D70" s="69"/>
      <c r="E70" s="69"/>
      <c r="F70" s="69"/>
      <c r="G70" s="100"/>
    </row>
    <row r="71" spans="1:7" x14ac:dyDescent="0.35">
      <c r="A71" s="99"/>
      <c r="B71" s="680" t="s">
        <v>2018</v>
      </c>
      <c r="C71" s="680" t="s">
        <v>2019</v>
      </c>
      <c r="D71" s="69"/>
      <c r="E71" s="69"/>
      <c r="F71" s="69"/>
      <c r="G71" s="100"/>
    </row>
    <row r="72" spans="1:7" x14ac:dyDescent="0.35">
      <c r="A72" s="99"/>
      <c r="B72" s="330" t="s">
        <v>1566</v>
      </c>
      <c r="C72" s="102">
        <v>0</v>
      </c>
      <c r="D72" s="69"/>
      <c r="E72" s="69"/>
      <c r="F72" s="69"/>
      <c r="G72" s="100"/>
    </row>
    <row r="73" spans="1:7" x14ac:dyDescent="0.35">
      <c r="A73" s="99"/>
      <c r="B73" s="330" t="s">
        <v>1880</v>
      </c>
      <c r="C73" s="102">
        <v>1</v>
      </c>
      <c r="D73" s="69"/>
      <c r="E73" s="69"/>
      <c r="F73" s="69"/>
      <c r="G73" s="100"/>
    </row>
    <row r="74" spans="1:7" x14ac:dyDescent="0.35">
      <c r="A74" s="99"/>
      <c r="B74" s="2647" t="s">
        <v>1185</v>
      </c>
      <c r="C74" s="2648">
        <v>0.84</v>
      </c>
      <c r="D74" s="69"/>
      <c r="E74" s="69"/>
      <c r="F74" s="69"/>
      <c r="G74" s="100"/>
    </row>
    <row r="75" spans="1:7" x14ac:dyDescent="0.35">
      <c r="A75" s="99"/>
      <c r="B75" s="69"/>
      <c r="C75" s="69"/>
      <c r="D75" s="69"/>
      <c r="E75" s="69"/>
      <c r="F75" s="69"/>
      <c r="G75" s="100"/>
    </row>
    <row r="76" spans="1:7" x14ac:dyDescent="0.35">
      <c r="A76" s="99"/>
      <c r="B76" s="680" t="s">
        <v>1040</v>
      </c>
      <c r="C76" s="680"/>
      <c r="D76" s="69"/>
      <c r="E76" s="69"/>
      <c r="F76" s="69"/>
      <c r="G76" s="100"/>
    </row>
    <row r="77" spans="1:7" x14ac:dyDescent="0.35">
      <c r="A77" s="99"/>
      <c r="B77" s="1"/>
      <c r="C77" s="935"/>
      <c r="D77" s="69"/>
      <c r="E77" s="69"/>
      <c r="F77" s="69"/>
      <c r="G77" s="100"/>
    </row>
    <row r="78" spans="1:7" x14ac:dyDescent="0.35">
      <c r="A78" s="99"/>
      <c r="B78" s="49"/>
      <c r="C78" s="116"/>
      <c r="D78" s="69"/>
      <c r="E78" s="69"/>
      <c r="F78" s="69"/>
      <c r="G78" s="100"/>
    </row>
    <row r="79" spans="1:7" ht="15" thickBot="1" x14ac:dyDescent="0.4">
      <c r="A79" s="261"/>
      <c r="B79" s="161"/>
      <c r="C79" s="161"/>
      <c r="D79" s="161"/>
      <c r="E79" s="161"/>
      <c r="F79" s="161"/>
      <c r="G79" s="163"/>
    </row>
  </sheetData>
  <customSheetViews>
    <customSheetView guid="{ECD6FE6A-9548-414E-B8AA-6998703C57E0}" scale="85" showPageBreaks="1" fitToPage="1" printArea="1" view="pageBreakPreview">
      <pageMargins left="0" right="0" top="0" bottom="0" header="0" footer="0"/>
      <pageSetup scale="32" orientation="landscape" verticalDpi="300" r:id="rId1"/>
    </customSheetView>
    <customSheetView guid="{11DE45F5-F478-4ED6-8DFF-12002C22A637}" scale="85" showPageBreaks="1" fitToPage="1" printArea="1" view="pageBreakPreview">
      <pageMargins left="0" right="0" top="0" bottom="0" header="0" footer="0"/>
      <pageSetup scale="32" orientation="landscape" verticalDpi="300" r:id="rId2"/>
    </customSheetView>
  </customSheetViews>
  <mergeCells count="3">
    <mergeCell ref="M2:P2"/>
    <mergeCell ref="Q2:T2"/>
    <mergeCell ref="U2:AF2"/>
  </mergeCells>
  <dataValidations count="4">
    <dataValidation type="list" allowBlank="1" showInputMessage="1" showErrorMessage="1" sqref="K4:K5" xr:uid="{00000000-0002-0000-1200-000000000000}">
      <formula1>$B$77:$B$78</formula1>
    </dataValidation>
    <dataValidation type="list" allowBlank="1" showInputMessage="1" showErrorMessage="1" sqref="D4:D5" xr:uid="{00000000-0002-0000-1200-000001000000}">
      <formula1>MeasureType</formula1>
    </dataValidation>
    <dataValidation type="list" allowBlank="1" showInputMessage="1" showErrorMessage="1" sqref="E4:E5" xr:uid="{00000000-0002-0000-1200-000002000000}">
      <formula1>Fuel3</formula1>
    </dataValidation>
    <dataValidation type="list" allowBlank="1" showInputMessage="1" showErrorMessage="1" sqref="H4:H5" xr:uid="{00000000-0002-0000-1200-000003000000}">
      <formula1>LFSh1</formula1>
    </dataValidation>
  </dataValidations>
  <hyperlinks>
    <hyperlink ref="A1" location="'Measure-Level Adjustments'!Print_Titles" display="Measure Level Tab" xr:uid="{78CB7AFA-F0B1-4714-A129-4DAC6AC07BCF}"/>
  </hyperlinks>
  <pageMargins left="0.7" right="0.7" top="0.75" bottom="0.75" header="0.3" footer="0.3"/>
  <pageSetup scale="31" orientation="landscape" verticalDpi="30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79998168889431442"/>
    <pageSetUpPr fitToPage="1"/>
  </sheetPr>
  <dimension ref="A1:AM73"/>
  <sheetViews>
    <sheetView view="pageBreakPreview" zoomScale="85" zoomScaleNormal="100" zoomScaleSheetLayoutView="85" workbookViewId="0"/>
  </sheetViews>
  <sheetFormatPr defaultRowHeight="14.5" x14ac:dyDescent="0.35"/>
  <cols>
    <col min="1" max="1" width="19.54296875" customWidth="1"/>
    <col min="2" max="2" width="39.1796875" bestFit="1" customWidth="1"/>
    <col min="3" max="3" width="15.7265625" customWidth="1"/>
    <col min="4" max="4" width="9.453125" customWidth="1"/>
    <col min="5" max="5" width="10.453125" customWidth="1"/>
    <col min="6" max="6" width="10" customWidth="1"/>
    <col min="7" max="7" width="10" bestFit="1" customWidth="1"/>
    <col min="8" max="8" width="9.81640625" customWidth="1"/>
    <col min="9" max="9" width="15.54296875" customWidth="1"/>
    <col min="10" max="10" width="13.54296875" customWidth="1"/>
    <col min="11" max="11" width="16.26953125" customWidth="1"/>
    <col min="12" max="12" width="11" customWidth="1"/>
    <col min="13" max="13" width="12" bestFit="1" customWidth="1"/>
    <col min="14" max="14" width="11.81640625" bestFit="1" customWidth="1"/>
    <col min="15" max="15" width="11" bestFit="1" customWidth="1"/>
    <col min="17" max="17" width="11" bestFit="1" customWidth="1"/>
    <col min="18" max="18" width="14" customWidth="1"/>
    <col min="19" max="19" width="12.1796875" customWidth="1"/>
    <col min="20" max="20" width="16.1796875" bestFit="1" customWidth="1"/>
    <col min="30" max="31" width="12.1796875" customWidth="1"/>
  </cols>
  <sheetData>
    <row r="1" spans="1:39" x14ac:dyDescent="0.35">
      <c r="A1" s="1799" t="s">
        <v>1031</v>
      </c>
    </row>
    <row r="2" spans="1:39" x14ac:dyDescent="0.35">
      <c r="A2" s="1428" t="s">
        <v>495</v>
      </c>
      <c r="B2" s="993" t="s">
        <v>2020</v>
      </c>
      <c r="C2" s="997"/>
      <c r="D2" s="997"/>
      <c r="E2" s="998"/>
      <c r="F2" s="998"/>
      <c r="G2" s="998"/>
      <c r="H2" s="998"/>
      <c r="I2" s="998"/>
      <c r="J2" s="998"/>
      <c r="K2" s="3013" t="s">
        <v>1032</v>
      </c>
      <c r="L2" s="3014"/>
      <c r="M2" s="3014"/>
      <c r="N2" s="3098"/>
      <c r="O2" s="3013" t="s">
        <v>1033</v>
      </c>
      <c r="P2" s="3014"/>
      <c r="Q2" s="3014"/>
      <c r="R2" s="3014"/>
      <c r="S2" s="3110" t="s">
        <v>1158</v>
      </c>
      <c r="T2" s="3111"/>
    </row>
    <row r="3" spans="1:39" s="672" customFormat="1" ht="43.5" x14ac:dyDescent="0.35">
      <c r="A3" s="969" t="s">
        <v>1035</v>
      </c>
      <c r="B3" s="953" t="s">
        <v>155</v>
      </c>
      <c r="C3" s="953" t="s">
        <v>1036</v>
      </c>
      <c r="D3" s="953" t="s">
        <v>1037</v>
      </c>
      <c r="E3" s="998" t="s">
        <v>1039</v>
      </c>
      <c r="F3" s="998" t="s">
        <v>1040</v>
      </c>
      <c r="G3" s="998" t="s">
        <v>2021</v>
      </c>
      <c r="H3" s="998" t="s">
        <v>1041</v>
      </c>
      <c r="I3" s="998" t="s">
        <v>1480</v>
      </c>
      <c r="J3" s="998" t="s">
        <v>2022</v>
      </c>
      <c r="K3" s="998" t="s">
        <v>1044</v>
      </c>
      <c r="L3" s="998" t="s">
        <v>1045</v>
      </c>
      <c r="M3" s="998" t="s">
        <v>1046</v>
      </c>
      <c r="N3" s="998" t="s">
        <v>1869</v>
      </c>
      <c r="O3" s="998" t="s">
        <v>1044</v>
      </c>
      <c r="P3" s="998" t="s">
        <v>1045</v>
      </c>
      <c r="Q3" s="998" t="s">
        <v>1046</v>
      </c>
      <c r="R3" s="998" t="s">
        <v>1869</v>
      </c>
      <c r="S3" s="101" t="s">
        <v>2023</v>
      </c>
      <c r="T3" s="101" t="s">
        <v>2024</v>
      </c>
    </row>
    <row r="4" spans="1:39" s="60" customFormat="1" ht="52.5" x14ac:dyDescent="0.35">
      <c r="A4" s="955" t="s">
        <v>494</v>
      </c>
      <c r="B4" s="955" t="str">
        <f>$B$2&amp;", per "&amp;FIXED(J4,0)&amp;" sf, "&amp;I4</f>
        <v>Commercial Pool Covers, per 1,000 sf, Indoor</v>
      </c>
      <c r="C4" s="956" t="s">
        <v>493</v>
      </c>
      <c r="D4" s="957" t="s">
        <v>1771</v>
      </c>
      <c r="E4" s="1000">
        <f>+$B$17</f>
        <v>6</v>
      </c>
      <c r="F4" s="1012"/>
      <c r="G4" s="1012"/>
      <c r="H4" s="1002" t="s">
        <v>1881</v>
      </c>
      <c r="I4" s="1002" t="s">
        <v>2025</v>
      </c>
      <c r="J4" s="1003">
        <v>1000</v>
      </c>
      <c r="K4" s="1003"/>
      <c r="L4" s="1004"/>
      <c r="M4" s="1003">
        <f>S4*J4</f>
        <v>2610</v>
      </c>
      <c r="N4" s="1003">
        <f>T4*J4</f>
        <v>15280</v>
      </c>
      <c r="O4" s="1003"/>
      <c r="P4" s="1004"/>
      <c r="Q4" s="1003">
        <f>M4*E4</f>
        <v>15660</v>
      </c>
      <c r="R4" s="1003">
        <f>N4*E4</f>
        <v>91680</v>
      </c>
      <c r="S4" s="125">
        <f>VLOOKUP(I4,$B$45:$C$46,2,FALSE)</f>
        <v>2.61</v>
      </c>
      <c r="T4" s="49">
        <f>VLOOKUP(I4,$B$52:$C$53,2,FALSE)</f>
        <v>15.28</v>
      </c>
    </row>
    <row r="5" spans="1:39" s="60" customFormat="1" ht="52.5" x14ac:dyDescent="0.35">
      <c r="A5" s="955" t="s">
        <v>498</v>
      </c>
      <c r="B5" s="955" t="str">
        <f>$B$2&amp;", per "&amp;FIXED(J5,0)&amp;" sf, "&amp;I5</f>
        <v>Commercial Pool Covers, per 1,000 sf, Outdoor</v>
      </c>
      <c r="C5" s="955" t="s">
        <v>497</v>
      </c>
      <c r="D5" s="957" t="s">
        <v>1771</v>
      </c>
      <c r="E5" s="1000">
        <f>+$B$17</f>
        <v>6</v>
      </c>
      <c r="F5" s="1012"/>
      <c r="G5" s="1012"/>
      <c r="H5" s="1002" t="s">
        <v>1881</v>
      </c>
      <c r="I5" s="1002" t="s">
        <v>2026</v>
      </c>
      <c r="J5" s="1003">
        <v>1000</v>
      </c>
      <c r="K5" s="1003"/>
      <c r="L5" s="1004"/>
      <c r="M5" s="1003">
        <f>S5*J5</f>
        <v>1010</v>
      </c>
      <c r="N5" s="1003">
        <f>T5*J5</f>
        <v>8940</v>
      </c>
      <c r="O5" s="1003"/>
      <c r="P5" s="1004"/>
      <c r="Q5" s="1003">
        <f>M5*E5</f>
        <v>6060</v>
      </c>
      <c r="R5" s="1003">
        <f>N5*E5</f>
        <v>53640</v>
      </c>
      <c r="S5" s="125">
        <f>VLOOKUP(I5,$B$45:$C$46,2,FALSE)</f>
        <v>1.01</v>
      </c>
      <c r="T5" s="49">
        <f>VLOOKUP(I5,$B$52:$C$53,2,FALSE)</f>
        <v>8.94</v>
      </c>
      <c r="W5"/>
      <c r="X5"/>
      <c r="Y5"/>
      <c r="Z5"/>
      <c r="AA5"/>
      <c r="AB5"/>
      <c r="AC5"/>
      <c r="AD5"/>
      <c r="AE5"/>
      <c r="AF5"/>
      <c r="AG5"/>
      <c r="AH5"/>
      <c r="AI5"/>
      <c r="AJ5"/>
      <c r="AK5"/>
      <c r="AL5"/>
      <c r="AM5"/>
    </row>
    <row r="6" spans="1:39" ht="15" thickBot="1" x14ac:dyDescent="0.4"/>
    <row r="7" spans="1:39" ht="15" thickBot="1" x14ac:dyDescent="0.4">
      <c r="A7" s="154" t="s">
        <v>1188</v>
      </c>
      <c r="B7" s="64"/>
      <c r="C7" s="64"/>
      <c r="D7" s="64"/>
      <c r="E7" s="64"/>
      <c r="F7" s="64"/>
      <c r="G7" s="64"/>
      <c r="H7" s="64"/>
      <c r="I7" s="64"/>
      <c r="J7" s="64"/>
      <c r="K7" s="64"/>
      <c r="L7" s="65"/>
    </row>
    <row r="8" spans="1:39" x14ac:dyDescent="0.35">
      <c r="A8" s="67" t="s">
        <v>2027</v>
      </c>
      <c r="B8" s="68"/>
      <c r="C8" s="69"/>
      <c r="D8" s="69"/>
      <c r="E8" s="69"/>
      <c r="F8" s="69"/>
      <c r="G8" s="69"/>
      <c r="H8" s="69"/>
      <c r="I8" s="69"/>
      <c r="J8" s="69"/>
      <c r="K8" s="69"/>
      <c r="L8" s="70"/>
    </row>
    <row r="9" spans="1:39" ht="15" thickBot="1" x14ac:dyDescent="0.4">
      <c r="A9" s="71" t="s">
        <v>2028</v>
      </c>
      <c r="B9" s="249"/>
      <c r="C9" s="72"/>
      <c r="D9" s="72"/>
      <c r="E9" s="72"/>
      <c r="F9" s="72"/>
      <c r="G9" s="72"/>
      <c r="H9" s="72"/>
      <c r="I9" s="72"/>
      <c r="J9" s="72"/>
      <c r="K9" s="72"/>
      <c r="L9" s="73"/>
    </row>
    <row r="10" spans="1:39" ht="15" thickBot="1" x14ac:dyDescent="0.4">
      <c r="A10" s="154" t="s">
        <v>1078</v>
      </c>
      <c r="B10" s="1142">
        <f>'Measure-Level Adjustments'!A2</f>
        <v>44592</v>
      </c>
    </row>
    <row r="11" spans="1:39" ht="15" thickBot="1" x14ac:dyDescent="0.4">
      <c r="A11" s="154" t="s">
        <v>1079</v>
      </c>
      <c r="B11" s="577" t="s">
        <v>2029</v>
      </c>
    </row>
    <row r="12" spans="1:39" ht="15" thickBot="1" x14ac:dyDescent="0.4"/>
    <row r="13" spans="1:39" ht="15" thickBot="1" x14ac:dyDescent="0.4">
      <c r="A13" s="637" t="s">
        <v>1285</v>
      </c>
      <c r="B13" s="638" t="s">
        <v>1199</v>
      </c>
      <c r="C13" s="639" t="s">
        <v>1082</v>
      </c>
      <c r="D13" s="383"/>
      <c r="E13" s="383"/>
      <c r="F13" s="383"/>
      <c r="G13" s="383"/>
      <c r="H13" s="383"/>
      <c r="I13" s="383"/>
      <c r="J13" s="383"/>
      <c r="K13" s="383"/>
      <c r="L13" s="383"/>
      <c r="M13" s="383"/>
      <c r="N13" s="383"/>
      <c r="O13" s="383"/>
      <c r="P13" s="383"/>
      <c r="Q13" s="383"/>
      <c r="R13" s="384"/>
    </row>
    <row r="14" spans="1:39" ht="15" thickBot="1" x14ac:dyDescent="0.4">
      <c r="A14" s="94" t="s">
        <v>2023</v>
      </c>
      <c r="B14" s="364"/>
      <c r="C14" s="364" t="s">
        <v>2030</v>
      </c>
      <c r="D14" s="364"/>
      <c r="E14" s="364"/>
      <c r="F14" s="364"/>
      <c r="G14" s="364"/>
      <c r="H14" s="364"/>
      <c r="I14" s="364"/>
      <c r="J14" s="364"/>
      <c r="K14" s="364"/>
      <c r="L14" s="364"/>
      <c r="M14" s="364"/>
      <c r="N14" s="364"/>
      <c r="O14" s="364"/>
      <c r="P14" s="364"/>
      <c r="Q14" s="364"/>
      <c r="R14" s="96"/>
    </row>
    <row r="15" spans="1:39" ht="15" thickBot="1" x14ac:dyDescent="0.4">
      <c r="A15" s="166" t="s">
        <v>2031</v>
      </c>
      <c r="B15" s="167"/>
      <c r="C15" s="167" t="s">
        <v>2032</v>
      </c>
      <c r="D15" s="167"/>
      <c r="E15" s="167"/>
      <c r="F15" s="167"/>
      <c r="G15" s="167"/>
      <c r="H15" s="167"/>
      <c r="I15" s="167"/>
      <c r="J15" s="167"/>
      <c r="K15" s="167"/>
      <c r="L15" s="167"/>
      <c r="M15" s="167"/>
      <c r="N15" s="167"/>
      <c r="O15" s="167"/>
      <c r="P15" s="167"/>
      <c r="Q15" s="167"/>
      <c r="R15" s="168"/>
    </row>
    <row r="16" spans="1:39" ht="15" thickBot="1" x14ac:dyDescent="0.4">
      <c r="A16" s="94" t="s">
        <v>2033</v>
      </c>
      <c r="B16" s="95" t="s">
        <v>2034</v>
      </c>
      <c r="C16" s="364" t="s">
        <v>2035</v>
      </c>
      <c r="D16" s="364"/>
      <c r="E16" s="364"/>
      <c r="F16" s="364"/>
      <c r="G16" s="364"/>
      <c r="H16" s="364"/>
      <c r="I16" s="364"/>
      <c r="J16" s="364"/>
      <c r="K16" s="364"/>
      <c r="L16" s="364"/>
      <c r="M16" s="364"/>
      <c r="N16" s="364"/>
      <c r="O16" s="364"/>
      <c r="P16" s="364"/>
      <c r="Q16" s="364"/>
      <c r="R16" s="96"/>
    </row>
    <row r="17" spans="1:18" ht="15" thickBot="1" x14ac:dyDescent="0.4">
      <c r="A17" s="94" t="s">
        <v>1083</v>
      </c>
      <c r="B17" s="364">
        <v>6</v>
      </c>
      <c r="C17" s="364" t="s">
        <v>2036</v>
      </c>
      <c r="D17" s="364"/>
      <c r="E17" s="364"/>
      <c r="F17" s="364"/>
      <c r="G17" s="364"/>
      <c r="H17" s="364"/>
      <c r="I17" s="364"/>
      <c r="J17" s="364"/>
      <c r="K17" s="364"/>
      <c r="L17" s="364"/>
      <c r="M17" s="364"/>
      <c r="N17" s="364"/>
      <c r="O17" s="364"/>
      <c r="P17" s="364"/>
      <c r="Q17" s="364"/>
      <c r="R17" s="96"/>
    </row>
    <row r="18" spans="1:18" ht="15" thickBot="1" x14ac:dyDescent="0.4">
      <c r="A18" s="155" t="s">
        <v>1040</v>
      </c>
      <c r="B18" s="156"/>
      <c r="C18" s="3112"/>
      <c r="D18" s="3112"/>
      <c r="E18" s="3112"/>
      <c r="F18" s="3112"/>
      <c r="G18" s="3112"/>
      <c r="H18" s="3112"/>
      <c r="I18" s="3112"/>
      <c r="J18" s="3112"/>
      <c r="K18" s="3112"/>
      <c r="L18" s="3112"/>
      <c r="M18" s="3112"/>
      <c r="N18" s="3112"/>
      <c r="O18" s="3112"/>
      <c r="P18" s="3112"/>
      <c r="Q18" s="3112"/>
      <c r="R18" s="3113"/>
    </row>
    <row r="19" spans="1:18" x14ac:dyDescent="0.35">
      <c r="A19" s="93" t="s">
        <v>1253</v>
      </c>
      <c r="B19" s="80"/>
      <c r="C19" s="80" t="s">
        <v>2037</v>
      </c>
      <c r="D19" s="80"/>
      <c r="E19" s="80"/>
      <c r="F19" s="80"/>
      <c r="G19" s="80"/>
      <c r="H19" s="80"/>
      <c r="I19" s="80"/>
      <c r="J19" s="80"/>
      <c r="K19" s="80"/>
      <c r="L19" s="80"/>
      <c r="M19" s="80"/>
      <c r="N19" s="80"/>
      <c r="O19" s="80"/>
      <c r="P19" s="80"/>
      <c r="Q19" s="80"/>
      <c r="R19" s="81"/>
    </row>
    <row r="20" spans="1:18" ht="15" thickBot="1" x14ac:dyDescent="0.4">
      <c r="A20" s="88"/>
      <c r="B20" s="85"/>
      <c r="C20" s="85" t="s">
        <v>2038</v>
      </c>
      <c r="D20" s="85"/>
      <c r="E20" s="85"/>
      <c r="F20" s="85"/>
      <c r="G20" s="85"/>
      <c r="H20" s="85"/>
      <c r="I20" s="85"/>
      <c r="J20" s="85"/>
      <c r="K20" s="85"/>
      <c r="L20" s="85"/>
      <c r="M20" s="85"/>
      <c r="N20" s="85"/>
      <c r="O20" s="85"/>
      <c r="P20" s="85"/>
      <c r="Q20" s="85"/>
      <c r="R20" s="86"/>
    </row>
    <row r="21" spans="1:18" x14ac:dyDescent="0.35">
      <c r="A21" s="93" t="s">
        <v>1255</v>
      </c>
      <c r="B21" s="80"/>
      <c r="C21" s="80" t="s">
        <v>2039</v>
      </c>
      <c r="D21" s="80"/>
      <c r="E21" s="80"/>
      <c r="F21" s="80"/>
      <c r="G21" s="80"/>
      <c r="H21" s="80"/>
      <c r="I21" s="80"/>
      <c r="J21" s="80"/>
      <c r="K21" s="80"/>
      <c r="L21" s="80"/>
      <c r="M21" s="80"/>
      <c r="N21" s="80"/>
      <c r="O21" s="80"/>
      <c r="P21" s="80"/>
      <c r="Q21" s="80"/>
      <c r="R21" s="81"/>
    </row>
    <row r="22" spans="1:18" ht="15" thickBot="1" x14ac:dyDescent="0.4">
      <c r="A22" s="88"/>
      <c r="B22" s="85"/>
      <c r="C22" s="85" t="s">
        <v>2040</v>
      </c>
      <c r="D22" s="85"/>
      <c r="E22" s="85"/>
      <c r="F22" s="85"/>
      <c r="G22" s="85"/>
      <c r="H22" s="85"/>
      <c r="I22" s="85"/>
      <c r="J22" s="85"/>
      <c r="K22" s="85"/>
      <c r="L22" s="85"/>
      <c r="M22" s="85"/>
      <c r="N22" s="85"/>
      <c r="O22" s="85"/>
      <c r="P22" s="85"/>
      <c r="Q22" s="85"/>
      <c r="R22" s="86"/>
    </row>
    <row r="25" spans="1:18" ht="15" thickBot="1" x14ac:dyDescent="0.4"/>
    <row r="26" spans="1:18" ht="15" thickBot="1" x14ac:dyDescent="0.4">
      <c r="A26" s="97" t="s">
        <v>1257</v>
      </c>
      <c r="B26" s="64"/>
      <c r="C26" s="64"/>
      <c r="D26" s="64"/>
      <c r="E26" s="64"/>
      <c r="F26" s="64"/>
      <c r="G26" s="65"/>
    </row>
    <row r="27" spans="1:18" x14ac:dyDescent="0.35">
      <c r="A27" s="99"/>
      <c r="B27" s="787" t="s">
        <v>2041</v>
      </c>
      <c r="C27" s="69"/>
      <c r="D27" s="69"/>
      <c r="E27" s="69"/>
      <c r="F27" s="69"/>
      <c r="G27" s="100"/>
    </row>
    <row r="28" spans="1:18" x14ac:dyDescent="0.35">
      <c r="A28" s="99"/>
      <c r="B28" s="3114" t="s">
        <v>2042</v>
      </c>
      <c r="C28" s="3117" t="s">
        <v>2043</v>
      </c>
      <c r="D28" s="3117"/>
      <c r="E28" s="69"/>
      <c r="F28" s="69"/>
      <c r="G28" s="100"/>
    </row>
    <row r="29" spans="1:18" x14ac:dyDescent="0.35">
      <c r="A29" s="99"/>
      <c r="B29" s="3115"/>
      <c r="C29" s="787" t="s">
        <v>2044</v>
      </c>
      <c r="D29" s="787" t="s">
        <v>2045</v>
      </c>
      <c r="E29" s="69"/>
      <c r="F29" s="69"/>
      <c r="G29" s="100"/>
    </row>
    <row r="30" spans="1:18" x14ac:dyDescent="0.35">
      <c r="A30" s="99"/>
      <c r="B30" s="3116"/>
      <c r="C30" s="936" t="s">
        <v>2025</v>
      </c>
      <c r="D30" s="936" t="s">
        <v>2026</v>
      </c>
      <c r="E30" s="69"/>
      <c r="F30" s="69"/>
      <c r="G30" s="100"/>
    </row>
    <row r="31" spans="1:18" x14ac:dyDescent="0.35">
      <c r="A31" s="99"/>
      <c r="B31" s="49">
        <v>1</v>
      </c>
      <c r="C31" s="768">
        <v>2.19</v>
      </c>
      <c r="D31" s="768">
        <v>2.2400000000000002</v>
      </c>
      <c r="E31" s="69"/>
      <c r="F31" s="69"/>
      <c r="G31" s="100"/>
    </row>
    <row r="32" spans="1:18" x14ac:dyDescent="0.35">
      <c r="A32" s="99"/>
      <c r="B32" s="49">
        <v>1000</v>
      </c>
      <c r="C32" s="768">
        <v>2.19</v>
      </c>
      <c r="D32" s="768">
        <v>2.2400000000000002</v>
      </c>
      <c r="E32" s="69"/>
      <c r="F32" s="69"/>
      <c r="G32" s="937"/>
    </row>
    <row r="33" spans="1:7" x14ac:dyDescent="0.35">
      <c r="A33" s="99"/>
      <c r="B33" s="49">
        <v>2000</v>
      </c>
      <c r="C33" s="768">
        <v>2.0099999999999998</v>
      </c>
      <c r="D33" s="768">
        <v>2.06</v>
      </c>
      <c r="E33" s="69"/>
      <c r="F33" s="69"/>
      <c r="G33" s="100"/>
    </row>
    <row r="34" spans="1:7" x14ac:dyDescent="0.35">
      <c r="A34" s="99"/>
      <c r="B34" s="49">
        <v>3000</v>
      </c>
      <c r="C34" s="768">
        <v>1.8</v>
      </c>
      <c r="D34" s="768">
        <v>1.83</v>
      </c>
      <c r="E34" s="69"/>
      <c r="F34" s="69"/>
      <c r="G34" s="100"/>
    </row>
    <row r="35" spans="1:7" x14ac:dyDescent="0.35">
      <c r="A35" s="99"/>
      <c r="B35" s="49" t="s">
        <v>1363</v>
      </c>
      <c r="C35" s="768">
        <v>2</v>
      </c>
      <c r="D35" s="768">
        <v>2.04</v>
      </c>
      <c r="E35" s="938"/>
      <c r="F35" s="69"/>
      <c r="G35" s="100"/>
    </row>
    <row r="36" spans="1:7" x14ac:dyDescent="0.35">
      <c r="A36" s="99"/>
      <c r="B36" s="69"/>
      <c r="C36" s="938"/>
      <c r="D36" s="69"/>
      <c r="E36" s="69"/>
      <c r="F36" s="69"/>
      <c r="G36" s="100"/>
    </row>
    <row r="37" spans="1:7" ht="15" customHeight="1" x14ac:dyDescent="0.35">
      <c r="A37" s="99"/>
      <c r="B37" s="3118" t="s">
        <v>2046</v>
      </c>
      <c r="C37" s="3119"/>
      <c r="D37" s="69"/>
      <c r="E37" s="69"/>
      <c r="F37" s="69"/>
      <c r="G37" s="100"/>
    </row>
    <row r="38" spans="1:7" x14ac:dyDescent="0.35">
      <c r="A38" s="99"/>
      <c r="B38" s="49" t="s">
        <v>2025</v>
      </c>
      <c r="C38" s="49" t="s">
        <v>1631</v>
      </c>
      <c r="D38" s="69"/>
      <c r="E38" s="69"/>
      <c r="F38" s="69"/>
      <c r="G38" s="100"/>
    </row>
    <row r="39" spans="1:7" x14ac:dyDescent="0.35">
      <c r="A39" s="99"/>
      <c r="B39" s="49" t="s">
        <v>2026</v>
      </c>
      <c r="C39" s="49" t="s">
        <v>105</v>
      </c>
      <c r="D39" s="69"/>
      <c r="E39" s="69"/>
      <c r="F39" s="69"/>
      <c r="G39" s="100"/>
    </row>
    <row r="40" spans="1:7" x14ac:dyDescent="0.35">
      <c r="A40" s="99"/>
      <c r="B40" s="69"/>
      <c r="C40" s="69"/>
      <c r="D40" s="69"/>
      <c r="E40" s="69"/>
      <c r="F40" s="69"/>
      <c r="G40" s="100"/>
    </row>
    <row r="41" spans="1:7" x14ac:dyDescent="0.35">
      <c r="A41" s="99"/>
      <c r="B41" s="69"/>
      <c r="C41" s="69"/>
      <c r="D41" s="69"/>
      <c r="E41" s="69"/>
      <c r="F41" s="69"/>
      <c r="G41" s="100"/>
    </row>
    <row r="42" spans="1:7" x14ac:dyDescent="0.35">
      <c r="A42" s="99"/>
      <c r="B42" s="69"/>
      <c r="C42" s="938"/>
      <c r="D42" s="938"/>
      <c r="E42" s="69"/>
      <c r="F42" s="69"/>
      <c r="G42" s="100"/>
    </row>
    <row r="43" spans="1:7" ht="36.75" customHeight="1" x14ac:dyDescent="0.35">
      <c r="A43" s="99"/>
      <c r="B43" s="3108" t="s">
        <v>2047</v>
      </c>
      <c r="C43" s="3109"/>
      <c r="D43" s="938"/>
      <c r="E43" s="69"/>
      <c r="F43" s="69"/>
      <c r="G43" s="100"/>
    </row>
    <row r="44" spans="1:7" x14ac:dyDescent="0.35">
      <c r="A44" s="99"/>
      <c r="B44" s="787" t="s">
        <v>2048</v>
      </c>
      <c r="C44" s="787" t="s">
        <v>2049</v>
      </c>
      <c r="D44" s="938"/>
      <c r="E44" s="69"/>
      <c r="F44" s="69"/>
      <c r="G44" s="100"/>
    </row>
    <row r="45" spans="1:7" x14ac:dyDescent="0.35">
      <c r="A45" s="99"/>
      <c r="B45" s="49" t="s">
        <v>2025</v>
      </c>
      <c r="C45" s="126">
        <v>2.61</v>
      </c>
      <c r="D45" s="938"/>
      <c r="E45" s="69"/>
      <c r="F45" s="69"/>
      <c r="G45" s="100"/>
    </row>
    <row r="46" spans="1:7" x14ac:dyDescent="0.35">
      <c r="A46" s="99"/>
      <c r="B46" s="49" t="s">
        <v>2026</v>
      </c>
      <c r="C46" s="126">
        <v>1.01</v>
      </c>
      <c r="D46" s="69"/>
      <c r="E46" s="69"/>
      <c r="F46" s="69"/>
      <c r="G46" s="100"/>
    </row>
    <row r="47" spans="1:7" x14ac:dyDescent="0.35">
      <c r="A47" s="99"/>
      <c r="B47" s="69"/>
      <c r="C47" s="69"/>
      <c r="D47" s="69"/>
      <c r="E47" s="69"/>
      <c r="F47" s="69"/>
      <c r="G47" s="100"/>
    </row>
    <row r="48" spans="1:7" s="318" customFormat="1" ht="15" customHeight="1" x14ac:dyDescent="0.35">
      <c r="A48" s="939"/>
      <c r="B48" s="69"/>
      <c r="C48" s="69"/>
      <c r="D48" s="69"/>
      <c r="E48" s="940"/>
      <c r="F48" s="940"/>
      <c r="G48" s="941"/>
    </row>
    <row r="49" spans="1:13" ht="45.75" customHeight="1" x14ac:dyDescent="0.35">
      <c r="A49" s="99"/>
      <c r="B49" s="3108" t="s">
        <v>2050</v>
      </c>
      <c r="C49" s="3109"/>
      <c r="D49" s="940"/>
      <c r="E49" s="69"/>
      <c r="F49" s="69"/>
      <c r="G49" s="100"/>
    </row>
    <row r="50" spans="1:13" ht="29" x14ac:dyDescent="0.35">
      <c r="A50" s="99"/>
      <c r="B50" s="787" t="s">
        <v>2048</v>
      </c>
      <c r="C50" s="1013" t="s">
        <v>2051</v>
      </c>
      <c r="D50" s="69"/>
      <c r="E50" s="69"/>
      <c r="F50" s="69"/>
      <c r="G50" s="100"/>
    </row>
    <row r="51" spans="1:13" x14ac:dyDescent="0.35">
      <c r="A51" s="304"/>
      <c r="B51" s="787"/>
      <c r="C51" s="787"/>
      <c r="D51" s="69"/>
      <c r="E51" s="69"/>
      <c r="F51" s="69"/>
      <c r="G51" s="100"/>
      <c r="M51" s="55"/>
    </row>
    <row r="52" spans="1:13" x14ac:dyDescent="0.35">
      <c r="A52" s="99"/>
      <c r="B52" s="49" t="s">
        <v>2025</v>
      </c>
      <c r="C52" s="49">
        <v>15.28</v>
      </c>
      <c r="D52" s="69"/>
      <c r="E52" s="69"/>
      <c r="F52" s="69"/>
      <c r="G52" s="100"/>
    </row>
    <row r="53" spans="1:13" x14ac:dyDescent="0.35">
      <c r="A53" s="99"/>
      <c r="B53" s="49" t="s">
        <v>2026</v>
      </c>
      <c r="C53" s="49">
        <v>8.94</v>
      </c>
      <c r="D53" s="69"/>
      <c r="E53" s="69"/>
      <c r="F53" s="69"/>
      <c r="G53" s="100"/>
    </row>
    <row r="54" spans="1:13" x14ac:dyDescent="0.35">
      <c r="A54" s="99"/>
      <c r="B54" s="69"/>
      <c r="C54" s="69"/>
      <c r="D54" s="69"/>
      <c r="E54" s="69"/>
      <c r="F54" s="69"/>
      <c r="G54" s="100"/>
    </row>
    <row r="55" spans="1:13" x14ac:dyDescent="0.35">
      <c r="A55" s="99"/>
      <c r="B55" s="69"/>
      <c r="C55" s="69"/>
      <c r="D55" s="69"/>
      <c r="E55" s="69"/>
      <c r="F55" s="69"/>
      <c r="G55" s="100"/>
    </row>
    <row r="56" spans="1:13" ht="15" thickBot="1" x14ac:dyDescent="0.4">
      <c r="A56" s="261"/>
      <c r="B56" s="161"/>
      <c r="C56" s="161"/>
      <c r="D56" s="161"/>
      <c r="E56" s="161"/>
      <c r="F56" s="161"/>
      <c r="G56" s="163"/>
    </row>
    <row r="68" spans="5:5" ht="14.25" customHeight="1" x14ac:dyDescent="0.35"/>
    <row r="73" spans="5:5" x14ac:dyDescent="0.35">
      <c r="E73" s="942"/>
    </row>
  </sheetData>
  <customSheetViews>
    <customSheetView guid="{ECD6FE6A-9548-414E-B8AA-6998703C57E0}" scale="85" showPageBreaks="1" fitToPage="1" printArea="1" view="pageBreakPreview">
      <pageMargins left="0" right="0" top="0" bottom="0" header="0" footer="0"/>
      <pageSetup scale="44" orientation="landscape" r:id="rId1"/>
    </customSheetView>
    <customSheetView guid="{11DE45F5-F478-4ED6-8DFF-12002C22A637}" scale="85" showPageBreaks="1" fitToPage="1" printArea="1" view="pageBreakPreview">
      <pageMargins left="0" right="0" top="0" bottom="0" header="0" footer="0"/>
      <pageSetup scale="44" orientation="landscape" r:id="rId2"/>
    </customSheetView>
  </customSheetViews>
  <mergeCells count="9">
    <mergeCell ref="B43:C43"/>
    <mergeCell ref="B49:C49"/>
    <mergeCell ref="K2:N2"/>
    <mergeCell ref="O2:R2"/>
    <mergeCell ref="S2:T2"/>
    <mergeCell ref="C18:R18"/>
    <mergeCell ref="B28:B30"/>
    <mergeCell ref="C28:D28"/>
    <mergeCell ref="B37:C37"/>
  </mergeCells>
  <dataValidations disablePrompts="1" count="4">
    <dataValidation type="list" allowBlank="1" showInputMessage="1" showErrorMessage="1" sqref="G4:G5" xr:uid="{00000000-0002-0000-1300-000000000000}">
      <formula1>$C$38:$C$39</formula1>
    </dataValidation>
    <dataValidation type="list" allowBlank="1" showInputMessage="1" showErrorMessage="1" sqref="D4:D5" xr:uid="{00000000-0002-0000-1300-000001000000}">
      <formula1>MeasureType</formula1>
    </dataValidation>
    <dataValidation type="list" allowBlank="1" showInputMessage="1" showErrorMessage="1" sqref="J4:J5" xr:uid="{00000000-0002-0000-1300-000002000000}">
      <formula1>$B$31:$B$34</formula1>
    </dataValidation>
    <dataValidation type="list" allowBlank="1" showInputMessage="1" showErrorMessage="1" sqref="I4:I5" xr:uid="{00000000-0002-0000-1300-000003000000}">
      <formula1>Indoor_Outdoor</formula1>
    </dataValidation>
  </dataValidations>
  <hyperlinks>
    <hyperlink ref="A1" location="'Measure-Level Adjustments'!Print_Titles" display="Measure Level Tab" xr:uid="{4DB29AB0-1380-41B8-8600-944816B66A1F}"/>
  </hyperlinks>
  <pageMargins left="0.7" right="0.7" top="0.75" bottom="0.75" header="0.3" footer="0.3"/>
  <pageSetup scale="44"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79998168889431442"/>
    <pageSetUpPr fitToPage="1"/>
  </sheetPr>
  <dimension ref="A1:AC45"/>
  <sheetViews>
    <sheetView view="pageBreakPreview" zoomScaleNormal="100" zoomScaleSheetLayoutView="100" workbookViewId="0">
      <selection activeCell="Z4" sqref="Z4"/>
    </sheetView>
  </sheetViews>
  <sheetFormatPr defaultRowHeight="14.5" x14ac:dyDescent="0.35"/>
  <cols>
    <col min="1" max="1" width="19.81640625" customWidth="1"/>
    <col min="2" max="2" width="31.81640625" bestFit="1" customWidth="1"/>
    <col min="3" max="3" width="21.81640625" customWidth="1"/>
    <col min="4" max="4" width="23.7265625" customWidth="1"/>
    <col min="5" max="5" width="10.453125" customWidth="1"/>
    <col min="6" max="6" width="9.81640625" customWidth="1"/>
    <col min="8" max="8" width="11.54296875" bestFit="1" customWidth="1"/>
    <col min="9" max="9" width="11.453125" customWidth="1"/>
    <col min="10" max="10" width="11" customWidth="1"/>
    <col min="12" max="12" width="10.54296875" bestFit="1" customWidth="1"/>
    <col min="13" max="13" width="13.81640625" customWidth="1"/>
    <col min="14" max="14" width="11.54296875" bestFit="1" customWidth="1"/>
    <col min="15" max="15" width="10" bestFit="1" customWidth="1"/>
    <col min="16" max="16" width="12.1796875" customWidth="1"/>
    <col min="17" max="17" width="14.1796875" customWidth="1"/>
    <col min="18" max="19" width="28.54296875" customWidth="1"/>
    <col min="20" max="20" width="15.453125" customWidth="1"/>
    <col min="21" max="21" width="16.1796875" bestFit="1" customWidth="1"/>
    <col min="27" max="27" width="11" customWidth="1"/>
    <col min="28" max="28" width="11.1796875" customWidth="1"/>
    <col min="30" max="31" width="12.1796875" customWidth="1"/>
  </cols>
  <sheetData>
    <row r="1" spans="1:29" x14ac:dyDescent="0.35">
      <c r="A1" s="1799" t="s">
        <v>1031</v>
      </c>
    </row>
    <row r="2" spans="1:29" x14ac:dyDescent="0.35">
      <c r="A2" s="1428" t="s">
        <v>500</v>
      </c>
      <c r="B2" s="993" t="s">
        <v>499</v>
      </c>
      <c r="C2" s="997"/>
      <c r="D2" s="997"/>
      <c r="E2" s="998"/>
      <c r="F2" s="998"/>
      <c r="G2" s="998"/>
      <c r="H2" s="998"/>
      <c r="I2" s="998"/>
      <c r="J2" s="998"/>
      <c r="K2" s="3013" t="s">
        <v>1032</v>
      </c>
      <c r="L2" s="3014"/>
      <c r="M2" s="3014"/>
      <c r="N2" s="3098"/>
      <c r="O2" s="3013" t="s">
        <v>1033</v>
      </c>
      <c r="P2" s="3014"/>
      <c r="Q2" s="3014"/>
      <c r="R2" s="3014"/>
      <c r="S2" s="3120" t="s">
        <v>1158</v>
      </c>
      <c r="T2" s="3121"/>
      <c r="U2" s="3121"/>
      <c r="V2" s="3121"/>
      <c r="W2" s="3121"/>
      <c r="X2" s="3121"/>
      <c r="Y2" s="3121"/>
      <c r="Z2" s="3121"/>
      <c r="AA2" s="3121"/>
      <c r="AB2" s="3121"/>
      <c r="AC2" s="3122"/>
    </row>
    <row r="3" spans="1:29" s="672" customFormat="1" ht="29" x14ac:dyDescent="0.35">
      <c r="A3" s="969" t="s">
        <v>1035</v>
      </c>
      <c r="B3" s="953" t="s">
        <v>155</v>
      </c>
      <c r="C3" s="953" t="s">
        <v>1036</v>
      </c>
      <c r="D3" s="953" t="s">
        <v>1037</v>
      </c>
      <c r="E3" s="998" t="s">
        <v>1867</v>
      </c>
      <c r="F3" s="998" t="s">
        <v>1038</v>
      </c>
      <c r="G3" s="998" t="s">
        <v>1039</v>
      </c>
      <c r="H3" s="998" t="s">
        <v>1040</v>
      </c>
      <c r="I3" s="998" t="s">
        <v>2052</v>
      </c>
      <c r="J3" s="998" t="s">
        <v>1041</v>
      </c>
      <c r="K3" s="998" t="s">
        <v>1044</v>
      </c>
      <c r="L3" s="998" t="s">
        <v>1045</v>
      </c>
      <c r="M3" s="998" t="s">
        <v>1046</v>
      </c>
      <c r="N3" s="998" t="s">
        <v>1869</v>
      </c>
      <c r="O3" s="998" t="s">
        <v>1044</v>
      </c>
      <c r="P3" s="998" t="s">
        <v>1045</v>
      </c>
      <c r="Q3" s="998" t="s">
        <v>1046</v>
      </c>
      <c r="R3" s="998" t="s">
        <v>1869</v>
      </c>
      <c r="S3" s="349" t="s">
        <v>1686</v>
      </c>
      <c r="T3" s="349" t="s">
        <v>2053</v>
      </c>
      <c r="U3" s="349" t="s">
        <v>1641</v>
      </c>
      <c r="V3" s="301" t="s">
        <v>2054</v>
      </c>
      <c r="W3" s="301" t="s">
        <v>2055</v>
      </c>
      <c r="X3" s="301" t="s">
        <v>2056</v>
      </c>
      <c r="Y3" s="349" t="s">
        <v>2057</v>
      </c>
      <c r="Z3" s="349" t="s">
        <v>2058</v>
      </c>
      <c r="AA3" s="301" t="s">
        <v>2059</v>
      </c>
      <c r="AB3" s="301" t="s">
        <v>2060</v>
      </c>
      <c r="AC3" s="49" t="s">
        <v>2061</v>
      </c>
    </row>
    <row r="4" spans="1:29" s="60" customFormat="1" x14ac:dyDescent="0.35">
      <c r="A4" s="955" t="s">
        <v>500</v>
      </c>
      <c r="B4" s="955" t="str">
        <f>$B$2&amp;" - "&amp;I4&amp;" lbs capacity"</f>
        <v>Ozone Laundry - 150 lbs capacity</v>
      </c>
      <c r="C4" s="956" t="s">
        <v>499</v>
      </c>
      <c r="D4" s="957" t="s">
        <v>2062</v>
      </c>
      <c r="E4" s="973" t="s">
        <v>1880</v>
      </c>
      <c r="F4" s="1010" t="s">
        <v>1583</v>
      </c>
      <c r="G4" s="1011">
        <f>+$B$36</f>
        <v>10</v>
      </c>
      <c r="H4" s="1001"/>
      <c r="I4" s="1016">
        <v>150</v>
      </c>
      <c r="J4" s="1002" t="s">
        <v>2063</v>
      </c>
      <c r="K4" s="1003"/>
      <c r="L4" s="1004"/>
      <c r="M4" s="1017">
        <f>$B$35*I4</f>
        <v>4605</v>
      </c>
      <c r="N4" s="1017">
        <v>1828</v>
      </c>
      <c r="O4" s="1003"/>
      <c r="P4" s="1004"/>
      <c r="Q4" s="1003">
        <f>M4*G4</f>
        <v>46050</v>
      </c>
      <c r="R4" s="1003">
        <f>N4*G4</f>
        <v>18280</v>
      </c>
      <c r="S4" s="1014">
        <f>+$B$16</f>
        <v>5</v>
      </c>
      <c r="T4" s="49">
        <f>+$B$18</f>
        <v>0.746</v>
      </c>
      <c r="U4" s="49">
        <f>+$B$19</f>
        <v>800</v>
      </c>
      <c r="V4" s="61">
        <f>+$B$20</f>
        <v>0.25</v>
      </c>
      <c r="W4" s="49">
        <f>+$B$22</f>
        <v>254.38</v>
      </c>
      <c r="X4" s="123">
        <f>(Y4*Z4*AA4)</f>
        <v>9648.433724999999</v>
      </c>
      <c r="Y4" s="49">
        <f>+$B$24</f>
        <v>8.8500000000000002E-3</v>
      </c>
      <c r="Z4" s="1014">
        <f>+$B$27</f>
        <v>916150</v>
      </c>
      <c r="AA4" s="124">
        <f>+$B$28</f>
        <v>1.19</v>
      </c>
      <c r="AB4" s="61">
        <f>+$B$29</f>
        <v>0.81</v>
      </c>
      <c r="AC4" s="1015">
        <v>2.0299999999999998</v>
      </c>
    </row>
    <row r="5" spans="1:29" s="60" customFormat="1" ht="29" x14ac:dyDescent="0.35">
      <c r="A5" s="955" t="s">
        <v>2064</v>
      </c>
      <c r="B5" s="955" t="s">
        <v>2065</v>
      </c>
      <c r="C5" s="956" t="s">
        <v>2066</v>
      </c>
      <c r="D5" s="957" t="s">
        <v>2062</v>
      </c>
      <c r="E5" s="973" t="s">
        <v>1880</v>
      </c>
      <c r="F5" s="1010" t="s">
        <v>1583</v>
      </c>
      <c r="G5" s="1011">
        <f>+$B$36</f>
        <v>10</v>
      </c>
      <c r="H5" s="1001"/>
      <c r="I5" s="1016">
        <v>150</v>
      </c>
      <c r="J5" s="1002" t="s">
        <v>2063</v>
      </c>
      <c r="K5" s="1003"/>
      <c r="L5" s="1004"/>
      <c r="M5" s="1017">
        <f>$B$35*I5</f>
        <v>4605</v>
      </c>
      <c r="N5" s="1017">
        <v>1828</v>
      </c>
      <c r="O5" s="1003"/>
      <c r="P5" s="1004"/>
      <c r="Q5" s="1003">
        <f>M5*G5</f>
        <v>46050</v>
      </c>
      <c r="R5" s="1003">
        <f>N5*G5</f>
        <v>18280</v>
      </c>
      <c r="S5" s="1014">
        <f>+$B$16</f>
        <v>5</v>
      </c>
      <c r="T5" s="49">
        <f>+$B$18</f>
        <v>0.746</v>
      </c>
      <c r="U5" s="49">
        <f>+$B$19</f>
        <v>800</v>
      </c>
      <c r="V5" s="61">
        <f>+$B$20</f>
        <v>0.25</v>
      </c>
      <c r="W5" s="49">
        <f>+$B$22</f>
        <v>254.38</v>
      </c>
      <c r="X5" s="123">
        <f>(Y5*Z5*AA5)</f>
        <v>9648.433724999999</v>
      </c>
      <c r="Y5" s="49">
        <f>+$B$24</f>
        <v>8.8500000000000002E-3</v>
      </c>
      <c r="Z5" s="1014">
        <f>+$B$27</f>
        <v>916150</v>
      </c>
      <c r="AA5" s="124">
        <f>+$B$28</f>
        <v>1.19</v>
      </c>
      <c r="AB5" s="61">
        <f>+$B$29</f>
        <v>0.81</v>
      </c>
      <c r="AC5" s="1015">
        <v>2.0299999999999998</v>
      </c>
    </row>
    <row r="7" spans="1:29" ht="15" thickBot="1" x14ac:dyDescent="0.4">
      <c r="N7" s="446"/>
    </row>
    <row r="8" spans="1:29" ht="15" thickBot="1" x14ac:dyDescent="0.4">
      <c r="A8" s="154" t="s">
        <v>1188</v>
      </c>
      <c r="B8" s="64"/>
      <c r="C8" s="64"/>
      <c r="D8" s="64"/>
      <c r="E8" s="64"/>
      <c r="F8" s="64"/>
      <c r="G8" s="64"/>
      <c r="H8" s="64"/>
      <c r="I8" s="64"/>
      <c r="J8" s="65"/>
      <c r="N8" s="298"/>
    </row>
    <row r="9" spans="1:29" x14ac:dyDescent="0.35">
      <c r="A9" s="67" t="s">
        <v>2067</v>
      </c>
      <c r="B9" s="69"/>
      <c r="C9" s="69"/>
      <c r="D9" s="69"/>
      <c r="E9" s="69"/>
      <c r="F9" s="69"/>
      <c r="G9" s="69"/>
      <c r="H9" s="69"/>
      <c r="I9" s="69"/>
      <c r="J9" s="70"/>
    </row>
    <row r="10" spans="1:29" x14ac:dyDescent="0.35">
      <c r="A10" s="67" t="s">
        <v>2068</v>
      </c>
      <c r="B10" s="68"/>
      <c r="C10" s="69"/>
      <c r="D10" s="69"/>
      <c r="E10" s="69"/>
      <c r="F10" s="69"/>
      <c r="G10" s="69"/>
      <c r="H10" s="69"/>
      <c r="I10" s="69"/>
      <c r="J10" s="70"/>
    </row>
    <row r="11" spans="1:29" ht="15" thickBot="1" x14ac:dyDescent="0.4">
      <c r="A11" s="943" t="s">
        <v>2069</v>
      </c>
      <c r="B11" s="249"/>
      <c r="C11" s="72"/>
      <c r="D11" s="72"/>
      <c r="E11" s="72"/>
      <c r="F11" s="72"/>
      <c r="G11" s="72"/>
      <c r="H11" s="72"/>
      <c r="I11" s="72"/>
      <c r="J11" s="73"/>
    </row>
    <row r="12" spans="1:29" ht="15" thickBot="1" x14ac:dyDescent="0.4">
      <c r="A12" s="154" t="s">
        <v>1078</v>
      </c>
      <c r="B12" s="1142">
        <f>'Measure-Level Adjustments'!A2</f>
        <v>44592</v>
      </c>
    </row>
    <row r="13" spans="1:29" ht="15" thickBot="1" x14ac:dyDescent="0.4">
      <c r="A13" s="154" t="s">
        <v>1079</v>
      </c>
      <c r="B13" s="577" t="s">
        <v>2070</v>
      </c>
    </row>
    <row r="14" spans="1:29" ht="15" thickBot="1" x14ac:dyDescent="0.4">
      <c r="A14" s="55"/>
      <c r="B14" s="274"/>
    </row>
    <row r="15" spans="1:29" ht="15" thickBot="1" x14ac:dyDescent="0.4">
      <c r="A15" s="74" t="s">
        <v>1285</v>
      </c>
      <c r="B15" s="75" t="s">
        <v>1199</v>
      </c>
      <c r="C15" s="76" t="s">
        <v>1082</v>
      </c>
      <c r="D15" s="64"/>
      <c r="E15" s="64"/>
      <c r="F15" s="64"/>
      <c r="G15" s="64"/>
      <c r="H15" s="64"/>
      <c r="I15" s="64"/>
      <c r="J15" s="64"/>
      <c r="K15" s="64"/>
      <c r="L15" s="64"/>
      <c r="M15" s="64"/>
      <c r="N15" s="64"/>
      <c r="O15" s="64"/>
      <c r="P15" s="64"/>
      <c r="Q15" s="64"/>
      <c r="R15" s="65"/>
    </row>
    <row r="16" spans="1:29" x14ac:dyDescent="0.35">
      <c r="A16" s="379" t="s">
        <v>1686</v>
      </c>
      <c r="B16" s="380">
        <v>5</v>
      </c>
      <c r="C16" s="380" t="s">
        <v>2071</v>
      </c>
      <c r="D16" s="380"/>
      <c r="E16" s="380"/>
      <c r="F16" s="380"/>
      <c r="G16" s="380"/>
      <c r="H16" s="380"/>
      <c r="I16" s="380"/>
      <c r="J16" s="380"/>
      <c r="K16" s="380"/>
      <c r="L16" s="380"/>
      <c r="M16" s="380"/>
      <c r="N16" s="380"/>
      <c r="O16" s="380"/>
      <c r="P16" s="380"/>
      <c r="Q16" s="380"/>
      <c r="R16" s="381"/>
    </row>
    <row r="17" spans="1:18" ht="15" thickBot="1" x14ac:dyDescent="0.4">
      <c r="A17" s="261"/>
      <c r="B17" s="161"/>
      <c r="C17" s="161" t="s">
        <v>2072</v>
      </c>
      <c r="D17" s="161"/>
      <c r="E17" s="161"/>
      <c r="F17" s="161"/>
      <c r="G17" s="161"/>
      <c r="H17" s="161"/>
      <c r="I17" s="161"/>
      <c r="J17" s="161"/>
      <c r="K17" s="161"/>
      <c r="L17" s="161"/>
      <c r="M17" s="161"/>
      <c r="N17" s="161"/>
      <c r="O17" s="161"/>
      <c r="P17" s="161"/>
      <c r="Q17" s="161"/>
      <c r="R17" s="163"/>
    </row>
    <row r="18" spans="1:18" ht="15" thickBot="1" x14ac:dyDescent="0.4">
      <c r="A18" s="662" t="s">
        <v>2073</v>
      </c>
      <c r="B18" s="606">
        <v>0.746</v>
      </c>
      <c r="C18" s="606" t="s">
        <v>2074</v>
      </c>
      <c r="D18" s="606"/>
      <c r="E18" s="606"/>
      <c r="F18" s="606"/>
      <c r="G18" s="606"/>
      <c r="H18" s="606"/>
      <c r="I18" s="606"/>
      <c r="J18" s="606"/>
      <c r="K18" s="606"/>
      <c r="L18" s="606"/>
      <c r="M18" s="606"/>
      <c r="N18" s="606"/>
      <c r="O18" s="606"/>
      <c r="P18" s="606"/>
      <c r="Q18" s="606"/>
      <c r="R18" s="607"/>
    </row>
    <row r="19" spans="1:18" ht="15" thickBot="1" x14ac:dyDescent="0.4">
      <c r="A19" s="662" t="s">
        <v>1641</v>
      </c>
      <c r="B19" s="606">
        <v>800</v>
      </c>
      <c r="C19" s="606" t="s">
        <v>2075</v>
      </c>
      <c r="D19" s="606"/>
      <c r="E19" s="606"/>
      <c r="F19" s="606"/>
      <c r="G19" s="606"/>
      <c r="H19" s="606"/>
      <c r="I19" s="606"/>
      <c r="J19" s="606"/>
      <c r="K19" s="606"/>
      <c r="L19" s="606"/>
      <c r="M19" s="606"/>
      <c r="N19" s="606"/>
      <c r="O19" s="606"/>
      <c r="P19" s="606"/>
      <c r="Q19" s="606"/>
      <c r="R19" s="607"/>
    </row>
    <row r="20" spans="1:18" ht="15" thickBot="1" x14ac:dyDescent="0.4">
      <c r="A20" s="662" t="s">
        <v>2054</v>
      </c>
      <c r="B20" s="1235">
        <v>0.25</v>
      </c>
      <c r="C20" s="1236" t="s">
        <v>2076</v>
      </c>
      <c r="D20" s="606"/>
      <c r="E20" s="606"/>
      <c r="F20" s="606"/>
      <c r="G20" s="606"/>
      <c r="H20" s="606"/>
      <c r="I20" s="606"/>
      <c r="J20" s="606"/>
      <c r="K20" s="606"/>
      <c r="L20" s="606"/>
      <c r="M20" s="606"/>
      <c r="N20" s="606"/>
      <c r="O20" s="606"/>
      <c r="P20" s="606"/>
      <c r="Q20" s="606"/>
      <c r="R20" s="607"/>
    </row>
    <row r="21" spans="1:18" ht="15" thickBot="1" x14ac:dyDescent="0.4">
      <c r="A21" s="379"/>
      <c r="B21" s="1664">
        <v>0.1</v>
      </c>
      <c r="C21" s="1665" t="s">
        <v>2077</v>
      </c>
      <c r="D21" s="1656"/>
      <c r="E21" s="380"/>
      <c r="F21" s="380"/>
      <c r="G21" s="380"/>
      <c r="H21" s="380"/>
      <c r="I21" s="380"/>
      <c r="J21" s="380"/>
      <c r="K21" s="380"/>
      <c r="L21" s="380"/>
      <c r="M21" s="380"/>
      <c r="N21" s="380"/>
      <c r="O21" s="380"/>
      <c r="P21" s="380"/>
      <c r="Q21" s="380"/>
      <c r="R21" s="381"/>
    </row>
    <row r="22" spans="1:18" x14ac:dyDescent="0.35">
      <c r="A22" s="379" t="s">
        <v>2078</v>
      </c>
      <c r="B22" s="380">
        <v>254.38</v>
      </c>
      <c r="C22" s="380" t="s">
        <v>2079</v>
      </c>
      <c r="D22" s="380"/>
      <c r="E22" s="380"/>
      <c r="F22" s="380"/>
      <c r="G22" s="380"/>
      <c r="H22" s="380"/>
      <c r="I22" s="380"/>
      <c r="J22" s="380"/>
      <c r="K22" s="380"/>
      <c r="L22" s="380"/>
      <c r="M22" s="380"/>
      <c r="N22" s="380"/>
      <c r="O22" s="380"/>
      <c r="P22" s="380"/>
      <c r="Q22" s="380"/>
      <c r="R22" s="381"/>
    </row>
    <row r="23" spans="1:18" ht="15" thickBot="1" x14ac:dyDescent="0.4">
      <c r="A23" s="261"/>
      <c r="B23" s="161"/>
      <c r="C23" s="161" t="s">
        <v>1287</v>
      </c>
      <c r="D23" s="161"/>
      <c r="E23" s="161"/>
      <c r="F23" s="161"/>
      <c r="G23" s="161"/>
      <c r="H23" s="161"/>
      <c r="I23" s="161"/>
      <c r="J23" s="161"/>
      <c r="K23" s="161"/>
      <c r="L23" s="161"/>
      <c r="M23" s="161"/>
      <c r="N23" s="161"/>
      <c r="O23" s="161"/>
      <c r="P23" s="161"/>
      <c r="Q23" s="161"/>
      <c r="R23" s="163"/>
    </row>
    <row r="24" spans="1:18" x14ac:dyDescent="0.35">
      <c r="A24" s="379" t="s">
        <v>2080</v>
      </c>
      <c r="B24" s="380">
        <v>8.8500000000000002E-3</v>
      </c>
      <c r="C24" s="380" t="s">
        <v>2081</v>
      </c>
      <c r="D24" s="380"/>
      <c r="E24" s="380"/>
      <c r="F24" s="380"/>
      <c r="G24" s="380"/>
      <c r="H24" s="1237"/>
      <c r="I24" s="380"/>
      <c r="J24" s="380"/>
      <c r="K24" s="380"/>
      <c r="L24" s="1237"/>
      <c r="M24" s="380"/>
      <c r="N24" s="380"/>
      <c r="O24" s="380"/>
      <c r="P24" s="380"/>
      <c r="Q24" s="380"/>
      <c r="R24" s="381"/>
    </row>
    <row r="25" spans="1:18" x14ac:dyDescent="0.35">
      <c r="A25" s="99"/>
      <c r="B25" s="69"/>
      <c r="C25" s="69" t="s">
        <v>2082</v>
      </c>
      <c r="D25" s="69"/>
      <c r="E25" s="69"/>
      <c r="F25" s="69"/>
      <c r="G25" s="69"/>
      <c r="H25" s="69"/>
      <c r="I25" s="69"/>
      <c r="J25" s="69"/>
      <c r="K25" s="69"/>
      <c r="L25" s="69"/>
      <c r="M25" s="69"/>
      <c r="N25" s="69"/>
      <c r="O25" s="69"/>
      <c r="P25" s="69"/>
      <c r="Q25" s="69"/>
      <c r="R25" s="100"/>
    </row>
    <row r="26" spans="1:18" x14ac:dyDescent="0.35">
      <c r="A26" s="99"/>
      <c r="B26" s="69"/>
      <c r="C26" s="69" t="s">
        <v>2083</v>
      </c>
      <c r="D26" s="69"/>
      <c r="E26" s="1238"/>
      <c r="F26" s="69"/>
      <c r="G26" s="69"/>
      <c r="H26" s="69"/>
      <c r="I26" s="69"/>
      <c r="J26" s="69"/>
      <c r="K26" s="69"/>
      <c r="L26" s="69"/>
      <c r="M26" s="69"/>
      <c r="N26" s="69"/>
      <c r="O26" s="69"/>
      <c r="P26" s="69"/>
      <c r="Q26" s="69"/>
      <c r="R26" s="100"/>
    </row>
    <row r="27" spans="1:18" x14ac:dyDescent="0.35">
      <c r="A27" s="99"/>
      <c r="B27" s="69">
        <v>916150</v>
      </c>
      <c r="C27" s="69" t="s">
        <v>2084</v>
      </c>
      <c r="D27" s="69"/>
      <c r="E27" s="69"/>
      <c r="F27" s="69"/>
      <c r="G27" s="69"/>
      <c r="H27" s="69"/>
      <c r="I27" s="69"/>
      <c r="J27" s="69"/>
      <c r="K27" s="69"/>
      <c r="L27" s="69"/>
      <c r="M27" s="69"/>
      <c r="N27" s="69"/>
      <c r="O27" s="69"/>
      <c r="P27" s="69"/>
      <c r="Q27" s="69"/>
      <c r="R27" s="100"/>
    </row>
    <row r="28" spans="1:18" ht="15" thickBot="1" x14ac:dyDescent="0.4">
      <c r="A28" s="261"/>
      <c r="B28" s="161">
        <v>1.19</v>
      </c>
      <c r="C28" s="161" t="s">
        <v>2085</v>
      </c>
      <c r="D28" s="161"/>
      <c r="E28" s="161"/>
      <c r="F28" s="161"/>
      <c r="G28" s="161"/>
      <c r="H28" s="161"/>
      <c r="I28" s="161"/>
      <c r="J28" s="161"/>
      <c r="K28" s="161"/>
      <c r="L28" s="161"/>
      <c r="M28" s="161"/>
      <c r="N28" s="161"/>
      <c r="O28" s="161"/>
      <c r="P28" s="161"/>
      <c r="Q28" s="161"/>
      <c r="R28" s="163"/>
    </row>
    <row r="29" spans="1:18" ht="15" thickBot="1" x14ac:dyDescent="0.4">
      <c r="A29" s="1239" t="s">
        <v>2060</v>
      </c>
      <c r="B29" s="1231">
        <v>0.81</v>
      </c>
      <c r="C29" s="3123" t="s">
        <v>2086</v>
      </c>
      <c r="D29" s="3123"/>
      <c r="E29" s="3123"/>
      <c r="F29" s="3123"/>
      <c r="G29" s="3123"/>
      <c r="H29" s="3123"/>
      <c r="I29" s="3123"/>
      <c r="J29" s="3123"/>
      <c r="K29" s="3123"/>
      <c r="L29" s="3123"/>
      <c r="M29" s="3123"/>
      <c r="N29" s="3123"/>
      <c r="O29" s="3123"/>
      <c r="P29" s="3123"/>
      <c r="Q29" s="3123"/>
      <c r="R29" s="3124"/>
    </row>
    <row r="30" spans="1:18" ht="15" thickBot="1" x14ac:dyDescent="0.4">
      <c r="A30" s="1179"/>
      <c r="B30" s="1662">
        <v>1</v>
      </c>
      <c r="C30" s="1663" t="s">
        <v>2087</v>
      </c>
      <c r="D30" s="1663"/>
      <c r="E30" s="1660"/>
      <c r="F30" s="1660"/>
      <c r="G30" s="1660"/>
      <c r="H30" s="1660"/>
      <c r="I30" s="1660"/>
      <c r="J30" s="1660"/>
      <c r="K30" s="1660"/>
      <c r="L30" s="1660"/>
      <c r="M30" s="1660"/>
      <c r="N30" s="1660"/>
      <c r="O30" s="1660"/>
      <c r="P30" s="1660"/>
      <c r="Q30" s="1660"/>
      <c r="R30" s="1661"/>
    </row>
    <row r="31" spans="1:18" ht="15" customHeight="1" x14ac:dyDescent="0.35">
      <c r="A31" s="379" t="s">
        <v>2088</v>
      </c>
      <c r="B31" s="380"/>
      <c r="C31" s="380" t="s">
        <v>2089</v>
      </c>
      <c r="D31" s="380"/>
      <c r="E31" s="380"/>
      <c r="F31" s="380"/>
      <c r="G31" s="380"/>
      <c r="H31" s="380"/>
      <c r="I31" s="380"/>
      <c r="J31" s="380"/>
      <c r="K31" s="380"/>
      <c r="L31" s="380"/>
      <c r="M31" s="380"/>
      <c r="N31" s="380"/>
      <c r="O31" s="380"/>
      <c r="P31" s="380"/>
      <c r="Q31" s="380"/>
      <c r="R31" s="381"/>
    </row>
    <row r="32" spans="1:18" x14ac:dyDescent="0.35">
      <c r="A32" s="99"/>
      <c r="B32" s="69">
        <f>+X4*AB4</f>
        <v>7815.2313172499998</v>
      </c>
      <c r="C32" s="382" t="s">
        <v>2090</v>
      </c>
      <c r="D32" s="69"/>
      <c r="E32" s="69"/>
      <c r="F32" s="69"/>
      <c r="G32" s="69"/>
      <c r="H32" s="69"/>
      <c r="I32" s="69"/>
      <c r="J32" s="69"/>
      <c r="K32" s="69"/>
      <c r="L32" s="69"/>
      <c r="M32" s="69"/>
      <c r="N32" s="69"/>
      <c r="O32" s="69"/>
      <c r="P32" s="69"/>
      <c r="Q32" s="69"/>
      <c r="R32" s="100"/>
    </row>
    <row r="33" spans="1:18" x14ac:dyDescent="0.35">
      <c r="A33" s="99"/>
      <c r="B33" s="69">
        <f>+B32/B22</f>
        <v>30.722664192350027</v>
      </c>
      <c r="C33" s="69" t="s">
        <v>2091</v>
      </c>
      <c r="D33" s="69"/>
      <c r="E33" s="69"/>
      <c r="F33" s="69"/>
      <c r="G33" s="69"/>
      <c r="H33" s="69"/>
      <c r="I33" s="69"/>
      <c r="J33" s="69"/>
      <c r="K33" s="69"/>
      <c r="L33" s="69"/>
      <c r="M33" s="69"/>
      <c r="N33" s="69"/>
      <c r="O33" s="69"/>
      <c r="P33" s="69"/>
      <c r="Q33" s="69"/>
      <c r="R33" s="100"/>
    </row>
    <row r="34" spans="1:18" x14ac:dyDescent="0.35">
      <c r="A34" s="99"/>
      <c r="B34" s="1657">
        <v>12.4</v>
      </c>
      <c r="C34" s="1657" t="s">
        <v>2092</v>
      </c>
      <c r="D34" s="1657"/>
      <c r="E34" s="69"/>
      <c r="F34" s="69"/>
      <c r="G34" s="69"/>
      <c r="H34" s="69"/>
      <c r="I34" s="69"/>
      <c r="J34" s="69"/>
      <c r="K34" s="69"/>
      <c r="L34" s="69"/>
      <c r="M34" s="69"/>
      <c r="N34" s="69"/>
      <c r="O34" s="69"/>
      <c r="P34" s="69"/>
      <c r="Q34" s="69"/>
      <c r="R34" s="100"/>
    </row>
    <row r="35" spans="1:18" ht="15" thickBot="1" x14ac:dyDescent="0.4">
      <c r="A35" s="261"/>
      <c r="B35" s="161">
        <f>+ROUND(B33,1)</f>
        <v>30.7</v>
      </c>
      <c r="C35" s="161" t="s">
        <v>2093</v>
      </c>
      <c r="D35" s="161"/>
      <c r="E35" s="161"/>
      <c r="F35" s="161"/>
      <c r="G35" s="161"/>
      <c r="H35" s="161"/>
      <c r="I35" s="161"/>
      <c r="J35" s="161"/>
      <c r="K35" s="161"/>
      <c r="L35" s="161"/>
      <c r="M35" s="161"/>
      <c r="N35" s="161"/>
      <c r="O35" s="161"/>
      <c r="P35" s="161"/>
      <c r="Q35" s="161"/>
      <c r="R35" s="163"/>
    </row>
    <row r="36" spans="1:18" x14ac:dyDescent="0.35">
      <c r="A36" s="379" t="s">
        <v>1083</v>
      </c>
      <c r="B36" s="380">
        <v>10</v>
      </c>
      <c r="C36" s="380" t="s">
        <v>2094</v>
      </c>
      <c r="D36" s="380"/>
      <c r="E36" s="380"/>
      <c r="F36" s="380"/>
      <c r="G36" s="380"/>
      <c r="H36" s="380"/>
      <c r="I36" s="380"/>
      <c r="J36" s="380"/>
      <c r="K36" s="380"/>
      <c r="L36" s="380"/>
      <c r="M36" s="380"/>
      <c r="N36" s="380"/>
      <c r="O36" s="380"/>
      <c r="P36" s="380"/>
      <c r="Q36" s="380"/>
      <c r="R36" s="381"/>
    </row>
    <row r="37" spans="1:18" ht="15" thickBot="1" x14ac:dyDescent="0.4">
      <c r="A37" s="261"/>
      <c r="B37" s="161"/>
      <c r="C37" s="161" t="s">
        <v>1287</v>
      </c>
      <c r="D37" s="161"/>
      <c r="E37" s="161"/>
      <c r="F37" s="161"/>
      <c r="G37" s="161"/>
      <c r="H37" s="161"/>
      <c r="I37" s="161"/>
      <c r="J37" s="161"/>
      <c r="K37" s="161"/>
      <c r="L37" s="161"/>
      <c r="M37" s="161"/>
      <c r="N37" s="161"/>
      <c r="O37" s="161"/>
      <c r="P37" s="161"/>
      <c r="Q37" s="161"/>
      <c r="R37" s="163"/>
    </row>
    <row r="38" spans="1:18" x14ac:dyDescent="0.35">
      <c r="A38" s="99" t="s">
        <v>1040</v>
      </c>
      <c r="B38" s="1746">
        <v>79.84</v>
      </c>
      <c r="C38" s="1746" t="s">
        <v>2095</v>
      </c>
      <c r="D38" s="1746"/>
      <c r="E38" s="69"/>
      <c r="F38" s="69"/>
      <c r="G38" s="69"/>
      <c r="H38" s="69"/>
      <c r="I38" s="69"/>
      <c r="J38" s="69"/>
      <c r="K38" s="69"/>
      <c r="L38" s="69"/>
      <c r="M38" s="69"/>
      <c r="N38" s="69"/>
      <c r="O38" s="69"/>
      <c r="P38" s="69"/>
      <c r="Q38" s="69"/>
      <c r="R38" s="100"/>
    </row>
    <row r="39" spans="1:18" ht="15" thickBot="1" x14ac:dyDescent="0.4">
      <c r="A39" s="261"/>
      <c r="B39" s="161"/>
      <c r="C39" s="161"/>
      <c r="D39" s="161"/>
      <c r="E39" s="161"/>
      <c r="F39" s="161"/>
      <c r="G39" s="161"/>
      <c r="H39" s="161"/>
      <c r="I39" s="161"/>
      <c r="J39" s="161"/>
      <c r="K39" s="161"/>
      <c r="L39" s="161"/>
      <c r="M39" s="161"/>
      <c r="N39" s="161"/>
      <c r="O39" s="161"/>
      <c r="P39" s="161"/>
      <c r="Q39" s="161"/>
      <c r="R39" s="163"/>
    </row>
    <row r="40" spans="1:18" x14ac:dyDescent="0.35">
      <c r="C40" s="1747" t="s">
        <v>1569</v>
      </c>
      <c r="D40" s="1748" t="s">
        <v>2096</v>
      </c>
    </row>
    <row r="41" spans="1:18" x14ac:dyDescent="0.35">
      <c r="C41" s="1749" t="s">
        <v>2097</v>
      </c>
      <c r="D41" s="1750" t="s">
        <v>2098</v>
      </c>
    </row>
    <row r="42" spans="1:18" x14ac:dyDescent="0.35">
      <c r="C42" s="1749" t="s">
        <v>2099</v>
      </c>
      <c r="D42" s="3125" t="s">
        <v>2100</v>
      </c>
    </row>
    <row r="43" spans="1:18" x14ac:dyDescent="0.35">
      <c r="C43" s="1749" t="s">
        <v>2101</v>
      </c>
      <c r="D43" s="3126"/>
    </row>
    <row r="44" spans="1:18" x14ac:dyDescent="0.35">
      <c r="C44" s="1749" t="s">
        <v>2102</v>
      </c>
      <c r="D44" s="3126"/>
    </row>
    <row r="45" spans="1:18" ht="15" thickBot="1" x14ac:dyDescent="0.4">
      <c r="C45" s="1751" t="s">
        <v>2103</v>
      </c>
      <c r="D45" s="3127"/>
    </row>
  </sheetData>
  <customSheetViews>
    <customSheetView guid="{ECD6FE6A-9548-414E-B8AA-6998703C57E0}" scale="115" showPageBreaks="1" fitToPage="1" printArea="1" view="pageBreakPreview">
      <pageMargins left="0" right="0" top="0" bottom="0" header="0" footer="0"/>
      <pageSetup scale="31" orientation="landscape" verticalDpi="300" r:id="rId1"/>
    </customSheetView>
    <customSheetView guid="{11DE45F5-F478-4ED6-8DFF-12002C22A637}" scale="115" showPageBreaks="1" fitToPage="1" printArea="1" view="pageBreakPreview">
      <pageMargins left="0" right="0" top="0" bottom="0" header="0" footer="0"/>
      <pageSetup scale="31" orientation="landscape" verticalDpi="300" r:id="rId2"/>
    </customSheetView>
  </customSheetViews>
  <mergeCells count="5">
    <mergeCell ref="K2:N2"/>
    <mergeCell ref="O2:R2"/>
    <mergeCell ref="S2:AC2"/>
    <mergeCell ref="C29:R29"/>
    <mergeCell ref="D42:D45"/>
  </mergeCells>
  <dataValidations disablePrompts="1" count="2">
    <dataValidation type="list" allowBlank="1" showInputMessage="1" showErrorMessage="1" sqref="D4:D5" xr:uid="{00000000-0002-0000-1400-000000000000}">
      <formula1>MeasureType</formula1>
    </dataValidation>
    <dataValidation type="list" allowBlank="1" showInputMessage="1" showErrorMessage="1" sqref="E4:E5" xr:uid="{00000000-0002-0000-1400-000001000000}">
      <formula1>Fuel3</formula1>
    </dataValidation>
  </dataValidations>
  <hyperlinks>
    <hyperlink ref="A1" location="'Measure-Level Adjustments'!Print_Titles" display="Measure Level Tab" xr:uid="{A266D44C-3619-4228-916D-6C8CA0A490D0}"/>
  </hyperlinks>
  <pageMargins left="0.7" right="0.7" top="0.75" bottom="0.75" header="0.3" footer="0.3"/>
  <pageSetup scale="30" orientation="landscape" verticalDpi="300"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EAFD7-2360-4BDC-AC35-6FD76A6F6C0C}">
  <sheetPr>
    <tabColor theme="4" tint="0.79998168889431442"/>
    <pageSetUpPr fitToPage="1"/>
  </sheetPr>
  <dimension ref="A1:Q71"/>
  <sheetViews>
    <sheetView workbookViewId="0"/>
  </sheetViews>
  <sheetFormatPr defaultRowHeight="14.5" x14ac:dyDescent="0.35"/>
  <cols>
    <col min="1" max="1" width="22" bestFit="1" customWidth="1"/>
    <col min="2" max="2" width="33.7265625" customWidth="1"/>
    <col min="3" max="3" width="43.54296875" bestFit="1" customWidth="1"/>
    <col min="4" max="4" width="18.81640625" customWidth="1"/>
    <col min="5" max="5" width="16.1796875" bestFit="1" customWidth="1"/>
    <col min="6" max="6" width="18.7265625" customWidth="1"/>
    <col min="7" max="7" width="25.81640625" customWidth="1"/>
    <col min="8" max="8" width="17" bestFit="1" customWidth="1"/>
    <col min="9" max="9" width="13.1796875" customWidth="1"/>
    <col min="10" max="10" width="14.7265625" customWidth="1"/>
    <col min="11" max="11" width="12.1796875" customWidth="1"/>
    <col min="12" max="12" width="13" customWidth="1"/>
    <col min="13" max="13" width="10.54296875" bestFit="1" customWidth="1"/>
    <col min="14" max="14" width="23.81640625" customWidth="1"/>
    <col min="15" max="15" width="11.54296875" customWidth="1"/>
    <col min="16" max="16" width="10.54296875" customWidth="1"/>
    <col min="17" max="17" width="10.54296875" bestFit="1" customWidth="1"/>
  </cols>
  <sheetData>
    <row r="1" spans="1:17" x14ac:dyDescent="0.35">
      <c r="A1" s="1799" t="s">
        <v>1031</v>
      </c>
    </row>
    <row r="2" spans="1:17" ht="15" customHeight="1" x14ac:dyDescent="0.35">
      <c r="A2" s="1702"/>
      <c r="B2" s="1703" t="s">
        <v>2104</v>
      </c>
      <c r="C2" s="1703"/>
      <c r="D2" s="1703"/>
      <c r="E2" s="1820"/>
      <c r="F2" s="1820"/>
      <c r="G2" s="1820"/>
      <c r="H2" s="1820"/>
      <c r="I2" s="1820"/>
      <c r="J2" s="1820"/>
      <c r="K2" s="3069" t="s">
        <v>1032</v>
      </c>
      <c r="L2" s="3070"/>
      <c r="M2" s="3071"/>
      <c r="N2" s="3069" t="s">
        <v>1033</v>
      </c>
      <c r="O2" s="3070"/>
      <c r="P2" s="3071"/>
      <c r="Q2" s="2011"/>
    </row>
    <row r="3" spans="1:17" s="199" customFormat="1" x14ac:dyDescent="0.35">
      <c r="A3" s="1821" t="s">
        <v>1035</v>
      </c>
      <c r="B3" s="1821" t="s">
        <v>155</v>
      </c>
      <c r="C3" s="1822" t="s">
        <v>1036</v>
      </c>
      <c r="D3" s="1822" t="s">
        <v>1037</v>
      </c>
      <c r="E3" s="1821" t="s">
        <v>1038</v>
      </c>
      <c r="F3" s="1821" t="s">
        <v>1039</v>
      </c>
      <c r="G3" s="1821" t="s">
        <v>2105</v>
      </c>
      <c r="H3" s="1821" t="s">
        <v>1040</v>
      </c>
      <c r="I3" s="1821" t="s">
        <v>1360</v>
      </c>
      <c r="J3" s="1821" t="s">
        <v>1041</v>
      </c>
      <c r="K3" s="1823" t="s">
        <v>1044</v>
      </c>
      <c r="L3" s="1823" t="s">
        <v>1045</v>
      </c>
      <c r="M3" s="1823" t="s">
        <v>1046</v>
      </c>
      <c r="N3" s="1823" t="s">
        <v>1044</v>
      </c>
      <c r="O3" s="1823" t="s">
        <v>1045</v>
      </c>
      <c r="P3" s="1823" t="s">
        <v>1046</v>
      </c>
      <c r="Q3" s="2010"/>
    </row>
    <row r="4" spans="1:17" s="60" customFormat="1" ht="39.5" x14ac:dyDescent="0.35">
      <c r="A4" s="1796" t="s">
        <v>489</v>
      </c>
      <c r="B4" s="1796" t="str">
        <f>+CONCATENATE(B2," - ",I4)</f>
        <v>Demand Controls for Central Domestic Hot Water - MF Buildings</v>
      </c>
      <c r="C4" s="1798" t="str">
        <f>+CONCATENATE("CDHW Controls"," - ",I4)</f>
        <v>CDHW Controls - MF Buildings</v>
      </c>
      <c r="D4" s="1825" t="s">
        <v>1771</v>
      </c>
      <c r="E4" s="1826" t="s">
        <v>1632</v>
      </c>
      <c r="F4" s="1826">
        <f t="shared" ref="F4:F9" si="0">+$B$40</f>
        <v>15</v>
      </c>
      <c r="G4" s="1903">
        <v>40</v>
      </c>
      <c r="H4" s="1828"/>
      <c r="I4" s="1828" t="s">
        <v>2106</v>
      </c>
      <c r="J4" s="1829" t="s">
        <v>2107</v>
      </c>
      <c r="K4" s="1830"/>
      <c r="L4" s="1831">
        <v>0</v>
      </c>
      <c r="M4" s="1830">
        <f t="shared" ref="M4:M9" si="1">+G4*VLOOKUP(I4,$A$59:$B$60,2,FALSE)</f>
        <v>2507.4840221599998</v>
      </c>
      <c r="N4" s="1830"/>
      <c r="O4" s="1831">
        <f>L4</f>
        <v>0</v>
      </c>
      <c r="P4" s="1830">
        <f t="shared" ref="P4:P9" si="2">M4*F4</f>
        <v>37612.260332399994</v>
      </c>
      <c r="Q4" s="1907"/>
    </row>
    <row r="5" spans="1:17" s="60" customFormat="1" ht="43.5" x14ac:dyDescent="0.35">
      <c r="A5" s="1901" t="s">
        <v>2108</v>
      </c>
      <c r="B5" s="1901" t="str">
        <f>+CONCATENATE(B2," - ",I5," - Public Sector")</f>
        <v>Demand Controls for Central Domestic Hot Water - Dormitories - Public Sector</v>
      </c>
      <c r="C5" s="143" t="str">
        <f>+CONCATENATE("CDHW Controls"," - ",I5," - Public Sector")</f>
        <v>CDHW Controls - Dormitories - Public Sector</v>
      </c>
      <c r="D5" s="1902" t="s">
        <v>1771</v>
      </c>
      <c r="E5" s="1903" t="s">
        <v>1632</v>
      </c>
      <c r="F5" s="1903">
        <f t="shared" si="0"/>
        <v>15</v>
      </c>
      <c r="G5" s="1903">
        <v>40</v>
      </c>
      <c r="H5" s="1905"/>
      <c r="I5" s="1905" t="s">
        <v>2109</v>
      </c>
      <c r="J5" s="1906" t="s">
        <v>2107</v>
      </c>
      <c r="K5" s="1907"/>
      <c r="L5" s="1908">
        <v>0</v>
      </c>
      <c r="M5" s="1907">
        <f t="shared" si="1"/>
        <v>1205.96073024</v>
      </c>
      <c r="N5" s="1907"/>
      <c r="O5" s="1908">
        <f>L5</f>
        <v>0</v>
      </c>
      <c r="P5" s="1907">
        <f t="shared" si="2"/>
        <v>18089.4109536</v>
      </c>
      <c r="Q5" s="1907"/>
    </row>
    <row r="6" spans="1:17" s="60" customFormat="1" ht="39.5" x14ac:dyDescent="0.35">
      <c r="A6" s="1796" t="s">
        <v>492</v>
      </c>
      <c r="B6" s="1796" t="str">
        <f>+CONCATENATE($B$2," - ",I6)</f>
        <v>Demand Controls for Central Domestic Hot Water - Dormitories</v>
      </c>
      <c r="C6" s="1798" t="str">
        <f>+CONCATENATE("CDHW Controls"," - ",I6)</f>
        <v>CDHW Controls - Dormitories</v>
      </c>
      <c r="D6" s="1825" t="s">
        <v>1771</v>
      </c>
      <c r="E6" s="1826" t="s">
        <v>1632</v>
      </c>
      <c r="F6" s="1826">
        <f t="shared" si="0"/>
        <v>15</v>
      </c>
      <c r="G6" s="1903">
        <v>40</v>
      </c>
      <c r="H6" s="1828"/>
      <c r="I6" s="1828" t="s">
        <v>2109</v>
      </c>
      <c r="J6" s="1829" t="s">
        <v>2107</v>
      </c>
      <c r="K6" s="1830"/>
      <c r="L6" s="1831">
        <v>0</v>
      </c>
      <c r="M6" s="1830">
        <f t="shared" si="1"/>
        <v>1205.96073024</v>
      </c>
      <c r="N6" s="1830"/>
      <c r="O6" s="1831">
        <f>L6</f>
        <v>0</v>
      </c>
      <c r="P6" s="1830">
        <f t="shared" si="2"/>
        <v>18089.4109536</v>
      </c>
      <c r="Q6" s="1907"/>
    </row>
    <row r="7" spans="1:17" s="60" customFormat="1" ht="39.5" x14ac:dyDescent="0.35">
      <c r="A7" s="1796" t="s">
        <v>2110</v>
      </c>
      <c r="B7" s="1796" t="str">
        <f>+CONCATENATE($B$2," - ",I7," Teapot Small")</f>
        <v>Demand Controls for Central Domestic Hot Water - Dormitories Teapot Small</v>
      </c>
      <c r="C7" s="1798" t="str">
        <f>+CONCATENATE("CDHW Controls"," - ",I7," - Teapot Small")</f>
        <v>CDHW Controls - Dormitories - Teapot Small</v>
      </c>
      <c r="D7" s="1825" t="s">
        <v>1771</v>
      </c>
      <c r="E7" s="1826" t="s">
        <v>1632</v>
      </c>
      <c r="F7" s="1826">
        <f t="shared" si="0"/>
        <v>15</v>
      </c>
      <c r="G7" s="1903">
        <v>10</v>
      </c>
      <c r="H7" s="1828"/>
      <c r="I7" s="1828" t="s">
        <v>2109</v>
      </c>
      <c r="J7" s="1829" t="s">
        <v>2107</v>
      </c>
      <c r="K7" s="1830"/>
      <c r="L7" s="1831">
        <v>0</v>
      </c>
      <c r="M7" s="1830">
        <f t="shared" si="1"/>
        <v>301.49018255999999</v>
      </c>
      <c r="N7" s="1830"/>
      <c r="O7" s="1831">
        <f>L7</f>
        <v>0</v>
      </c>
      <c r="P7" s="1830">
        <f t="shared" si="2"/>
        <v>4522.3527383999999</v>
      </c>
      <c r="Q7" s="1907"/>
    </row>
    <row r="8" spans="1:17" s="60" customFormat="1" ht="43.5" x14ac:dyDescent="0.35">
      <c r="A8" s="1796" t="s">
        <v>2111</v>
      </c>
      <c r="B8" s="1796" t="str">
        <f>+CONCATENATE(B6," - ",I8)</f>
        <v>Demand Controls for Central Domestic Hot Water - Dormitories - MF Buildings</v>
      </c>
      <c r="C8" s="1798" t="str">
        <f>+CONCATENATE("CDHW Controls"," - ",I8," - Teapot Small")</f>
        <v>CDHW Controls - MF Buildings - Teapot Small</v>
      </c>
      <c r="D8" s="1825" t="s">
        <v>1771</v>
      </c>
      <c r="E8" s="1826" t="s">
        <v>1632</v>
      </c>
      <c r="F8" s="1826">
        <f t="shared" si="0"/>
        <v>15</v>
      </c>
      <c r="G8" s="1903">
        <v>10</v>
      </c>
      <c r="H8" s="1828"/>
      <c r="I8" s="1828" t="s">
        <v>2106</v>
      </c>
      <c r="J8" s="1829" t="s">
        <v>2107</v>
      </c>
      <c r="K8" s="1830"/>
      <c r="L8" s="1831">
        <v>0</v>
      </c>
      <c r="M8" s="1830">
        <f t="shared" si="1"/>
        <v>626.87100553999994</v>
      </c>
      <c r="N8" s="1830"/>
      <c r="O8" s="1831">
        <f>L8</f>
        <v>0</v>
      </c>
      <c r="P8" s="1830">
        <f t="shared" si="2"/>
        <v>9403.0650830999984</v>
      </c>
      <c r="Q8" s="1907"/>
    </row>
    <row r="9" spans="1:17" ht="39.5" x14ac:dyDescent="0.35">
      <c r="A9" s="2651" t="s">
        <v>764</v>
      </c>
      <c r="B9" s="2651" t="s">
        <v>2112</v>
      </c>
      <c r="C9" s="2651" t="s">
        <v>2112</v>
      </c>
      <c r="D9" s="1825" t="s">
        <v>1771</v>
      </c>
      <c r="E9" s="1826" t="s">
        <v>1632</v>
      </c>
      <c r="F9" s="1826">
        <f t="shared" si="0"/>
        <v>15</v>
      </c>
      <c r="G9" s="2470">
        <v>1</v>
      </c>
      <c r="H9" s="1835"/>
      <c r="I9" s="1828" t="s">
        <v>2106</v>
      </c>
      <c r="J9" s="1829" t="s">
        <v>2107</v>
      </c>
      <c r="K9" s="1835"/>
      <c r="L9" s="1835"/>
      <c r="M9" s="2471">
        <f t="shared" si="1"/>
        <v>62.687100553999997</v>
      </c>
      <c r="N9" s="1835"/>
      <c r="O9" s="1835"/>
      <c r="P9" s="1830">
        <f t="shared" si="2"/>
        <v>940.30650830999991</v>
      </c>
    </row>
    <row r="11" spans="1:17" ht="15" thickBot="1" x14ac:dyDescent="0.4"/>
    <row r="12" spans="1:17" ht="15" thickBot="1" x14ac:dyDescent="0.4">
      <c r="A12" s="154" t="s">
        <v>1188</v>
      </c>
      <c r="B12" s="63"/>
      <c r="C12" s="63"/>
      <c r="D12" s="63"/>
      <c r="E12" s="63"/>
      <c r="F12" s="63"/>
      <c r="G12" s="63"/>
      <c r="H12" s="63"/>
      <c r="I12" s="63"/>
      <c r="J12" s="63"/>
      <c r="K12" s="335"/>
    </row>
    <row r="13" spans="1:17" x14ac:dyDescent="0.35">
      <c r="A13" s="888" t="s">
        <v>2113</v>
      </c>
    </row>
    <row r="14" spans="1:17" ht="15" thickBot="1" x14ac:dyDescent="0.4"/>
    <row r="15" spans="1:17" ht="15" thickBot="1" x14ac:dyDescent="0.4">
      <c r="A15" s="74" t="s">
        <v>1285</v>
      </c>
      <c r="B15" s="75" t="s">
        <v>1199</v>
      </c>
      <c r="C15" s="76" t="s">
        <v>1082</v>
      </c>
      <c r="D15" s="1811" t="s">
        <v>1389</v>
      </c>
      <c r="E15" s="1812" t="s">
        <v>1390</v>
      </c>
    </row>
    <row r="16" spans="1:17" ht="29" x14ac:dyDescent="0.35">
      <c r="A16" s="314" t="s">
        <v>2114</v>
      </c>
      <c r="B16" s="2650">
        <v>1103</v>
      </c>
      <c r="C16" s="276" t="s">
        <v>2115</v>
      </c>
      <c r="D16" s="276" t="s">
        <v>2116</v>
      </c>
      <c r="E16" s="1978"/>
    </row>
    <row r="17" spans="1:8" ht="15" thickBot="1" x14ac:dyDescent="0.4">
      <c r="A17" s="1979"/>
      <c r="B17" s="277"/>
      <c r="C17" s="277"/>
      <c r="D17" s="277"/>
      <c r="E17" s="1980"/>
    </row>
    <row r="18" spans="1:8" ht="15" thickBot="1" x14ac:dyDescent="0.4"/>
    <row r="19" spans="1:8" ht="15" thickBot="1" x14ac:dyDescent="0.4">
      <c r="A19" s="74" t="s">
        <v>1188</v>
      </c>
      <c r="B19" s="64"/>
      <c r="C19" s="64"/>
      <c r="D19" s="64"/>
      <c r="E19" s="64"/>
      <c r="F19" s="65"/>
    </row>
    <row r="20" spans="1:8" ht="15" thickBot="1" x14ac:dyDescent="0.4">
      <c r="A20" s="88" t="s">
        <v>2117</v>
      </c>
      <c r="B20" s="161" t="s">
        <v>2118</v>
      </c>
      <c r="C20" s="161"/>
      <c r="D20" s="161"/>
      <c r="E20" s="161"/>
      <c r="F20" s="163"/>
    </row>
    <row r="21" spans="1:8" ht="15" thickBot="1" x14ac:dyDescent="0.4"/>
    <row r="22" spans="1:8" ht="15" thickBot="1" x14ac:dyDescent="0.4">
      <c r="F22" s="3132" t="s">
        <v>2119</v>
      </c>
      <c r="G22" s="3133"/>
      <c r="H22" s="3134"/>
    </row>
    <row r="23" spans="1:8" ht="15" thickBot="1" x14ac:dyDescent="0.4">
      <c r="A23" s="637" t="s">
        <v>1285</v>
      </c>
      <c r="B23" s="638" t="s">
        <v>1199</v>
      </c>
      <c r="C23" s="639" t="s">
        <v>1646</v>
      </c>
      <c r="D23" s="383"/>
      <c r="E23" s="383"/>
      <c r="F23" s="493" t="s">
        <v>2120</v>
      </c>
      <c r="G23" s="1981" t="s">
        <v>1390</v>
      </c>
      <c r="H23" s="1814" t="s">
        <v>2121</v>
      </c>
    </row>
    <row r="24" spans="1:8" ht="43.5" x14ac:dyDescent="0.35">
      <c r="A24" s="1240" t="s">
        <v>2122</v>
      </c>
      <c r="B24" s="1982" t="s">
        <v>2123</v>
      </c>
      <c r="C24" s="1241" t="s">
        <v>2124</v>
      </c>
      <c r="D24" s="1241"/>
      <c r="E24" s="1241"/>
      <c r="F24" s="1983" t="s">
        <v>2125</v>
      </c>
      <c r="G24" s="1983" t="s">
        <v>2125</v>
      </c>
      <c r="H24" s="1983" t="s">
        <v>2126</v>
      </c>
    </row>
    <row r="25" spans="1:8" ht="67.5" customHeight="1" x14ac:dyDescent="0.35">
      <c r="A25" s="1984"/>
      <c r="B25" s="1985"/>
      <c r="C25" s="3135" t="s">
        <v>2127</v>
      </c>
      <c r="D25" s="3135"/>
      <c r="E25" s="3136"/>
      <c r="F25" s="1986"/>
      <c r="G25" s="1986"/>
      <c r="H25" s="1986"/>
    </row>
    <row r="26" spans="1:8" ht="45" customHeight="1" x14ac:dyDescent="0.35">
      <c r="A26" s="1984"/>
      <c r="B26" s="1985"/>
      <c r="C26" s="3135" t="s">
        <v>2128</v>
      </c>
      <c r="D26" s="3135"/>
      <c r="E26" s="3136"/>
      <c r="F26" s="1986"/>
      <c r="G26" s="1986"/>
      <c r="H26" s="1986"/>
    </row>
    <row r="27" spans="1:8" ht="15" thickBot="1" x14ac:dyDescent="0.4">
      <c r="A27" s="1242"/>
      <c r="B27" s="1987"/>
      <c r="C27" s="1198"/>
      <c r="D27" s="1198"/>
      <c r="E27" s="1198"/>
      <c r="F27" s="1988"/>
      <c r="G27" s="1988"/>
      <c r="H27" s="1988"/>
    </row>
    <row r="28" spans="1:8" ht="30.75" customHeight="1" x14ac:dyDescent="0.35">
      <c r="A28" s="1240" t="s">
        <v>2129</v>
      </c>
      <c r="B28" s="1982" t="s">
        <v>2123</v>
      </c>
      <c r="C28" s="2998" t="s">
        <v>2130</v>
      </c>
      <c r="D28" s="2998"/>
      <c r="E28" s="2999"/>
      <c r="F28" s="1983" t="s">
        <v>2125</v>
      </c>
      <c r="G28" s="1983" t="s">
        <v>2125</v>
      </c>
      <c r="H28" s="1983" t="s">
        <v>2126</v>
      </c>
    </row>
    <row r="29" spans="1:8" ht="35.25" customHeight="1" thickBot="1" x14ac:dyDescent="0.4">
      <c r="A29" s="1242"/>
      <c r="B29" s="1198"/>
      <c r="C29" s="3000" t="s">
        <v>2131</v>
      </c>
      <c r="D29" s="3000"/>
      <c r="E29" s="3001"/>
      <c r="F29" s="1988"/>
      <c r="G29" s="1988"/>
      <c r="H29" s="1988"/>
    </row>
    <row r="30" spans="1:8" ht="43.5" x14ac:dyDescent="0.35">
      <c r="A30" s="1240" t="s">
        <v>2132</v>
      </c>
      <c r="B30" s="1982" t="s">
        <v>2123</v>
      </c>
      <c r="C30" s="1241" t="s">
        <v>2133</v>
      </c>
      <c r="D30" s="1241"/>
      <c r="E30" s="1243"/>
      <c r="F30" s="1983" t="s">
        <v>2125</v>
      </c>
      <c r="G30" s="1983" t="s">
        <v>2125</v>
      </c>
      <c r="H30" s="1983" t="s">
        <v>2126</v>
      </c>
    </row>
    <row r="31" spans="1:8" ht="15" customHeight="1" thickBot="1" x14ac:dyDescent="0.4">
      <c r="A31" s="1242"/>
      <c r="B31" s="1198"/>
      <c r="C31" s="1364" t="s">
        <v>2134</v>
      </c>
      <c r="D31" s="1364"/>
      <c r="E31" s="1365"/>
      <c r="F31" s="1988"/>
      <c r="G31" s="1988"/>
      <c r="H31" s="1988"/>
    </row>
    <row r="32" spans="1:8" ht="58.5" customHeight="1" x14ac:dyDescent="0.35">
      <c r="A32" s="1240" t="s">
        <v>2135</v>
      </c>
      <c r="B32" s="1975" t="s">
        <v>2136</v>
      </c>
      <c r="C32" s="2998" t="s">
        <v>2137</v>
      </c>
      <c r="D32" s="2998"/>
      <c r="E32" s="2999"/>
      <c r="F32" s="1983" t="s">
        <v>2138</v>
      </c>
      <c r="G32" s="1983" t="s">
        <v>2138</v>
      </c>
      <c r="H32" s="1983" t="s">
        <v>2126</v>
      </c>
    </row>
    <row r="33" spans="1:8" ht="15" thickBot="1" x14ac:dyDescent="0.4">
      <c r="A33" s="1242"/>
      <c r="B33" s="1364"/>
      <c r="C33" s="1198" t="s">
        <v>2136</v>
      </c>
      <c r="D33" s="1198"/>
      <c r="E33" s="1198"/>
      <c r="F33" s="1988"/>
      <c r="G33" s="1988"/>
      <c r="H33" s="1988"/>
    </row>
    <row r="34" spans="1:8" ht="29" x14ac:dyDescent="0.35">
      <c r="A34" s="1984" t="s">
        <v>2139</v>
      </c>
      <c r="B34" s="1989"/>
      <c r="C34" s="2998" t="s">
        <v>2140</v>
      </c>
      <c r="D34" s="2998"/>
      <c r="E34" s="2999"/>
      <c r="F34" s="1983" t="s">
        <v>2138</v>
      </c>
      <c r="G34" s="1983" t="s">
        <v>2138</v>
      </c>
      <c r="H34" s="1983" t="s">
        <v>2126</v>
      </c>
    </row>
    <row r="35" spans="1:8" ht="30.75" customHeight="1" thickBot="1" x14ac:dyDescent="0.4">
      <c r="A35" s="1984"/>
      <c r="B35" s="1989"/>
      <c r="C35" s="1198" t="s">
        <v>2136</v>
      </c>
      <c r="D35" s="1989"/>
      <c r="E35" s="1989"/>
      <c r="F35" s="1988"/>
      <c r="G35" s="1988"/>
      <c r="H35" s="1988"/>
    </row>
    <row r="36" spans="1:8" ht="35.25" customHeight="1" x14ac:dyDescent="0.35">
      <c r="A36" s="1240" t="s">
        <v>1416</v>
      </c>
      <c r="B36" s="1982">
        <v>100000</v>
      </c>
      <c r="C36" s="3130" t="s">
        <v>1813</v>
      </c>
      <c r="D36" s="3130"/>
      <c r="E36" s="3131"/>
      <c r="F36" s="1240" t="s">
        <v>1524</v>
      </c>
      <c r="G36" s="1990" t="s">
        <v>2141</v>
      </c>
      <c r="H36" s="3128" t="s">
        <v>2142</v>
      </c>
    </row>
    <row r="37" spans="1:8" ht="27" customHeight="1" thickBot="1" x14ac:dyDescent="0.4">
      <c r="A37" s="1984"/>
      <c r="B37" s="1985"/>
      <c r="C37" s="1989"/>
      <c r="D37" s="1989"/>
      <c r="E37" s="1989"/>
      <c r="F37" s="1984"/>
      <c r="G37" s="1991"/>
      <c r="H37" s="3129"/>
    </row>
    <row r="38" spans="1:8" ht="31.5" customHeight="1" x14ac:dyDescent="0.35">
      <c r="A38" s="1240" t="s">
        <v>1040</v>
      </c>
      <c r="B38" s="1992"/>
      <c r="C38" s="2998"/>
      <c r="D38" s="2998"/>
      <c r="E38" s="2999"/>
      <c r="F38" s="1240"/>
      <c r="G38" s="1990"/>
      <c r="H38" s="1243"/>
    </row>
    <row r="39" spans="1:8" ht="31.5" customHeight="1" thickBot="1" x14ac:dyDescent="0.4">
      <c r="A39" s="1242"/>
      <c r="B39" s="1198"/>
      <c r="C39" s="3000"/>
      <c r="D39" s="3000"/>
      <c r="E39" s="3001"/>
      <c r="F39" s="1242"/>
      <c r="G39" s="1993"/>
      <c r="H39" s="1244"/>
    </row>
    <row r="40" spans="1:8" x14ac:dyDescent="0.35">
      <c r="A40" s="1240" t="s">
        <v>1083</v>
      </c>
      <c r="B40" s="1241">
        <v>15</v>
      </c>
      <c r="C40" s="1241" t="s">
        <v>2143</v>
      </c>
      <c r="D40" s="1241"/>
      <c r="E40" s="1241"/>
      <c r="F40" s="1240" t="s">
        <v>1524</v>
      </c>
      <c r="G40" s="1990" t="s">
        <v>2141</v>
      </c>
      <c r="H40" s="3128" t="s">
        <v>2142</v>
      </c>
    </row>
    <row r="41" spans="1:8" ht="31.5" customHeight="1" thickBot="1" x14ac:dyDescent="0.4">
      <c r="A41" s="1242"/>
      <c r="B41" s="1198"/>
      <c r="C41" s="1198" t="s">
        <v>2144</v>
      </c>
      <c r="D41" s="1198"/>
      <c r="E41" s="1198"/>
      <c r="F41" s="1242"/>
      <c r="G41" s="1993"/>
      <c r="H41" s="3129"/>
    </row>
    <row r="50" spans="1:8" ht="15" thickBot="1" x14ac:dyDescent="0.4"/>
    <row r="51" spans="1:8" ht="15" thickBot="1" x14ac:dyDescent="0.4">
      <c r="A51" s="62" t="s">
        <v>2145</v>
      </c>
      <c r="B51" s="63"/>
      <c r="C51" s="63"/>
      <c r="D51" s="63"/>
      <c r="E51" s="63"/>
      <c r="F51" s="63"/>
      <c r="G51" s="63"/>
      <c r="H51" s="335"/>
    </row>
    <row r="52" spans="1:8" ht="15" thickBot="1" x14ac:dyDescent="0.4">
      <c r="A52" s="99"/>
      <c r="B52" s="69"/>
      <c r="C52" s="69"/>
      <c r="D52" s="69"/>
      <c r="E52" s="69"/>
      <c r="F52" s="69"/>
      <c r="G52" s="69"/>
      <c r="H52" s="100"/>
    </row>
    <row r="53" spans="1:8" ht="15" thickBot="1" x14ac:dyDescent="0.4">
      <c r="A53" s="1023"/>
      <c r="B53" s="1994" t="s">
        <v>2146</v>
      </c>
      <c r="C53" s="1994" t="s">
        <v>2139</v>
      </c>
      <c r="D53" s="1994" t="s">
        <v>2122</v>
      </c>
      <c r="E53" s="1994" t="s">
        <v>2129</v>
      </c>
      <c r="F53" s="1024" t="s">
        <v>2132</v>
      </c>
      <c r="G53" s="69"/>
      <c r="H53" s="100"/>
    </row>
    <row r="54" spans="1:8" x14ac:dyDescent="0.35">
      <c r="A54" s="1995" t="s">
        <v>2109</v>
      </c>
      <c r="B54" s="1245">
        <v>0.22439999999999999</v>
      </c>
      <c r="C54" s="1245">
        <v>0.44569999999999999</v>
      </c>
      <c r="D54" s="1245">
        <v>0.1648</v>
      </c>
      <c r="E54" s="1196">
        <v>1688</v>
      </c>
      <c r="F54" s="1996">
        <v>520</v>
      </c>
      <c r="G54" s="69">
        <v>4938</v>
      </c>
      <c r="H54" s="100"/>
    </row>
    <row r="55" spans="1:8" ht="15" thickBot="1" x14ac:dyDescent="0.4">
      <c r="A55" s="1997" t="s">
        <v>2106</v>
      </c>
      <c r="B55" s="1998">
        <v>0.2402</v>
      </c>
      <c r="C55" s="162">
        <v>0</v>
      </c>
      <c r="D55" s="1998">
        <v>0.22750000000000001</v>
      </c>
      <c r="E55" s="161">
        <v>2089</v>
      </c>
      <c r="F55" s="163">
        <v>0</v>
      </c>
      <c r="G55" s="69">
        <v>12493</v>
      </c>
      <c r="H55" s="100"/>
    </row>
    <row r="56" spans="1:8" ht="15" thickBot="1" x14ac:dyDescent="0.4">
      <c r="A56" s="99"/>
      <c r="B56" s="69"/>
      <c r="C56" s="69"/>
      <c r="D56" s="69"/>
      <c r="E56" s="69"/>
      <c r="F56" s="69"/>
      <c r="G56" s="69"/>
      <c r="H56" s="100"/>
    </row>
    <row r="57" spans="1:8" ht="29.5" thickBot="1" x14ac:dyDescent="0.4">
      <c r="A57" s="1999" t="s">
        <v>2147</v>
      </c>
      <c r="B57" s="2000" t="s">
        <v>2118</v>
      </c>
      <c r="C57" s="1994"/>
      <c r="D57" s="1994"/>
      <c r="E57" s="1994"/>
      <c r="F57" s="1994"/>
      <c r="G57" s="1024"/>
      <c r="H57" s="100"/>
    </row>
    <row r="58" spans="1:8" ht="15" thickBot="1" x14ac:dyDescent="0.4">
      <c r="A58" s="1999" t="s">
        <v>1360</v>
      </c>
      <c r="B58" s="2001" t="s">
        <v>2148</v>
      </c>
      <c r="C58" s="2002" t="s">
        <v>2122</v>
      </c>
      <c r="D58" s="2002" t="s">
        <v>2129</v>
      </c>
      <c r="E58" s="2002" t="s">
        <v>2146</v>
      </c>
      <c r="F58" s="2002" t="s">
        <v>2132</v>
      </c>
      <c r="G58" s="1024" t="s">
        <v>2139</v>
      </c>
      <c r="H58" s="100"/>
    </row>
    <row r="59" spans="1:8" x14ac:dyDescent="0.35">
      <c r="A59" s="1995" t="s">
        <v>2109</v>
      </c>
      <c r="B59" s="2513">
        <f>+C59*(D59*E59+F59*G59)/100000</f>
        <v>30.149018256000002</v>
      </c>
      <c r="C59" s="2003">
        <v>4938</v>
      </c>
      <c r="D59" s="2004">
        <f>+E54</f>
        <v>1688</v>
      </c>
      <c r="E59" s="1026">
        <f>+B54</f>
        <v>0.22439999999999999</v>
      </c>
      <c r="F59" s="2004">
        <f>+F54</f>
        <v>520</v>
      </c>
      <c r="G59" s="2005">
        <f>+C54</f>
        <v>0.44569999999999999</v>
      </c>
      <c r="H59" s="100"/>
    </row>
    <row r="60" spans="1:8" ht="15" thickBot="1" x14ac:dyDescent="0.4">
      <c r="A60" s="1997" t="s">
        <v>2106</v>
      </c>
      <c r="B60" s="2512">
        <f>+C60*(D60*E60+F60*G60)/100000</f>
        <v>62.687100553999997</v>
      </c>
      <c r="C60" s="2006">
        <v>12493</v>
      </c>
      <c r="D60" s="2007">
        <f>+E55</f>
        <v>2089</v>
      </c>
      <c r="E60" s="2008">
        <f>+B55</f>
        <v>0.2402</v>
      </c>
      <c r="F60" s="2007">
        <f>+F55</f>
        <v>0</v>
      </c>
      <c r="G60" s="2009">
        <f>+C55</f>
        <v>0</v>
      </c>
      <c r="H60" s="100"/>
    </row>
    <row r="61" spans="1:8" x14ac:dyDescent="0.35">
      <c r="A61" s="99"/>
      <c r="B61" s="69"/>
      <c r="C61" s="69"/>
      <c r="D61" s="69"/>
      <c r="E61" s="69"/>
      <c r="F61" s="69"/>
      <c r="G61" s="69"/>
      <c r="H61" s="100"/>
    </row>
    <row r="62" spans="1:8" x14ac:dyDescent="0.35">
      <c r="A62" s="99"/>
      <c r="B62" s="69"/>
      <c r="C62" s="2127"/>
      <c r="D62" s="69"/>
      <c r="E62" s="69"/>
      <c r="F62" s="69"/>
      <c r="G62" s="69"/>
      <c r="H62" s="100"/>
    </row>
    <row r="63" spans="1:8" x14ac:dyDescent="0.35">
      <c r="A63" s="99"/>
      <c r="B63" s="69"/>
      <c r="C63" s="69"/>
      <c r="D63" s="69"/>
      <c r="E63" s="69"/>
      <c r="F63" s="69"/>
      <c r="G63" s="69"/>
      <c r="H63" s="100"/>
    </row>
    <row r="64" spans="1:8" x14ac:dyDescent="0.35">
      <c r="A64" s="99"/>
      <c r="B64" s="69"/>
      <c r="C64" s="69"/>
      <c r="D64" s="69"/>
      <c r="E64" s="69"/>
      <c r="F64" s="69"/>
      <c r="G64" s="69"/>
      <c r="H64" s="100"/>
    </row>
    <row r="65" spans="1:8" x14ac:dyDescent="0.35">
      <c r="A65" s="99"/>
      <c r="B65" s="69"/>
      <c r="C65" s="69"/>
      <c r="D65" s="69"/>
      <c r="E65" s="69"/>
      <c r="F65" s="69"/>
      <c r="G65" s="69"/>
      <c r="H65" s="100"/>
    </row>
    <row r="66" spans="1:8" x14ac:dyDescent="0.35">
      <c r="A66" s="99"/>
      <c r="B66" s="69"/>
      <c r="C66" s="69"/>
      <c r="D66" s="69"/>
      <c r="E66" s="69"/>
      <c r="F66" s="69"/>
      <c r="G66" s="69"/>
      <c r="H66" s="100"/>
    </row>
    <row r="67" spans="1:8" x14ac:dyDescent="0.35">
      <c r="A67" s="99"/>
      <c r="B67" s="69"/>
      <c r="C67" s="69"/>
      <c r="D67" s="69"/>
      <c r="E67" s="69"/>
      <c r="F67" s="69"/>
      <c r="G67" s="69"/>
      <c r="H67" s="100"/>
    </row>
    <row r="68" spans="1:8" x14ac:dyDescent="0.35">
      <c r="A68" s="99"/>
      <c r="B68" s="69"/>
      <c r="C68" s="69"/>
      <c r="D68" s="69"/>
      <c r="E68" s="69"/>
      <c r="F68" s="69"/>
      <c r="G68" s="69"/>
      <c r="H68" s="100"/>
    </row>
    <row r="69" spans="1:8" x14ac:dyDescent="0.35">
      <c r="A69" s="99"/>
      <c r="B69" s="69"/>
      <c r="C69" s="69"/>
      <c r="D69" s="69"/>
      <c r="E69" s="69"/>
      <c r="F69" s="69"/>
      <c r="G69" s="69"/>
      <c r="H69" s="100"/>
    </row>
    <row r="70" spans="1:8" x14ac:dyDescent="0.35">
      <c r="A70" s="99"/>
      <c r="B70" s="69"/>
      <c r="C70" s="69"/>
      <c r="D70" s="69"/>
      <c r="E70" s="69"/>
      <c r="F70" s="69"/>
      <c r="G70" s="69"/>
      <c r="H70" s="100"/>
    </row>
    <row r="71" spans="1:8" ht="15" thickBot="1" x14ac:dyDescent="0.4">
      <c r="A71" s="261"/>
      <c r="B71" s="161"/>
      <c r="C71" s="161"/>
      <c r="D71" s="161"/>
      <c r="E71" s="161"/>
      <c r="F71" s="161"/>
      <c r="G71" s="161"/>
      <c r="H71" s="163"/>
    </row>
  </sheetData>
  <dataConsolidate link="1"/>
  <mergeCells count="13">
    <mergeCell ref="K2:M2"/>
    <mergeCell ref="N2:P2"/>
    <mergeCell ref="F22:H22"/>
    <mergeCell ref="C25:E25"/>
    <mergeCell ref="C26:E26"/>
    <mergeCell ref="C38:E39"/>
    <mergeCell ref="H40:H41"/>
    <mergeCell ref="C28:E28"/>
    <mergeCell ref="C29:E29"/>
    <mergeCell ref="C32:E32"/>
    <mergeCell ref="C34:E34"/>
    <mergeCell ref="C36:E36"/>
    <mergeCell ref="H36:H37"/>
  </mergeCells>
  <dataValidations count="2">
    <dataValidation type="list" allowBlank="1" showInputMessage="1" showErrorMessage="1" sqref="D4:D9" xr:uid="{2FD6AFC6-5054-4ABC-9184-CA5FE4305BB5}">
      <formula1>MeasureType</formula1>
    </dataValidation>
    <dataValidation type="list" allowBlank="1" showInputMessage="1" showErrorMessage="1" sqref="I4:I9" xr:uid="{FDDB9AEF-BD9F-489B-A1DA-3A0BF39E5944}">
      <formula1>$A$54:$A$55</formula1>
    </dataValidation>
  </dataValidations>
  <hyperlinks>
    <hyperlink ref="A1" location="'Measure-Level Adjustments'!Print_Titles" display="Measure Level Tab" xr:uid="{040A63A8-1B2F-4D7E-A1F3-91D0B38212BD}"/>
  </hyperlinks>
  <pageMargins left="0.7" right="0.7" top="0.75" bottom="0.75" header="0.3" footer="0.3"/>
  <pageSetup scale="33"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pageSetUpPr fitToPage="1"/>
  </sheetPr>
  <dimension ref="A1:AG61"/>
  <sheetViews>
    <sheetView view="pageBreakPreview" zoomScaleNormal="100" zoomScaleSheetLayoutView="100" workbookViewId="0">
      <pane xSplit="1" ySplit="3" topLeftCell="B11" activePane="bottomRight" state="frozen"/>
      <selection pane="topRight" activeCell="B1" sqref="B1"/>
      <selection pane="bottomLeft" activeCell="A4" sqref="A4"/>
      <selection pane="bottomRight" activeCell="B2" sqref="B2"/>
    </sheetView>
  </sheetViews>
  <sheetFormatPr defaultRowHeight="14.5" x14ac:dyDescent="0.35"/>
  <cols>
    <col min="1" max="1" width="20.7265625" customWidth="1"/>
    <col min="2" max="2" width="37.81640625" customWidth="1"/>
    <col min="3" max="3" width="36.26953125" customWidth="1"/>
    <col min="4" max="4" width="20" bestFit="1" customWidth="1"/>
    <col min="5" max="5" width="12.7265625" customWidth="1"/>
    <col min="6" max="6" width="37" customWidth="1"/>
    <col min="7" max="7" width="14.81640625" customWidth="1"/>
    <col min="8" max="8" width="16.1796875" bestFit="1" customWidth="1"/>
    <col min="10" max="10" width="10.7265625" bestFit="1" customWidth="1"/>
    <col min="12" max="12" width="12" bestFit="1" customWidth="1"/>
    <col min="15" max="16" width="12.54296875" customWidth="1"/>
    <col min="19" max="19" width="19.81640625" bestFit="1" customWidth="1"/>
    <col min="20" max="20" width="10" bestFit="1" customWidth="1"/>
  </cols>
  <sheetData>
    <row r="1" spans="1:33" x14ac:dyDescent="0.35">
      <c r="A1" s="1799" t="s">
        <v>1031</v>
      </c>
    </row>
    <row r="2" spans="1:33" x14ac:dyDescent="0.35">
      <c r="A2" s="947" t="s">
        <v>332</v>
      </c>
      <c r="B2" s="1032" t="s">
        <v>2149</v>
      </c>
      <c r="C2" s="1032"/>
      <c r="D2" s="1032"/>
      <c r="E2" s="998"/>
      <c r="F2" s="998"/>
      <c r="G2" s="998"/>
      <c r="H2" s="998"/>
      <c r="I2" s="998"/>
      <c r="J2" s="998"/>
      <c r="K2" s="998"/>
      <c r="L2" s="998"/>
      <c r="M2" s="3067" t="s">
        <v>1032</v>
      </c>
      <c r="N2" s="3067"/>
      <c r="O2" s="3067"/>
      <c r="P2" s="3067" t="s">
        <v>1033</v>
      </c>
      <c r="Q2" s="3067"/>
      <c r="R2" s="3067"/>
      <c r="S2" s="3137" t="s">
        <v>1158</v>
      </c>
      <c r="T2" s="3138"/>
      <c r="U2" s="3138"/>
      <c r="V2" s="3138"/>
      <c r="W2" s="3138"/>
    </row>
    <row r="3" spans="1:33" s="143" customFormat="1" ht="29" x14ac:dyDescent="0.35">
      <c r="A3" s="952" t="s">
        <v>1035</v>
      </c>
      <c r="B3" s="998" t="s">
        <v>155</v>
      </c>
      <c r="C3" s="998" t="s">
        <v>1036</v>
      </c>
      <c r="D3" s="998" t="s">
        <v>1037</v>
      </c>
      <c r="E3" s="998" t="s">
        <v>1039</v>
      </c>
      <c r="F3" s="998" t="s">
        <v>2150</v>
      </c>
      <c r="G3" s="998" t="s">
        <v>2151</v>
      </c>
      <c r="H3" s="998" t="s">
        <v>2152</v>
      </c>
      <c r="I3" s="998" t="s">
        <v>1703</v>
      </c>
      <c r="J3" s="998" t="s">
        <v>1360</v>
      </c>
      <c r="K3" s="998" t="s">
        <v>1041</v>
      </c>
      <c r="L3" s="998" t="s">
        <v>1570</v>
      </c>
      <c r="M3" s="998" t="s">
        <v>1044</v>
      </c>
      <c r="N3" s="998" t="s">
        <v>1045</v>
      </c>
      <c r="O3" s="998" t="s">
        <v>1046</v>
      </c>
      <c r="P3" s="998" t="s">
        <v>1044</v>
      </c>
      <c r="Q3" s="998" t="s">
        <v>1045</v>
      </c>
      <c r="R3" s="999" t="s">
        <v>1046</v>
      </c>
      <c r="S3" s="654" t="s">
        <v>2153</v>
      </c>
      <c r="T3" s="654" t="s">
        <v>2154</v>
      </c>
      <c r="U3" s="654" t="s">
        <v>2155</v>
      </c>
      <c r="V3" s="654" t="s">
        <v>2156</v>
      </c>
      <c r="W3" s="654" t="s">
        <v>2157</v>
      </c>
    </row>
    <row r="4" spans="1:33" s="60" customFormat="1" ht="29" x14ac:dyDescent="0.35">
      <c r="A4" s="955" t="s">
        <v>431</v>
      </c>
      <c r="B4" s="1020" t="str">
        <f>$B$2&amp;" - "&amp;F4</f>
        <v>Space Heating Boiler Tune-up - 400</v>
      </c>
      <c r="C4" s="69" t="s">
        <v>430</v>
      </c>
      <c r="D4" s="957" t="s">
        <v>2158</v>
      </c>
      <c r="E4" s="1000">
        <f t="shared" ref="E4:E12" si="0">+$B$36</f>
        <v>3</v>
      </c>
      <c r="F4" s="994">
        <v>400</v>
      </c>
      <c r="G4" s="1766">
        <f t="shared" ref="G4:G15" si="1">+$B$32</f>
        <v>0.81499999999999995</v>
      </c>
      <c r="H4" s="1767">
        <f t="shared" ref="H4:H15" si="2">+$B$35</f>
        <v>2.3E-2</v>
      </c>
      <c r="I4" s="972" t="s">
        <v>1696</v>
      </c>
      <c r="J4" s="972" t="s">
        <v>1363</v>
      </c>
      <c r="K4" s="1000" t="s">
        <v>1284</v>
      </c>
      <c r="L4" s="1018"/>
      <c r="M4" s="1003"/>
      <c r="N4" s="1003"/>
      <c r="O4" s="2640">
        <f>((T4*U4)*((V4+W4)/V4-1))/100000</f>
        <v>174.54860553805378</v>
      </c>
      <c r="P4" s="1003"/>
      <c r="Q4" s="1003"/>
      <c r="R4" s="2632">
        <f>O4*E4</f>
        <v>523.64581661416128</v>
      </c>
      <c r="S4" s="655">
        <f>VLOOKUP(I4, List!$J$14:$K$19, 2, FALSE)</f>
        <v>7</v>
      </c>
      <c r="T4" s="655">
        <f t="shared" ref="T4:T11" si="3">+IF(F4&gt;1000,F4*$E$61,VLOOKUP(F4,$D$51:$E$61,2))</f>
        <v>400000</v>
      </c>
      <c r="U4" s="2743">
        <f>VLOOKUP(J4,List!$B$7:$H$44,S4,FALSE)</f>
        <v>1546.2729729729731</v>
      </c>
      <c r="V4" s="657">
        <f t="shared" ref="V4:V11" si="4">+$B$32</f>
        <v>0.81499999999999995</v>
      </c>
      <c r="W4" s="658">
        <f t="shared" ref="W4:W11" si="5">+$B$35</f>
        <v>2.3E-2</v>
      </c>
      <c r="AG4"/>
    </row>
    <row r="5" spans="1:33" s="60" customFormat="1" ht="29" x14ac:dyDescent="0.35">
      <c r="A5" s="955" t="s">
        <v>2159</v>
      </c>
      <c r="B5" s="1020" t="str">
        <f>$B$2&amp;" - "&amp;F5</f>
        <v>Space Heating Boiler Tune-up - 300</v>
      </c>
      <c r="C5" s="69" t="s">
        <v>2160</v>
      </c>
      <c r="D5" s="957" t="s">
        <v>2158</v>
      </c>
      <c r="E5" s="1000">
        <f t="shared" si="0"/>
        <v>3</v>
      </c>
      <c r="F5" s="994">
        <v>300</v>
      </c>
      <c r="G5" s="1766">
        <f t="shared" si="1"/>
        <v>0.81499999999999995</v>
      </c>
      <c r="H5" s="1767">
        <f t="shared" si="2"/>
        <v>2.3E-2</v>
      </c>
      <c r="I5" s="972" t="s">
        <v>1696</v>
      </c>
      <c r="J5" s="972" t="s">
        <v>1363</v>
      </c>
      <c r="K5" s="1000" t="s">
        <v>1284</v>
      </c>
      <c r="L5" s="1018"/>
      <c r="M5" s="1003"/>
      <c r="N5" s="1003"/>
      <c r="O5" s="2640">
        <f>((T5*U5)*((V5+W5)/V5-1))/100000</f>
        <v>130.91145415354035</v>
      </c>
      <c r="P5" s="1003"/>
      <c r="Q5" s="1003"/>
      <c r="R5" s="2632">
        <f>O5*E5</f>
        <v>392.73436246062101</v>
      </c>
      <c r="S5" s="655">
        <f>VLOOKUP(I5, List!$J$14:$K$19, 2, FALSE)</f>
        <v>7</v>
      </c>
      <c r="T5" s="655">
        <f t="shared" si="3"/>
        <v>300000</v>
      </c>
      <c r="U5" s="2743">
        <f>VLOOKUP(J5,List!$B$7:$H$44,S5,FALSE)</f>
        <v>1546.2729729729731</v>
      </c>
      <c r="V5" s="657">
        <f t="shared" si="4"/>
        <v>0.81499999999999995</v>
      </c>
      <c r="W5" s="658">
        <f t="shared" si="5"/>
        <v>2.3E-2</v>
      </c>
    </row>
    <row r="6" spans="1:33" s="60" customFormat="1" ht="29" x14ac:dyDescent="0.35">
      <c r="A6" s="955" t="s">
        <v>2161</v>
      </c>
      <c r="B6" s="1020" t="s">
        <v>2162</v>
      </c>
      <c r="C6" s="69" t="s">
        <v>2163</v>
      </c>
      <c r="D6" s="957" t="s">
        <v>2158</v>
      </c>
      <c r="E6" s="1000">
        <f t="shared" si="0"/>
        <v>3</v>
      </c>
      <c r="F6" s="994">
        <v>75</v>
      </c>
      <c r="G6" s="1766">
        <f t="shared" si="1"/>
        <v>0.81499999999999995</v>
      </c>
      <c r="H6" s="1767">
        <f t="shared" si="2"/>
        <v>2.3E-2</v>
      </c>
      <c r="I6" s="972" t="s">
        <v>1696</v>
      </c>
      <c r="J6" s="972" t="s">
        <v>1185</v>
      </c>
      <c r="K6" s="1000" t="s">
        <v>1284</v>
      </c>
      <c r="L6" s="1018"/>
      <c r="M6" s="1003"/>
      <c r="N6" s="1003"/>
      <c r="O6" s="1768">
        <f t="shared" ref="O6:O11" si="6">((T6*U6)*((V6+W6)/V6-1))/100000</f>
        <v>35.352975460122771</v>
      </c>
      <c r="P6" s="1003"/>
      <c r="Q6" s="1003"/>
      <c r="R6" s="1769">
        <f t="shared" ref="R6:R11" si="7">O6*E6</f>
        <v>106.05892638036832</v>
      </c>
      <c r="S6" s="655">
        <f>VLOOKUP(I6, List!$J$14:$K$19, 2, FALSE)</f>
        <v>7</v>
      </c>
      <c r="T6" s="655">
        <f t="shared" si="3"/>
        <v>75000</v>
      </c>
      <c r="U6" s="656">
        <f>VLOOKUP(J6,List!$B$7:$H$44,S6,FALSE)</f>
        <v>1670.3</v>
      </c>
      <c r="V6" s="657">
        <f t="shared" si="4"/>
        <v>0.81499999999999995</v>
      </c>
      <c r="W6" s="658">
        <f t="shared" si="5"/>
        <v>2.3E-2</v>
      </c>
    </row>
    <row r="7" spans="1:33" s="60" customFormat="1" ht="29" x14ac:dyDescent="0.35">
      <c r="A7" s="955" t="s">
        <v>2164</v>
      </c>
      <c r="B7" s="1020" t="s">
        <v>2165</v>
      </c>
      <c r="C7" s="69" t="s">
        <v>2166</v>
      </c>
      <c r="D7" s="957" t="s">
        <v>2158</v>
      </c>
      <c r="E7" s="1000">
        <f t="shared" si="0"/>
        <v>3</v>
      </c>
      <c r="F7" s="994">
        <v>650</v>
      </c>
      <c r="G7" s="1766">
        <f t="shared" si="1"/>
        <v>0.81499999999999995</v>
      </c>
      <c r="H7" s="1767">
        <f t="shared" si="2"/>
        <v>2.3E-2</v>
      </c>
      <c r="I7" s="972" t="s">
        <v>1696</v>
      </c>
      <c r="J7" s="972" t="s">
        <v>1185</v>
      </c>
      <c r="K7" s="1000" t="s">
        <v>1284</v>
      </c>
      <c r="L7" s="1018"/>
      <c r="M7" s="1003"/>
      <c r="N7" s="1003"/>
      <c r="O7" s="1768">
        <f t="shared" si="6"/>
        <v>227.2017889570557</v>
      </c>
      <c r="P7" s="1003"/>
      <c r="Q7" s="1003"/>
      <c r="R7" s="1769">
        <f t="shared" si="7"/>
        <v>681.60536687116712</v>
      </c>
      <c r="S7" s="655">
        <f>VLOOKUP(I7, List!$J$14:$K$19, 2, FALSE)</f>
        <v>7</v>
      </c>
      <c r="T7" s="655">
        <f t="shared" si="3"/>
        <v>482000</v>
      </c>
      <c r="U7" s="656">
        <f>VLOOKUP(J7,List!$B$7:$H$44,S7,FALSE)</f>
        <v>1670.3</v>
      </c>
      <c r="V7" s="657">
        <f t="shared" si="4"/>
        <v>0.81499999999999995</v>
      </c>
      <c r="W7" s="658">
        <f t="shared" si="5"/>
        <v>2.3E-2</v>
      </c>
    </row>
    <row r="8" spans="1:33" s="60" customFormat="1" ht="29" x14ac:dyDescent="0.35">
      <c r="A8" s="955" t="s">
        <v>2167</v>
      </c>
      <c r="B8" s="1020" t="s">
        <v>2168</v>
      </c>
      <c r="C8" s="69" t="s">
        <v>2169</v>
      </c>
      <c r="D8" s="957" t="s">
        <v>2158</v>
      </c>
      <c r="E8" s="1000">
        <f t="shared" si="0"/>
        <v>3</v>
      </c>
      <c r="F8" s="994">
        <v>482</v>
      </c>
      <c r="G8" s="1766">
        <f t="shared" si="1"/>
        <v>0.81499999999999995</v>
      </c>
      <c r="H8" s="1767">
        <f t="shared" si="2"/>
        <v>2.3E-2</v>
      </c>
      <c r="I8" s="972" t="s">
        <v>1696</v>
      </c>
      <c r="J8" s="972" t="s">
        <v>1185</v>
      </c>
      <c r="K8" s="1000" t="s">
        <v>1284</v>
      </c>
      <c r="L8" s="1018"/>
      <c r="M8" s="1003"/>
      <c r="N8" s="1003"/>
      <c r="O8" s="1768">
        <f t="shared" si="6"/>
        <v>227.2017889570557</v>
      </c>
      <c r="P8" s="1003"/>
      <c r="Q8" s="1003"/>
      <c r="R8" s="1769">
        <f t="shared" si="7"/>
        <v>681.60536687116712</v>
      </c>
      <c r="S8" s="655">
        <f>VLOOKUP(I8, List!$J$14:$K$19, 2, FALSE)</f>
        <v>7</v>
      </c>
      <c r="T8" s="655">
        <f t="shared" si="3"/>
        <v>482000</v>
      </c>
      <c r="U8" s="656">
        <f>VLOOKUP(J8,List!$B$7:$H$44,S8,FALSE)</f>
        <v>1670.3</v>
      </c>
      <c r="V8" s="657">
        <f t="shared" si="4"/>
        <v>0.81499999999999995</v>
      </c>
      <c r="W8" s="658">
        <f t="shared" si="5"/>
        <v>2.3E-2</v>
      </c>
    </row>
    <row r="9" spans="1:33" s="60" customFormat="1" ht="29" x14ac:dyDescent="0.35">
      <c r="A9" s="955" t="s">
        <v>750</v>
      </c>
      <c r="B9" s="1020" t="s">
        <v>2170</v>
      </c>
      <c r="C9" s="69" t="s">
        <v>749</v>
      </c>
      <c r="D9" s="957" t="s">
        <v>2158</v>
      </c>
      <c r="E9" s="1000">
        <f t="shared" si="0"/>
        <v>3</v>
      </c>
      <c r="F9" s="994">
        <v>800</v>
      </c>
      <c r="G9" s="1766">
        <f t="shared" si="1"/>
        <v>0.81499999999999995</v>
      </c>
      <c r="H9" s="1767">
        <f t="shared" si="2"/>
        <v>2.3E-2</v>
      </c>
      <c r="I9" s="972" t="s">
        <v>1696</v>
      </c>
      <c r="J9" s="972" t="s">
        <v>1185</v>
      </c>
      <c r="K9" s="1000" t="s">
        <v>1284</v>
      </c>
      <c r="L9" s="1018"/>
      <c r="M9" s="1003"/>
      <c r="N9" s="1003"/>
      <c r="O9" s="1768">
        <f t="shared" si="6"/>
        <v>377.09840490797626</v>
      </c>
      <c r="P9" s="1003"/>
      <c r="Q9" s="1003"/>
      <c r="R9" s="1769">
        <f t="shared" si="7"/>
        <v>1131.2952147239289</v>
      </c>
      <c r="S9" s="655">
        <f>VLOOKUP(I9, List!$J$14:$K$19, 2, FALSE)</f>
        <v>7</v>
      </c>
      <c r="T9" s="655">
        <f t="shared" si="3"/>
        <v>800000</v>
      </c>
      <c r="U9" s="656">
        <f>VLOOKUP(J9,List!$B$7:$H$44,S9,FALSE)</f>
        <v>1670.3</v>
      </c>
      <c r="V9" s="657">
        <f t="shared" si="4"/>
        <v>0.81499999999999995</v>
      </c>
      <c r="W9" s="658">
        <f t="shared" si="5"/>
        <v>2.3E-2</v>
      </c>
    </row>
    <row r="10" spans="1:33" s="60" customFormat="1" ht="29" x14ac:dyDescent="0.35">
      <c r="A10" s="955" t="s">
        <v>2171</v>
      </c>
      <c r="B10" s="1020" t="s">
        <v>2172</v>
      </c>
      <c r="C10" s="69" t="s">
        <v>2173</v>
      </c>
      <c r="D10" s="957" t="s">
        <v>2158</v>
      </c>
      <c r="E10" s="1000">
        <f t="shared" si="0"/>
        <v>3</v>
      </c>
      <c r="F10" s="994">
        <v>1000</v>
      </c>
      <c r="G10" s="1766">
        <f t="shared" si="1"/>
        <v>0.81499999999999995</v>
      </c>
      <c r="H10" s="1767">
        <f t="shared" si="2"/>
        <v>2.3E-2</v>
      </c>
      <c r="I10" s="972" t="s">
        <v>1696</v>
      </c>
      <c r="J10" s="972" t="s">
        <v>1185</v>
      </c>
      <c r="K10" s="1000" t="s">
        <v>1284</v>
      </c>
      <c r="L10" s="1018"/>
      <c r="M10" s="1003"/>
      <c r="N10" s="1003"/>
      <c r="O10" s="1768">
        <f t="shared" si="6"/>
        <v>471.37300613497035</v>
      </c>
      <c r="P10" s="1003"/>
      <c r="Q10" s="1003"/>
      <c r="R10" s="1769">
        <f t="shared" si="7"/>
        <v>1414.119018404911</v>
      </c>
      <c r="S10" s="655">
        <f>VLOOKUP(I10, List!$J$14:$K$19, 2, FALSE)</f>
        <v>7</v>
      </c>
      <c r="T10" s="655">
        <f t="shared" si="3"/>
        <v>1000000</v>
      </c>
      <c r="U10" s="656">
        <f>VLOOKUP(J10,List!$B$7:$H$44,S10,FALSE)</f>
        <v>1670.3</v>
      </c>
      <c r="V10" s="657">
        <f t="shared" si="4"/>
        <v>0.81499999999999995</v>
      </c>
      <c r="W10" s="658">
        <f t="shared" si="5"/>
        <v>2.3E-2</v>
      </c>
    </row>
    <row r="11" spans="1:33" s="60" customFormat="1" ht="29" x14ac:dyDescent="0.35">
      <c r="A11" s="955" t="s">
        <v>2174</v>
      </c>
      <c r="B11" s="1020" t="s">
        <v>2175</v>
      </c>
      <c r="C11" s="69" t="s">
        <v>2176</v>
      </c>
      <c r="D11" s="957" t="s">
        <v>2158</v>
      </c>
      <c r="E11" s="1000">
        <f t="shared" si="0"/>
        <v>3</v>
      </c>
      <c r="F11" s="994">
        <v>3500</v>
      </c>
      <c r="G11" s="1766">
        <f t="shared" si="1"/>
        <v>0.81499999999999995</v>
      </c>
      <c r="H11" s="1767">
        <f t="shared" si="2"/>
        <v>2.3E-2</v>
      </c>
      <c r="I11" s="972" t="s">
        <v>1696</v>
      </c>
      <c r="J11" s="972" t="s">
        <v>1185</v>
      </c>
      <c r="K11" s="1000" t="s">
        <v>1284</v>
      </c>
      <c r="L11" s="1018"/>
      <c r="M11" s="1003"/>
      <c r="N11" s="1003"/>
      <c r="O11" s="1768">
        <f t="shared" si="6"/>
        <v>1649.8055214723959</v>
      </c>
      <c r="P11" s="1003"/>
      <c r="Q11" s="1003"/>
      <c r="R11" s="1769">
        <f t="shared" si="7"/>
        <v>4949.4165644171881</v>
      </c>
      <c r="S11" s="655">
        <f>VLOOKUP(I11, List!$J$14:$K$19, 2, FALSE)</f>
        <v>7</v>
      </c>
      <c r="T11" s="655">
        <f t="shared" si="3"/>
        <v>3500000</v>
      </c>
      <c r="U11" s="656">
        <f>VLOOKUP(J11,List!$B$7:$H$44,S11,FALSE)</f>
        <v>1670.3</v>
      </c>
      <c r="V11" s="657">
        <f t="shared" si="4"/>
        <v>0.81499999999999995</v>
      </c>
      <c r="W11" s="658">
        <f t="shared" si="5"/>
        <v>2.3E-2</v>
      </c>
    </row>
    <row r="12" spans="1:33" s="60" customFormat="1" ht="29" x14ac:dyDescent="0.35">
      <c r="A12" s="955" t="s">
        <v>2177</v>
      </c>
      <c r="B12" s="1020" t="s">
        <v>2178</v>
      </c>
      <c r="C12" s="69" t="s">
        <v>2179</v>
      </c>
      <c r="D12" s="957" t="s">
        <v>2158</v>
      </c>
      <c r="E12" s="1000">
        <f t="shared" si="0"/>
        <v>3</v>
      </c>
      <c r="F12" s="994" t="s">
        <v>1363</v>
      </c>
      <c r="G12" s="1766">
        <f t="shared" si="1"/>
        <v>0.81499999999999995</v>
      </c>
      <c r="H12" s="1767">
        <f t="shared" si="2"/>
        <v>2.3E-2</v>
      </c>
      <c r="I12" s="972" t="s">
        <v>1696</v>
      </c>
      <c r="J12" s="972" t="s">
        <v>1363</v>
      </c>
      <c r="K12" s="1000" t="s">
        <v>1284</v>
      </c>
      <c r="L12" s="1018"/>
      <c r="M12" s="1003"/>
      <c r="N12" s="1003"/>
      <c r="O12" s="1768">
        <f>+AVERAGE(O4:O11)</f>
        <v>411.68669319764638</v>
      </c>
      <c r="P12" s="1003"/>
      <c r="Q12" s="1003"/>
      <c r="R12" s="1768">
        <f>+AVERAGE(R4:R11)</f>
        <v>1235.060079592939</v>
      </c>
      <c r="S12" t="s">
        <v>2180</v>
      </c>
      <c r="T12"/>
      <c r="U12"/>
      <c r="V12"/>
      <c r="W12"/>
    </row>
    <row r="13" spans="1:33" s="60" customFormat="1" ht="29" x14ac:dyDescent="0.35">
      <c r="A13" s="956" t="s">
        <v>2181</v>
      </c>
      <c r="B13" s="956" t="s">
        <v>2182</v>
      </c>
      <c r="C13" s="69" t="s">
        <v>2183</v>
      </c>
      <c r="D13" s="956" t="s">
        <v>2158</v>
      </c>
      <c r="E13" s="1021">
        <v>3</v>
      </c>
      <c r="F13" s="994" t="s">
        <v>1363</v>
      </c>
      <c r="G13" s="1766">
        <f t="shared" si="1"/>
        <v>0.81499999999999995</v>
      </c>
      <c r="H13" s="1767">
        <f t="shared" si="2"/>
        <v>2.3E-2</v>
      </c>
      <c r="I13" s="972" t="s">
        <v>1696</v>
      </c>
      <c r="J13" s="972"/>
      <c r="K13" s="1021"/>
      <c r="L13" s="1795"/>
      <c r="M13" s="1145"/>
      <c r="N13" s="1145"/>
      <c r="O13" s="1804">
        <f>+AVERAGE(O4:O11)</f>
        <v>411.68669319764638</v>
      </c>
      <c r="P13" s="1145"/>
      <c r="Q13" s="1145"/>
      <c r="R13" s="1768">
        <f>+AVERAGE(R4:R11)</f>
        <v>1235.060079592939</v>
      </c>
      <c r="S13" t="s">
        <v>2180</v>
      </c>
      <c r="T13"/>
      <c r="U13"/>
      <c r="V13"/>
      <c r="W13"/>
    </row>
    <row r="14" spans="1:33" s="60" customFormat="1" ht="29" x14ac:dyDescent="0.35">
      <c r="A14" s="956" t="s">
        <v>331</v>
      </c>
      <c r="B14" s="956" t="s">
        <v>2184</v>
      </c>
      <c r="C14" s="69" t="s">
        <v>330</v>
      </c>
      <c r="D14" s="956" t="s">
        <v>2158</v>
      </c>
      <c r="E14" s="1021">
        <v>3</v>
      </c>
      <c r="F14" s="1803">
        <v>1800</v>
      </c>
      <c r="G14" s="1766">
        <f t="shared" si="1"/>
        <v>0.81499999999999995</v>
      </c>
      <c r="H14" s="1767">
        <f t="shared" si="2"/>
        <v>2.3E-2</v>
      </c>
      <c r="I14" s="972" t="s">
        <v>1696</v>
      </c>
      <c r="J14" s="972" t="s">
        <v>1185</v>
      </c>
      <c r="K14" s="1021"/>
      <c r="L14" s="1795"/>
      <c r="M14" s="1145"/>
      <c r="N14" s="1145"/>
      <c r="O14" s="1768">
        <f>((T14*U14)*((V14+W14)/V14-1))/100000</f>
        <v>848.47141104294656</v>
      </c>
      <c r="P14" s="1145"/>
      <c r="Q14" s="1145"/>
      <c r="R14" s="1769">
        <f>O14*E14</f>
        <v>2545.4142331288394</v>
      </c>
      <c r="S14" s="655">
        <f>VLOOKUP(I14, List!$J$14:$K$19, 2, FALSE)</f>
        <v>7</v>
      </c>
      <c r="T14" s="655">
        <f>+IF(F14&gt;1000,F14*$E$61,VLOOKUP(F14,$D$51:$E$61,2))</f>
        <v>1800000</v>
      </c>
      <c r="U14" s="656">
        <f>VLOOKUP(J14,List!$B$7:$H$44,S14,FALSE)</f>
        <v>1670.3</v>
      </c>
      <c r="V14" s="657">
        <f>+$B$32</f>
        <v>0.81499999999999995</v>
      </c>
      <c r="W14" s="658">
        <f>+$B$35</f>
        <v>2.3E-2</v>
      </c>
    </row>
    <row r="15" spans="1:33" s="60" customFormat="1" ht="29" x14ac:dyDescent="0.35">
      <c r="A15" s="956" t="s">
        <v>2185</v>
      </c>
      <c r="B15" s="956" t="s">
        <v>2186</v>
      </c>
      <c r="C15" s="69" t="s">
        <v>2187</v>
      </c>
      <c r="D15" s="956" t="s">
        <v>2158</v>
      </c>
      <c r="E15" s="1021">
        <v>3</v>
      </c>
      <c r="F15" s="1803">
        <v>2800</v>
      </c>
      <c r="G15" s="1766">
        <f t="shared" si="1"/>
        <v>0.81499999999999995</v>
      </c>
      <c r="H15" s="1767">
        <f t="shared" si="2"/>
        <v>2.3E-2</v>
      </c>
      <c r="I15" s="972" t="s">
        <v>1696</v>
      </c>
      <c r="J15" s="972" t="s">
        <v>1185</v>
      </c>
      <c r="K15" s="1021"/>
      <c r="L15" s="1795"/>
      <c r="M15" s="1145"/>
      <c r="N15" s="1145"/>
      <c r="O15" s="1768">
        <f>((T15*U15)*((V15+W15)/V15-1))/100000</f>
        <v>1319.844417177917</v>
      </c>
      <c r="P15" s="1145"/>
      <c r="Q15" s="1145"/>
      <c r="R15" s="1769">
        <f>O15*E15</f>
        <v>3959.5332515337509</v>
      </c>
      <c r="S15" s="655">
        <f>VLOOKUP(I15, List!$J$14:$K$19, 2, FALSE)</f>
        <v>7</v>
      </c>
      <c r="T15" s="655">
        <f>+IF(F15&gt;1000,F15*$E$61,VLOOKUP(F15,$D$51:$E$61,2))</f>
        <v>2800000</v>
      </c>
      <c r="U15" s="656">
        <f>VLOOKUP(J15,List!$B$7:$H$44,S15,FALSE)</f>
        <v>1670.3</v>
      </c>
      <c r="V15" s="657">
        <f>+$B$32</f>
        <v>0.81499999999999995</v>
      </c>
      <c r="W15" s="658">
        <f>+$B$35</f>
        <v>2.3E-2</v>
      </c>
    </row>
    <row r="16" spans="1:33" s="60" customFormat="1" x14ac:dyDescent="0.35">
      <c r="A16" s="956"/>
      <c r="B16" s="956"/>
      <c r="C16" s="69"/>
      <c r="D16" s="956"/>
      <c r="E16" s="1021"/>
      <c r="F16" s="994"/>
      <c r="G16" s="1766"/>
      <c r="H16" s="1767"/>
      <c r="I16" s="972"/>
      <c r="J16" s="972"/>
      <c r="K16" s="1021"/>
      <c r="L16" s="1795"/>
      <c r="M16" s="1145"/>
      <c r="N16" s="1145"/>
      <c r="O16" s="1800"/>
      <c r="P16" s="1145"/>
      <c r="Q16" s="1145"/>
      <c r="R16" s="1800"/>
      <c r="S16"/>
      <c r="T16"/>
      <c r="U16"/>
      <c r="V16"/>
      <c r="W16"/>
    </row>
    <row r="17" spans="1:18" ht="15" thickBot="1" x14ac:dyDescent="0.4"/>
    <row r="18" spans="1:18" ht="15" thickBot="1" x14ac:dyDescent="0.4">
      <c r="A18" s="74" t="s">
        <v>1188</v>
      </c>
      <c r="B18" s="64"/>
      <c r="C18" s="65"/>
    </row>
    <row r="19" spans="1:18" ht="15" thickBot="1" x14ac:dyDescent="0.4">
      <c r="A19" s="659" t="s">
        <v>2188</v>
      </c>
      <c r="B19" s="660"/>
      <c r="C19" s="661"/>
    </row>
    <row r="20" spans="1:18" ht="15" thickBot="1" x14ac:dyDescent="0.4">
      <c r="A20" s="154" t="s">
        <v>1078</v>
      </c>
      <c r="B20" s="1142">
        <f>'Measure-Level Adjustments'!A2</f>
        <v>44592</v>
      </c>
      <c r="R20" s="298"/>
    </row>
    <row r="21" spans="1:18" ht="15" thickBot="1" x14ac:dyDescent="0.4">
      <c r="A21" s="154" t="s">
        <v>1079</v>
      </c>
      <c r="B21" s="577" t="s">
        <v>333</v>
      </c>
      <c r="R21" s="298"/>
    </row>
    <row r="22" spans="1:18" ht="15" thickBot="1" x14ac:dyDescent="0.4">
      <c r="R22" s="298"/>
    </row>
    <row r="23" spans="1:18" ht="15" thickBot="1" x14ac:dyDescent="0.4">
      <c r="A23" s="74" t="s">
        <v>1285</v>
      </c>
      <c r="B23" s="75" t="s">
        <v>1199</v>
      </c>
      <c r="C23" s="76" t="s">
        <v>1082</v>
      </c>
      <c r="D23" s="64"/>
      <c r="E23" s="64"/>
      <c r="F23" s="65"/>
    </row>
    <row r="24" spans="1:18" ht="15" thickBot="1" x14ac:dyDescent="0.4">
      <c r="A24" s="662" t="s">
        <v>2153</v>
      </c>
      <c r="B24" s="606"/>
      <c r="C24" s="606" t="s">
        <v>2189</v>
      </c>
      <c r="D24" s="606"/>
      <c r="E24" s="606"/>
      <c r="F24" s="607"/>
    </row>
    <row r="25" spans="1:18" x14ac:dyDescent="0.35">
      <c r="A25" s="379" t="s">
        <v>2190</v>
      </c>
      <c r="B25" s="380"/>
      <c r="C25" s="380" t="s">
        <v>2191</v>
      </c>
      <c r="D25" s="380"/>
      <c r="E25" s="380"/>
      <c r="F25" s="381"/>
    </row>
    <row r="26" spans="1:18" ht="15" thickBot="1" x14ac:dyDescent="0.4">
      <c r="A26" s="261"/>
      <c r="B26" s="161"/>
      <c r="C26" s="161" t="s">
        <v>2192</v>
      </c>
      <c r="D26" s="161"/>
      <c r="E26" s="161"/>
      <c r="F26" s="163"/>
    </row>
    <row r="27" spans="1:18" ht="29" x14ac:dyDescent="0.35">
      <c r="A27" s="379" t="s">
        <v>2155</v>
      </c>
      <c r="B27" s="663" t="s">
        <v>2193</v>
      </c>
      <c r="C27" s="380" t="s">
        <v>2194</v>
      </c>
      <c r="D27" s="380"/>
      <c r="E27" s="380"/>
      <c r="F27" s="381"/>
    </row>
    <row r="28" spans="1:18" x14ac:dyDescent="0.35">
      <c r="A28" s="99"/>
      <c r="B28" s="69"/>
      <c r="C28" s="69" t="s">
        <v>2195</v>
      </c>
      <c r="D28" s="69"/>
      <c r="E28" s="69"/>
      <c r="F28" s="100"/>
    </row>
    <row r="29" spans="1:18" ht="15" thickBot="1" x14ac:dyDescent="0.4">
      <c r="A29" s="261"/>
      <c r="B29" s="161"/>
      <c r="C29" s="161" t="s">
        <v>2196</v>
      </c>
      <c r="D29" s="161"/>
      <c r="E29" s="161"/>
      <c r="F29" s="163"/>
    </row>
    <row r="30" spans="1:18" x14ac:dyDescent="0.35">
      <c r="A30" s="379" t="s">
        <v>2156</v>
      </c>
      <c r="B30" s="80"/>
      <c r="C30" s="80" t="s">
        <v>2197</v>
      </c>
      <c r="D30" s="80"/>
      <c r="E30" s="80"/>
      <c r="F30" s="81"/>
    </row>
    <row r="31" spans="1:18" x14ac:dyDescent="0.35">
      <c r="A31" s="99"/>
      <c r="F31" s="253"/>
    </row>
    <row r="32" spans="1:18" ht="15" thickBot="1" x14ac:dyDescent="0.4">
      <c r="A32" s="261"/>
      <c r="B32" s="1801">
        <v>0.81499999999999995</v>
      </c>
      <c r="C32" s="156" t="s">
        <v>2198</v>
      </c>
      <c r="D32" s="156"/>
      <c r="E32" s="156"/>
      <c r="F32" s="157"/>
    </row>
    <row r="33" spans="1:6" x14ac:dyDescent="0.35">
      <c r="A33" s="379" t="s">
        <v>2157</v>
      </c>
      <c r="B33" s="80"/>
      <c r="C33" s="80" t="s">
        <v>2199</v>
      </c>
      <c r="D33" s="80"/>
      <c r="E33" s="80"/>
      <c r="F33" s="81"/>
    </row>
    <row r="34" spans="1:6" x14ac:dyDescent="0.35">
      <c r="A34" s="99"/>
      <c r="F34" s="253"/>
    </row>
    <row r="35" spans="1:6" ht="15" thickBot="1" x14ac:dyDescent="0.4">
      <c r="A35" s="261"/>
      <c r="B35" s="1802">
        <v>2.3E-2</v>
      </c>
      <c r="C35" s="85" t="s">
        <v>2200</v>
      </c>
      <c r="D35" s="85"/>
      <c r="E35" s="85"/>
      <c r="F35" s="86"/>
    </row>
    <row r="36" spans="1:6" ht="15" thickBot="1" x14ac:dyDescent="0.4">
      <c r="A36" s="662" t="s">
        <v>1083</v>
      </c>
      <c r="B36" s="606">
        <v>3</v>
      </c>
      <c r="C36" s="606" t="s">
        <v>1626</v>
      </c>
      <c r="D36" s="606"/>
      <c r="E36" s="606"/>
      <c r="F36" s="607"/>
    </row>
    <row r="37" spans="1:6" x14ac:dyDescent="0.35">
      <c r="A37" s="379" t="s">
        <v>1040</v>
      </c>
      <c r="B37" s="380"/>
      <c r="C37" s="380"/>
      <c r="D37" s="380"/>
      <c r="E37" s="380"/>
      <c r="F37" s="381"/>
    </row>
    <row r="38" spans="1:6" ht="15" thickBot="1" x14ac:dyDescent="0.4">
      <c r="A38" s="261"/>
      <c r="B38" s="161"/>
      <c r="C38" s="161"/>
      <c r="D38" s="161"/>
      <c r="E38" s="161"/>
      <c r="F38" s="163"/>
    </row>
    <row r="39" spans="1:6" ht="15" thickBot="1" x14ac:dyDescent="0.4">
      <c r="A39" s="662" t="s">
        <v>1253</v>
      </c>
      <c r="B39" s="606"/>
      <c r="C39" s="606" t="s">
        <v>2201</v>
      </c>
      <c r="D39" s="606"/>
      <c r="E39" s="606"/>
      <c r="F39" s="607"/>
    </row>
    <row r="40" spans="1:6" ht="15" thickBot="1" x14ac:dyDescent="0.4">
      <c r="A40" s="662" t="s">
        <v>1255</v>
      </c>
      <c r="B40" s="606"/>
      <c r="C40" s="606" t="s">
        <v>2202</v>
      </c>
      <c r="D40" s="606"/>
      <c r="E40" s="606"/>
      <c r="F40" s="607"/>
    </row>
    <row r="42" spans="1:6" ht="15" thickBot="1" x14ac:dyDescent="0.4"/>
    <row r="43" spans="1:6" ht="15" thickBot="1" x14ac:dyDescent="0.4">
      <c r="A43" s="616" t="s">
        <v>1257</v>
      </c>
      <c r="B43" s="383"/>
      <c r="C43" s="383"/>
      <c r="D43" s="383"/>
      <c r="E43" s="383"/>
      <c r="F43" s="384"/>
    </row>
    <row r="44" spans="1:6" x14ac:dyDescent="0.35">
      <c r="A44" s="664" t="s">
        <v>2203</v>
      </c>
      <c r="B44" s="665"/>
      <c r="C44" s="380" t="s">
        <v>1084</v>
      </c>
      <c r="D44" s="380"/>
      <c r="E44" s="380"/>
      <c r="F44" s="381"/>
    </row>
    <row r="45" spans="1:6" x14ac:dyDescent="0.35">
      <c r="A45" s="290" t="s">
        <v>2204</v>
      </c>
      <c r="B45" s="621">
        <f>F4</f>
        <v>400</v>
      </c>
      <c r="C45" s="52" t="s">
        <v>2205</v>
      </c>
      <c r="D45" s="69"/>
      <c r="E45" s="69"/>
      <c r="F45" s="100"/>
    </row>
    <row r="46" spans="1:6" x14ac:dyDescent="0.35">
      <c r="A46" s="290" t="s">
        <v>2206</v>
      </c>
      <c r="B46" s="247">
        <f>+B35</f>
        <v>2.3E-2</v>
      </c>
      <c r="C46" s="52" t="s">
        <v>2207</v>
      </c>
      <c r="D46" s="69"/>
      <c r="E46" s="69"/>
      <c r="F46" s="100"/>
    </row>
    <row r="47" spans="1:6" x14ac:dyDescent="0.35">
      <c r="A47" s="290" t="s">
        <v>2155</v>
      </c>
      <c r="B47" s="49"/>
      <c r="C47" s="52" t="s">
        <v>2208</v>
      </c>
      <c r="D47" s="69"/>
      <c r="E47" s="69"/>
      <c r="F47" s="100"/>
    </row>
    <row r="48" spans="1:6" x14ac:dyDescent="0.35">
      <c r="A48" s="290" t="s">
        <v>2209</v>
      </c>
      <c r="B48" s="291">
        <f>+B32</f>
        <v>0.81499999999999995</v>
      </c>
      <c r="C48" s="52" t="s">
        <v>2210</v>
      </c>
      <c r="D48" s="69"/>
      <c r="E48" s="69"/>
      <c r="F48" s="100"/>
    </row>
    <row r="49" spans="1:6" x14ac:dyDescent="0.35">
      <c r="A49" s="99"/>
      <c r="B49" s="69"/>
      <c r="C49" s="69"/>
      <c r="D49" s="3073" t="s">
        <v>2211</v>
      </c>
      <c r="E49" s="3139"/>
      <c r="F49" s="3140"/>
    </row>
    <row r="50" spans="1:6" ht="30" customHeight="1" x14ac:dyDescent="0.35">
      <c r="A50" s="666" t="s">
        <v>2212</v>
      </c>
      <c r="B50" s="56"/>
      <c r="C50" s="69"/>
      <c r="D50" s="56" t="s">
        <v>2213</v>
      </c>
      <c r="E50" s="56" t="s">
        <v>2214</v>
      </c>
      <c r="F50" s="667" t="s">
        <v>55</v>
      </c>
    </row>
    <row r="51" spans="1:6" x14ac:dyDescent="0.35">
      <c r="A51" s="668">
        <f>C77</f>
        <v>0</v>
      </c>
      <c r="B51" s="49">
        <v>2</v>
      </c>
      <c r="C51" s="69"/>
      <c r="D51" s="49">
        <v>1</v>
      </c>
      <c r="E51" s="49">
        <f>D51*1000</f>
        <v>1000</v>
      </c>
      <c r="F51" s="669" t="s">
        <v>114</v>
      </c>
    </row>
    <row r="52" spans="1:6" x14ac:dyDescent="0.35">
      <c r="A52" s="668">
        <f>D77</f>
        <v>0</v>
      </c>
      <c r="B52" s="49">
        <v>3</v>
      </c>
      <c r="C52" s="69"/>
      <c r="D52" s="49">
        <v>75</v>
      </c>
      <c r="E52" s="49">
        <v>75000</v>
      </c>
      <c r="F52" s="669" t="s">
        <v>114</v>
      </c>
    </row>
    <row r="53" spans="1:6" x14ac:dyDescent="0.35">
      <c r="A53" s="668">
        <f>E77</f>
        <v>0</v>
      </c>
      <c r="B53" s="49">
        <v>4</v>
      </c>
      <c r="C53" s="69"/>
      <c r="D53" s="49">
        <v>300</v>
      </c>
      <c r="E53" s="49">
        <v>300000</v>
      </c>
      <c r="F53" s="669" t="s">
        <v>114</v>
      </c>
    </row>
    <row r="54" spans="1:6" x14ac:dyDescent="0.35">
      <c r="A54" s="668">
        <f>F77</f>
        <v>0</v>
      </c>
      <c r="B54" s="49">
        <v>5</v>
      </c>
      <c r="C54" s="69"/>
      <c r="D54" s="49">
        <v>400</v>
      </c>
      <c r="E54" s="49">
        <v>400000</v>
      </c>
      <c r="F54" s="669" t="s">
        <v>114</v>
      </c>
    </row>
    <row r="55" spans="1:6" x14ac:dyDescent="0.35">
      <c r="A55" s="668">
        <f>G77</f>
        <v>0</v>
      </c>
      <c r="B55" s="49">
        <v>6</v>
      </c>
      <c r="C55" s="69"/>
      <c r="D55" s="49">
        <v>650</v>
      </c>
      <c r="E55" s="49">
        <v>650000</v>
      </c>
      <c r="F55" s="669" t="s">
        <v>114</v>
      </c>
    </row>
    <row r="56" spans="1:6" x14ac:dyDescent="0.35">
      <c r="A56" s="290" t="s">
        <v>105</v>
      </c>
      <c r="B56" s="49">
        <v>7</v>
      </c>
      <c r="C56" s="69"/>
      <c r="D56" s="49">
        <v>482</v>
      </c>
      <c r="E56" s="49">
        <v>482000</v>
      </c>
      <c r="F56" s="669" t="s">
        <v>2215</v>
      </c>
    </row>
    <row r="57" spans="1:6" x14ac:dyDescent="0.35">
      <c r="A57" s="99"/>
      <c r="B57" s="69"/>
      <c r="C57" s="69"/>
      <c r="D57" s="49">
        <v>800</v>
      </c>
      <c r="E57" s="49">
        <v>800000</v>
      </c>
      <c r="F57" s="669" t="s">
        <v>101</v>
      </c>
    </row>
    <row r="58" spans="1:6" x14ac:dyDescent="0.35">
      <c r="A58" s="99"/>
      <c r="B58" s="69"/>
      <c r="C58" s="69"/>
      <c r="D58" s="49">
        <v>1000</v>
      </c>
      <c r="E58" s="49">
        <f>+D58*1000</f>
        <v>1000000</v>
      </c>
      <c r="F58" s="669"/>
    </row>
    <row r="59" spans="1:6" x14ac:dyDescent="0.35">
      <c r="A59" s="99"/>
      <c r="B59" s="69"/>
      <c r="C59" s="69"/>
      <c r="D59" s="781">
        <v>1800</v>
      </c>
      <c r="E59" s="781">
        <v>1800000</v>
      </c>
      <c r="F59" s="1807" t="s">
        <v>2216</v>
      </c>
    </row>
    <row r="60" spans="1:6" x14ac:dyDescent="0.35">
      <c r="A60" s="99"/>
      <c r="B60" s="69"/>
      <c r="C60" s="69"/>
      <c r="D60" s="781">
        <v>2800</v>
      </c>
      <c r="E60" s="781">
        <v>2800000</v>
      </c>
      <c r="F60" s="1807" t="s">
        <v>2216</v>
      </c>
    </row>
    <row r="61" spans="1:6" ht="58.5" thickBot="1" x14ac:dyDescent="0.4">
      <c r="A61" s="261"/>
      <c r="B61" s="161"/>
      <c r="C61" s="161"/>
      <c r="D61" s="670" t="s">
        <v>2217</v>
      </c>
      <c r="E61" s="139">
        <v>1000</v>
      </c>
      <c r="F61" s="843"/>
    </row>
  </sheetData>
  <customSheetViews>
    <customSheetView guid="{ECD6FE6A-9548-414E-B8AA-6998703C57E0}" showPageBreaks="1" fitToPage="1" hiddenRows="1" view="pageBreakPreview">
      <selection activeCell="A15" sqref="A15"/>
      <pageMargins left="0" right="0" top="0" bottom="0" header="0" footer="0"/>
      <pageSetup scale="34" orientation="landscape" r:id="rId1"/>
    </customSheetView>
    <customSheetView guid="{11DE45F5-F478-4ED6-8DFF-12002C22A637}" showPageBreaks="1" fitToPage="1" hiddenRows="1" view="pageBreakPreview">
      <selection activeCell="A15" sqref="A15"/>
      <pageMargins left="0" right="0" top="0" bottom="0" header="0" footer="0"/>
      <pageSetup scale="34" orientation="landscape" r:id="rId2"/>
    </customSheetView>
  </customSheetViews>
  <mergeCells count="4">
    <mergeCell ref="S2:W2"/>
    <mergeCell ref="D49:F49"/>
    <mergeCell ref="M2:O2"/>
    <mergeCell ref="P2:R2"/>
  </mergeCells>
  <dataValidations count="1">
    <dataValidation type="list" allowBlank="1" showInputMessage="1" showErrorMessage="1" sqref="D4:D16" xr:uid="{00000000-0002-0000-1500-000000000000}">
      <formula1>MeasureType</formula1>
    </dataValidation>
  </dataValidations>
  <hyperlinks>
    <hyperlink ref="A1" location="'Measure-Level Adjustments'!Print_Titles" display="Measure Level Tab" xr:uid="{B41989C9-EC1F-4015-8866-0FDA66483EC7}"/>
  </hyperlinks>
  <pageMargins left="0.7" right="0.7" top="0.75" bottom="0.75" header="0.3" footer="0.3"/>
  <pageSetup scale="34"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1000000}">
          <x14:formula1>
            <xm:f>'T:\EEP Planning Models\Planning Tools\Measure_Data\Custom TRM EEP 3\[HIM_CI_TRMv5 0.xlsx]List'!#REF!</xm:f>
          </x14:formula1>
          <xm:sqref>I4:I16 J4:J5 J12:J13 J16</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79998168889431442"/>
    <pageSetUpPr fitToPage="1"/>
  </sheetPr>
  <dimension ref="A1:U41"/>
  <sheetViews>
    <sheetView view="pageBreakPreview" zoomScaleNormal="100" zoomScaleSheetLayoutView="100" workbookViewId="0">
      <pane xSplit="1" ySplit="3" topLeftCell="F4" activePane="bottomRight" state="frozen"/>
      <selection pane="topRight" activeCell="B1" sqref="B1"/>
      <selection pane="bottomLeft" activeCell="A4" sqref="A4"/>
      <selection pane="bottomRight"/>
    </sheetView>
  </sheetViews>
  <sheetFormatPr defaultRowHeight="14.5" x14ac:dyDescent="0.35"/>
  <cols>
    <col min="1" max="1" width="19.1796875" customWidth="1"/>
    <col min="2" max="2" width="44.81640625" customWidth="1"/>
    <col min="3" max="3" width="37.1796875" bestFit="1" customWidth="1"/>
    <col min="4" max="4" width="20" bestFit="1" customWidth="1"/>
    <col min="5" max="5" width="24.54296875" customWidth="1"/>
    <col min="6" max="6" width="19" customWidth="1"/>
    <col min="7" max="7" width="12.54296875" customWidth="1"/>
    <col min="12" max="12" width="10.81640625" customWidth="1"/>
    <col min="15" max="15" width="12" bestFit="1" customWidth="1"/>
    <col min="18" max="18" width="9.7265625" bestFit="1" customWidth="1"/>
  </cols>
  <sheetData>
    <row r="1" spans="1:21" x14ac:dyDescent="0.35">
      <c r="A1" s="1799" t="s">
        <v>1031</v>
      </c>
    </row>
    <row r="2" spans="1:21" x14ac:dyDescent="0.35">
      <c r="A2" s="947" t="s">
        <v>327</v>
      </c>
      <c r="B2" s="997" t="s">
        <v>2218</v>
      </c>
      <c r="C2" s="997"/>
      <c r="D2" s="997"/>
      <c r="E2" s="998"/>
      <c r="F2" s="998"/>
      <c r="G2" s="998"/>
      <c r="H2" s="998"/>
      <c r="I2" s="998"/>
      <c r="J2" s="3067" t="s">
        <v>1032</v>
      </c>
      <c r="K2" s="3067"/>
      <c r="L2" s="3067"/>
      <c r="M2" s="3067" t="s">
        <v>1033</v>
      </c>
      <c r="N2" s="3067"/>
      <c r="O2" s="3010"/>
      <c r="P2" s="3141" t="s">
        <v>1158</v>
      </c>
      <c r="Q2" s="3142"/>
      <c r="R2" s="3142"/>
      <c r="S2" s="3142"/>
      <c r="T2" s="3143"/>
    </row>
    <row r="3" spans="1:21" ht="44.5" x14ac:dyDescent="0.45">
      <c r="A3" s="969" t="s">
        <v>1035</v>
      </c>
      <c r="B3" s="953" t="s">
        <v>155</v>
      </c>
      <c r="C3" s="953" t="s">
        <v>1036</v>
      </c>
      <c r="D3" s="953" t="s">
        <v>1037</v>
      </c>
      <c r="E3" s="998" t="s">
        <v>1039</v>
      </c>
      <c r="F3" s="998" t="s">
        <v>2219</v>
      </c>
      <c r="G3" s="998" t="s">
        <v>2220</v>
      </c>
      <c r="H3" s="998" t="s">
        <v>2221</v>
      </c>
      <c r="I3" s="998" t="s">
        <v>1570</v>
      </c>
      <c r="J3" s="998" t="s">
        <v>1044</v>
      </c>
      <c r="K3" s="998" t="s">
        <v>1045</v>
      </c>
      <c r="L3" s="998" t="s">
        <v>1046</v>
      </c>
      <c r="M3" s="998" t="s">
        <v>1044</v>
      </c>
      <c r="N3" s="998" t="s">
        <v>1045</v>
      </c>
      <c r="O3" s="998" t="s">
        <v>1046</v>
      </c>
      <c r="P3" s="49" t="s">
        <v>2203</v>
      </c>
      <c r="Q3" s="49" t="s">
        <v>2204</v>
      </c>
      <c r="R3" s="49" t="s">
        <v>2222</v>
      </c>
      <c r="S3" s="49" t="s">
        <v>2223</v>
      </c>
      <c r="T3" s="49" t="s">
        <v>2224</v>
      </c>
      <c r="U3" s="944"/>
    </row>
    <row r="4" spans="1:21" x14ac:dyDescent="0.35">
      <c r="A4" s="955" t="s">
        <v>327</v>
      </c>
      <c r="B4" s="1020" t="str">
        <f>$B$2&amp;" - "&amp;H4&amp;" MBU"</f>
        <v>Process Boiler Tune-up - 800 MBU</v>
      </c>
      <c r="C4" s="956" t="s">
        <v>326</v>
      </c>
      <c r="D4" s="957" t="s">
        <v>2158</v>
      </c>
      <c r="E4" s="1000">
        <f>+$B$23</f>
        <v>3</v>
      </c>
      <c r="F4" s="1771">
        <v>0.80300000000000005</v>
      </c>
      <c r="G4" s="1772">
        <f>+$B$21</f>
        <v>0.82599999999999996</v>
      </c>
      <c r="H4" s="1035">
        <v>800</v>
      </c>
      <c r="I4" s="1018"/>
      <c r="J4" s="1003"/>
      <c r="K4" s="1003"/>
      <c r="L4" s="1003">
        <f>((Q4*8766*R4)/100)*(1-(S4/T4))</f>
        <v>818.18830024212616</v>
      </c>
      <c r="M4" s="1003"/>
      <c r="N4" s="1003"/>
      <c r="O4" s="1003">
        <f>L4*E4</f>
        <v>2454.5649007263783</v>
      </c>
      <c r="P4" s="1034">
        <f>+$B$25</f>
        <v>0</v>
      </c>
      <c r="Q4" s="621">
        <f>H4</f>
        <v>800</v>
      </c>
      <c r="R4" s="247">
        <f>+$B$17</f>
        <v>0.41899999999999998</v>
      </c>
      <c r="S4" s="263">
        <f>F4</f>
        <v>0.80300000000000005</v>
      </c>
      <c r="T4" s="303">
        <f>$G$4</f>
        <v>0.82599999999999996</v>
      </c>
      <c r="U4" s="60"/>
    </row>
    <row r="5" spans="1:21" x14ac:dyDescent="0.35">
      <c r="A5" s="955" t="s">
        <v>2225</v>
      </c>
      <c r="B5" s="1020" t="s">
        <v>2226</v>
      </c>
      <c r="C5" s="956" t="s">
        <v>2227</v>
      </c>
      <c r="D5" s="957" t="s">
        <v>2158</v>
      </c>
      <c r="E5" s="1000">
        <f>+$B$23</f>
        <v>3</v>
      </c>
      <c r="F5" s="1771">
        <v>0.80300000000000005</v>
      </c>
      <c r="G5" s="1772">
        <f>+$B$21</f>
        <v>0.82599999999999996</v>
      </c>
      <c r="H5" s="1035">
        <v>800</v>
      </c>
      <c r="I5" s="1018"/>
      <c r="J5" s="1003"/>
      <c r="K5" s="1003"/>
      <c r="L5" s="1003">
        <f>((Q5*8766*R5)/100)*(1-(S5/T5))</f>
        <v>818.18830024212616</v>
      </c>
      <c r="M5" s="1003"/>
      <c r="N5" s="1003"/>
      <c r="O5" s="1003">
        <f>L5*E5</f>
        <v>2454.5649007263783</v>
      </c>
      <c r="P5" s="1034">
        <f>+$B$25</f>
        <v>0</v>
      </c>
      <c r="Q5" s="621">
        <f>H5</f>
        <v>800</v>
      </c>
      <c r="R5" s="247">
        <f>+$B$17</f>
        <v>0.41899999999999998</v>
      </c>
      <c r="S5" s="263">
        <f>F5</f>
        <v>0.80300000000000005</v>
      </c>
      <c r="T5" s="303">
        <f>$G$4</f>
        <v>0.82599999999999996</v>
      </c>
      <c r="U5" s="60"/>
    </row>
    <row r="6" spans="1:21" x14ac:dyDescent="0.35">
      <c r="A6" s="1796" t="s">
        <v>2228</v>
      </c>
      <c r="B6" s="1797" t="str">
        <f>$B$2&amp;" - "&amp;H6&amp;" MBU BOP"</f>
        <v>Process Boiler Tune-up - 2500 MBU BOP</v>
      </c>
      <c r="C6" s="1798" t="s">
        <v>2229</v>
      </c>
      <c r="D6" s="957" t="s">
        <v>2158</v>
      </c>
      <c r="E6" s="1000">
        <f>+$B$23</f>
        <v>3</v>
      </c>
      <c r="F6" s="1771">
        <v>0.80300000000000005</v>
      </c>
      <c r="G6" s="1772">
        <f>+$B$21</f>
        <v>0.82599999999999996</v>
      </c>
      <c r="H6" s="1035">
        <v>2500</v>
      </c>
      <c r="I6" s="1018"/>
      <c r="J6" s="1003"/>
      <c r="K6" s="1003"/>
      <c r="L6" s="1003">
        <f>((Q6*8766*R6)/100)*(1-(S6/T6))</f>
        <v>2556.8384382566446</v>
      </c>
      <c r="M6" s="1003"/>
      <c r="N6" s="1003"/>
      <c r="O6" s="1003">
        <f>L6*E6</f>
        <v>7670.5153147699339</v>
      </c>
      <c r="P6" s="1034">
        <f>+$B$25</f>
        <v>0</v>
      </c>
      <c r="Q6" s="621">
        <f>H6</f>
        <v>2500</v>
      </c>
      <c r="R6" s="247">
        <f>+$B$17</f>
        <v>0.41899999999999998</v>
      </c>
      <c r="S6" s="263">
        <f>F6</f>
        <v>0.80300000000000005</v>
      </c>
      <c r="T6" s="303">
        <f>$G$4</f>
        <v>0.82599999999999996</v>
      </c>
      <c r="U6" s="60"/>
    </row>
    <row r="8" spans="1:21" ht="15" thickBot="1" x14ac:dyDescent="0.4">
      <c r="B8" s="54"/>
    </row>
    <row r="9" spans="1:21" ht="15" thickBot="1" x14ac:dyDescent="0.4">
      <c r="A9" s="154" t="s">
        <v>1188</v>
      </c>
      <c r="B9" s="64"/>
      <c r="C9" s="64"/>
      <c r="D9" s="64"/>
      <c r="E9" s="65"/>
    </row>
    <row r="10" spans="1:21" ht="15.5" thickBot="1" x14ac:dyDescent="0.45">
      <c r="A10" s="659" t="s">
        <v>2230</v>
      </c>
      <c r="B10" s="660"/>
      <c r="C10" s="661"/>
      <c r="D10" s="72"/>
      <c r="E10" s="73"/>
    </row>
    <row r="11" spans="1:21" ht="15" thickBot="1" x14ac:dyDescent="0.4">
      <c r="A11" s="154" t="s">
        <v>1078</v>
      </c>
      <c r="B11" s="1142">
        <f>'Measure-Level Adjustments'!A2</f>
        <v>44592</v>
      </c>
    </row>
    <row r="12" spans="1:21" ht="15" thickBot="1" x14ac:dyDescent="0.4">
      <c r="A12" s="154" t="s">
        <v>1079</v>
      </c>
      <c r="B12" s="577" t="s">
        <v>329</v>
      </c>
    </row>
    <row r="13" spans="1:21" ht="15" thickBot="1" x14ac:dyDescent="0.4"/>
    <row r="14" spans="1:21" ht="15" thickBot="1" x14ac:dyDescent="0.4">
      <c r="A14" s="74" t="s">
        <v>1285</v>
      </c>
      <c r="B14" s="75" t="s">
        <v>1199</v>
      </c>
      <c r="C14" s="76" t="s">
        <v>1082</v>
      </c>
      <c r="D14" s="65"/>
    </row>
    <row r="15" spans="1:21" x14ac:dyDescent="0.35">
      <c r="A15" s="379" t="s">
        <v>2204</v>
      </c>
      <c r="B15" s="673"/>
      <c r="C15" s="641" t="s">
        <v>2205</v>
      </c>
      <c r="D15" s="381"/>
    </row>
    <row r="16" spans="1:21" ht="15" thickBot="1" x14ac:dyDescent="0.4">
      <c r="A16" s="261"/>
      <c r="B16" s="161"/>
      <c r="C16" s="161" t="s">
        <v>2231</v>
      </c>
      <c r="D16" s="163"/>
    </row>
    <row r="17" spans="1:4" x14ac:dyDescent="0.35">
      <c r="A17" s="379" t="s">
        <v>2222</v>
      </c>
      <c r="B17" s="674">
        <v>0.41899999999999998</v>
      </c>
      <c r="C17" s="641" t="s">
        <v>2232</v>
      </c>
      <c r="D17" s="381"/>
    </row>
    <row r="18" spans="1:4" ht="15" thickBot="1" x14ac:dyDescent="0.4">
      <c r="A18" s="261"/>
      <c r="B18" s="161"/>
      <c r="C18" s="161" t="s">
        <v>2233</v>
      </c>
      <c r="D18" s="163"/>
    </row>
    <row r="19" spans="1:4" ht="16.5" x14ac:dyDescent="0.45">
      <c r="A19" s="379" t="s">
        <v>2223</v>
      </c>
      <c r="B19" s="643"/>
      <c r="C19" s="641" t="s">
        <v>2234</v>
      </c>
      <c r="D19" s="381"/>
    </row>
    <row r="20" spans="1:4" ht="15" thickBot="1" x14ac:dyDescent="0.4">
      <c r="A20" s="261"/>
      <c r="B20" s="161"/>
      <c r="C20" s="161" t="s">
        <v>2235</v>
      </c>
      <c r="D20" s="163"/>
    </row>
    <row r="21" spans="1:4" ht="16.5" x14ac:dyDescent="0.45">
      <c r="A21" s="379" t="s">
        <v>2224</v>
      </c>
      <c r="B21" s="1770">
        <v>0.82599999999999996</v>
      </c>
      <c r="C21" s="641" t="s">
        <v>2236</v>
      </c>
      <c r="D21" s="381"/>
    </row>
    <row r="22" spans="1:4" ht="15" thickBot="1" x14ac:dyDescent="0.4">
      <c r="A22" s="261"/>
      <c r="B22" s="161"/>
      <c r="C22" s="161" t="s">
        <v>2237</v>
      </c>
      <c r="D22" s="163"/>
    </row>
    <row r="23" spans="1:4" x14ac:dyDescent="0.35">
      <c r="A23" s="379" t="s">
        <v>1083</v>
      </c>
      <c r="B23" s="380">
        <v>3</v>
      </c>
      <c r="C23" s="641" t="s">
        <v>2238</v>
      </c>
      <c r="D23" s="381"/>
    </row>
    <row r="24" spans="1:4" ht="15" thickBot="1" x14ac:dyDescent="0.4">
      <c r="A24" s="261"/>
      <c r="B24" s="161"/>
      <c r="C24" s="161" t="s">
        <v>2239</v>
      </c>
      <c r="D24" s="163"/>
    </row>
    <row r="25" spans="1:4" x14ac:dyDescent="0.35">
      <c r="A25" s="99" t="s">
        <v>1040</v>
      </c>
      <c r="B25" s="69"/>
      <c r="C25" s="69"/>
      <c r="D25" s="100"/>
    </row>
    <row r="26" spans="1:4" ht="15" thickBot="1" x14ac:dyDescent="0.4">
      <c r="A26" s="261"/>
      <c r="B26" s="161"/>
      <c r="C26" s="161"/>
      <c r="D26" s="163"/>
    </row>
    <row r="27" spans="1:4" x14ac:dyDescent="0.35">
      <c r="A27" s="379" t="s">
        <v>1562</v>
      </c>
      <c r="B27" s="380"/>
      <c r="C27" s="380" t="s">
        <v>2240</v>
      </c>
      <c r="D27" s="381"/>
    </row>
    <row r="28" spans="1:4" ht="15" thickBot="1" x14ac:dyDescent="0.4">
      <c r="A28" s="261" t="s">
        <v>1255</v>
      </c>
      <c r="B28" s="161"/>
      <c r="C28" s="161" t="s">
        <v>2241</v>
      </c>
      <c r="D28" s="163"/>
    </row>
    <row r="41" ht="39" customHeight="1" x14ac:dyDescent="0.35"/>
  </sheetData>
  <customSheetViews>
    <customSheetView guid="{ECD6FE6A-9548-414E-B8AA-6998703C57E0}" showPageBreaks="1" fitToPage="1" printArea="1" view="pageBreakPreview">
      <pageMargins left="0" right="0" top="0" bottom="0" header="0" footer="0"/>
      <pageSetup scale="40" orientation="landscape" r:id="rId1"/>
    </customSheetView>
    <customSheetView guid="{11DE45F5-F478-4ED6-8DFF-12002C22A637}" showPageBreaks="1" fitToPage="1" printArea="1" view="pageBreakPreview">
      <pageMargins left="0" right="0" top="0" bottom="0" header="0" footer="0"/>
      <pageSetup scale="40" orientation="landscape" r:id="rId2"/>
    </customSheetView>
  </customSheetViews>
  <mergeCells count="3">
    <mergeCell ref="J2:L2"/>
    <mergeCell ref="M2:O2"/>
    <mergeCell ref="P2:T2"/>
  </mergeCells>
  <phoneticPr fontId="152" type="noConversion"/>
  <dataValidations count="1">
    <dataValidation type="list" allowBlank="1" showInputMessage="1" showErrorMessage="1" sqref="D4:D6" xr:uid="{00000000-0002-0000-1600-000000000000}">
      <formula1>MeasureType</formula1>
    </dataValidation>
  </dataValidations>
  <hyperlinks>
    <hyperlink ref="A1" location="'Measure-Level Adjustments'!Print_Titles" display="Measure Level Tab" xr:uid="{F7DC0B1E-C180-422A-9A25-7A4C721AE8AA}"/>
  </hyperlinks>
  <pageMargins left="0.7" right="0.7" top="0.75" bottom="0.75" header="0.3" footer="0.3"/>
  <pageSetup scale="41" orientation="landscape" r:id="rId3"/>
  <legacyDrawing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79998168889431442"/>
    <pageSetUpPr fitToPage="1"/>
  </sheetPr>
  <dimension ref="A1:V35"/>
  <sheetViews>
    <sheetView view="pageBreakPreview" zoomScaleNormal="100" zoomScaleSheetLayoutView="100" workbookViewId="0">
      <selection activeCell="D17" sqref="D17"/>
    </sheetView>
  </sheetViews>
  <sheetFormatPr defaultRowHeight="14.5" x14ac:dyDescent="0.35"/>
  <cols>
    <col min="1" max="1" width="15.26953125" customWidth="1"/>
    <col min="2" max="2" width="60.54296875" customWidth="1"/>
    <col min="3" max="4" width="21.7265625" customWidth="1"/>
    <col min="5" max="5" width="10.26953125" customWidth="1"/>
    <col min="6" max="6" width="12.7265625" customWidth="1"/>
    <col min="7" max="7" width="14.26953125" customWidth="1"/>
    <col min="8" max="8" width="21.81640625" customWidth="1"/>
    <col min="9" max="9" width="24" customWidth="1"/>
    <col min="10" max="10" width="12.1796875" customWidth="1"/>
    <col min="11" max="11" width="12" customWidth="1"/>
    <col min="13" max="13" width="10" bestFit="1" customWidth="1"/>
    <col min="14" max="14" width="10.81640625" customWidth="1"/>
    <col min="15" max="15" width="10" bestFit="1" customWidth="1"/>
    <col min="17" max="17" width="12.1796875" customWidth="1"/>
    <col min="18" max="18" width="20.7265625" bestFit="1" customWidth="1"/>
    <col min="22" max="22" width="20" bestFit="1" customWidth="1"/>
    <col min="35" max="35" width="26.54296875" customWidth="1"/>
  </cols>
  <sheetData>
    <row r="1" spans="1:22" x14ac:dyDescent="0.35">
      <c r="A1" s="1799" t="s">
        <v>1031</v>
      </c>
    </row>
    <row r="2" spans="1:22" x14ac:dyDescent="0.35">
      <c r="A2" s="1428" t="s">
        <v>428</v>
      </c>
      <c r="B2" s="993" t="s">
        <v>2242</v>
      </c>
      <c r="C2" s="997"/>
      <c r="D2" s="997"/>
      <c r="E2" s="948"/>
      <c r="F2" s="998"/>
      <c r="G2" s="998"/>
      <c r="H2" s="998"/>
      <c r="I2" s="998"/>
      <c r="J2" s="998"/>
      <c r="K2" s="998"/>
      <c r="L2" s="3067" t="s">
        <v>1032</v>
      </c>
      <c r="M2" s="3067"/>
      <c r="N2" s="3067"/>
      <c r="O2" s="3067" t="s">
        <v>1033</v>
      </c>
      <c r="P2" s="3067"/>
      <c r="Q2" s="3067"/>
      <c r="R2" s="3137" t="s">
        <v>1158</v>
      </c>
      <c r="S2" s="3138"/>
      <c r="T2" s="3138"/>
      <c r="U2" s="3138"/>
      <c r="V2" s="199"/>
    </row>
    <row r="3" spans="1:22" s="672" customFormat="1" ht="29" x14ac:dyDescent="0.35">
      <c r="A3" s="969" t="s">
        <v>1035</v>
      </c>
      <c r="B3" s="953" t="s">
        <v>155</v>
      </c>
      <c r="C3" s="953" t="s">
        <v>1036</v>
      </c>
      <c r="D3" s="953" t="s">
        <v>1037</v>
      </c>
      <c r="E3" s="998" t="s">
        <v>1038</v>
      </c>
      <c r="F3" s="998" t="s">
        <v>1039</v>
      </c>
      <c r="G3" s="998" t="s">
        <v>2221</v>
      </c>
      <c r="H3" s="998" t="s">
        <v>1703</v>
      </c>
      <c r="I3" s="998" t="s">
        <v>1360</v>
      </c>
      <c r="J3" s="998" t="s">
        <v>1570</v>
      </c>
      <c r="K3" s="998"/>
      <c r="L3" s="998" t="s">
        <v>1044</v>
      </c>
      <c r="M3" s="998" t="s">
        <v>1045</v>
      </c>
      <c r="N3" s="998" t="s">
        <v>1046</v>
      </c>
      <c r="O3" s="998" t="s">
        <v>1044</v>
      </c>
      <c r="P3" s="998" t="s">
        <v>1045</v>
      </c>
      <c r="Q3" s="998" t="s">
        <v>1046</v>
      </c>
      <c r="R3" s="49" t="s">
        <v>2153</v>
      </c>
      <c r="S3" s="49" t="s">
        <v>2243</v>
      </c>
      <c r="T3" s="49" t="s">
        <v>2206</v>
      </c>
      <c r="U3" s="49" t="s">
        <v>2155</v>
      </c>
    </row>
    <row r="4" spans="1:22" s="199" customFormat="1" ht="29" x14ac:dyDescent="0.35">
      <c r="A4" s="955" t="s">
        <v>427</v>
      </c>
      <c r="B4" s="955" t="str">
        <f>$B$2&amp;" - "&amp;G4&amp;" MBH"</f>
        <v>Boiler Lockout/ Reset Controls - 300 MBH</v>
      </c>
      <c r="C4" s="972" t="s">
        <v>426</v>
      </c>
      <c r="D4" s="957" t="s">
        <v>2158</v>
      </c>
      <c r="E4" s="1000" t="s">
        <v>1632</v>
      </c>
      <c r="F4" s="1759">
        <f>+$B$24</f>
        <v>16</v>
      </c>
      <c r="G4" s="994">
        <v>300</v>
      </c>
      <c r="H4" s="972" t="s">
        <v>1696</v>
      </c>
      <c r="I4" s="972" t="s">
        <v>1185</v>
      </c>
      <c r="J4" s="1018"/>
      <c r="K4" s="1018"/>
      <c r="L4" s="1003"/>
      <c r="M4" s="1003"/>
      <c r="N4" s="1003">
        <f>S4*T4*U4/$B$23</f>
        <v>400.87199999999996</v>
      </c>
      <c r="O4" s="1003"/>
      <c r="P4" s="1003"/>
      <c r="Q4" s="1760">
        <f>N4*F4</f>
        <v>6413.9519999999993</v>
      </c>
      <c r="R4" s="655">
        <f>VLOOKUP(H4, List!$J$14:$K$19, 2, FALSE)</f>
        <v>7</v>
      </c>
      <c r="S4" s="655">
        <f>G4</f>
        <v>300</v>
      </c>
      <c r="T4" s="247">
        <f>+$B$18</f>
        <v>0.08</v>
      </c>
      <c r="U4" s="257">
        <f>VLOOKUP(I4,List!$B$7:$H$43,R4,FALSE)</f>
        <v>1670.3</v>
      </c>
    </row>
    <row r="5" spans="1:22" s="60" customFormat="1" ht="29" x14ac:dyDescent="0.35">
      <c r="A5" s="955" t="s">
        <v>2244</v>
      </c>
      <c r="B5" s="955" t="str">
        <f>$B$2&amp;" - "&amp;G5&amp;" MBH"</f>
        <v>Boiler Lockout/ Reset Controls - 400 MBH</v>
      </c>
      <c r="C5" s="972" t="s">
        <v>2245</v>
      </c>
      <c r="D5" s="957" t="s">
        <v>2158</v>
      </c>
      <c r="E5" s="1000" t="s">
        <v>1632</v>
      </c>
      <c r="F5" s="1759">
        <f>+$B$24</f>
        <v>16</v>
      </c>
      <c r="G5" s="994">
        <v>400</v>
      </c>
      <c r="H5" s="972" t="s">
        <v>1696</v>
      </c>
      <c r="I5" s="972" t="s">
        <v>1185</v>
      </c>
      <c r="J5" s="1018"/>
      <c r="K5" s="1018"/>
      <c r="L5" s="1003"/>
      <c r="M5" s="1003"/>
      <c r="N5" s="1003">
        <f>S5*T5*U5/$B$23</f>
        <v>534.49599999999998</v>
      </c>
      <c r="O5" s="1003"/>
      <c r="P5" s="1003"/>
      <c r="Q5" s="1760">
        <f>N5*F5</f>
        <v>8551.9359999999997</v>
      </c>
      <c r="R5" s="655">
        <f>VLOOKUP(H5, List!$J$14:$K$19, 2, FALSE)</f>
        <v>7</v>
      </c>
      <c r="S5" s="655">
        <f>G5</f>
        <v>400</v>
      </c>
      <c r="T5" s="247">
        <f>+$B$18</f>
        <v>0.08</v>
      </c>
      <c r="U5" s="257">
        <f>VLOOKUP(I5,List!$B$7:$H$43,R5,FALSE)</f>
        <v>1670.3</v>
      </c>
    </row>
    <row r="6" spans="1:22" s="60" customFormat="1" ht="29" x14ac:dyDescent="0.35">
      <c r="A6" s="955" t="s">
        <v>2246</v>
      </c>
      <c r="B6" s="955" t="s">
        <v>2247</v>
      </c>
      <c r="C6" s="972" t="s">
        <v>2248</v>
      </c>
      <c r="D6" s="957" t="s">
        <v>2158</v>
      </c>
      <c r="E6" s="1000" t="s">
        <v>1632</v>
      </c>
      <c r="F6" s="1759">
        <f>+$B$24</f>
        <v>16</v>
      </c>
      <c r="G6" s="994">
        <v>400</v>
      </c>
      <c r="H6" s="972" t="s">
        <v>1696</v>
      </c>
      <c r="I6" s="972" t="s">
        <v>2249</v>
      </c>
      <c r="J6" s="1018"/>
      <c r="K6" s="1018"/>
      <c r="L6" s="1003"/>
      <c r="M6" s="1003"/>
      <c r="N6" s="1003">
        <f>S6*T6*U6/$B$23</f>
        <v>489.04</v>
      </c>
      <c r="O6" s="1003"/>
      <c r="P6" s="1003"/>
      <c r="Q6" s="1760">
        <f>N6*F6</f>
        <v>7824.64</v>
      </c>
      <c r="R6" s="655">
        <f>VLOOKUP(H6, List!$J$14:$K$19, 2, FALSE)</f>
        <v>7</v>
      </c>
      <c r="S6" s="655">
        <f>G6</f>
        <v>400</v>
      </c>
      <c r="T6" s="247">
        <f>+$B$18</f>
        <v>0.08</v>
      </c>
      <c r="U6" s="257">
        <f>VLOOKUP(I6,List!$J$25:$P$35,R6,FALSE)</f>
        <v>1528.25</v>
      </c>
    </row>
    <row r="8" spans="1:22" ht="15" thickBot="1" x14ac:dyDescent="0.4"/>
    <row r="9" spans="1:22" ht="15" thickBot="1" x14ac:dyDescent="0.4">
      <c r="A9" s="74" t="s">
        <v>1188</v>
      </c>
      <c r="B9" s="64"/>
      <c r="C9" s="65"/>
    </row>
    <row r="10" spans="1:22" ht="15.5" thickBot="1" x14ac:dyDescent="0.45">
      <c r="A10" s="659" t="s">
        <v>2250</v>
      </c>
      <c r="B10" s="660"/>
      <c r="C10" s="661"/>
    </row>
    <row r="11" spans="1:22" ht="15" thickBot="1" x14ac:dyDescent="0.4">
      <c r="A11" s="154" t="s">
        <v>1078</v>
      </c>
      <c r="B11" s="1142">
        <f>'Measure-Level Adjustments'!A2</f>
        <v>44592</v>
      </c>
    </row>
    <row r="12" spans="1:22" ht="15" thickBot="1" x14ac:dyDescent="0.4">
      <c r="A12" s="154" t="s">
        <v>1079</v>
      </c>
      <c r="B12" s="577" t="s">
        <v>429</v>
      </c>
    </row>
    <row r="14" spans="1:22" ht="15" thickBot="1" x14ac:dyDescent="0.4"/>
    <row r="15" spans="1:22" ht="15" thickBot="1" x14ac:dyDescent="0.4">
      <c r="A15" s="74" t="s">
        <v>1285</v>
      </c>
      <c r="B15" s="75" t="s">
        <v>1199</v>
      </c>
      <c r="C15" s="76" t="s">
        <v>1082</v>
      </c>
      <c r="D15" s="64"/>
      <c r="E15" s="64"/>
      <c r="F15" s="64"/>
      <c r="G15" s="65"/>
    </row>
    <row r="16" spans="1:22" x14ac:dyDescent="0.35">
      <c r="A16" s="379" t="s">
        <v>2243</v>
      </c>
      <c r="B16" s="673"/>
      <c r="C16" s="641" t="s">
        <v>2251</v>
      </c>
      <c r="D16" s="380"/>
      <c r="E16" s="380"/>
      <c r="F16" s="380"/>
      <c r="G16" s="381"/>
    </row>
    <row r="17" spans="1:7" ht="15" thickBot="1" x14ac:dyDescent="0.4">
      <c r="A17" s="261"/>
      <c r="B17" s="161"/>
      <c r="C17" s="161" t="s">
        <v>2252</v>
      </c>
      <c r="D17" s="161"/>
      <c r="E17" s="161"/>
      <c r="F17" s="161"/>
      <c r="G17" s="163"/>
    </row>
    <row r="18" spans="1:7" x14ac:dyDescent="0.35">
      <c r="A18" s="379" t="s">
        <v>2206</v>
      </c>
      <c r="B18" s="674">
        <v>0.08</v>
      </c>
      <c r="C18" s="641" t="s">
        <v>2207</v>
      </c>
      <c r="D18" s="380"/>
      <c r="E18" s="380"/>
      <c r="F18" s="380"/>
      <c r="G18" s="381"/>
    </row>
    <row r="19" spans="1:7" ht="15" thickBot="1" x14ac:dyDescent="0.4">
      <c r="A19" s="261"/>
      <c r="B19" s="161"/>
      <c r="C19" s="161" t="s">
        <v>2253</v>
      </c>
      <c r="D19" s="161"/>
      <c r="E19" s="161"/>
      <c r="F19" s="161"/>
      <c r="G19" s="163"/>
    </row>
    <row r="20" spans="1:7" x14ac:dyDescent="0.35">
      <c r="A20" s="379" t="s">
        <v>2155</v>
      </c>
      <c r="B20" s="609" t="s">
        <v>2193</v>
      </c>
      <c r="C20" s="380" t="s">
        <v>2194</v>
      </c>
      <c r="D20" s="380"/>
      <c r="E20" s="380"/>
      <c r="F20" s="380"/>
      <c r="G20" s="381"/>
    </row>
    <row r="21" spans="1:7" x14ac:dyDescent="0.35">
      <c r="A21" s="99"/>
      <c r="B21" s="69"/>
      <c r="C21" s="69" t="s">
        <v>2195</v>
      </c>
      <c r="D21" s="69"/>
      <c r="E21" s="69"/>
      <c r="F21" s="69"/>
      <c r="G21" s="100"/>
    </row>
    <row r="22" spans="1:7" ht="15" thickBot="1" x14ac:dyDescent="0.4">
      <c r="A22" s="261"/>
      <c r="B22" s="161"/>
      <c r="C22" s="161" t="s">
        <v>2196</v>
      </c>
      <c r="D22" s="161"/>
      <c r="E22" s="161"/>
      <c r="F22" s="161"/>
      <c r="G22" s="163"/>
    </row>
    <row r="23" spans="1:7" ht="15" thickBot="1" x14ac:dyDescent="0.4">
      <c r="A23" s="662" t="s">
        <v>2254</v>
      </c>
      <c r="B23" s="606">
        <v>100</v>
      </c>
      <c r="C23" s="606" t="s">
        <v>2255</v>
      </c>
      <c r="D23" s="606"/>
      <c r="E23" s="606"/>
      <c r="F23" s="606"/>
      <c r="G23" s="607"/>
    </row>
    <row r="24" spans="1:7" x14ac:dyDescent="0.35">
      <c r="A24" s="1752" t="s">
        <v>1083</v>
      </c>
      <c r="B24" s="1753">
        <v>16</v>
      </c>
      <c r="C24" s="1753" t="s">
        <v>2256</v>
      </c>
      <c r="D24" s="1753"/>
      <c r="E24" s="1753"/>
      <c r="F24" s="1753"/>
      <c r="G24" s="1754"/>
    </row>
    <row r="25" spans="1:7" ht="15" thickBot="1" x14ac:dyDescent="0.4">
      <c r="A25" s="1755"/>
      <c r="B25" s="1756"/>
      <c r="C25" s="1756" t="s">
        <v>2257</v>
      </c>
      <c r="D25" s="1758"/>
      <c r="E25" s="1756"/>
      <c r="F25" s="1756"/>
      <c r="G25" s="1757"/>
    </row>
    <row r="26" spans="1:7" ht="15" thickBot="1" x14ac:dyDescent="0.4">
      <c r="A26" s="261" t="s">
        <v>1040</v>
      </c>
      <c r="B26" s="161"/>
      <c r="C26" s="161"/>
      <c r="D26" s="675"/>
      <c r="E26" s="161"/>
      <c r="F26" s="161"/>
      <c r="G26" s="163"/>
    </row>
    <row r="27" spans="1:7" ht="15" thickBot="1" x14ac:dyDescent="0.4">
      <c r="A27" s="662" t="s">
        <v>1253</v>
      </c>
      <c r="B27" s="606"/>
      <c r="C27" s="606" t="s">
        <v>2258</v>
      </c>
      <c r="D27" s="676"/>
      <c r="E27" s="606"/>
      <c r="F27" s="606"/>
      <c r="G27" s="607"/>
    </row>
    <row r="28" spans="1:7" x14ac:dyDescent="0.35">
      <c r="A28" s="99" t="s">
        <v>1255</v>
      </c>
      <c r="B28" s="69"/>
      <c r="C28" s="3135" t="s">
        <v>2259</v>
      </c>
      <c r="D28" s="3135"/>
      <c r="E28" s="3135"/>
      <c r="F28" s="3135"/>
      <c r="G28" s="3136"/>
    </row>
    <row r="29" spans="1:7" ht="63" customHeight="1" thickBot="1" x14ac:dyDescent="0.4">
      <c r="A29" s="261"/>
      <c r="B29" s="161"/>
      <c r="C29" s="3000"/>
      <c r="D29" s="3000"/>
      <c r="E29" s="3000"/>
      <c r="F29" s="3000"/>
      <c r="G29" s="3001"/>
    </row>
    <row r="30" spans="1:7" ht="15" thickBot="1" x14ac:dyDescent="0.4">
      <c r="D30" s="54"/>
    </row>
    <row r="31" spans="1:7" x14ac:dyDescent="0.35">
      <c r="A31" s="616" t="s">
        <v>1257</v>
      </c>
      <c r="B31" s="383"/>
      <c r="C31" s="384"/>
    </row>
    <row r="32" spans="1:7" x14ac:dyDescent="0.35">
      <c r="A32" s="3144" t="s">
        <v>1040</v>
      </c>
      <c r="B32" s="3145"/>
      <c r="C32" s="100"/>
    </row>
    <row r="33" spans="1:3" x14ac:dyDescent="0.35">
      <c r="A33" s="290"/>
      <c r="B33" s="677"/>
      <c r="C33" s="100"/>
    </row>
    <row r="34" spans="1:3" x14ac:dyDescent="0.35">
      <c r="A34" s="290"/>
      <c r="B34" s="49"/>
      <c r="C34" s="100"/>
    </row>
    <row r="35" spans="1:3" ht="15" thickBot="1" x14ac:dyDescent="0.4">
      <c r="A35" s="653"/>
      <c r="B35" s="139"/>
      <c r="C35" s="163"/>
    </row>
  </sheetData>
  <customSheetViews>
    <customSheetView guid="{ECD6FE6A-9548-414E-B8AA-6998703C57E0}" scale="85" showPageBreaks="1" fitToPage="1" printArea="1" view="pageBreakPreview">
      <selection activeCell="F9" sqref="F9"/>
      <pageMargins left="0" right="0" top="0" bottom="0" header="0" footer="0"/>
      <pageSetup scale="37" orientation="landscape" r:id="rId1"/>
    </customSheetView>
    <customSheetView guid="{11DE45F5-F478-4ED6-8DFF-12002C22A637}" scale="85" showPageBreaks="1" fitToPage="1" printArea="1" view="pageBreakPreview">
      <selection activeCell="F9" sqref="F9"/>
      <pageMargins left="0" right="0" top="0" bottom="0" header="0" footer="0"/>
      <pageSetup scale="37" orientation="landscape" r:id="rId2"/>
    </customSheetView>
  </customSheetViews>
  <mergeCells count="5">
    <mergeCell ref="A32:B32"/>
    <mergeCell ref="L2:N2"/>
    <mergeCell ref="O2:Q2"/>
    <mergeCell ref="R2:U2"/>
    <mergeCell ref="C28:G29"/>
  </mergeCells>
  <dataValidations count="2">
    <dataValidation type="list" allowBlank="1" showInputMessage="1" showErrorMessage="1" sqref="K4:K6" xr:uid="{00000000-0002-0000-1700-000000000000}">
      <formula1>$A$33:$A$35</formula1>
    </dataValidation>
    <dataValidation type="list" allowBlank="1" showInputMessage="1" showErrorMessage="1" sqref="D4:D6" xr:uid="{00000000-0002-0000-1700-000001000000}">
      <formula1>MeasureType</formula1>
    </dataValidation>
  </dataValidations>
  <hyperlinks>
    <hyperlink ref="A1" location="'Measure-Level Adjustments'!Print_Titles" display="Measure Level Tab" xr:uid="{5BEFD68E-9863-4A74-8D7B-4DC4C091E8B7}"/>
  </hyperlinks>
  <pageMargins left="0.7" right="0.7" top="0.75" bottom="0.75" header="0.3" footer="0.3"/>
  <pageSetup scale="36"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700-000002000000}">
          <x14:formula1>
            <xm:f>'T:\EEP Planning Models\Planning Tools\Measure_Data\Custom TRM EEP 3\[HIM_CI_TRMv5 0.xlsx]List'!#REF!</xm:f>
          </x14:formula1>
          <xm:sqref>I4:I5 H4:H6</xm:sqref>
        </x14:dataValidation>
        <x14:dataValidation type="list" allowBlank="1" showInputMessage="1" showErrorMessage="1" xr:uid="{00000000-0002-0000-1700-000003000000}">
          <x14:formula1>
            <xm:f>List!$J$25:$J$35</xm:f>
          </x14:formula1>
          <xm:sqref>I6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M34"/>
  <sheetViews>
    <sheetView zoomScale="120" zoomScaleNormal="120" zoomScaleSheetLayoutView="100" workbookViewId="0">
      <selection activeCell="J5" sqref="J5:J6"/>
    </sheetView>
  </sheetViews>
  <sheetFormatPr defaultRowHeight="14.5" x14ac:dyDescent="0.35"/>
  <cols>
    <col min="1" max="1" width="16.1796875" bestFit="1" customWidth="1"/>
    <col min="2" max="2" width="27.81640625" customWidth="1"/>
    <col min="3" max="4" width="20" bestFit="1" customWidth="1"/>
    <col min="6" max="6" width="12.7265625" customWidth="1"/>
    <col min="7" max="7" width="12.1796875" customWidth="1"/>
    <col min="9" max="9" width="16.54296875" customWidth="1"/>
    <col min="12" max="12" width="12.26953125" customWidth="1"/>
    <col min="13" max="13" width="12" bestFit="1" customWidth="1"/>
  </cols>
  <sheetData>
    <row r="1" spans="1:13" x14ac:dyDescent="0.35">
      <c r="A1" s="1799" t="s">
        <v>1031</v>
      </c>
    </row>
    <row r="2" spans="1:13" x14ac:dyDescent="0.35">
      <c r="A2" s="1428" t="s">
        <v>466</v>
      </c>
      <c r="B2" s="948"/>
      <c r="C2" s="948"/>
      <c r="D2" s="948"/>
      <c r="E2" s="998"/>
      <c r="F2" s="998"/>
      <c r="G2" s="998"/>
      <c r="H2" s="3067" t="s">
        <v>1032</v>
      </c>
      <c r="I2" s="3067"/>
      <c r="J2" s="3067"/>
      <c r="K2" s="3067" t="s">
        <v>1033</v>
      </c>
      <c r="L2" s="3067"/>
      <c r="M2" s="3067"/>
    </row>
    <row r="3" spans="1:13" ht="29" x14ac:dyDescent="0.35">
      <c r="A3" s="969" t="s">
        <v>1035</v>
      </c>
      <c r="B3" s="953" t="s">
        <v>155</v>
      </c>
      <c r="C3" s="953" t="s">
        <v>1036</v>
      </c>
      <c r="D3" s="953" t="s">
        <v>1037</v>
      </c>
      <c r="E3" s="998" t="s">
        <v>1038</v>
      </c>
      <c r="F3" s="998" t="s">
        <v>1039</v>
      </c>
      <c r="G3" s="998" t="s">
        <v>1040</v>
      </c>
      <c r="H3" s="998" t="s">
        <v>1044</v>
      </c>
      <c r="I3" s="998" t="s">
        <v>1045</v>
      </c>
      <c r="J3" s="998" t="s">
        <v>1046</v>
      </c>
      <c r="K3" s="998" t="s">
        <v>1044</v>
      </c>
      <c r="L3" s="998" t="s">
        <v>1045</v>
      </c>
      <c r="M3" s="998" t="s">
        <v>1046</v>
      </c>
    </row>
    <row r="4" spans="1:13" x14ac:dyDescent="0.35">
      <c r="A4" s="955"/>
      <c r="B4" s="955"/>
      <c r="C4" s="956"/>
      <c r="D4" s="957"/>
      <c r="E4" s="610"/>
      <c r="F4" s="1000"/>
      <c r="G4" s="1018"/>
      <c r="H4" s="1003"/>
      <c r="I4" s="1003"/>
      <c r="J4" s="1003"/>
      <c r="K4" s="1003"/>
      <c r="L4" s="1003"/>
      <c r="M4" s="1003"/>
    </row>
    <row r="5" spans="1:13" ht="43.5" x14ac:dyDescent="0.35">
      <c r="A5" s="955" t="s">
        <v>466</v>
      </c>
      <c r="B5" s="955" t="s">
        <v>2260</v>
      </c>
      <c r="C5" s="956" t="s">
        <v>465</v>
      </c>
      <c r="D5" s="957" t="s">
        <v>2261</v>
      </c>
      <c r="E5" s="610" t="s">
        <v>1072</v>
      </c>
      <c r="F5" s="1000">
        <f>+$B$27</f>
        <v>12</v>
      </c>
      <c r="G5" s="1018"/>
      <c r="H5" s="1003"/>
      <c r="I5" s="1003"/>
      <c r="J5" s="2631">
        <f>((B17*B19*B21)/100)*((1/B23)-(1/B25))</f>
        <v>266.0153258868242</v>
      </c>
      <c r="K5" s="1003"/>
      <c r="L5" s="1003"/>
      <c r="M5" s="1003">
        <f>J5*F5</f>
        <v>3192.1839106418902</v>
      </c>
    </row>
    <row r="6" spans="1:13" ht="43.5" x14ac:dyDescent="0.35">
      <c r="A6" s="955" t="s">
        <v>2262</v>
      </c>
      <c r="B6" s="955" t="s">
        <v>2263</v>
      </c>
      <c r="C6" s="956" t="s">
        <v>2264</v>
      </c>
      <c r="D6" s="957" t="s">
        <v>2261</v>
      </c>
      <c r="E6" s="610" t="s">
        <v>1072</v>
      </c>
      <c r="F6" s="1000">
        <f>+$B$27</f>
        <v>12</v>
      </c>
      <c r="G6" s="1018"/>
      <c r="H6" s="1003"/>
      <c r="I6" s="1003"/>
      <c r="J6" s="2631">
        <f>((B17*B19*B21)/100)*((1/B23)-(1/B25))</f>
        <v>266.0153258868242</v>
      </c>
      <c r="K6" s="1003"/>
      <c r="L6" s="1003"/>
      <c r="M6" s="1003">
        <f>J6*F6</f>
        <v>3192.1839106418902</v>
      </c>
    </row>
    <row r="8" spans="1:13" ht="15" thickBot="1" x14ac:dyDescent="0.4"/>
    <row r="9" spans="1:13" ht="15" thickBot="1" x14ac:dyDescent="0.4">
      <c r="A9" s="74" t="s">
        <v>1188</v>
      </c>
      <c r="B9" s="64"/>
      <c r="C9" s="65"/>
    </row>
    <row r="10" spans="1:13" ht="15" thickBot="1" x14ac:dyDescent="0.4">
      <c r="A10" s="2654" t="s">
        <v>2265</v>
      </c>
      <c r="B10" s="2655"/>
      <c r="C10" s="2656"/>
    </row>
    <row r="11" spans="1:13" ht="15" thickBot="1" x14ac:dyDescent="0.4">
      <c r="A11" s="154" t="s">
        <v>1078</v>
      </c>
      <c r="B11" s="1142">
        <f>'Measure-Level Adjustments'!A2</f>
        <v>44592</v>
      </c>
    </row>
    <row r="12" spans="1:13" ht="15" thickBot="1" x14ac:dyDescent="0.4">
      <c r="A12" s="154" t="s">
        <v>1079</v>
      </c>
      <c r="B12" s="2620" t="s">
        <v>2266</v>
      </c>
    </row>
    <row r="15" spans="1:13" ht="15" thickBot="1" x14ac:dyDescent="0.4"/>
    <row r="16" spans="1:13" ht="15" thickBot="1" x14ac:dyDescent="0.4">
      <c r="A16" s="74" t="s">
        <v>1285</v>
      </c>
      <c r="B16" s="75" t="s">
        <v>1199</v>
      </c>
      <c r="C16" s="76" t="s">
        <v>1082</v>
      </c>
      <c r="D16" s="64"/>
      <c r="E16" s="64"/>
      <c r="F16" s="64"/>
      <c r="G16" s="64"/>
      <c r="H16" s="64"/>
      <c r="I16" s="65"/>
    </row>
    <row r="17" spans="1:9" x14ac:dyDescent="0.35">
      <c r="A17" s="379" t="s">
        <v>2190</v>
      </c>
      <c r="B17" s="2595">
        <v>170.85</v>
      </c>
      <c r="C17" s="380" t="s">
        <v>2267</v>
      </c>
      <c r="D17" s="380"/>
      <c r="E17" s="380"/>
      <c r="F17" s="380"/>
      <c r="G17" s="380"/>
      <c r="H17" s="380"/>
      <c r="I17" s="381"/>
    </row>
    <row r="18" spans="1:9" ht="15" thickBot="1" x14ac:dyDescent="0.4">
      <c r="A18" s="261"/>
      <c r="B18" s="161"/>
      <c r="C18" s="2745" t="s">
        <v>2268</v>
      </c>
      <c r="D18" s="161"/>
      <c r="E18" s="161"/>
      <c r="F18" s="161"/>
      <c r="G18" s="161"/>
      <c r="H18" s="161"/>
      <c r="I18" s="163"/>
    </row>
    <row r="19" spans="1:9" x14ac:dyDescent="0.35">
      <c r="A19" s="379" t="s">
        <v>2155</v>
      </c>
      <c r="B19" s="2783">
        <f>List!H44</f>
        <v>1546.2729729729731</v>
      </c>
      <c r="C19" s="380" t="s">
        <v>2269</v>
      </c>
      <c r="D19" s="380"/>
      <c r="E19" s="380"/>
      <c r="F19" s="380"/>
      <c r="G19" s="380"/>
      <c r="H19" s="380"/>
      <c r="I19" s="381"/>
    </row>
    <row r="20" spans="1:9" ht="15" thickBot="1" x14ac:dyDescent="0.4">
      <c r="A20" s="261"/>
      <c r="B20" s="161"/>
      <c r="C20" s="161" t="s">
        <v>2270</v>
      </c>
      <c r="D20" s="161"/>
      <c r="E20" s="161"/>
      <c r="F20" s="161"/>
      <c r="G20" s="161"/>
      <c r="H20" s="161"/>
      <c r="I20" s="163"/>
    </row>
    <row r="21" spans="1:9" x14ac:dyDescent="0.35">
      <c r="A21" s="379" t="s">
        <v>2222</v>
      </c>
      <c r="B21" s="674">
        <v>0.72499999999999998</v>
      </c>
      <c r="C21" s="380" t="s">
        <v>2232</v>
      </c>
      <c r="D21" s="380"/>
      <c r="E21" s="380"/>
      <c r="F21" s="380"/>
      <c r="G21" s="380"/>
      <c r="H21" s="380"/>
      <c r="I21" s="381"/>
    </row>
    <row r="22" spans="1:9" ht="15" thickBot="1" x14ac:dyDescent="0.4">
      <c r="A22" s="261"/>
      <c r="B22" s="161"/>
      <c r="C22" s="161" t="s">
        <v>2271</v>
      </c>
      <c r="D22" s="161"/>
      <c r="E22" s="161"/>
      <c r="F22" s="161"/>
      <c r="G22" s="161"/>
      <c r="H22" s="161"/>
      <c r="I22" s="163"/>
    </row>
    <row r="23" spans="1:9" x14ac:dyDescent="0.35">
      <c r="A23" s="379" t="s">
        <v>2272</v>
      </c>
      <c r="B23" s="1195">
        <v>0.8</v>
      </c>
      <c r="C23" s="380" t="s">
        <v>2273</v>
      </c>
      <c r="D23" s="380"/>
      <c r="E23" s="380"/>
      <c r="F23" s="380"/>
      <c r="G23" s="380"/>
      <c r="H23" s="380"/>
      <c r="I23" s="381"/>
    </row>
    <row r="24" spans="1:9" ht="15" thickBot="1" x14ac:dyDescent="0.4">
      <c r="A24" s="261"/>
      <c r="B24" s="161"/>
      <c r="C24" s="161" t="s">
        <v>2274</v>
      </c>
      <c r="D24" s="161"/>
      <c r="E24" s="161"/>
      <c r="F24" s="161"/>
      <c r="G24" s="161"/>
      <c r="H24" s="161"/>
      <c r="I24" s="163"/>
    </row>
    <row r="25" spans="1:9" x14ac:dyDescent="0.35">
      <c r="A25" s="379" t="s">
        <v>2275</v>
      </c>
      <c r="B25" s="1195">
        <v>0.9</v>
      </c>
      <c r="C25" s="380" t="s">
        <v>1251</v>
      </c>
      <c r="D25" s="380"/>
      <c r="E25" s="380"/>
      <c r="F25" s="380"/>
      <c r="G25" s="380"/>
      <c r="H25" s="380"/>
      <c r="I25" s="381"/>
    </row>
    <row r="26" spans="1:9" ht="15" thickBot="1" x14ac:dyDescent="0.4">
      <c r="A26" s="261"/>
      <c r="B26" s="161"/>
      <c r="C26" s="161" t="s">
        <v>2274</v>
      </c>
      <c r="D26" s="161"/>
      <c r="E26" s="161"/>
      <c r="F26" s="161"/>
      <c r="G26" s="161"/>
      <c r="H26" s="161"/>
      <c r="I26" s="163"/>
    </row>
    <row r="27" spans="1:9" x14ac:dyDescent="0.35">
      <c r="A27" s="99" t="s">
        <v>1083</v>
      </c>
      <c r="B27" s="69">
        <v>12</v>
      </c>
      <c r="C27" s="69"/>
      <c r="D27" s="69"/>
      <c r="E27" s="69"/>
      <c r="F27" s="69"/>
      <c r="G27" s="69"/>
      <c r="H27" s="69"/>
      <c r="I27" s="100"/>
    </row>
    <row r="28" spans="1:9" ht="15" thickBot="1" x14ac:dyDescent="0.4">
      <c r="A28" s="99"/>
      <c r="B28" s="69"/>
      <c r="C28" s="69"/>
      <c r="D28" s="69"/>
      <c r="E28" s="69"/>
      <c r="F28" s="69"/>
      <c r="G28" s="69"/>
      <c r="H28" s="69"/>
      <c r="I28" s="100"/>
    </row>
    <row r="29" spans="1:9" x14ac:dyDescent="0.35">
      <c r="A29" s="379" t="s">
        <v>1040</v>
      </c>
      <c r="B29" s="380"/>
      <c r="C29" s="380" t="s">
        <v>2276</v>
      </c>
      <c r="D29" s="380"/>
      <c r="E29" s="380"/>
      <c r="F29" s="380"/>
      <c r="G29" s="380"/>
      <c r="H29" s="380"/>
      <c r="I29" s="381"/>
    </row>
    <row r="30" spans="1:9" ht="15" thickBot="1" x14ac:dyDescent="0.4">
      <c r="A30" s="261"/>
      <c r="B30" s="161"/>
      <c r="C30" s="161"/>
      <c r="D30" s="161"/>
      <c r="E30" s="161"/>
      <c r="F30" s="161"/>
      <c r="G30" s="161"/>
      <c r="H30" s="161"/>
      <c r="I30" s="163"/>
    </row>
    <row r="32" spans="1:9" x14ac:dyDescent="0.35">
      <c r="A32" s="945" t="s">
        <v>2277</v>
      </c>
      <c r="B32" s="945"/>
    </row>
    <row r="33" spans="1:2" x14ac:dyDescent="0.35">
      <c r="A33" s="49" t="s">
        <v>1072</v>
      </c>
      <c r="B33" s="49" t="s">
        <v>2278</v>
      </c>
    </row>
    <row r="34" spans="1:2" x14ac:dyDescent="0.35">
      <c r="A34" s="49" t="s">
        <v>2279</v>
      </c>
      <c r="B34" s="49" t="s">
        <v>2280</v>
      </c>
    </row>
  </sheetData>
  <customSheetViews>
    <customSheetView guid="{ECD6FE6A-9548-414E-B8AA-6998703C57E0}" showPageBreaks="1" fitToPage="1" view="pageBreakPreview">
      <selection activeCell="M18" sqref="M18"/>
      <pageMargins left="0" right="0" top="0" bottom="0" header="0" footer="0"/>
      <pageSetup scale="66" orientation="landscape" r:id="rId1"/>
    </customSheetView>
    <customSheetView guid="{11DE45F5-F478-4ED6-8DFF-12002C22A637}" showPageBreaks="1" fitToPage="1" view="pageBreakPreview">
      <selection activeCell="M18" sqref="M18"/>
      <pageMargins left="0" right="0" top="0" bottom="0" header="0" footer="0"/>
      <pageSetup scale="66" orientation="landscape" r:id="rId2"/>
    </customSheetView>
  </customSheetViews>
  <mergeCells count="2">
    <mergeCell ref="H2:J2"/>
    <mergeCell ref="K2:M2"/>
  </mergeCells>
  <dataValidations disablePrompts="1" count="2">
    <dataValidation type="list" allowBlank="1" showInputMessage="1" showErrorMessage="1" sqref="D5:D6" xr:uid="{00000000-0002-0000-1800-000000000000}">
      <formula1>MeasureType</formula1>
    </dataValidation>
    <dataValidation type="list" allowBlank="1" showInputMessage="1" showErrorMessage="1" sqref="E5:E6" xr:uid="{00000000-0002-0000-1800-000001000000}">
      <formula1>CSGDRF1</formula1>
    </dataValidation>
  </dataValidations>
  <hyperlinks>
    <hyperlink ref="A1" location="'Measure-Level Adjustments'!Print_Titles" display="Measure Level Tab" xr:uid="{DE46B3AE-0A7D-466C-A94C-0507D8ED0FED}"/>
  </hyperlinks>
  <pageMargins left="0.7" right="0.7" top="0.75" bottom="0.75" header="0.3" footer="0.3"/>
  <pageSetup scale="66" orientation="landscape"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1D3F5-D14A-4007-ACA1-05A58846E0E8}">
  <sheetPr>
    <tabColor rgb="FF00B050"/>
  </sheetPr>
  <dimension ref="A1:AK91"/>
  <sheetViews>
    <sheetView zoomScaleNormal="100" workbookViewId="0">
      <pane xSplit="1" ySplit="3" topLeftCell="B13" activePane="bottomRight" state="frozen"/>
      <selection pane="topRight" activeCell="B1" sqref="B1"/>
      <selection pane="bottomLeft" activeCell="A3" sqref="A3"/>
      <selection pane="bottomRight" activeCell="B34" sqref="B34"/>
    </sheetView>
  </sheetViews>
  <sheetFormatPr defaultRowHeight="14.5" x14ac:dyDescent="0.35"/>
  <cols>
    <col min="1" max="1" width="15" customWidth="1"/>
    <col min="2" max="2" width="55.54296875" customWidth="1"/>
    <col min="3" max="3" width="50" customWidth="1"/>
    <col min="4" max="4" width="20" bestFit="1" customWidth="1"/>
    <col min="5" max="5" width="21.81640625" customWidth="1"/>
    <col min="6" max="6" width="14.7265625" customWidth="1"/>
    <col min="7" max="7" width="13.26953125" customWidth="1"/>
    <col min="8" max="8" width="18.26953125" customWidth="1"/>
    <col min="9" max="9" width="38.453125" customWidth="1"/>
    <col min="10" max="10" width="25" customWidth="1"/>
    <col min="11" max="11" width="25.81640625" customWidth="1"/>
    <col min="12" max="12" width="22.1796875" bestFit="1" customWidth="1"/>
    <col min="13" max="13" width="14.7265625" bestFit="1" customWidth="1"/>
    <col min="14" max="14" width="15.1796875" customWidth="1"/>
    <col min="16" max="16" width="11" bestFit="1" customWidth="1"/>
    <col min="17" max="17" width="10.7265625" bestFit="1" customWidth="1"/>
    <col min="19" max="19" width="12.1796875" customWidth="1"/>
    <col min="20" max="20" width="12.453125" bestFit="1" customWidth="1"/>
    <col min="21" max="21" width="12.54296875" bestFit="1" customWidth="1"/>
    <col min="22" max="22" width="14.7265625" bestFit="1" customWidth="1"/>
    <col min="23" max="23" width="14.7265625" customWidth="1"/>
    <col min="25" max="25" width="14.81640625" customWidth="1"/>
    <col min="26" max="26" width="12" bestFit="1" customWidth="1"/>
    <col min="27" max="27" width="10.81640625" bestFit="1" customWidth="1"/>
    <col min="28" max="28" width="11.26953125" bestFit="1" customWidth="1"/>
    <col min="29" max="29" width="13.1796875" customWidth="1"/>
    <col min="31" max="31" width="12" bestFit="1" customWidth="1"/>
    <col min="32" max="32" width="37.54296875" bestFit="1" customWidth="1"/>
    <col min="33" max="33" width="7.81640625" customWidth="1"/>
    <col min="36" max="36" width="6.7265625" customWidth="1"/>
    <col min="37" max="37" width="50.7265625" bestFit="1" customWidth="1"/>
  </cols>
  <sheetData>
    <row r="1" spans="1:32" x14ac:dyDescent="0.35">
      <c r="A1" s="1799" t="s">
        <v>1031</v>
      </c>
    </row>
    <row r="2" spans="1:32" x14ac:dyDescent="0.35">
      <c r="A2" s="1702"/>
      <c r="B2" s="1796" t="s">
        <v>2281</v>
      </c>
      <c r="C2" s="1797"/>
      <c r="D2" s="1797"/>
      <c r="E2" s="1703"/>
      <c r="F2" s="1704"/>
      <c r="G2" s="1704"/>
      <c r="H2" s="1704"/>
      <c r="I2" s="1704"/>
      <c r="J2" s="1704"/>
      <c r="K2" s="1704"/>
      <c r="L2" s="1704"/>
      <c r="M2" s="1704"/>
      <c r="N2" s="3153" t="s">
        <v>1032</v>
      </c>
      <c r="O2" s="3153"/>
      <c r="P2" s="3153"/>
      <c r="Q2" s="3153" t="s">
        <v>1033</v>
      </c>
      <c r="R2" s="3153"/>
      <c r="S2" s="3154"/>
      <c r="T2" s="3147" t="s">
        <v>1350</v>
      </c>
      <c r="U2" s="3148"/>
      <c r="V2" s="3148"/>
      <c r="W2" s="3146" t="s">
        <v>1158</v>
      </c>
      <c r="X2" s="3146"/>
      <c r="Y2" s="3146"/>
      <c r="Z2" s="3146"/>
      <c r="AA2" s="3146"/>
      <c r="AB2" s="1"/>
      <c r="AC2" t="s">
        <v>1082</v>
      </c>
    </row>
    <row r="3" spans="1:32" ht="29" x14ac:dyDescent="0.35">
      <c r="A3" s="1972" t="s">
        <v>1035</v>
      </c>
      <c r="B3" s="1822" t="s">
        <v>155</v>
      </c>
      <c r="C3" s="1822" t="s">
        <v>1036</v>
      </c>
      <c r="D3" s="1822" t="s">
        <v>1037</v>
      </c>
      <c r="E3" s="1971" t="s">
        <v>1038</v>
      </c>
      <c r="F3" s="1971" t="s">
        <v>1039</v>
      </c>
      <c r="G3" s="1971" t="s">
        <v>2282</v>
      </c>
      <c r="H3" s="1971" t="s">
        <v>2283</v>
      </c>
      <c r="I3" s="1971" t="s">
        <v>2284</v>
      </c>
      <c r="J3" s="1971" t="s">
        <v>2285</v>
      </c>
      <c r="K3" s="1971" t="s">
        <v>1703</v>
      </c>
      <c r="L3" s="1971" t="s">
        <v>1360</v>
      </c>
      <c r="M3" s="1971" t="s">
        <v>1040</v>
      </c>
      <c r="N3" s="1971" t="s">
        <v>2286</v>
      </c>
      <c r="O3" s="1971" t="s">
        <v>1044</v>
      </c>
      <c r="P3" s="1971" t="s">
        <v>1045</v>
      </c>
      <c r="Q3" s="1971" t="s">
        <v>1046</v>
      </c>
      <c r="R3" s="1971" t="s">
        <v>1044</v>
      </c>
      <c r="S3" s="1971" t="s">
        <v>1045</v>
      </c>
      <c r="T3" s="1970" t="s">
        <v>1046</v>
      </c>
      <c r="U3" s="48" t="s">
        <v>1355</v>
      </c>
      <c r="V3" s="48" t="s">
        <v>1083</v>
      </c>
      <c r="W3" s="1969" t="s">
        <v>1357</v>
      </c>
      <c r="X3" s="49" t="s">
        <v>2153</v>
      </c>
      <c r="Y3" s="349" t="s">
        <v>2155</v>
      </c>
      <c r="Z3" s="49" t="s">
        <v>2190</v>
      </c>
      <c r="AA3" s="245" t="s">
        <v>2287</v>
      </c>
      <c r="AB3" s="245" t="s">
        <v>2288</v>
      </c>
      <c r="AC3" s="1" t="s">
        <v>2289</v>
      </c>
      <c r="AD3" s="1968" t="s">
        <v>1082</v>
      </c>
    </row>
    <row r="4" spans="1:32" ht="29" x14ac:dyDescent="0.35">
      <c r="A4" s="1796" t="s">
        <v>434</v>
      </c>
      <c r="B4" s="1796" t="str">
        <f t="shared" ref="B4:B13" si="0">$B$2&amp;" "&amp;I4&amp;" - "&amp;FIXED(SUM(G4/1000),0)&amp;" MBH, "&amp;VLOOKUP(J4,$D$49:$E$54,2,FALSE)</f>
        <v>High Efficiency Boiler Hot Water &lt;300,000 Btu/h  ≥ January 1, 2022 - 300 MBH, Condensing</v>
      </c>
      <c r="C4" s="60" t="s">
        <v>433</v>
      </c>
      <c r="D4" s="1967" t="s">
        <v>2158</v>
      </c>
      <c r="E4" t="s">
        <v>1072</v>
      </c>
      <c r="F4" s="1903">
        <f t="shared" ref="F4:F19" si="1">+$B$34</f>
        <v>25</v>
      </c>
      <c r="G4" s="1973">
        <v>300000</v>
      </c>
      <c r="H4" s="1803">
        <v>211891</v>
      </c>
      <c r="I4" s="60" t="s">
        <v>2290</v>
      </c>
      <c r="J4" s="60" t="s">
        <v>2291</v>
      </c>
      <c r="K4" s="60" t="s">
        <v>1696</v>
      </c>
      <c r="L4" s="60" t="s">
        <v>1363</v>
      </c>
      <c r="M4" s="2534"/>
      <c r="N4" s="1962" t="s">
        <v>2292</v>
      </c>
      <c r="O4" s="1961">
        <v>0</v>
      </c>
      <c r="P4" s="1961">
        <v>0</v>
      </c>
      <c r="Q4" s="2631">
        <f t="shared" ref="Q4:Q13" si="2">IF(E4="TOS",((Y4*Z4*(AB4-AA4)/AA4)/100000),((Y4*Z4*(AB4-AC4)/AC4)/100000))</f>
        <v>234.02951894015465</v>
      </c>
      <c r="R4" s="2014">
        <f t="shared" ref="R4:R13" si="3">O4*F4</f>
        <v>0</v>
      </c>
      <c r="S4" s="2014">
        <f t="shared" ref="S4:S13" si="4">P4</f>
        <v>0</v>
      </c>
      <c r="T4" s="2658">
        <f t="shared" ref="T4:T19" si="5">Q4*F4</f>
        <v>5850.7379735038658</v>
      </c>
      <c r="U4" s="1838"/>
      <c r="V4" s="1838"/>
      <c r="W4" s="1838"/>
      <c r="X4" s="49">
        <f>VLOOKUP(K4, [22]List!$J$40:$K$45, 2, FALSE)</f>
        <v>7</v>
      </c>
      <c r="Y4" s="2742">
        <f>VLOOKUP(L4,List!$B$33:$H$70,X4,FALSE)</f>
        <v>1546.2729729729731</v>
      </c>
      <c r="Z4" s="270">
        <f t="shared" ref="Z4:Z19" si="6">H4</f>
        <v>211891</v>
      </c>
      <c r="AA4" s="1">
        <f t="shared" ref="AA4:AA19" si="7">VLOOKUP(I4,$A$57:$B$66,2,FALSE)</f>
        <v>0.84</v>
      </c>
      <c r="AB4" s="49">
        <f t="shared" ref="AB4:AB19" si="8">VLOOKUP(J4,$D$49:$G$54,3,FALSE)</f>
        <v>0.9</v>
      </c>
      <c r="AC4" s="2157">
        <f t="shared" ref="AC4:AC19" si="9">+IF(E4=$C$46,AA4-$AA$47,0)</f>
        <v>0</v>
      </c>
      <c r="AD4" s="1847"/>
      <c r="AE4" s="54"/>
    </row>
    <row r="5" spans="1:32" ht="29" x14ac:dyDescent="0.35">
      <c r="A5" s="1796" t="s">
        <v>438</v>
      </c>
      <c r="B5" s="1796" t="str">
        <f t="shared" si="0"/>
        <v>High Efficiency Boiler Hot Water &lt;300,000 Btu/h  ≥ January 1, 2022 - 499 MBH, Condensing</v>
      </c>
      <c r="C5" s="60" t="s">
        <v>437</v>
      </c>
      <c r="D5" s="1825" t="s">
        <v>2158</v>
      </c>
      <c r="E5" t="s">
        <v>1072</v>
      </c>
      <c r="F5" s="1974">
        <f t="shared" si="1"/>
        <v>25</v>
      </c>
      <c r="G5" s="1973">
        <v>499000</v>
      </c>
      <c r="H5" s="1803">
        <v>397075</v>
      </c>
      <c r="I5" s="60" t="s">
        <v>2290</v>
      </c>
      <c r="J5" s="60" t="s">
        <v>2291</v>
      </c>
      <c r="K5" s="60" t="s">
        <v>1696</v>
      </c>
      <c r="L5" s="60" t="s">
        <v>1363</v>
      </c>
      <c r="M5" s="2534"/>
      <c r="N5" s="1962" t="s">
        <v>2292</v>
      </c>
      <c r="O5" s="1961">
        <v>0</v>
      </c>
      <c r="P5" s="1961">
        <v>0</v>
      </c>
      <c r="Q5" s="2631">
        <f t="shared" si="2"/>
        <v>438.56167195946</v>
      </c>
      <c r="R5" s="2014">
        <f t="shared" si="3"/>
        <v>0</v>
      </c>
      <c r="S5" s="2014">
        <f t="shared" si="4"/>
        <v>0</v>
      </c>
      <c r="T5" s="2658">
        <f t="shared" si="5"/>
        <v>10964.0417989865</v>
      </c>
      <c r="U5" s="1838"/>
      <c r="V5" s="1838"/>
      <c r="W5" s="1838"/>
      <c r="X5" s="49">
        <f>VLOOKUP(K5, [22]List!$J$40:$K$45, 2, FALSE)</f>
        <v>7</v>
      </c>
      <c r="Y5" s="2742">
        <f>VLOOKUP(L5,List!$B$33:$H$70,X5,FALSE)</f>
        <v>1546.2729729729731</v>
      </c>
      <c r="Z5" s="270">
        <f t="shared" si="6"/>
        <v>397075</v>
      </c>
      <c r="AA5" s="1">
        <f t="shared" si="7"/>
        <v>0.84</v>
      </c>
      <c r="AB5" s="49">
        <f t="shared" si="8"/>
        <v>0.9</v>
      </c>
      <c r="AC5" s="2157">
        <f t="shared" si="9"/>
        <v>0</v>
      </c>
      <c r="AD5" s="1847"/>
      <c r="AE5" s="54"/>
      <c r="AF5" s="1966"/>
    </row>
    <row r="6" spans="1:32" ht="29" x14ac:dyDescent="0.35">
      <c r="A6" s="1796" t="s">
        <v>440</v>
      </c>
      <c r="B6" s="1796" t="str">
        <f t="shared" si="0"/>
        <v>High Efficiency Boiler Hot Water &lt;300,000 Btu/h  ≥ January 1, 2022 - 999 MBH, Condensing</v>
      </c>
      <c r="C6" s="60" t="s">
        <v>439</v>
      </c>
      <c r="D6" s="1825" t="s">
        <v>2158</v>
      </c>
      <c r="E6" t="s">
        <v>1072</v>
      </c>
      <c r="F6" s="1974">
        <f t="shared" si="1"/>
        <v>25</v>
      </c>
      <c r="G6" s="1973">
        <v>999000</v>
      </c>
      <c r="H6" s="1803">
        <v>660610</v>
      </c>
      <c r="I6" s="60" t="s">
        <v>2290</v>
      </c>
      <c r="J6" s="60" t="s">
        <v>2291</v>
      </c>
      <c r="K6" s="60" t="s">
        <v>1696</v>
      </c>
      <c r="L6" s="60" t="s">
        <v>1363</v>
      </c>
      <c r="M6" s="2534"/>
      <c r="N6" s="1962" t="s">
        <v>2292</v>
      </c>
      <c r="O6" s="1961">
        <v>0</v>
      </c>
      <c r="P6" s="1961">
        <v>0</v>
      </c>
      <c r="Q6" s="2631">
        <f t="shared" si="2"/>
        <v>729.63099191119761</v>
      </c>
      <c r="R6" s="2014">
        <f t="shared" si="3"/>
        <v>0</v>
      </c>
      <c r="S6" s="2014">
        <f t="shared" si="4"/>
        <v>0</v>
      </c>
      <c r="T6" s="2658">
        <f t="shared" si="5"/>
        <v>18240.774797779941</v>
      </c>
      <c r="U6" s="1838"/>
      <c r="V6" s="1838"/>
      <c r="W6" s="1838"/>
      <c r="X6" s="49">
        <f>VLOOKUP(K6, [22]List!$J$40:$K$45, 2, FALSE)</f>
        <v>7</v>
      </c>
      <c r="Y6" s="2742">
        <f>VLOOKUP(L6,List!$B$33:$H$70,X6,FALSE)</f>
        <v>1546.2729729729731</v>
      </c>
      <c r="Z6" s="270">
        <f t="shared" si="6"/>
        <v>660610</v>
      </c>
      <c r="AA6" s="1">
        <f t="shared" si="7"/>
        <v>0.84</v>
      </c>
      <c r="AB6" s="49">
        <f t="shared" si="8"/>
        <v>0.9</v>
      </c>
      <c r="AC6" s="2157">
        <f t="shared" si="9"/>
        <v>0</v>
      </c>
      <c r="AD6" s="1847"/>
      <c r="AE6" s="54"/>
    </row>
    <row r="7" spans="1:32" ht="29" x14ac:dyDescent="0.35">
      <c r="A7" s="1796" t="s">
        <v>442</v>
      </c>
      <c r="B7" s="1796" t="str">
        <f t="shared" si="0"/>
        <v>High Efficiency Boiler Hot Water &lt;300,000 Btu/h  ≥ January 1, 2022 - 1,700 MBH, Condensing</v>
      </c>
      <c r="C7" s="60" t="s">
        <v>441</v>
      </c>
      <c r="D7" s="1825" t="s">
        <v>2158</v>
      </c>
      <c r="E7" t="s">
        <v>1072</v>
      </c>
      <c r="F7" s="1974">
        <f t="shared" si="1"/>
        <v>25</v>
      </c>
      <c r="G7" s="1973">
        <v>1700000</v>
      </c>
      <c r="H7" s="1803">
        <v>1250000</v>
      </c>
      <c r="I7" s="60" t="s">
        <v>2290</v>
      </c>
      <c r="J7" s="60" t="s">
        <v>2291</v>
      </c>
      <c r="K7" s="60" t="s">
        <v>1696</v>
      </c>
      <c r="L7" s="60" t="s">
        <v>1363</v>
      </c>
      <c r="M7" s="2534"/>
      <c r="N7" s="1962" t="s">
        <v>2292</v>
      </c>
      <c r="O7" s="1961">
        <v>0</v>
      </c>
      <c r="P7" s="1961">
        <v>0</v>
      </c>
      <c r="Q7" s="2631">
        <f t="shared" si="2"/>
        <v>1380.60086872587</v>
      </c>
      <c r="R7" s="2014">
        <f t="shared" si="3"/>
        <v>0</v>
      </c>
      <c r="S7" s="2014">
        <f t="shared" si="4"/>
        <v>0</v>
      </c>
      <c r="T7" s="2658">
        <f t="shared" si="5"/>
        <v>34515.021718146752</v>
      </c>
      <c r="U7" s="1838"/>
      <c r="V7" s="1838"/>
      <c r="W7" s="1838"/>
      <c r="X7" s="49">
        <f>VLOOKUP(K7, [22]List!$J$40:$K$45, 2, FALSE)</f>
        <v>7</v>
      </c>
      <c r="Y7" s="2742">
        <f>VLOOKUP(L7,List!$B$33:$H$70,X7,FALSE)</f>
        <v>1546.2729729729731</v>
      </c>
      <c r="Z7" s="270">
        <f t="shared" si="6"/>
        <v>1250000</v>
      </c>
      <c r="AA7" s="1">
        <f t="shared" si="7"/>
        <v>0.84</v>
      </c>
      <c r="AB7" s="49">
        <f t="shared" si="8"/>
        <v>0.9</v>
      </c>
      <c r="AC7" s="2157">
        <f t="shared" si="9"/>
        <v>0</v>
      </c>
      <c r="AD7" s="1847"/>
      <c r="AE7" s="54"/>
    </row>
    <row r="8" spans="1:32" ht="29" x14ac:dyDescent="0.35">
      <c r="A8" s="1796" t="s">
        <v>444</v>
      </c>
      <c r="B8" s="1796" t="str">
        <f t="shared" si="0"/>
        <v>High Efficiency Boiler Hot Water &lt;300,000 Btu/h  ≥ January 1, 2022 - 2,500 MBH, Condensing</v>
      </c>
      <c r="C8" s="60" t="s">
        <v>443</v>
      </c>
      <c r="D8" s="1825" t="s">
        <v>2158</v>
      </c>
      <c r="E8" t="s">
        <v>1072</v>
      </c>
      <c r="F8" s="1974">
        <f t="shared" si="1"/>
        <v>25</v>
      </c>
      <c r="G8" s="1973">
        <v>2500000</v>
      </c>
      <c r="H8" s="1803">
        <v>1962761</v>
      </c>
      <c r="I8" s="60" t="s">
        <v>2290</v>
      </c>
      <c r="J8" s="60" t="s">
        <v>2291</v>
      </c>
      <c r="K8" s="60" t="s">
        <v>1696</v>
      </c>
      <c r="L8" s="60" t="s">
        <v>1363</v>
      </c>
      <c r="M8" s="2534"/>
      <c r="N8" s="1962" t="s">
        <v>2292</v>
      </c>
      <c r="O8" s="1961">
        <v>0</v>
      </c>
      <c r="P8" s="1961">
        <v>0</v>
      </c>
      <c r="Q8" s="2631">
        <f t="shared" si="2"/>
        <v>2167.831633361006</v>
      </c>
      <c r="R8" s="2014">
        <f t="shared" si="3"/>
        <v>0</v>
      </c>
      <c r="S8" s="2014">
        <f t="shared" si="4"/>
        <v>0</v>
      </c>
      <c r="T8" s="2658">
        <f t="shared" si="5"/>
        <v>54195.790834025152</v>
      </c>
      <c r="U8" s="1838"/>
      <c r="V8" s="1838"/>
      <c r="W8" s="1838"/>
      <c r="X8" s="49">
        <f>VLOOKUP(K8, [22]List!$J$40:$K$45, 2, FALSE)</f>
        <v>7</v>
      </c>
      <c r="Y8" s="2742">
        <f>VLOOKUP(L8,List!$B$33:$H$70,X8,FALSE)</f>
        <v>1546.2729729729731</v>
      </c>
      <c r="Z8" s="270">
        <f t="shared" si="6"/>
        <v>1962761</v>
      </c>
      <c r="AA8" s="1">
        <f t="shared" si="7"/>
        <v>0.84</v>
      </c>
      <c r="AB8" s="49">
        <f t="shared" si="8"/>
        <v>0.9</v>
      </c>
      <c r="AC8" s="2157">
        <f t="shared" si="9"/>
        <v>0</v>
      </c>
      <c r="AD8" s="1847"/>
      <c r="AE8" s="54"/>
    </row>
    <row r="9" spans="1:32" ht="29" x14ac:dyDescent="0.35">
      <c r="A9" s="1796" t="s">
        <v>446</v>
      </c>
      <c r="B9" s="1796" t="str">
        <f t="shared" si="0"/>
        <v>High Efficiency Boiler Hot Water &lt;300,000 Btu/h  ≥ January 1, 2022 - 300 MBH, Hydronic</v>
      </c>
      <c r="C9" s="60" t="s">
        <v>445</v>
      </c>
      <c r="D9" s="1825" t="s">
        <v>2158</v>
      </c>
      <c r="E9" t="s">
        <v>1072</v>
      </c>
      <c r="F9" s="1974">
        <f t="shared" si="1"/>
        <v>25</v>
      </c>
      <c r="G9" s="1973">
        <v>300000</v>
      </c>
      <c r="H9" s="1803">
        <v>172500</v>
      </c>
      <c r="I9" s="60" t="s">
        <v>2290</v>
      </c>
      <c r="J9" s="60" t="s">
        <v>2293</v>
      </c>
      <c r="K9" s="60" t="s">
        <v>1696</v>
      </c>
      <c r="L9" s="60" t="s">
        <v>1363</v>
      </c>
      <c r="M9" s="2534"/>
      <c r="N9" s="1962" t="s">
        <v>2292</v>
      </c>
      <c r="O9" s="1961">
        <v>0</v>
      </c>
      <c r="P9" s="1961">
        <v>0</v>
      </c>
      <c r="Q9" s="2631">
        <f t="shared" si="2"/>
        <v>31.753819980695013</v>
      </c>
      <c r="R9" s="2014">
        <f t="shared" si="3"/>
        <v>0</v>
      </c>
      <c r="S9" s="2014">
        <f t="shared" si="4"/>
        <v>0</v>
      </c>
      <c r="T9" s="2658">
        <f t="shared" si="5"/>
        <v>793.84549951737529</v>
      </c>
      <c r="U9" s="1838"/>
      <c r="V9" s="1838"/>
      <c r="W9" s="1838"/>
      <c r="X9" s="49">
        <f>VLOOKUP(K9, [22]List!$J$40:$K$45, 2, FALSE)</f>
        <v>7</v>
      </c>
      <c r="Y9" s="2742">
        <f>VLOOKUP(L9,List!$B$33:$H$70,X9,FALSE)</f>
        <v>1546.2729729729731</v>
      </c>
      <c r="Z9" s="270">
        <f t="shared" si="6"/>
        <v>172500</v>
      </c>
      <c r="AA9" s="1">
        <f t="shared" si="7"/>
        <v>0.84</v>
      </c>
      <c r="AB9" s="49">
        <f t="shared" si="8"/>
        <v>0.85</v>
      </c>
      <c r="AC9" s="2157">
        <f t="shared" si="9"/>
        <v>0</v>
      </c>
      <c r="AD9" s="1847"/>
      <c r="AE9" s="54"/>
    </row>
    <row r="10" spans="1:32" ht="29" x14ac:dyDescent="0.35">
      <c r="A10" s="1796" t="s">
        <v>448</v>
      </c>
      <c r="B10" s="1796" t="str">
        <f t="shared" si="0"/>
        <v>High Efficiency Boiler Hot Water &lt;300,000 Btu/h  ≥ January 1, 2022 - 499 MBH, Hydronic</v>
      </c>
      <c r="C10" s="60" t="s">
        <v>447</v>
      </c>
      <c r="D10" s="1825" t="s">
        <v>2158</v>
      </c>
      <c r="E10" t="s">
        <v>1072</v>
      </c>
      <c r="F10" s="1974">
        <f t="shared" si="1"/>
        <v>25</v>
      </c>
      <c r="G10" s="1973">
        <v>499000</v>
      </c>
      <c r="H10" s="1803">
        <v>399000</v>
      </c>
      <c r="I10" s="60" t="s">
        <v>2290</v>
      </c>
      <c r="J10" s="60" t="s">
        <v>2293</v>
      </c>
      <c r="K10" s="60" t="s">
        <v>1696</v>
      </c>
      <c r="L10" s="60" t="s">
        <v>1363</v>
      </c>
      <c r="M10" s="2534"/>
      <c r="N10" s="1962" t="s">
        <v>2292</v>
      </c>
      <c r="O10" s="1961">
        <v>0</v>
      </c>
      <c r="P10" s="1961">
        <v>0</v>
      </c>
      <c r="Q10" s="2631">
        <f t="shared" si="2"/>
        <v>73.447966216216287</v>
      </c>
      <c r="R10" s="2014">
        <f t="shared" si="3"/>
        <v>0</v>
      </c>
      <c r="S10" s="2014">
        <f t="shared" si="4"/>
        <v>0</v>
      </c>
      <c r="T10" s="2658">
        <f t="shared" si="5"/>
        <v>1836.1991554054071</v>
      </c>
      <c r="U10" s="1838"/>
      <c r="V10" s="1838"/>
      <c r="W10" s="1838"/>
      <c r="X10" s="49">
        <f>VLOOKUP(K10, [22]List!$J$40:$K$45, 2, FALSE)</f>
        <v>7</v>
      </c>
      <c r="Y10" s="2742">
        <f>VLOOKUP(L10,List!$B$33:$H$70,X10,FALSE)</f>
        <v>1546.2729729729731</v>
      </c>
      <c r="Z10" s="270">
        <f t="shared" si="6"/>
        <v>399000</v>
      </c>
      <c r="AA10" s="1">
        <f t="shared" si="7"/>
        <v>0.84</v>
      </c>
      <c r="AB10" s="49">
        <f t="shared" si="8"/>
        <v>0.85</v>
      </c>
      <c r="AC10" s="2157">
        <f t="shared" si="9"/>
        <v>0</v>
      </c>
      <c r="AD10" s="1847"/>
      <c r="AE10" s="54"/>
    </row>
    <row r="11" spans="1:32" ht="29" x14ac:dyDescent="0.35">
      <c r="A11" s="1796" t="s">
        <v>450</v>
      </c>
      <c r="B11" s="1796" t="str">
        <f t="shared" si="0"/>
        <v>High Efficiency Boiler Hot Water &lt;300,000 Btu/h  ≥ January 1, 2022 - 999 MBH, Hydronic</v>
      </c>
      <c r="C11" s="60" t="s">
        <v>449</v>
      </c>
      <c r="D11" s="1825" t="s">
        <v>2158</v>
      </c>
      <c r="E11" t="s">
        <v>1072</v>
      </c>
      <c r="F11" s="1974">
        <f t="shared" si="1"/>
        <v>25</v>
      </c>
      <c r="G11" s="1973">
        <v>999000</v>
      </c>
      <c r="H11" s="1803">
        <v>714286</v>
      </c>
      <c r="I11" s="60" t="s">
        <v>2290</v>
      </c>
      <c r="J11" s="60" t="s">
        <v>2293</v>
      </c>
      <c r="K11" s="60" t="s">
        <v>1696</v>
      </c>
      <c r="L11" s="60" t="s">
        <v>1363</v>
      </c>
      <c r="M11" s="2534"/>
      <c r="N11" s="1962" t="s">
        <v>2292</v>
      </c>
      <c r="O11" s="1961">
        <v>0</v>
      </c>
      <c r="P11" s="1961">
        <v>0</v>
      </c>
      <c r="Q11" s="2631">
        <f t="shared" si="2"/>
        <v>131.48584961583023</v>
      </c>
      <c r="R11" s="2014">
        <f t="shared" si="3"/>
        <v>0</v>
      </c>
      <c r="S11" s="2014">
        <f t="shared" si="4"/>
        <v>0</v>
      </c>
      <c r="T11" s="2658">
        <f t="shared" si="5"/>
        <v>3287.1462403957557</v>
      </c>
      <c r="U11" s="1838"/>
      <c r="V11" s="1838"/>
      <c r="W11" s="1838"/>
      <c r="X11" s="49">
        <f>VLOOKUP(K11, [22]List!$J$40:$K$45, 2, FALSE)</f>
        <v>7</v>
      </c>
      <c r="Y11" s="2742">
        <f>VLOOKUP(L11,List!$B$33:$H$70,X11,FALSE)</f>
        <v>1546.2729729729731</v>
      </c>
      <c r="Z11" s="270">
        <f t="shared" si="6"/>
        <v>714286</v>
      </c>
      <c r="AA11" s="1">
        <f t="shared" si="7"/>
        <v>0.84</v>
      </c>
      <c r="AB11" s="49">
        <f t="shared" si="8"/>
        <v>0.85</v>
      </c>
      <c r="AC11" s="2157">
        <f t="shared" si="9"/>
        <v>0</v>
      </c>
      <c r="AD11" s="1847"/>
      <c r="AE11" s="54"/>
    </row>
    <row r="12" spans="1:32" ht="29" x14ac:dyDescent="0.35">
      <c r="A12" s="1796" t="s">
        <v>452</v>
      </c>
      <c r="B12" s="1796" t="str">
        <f t="shared" si="0"/>
        <v>High Efficiency Boiler Hot Water &lt;300,000 Btu/h  ≥ January 1, 2022 - 1,700 MBH, Hydronic</v>
      </c>
      <c r="C12" s="60" t="s">
        <v>451</v>
      </c>
      <c r="D12" s="1825" t="s">
        <v>2158</v>
      </c>
      <c r="E12" t="s">
        <v>1072</v>
      </c>
      <c r="F12" s="1974">
        <f t="shared" si="1"/>
        <v>25</v>
      </c>
      <c r="G12" s="1973">
        <v>1700000</v>
      </c>
      <c r="H12" s="1803">
        <v>1347333</v>
      </c>
      <c r="I12" s="60" t="s">
        <v>2290</v>
      </c>
      <c r="J12" s="60" t="s">
        <v>2293</v>
      </c>
      <c r="K12" s="60" t="s">
        <v>1696</v>
      </c>
      <c r="L12" s="60" t="s">
        <v>1363</v>
      </c>
      <c r="M12" s="2534"/>
      <c r="N12" s="1962" t="s">
        <v>2292</v>
      </c>
      <c r="O12" s="1961">
        <v>0</v>
      </c>
      <c r="P12" s="1961">
        <v>0</v>
      </c>
      <c r="Q12" s="2631">
        <f t="shared" si="2"/>
        <v>248.01721470173769</v>
      </c>
      <c r="R12" s="2014">
        <f t="shared" si="3"/>
        <v>0</v>
      </c>
      <c r="S12" s="2014">
        <f t="shared" si="4"/>
        <v>0</v>
      </c>
      <c r="T12" s="2658">
        <f t="shared" si="5"/>
        <v>6200.4303675434421</v>
      </c>
      <c r="U12" s="1838"/>
      <c r="V12" s="1838"/>
      <c r="W12" s="1838"/>
      <c r="X12" s="49">
        <f>VLOOKUP(K12, [22]List!$J$40:$K$45, 2, FALSE)</f>
        <v>7</v>
      </c>
      <c r="Y12" s="2742">
        <f>VLOOKUP(L12,List!$B$33:$H$70,X12,FALSE)</f>
        <v>1546.2729729729731</v>
      </c>
      <c r="Z12" s="270">
        <f t="shared" si="6"/>
        <v>1347333</v>
      </c>
      <c r="AA12" s="1">
        <f t="shared" si="7"/>
        <v>0.84</v>
      </c>
      <c r="AB12" s="49">
        <f t="shared" si="8"/>
        <v>0.85</v>
      </c>
      <c r="AC12" s="2157">
        <f t="shared" si="9"/>
        <v>0</v>
      </c>
      <c r="AD12" s="1847"/>
      <c r="AE12" s="54"/>
    </row>
    <row r="13" spans="1:32" ht="29" x14ac:dyDescent="0.35">
      <c r="A13" s="1796" t="s">
        <v>454</v>
      </c>
      <c r="B13" s="1796" t="str">
        <f t="shared" si="0"/>
        <v>High Efficiency Boiler Hot Water &lt;300,000 Btu/h  ≥ January 1, 2022 - 2,500 MBH, Hydronic</v>
      </c>
      <c r="C13" s="60" t="s">
        <v>453</v>
      </c>
      <c r="D13" s="1825" t="s">
        <v>2158</v>
      </c>
      <c r="E13" t="s">
        <v>1072</v>
      </c>
      <c r="F13" s="1974">
        <f t="shared" si="1"/>
        <v>25</v>
      </c>
      <c r="G13" s="1973">
        <v>2500000</v>
      </c>
      <c r="H13" s="1803">
        <v>1909091</v>
      </c>
      <c r="I13" s="60" t="s">
        <v>2290</v>
      </c>
      <c r="J13" s="60" t="s">
        <v>2293</v>
      </c>
      <c r="K13" s="60" t="s">
        <v>1696</v>
      </c>
      <c r="L13" s="60" t="s">
        <v>1363</v>
      </c>
      <c r="M13" s="2534"/>
      <c r="N13" s="1962" t="s">
        <v>2292</v>
      </c>
      <c r="O13" s="1961">
        <v>0</v>
      </c>
      <c r="P13" s="1961">
        <v>0</v>
      </c>
      <c r="Q13" s="2631">
        <f t="shared" si="2"/>
        <v>351.42569241023205</v>
      </c>
      <c r="R13" s="2014">
        <f t="shared" si="3"/>
        <v>0</v>
      </c>
      <c r="S13" s="2014">
        <f t="shared" si="4"/>
        <v>0</v>
      </c>
      <c r="T13" s="2658">
        <f t="shared" si="5"/>
        <v>8785.6423102558019</v>
      </c>
      <c r="U13" s="1838"/>
      <c r="V13" s="1838"/>
      <c r="W13" s="1838"/>
      <c r="X13" s="49">
        <f>VLOOKUP(K13, [22]List!$J$40:$K$45, 2, FALSE)</f>
        <v>7</v>
      </c>
      <c r="Y13" s="2742">
        <f>VLOOKUP(L13,List!$B$33:$H$70,X13,FALSE)</f>
        <v>1546.2729729729731</v>
      </c>
      <c r="Z13" s="270">
        <f t="shared" si="6"/>
        <v>1909091</v>
      </c>
      <c r="AA13" s="1">
        <f t="shared" si="7"/>
        <v>0.84</v>
      </c>
      <c r="AB13" s="49">
        <f t="shared" si="8"/>
        <v>0.85</v>
      </c>
      <c r="AC13" s="2157">
        <f t="shared" si="9"/>
        <v>0</v>
      </c>
      <c r="AD13" s="1847"/>
      <c r="AE13" s="54"/>
    </row>
    <row r="14" spans="1:32" ht="29" x14ac:dyDescent="0.35">
      <c r="A14" s="1796" t="s">
        <v>2294</v>
      </c>
      <c r="B14" s="1796" t="str">
        <f>$B$2&amp;" "&amp;I14&amp;" - "&amp;FIXED(SUM(G14/1000)+500,0)&amp;" MBH, "&amp;VLOOKUP(J14,$D$49:$E$54,2,FALSE)</f>
        <v>High Efficiency Boiler Hot Water &lt;300,000 Btu/h  ≥ January 1, 2022 - 2,500 MBH, Hydronic</v>
      </c>
      <c r="C14" s="60" t="s">
        <v>2295</v>
      </c>
      <c r="D14" s="1825" t="s">
        <v>2158</v>
      </c>
      <c r="E14" t="s">
        <v>1072</v>
      </c>
      <c r="F14" s="1974">
        <f t="shared" si="1"/>
        <v>25</v>
      </c>
      <c r="G14" s="1973">
        <v>2000000</v>
      </c>
      <c r="H14" s="1803">
        <v>1405600</v>
      </c>
      <c r="I14" s="60" t="s">
        <v>2290</v>
      </c>
      <c r="J14" s="60" t="s">
        <v>2293</v>
      </c>
      <c r="K14" s="60" t="s">
        <v>1696</v>
      </c>
      <c r="L14" s="60" t="s">
        <v>1363</v>
      </c>
      <c r="M14" s="2534"/>
      <c r="N14" s="1962" t="s">
        <v>2292</v>
      </c>
      <c r="O14" s="1961"/>
      <c r="P14" s="1961"/>
      <c r="Q14" s="2631">
        <f>+AVERAGE(Q11:Q13)</f>
        <v>243.64291890926665</v>
      </c>
      <c r="R14" s="2014"/>
      <c r="S14" s="2014"/>
      <c r="T14" s="2658">
        <f t="shared" si="5"/>
        <v>6091.0729727316666</v>
      </c>
      <c r="U14" s="1838"/>
      <c r="V14" s="1838"/>
      <c r="W14" s="1838"/>
      <c r="X14" s="49">
        <f>VLOOKUP(K14, [22]List!$J$40:$K$45, 2, FALSE)</f>
        <v>7</v>
      </c>
      <c r="Y14" s="2742">
        <f>VLOOKUP(L14,List!$B$33:$H$70,X14,FALSE)</f>
        <v>1546.2729729729731</v>
      </c>
      <c r="Z14" s="270">
        <f t="shared" si="6"/>
        <v>1405600</v>
      </c>
      <c r="AA14" s="1">
        <f t="shared" si="7"/>
        <v>0.84</v>
      </c>
      <c r="AB14" s="49">
        <f t="shared" si="8"/>
        <v>0.85</v>
      </c>
      <c r="AC14" s="2157">
        <f t="shared" si="9"/>
        <v>0</v>
      </c>
      <c r="AD14" s="1847"/>
      <c r="AE14" s="54"/>
    </row>
    <row r="15" spans="1:32" ht="29" x14ac:dyDescent="0.35">
      <c r="A15" s="1796" t="s">
        <v>2296</v>
      </c>
      <c r="B15" s="1796" t="str">
        <f>$B$2&amp;" "&amp;I15&amp;" - "&amp;FIXED(SUM(G15/1000),0)&amp;" MBH, "&amp;VLOOKUP(J15,$D$49:$E$54,2,FALSE)&amp;" Public"</f>
        <v>High Efficiency Boiler Hot Water &lt;300,000 Btu/h  ≥ January 1, 2022 - 2,000 MBH, Condensing Public</v>
      </c>
      <c r="C15" s="60" t="s">
        <v>2297</v>
      </c>
      <c r="D15" s="1825" t="s">
        <v>2158</v>
      </c>
      <c r="E15" t="s">
        <v>1072</v>
      </c>
      <c r="F15" s="1974">
        <f t="shared" si="1"/>
        <v>25</v>
      </c>
      <c r="G15" s="1973">
        <v>2000000</v>
      </c>
      <c r="H15" s="1803">
        <v>1333444</v>
      </c>
      <c r="I15" s="60" t="s">
        <v>2290</v>
      </c>
      <c r="J15" s="60" t="s">
        <v>2291</v>
      </c>
      <c r="K15" s="60" t="s">
        <v>1696</v>
      </c>
      <c r="L15" s="60" t="s">
        <v>1363</v>
      </c>
      <c r="M15" s="2534"/>
      <c r="N15" s="1962" t="s">
        <v>2292</v>
      </c>
      <c r="O15" s="1961"/>
      <c r="P15" s="1961"/>
      <c r="Q15" s="2631">
        <f>+AVERAGE(Q6:Q8)</f>
        <v>1426.0211646660246</v>
      </c>
      <c r="R15" s="2014"/>
      <c r="S15" s="2014"/>
      <c r="T15" s="2658">
        <f t="shared" si="5"/>
        <v>35650.529116650614</v>
      </c>
      <c r="U15" s="1838"/>
      <c r="V15" s="1838"/>
      <c r="W15" s="1838"/>
      <c r="X15" s="49">
        <f>VLOOKUP(K15, [22]List!$J$40:$K$45, 2, FALSE)</f>
        <v>7</v>
      </c>
      <c r="Y15" s="2742">
        <f>VLOOKUP(L15,List!$B$33:$H$70,X15,FALSE)</f>
        <v>1546.2729729729731</v>
      </c>
      <c r="Z15" s="270">
        <f t="shared" si="6"/>
        <v>1333444</v>
      </c>
      <c r="AA15" s="1">
        <f t="shared" si="7"/>
        <v>0.84</v>
      </c>
      <c r="AB15" s="49">
        <f t="shared" si="8"/>
        <v>0.9</v>
      </c>
      <c r="AC15" s="2157">
        <f t="shared" si="9"/>
        <v>0</v>
      </c>
      <c r="AD15" s="1847"/>
      <c r="AE15" s="54"/>
    </row>
    <row r="16" spans="1:32" ht="29" x14ac:dyDescent="0.35">
      <c r="A16" s="1796" t="s">
        <v>2298</v>
      </c>
      <c r="B16" s="1796" t="str">
        <f>$B$2&amp;" "&amp;I16&amp;" - "&amp;FIXED(SUM(G16/1000),0)&amp;" MBH, "&amp;VLOOKUP(J16,$D$49:$E$54,2,FALSE)</f>
        <v>High Efficiency Boiler Steam - all except natural draft ≥300,000 &amp; ≤2,500,000 Btu/h - 2,000 MBH, Steam</v>
      </c>
      <c r="C16" s="2657" t="s">
        <v>2299</v>
      </c>
      <c r="D16" s="1825" t="s">
        <v>2158</v>
      </c>
      <c r="E16" t="s">
        <v>1072</v>
      </c>
      <c r="F16" s="1974">
        <f t="shared" si="1"/>
        <v>25</v>
      </c>
      <c r="G16" s="1973">
        <v>2000000</v>
      </c>
      <c r="H16" s="1803">
        <v>2000000</v>
      </c>
      <c r="I16" s="60" t="s">
        <v>2300</v>
      </c>
      <c r="J16" s="60" t="s">
        <v>2301</v>
      </c>
      <c r="K16" s="60" t="s">
        <v>1696</v>
      </c>
      <c r="L16" s="60" t="s">
        <v>1363</v>
      </c>
      <c r="M16" s="2534"/>
      <c r="N16" s="1962" t="s">
        <v>1939</v>
      </c>
      <c r="O16" s="1961"/>
      <c r="P16" s="1961"/>
      <c r="Q16" s="2631">
        <f>IF(E16="TOS",((Y16*Z16*(AB16-AA16)/AA16)/100000),((Y16*Z16*(AB16-AC16)/AC16)/100000))</f>
        <v>4306.0766335956205</v>
      </c>
      <c r="R16" s="2014"/>
      <c r="S16" s="2014"/>
      <c r="T16" s="2658">
        <f t="shared" si="5"/>
        <v>107651.91583989051</v>
      </c>
      <c r="U16" s="1838"/>
      <c r="V16" s="1838"/>
      <c r="W16" s="1838"/>
      <c r="X16" s="49">
        <f>VLOOKUP(K16, [22]List!$J$40:$K$45, 2, FALSE)</f>
        <v>7</v>
      </c>
      <c r="Y16" s="2742">
        <f>VLOOKUP(L16,List!$B$33:$H$70,X16,FALSE)</f>
        <v>1546.2729729729731</v>
      </c>
      <c r="Z16" s="270">
        <f t="shared" si="6"/>
        <v>2000000</v>
      </c>
      <c r="AA16" s="1">
        <f t="shared" si="7"/>
        <v>0.79</v>
      </c>
      <c r="AB16" s="49">
        <f t="shared" si="8"/>
        <v>0.9</v>
      </c>
      <c r="AC16" s="2157">
        <f t="shared" si="9"/>
        <v>0</v>
      </c>
      <c r="AD16" s="1847"/>
      <c r="AE16" s="54"/>
    </row>
    <row r="17" spans="1:37" ht="29" x14ac:dyDescent="0.35">
      <c r="A17" s="1796" t="s">
        <v>2302</v>
      </c>
      <c r="B17" s="1796" t="str">
        <f>$B$2&amp;" "&amp;I17&amp;" - "&amp;FIXED(SUM(G17/1000),0)&amp;" MBH, "&amp;VLOOKUP(J17,$D$49:$E$54,2,FALSE)</f>
        <v>High Efficiency Boiler Hot Water &lt;300,000 Btu/h  ≥ January 1, 2022 - 50 MBH, Hydronic</v>
      </c>
      <c r="C17" s="60"/>
      <c r="D17" s="1825" t="s">
        <v>2158</v>
      </c>
      <c r="E17" t="s">
        <v>1072</v>
      </c>
      <c r="F17" s="1974">
        <f t="shared" si="1"/>
        <v>25</v>
      </c>
      <c r="G17" s="1973">
        <v>50000</v>
      </c>
      <c r="H17" s="1803">
        <v>50000</v>
      </c>
      <c r="I17" s="60" t="s">
        <v>2290</v>
      </c>
      <c r="J17" s="60" t="s">
        <v>2293</v>
      </c>
      <c r="K17" s="60" t="s">
        <v>1696</v>
      </c>
      <c r="L17" s="60" t="s">
        <v>1363</v>
      </c>
      <c r="M17" s="2534"/>
      <c r="N17" s="1962" t="s">
        <v>1939</v>
      </c>
      <c r="O17" s="1961">
        <v>0</v>
      </c>
      <c r="P17" s="1961">
        <v>0</v>
      </c>
      <c r="Q17" s="2631">
        <f>IF(E17="TOS",((Y17*Z17*(AB17-AA17)/AA17)/100000),((Y17*Z17*(AB17-AC17)/AC17)/100000))</f>
        <v>9.2040057915058</v>
      </c>
      <c r="R17" s="2014">
        <f>O17*F17</f>
        <v>0</v>
      </c>
      <c r="S17" s="2014">
        <f>P17</f>
        <v>0</v>
      </c>
      <c r="T17" s="2658">
        <f t="shared" si="5"/>
        <v>230.10014478764501</v>
      </c>
      <c r="U17" s="1838"/>
      <c r="V17" s="1838"/>
      <c r="W17" s="1838"/>
      <c r="X17" s="49">
        <f>VLOOKUP(K17, [22]List!$J$40:$K$45, 2, FALSE)</f>
        <v>7</v>
      </c>
      <c r="Y17" s="2742">
        <f>VLOOKUP(L17,List!$B$33:$H$70,X17,FALSE)</f>
        <v>1546.2729729729731</v>
      </c>
      <c r="Z17" s="270">
        <f t="shared" si="6"/>
        <v>50000</v>
      </c>
      <c r="AA17" s="1">
        <f t="shared" si="7"/>
        <v>0.84</v>
      </c>
      <c r="AB17" s="49">
        <f t="shared" si="8"/>
        <v>0.85</v>
      </c>
      <c r="AC17" s="2157">
        <f t="shared" si="9"/>
        <v>0</v>
      </c>
      <c r="AD17" s="1847"/>
      <c r="AE17" s="54"/>
    </row>
    <row r="18" spans="1:37" ht="29" x14ac:dyDescent="0.35">
      <c r="A18" s="1796" t="s">
        <v>2303</v>
      </c>
      <c r="B18" s="1796" t="str">
        <f>$B$2&amp;" "&amp;I18&amp;" - "&amp;FIXED(SUM(G18/1000),0)&amp;" MBH, "&amp;VLOOKUP(J18,$D$49:$E$54,2,FALSE)</f>
        <v>High Efficiency Boiler Hot Water &lt;300,000 Btu/h  ≥ January 1, 2022 - 150 MBH, Hydronic</v>
      </c>
      <c r="C18" s="60"/>
      <c r="D18" s="1825" t="s">
        <v>2158</v>
      </c>
      <c r="E18" t="s">
        <v>1072</v>
      </c>
      <c r="F18" s="1974">
        <f t="shared" si="1"/>
        <v>25</v>
      </c>
      <c r="G18" s="1973">
        <v>150000</v>
      </c>
      <c r="H18" s="1803">
        <v>150000</v>
      </c>
      <c r="I18" s="60" t="s">
        <v>2290</v>
      </c>
      <c r="J18" s="60" t="s">
        <v>2293</v>
      </c>
      <c r="K18" s="60" t="s">
        <v>1696</v>
      </c>
      <c r="L18" s="60" t="s">
        <v>1363</v>
      </c>
      <c r="M18" s="2534"/>
      <c r="N18" s="1962" t="s">
        <v>1939</v>
      </c>
      <c r="O18" s="1961">
        <v>0</v>
      </c>
      <c r="P18" s="1961">
        <v>0</v>
      </c>
      <c r="Q18" s="2631">
        <f>IF(E18="TOS",((Y18*Z18*(AB18-AA18)/AA18)/100000),((Y18*Z18*(AB18-AC18)/AC18)/100000))</f>
        <v>27.6120173745174</v>
      </c>
      <c r="R18" s="2014">
        <f>O18*F18</f>
        <v>0</v>
      </c>
      <c r="S18" s="2014">
        <f>P18</f>
        <v>0</v>
      </c>
      <c r="T18" s="2658">
        <f t="shared" si="5"/>
        <v>690.30043436293499</v>
      </c>
      <c r="U18" s="1838"/>
      <c r="V18" s="1838"/>
      <c r="W18" s="1838"/>
      <c r="X18" s="49">
        <f>VLOOKUP(K18, [22]List!$J$40:$K$45, 2, FALSE)</f>
        <v>7</v>
      </c>
      <c r="Y18" s="2742">
        <f>VLOOKUP(L18,List!$B$33:$H$70,X18,FALSE)</f>
        <v>1546.2729729729731</v>
      </c>
      <c r="Z18" s="270">
        <f t="shared" si="6"/>
        <v>150000</v>
      </c>
      <c r="AA18" s="1">
        <f t="shared" si="7"/>
        <v>0.84</v>
      </c>
      <c r="AB18" s="49">
        <f t="shared" si="8"/>
        <v>0.85</v>
      </c>
      <c r="AC18" s="2157">
        <f t="shared" si="9"/>
        <v>0</v>
      </c>
      <c r="AD18" s="1847"/>
      <c r="AE18" s="54"/>
    </row>
    <row r="19" spans="1:37" ht="29" x14ac:dyDescent="0.35">
      <c r="A19" s="1796" t="s">
        <v>2304</v>
      </c>
      <c r="B19" s="1796" t="str">
        <f>$B$2&amp;" "&amp;I19&amp;" - "&amp;FIXED(SUM(H19/1000),0)&amp;" MBH, "&amp;VLOOKUP(J19,$D$49:$E$54,2,FALSE)</f>
        <v>High Efficiency Boiler Hot Water &lt;300,000 Btu/h  ≥ January 1, 2022 - 250 MBH, Hydronic</v>
      </c>
      <c r="C19" s="60"/>
      <c r="D19" s="1825" t="s">
        <v>2158</v>
      </c>
      <c r="E19" t="s">
        <v>1072</v>
      </c>
      <c r="F19" s="1974">
        <f t="shared" si="1"/>
        <v>25</v>
      </c>
      <c r="G19" s="1973">
        <v>250000</v>
      </c>
      <c r="H19" s="1803">
        <v>250000</v>
      </c>
      <c r="I19" s="60" t="s">
        <v>2290</v>
      </c>
      <c r="J19" s="60" t="s">
        <v>2293</v>
      </c>
      <c r="K19" s="60" t="s">
        <v>1696</v>
      </c>
      <c r="L19" s="60" t="s">
        <v>1363</v>
      </c>
      <c r="M19" s="2534"/>
      <c r="N19" s="1962" t="s">
        <v>1939</v>
      </c>
      <c r="O19" s="1961">
        <v>0</v>
      </c>
      <c r="P19" s="1961">
        <v>0</v>
      </c>
      <c r="Q19" s="2631">
        <f>IF(E19="TOS",((Y19*Z19*(AB19-AA19)/AA19)/100000),((Y19*Z19*(AB19-AC19)/AC19)/100000))</f>
        <v>46.020028957529</v>
      </c>
      <c r="R19" s="2014">
        <f>O19*F19</f>
        <v>0</v>
      </c>
      <c r="S19" s="2014">
        <f>P19</f>
        <v>0</v>
      </c>
      <c r="T19" s="2658">
        <f t="shared" si="5"/>
        <v>1150.5007239382251</v>
      </c>
      <c r="U19" s="1838"/>
      <c r="V19" s="1838"/>
      <c r="W19" s="1838"/>
      <c r="X19" s="49">
        <f>VLOOKUP(K19, [22]List!$J$40:$K$45, 2, FALSE)</f>
        <v>7</v>
      </c>
      <c r="Y19" s="2742">
        <f>VLOOKUP(L19,List!$B$33:$H$70,X19,FALSE)</f>
        <v>1546.2729729729731</v>
      </c>
      <c r="Z19" s="270">
        <f t="shared" si="6"/>
        <v>250000</v>
      </c>
      <c r="AA19" s="1">
        <f t="shared" si="7"/>
        <v>0.84</v>
      </c>
      <c r="AB19" s="49">
        <f t="shared" si="8"/>
        <v>0.85</v>
      </c>
      <c r="AC19" s="2157">
        <f t="shared" si="9"/>
        <v>0</v>
      </c>
      <c r="AD19" s="1847"/>
      <c r="AE19" s="54"/>
    </row>
    <row r="20" spans="1:37" x14ac:dyDescent="0.35">
      <c r="A20" s="1796"/>
      <c r="B20" s="1796"/>
      <c r="C20" s="1963"/>
      <c r="D20" s="1825"/>
      <c r="E20" s="1964"/>
      <c r="F20" s="1974"/>
      <c r="G20" s="1803"/>
      <c r="H20" s="60"/>
      <c r="I20" s="1963"/>
      <c r="J20" s="1963"/>
      <c r="K20" s="1963"/>
      <c r="L20" s="1962"/>
      <c r="M20" s="1962"/>
      <c r="N20" s="1961"/>
      <c r="O20" s="1961"/>
      <c r="P20" s="1961"/>
      <c r="Q20" s="1961"/>
      <c r="R20" s="1838"/>
      <c r="S20" s="1838"/>
      <c r="T20" s="1838"/>
      <c r="U20" s="1838"/>
      <c r="V20" s="1838"/>
      <c r="Y20" s="355"/>
      <c r="AB20" s="589"/>
      <c r="AD20" s="54"/>
    </row>
    <row r="21" spans="1:37" x14ac:dyDescent="0.35">
      <c r="A21" s="1835"/>
      <c r="B21" s="1835"/>
      <c r="C21" s="1835"/>
      <c r="D21" s="1835"/>
      <c r="E21" s="1835"/>
      <c r="F21" s="1835"/>
      <c r="G21" s="1835"/>
      <c r="H21" s="1835"/>
      <c r="I21" s="1835"/>
      <c r="J21" s="1835"/>
      <c r="K21" s="1835"/>
      <c r="L21" s="1835"/>
      <c r="M21" s="1835"/>
      <c r="N21" s="1835"/>
      <c r="O21" s="1835"/>
      <c r="P21" s="1835"/>
      <c r="Q21" s="1835"/>
    </row>
    <row r="22" spans="1:37" ht="15" thickBot="1" x14ac:dyDescent="0.4"/>
    <row r="23" spans="1:37" ht="15" thickBot="1" x14ac:dyDescent="0.4">
      <c r="A23" s="74" t="s">
        <v>1188</v>
      </c>
      <c r="B23" s="64"/>
      <c r="C23" s="64"/>
      <c r="D23" s="64"/>
      <c r="E23" s="64"/>
    </row>
    <row r="24" spans="1:37" ht="15" thickBot="1" x14ac:dyDescent="0.4">
      <c r="A24" s="1960" t="s">
        <v>2305</v>
      </c>
      <c r="B24" s="1959"/>
      <c r="C24" s="1958"/>
      <c r="D24" s="1958"/>
      <c r="E24" s="1957"/>
      <c r="F24" s="678"/>
      <c r="W24" s="154" t="s">
        <v>1082</v>
      </c>
      <c r="X24" s="383"/>
      <c r="Y24" s="383"/>
      <c r="Z24" s="383"/>
      <c r="AA24" s="383"/>
      <c r="AB24" s="383"/>
      <c r="AC24" s="383"/>
      <c r="AD24" s="383"/>
      <c r="AE24" s="383"/>
      <c r="AF24" s="383"/>
      <c r="AG24" s="383"/>
      <c r="AH24" s="383"/>
      <c r="AI24" s="383"/>
      <c r="AJ24" s="383"/>
      <c r="AK24" s="384"/>
    </row>
    <row r="25" spans="1:37" ht="15" thickBot="1" x14ac:dyDescent="0.4">
      <c r="A25" s="93"/>
      <c r="B25" s="80"/>
      <c r="C25" s="80"/>
      <c r="D25" s="80"/>
      <c r="E25" s="80"/>
      <c r="J25" s="3132" t="s">
        <v>2119</v>
      </c>
      <c r="K25" s="3133"/>
      <c r="L25" s="3133"/>
      <c r="W25" s="1956" t="s">
        <v>2306</v>
      </c>
      <c r="X25" s="69"/>
      <c r="Y25" s="69"/>
      <c r="Z25" s="69"/>
      <c r="AA25" s="69"/>
      <c r="AB25" s="69"/>
      <c r="AC25" s="69"/>
      <c r="AD25" s="69"/>
      <c r="AE25" s="69"/>
      <c r="AF25" s="69"/>
      <c r="AG25" s="69"/>
      <c r="AH25" s="69"/>
      <c r="AI25" s="69"/>
      <c r="AJ25" s="69"/>
      <c r="AK25" s="100"/>
    </row>
    <row r="26" spans="1:37" ht="15" thickBot="1" x14ac:dyDescent="0.4">
      <c r="A26" s="74" t="s">
        <v>1285</v>
      </c>
      <c r="B26" s="75" t="s">
        <v>1199</v>
      </c>
      <c r="C26" s="76" t="s">
        <v>2307</v>
      </c>
      <c r="D26" s="64"/>
      <c r="E26" s="64"/>
      <c r="F26" s="64"/>
      <c r="G26" s="64"/>
      <c r="H26" s="64"/>
      <c r="I26" s="65"/>
      <c r="J26" s="1811" t="s">
        <v>2308</v>
      </c>
      <c r="K26" s="1955" t="s">
        <v>1390</v>
      </c>
      <c r="L26" s="1812" t="s">
        <v>2309</v>
      </c>
      <c r="W26" s="636" t="s">
        <v>2310</v>
      </c>
      <c r="X26" s="69"/>
      <c r="Y26" s="69"/>
      <c r="Z26" s="69"/>
      <c r="AA26" s="69"/>
      <c r="AB26" s="69"/>
      <c r="AC26" s="69"/>
      <c r="AD26" s="69"/>
      <c r="AE26" s="69"/>
      <c r="AF26" s="69"/>
      <c r="AG26" s="69"/>
      <c r="AH26" s="69"/>
      <c r="AI26" s="69"/>
      <c r="AJ26" s="69"/>
      <c r="AK26" s="100"/>
    </row>
    <row r="27" spans="1:37" ht="58.5" thickBot="1" x14ac:dyDescent="0.4">
      <c r="A27" s="644" t="s">
        <v>2155</v>
      </c>
      <c r="B27" s="1944" t="s">
        <v>2193</v>
      </c>
      <c r="C27" s="1230" t="s">
        <v>2194</v>
      </c>
      <c r="D27" s="606"/>
      <c r="E27" s="606"/>
      <c r="F27" s="606"/>
      <c r="G27" s="606"/>
      <c r="H27" s="606"/>
      <c r="I27" s="607"/>
      <c r="J27" s="1945" t="s">
        <v>2311</v>
      </c>
      <c r="K27" s="1954" t="s">
        <v>2312</v>
      </c>
      <c r="L27" s="1232" t="s">
        <v>2313</v>
      </c>
      <c r="W27" s="636" t="s">
        <v>2314</v>
      </c>
      <c r="X27" s="69"/>
      <c r="Y27" s="69"/>
      <c r="Z27" s="69"/>
      <c r="AA27" s="69"/>
      <c r="AB27" s="69"/>
      <c r="AC27" s="69"/>
      <c r="AD27" s="69"/>
      <c r="AE27" s="69"/>
      <c r="AF27" s="69"/>
      <c r="AG27" s="69"/>
      <c r="AH27" s="69"/>
      <c r="AI27" s="69"/>
      <c r="AJ27" s="69"/>
      <c r="AK27" s="100"/>
    </row>
    <row r="28" spans="1:37" ht="60" customHeight="1" x14ac:dyDescent="0.35">
      <c r="A28" s="379" t="s">
        <v>2190</v>
      </c>
      <c r="B28" s="1953" t="s">
        <v>2315</v>
      </c>
      <c r="C28" s="1951" t="s">
        <v>2316</v>
      </c>
      <c r="D28" s="380"/>
      <c r="E28" s="380"/>
      <c r="F28" s="380"/>
      <c r="G28" s="380"/>
      <c r="H28" s="380"/>
      <c r="I28" s="381"/>
      <c r="J28" s="3149" t="s">
        <v>2317</v>
      </c>
      <c r="K28" s="3149" t="s">
        <v>2318</v>
      </c>
      <c r="L28" s="3151" t="s">
        <v>2313</v>
      </c>
      <c r="W28" s="636" t="s">
        <v>2319</v>
      </c>
      <c r="X28" s="69"/>
      <c r="Y28" s="69"/>
      <c r="Z28" s="69"/>
      <c r="AA28" s="69"/>
      <c r="AB28" s="69"/>
      <c r="AC28" s="69"/>
      <c r="AD28" s="69"/>
      <c r="AE28" s="69"/>
      <c r="AF28" s="69"/>
      <c r="AG28" s="69"/>
      <c r="AH28" s="69"/>
      <c r="AI28" s="69"/>
      <c r="AJ28" s="69"/>
      <c r="AK28" s="100"/>
    </row>
    <row r="29" spans="1:37" ht="29.25" customHeight="1" thickBot="1" x14ac:dyDescent="0.4">
      <c r="A29" s="261"/>
      <c r="B29" s="1171"/>
      <c r="C29" s="161" t="s">
        <v>2320</v>
      </c>
      <c r="D29" s="161"/>
      <c r="E29" s="161"/>
      <c r="F29" s="161"/>
      <c r="G29" s="161"/>
      <c r="H29" s="161"/>
      <c r="I29" s="163"/>
      <c r="J29" s="3150"/>
      <c r="K29" s="3150"/>
      <c r="L29" s="3152"/>
      <c r="W29" s="636" t="s">
        <v>2321</v>
      </c>
      <c r="X29" s="69"/>
      <c r="Y29" s="69"/>
      <c r="Z29" s="69"/>
      <c r="AA29" s="69"/>
      <c r="AB29" s="69"/>
      <c r="AC29" s="69"/>
      <c r="AD29" s="69"/>
      <c r="AE29" s="69"/>
      <c r="AF29" s="69"/>
      <c r="AG29" s="69"/>
      <c r="AH29" s="69"/>
      <c r="AI29" s="69"/>
      <c r="AJ29" s="69"/>
      <c r="AK29" s="100"/>
    </row>
    <row r="30" spans="1:37" ht="45" customHeight="1" x14ac:dyDescent="0.35">
      <c r="A30" s="1952" t="s">
        <v>2287</v>
      </c>
      <c r="B30" s="1948" t="s">
        <v>2322</v>
      </c>
      <c r="C30" s="641" t="s">
        <v>2323</v>
      </c>
      <c r="D30" s="380"/>
      <c r="E30" s="380"/>
      <c r="F30" s="380"/>
      <c r="G30" s="380"/>
      <c r="H30" s="380"/>
      <c r="I30" s="381"/>
      <c r="J30" s="437" t="s">
        <v>2324</v>
      </c>
      <c r="K30" s="3149" t="s">
        <v>2325</v>
      </c>
      <c r="L30" s="3151" t="s">
        <v>2313</v>
      </c>
      <c r="W30" s="636" t="s">
        <v>2326</v>
      </c>
      <c r="X30" s="69"/>
      <c r="Y30" s="69"/>
      <c r="Z30" s="69"/>
      <c r="AA30" s="69"/>
      <c r="AB30" s="69"/>
      <c r="AC30" s="69"/>
      <c r="AD30" s="69"/>
      <c r="AE30" s="69"/>
      <c r="AF30" s="69"/>
      <c r="AG30" s="69"/>
      <c r="AH30" s="69"/>
      <c r="AI30" s="69"/>
      <c r="AJ30" s="69"/>
      <c r="AK30" s="100"/>
    </row>
    <row r="31" spans="1:37" ht="15" thickBot="1" x14ac:dyDescent="0.4">
      <c r="A31" s="261"/>
      <c r="B31" s="1171"/>
      <c r="C31" s="642" t="s">
        <v>2327</v>
      </c>
      <c r="D31" s="161"/>
      <c r="E31" s="161"/>
      <c r="F31" s="161"/>
      <c r="G31" s="161"/>
      <c r="H31" s="161"/>
      <c r="I31" s="163"/>
      <c r="J31" s="1943"/>
      <c r="K31" s="3150"/>
      <c r="L31" s="3152"/>
      <c r="W31" s="636" t="s">
        <v>2328</v>
      </c>
      <c r="X31" s="69"/>
      <c r="Y31" s="69"/>
      <c r="Z31" s="69"/>
      <c r="AA31" s="69"/>
      <c r="AB31" s="69"/>
      <c r="AC31" s="69"/>
      <c r="AD31" s="69"/>
      <c r="AE31" s="69"/>
      <c r="AF31" s="69"/>
      <c r="AG31" s="69"/>
      <c r="AH31" s="69"/>
      <c r="AI31" s="69"/>
      <c r="AJ31" s="69"/>
      <c r="AK31" s="100"/>
    </row>
    <row r="32" spans="1:37" ht="29.25" customHeight="1" x14ac:dyDescent="0.35">
      <c r="A32" s="1952" t="s">
        <v>2288</v>
      </c>
      <c r="B32" s="1948" t="s">
        <v>2322</v>
      </c>
      <c r="C32" s="1951" t="s">
        <v>2329</v>
      </c>
      <c r="D32" s="380"/>
      <c r="E32" s="380"/>
      <c r="F32" s="380"/>
      <c r="G32" s="380"/>
      <c r="H32" s="380"/>
      <c r="I32" s="381"/>
      <c r="J32" s="3149" t="s">
        <v>2330</v>
      </c>
      <c r="K32" s="3149" t="s">
        <v>2331</v>
      </c>
      <c r="L32" s="3151" t="s">
        <v>2313</v>
      </c>
      <c r="W32" s="636" t="s">
        <v>2332</v>
      </c>
      <c r="X32" s="69"/>
      <c r="Y32" s="69"/>
      <c r="Z32" s="69"/>
      <c r="AA32" s="69"/>
      <c r="AB32" s="69"/>
      <c r="AC32" s="69"/>
      <c r="AD32" s="69"/>
      <c r="AE32" s="69"/>
      <c r="AF32" s="69"/>
      <c r="AG32" s="69"/>
      <c r="AH32" s="69"/>
      <c r="AI32" s="69"/>
      <c r="AJ32" s="69"/>
      <c r="AK32" s="100"/>
    </row>
    <row r="33" spans="1:37" ht="78" customHeight="1" thickBot="1" x14ac:dyDescent="0.4">
      <c r="A33" s="261"/>
      <c r="B33" s="1171"/>
      <c r="C33" s="1950" t="s">
        <v>2327</v>
      </c>
      <c r="D33" s="161"/>
      <c r="E33" s="161"/>
      <c r="F33" s="161"/>
      <c r="G33" s="161"/>
      <c r="H33" s="161"/>
      <c r="I33" s="163"/>
      <c r="J33" s="3150"/>
      <c r="K33" s="3150"/>
      <c r="L33" s="3152"/>
      <c r="W33" s="636" t="s">
        <v>2333</v>
      </c>
      <c r="X33" s="69"/>
      <c r="Y33" s="69"/>
      <c r="Z33" s="69"/>
      <c r="AA33" s="69"/>
      <c r="AB33" s="69"/>
      <c r="AC33" s="69"/>
      <c r="AD33" s="69"/>
      <c r="AE33" s="69"/>
      <c r="AF33" s="69"/>
      <c r="AG33" s="69"/>
      <c r="AH33" s="69"/>
      <c r="AI33" s="69"/>
      <c r="AJ33" s="69"/>
      <c r="AK33" s="100"/>
    </row>
    <row r="34" spans="1:37" ht="15" thickBot="1" x14ac:dyDescent="0.4">
      <c r="A34" s="2819" t="s">
        <v>1083</v>
      </c>
      <c r="B34" s="2825">
        <v>25</v>
      </c>
      <c r="C34" s="2826" t="s">
        <v>2334</v>
      </c>
      <c r="D34" s="380"/>
      <c r="E34" s="380"/>
      <c r="F34" s="380"/>
      <c r="G34" s="380"/>
      <c r="H34" s="380"/>
      <c r="I34" s="381"/>
      <c r="J34" s="437" t="s">
        <v>1524</v>
      </c>
      <c r="K34" s="779" t="s">
        <v>2335</v>
      </c>
      <c r="L34" s="3151" t="s">
        <v>2313</v>
      </c>
      <c r="W34" s="160" t="s">
        <v>2336</v>
      </c>
      <c r="X34" s="161"/>
      <c r="Y34" s="161"/>
      <c r="Z34" s="161"/>
      <c r="AA34" s="161"/>
      <c r="AB34" s="161"/>
      <c r="AC34" s="161"/>
      <c r="AD34" s="161"/>
      <c r="AE34" s="161"/>
      <c r="AF34" s="161"/>
      <c r="AG34" s="161"/>
      <c r="AH34" s="161"/>
      <c r="AI34" s="161"/>
      <c r="AJ34" s="161"/>
      <c r="AK34" s="163"/>
    </row>
    <row r="35" spans="1:37" ht="15" thickBot="1" x14ac:dyDescent="0.4">
      <c r="A35" s="261"/>
      <c r="B35" s="1171"/>
      <c r="C35" s="161" t="s">
        <v>2337</v>
      </c>
      <c r="D35" s="161"/>
      <c r="E35" s="161"/>
      <c r="F35" s="161"/>
      <c r="G35" s="161"/>
      <c r="H35" s="161"/>
      <c r="I35" s="163"/>
      <c r="J35" s="1943"/>
      <c r="K35" s="1942"/>
      <c r="L35" s="3152"/>
      <c r="W35" s="1949" t="s">
        <v>2338</v>
      </c>
      <c r="X35" s="380"/>
      <c r="Y35" s="380"/>
      <c r="Z35" s="380"/>
      <c r="AA35" s="380"/>
      <c r="AB35" s="380"/>
      <c r="AC35" s="380"/>
      <c r="AD35" s="380"/>
      <c r="AE35" s="380"/>
      <c r="AF35" s="380"/>
      <c r="AG35" s="380"/>
      <c r="AH35" s="380"/>
      <c r="AI35" s="380"/>
      <c r="AJ35" s="380"/>
      <c r="AK35" s="381"/>
    </row>
    <row r="36" spans="1:37" ht="60" customHeight="1" x14ac:dyDescent="0.35">
      <c r="A36" s="379" t="s">
        <v>1040</v>
      </c>
      <c r="B36" s="1948" t="s">
        <v>2322</v>
      </c>
      <c r="C36" s="1164" t="s">
        <v>2339</v>
      </c>
      <c r="D36" s="380"/>
      <c r="E36" s="380"/>
      <c r="F36" s="380"/>
      <c r="G36" s="380"/>
      <c r="H36" s="380"/>
      <c r="I36" s="381"/>
      <c r="J36" s="3149" t="s">
        <v>2340</v>
      </c>
      <c r="K36" s="3149" t="s">
        <v>2341</v>
      </c>
      <c r="L36" s="3151" t="s">
        <v>2126</v>
      </c>
      <c r="W36" s="1947" t="s">
        <v>2342</v>
      </c>
      <c r="X36" s="69"/>
      <c r="Y36" s="69"/>
      <c r="Z36" s="69"/>
      <c r="AA36" s="69"/>
      <c r="AB36" s="69"/>
      <c r="AC36" s="69"/>
      <c r="AD36" s="69"/>
      <c r="AE36" s="69"/>
      <c r="AF36" s="69"/>
      <c r="AG36" s="69"/>
      <c r="AH36" s="69"/>
      <c r="AI36" s="69"/>
      <c r="AJ36" s="69"/>
      <c r="AK36" s="100"/>
    </row>
    <row r="37" spans="1:37" ht="16.5" thickBot="1" x14ac:dyDescent="0.55000000000000004">
      <c r="A37" s="261"/>
      <c r="B37" s="1171"/>
      <c r="C37" s="642" t="s">
        <v>2343</v>
      </c>
      <c r="D37" s="161"/>
      <c r="E37" s="161"/>
      <c r="F37" s="161"/>
      <c r="G37" s="161"/>
      <c r="H37" s="161"/>
      <c r="I37" s="163"/>
      <c r="J37" s="3150"/>
      <c r="K37" s="3150"/>
      <c r="L37" s="3152"/>
      <c r="R37" s="1936"/>
      <c r="W37" s="1946" t="s">
        <v>2344</v>
      </c>
      <c r="X37" s="69"/>
      <c r="Y37" s="69"/>
      <c r="Z37" s="69"/>
      <c r="AA37" s="69"/>
      <c r="AB37" s="69"/>
      <c r="AC37" s="69"/>
      <c r="AD37" s="69"/>
      <c r="AE37" s="69"/>
      <c r="AF37" s="69"/>
      <c r="AG37" s="69"/>
      <c r="AH37" s="69"/>
      <c r="AI37" s="69"/>
      <c r="AJ37" s="69"/>
      <c r="AK37" s="100"/>
    </row>
    <row r="38" spans="1:37" ht="16.5" thickBot="1" x14ac:dyDescent="0.55000000000000004">
      <c r="A38" s="379" t="s">
        <v>1253</v>
      </c>
      <c r="B38" s="1944"/>
      <c r="C38" s="380" t="s">
        <v>2345</v>
      </c>
      <c r="D38" s="380"/>
      <c r="E38" s="380"/>
      <c r="F38" s="380"/>
      <c r="G38" s="380"/>
      <c r="H38" s="380"/>
      <c r="I38" s="381"/>
      <c r="J38" s="1945"/>
      <c r="K38" s="759"/>
      <c r="L38" s="759"/>
      <c r="R38" s="1936"/>
      <c r="W38" s="1923"/>
      <c r="X38" s="69"/>
      <c r="Y38" s="69"/>
      <c r="Z38" s="69"/>
      <c r="AA38" s="69"/>
      <c r="AB38" s="69"/>
      <c r="AC38" s="69"/>
      <c r="AD38" s="69"/>
      <c r="AE38" s="69"/>
      <c r="AF38" s="69"/>
      <c r="AG38" s="69"/>
      <c r="AH38" s="69"/>
      <c r="AI38" s="69"/>
      <c r="AJ38" s="69"/>
      <c r="AK38" s="100"/>
    </row>
    <row r="39" spans="1:37" ht="16.5" thickBot="1" x14ac:dyDescent="0.55000000000000004">
      <c r="A39" s="379" t="s">
        <v>1255</v>
      </c>
      <c r="B39" s="1944"/>
      <c r="C39" s="2998" t="s">
        <v>2346</v>
      </c>
      <c r="D39" s="2998"/>
      <c r="E39" s="2998"/>
      <c r="F39" s="2998"/>
      <c r="G39" s="2998"/>
      <c r="H39" s="2998"/>
      <c r="I39" s="2999"/>
      <c r="J39" s="437"/>
      <c r="K39" s="779"/>
      <c r="L39" s="100"/>
      <c r="R39" s="1936"/>
      <c r="W39" s="1923"/>
      <c r="X39" s="69"/>
      <c r="Y39" s="69"/>
      <c r="Z39" s="69"/>
      <c r="AA39" s="69"/>
      <c r="AB39" s="69"/>
      <c r="AC39" s="69"/>
      <c r="AD39" s="69"/>
      <c r="AE39" s="69"/>
      <c r="AF39" s="69"/>
      <c r="AG39" s="69"/>
      <c r="AH39" s="69"/>
      <c r="AI39" s="69"/>
      <c r="AJ39" s="69"/>
      <c r="AK39" s="100"/>
    </row>
    <row r="40" spans="1:37" ht="16.5" thickBot="1" x14ac:dyDescent="0.55000000000000004">
      <c r="A40" s="261"/>
      <c r="B40" s="161"/>
      <c r="C40" s="3000"/>
      <c r="D40" s="3000"/>
      <c r="E40" s="3000"/>
      <c r="F40" s="3000"/>
      <c r="G40" s="3000"/>
      <c r="H40" s="3000"/>
      <c r="I40" s="3001"/>
      <c r="J40" s="1943"/>
      <c r="K40" s="1942"/>
      <c r="L40" s="163"/>
      <c r="R40" s="1936"/>
      <c r="W40" s="1941" t="s">
        <v>2347</v>
      </c>
      <c r="X40" s="1940"/>
      <c r="Y40" s="1940"/>
      <c r="Z40" s="1940"/>
      <c r="AA40" s="1940"/>
      <c r="AB40" s="1940"/>
      <c r="AC40" s="1940"/>
      <c r="AD40" s="1940"/>
      <c r="AE40" s="1940"/>
      <c r="AF40" s="1940"/>
      <c r="AG40" s="1940"/>
      <c r="AH40" s="1940"/>
      <c r="AI40" s="1940"/>
      <c r="AJ40" s="1940"/>
      <c r="AK40" s="1939"/>
    </row>
    <row r="41" spans="1:37" ht="16" x14ac:dyDescent="0.5">
      <c r="R41" s="1936"/>
      <c r="W41" s="1926" t="s">
        <v>2348</v>
      </c>
      <c r="X41" s="1853"/>
      <c r="Y41" s="1853"/>
      <c r="Z41" s="1853"/>
      <c r="AA41" s="1853"/>
      <c r="AB41" s="1853"/>
      <c r="AC41" s="1853"/>
      <c r="AD41" s="1853"/>
      <c r="AE41" s="1853"/>
      <c r="AF41" s="1853"/>
      <c r="AG41" s="1853"/>
      <c r="AH41" s="1853"/>
      <c r="AI41" s="1853"/>
      <c r="AJ41" s="1853"/>
      <c r="AK41" s="1854"/>
    </row>
    <row r="42" spans="1:37" ht="16" x14ac:dyDescent="0.5">
      <c r="A42" s="1938" t="s">
        <v>1257</v>
      </c>
      <c r="B42" s="882"/>
      <c r="C42" s="882"/>
      <c r="D42" s="882"/>
      <c r="E42" s="882"/>
      <c r="F42" s="882"/>
      <c r="G42" s="882"/>
      <c r="H42" s="1937"/>
      <c r="R42" s="1936"/>
      <c r="W42" s="1935" t="s">
        <v>2349</v>
      </c>
      <c r="X42" s="1853"/>
      <c r="Y42" s="1853"/>
      <c r="Z42" s="1853"/>
      <c r="AA42" s="1853"/>
      <c r="AB42" s="1853"/>
      <c r="AC42" s="1853"/>
      <c r="AD42" s="1853"/>
      <c r="AE42" s="1853"/>
      <c r="AF42" s="1853"/>
      <c r="AG42" s="1853"/>
      <c r="AH42" s="1853"/>
      <c r="AI42" s="1853"/>
      <c r="AJ42" s="1853"/>
      <c r="AK42" s="1854"/>
    </row>
    <row r="43" spans="1:37" ht="16" x14ac:dyDescent="0.5">
      <c r="A43" s="666" t="s">
        <v>2350</v>
      </c>
      <c r="B43" s="56" t="s">
        <v>2286</v>
      </c>
      <c r="C43" s="56" t="s">
        <v>1038</v>
      </c>
      <c r="D43" s="69"/>
      <c r="E43" s="69"/>
      <c r="F43" s="69"/>
      <c r="G43" s="69"/>
      <c r="H43" s="100"/>
      <c r="R43" s="1936"/>
      <c r="W43" s="1935" t="s">
        <v>2351</v>
      </c>
      <c r="X43" s="1853"/>
      <c r="Y43" s="1853"/>
      <c r="Z43" s="1853"/>
      <c r="AA43" s="1853"/>
      <c r="AB43" s="1853"/>
      <c r="AC43" s="1853"/>
      <c r="AD43" s="1853"/>
      <c r="AE43" s="1853"/>
      <c r="AF43" s="1853"/>
      <c r="AG43" s="1853"/>
      <c r="AH43" s="1853"/>
      <c r="AI43" s="1853"/>
      <c r="AJ43" s="1853"/>
      <c r="AK43" s="1854"/>
    </row>
    <row r="44" spans="1:37" ht="16" x14ac:dyDescent="0.5">
      <c r="A44" s="290" t="s">
        <v>2352</v>
      </c>
      <c r="B44" s="49" t="s">
        <v>1939</v>
      </c>
      <c r="C44" s="49" t="s">
        <v>1072</v>
      </c>
      <c r="D44" s="69"/>
      <c r="E44" s="69"/>
      <c r="F44" s="69"/>
      <c r="G44" s="69"/>
      <c r="H44" s="100"/>
      <c r="R44" s="1936"/>
      <c r="W44" s="1935" t="s">
        <v>2353</v>
      </c>
      <c r="X44" s="1853"/>
      <c r="Y44" s="1853"/>
      <c r="Z44" s="1853"/>
      <c r="AA44" s="1853"/>
      <c r="AB44" s="1853"/>
      <c r="AC44" s="1853"/>
      <c r="AD44" s="1853"/>
      <c r="AE44" s="1853"/>
      <c r="AF44" s="1853"/>
      <c r="AG44" s="1853"/>
      <c r="AH44" s="1853"/>
      <c r="AI44" s="1853"/>
      <c r="AJ44" s="1853"/>
      <c r="AK44" s="1854"/>
    </row>
    <row r="45" spans="1:37" x14ac:dyDescent="0.35">
      <c r="A45" s="290" t="s">
        <v>2354</v>
      </c>
      <c r="B45" s="49" t="s">
        <v>2292</v>
      </c>
      <c r="C45" s="49" t="s">
        <v>1632</v>
      </c>
      <c r="D45" s="69"/>
      <c r="E45" s="69"/>
      <c r="F45" s="69"/>
      <c r="G45" s="69"/>
      <c r="H45" s="100"/>
      <c r="W45" s="1935" t="s">
        <v>2355</v>
      </c>
      <c r="X45" s="1853"/>
      <c r="Y45" s="1853"/>
      <c r="Z45" s="1853"/>
      <c r="AA45" s="1853"/>
      <c r="AB45" s="1853"/>
      <c r="AC45" s="1853"/>
      <c r="AD45" s="1853"/>
      <c r="AE45" s="1853"/>
      <c r="AF45" s="1853"/>
      <c r="AG45" s="1853"/>
      <c r="AH45" s="1853"/>
      <c r="AI45" s="1853"/>
      <c r="AJ45" s="1853"/>
      <c r="AK45" s="1854"/>
    </row>
    <row r="46" spans="1:37" ht="15" thickBot="1" x14ac:dyDescent="0.4">
      <c r="A46" s="99"/>
      <c r="B46" s="69"/>
      <c r="C46" s="49" t="s">
        <v>1825</v>
      </c>
      <c r="D46" s="69"/>
      <c r="E46" s="69"/>
      <c r="F46" s="69"/>
      <c r="G46" s="69"/>
      <c r="H46" s="100"/>
      <c r="W46" s="1926"/>
      <c r="X46" s="1853"/>
      <c r="Y46" s="1853"/>
      <c r="Z46" s="1853"/>
      <c r="AA46" s="1853"/>
      <c r="AB46" s="1853"/>
      <c r="AC46" s="1853"/>
      <c r="AD46" s="1853"/>
      <c r="AE46" s="1853"/>
      <c r="AF46" s="1853"/>
      <c r="AG46" s="1853"/>
      <c r="AH46" s="1853"/>
      <c r="AI46" s="1853"/>
      <c r="AJ46" s="1853"/>
      <c r="AK46" s="1854"/>
    </row>
    <row r="47" spans="1:37" ht="26.5" thickBot="1" x14ac:dyDescent="0.4">
      <c r="A47" s="666" t="s">
        <v>2212</v>
      </c>
      <c r="B47" s="56"/>
      <c r="C47" s="69"/>
      <c r="D47" s="69"/>
      <c r="E47" s="69"/>
      <c r="F47" s="69"/>
      <c r="G47" s="69"/>
      <c r="H47" s="100"/>
      <c r="W47" s="1934" t="s">
        <v>2356</v>
      </c>
      <c r="X47" s="1933"/>
      <c r="Y47" s="1933"/>
      <c r="Z47" s="1933"/>
      <c r="AA47" s="1932">
        <v>0.1</v>
      </c>
      <c r="AB47" s="1853"/>
      <c r="AC47" s="1853"/>
      <c r="AD47" s="1853"/>
      <c r="AE47" s="1853"/>
      <c r="AF47" s="1853"/>
      <c r="AG47" s="1853"/>
      <c r="AH47" s="1853"/>
      <c r="AI47" s="1853"/>
      <c r="AJ47" s="1853"/>
      <c r="AK47" s="1854"/>
    </row>
    <row r="48" spans="1:37" ht="26" x14ac:dyDescent="0.35">
      <c r="A48" s="290" t="str">
        <f>C73</f>
        <v>1 (Rockford)</v>
      </c>
      <c r="B48" s="49">
        <v>2</v>
      </c>
      <c r="C48" s="69"/>
      <c r="D48" s="56" t="s">
        <v>1752</v>
      </c>
      <c r="E48" s="56" t="s">
        <v>2350</v>
      </c>
      <c r="F48" s="295" t="s">
        <v>2357</v>
      </c>
      <c r="G48" s="680" t="s">
        <v>2358</v>
      </c>
      <c r="H48" s="100"/>
      <c r="W48" s="1931"/>
      <c r="X48" s="1853"/>
      <c r="Y48" s="1853"/>
      <c r="Z48" s="1853"/>
      <c r="AA48" s="1853"/>
      <c r="AB48" s="1853"/>
      <c r="AC48" s="1853"/>
      <c r="AD48" s="1853"/>
      <c r="AE48" s="1853"/>
      <c r="AF48" s="1853"/>
      <c r="AG48" s="1853"/>
      <c r="AH48" s="1853"/>
      <c r="AI48" s="1853"/>
      <c r="AJ48" s="1853"/>
      <c r="AK48" s="1854"/>
    </row>
    <row r="49" spans="1:37" ht="26" x14ac:dyDescent="0.35">
      <c r="A49" s="290" t="str">
        <f>D73</f>
        <v>2 (Chicago)</v>
      </c>
      <c r="B49" s="49">
        <v>3</v>
      </c>
      <c r="C49" s="69"/>
      <c r="D49" s="255" t="s">
        <v>2293</v>
      </c>
      <c r="E49" s="49" t="s">
        <v>2359</v>
      </c>
      <c r="F49" s="1930">
        <v>0.85</v>
      </c>
      <c r="G49" s="1928">
        <v>1803</v>
      </c>
      <c r="H49" s="100"/>
      <c r="W49" s="1926"/>
      <c r="X49" s="1853"/>
      <c r="Y49" s="1853"/>
      <c r="Z49" s="1853"/>
      <c r="AA49" s="1853"/>
      <c r="AB49" s="1853"/>
      <c r="AC49" s="1853"/>
      <c r="AD49" s="1853"/>
      <c r="AE49" s="1853"/>
      <c r="AF49" s="1853"/>
      <c r="AG49" s="1853"/>
      <c r="AH49" s="1853"/>
      <c r="AI49" s="1853"/>
      <c r="AJ49" s="1853"/>
      <c r="AK49" s="1854"/>
    </row>
    <row r="50" spans="1:37" x14ac:dyDescent="0.35">
      <c r="A50" s="290" t="str">
        <f>E73</f>
        <v>3 (Springfield)</v>
      </c>
      <c r="B50" s="49">
        <v>4</v>
      </c>
      <c r="C50" s="69"/>
      <c r="D50" s="255" t="s">
        <v>2291</v>
      </c>
      <c r="E50" s="49" t="s">
        <v>2360</v>
      </c>
      <c r="F50" s="1930">
        <v>0.9</v>
      </c>
      <c r="G50" s="1928">
        <v>1803</v>
      </c>
      <c r="H50" s="100"/>
      <c r="W50" s="1926"/>
      <c r="X50" s="1853"/>
      <c r="Y50" s="1853"/>
      <c r="Z50" s="1853"/>
      <c r="AA50" s="1853"/>
      <c r="AB50" s="1853"/>
      <c r="AC50" s="1853"/>
      <c r="AD50" s="1853"/>
      <c r="AE50" s="1853"/>
      <c r="AF50" s="1853"/>
      <c r="AG50" s="1853"/>
      <c r="AH50" s="1853"/>
      <c r="AI50" s="1853"/>
      <c r="AJ50" s="1853"/>
      <c r="AK50" s="1854"/>
    </row>
    <row r="51" spans="1:37" x14ac:dyDescent="0.35">
      <c r="A51" s="290" t="str">
        <f>F73</f>
        <v>4 (Belleville)</v>
      </c>
      <c r="B51" s="49">
        <v>5</v>
      </c>
      <c r="C51" s="69"/>
      <c r="D51" s="255" t="s">
        <v>2301</v>
      </c>
      <c r="E51" s="49" t="s">
        <v>2354</v>
      </c>
      <c r="F51" s="1930">
        <v>0.9</v>
      </c>
      <c r="G51" s="1928">
        <v>1803</v>
      </c>
      <c r="H51" s="100"/>
      <c r="W51" s="1926"/>
      <c r="X51" s="1853"/>
      <c r="Y51" s="1853"/>
      <c r="Z51" s="1853"/>
      <c r="AA51" s="1853"/>
      <c r="AB51" s="1853"/>
      <c r="AC51" s="1853"/>
      <c r="AD51" s="1853"/>
      <c r="AE51" s="1853"/>
      <c r="AF51" s="1853"/>
      <c r="AG51" s="1853"/>
      <c r="AH51" s="1853"/>
      <c r="AI51" s="1853"/>
      <c r="AJ51" s="1853"/>
      <c r="AK51" s="1854"/>
    </row>
    <row r="52" spans="1:37" x14ac:dyDescent="0.35">
      <c r="A52" s="290" t="str">
        <f>G73</f>
        <v>5 (Marion)</v>
      </c>
      <c r="B52" s="49">
        <v>6</v>
      </c>
      <c r="C52" s="69"/>
      <c r="D52" s="255" t="s">
        <v>2361</v>
      </c>
      <c r="E52" s="49"/>
      <c r="F52" s="1930">
        <v>0.95</v>
      </c>
      <c r="G52" s="1928">
        <v>2353</v>
      </c>
      <c r="H52" s="100"/>
      <c r="W52" s="1926"/>
      <c r="X52" s="1853"/>
      <c r="Y52" s="1853"/>
      <c r="Z52" s="1853"/>
      <c r="AA52" s="1853"/>
      <c r="AB52" s="1853"/>
      <c r="AC52" s="1853"/>
      <c r="AD52" s="1853"/>
      <c r="AE52" s="1853"/>
      <c r="AF52" s="1853"/>
      <c r="AG52" s="1853"/>
      <c r="AH52" s="1853"/>
      <c r="AI52" s="1853"/>
      <c r="AJ52" s="1853"/>
      <c r="AK52" s="1854"/>
    </row>
    <row r="53" spans="1:37" x14ac:dyDescent="0.35">
      <c r="A53" s="290" t="s">
        <v>1696</v>
      </c>
      <c r="B53" s="49">
        <v>7</v>
      </c>
      <c r="C53" s="69"/>
      <c r="D53" s="255" t="s">
        <v>2362</v>
      </c>
      <c r="E53" s="49"/>
      <c r="F53" s="1929">
        <v>0.96</v>
      </c>
      <c r="G53" s="1928">
        <v>2957</v>
      </c>
      <c r="H53" s="100"/>
      <c r="W53" s="1926"/>
      <c r="X53" s="1853"/>
      <c r="Y53" s="1853"/>
      <c r="Z53" s="1853"/>
      <c r="AA53" s="1853"/>
      <c r="AB53" s="1853"/>
      <c r="AC53" s="1853"/>
      <c r="AD53" s="1853"/>
      <c r="AE53" s="1853"/>
      <c r="AF53" s="1853"/>
      <c r="AG53" s="1853"/>
      <c r="AH53" s="1853"/>
      <c r="AI53" s="1853"/>
      <c r="AJ53" s="1853"/>
      <c r="AK53" s="1854"/>
    </row>
    <row r="54" spans="1:37" x14ac:dyDescent="0.35">
      <c r="A54" s="99"/>
      <c r="B54" s="69"/>
      <c r="C54" s="69"/>
      <c r="D54" s="255" t="s">
        <v>105</v>
      </c>
      <c r="E54" s="49"/>
      <c r="F54" s="1927">
        <v>0.95699999999999996</v>
      </c>
      <c r="G54" s="255" t="s">
        <v>105</v>
      </c>
      <c r="H54" s="100"/>
      <c r="W54" s="1926"/>
      <c r="X54" s="1853"/>
      <c r="Y54" s="1853"/>
      <c r="Z54" s="1853"/>
      <c r="AA54" s="1853"/>
      <c r="AB54" s="1853"/>
      <c r="AC54" s="1853"/>
      <c r="AD54" s="1853"/>
      <c r="AE54" s="1853"/>
      <c r="AF54" s="1853"/>
      <c r="AG54" s="1853"/>
      <c r="AH54" s="1853"/>
      <c r="AI54" s="1853"/>
      <c r="AJ54" s="1853"/>
      <c r="AK54" s="1854"/>
    </row>
    <row r="55" spans="1:37" ht="15" thickBot="1" x14ac:dyDescent="0.4">
      <c r="A55" s="682" t="s">
        <v>2363</v>
      </c>
      <c r="B55" s="56"/>
      <c r="C55" s="56"/>
      <c r="D55" s="69"/>
      <c r="E55" s="69"/>
      <c r="F55" s="69"/>
      <c r="G55" s="69"/>
      <c r="H55" s="100"/>
      <c r="W55" s="1925"/>
      <c r="X55" s="1857"/>
      <c r="Y55" s="1857"/>
      <c r="Z55" s="1857"/>
      <c r="AA55" s="1857"/>
      <c r="AB55" s="1857"/>
      <c r="AC55" s="1857"/>
      <c r="AD55" s="1857"/>
      <c r="AE55" s="1857"/>
      <c r="AF55" s="1857"/>
      <c r="AG55" s="1857"/>
      <c r="AH55" s="1857"/>
      <c r="AI55" s="1857"/>
      <c r="AJ55" s="1857"/>
      <c r="AK55" s="1858"/>
    </row>
    <row r="56" spans="1:37" ht="52" x14ac:dyDescent="0.35">
      <c r="A56" s="666" t="s">
        <v>2364</v>
      </c>
      <c r="B56" s="56" t="s">
        <v>1753</v>
      </c>
      <c r="C56" s="56" t="s">
        <v>2365</v>
      </c>
      <c r="D56" s="69"/>
      <c r="E56" s="56" t="s">
        <v>2284</v>
      </c>
      <c r="F56" s="56" t="s">
        <v>2285</v>
      </c>
      <c r="G56" s="56" t="s">
        <v>2366</v>
      </c>
      <c r="H56" s="100"/>
      <c r="W56" s="1924" t="s">
        <v>2367</v>
      </c>
      <c r="X56" s="380"/>
      <c r="Y56" s="380"/>
      <c r="Z56" s="380"/>
      <c r="AA56" s="380"/>
      <c r="AB56" s="380"/>
      <c r="AC56" s="380"/>
      <c r="AD56" s="380"/>
      <c r="AE56" s="380"/>
      <c r="AF56" s="380"/>
      <c r="AG56" s="380"/>
      <c r="AH56" s="380"/>
      <c r="AI56" s="380"/>
      <c r="AJ56" s="380"/>
      <c r="AK56" s="381"/>
    </row>
    <row r="57" spans="1:37" ht="48" customHeight="1" x14ac:dyDescent="0.35">
      <c r="A57" s="2535" t="s">
        <v>2368</v>
      </c>
      <c r="B57" s="181">
        <v>0.82</v>
      </c>
      <c r="C57" s="1920" t="s">
        <v>2369</v>
      </c>
      <c r="D57" s="69"/>
      <c r="E57" s="257" t="s">
        <v>2370</v>
      </c>
      <c r="F57" s="257" t="s">
        <v>2291</v>
      </c>
      <c r="G57" s="49">
        <v>3365</v>
      </c>
      <c r="H57" s="100"/>
      <c r="W57" s="1923" t="s">
        <v>2371</v>
      </c>
      <c r="X57" s="69"/>
      <c r="Y57" s="69"/>
      <c r="Z57" s="69"/>
      <c r="AA57" s="69"/>
      <c r="AB57" s="69"/>
      <c r="AC57" s="69"/>
      <c r="AD57" s="69"/>
      <c r="AE57" s="69"/>
      <c r="AF57" s="69"/>
      <c r="AG57" s="69"/>
      <c r="AH57" s="69"/>
      <c r="AI57" s="69"/>
      <c r="AJ57" s="69"/>
      <c r="AK57" s="100"/>
    </row>
    <row r="58" spans="1:37" ht="45" customHeight="1" thickBot="1" x14ac:dyDescent="0.4">
      <c r="A58" s="2535" t="s">
        <v>2372</v>
      </c>
      <c r="B58" s="181">
        <v>0.84</v>
      </c>
      <c r="C58" s="1920" t="s">
        <v>2369</v>
      </c>
      <c r="D58" s="69"/>
      <c r="E58" s="257" t="s">
        <v>2370</v>
      </c>
      <c r="F58" s="257" t="s">
        <v>2291</v>
      </c>
      <c r="G58" s="49">
        <v>4190</v>
      </c>
      <c r="H58" s="100"/>
      <c r="W58" s="1922"/>
      <c r="X58" s="161"/>
      <c r="Y58" s="161"/>
      <c r="Z58" s="161"/>
      <c r="AA58" s="161"/>
      <c r="AB58" s="161"/>
      <c r="AC58" s="161"/>
      <c r="AD58" s="161"/>
      <c r="AE58" s="161"/>
      <c r="AF58" s="161"/>
      <c r="AG58" s="161"/>
      <c r="AH58" s="161"/>
      <c r="AI58" s="161"/>
      <c r="AJ58" s="161"/>
      <c r="AK58" s="163"/>
    </row>
    <row r="59" spans="1:37" ht="40.5" customHeight="1" x14ac:dyDescent="0.35">
      <c r="A59" s="2535" t="s">
        <v>2373</v>
      </c>
      <c r="B59" s="181">
        <v>0.8</v>
      </c>
      <c r="C59" s="1920" t="s">
        <v>2374</v>
      </c>
      <c r="D59" s="69"/>
      <c r="E59" s="257" t="s">
        <v>2370</v>
      </c>
      <c r="F59" s="257" t="s">
        <v>2291</v>
      </c>
      <c r="G59" s="49">
        <v>6115</v>
      </c>
      <c r="H59" s="100"/>
    </row>
    <row r="60" spans="1:37" ht="36.75" customHeight="1" x14ac:dyDescent="0.35">
      <c r="A60" s="2535" t="s">
        <v>2375</v>
      </c>
      <c r="B60" s="181">
        <v>0.82</v>
      </c>
      <c r="C60" s="1920" t="s">
        <v>2374</v>
      </c>
      <c r="D60" s="69"/>
      <c r="E60" s="257" t="s">
        <v>2370</v>
      </c>
      <c r="F60" s="257" t="s">
        <v>2291</v>
      </c>
      <c r="G60" s="49">
        <v>9415</v>
      </c>
      <c r="H60" s="100"/>
    </row>
    <row r="61" spans="1:37" ht="40.5" customHeight="1" x14ac:dyDescent="0.35">
      <c r="A61" s="2535" t="s">
        <v>2376</v>
      </c>
      <c r="B61" s="181">
        <v>0.8</v>
      </c>
      <c r="C61" s="1920" t="s">
        <v>2369</v>
      </c>
      <c r="D61" s="69"/>
      <c r="E61" s="257" t="s">
        <v>2370</v>
      </c>
      <c r="F61" s="257" t="s">
        <v>2291</v>
      </c>
      <c r="G61" s="49">
        <v>12165</v>
      </c>
      <c r="H61" s="100"/>
    </row>
    <row r="62" spans="1:37" ht="39.75" customHeight="1" x14ac:dyDescent="0.35">
      <c r="A62" s="2535" t="s">
        <v>2377</v>
      </c>
      <c r="B62" s="181">
        <v>0.82</v>
      </c>
      <c r="C62" s="1920" t="s">
        <v>2369</v>
      </c>
      <c r="D62" s="69"/>
      <c r="E62" s="257" t="s">
        <v>2370</v>
      </c>
      <c r="F62" s="257" t="s">
        <v>2293</v>
      </c>
      <c r="G62" s="49">
        <v>1470</v>
      </c>
      <c r="H62" s="100"/>
    </row>
    <row r="63" spans="1:37" ht="52" x14ac:dyDescent="0.35">
      <c r="A63" s="2535" t="s">
        <v>2300</v>
      </c>
      <c r="B63" s="181">
        <v>0.79</v>
      </c>
      <c r="C63" s="1920" t="s">
        <v>2374</v>
      </c>
      <c r="D63" s="69"/>
      <c r="E63" s="257" t="s">
        <v>2370</v>
      </c>
      <c r="F63" s="257" t="s">
        <v>2293</v>
      </c>
      <c r="G63" s="49">
        <v>1620</v>
      </c>
      <c r="H63" s="100"/>
    </row>
    <row r="64" spans="1:37" ht="39" x14ac:dyDescent="0.35">
      <c r="A64" s="2535" t="s">
        <v>2378</v>
      </c>
      <c r="B64" s="181">
        <v>0.77</v>
      </c>
      <c r="C64" s="1920" t="s">
        <v>2379</v>
      </c>
      <c r="D64" s="69"/>
      <c r="E64" s="257" t="s">
        <v>2370</v>
      </c>
      <c r="F64" s="257" t="s">
        <v>2293</v>
      </c>
      <c r="G64" s="49">
        <v>1970</v>
      </c>
      <c r="H64" s="100"/>
    </row>
    <row r="65" spans="1:12" ht="39" x14ac:dyDescent="0.35">
      <c r="A65" s="2535" t="s">
        <v>2380</v>
      </c>
      <c r="B65" s="181">
        <v>0.79</v>
      </c>
      <c r="C65" s="1920" t="s">
        <v>2374</v>
      </c>
      <c r="D65" s="69"/>
      <c r="E65" s="257" t="s">
        <v>2370</v>
      </c>
      <c r="F65" s="257" t="s">
        <v>2293</v>
      </c>
      <c r="G65" s="49">
        <v>2570</v>
      </c>
      <c r="H65" s="100"/>
    </row>
    <row r="66" spans="1:12" ht="39.5" thickBot="1" x14ac:dyDescent="0.4">
      <c r="A66" s="2536" t="s">
        <v>2381</v>
      </c>
      <c r="B66" s="2537">
        <v>0.77</v>
      </c>
      <c r="C66" s="1919" t="s">
        <v>2379</v>
      </c>
      <c r="D66" s="161"/>
      <c r="E66" s="257" t="s">
        <v>2370</v>
      </c>
      <c r="F66" s="257" t="s">
        <v>2293</v>
      </c>
      <c r="G66" s="49">
        <v>3070</v>
      </c>
      <c r="H66" s="163"/>
    </row>
    <row r="71" spans="1:12" x14ac:dyDescent="0.35">
      <c r="B71" s="1910" t="s">
        <v>2382</v>
      </c>
      <c r="C71" s="1910"/>
      <c r="D71" s="1910"/>
      <c r="E71" s="1910"/>
      <c r="F71" s="1910"/>
      <c r="G71" s="1910"/>
      <c r="H71" s="1910"/>
      <c r="I71" s="1910"/>
      <c r="J71" s="1910"/>
      <c r="K71" s="1910"/>
      <c r="L71" s="1910"/>
    </row>
    <row r="72" spans="1:12" x14ac:dyDescent="0.35">
      <c r="B72" s="3155" t="s">
        <v>1360</v>
      </c>
      <c r="C72" s="3157" t="s">
        <v>2155</v>
      </c>
      <c r="D72" s="3158"/>
      <c r="E72" s="3158"/>
      <c r="F72" s="3158"/>
      <c r="G72" s="3158"/>
      <c r="H72" s="3158"/>
      <c r="I72" s="1910"/>
      <c r="J72" s="1910"/>
      <c r="K72" s="1910"/>
      <c r="L72" s="1910"/>
    </row>
    <row r="73" spans="1:12" ht="35.25" customHeight="1" x14ac:dyDescent="0.35">
      <c r="B73" s="3156"/>
      <c r="C73" s="1918" t="s">
        <v>1705</v>
      </c>
      <c r="D73" s="1918" t="s">
        <v>1691</v>
      </c>
      <c r="E73" s="1918" t="s">
        <v>1706</v>
      </c>
      <c r="F73" s="1918" t="s">
        <v>1707</v>
      </c>
      <c r="G73" s="1918" t="s">
        <v>1708</v>
      </c>
      <c r="H73" s="1917" t="s">
        <v>2383</v>
      </c>
      <c r="I73" s="1910"/>
      <c r="J73" s="1910"/>
      <c r="K73" s="1910"/>
      <c r="L73" s="1910"/>
    </row>
    <row r="74" spans="1:12" x14ac:dyDescent="0.35">
      <c r="B74" s="1916" t="s">
        <v>2384</v>
      </c>
      <c r="C74" s="1915">
        <v>2746</v>
      </c>
      <c r="D74" s="1915">
        <v>2768</v>
      </c>
      <c r="E74" s="1915">
        <v>2656</v>
      </c>
      <c r="F74" s="1915">
        <v>2155</v>
      </c>
      <c r="G74" s="1915">
        <v>2420</v>
      </c>
      <c r="H74" s="1913">
        <f t="shared" ref="H74:H90" si="10">C74*$J$75+D74*$J$76+E74*$J$77</f>
        <v>2750.2</v>
      </c>
      <c r="I74" s="1910" t="s">
        <v>2385</v>
      </c>
      <c r="J74" s="1910"/>
      <c r="K74" s="1910"/>
      <c r="L74" s="1910"/>
    </row>
    <row r="75" spans="1:12" x14ac:dyDescent="0.35">
      <c r="B75" s="1916" t="s">
        <v>2386</v>
      </c>
      <c r="C75" s="1914">
        <v>996</v>
      </c>
      <c r="D75" s="1914">
        <v>879</v>
      </c>
      <c r="E75" s="1914">
        <v>824</v>
      </c>
      <c r="F75" s="1914">
        <v>519</v>
      </c>
      <c r="G75" s="1914">
        <v>544</v>
      </c>
      <c r="H75" s="1913">
        <f t="shared" si="10"/>
        <v>908.6</v>
      </c>
      <c r="I75" s="1913" t="s">
        <v>2387</v>
      </c>
      <c r="J75" s="671">
        <v>0.3</v>
      </c>
      <c r="K75" s="1910"/>
      <c r="L75" s="1910"/>
    </row>
    <row r="76" spans="1:12" x14ac:dyDescent="0.35">
      <c r="B76" s="1916" t="s">
        <v>2388</v>
      </c>
      <c r="C76" s="1914">
        <v>797</v>
      </c>
      <c r="D76" s="1914">
        <v>666</v>
      </c>
      <c r="E76" s="1914">
        <v>647</v>
      </c>
      <c r="F76" s="1914">
        <v>343</v>
      </c>
      <c r="G76" s="1914">
        <v>329</v>
      </c>
      <c r="H76" s="1913">
        <f t="shared" si="10"/>
        <v>703.4</v>
      </c>
      <c r="I76" s="1913" t="s">
        <v>2389</v>
      </c>
      <c r="J76" s="671">
        <v>0.6</v>
      </c>
      <c r="K76" s="1910"/>
      <c r="L76" s="1910"/>
    </row>
    <row r="77" spans="1:12" x14ac:dyDescent="0.35">
      <c r="B77" s="1916" t="s">
        <v>1850</v>
      </c>
      <c r="C77" s="1914">
        <v>696</v>
      </c>
      <c r="D77" s="1914">
        <v>550</v>
      </c>
      <c r="E77" s="1914">
        <v>585</v>
      </c>
      <c r="F77" s="1914">
        <v>272</v>
      </c>
      <c r="G77" s="1914">
        <v>297</v>
      </c>
      <c r="H77" s="1913">
        <f t="shared" si="10"/>
        <v>597.29999999999995</v>
      </c>
      <c r="I77" s="1913" t="s">
        <v>2390</v>
      </c>
      <c r="J77" s="671">
        <v>0.1</v>
      </c>
      <c r="K77" s="1910"/>
      <c r="L77" s="1910"/>
    </row>
    <row r="78" spans="1:12" x14ac:dyDescent="0.35">
      <c r="B78" s="1916" t="s">
        <v>2391</v>
      </c>
      <c r="C78" s="1915">
        <v>1118</v>
      </c>
      <c r="D78" s="1915">
        <v>1036</v>
      </c>
      <c r="E78" s="1915">
        <v>1029</v>
      </c>
      <c r="F78" s="1914">
        <v>694</v>
      </c>
      <c r="G78" s="1914">
        <v>737</v>
      </c>
      <c r="H78" s="1913">
        <f t="shared" si="10"/>
        <v>1059.9000000000001</v>
      </c>
      <c r="I78" s="1910"/>
      <c r="J78" s="1910"/>
      <c r="K78" s="1910"/>
      <c r="L78" s="1910"/>
    </row>
    <row r="79" spans="1:12" x14ac:dyDescent="0.35">
      <c r="B79" s="1916" t="s">
        <v>2392</v>
      </c>
      <c r="C79" s="1915">
        <v>1116</v>
      </c>
      <c r="D79" s="1915">
        <v>1123</v>
      </c>
      <c r="E79" s="1914">
        <v>904</v>
      </c>
      <c r="F79" s="1914">
        <v>771</v>
      </c>
      <c r="G79" s="1914">
        <v>857</v>
      </c>
      <c r="H79" s="1913">
        <f t="shared" si="10"/>
        <v>1099</v>
      </c>
      <c r="I79" s="1910"/>
      <c r="J79" s="1910"/>
      <c r="K79" s="1910"/>
      <c r="L79" s="1910"/>
    </row>
    <row r="80" spans="1:12" x14ac:dyDescent="0.35">
      <c r="B80" s="1916" t="s">
        <v>2393</v>
      </c>
      <c r="C80" s="1915">
        <v>2098</v>
      </c>
      <c r="D80" s="1915">
        <v>2050</v>
      </c>
      <c r="E80" s="1915">
        <v>1780</v>
      </c>
      <c r="F80" s="1915">
        <v>1365</v>
      </c>
      <c r="G80" s="1915">
        <v>1666</v>
      </c>
      <c r="H80" s="1913">
        <f t="shared" si="10"/>
        <v>2037.4</v>
      </c>
      <c r="I80" s="1910"/>
      <c r="J80" s="1910"/>
      <c r="K80" s="1910"/>
      <c r="L80" s="1910"/>
    </row>
    <row r="81" spans="2:12" x14ac:dyDescent="0.35">
      <c r="B81" s="1916" t="s">
        <v>2394</v>
      </c>
      <c r="C81" s="1914">
        <v>969</v>
      </c>
      <c r="D81" s="1914">
        <v>807</v>
      </c>
      <c r="E81" s="1914">
        <v>999</v>
      </c>
      <c r="F81" s="1914">
        <v>569</v>
      </c>
      <c r="G81" s="1914">
        <v>674</v>
      </c>
      <c r="H81" s="1913">
        <f t="shared" si="10"/>
        <v>874.8</v>
      </c>
      <c r="I81" s="1910"/>
      <c r="J81" s="1910"/>
      <c r="K81" s="1910"/>
      <c r="L81" s="1910"/>
    </row>
    <row r="82" spans="2:12" x14ac:dyDescent="0.35">
      <c r="B82" s="1916" t="s">
        <v>2395</v>
      </c>
      <c r="C82" s="1915">
        <v>2031</v>
      </c>
      <c r="D82" s="1915">
        <v>1929</v>
      </c>
      <c r="E82" s="1915">
        <v>1863</v>
      </c>
      <c r="F82" s="1915">
        <v>1497</v>
      </c>
      <c r="G82" s="1915">
        <v>1800</v>
      </c>
      <c r="H82" s="1913">
        <f t="shared" si="10"/>
        <v>1952.9999999999998</v>
      </c>
      <c r="I82" s="1910"/>
      <c r="J82" s="1910"/>
      <c r="K82" s="1910"/>
      <c r="L82" s="1910"/>
    </row>
    <row r="83" spans="2:12" x14ac:dyDescent="0.35">
      <c r="B83" s="1916" t="s">
        <v>2396</v>
      </c>
      <c r="C83" s="1914">
        <v>970</v>
      </c>
      <c r="D83" s="1914">
        <v>840</v>
      </c>
      <c r="E83" s="1914">
        <v>927</v>
      </c>
      <c r="F83" s="1914">
        <v>524</v>
      </c>
      <c r="G83" s="1914">
        <v>637</v>
      </c>
      <c r="H83" s="1913">
        <f t="shared" si="10"/>
        <v>887.7</v>
      </c>
      <c r="I83" s="1910"/>
      <c r="J83" s="1910"/>
      <c r="K83" s="1910"/>
      <c r="L83" s="1910"/>
    </row>
    <row r="84" spans="2:12" x14ac:dyDescent="0.35">
      <c r="B84" s="1916" t="s">
        <v>2397</v>
      </c>
      <c r="C84" s="1915">
        <v>1830</v>
      </c>
      <c r="D84" s="1915">
        <v>1657</v>
      </c>
      <c r="E84" s="1915">
        <v>1730</v>
      </c>
      <c r="F84" s="1915">
        <v>1276</v>
      </c>
      <c r="G84" s="1915">
        <v>1484</v>
      </c>
      <c r="H84" s="1913">
        <f t="shared" si="10"/>
        <v>1716.1999999999998</v>
      </c>
      <c r="I84" s="1910"/>
      <c r="J84" s="1910"/>
      <c r="K84" s="1910"/>
      <c r="L84" s="1910"/>
    </row>
    <row r="85" spans="2:12" x14ac:dyDescent="0.35">
      <c r="B85" s="1916" t="s">
        <v>1859</v>
      </c>
      <c r="C85" s="1915">
        <v>1496</v>
      </c>
      <c r="D85" s="1915">
        <v>1379</v>
      </c>
      <c r="E85" s="1915">
        <v>1291</v>
      </c>
      <c r="F85" s="1914">
        <v>872</v>
      </c>
      <c r="G85" s="1915">
        <v>1185</v>
      </c>
      <c r="H85" s="1913">
        <f t="shared" si="10"/>
        <v>1405.3</v>
      </c>
      <c r="I85" s="1910"/>
      <c r="J85" s="1910"/>
      <c r="K85" s="1910"/>
      <c r="L85" s="1910"/>
    </row>
    <row r="86" spans="2:12" x14ac:dyDescent="0.35">
      <c r="B86" s="1916" t="s">
        <v>2398</v>
      </c>
      <c r="C86" s="1915">
        <v>1266</v>
      </c>
      <c r="D86" s="1915">
        <v>1147</v>
      </c>
      <c r="E86" s="1915">
        <v>1151</v>
      </c>
      <c r="F86" s="1914">
        <v>732</v>
      </c>
      <c r="G86" s="1914">
        <v>863</v>
      </c>
      <c r="H86" s="1913">
        <f t="shared" si="10"/>
        <v>1183.0999999999999</v>
      </c>
      <c r="I86" s="1910"/>
      <c r="J86" s="1910"/>
      <c r="K86" s="1910"/>
      <c r="L86" s="1910"/>
    </row>
    <row r="87" spans="2:12" x14ac:dyDescent="0.35">
      <c r="B87" s="1916" t="s">
        <v>2399</v>
      </c>
      <c r="C87" s="1915">
        <v>1065</v>
      </c>
      <c r="D87" s="1914">
        <v>927</v>
      </c>
      <c r="E87" s="1914">
        <v>900</v>
      </c>
      <c r="F87" s="1914">
        <v>578</v>
      </c>
      <c r="G87" s="1914">
        <v>646</v>
      </c>
      <c r="H87" s="1913">
        <f t="shared" si="10"/>
        <v>965.69999999999993</v>
      </c>
      <c r="I87" s="1910"/>
      <c r="J87" s="1910"/>
      <c r="K87" s="1910"/>
      <c r="L87" s="1910"/>
    </row>
    <row r="88" spans="2:12" x14ac:dyDescent="0.35">
      <c r="B88" s="1916" t="s">
        <v>2400</v>
      </c>
      <c r="C88" s="1914">
        <v>373</v>
      </c>
      <c r="D88" s="1914">
        <v>404</v>
      </c>
      <c r="E88" s="1914">
        <v>376</v>
      </c>
      <c r="F88" s="1914">
        <v>187</v>
      </c>
      <c r="G88" s="1914">
        <v>187</v>
      </c>
      <c r="H88" s="1913">
        <f t="shared" si="10"/>
        <v>391.9</v>
      </c>
      <c r="I88" s="1910"/>
      <c r="J88" s="1910"/>
      <c r="K88" s="1910"/>
      <c r="L88" s="1910"/>
    </row>
    <row r="89" spans="2:12" x14ac:dyDescent="0.35">
      <c r="B89" s="1916" t="s">
        <v>1862</v>
      </c>
      <c r="C89" s="1914">
        <v>416</v>
      </c>
      <c r="D89" s="1914">
        <v>443</v>
      </c>
      <c r="E89" s="1914">
        <v>427</v>
      </c>
      <c r="F89" s="1914">
        <v>226</v>
      </c>
      <c r="G89" s="1914">
        <v>232</v>
      </c>
      <c r="H89" s="1913">
        <f t="shared" si="10"/>
        <v>433.3</v>
      </c>
      <c r="I89" s="1910"/>
      <c r="J89" s="1910"/>
      <c r="K89" s="1910"/>
      <c r="L89" s="1910"/>
    </row>
    <row r="90" spans="2:12" x14ac:dyDescent="0.35">
      <c r="B90" s="1916" t="s">
        <v>1185</v>
      </c>
      <c r="C90" s="1915">
        <v>1249</v>
      </c>
      <c r="D90" s="1915">
        <v>1163</v>
      </c>
      <c r="E90" s="1915">
        <v>1130</v>
      </c>
      <c r="F90" s="1914">
        <v>786</v>
      </c>
      <c r="G90" s="1914">
        <v>910</v>
      </c>
      <c r="H90" s="1913">
        <f t="shared" si="10"/>
        <v>1185.5</v>
      </c>
      <c r="I90" s="1910"/>
      <c r="J90" s="1910"/>
      <c r="K90" s="1910"/>
      <c r="L90" s="1910"/>
    </row>
    <row r="91" spans="2:12" x14ac:dyDescent="0.35">
      <c r="B91" s="1910"/>
      <c r="C91" s="1912"/>
      <c r="D91" s="1910"/>
      <c r="E91" s="1910"/>
      <c r="F91" s="1910"/>
      <c r="G91" s="1910"/>
      <c r="H91" s="1911">
        <f>AVERAGE(H74:H90)</f>
        <v>1185.4294117647059</v>
      </c>
      <c r="I91" s="1910"/>
      <c r="J91" s="1910"/>
      <c r="K91" s="1910"/>
      <c r="L91" s="1910"/>
    </row>
  </sheetData>
  <mergeCells count="20">
    <mergeCell ref="B72:B73"/>
    <mergeCell ref="C72:H72"/>
    <mergeCell ref="K32:K33"/>
    <mergeCell ref="L32:L33"/>
    <mergeCell ref="L34:L35"/>
    <mergeCell ref="W2:AA2"/>
    <mergeCell ref="C39:I40"/>
    <mergeCell ref="T2:V2"/>
    <mergeCell ref="J25:L25"/>
    <mergeCell ref="J28:J29"/>
    <mergeCell ref="K28:K29"/>
    <mergeCell ref="L28:L29"/>
    <mergeCell ref="K30:K31"/>
    <mergeCell ref="L30:L31"/>
    <mergeCell ref="J32:J33"/>
    <mergeCell ref="J36:J37"/>
    <mergeCell ref="K36:K37"/>
    <mergeCell ref="L36:L37"/>
    <mergeCell ref="N2:P2"/>
    <mergeCell ref="Q2:S2"/>
  </mergeCells>
  <phoneticPr fontId="152" type="noConversion"/>
  <dataValidations count="5">
    <dataValidation type="list" allowBlank="1" showInputMessage="1" showErrorMessage="1" sqref="M20 N4:N19" xr:uid="{00000000-0002-0000-0C00-000004000000}">
      <formula1>$B$44:$B$45</formula1>
    </dataValidation>
    <dataValidation type="list" allowBlank="1" showInputMessage="1" showErrorMessage="1" sqref="D4:D20" xr:uid="{00000000-0002-0000-0C00-000003000000}">
      <formula1>MeasureType</formula1>
    </dataValidation>
    <dataValidation type="list" allowBlank="1" showInputMessage="1" showErrorMessage="1" sqref="E4:E20" xr:uid="{00000000-0002-0000-0C00-000002000000}">
      <formula1>HEBr1</formula1>
    </dataValidation>
    <dataValidation type="list" allowBlank="1" showInputMessage="1" showErrorMessage="1" sqref="E57:E66 H20 I4:I19" xr:uid="{00000000-0002-0000-0C00-000001000000}">
      <formula1>HEBr5</formula1>
    </dataValidation>
    <dataValidation type="list" allowBlank="1" showInputMessage="1" showErrorMessage="1" sqref="F57:F66 I20 J4:J19" xr:uid="{00000000-0002-0000-0C00-000000000000}">
      <formula1>HEBr3</formula1>
    </dataValidation>
  </dataValidations>
  <hyperlinks>
    <hyperlink ref="W36" r:id="rId1" xr:uid="{DE070317-5B92-4306-84C6-8057B22F2734}"/>
    <hyperlink ref="A1" location="'Measure-Level Adjustments'!Print_Titles" display="Measure Level Tab" xr:uid="{73CD734B-D5A9-4BCF-93A8-8B77AA0D0C59}"/>
  </hyperlinks>
  <pageMargins left="0.7" right="0.7" top="0.75" bottom="0.75" header="0.3" footer="0.3"/>
  <pageSetup orientation="portrait"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A0F3D-2761-4D9A-AA0F-4E57B212D3F3}">
  <dimension ref="A1:DN622"/>
  <sheetViews>
    <sheetView zoomScale="70" zoomScaleNormal="70" zoomScaleSheetLayoutView="70" workbookViewId="0">
      <selection sqref="A1:B1048576"/>
    </sheetView>
  </sheetViews>
  <sheetFormatPr defaultRowHeight="18.5" x14ac:dyDescent="0.45"/>
  <cols>
    <col min="1" max="1" width="15.26953125" customWidth="1"/>
    <col min="2" max="2" width="21.26953125" customWidth="1"/>
    <col min="3" max="3" width="35.7265625" customWidth="1"/>
    <col min="4" max="4" width="16.453125" style="1701" customWidth="1"/>
    <col min="5" max="5" width="16.26953125" customWidth="1"/>
    <col min="6" max="6" width="11.81640625" customWidth="1"/>
    <col min="7" max="10" width="18" customWidth="1"/>
    <col min="11" max="11" width="19.81640625" customWidth="1"/>
    <col min="12" max="12" width="40.54296875" customWidth="1"/>
    <col min="13" max="13" width="42.81640625" customWidth="1"/>
    <col min="14" max="14" width="15.7265625" customWidth="1"/>
    <col min="15" max="16" width="15" customWidth="1"/>
    <col min="17" max="17" width="13.453125" customWidth="1"/>
    <col min="18" max="21" width="17.7265625" customWidth="1"/>
    <col min="22" max="24" width="18.81640625" customWidth="1"/>
    <col min="25" max="25" width="17.453125" customWidth="1"/>
    <col min="26" max="26" width="29.1796875" customWidth="1"/>
    <col min="27" max="30" width="17.453125" customWidth="1"/>
    <col min="31" max="31" width="22.54296875" customWidth="1"/>
    <col min="32" max="32" width="28.26953125" customWidth="1"/>
    <col min="33" max="33" width="25.453125" customWidth="1"/>
    <col min="34" max="34" width="26.26953125" customWidth="1"/>
    <col min="35" max="35" width="20.54296875" customWidth="1"/>
    <col min="36" max="36" width="19.54296875" customWidth="1"/>
    <col min="37" max="37" width="20.81640625" customWidth="1"/>
    <col min="38" max="39" width="21.81640625" customWidth="1"/>
    <col min="40" max="40" width="40.453125" customWidth="1"/>
    <col min="41" max="41" width="43.7265625" customWidth="1"/>
    <col min="42" max="42" width="23.7265625" customWidth="1"/>
    <col min="43" max="43" width="36" customWidth="1"/>
    <col min="44" max="44" width="26.54296875" customWidth="1"/>
    <col min="45" max="45" width="29.26953125" customWidth="1"/>
    <col min="46" max="46" width="40.81640625" customWidth="1"/>
    <col min="47" max="47" width="46" customWidth="1"/>
    <col min="48" max="48" width="40.453125" style="1568" customWidth="1"/>
    <col min="49" max="49" width="27.453125" customWidth="1"/>
    <col min="50" max="50" width="24.1796875" customWidth="1"/>
    <col min="51" max="51" width="29" customWidth="1"/>
    <col min="52" max="52" width="29.26953125" customWidth="1"/>
    <col min="53" max="53" width="37" customWidth="1"/>
    <col min="54" max="54" width="42.453125" customWidth="1"/>
    <col min="55" max="55" width="29.26953125" customWidth="1"/>
    <col min="56" max="56" width="25.7265625" customWidth="1"/>
    <col min="57" max="57" width="29" customWidth="1"/>
    <col min="58" max="58" width="29.26953125" customWidth="1"/>
    <col min="59" max="59" width="41.54296875" customWidth="1"/>
    <col min="60" max="60" width="42.453125" customWidth="1"/>
    <col min="61" max="61" width="27.81640625" customWidth="1"/>
    <col min="62" max="62" width="25.7265625" customWidth="1"/>
    <col min="63" max="67" width="30" customWidth="1"/>
    <col min="68" max="68" width="49.453125" customWidth="1"/>
    <col min="69" max="69" width="37.26953125" customWidth="1"/>
    <col min="70" max="70" width="17.81640625" customWidth="1"/>
    <col min="71" max="74" width="20.1796875" customWidth="1"/>
    <col min="75" max="75" width="21.453125" customWidth="1"/>
    <col min="76" max="76" width="24.26953125" customWidth="1"/>
    <col min="77" max="77" width="23" customWidth="1"/>
    <col min="78" max="78" width="23.7265625" customWidth="1"/>
    <col min="79" max="79" width="23.81640625" customWidth="1"/>
    <col min="80" max="80" width="19.81640625" style="1519" customWidth="1"/>
    <col min="81" max="81" width="19.453125" style="1519" customWidth="1"/>
    <col min="82" max="82" width="20.26953125" style="1519" customWidth="1"/>
    <col min="83" max="83" width="19" style="1519" customWidth="1"/>
    <col min="84" max="84" width="24.1796875" style="1520" customWidth="1"/>
    <col min="85" max="88" width="25.453125" style="1520" customWidth="1"/>
    <col min="89" max="89" width="28.26953125" customWidth="1"/>
    <col min="90" max="91" width="15.81640625" customWidth="1"/>
    <col min="92" max="92" width="22.7265625" style="1701" customWidth="1"/>
    <col min="93" max="100" width="22.7265625" customWidth="1"/>
    <col min="101" max="101" width="27" customWidth="1"/>
    <col min="102" max="117" width="22.7265625" customWidth="1"/>
    <col min="118" max="118" width="12.54296875" customWidth="1"/>
  </cols>
  <sheetData>
    <row r="1" spans="1:118" x14ac:dyDescent="0.45">
      <c r="A1" s="46" t="s">
        <v>121</v>
      </c>
      <c r="B1" s="1319"/>
      <c r="I1" s="2067" t="s">
        <v>122</v>
      </c>
      <c r="J1" s="2067" t="s">
        <v>123</v>
      </c>
      <c r="AW1" s="1701"/>
    </row>
    <row r="2" spans="1:118" x14ac:dyDescent="0.45">
      <c r="A2" s="2806">
        <v>44592</v>
      </c>
      <c r="B2" s="1319"/>
      <c r="C2" s="1973"/>
      <c r="D2" s="2858" t="s">
        <v>124</v>
      </c>
      <c r="F2" s="1701"/>
      <c r="R2" s="2913"/>
      <c r="S2" s="2913"/>
      <c r="T2" s="2913"/>
      <c r="U2" s="2913"/>
      <c r="V2" s="2913"/>
      <c r="W2" s="2913"/>
      <c r="X2" s="2913"/>
      <c r="Y2" s="2913"/>
      <c r="AR2" s="1701"/>
      <c r="AW2" s="1701"/>
      <c r="BL2" s="2067">
        <v>2022</v>
      </c>
      <c r="CC2"/>
    </row>
    <row r="3" spans="1:118" s="1143" customFormat="1" ht="15.5" x14ac:dyDescent="0.35">
      <c r="A3" s="1320" t="s">
        <v>25</v>
      </c>
      <c r="C3" s="1701"/>
      <c r="D3" s="1973"/>
      <c r="E3" s="1701"/>
      <c r="BW3" s="1603"/>
      <c r="BX3" s="1603"/>
      <c r="BY3" s="1603"/>
      <c r="BZ3" s="1603"/>
      <c r="CA3" s="1603"/>
      <c r="CB3" s="1603"/>
      <c r="CC3" s="1603"/>
      <c r="CD3" s="1603"/>
      <c r="CE3" s="1603"/>
      <c r="CF3" s="1603"/>
      <c r="CG3" s="1603"/>
      <c r="CH3" s="1603"/>
      <c r="CI3" s="1603"/>
      <c r="CJ3" s="1603"/>
      <c r="CN3" s="1794"/>
    </row>
    <row r="4" spans="1:118" s="1331" customFormat="1" ht="33" customHeight="1" x14ac:dyDescent="0.35">
      <c r="B4" s="1350"/>
      <c r="C4" s="1351"/>
      <c r="D4" s="2528"/>
      <c r="E4" s="1351"/>
      <c r="F4" s="1779"/>
      <c r="G4" s="2929" t="s">
        <v>125</v>
      </c>
      <c r="H4" s="2930"/>
      <c r="I4" s="2930"/>
      <c r="J4" s="2930"/>
      <c r="K4" s="2931"/>
      <c r="L4" s="2932" t="s">
        <v>126</v>
      </c>
      <c r="M4" s="2933"/>
      <c r="N4" s="2933"/>
      <c r="O4" s="2933"/>
      <c r="P4" s="2933"/>
      <c r="Q4" s="2934"/>
      <c r="R4" s="2859"/>
      <c r="S4" s="2859"/>
      <c r="T4" s="2859"/>
      <c r="U4" s="2859"/>
      <c r="V4" s="2932" t="s">
        <v>126</v>
      </c>
      <c r="W4" s="2933"/>
      <c r="X4" s="2933"/>
      <c r="Y4" s="2933"/>
      <c r="Z4" s="2933"/>
      <c r="AA4" s="2933"/>
      <c r="AB4" s="2933"/>
      <c r="AC4" s="2933"/>
      <c r="AD4" s="2933"/>
      <c r="AE4" s="2933"/>
      <c r="AF4" s="2933"/>
      <c r="AG4" s="2933"/>
      <c r="AH4" s="2933"/>
      <c r="AI4" s="2933"/>
      <c r="AJ4" s="2933"/>
      <c r="AK4" s="2933"/>
      <c r="AL4" s="2933"/>
      <c r="AM4" s="2934"/>
      <c r="AN4" s="2944" t="s">
        <v>127</v>
      </c>
      <c r="AO4" s="2945"/>
      <c r="AP4" s="2945"/>
      <c r="AQ4" s="2945"/>
      <c r="AR4" s="2945"/>
      <c r="AS4" s="2946"/>
      <c r="AT4" s="2947" t="s">
        <v>128</v>
      </c>
      <c r="AU4" s="2948"/>
      <c r="AV4" s="2948"/>
      <c r="AW4" s="2948"/>
      <c r="AX4" s="2948"/>
      <c r="AY4" s="2949"/>
      <c r="AZ4" s="2962" t="s">
        <v>129</v>
      </c>
      <c r="BA4" s="2963"/>
      <c r="BB4" s="2963"/>
      <c r="BC4" s="2963"/>
      <c r="BD4" s="2963"/>
      <c r="BE4" s="2964"/>
      <c r="BF4" s="2965" t="s">
        <v>130</v>
      </c>
      <c r="BG4" s="2966"/>
      <c r="BH4" s="2966"/>
      <c r="BI4" s="2966"/>
      <c r="BJ4" s="2966"/>
      <c r="BK4" s="2967"/>
      <c r="BL4" s="2981" t="s">
        <v>131</v>
      </c>
      <c r="BM4" s="2982"/>
      <c r="BN4" s="2982"/>
      <c r="BO4" s="2982"/>
      <c r="BP4" s="2983"/>
      <c r="BQ4" s="2914" t="s">
        <v>132</v>
      </c>
      <c r="BR4" s="2914"/>
      <c r="BS4" s="2915" t="s">
        <v>133</v>
      </c>
      <c r="BT4" s="2917" t="s">
        <v>134</v>
      </c>
      <c r="BU4" s="2918"/>
      <c r="BV4" s="2918"/>
      <c r="BW4" s="2919"/>
      <c r="BX4" s="2917" t="s">
        <v>135</v>
      </c>
      <c r="BY4" s="2918"/>
      <c r="BZ4" s="2918"/>
      <c r="CA4" s="2918"/>
      <c r="CB4" s="2919"/>
      <c r="CC4" s="2968" t="s">
        <v>133</v>
      </c>
      <c r="CD4" s="2969"/>
      <c r="CE4" s="2969"/>
      <c r="CF4" s="2970"/>
      <c r="CG4" s="2974" t="s">
        <v>136</v>
      </c>
      <c r="CH4" s="2974"/>
      <c r="CI4" s="2974"/>
      <c r="CJ4" s="2974"/>
      <c r="CK4" s="2974"/>
      <c r="CM4" s="2956" t="s">
        <v>137</v>
      </c>
      <c r="CN4" s="2957"/>
      <c r="CO4" s="2957"/>
      <c r="CP4" s="2957"/>
      <c r="CQ4" s="2957"/>
      <c r="CR4" s="2958"/>
    </row>
    <row r="5" spans="1:118" s="1785" customFormat="1" ht="42.75" customHeight="1" x14ac:dyDescent="0.35">
      <c r="B5" s="1786"/>
      <c r="C5" s="1787"/>
      <c r="D5" s="1787"/>
      <c r="E5" s="1787"/>
      <c r="F5" s="1787"/>
      <c r="G5" s="2923" t="s">
        <v>138</v>
      </c>
      <c r="H5" s="2924"/>
      <c r="I5" s="2924"/>
      <c r="J5" s="2924"/>
      <c r="K5" s="2925"/>
      <c r="L5" s="2926" t="s">
        <v>139</v>
      </c>
      <c r="M5" s="2927"/>
      <c r="N5" s="2927"/>
      <c r="O5" s="2927"/>
      <c r="P5" s="2927"/>
      <c r="Q5" s="2928"/>
      <c r="R5" s="2941" t="s">
        <v>140</v>
      </c>
      <c r="S5" s="2942"/>
      <c r="T5" s="2942"/>
      <c r="U5" s="2943"/>
      <c r="V5" s="2941" t="s">
        <v>141</v>
      </c>
      <c r="W5" s="2942"/>
      <c r="X5" s="2942"/>
      <c r="Y5" s="2943"/>
      <c r="Z5" s="2410" t="s">
        <v>142</v>
      </c>
      <c r="AA5" s="2935" t="s">
        <v>143</v>
      </c>
      <c r="AB5" s="2936"/>
      <c r="AC5" s="2936"/>
      <c r="AD5" s="2937"/>
      <c r="AE5" s="2938" t="s">
        <v>144</v>
      </c>
      <c r="AF5" s="2939"/>
      <c r="AG5" s="2939"/>
      <c r="AH5" s="2940"/>
      <c r="AI5" s="2926" t="s">
        <v>145</v>
      </c>
      <c r="AJ5" s="2927"/>
      <c r="AK5" s="2927"/>
      <c r="AL5" s="2927"/>
      <c r="AM5" s="2928"/>
      <c r="AN5" s="2950" t="s">
        <v>146</v>
      </c>
      <c r="AO5" s="2951"/>
      <c r="AP5" s="2951"/>
      <c r="AQ5" s="2952"/>
      <c r="AR5" s="1788" t="s">
        <v>34</v>
      </c>
      <c r="AS5" s="1788" t="s">
        <v>35</v>
      </c>
      <c r="AT5" s="2953" t="s">
        <v>147</v>
      </c>
      <c r="AU5" s="2954"/>
      <c r="AV5" s="2954"/>
      <c r="AW5" s="2955"/>
      <c r="AX5" s="1789" t="s">
        <v>34</v>
      </c>
      <c r="AY5" s="1789" t="s">
        <v>35</v>
      </c>
      <c r="AZ5" s="2975" t="s">
        <v>148</v>
      </c>
      <c r="BA5" s="2976"/>
      <c r="BB5" s="2976"/>
      <c r="BC5" s="2977"/>
      <c r="BD5" s="1790" t="s">
        <v>34</v>
      </c>
      <c r="BE5" s="1790" t="s">
        <v>35</v>
      </c>
      <c r="BF5" s="2978" t="s">
        <v>149</v>
      </c>
      <c r="BG5" s="2979"/>
      <c r="BH5" s="2979"/>
      <c r="BI5" s="2980"/>
      <c r="BJ5" s="1791" t="s">
        <v>34</v>
      </c>
      <c r="BK5" s="1791" t="s">
        <v>35</v>
      </c>
      <c r="BL5" s="2984"/>
      <c r="BM5" s="2985"/>
      <c r="BN5" s="2985"/>
      <c r="BO5" s="2985"/>
      <c r="BP5" s="2986"/>
      <c r="BQ5" s="1792" t="s">
        <v>150</v>
      </c>
      <c r="BR5" s="1793" t="s">
        <v>151</v>
      </c>
      <c r="BS5" s="2916"/>
      <c r="BT5" s="2920"/>
      <c r="BU5" s="2921"/>
      <c r="BV5" s="2921"/>
      <c r="BW5" s="2922"/>
      <c r="BX5" s="2920"/>
      <c r="BY5" s="2921"/>
      <c r="BZ5" s="2921"/>
      <c r="CA5" s="2921"/>
      <c r="CB5" s="2922"/>
      <c r="CC5" s="2971"/>
      <c r="CD5" s="2972"/>
      <c r="CE5" s="2972"/>
      <c r="CF5" s="2973"/>
      <c r="CG5" s="2974"/>
      <c r="CH5" s="2974"/>
      <c r="CI5" s="2974"/>
      <c r="CJ5" s="2974"/>
      <c r="CK5" s="2974"/>
      <c r="CM5" s="2959" t="s">
        <v>152</v>
      </c>
      <c r="CN5" s="2960"/>
      <c r="CO5" s="2960"/>
      <c r="CP5" s="2960"/>
      <c r="CQ5" s="2960"/>
      <c r="CR5" s="2961"/>
      <c r="CS5" s="2926" t="s">
        <v>153</v>
      </c>
      <c r="CT5" s="2927"/>
      <c r="CU5" s="2927"/>
      <c r="CV5" s="2927"/>
      <c r="CW5" s="2928"/>
    </row>
    <row r="6" spans="1:118" s="1322" customFormat="1" ht="122.15" customHeight="1" x14ac:dyDescent="0.35">
      <c r="A6" s="17" t="s">
        <v>55</v>
      </c>
      <c r="B6" s="17" t="s">
        <v>154</v>
      </c>
      <c r="C6" s="17" t="s">
        <v>155</v>
      </c>
      <c r="D6" s="1352" t="s">
        <v>156</v>
      </c>
      <c r="E6" s="1352" t="s">
        <v>157</v>
      </c>
      <c r="F6" s="1352" t="s">
        <v>158</v>
      </c>
      <c r="G6" s="1353" t="s">
        <v>159</v>
      </c>
      <c r="H6" s="21" t="s">
        <v>160</v>
      </c>
      <c r="I6" s="21" t="s">
        <v>161</v>
      </c>
      <c r="J6" s="21" t="s">
        <v>162</v>
      </c>
      <c r="K6" s="21" t="s">
        <v>163</v>
      </c>
      <c r="L6" s="1354" t="s">
        <v>164</v>
      </c>
      <c r="M6" s="1354" t="s">
        <v>165</v>
      </c>
      <c r="N6" s="1354" t="s">
        <v>166</v>
      </c>
      <c r="O6" s="1354" t="s">
        <v>167</v>
      </c>
      <c r="P6" s="1354" t="s">
        <v>168</v>
      </c>
      <c r="Q6" s="1354" t="s">
        <v>169</v>
      </c>
      <c r="R6" s="18" t="s">
        <v>170</v>
      </c>
      <c r="S6" s="18" t="s">
        <v>171</v>
      </c>
      <c r="T6" s="18" t="s">
        <v>172</v>
      </c>
      <c r="U6" s="18" t="s">
        <v>173</v>
      </c>
      <c r="V6" s="2886" t="s">
        <v>174</v>
      </c>
      <c r="W6" s="2886" t="s">
        <v>175</v>
      </c>
      <c r="X6" s="2886" t="s">
        <v>176</v>
      </c>
      <c r="Y6" s="2886" t="s">
        <v>177</v>
      </c>
      <c r="Z6" s="1782" t="s">
        <v>178</v>
      </c>
      <c r="AA6" s="1784" t="s">
        <v>179</v>
      </c>
      <c r="AB6" s="1784" t="s">
        <v>180</v>
      </c>
      <c r="AC6" s="1784" t="s">
        <v>181</v>
      </c>
      <c r="AD6" s="1784" t="s">
        <v>182</v>
      </c>
      <c r="AE6" s="2527" t="s">
        <v>183</v>
      </c>
      <c r="AF6" s="2527" t="s">
        <v>184</v>
      </c>
      <c r="AG6" s="2527" t="s">
        <v>185</v>
      </c>
      <c r="AH6" s="2527" t="s">
        <v>186</v>
      </c>
      <c r="AI6" s="1354" t="s">
        <v>187</v>
      </c>
      <c r="AJ6" s="1354" t="s">
        <v>188</v>
      </c>
      <c r="AK6" s="1354" t="s">
        <v>189</v>
      </c>
      <c r="AL6" s="1354" t="s">
        <v>190</v>
      </c>
      <c r="AM6" s="1354" t="s">
        <v>191</v>
      </c>
      <c r="AN6" s="1355" t="s">
        <v>192</v>
      </c>
      <c r="AO6" s="1355" t="s">
        <v>165</v>
      </c>
      <c r="AP6" s="1355" t="s">
        <v>193</v>
      </c>
      <c r="AQ6" s="1355" t="s">
        <v>194</v>
      </c>
      <c r="AR6" s="1355" t="s">
        <v>195</v>
      </c>
      <c r="AS6" s="1355" t="s">
        <v>196</v>
      </c>
      <c r="AT6" s="1356" t="s">
        <v>197</v>
      </c>
      <c r="AU6" s="1356" t="s">
        <v>165</v>
      </c>
      <c r="AV6" s="1356" t="s">
        <v>198</v>
      </c>
      <c r="AW6" s="1356" t="s">
        <v>194</v>
      </c>
      <c r="AX6" s="1356" t="s">
        <v>199</v>
      </c>
      <c r="AY6" s="1356" t="s">
        <v>200</v>
      </c>
      <c r="AZ6" s="1357" t="s">
        <v>201</v>
      </c>
      <c r="BA6" s="1357" t="s">
        <v>165</v>
      </c>
      <c r="BB6" s="1357" t="s">
        <v>202</v>
      </c>
      <c r="BC6" s="1357" t="s">
        <v>194</v>
      </c>
      <c r="BD6" s="1357" t="s">
        <v>203</v>
      </c>
      <c r="BE6" s="1357" t="s">
        <v>204</v>
      </c>
      <c r="BF6" s="1358" t="s">
        <v>205</v>
      </c>
      <c r="BG6" s="1358" t="s">
        <v>165</v>
      </c>
      <c r="BH6" s="1358" t="s">
        <v>206</v>
      </c>
      <c r="BI6" s="1358" t="s">
        <v>194</v>
      </c>
      <c r="BJ6" s="1358" t="s">
        <v>207</v>
      </c>
      <c r="BK6" s="1358" t="s">
        <v>208</v>
      </c>
      <c r="BL6" s="1516" t="s">
        <v>209</v>
      </c>
      <c r="BM6" s="41" t="s">
        <v>210</v>
      </c>
      <c r="BN6" s="1517" t="s">
        <v>211</v>
      </c>
      <c r="BO6" s="1518" t="s">
        <v>212</v>
      </c>
      <c r="BP6" s="42" t="s">
        <v>213</v>
      </c>
      <c r="BQ6" s="38" t="s">
        <v>214</v>
      </c>
      <c r="BR6" s="45" t="s">
        <v>215</v>
      </c>
      <c r="BS6" s="1352" t="s">
        <v>216</v>
      </c>
      <c r="BT6" s="18" t="s">
        <v>217</v>
      </c>
      <c r="BU6" s="18" t="s">
        <v>218</v>
      </c>
      <c r="BV6" s="18" t="s">
        <v>219</v>
      </c>
      <c r="BW6" s="18" t="s">
        <v>220</v>
      </c>
      <c r="BX6" s="18" t="s">
        <v>221</v>
      </c>
      <c r="BY6" s="18" t="s">
        <v>222</v>
      </c>
      <c r="BZ6" s="18" t="s">
        <v>223</v>
      </c>
      <c r="CA6" s="18" t="s">
        <v>224</v>
      </c>
      <c r="CB6" s="18" t="s">
        <v>225</v>
      </c>
      <c r="CC6" s="1608" t="s">
        <v>226</v>
      </c>
      <c r="CD6" s="1608" t="s">
        <v>227</v>
      </c>
      <c r="CE6" s="1608" t="s">
        <v>228</v>
      </c>
      <c r="CF6" s="1608" t="s">
        <v>229</v>
      </c>
      <c r="CG6" s="1608" t="s">
        <v>230</v>
      </c>
      <c r="CH6" s="1608" t="s">
        <v>231</v>
      </c>
      <c r="CI6" s="1608" t="s">
        <v>232</v>
      </c>
      <c r="CJ6" s="1608" t="s">
        <v>233</v>
      </c>
      <c r="CK6" s="1608" t="s">
        <v>234</v>
      </c>
      <c r="CL6" s="1322" t="s">
        <v>235</v>
      </c>
      <c r="CM6" s="2566" t="s">
        <v>159</v>
      </c>
      <c r="CN6" s="2566" t="s">
        <v>236</v>
      </c>
      <c r="CO6" s="2566" t="s">
        <v>237</v>
      </c>
      <c r="CP6" s="2566" t="s">
        <v>238</v>
      </c>
      <c r="CQ6" s="2566" t="s">
        <v>239</v>
      </c>
      <c r="CR6" s="2566" t="s">
        <v>240</v>
      </c>
      <c r="CS6" s="1354" t="s">
        <v>241</v>
      </c>
      <c r="CT6" s="1354" t="s">
        <v>242</v>
      </c>
      <c r="CU6" s="1354" t="s">
        <v>243</v>
      </c>
      <c r="CV6" s="1354" t="s">
        <v>244</v>
      </c>
      <c r="CW6" s="1354" t="s">
        <v>191</v>
      </c>
    </row>
    <row r="7" spans="1:118" s="1143" customFormat="1" ht="31" x14ac:dyDescent="0.35">
      <c r="A7" s="27" t="s">
        <v>57</v>
      </c>
      <c r="B7" s="27" t="s">
        <v>58</v>
      </c>
      <c r="C7" s="27" t="s">
        <v>59</v>
      </c>
      <c r="D7" s="27" t="s">
        <v>245</v>
      </c>
      <c r="E7" s="27" t="s">
        <v>61</v>
      </c>
      <c r="F7" s="27" t="s">
        <v>62</v>
      </c>
      <c r="G7" s="28" t="s">
        <v>63</v>
      </c>
      <c r="H7" s="28" t="s">
        <v>64</v>
      </c>
      <c r="I7" s="28" t="s">
        <v>68</v>
      </c>
      <c r="J7" s="28" t="s">
        <v>246</v>
      </c>
      <c r="K7" s="28" t="s">
        <v>247</v>
      </c>
      <c r="L7" s="20" t="s">
        <v>248</v>
      </c>
      <c r="M7" s="20" t="s">
        <v>69</v>
      </c>
      <c r="N7" s="20" t="s">
        <v>70</v>
      </c>
      <c r="O7" s="20" t="s">
        <v>71</v>
      </c>
      <c r="P7" s="20" t="s">
        <v>72</v>
      </c>
      <c r="Q7" s="20" t="s">
        <v>249</v>
      </c>
      <c r="R7" s="20" t="s">
        <v>250</v>
      </c>
      <c r="S7" s="20" t="s">
        <v>251</v>
      </c>
      <c r="T7" s="20" t="s">
        <v>252</v>
      </c>
      <c r="U7" s="20" t="s">
        <v>253</v>
      </c>
      <c r="V7" s="28" t="s">
        <v>77</v>
      </c>
      <c r="W7" s="28" t="s">
        <v>78</v>
      </c>
      <c r="X7" s="28" t="s">
        <v>79</v>
      </c>
      <c r="Y7" s="28" t="s">
        <v>80</v>
      </c>
      <c r="Z7" s="1783" t="s">
        <v>81</v>
      </c>
      <c r="AA7" s="1783" t="s">
        <v>254</v>
      </c>
      <c r="AB7" s="1783" t="s">
        <v>255</v>
      </c>
      <c r="AC7" s="1783" t="s">
        <v>256</v>
      </c>
      <c r="AD7" s="1783" t="s">
        <v>257</v>
      </c>
      <c r="AE7" s="2527" t="s">
        <v>258</v>
      </c>
      <c r="AF7" s="2529" t="s">
        <v>259</v>
      </c>
      <c r="AG7" s="2529" t="s">
        <v>260</v>
      </c>
      <c r="AH7" s="2529" t="s">
        <v>261</v>
      </c>
      <c r="AI7" s="20" t="s">
        <v>262</v>
      </c>
      <c r="AJ7" s="20" t="s">
        <v>263</v>
      </c>
      <c r="AK7" s="20" t="s">
        <v>264</v>
      </c>
      <c r="AL7" s="20" t="s">
        <v>265</v>
      </c>
      <c r="AM7" s="20" t="s">
        <v>266</v>
      </c>
      <c r="AN7" s="6" t="s">
        <v>95</v>
      </c>
      <c r="AO7" s="6" t="s">
        <v>96</v>
      </c>
      <c r="AP7" s="6" t="s">
        <v>97</v>
      </c>
      <c r="AQ7" s="6" t="s">
        <v>98</v>
      </c>
      <c r="AR7" s="6" t="s">
        <v>267</v>
      </c>
      <c r="AS7" s="6" t="s">
        <v>268</v>
      </c>
      <c r="AT7" s="7" t="s">
        <v>269</v>
      </c>
      <c r="AU7" s="7" t="s">
        <v>270</v>
      </c>
      <c r="AV7" s="7" t="s">
        <v>271</v>
      </c>
      <c r="AW7" s="7" t="s">
        <v>272</v>
      </c>
      <c r="AX7" s="7" t="s">
        <v>273</v>
      </c>
      <c r="AY7" s="7" t="s">
        <v>274</v>
      </c>
      <c r="AZ7" s="9" t="s">
        <v>275</v>
      </c>
      <c r="BA7" s="9" t="s">
        <v>276</v>
      </c>
      <c r="BB7" s="9" t="s">
        <v>277</v>
      </c>
      <c r="BC7" s="9" t="s">
        <v>278</v>
      </c>
      <c r="BD7" s="9" t="s">
        <v>279</v>
      </c>
      <c r="BE7" s="9" t="s">
        <v>280</v>
      </c>
      <c r="BF7" s="1323" t="s">
        <v>281</v>
      </c>
      <c r="BG7" s="1323" t="s">
        <v>282</v>
      </c>
      <c r="BH7" s="1323" t="s">
        <v>283</v>
      </c>
      <c r="BI7" s="1323" t="s">
        <v>284</v>
      </c>
      <c r="BJ7" s="1323" t="s">
        <v>285</v>
      </c>
      <c r="BK7" s="1323" t="s">
        <v>286</v>
      </c>
      <c r="BL7" s="6" t="s">
        <v>287</v>
      </c>
      <c r="BM7" s="7" t="s">
        <v>288</v>
      </c>
      <c r="BN7" s="9" t="s">
        <v>289</v>
      </c>
      <c r="BO7" s="1323" t="s">
        <v>290</v>
      </c>
      <c r="BP7" s="2888" t="s">
        <v>291</v>
      </c>
      <c r="BQ7" s="2889" t="s">
        <v>292</v>
      </c>
      <c r="BR7" s="2890" t="s">
        <v>293</v>
      </c>
      <c r="BS7" s="4" t="s">
        <v>294</v>
      </c>
      <c r="BT7" s="2890" t="s">
        <v>295</v>
      </c>
      <c r="BU7" s="2890" t="s">
        <v>296</v>
      </c>
      <c r="BV7" s="2890" t="s">
        <v>297</v>
      </c>
      <c r="BW7" s="2890" t="s">
        <v>298</v>
      </c>
      <c r="BX7" s="2890" t="s">
        <v>299</v>
      </c>
      <c r="BY7" s="2890" t="s">
        <v>300</v>
      </c>
      <c r="BZ7" s="2890" t="s">
        <v>301</v>
      </c>
      <c r="CA7" s="2890" t="s">
        <v>302</v>
      </c>
      <c r="CB7" s="2890" t="s">
        <v>303</v>
      </c>
      <c r="CC7" s="1609" t="s">
        <v>304</v>
      </c>
      <c r="CD7" s="1609" t="s">
        <v>305</v>
      </c>
      <c r="CE7" s="1609" t="s">
        <v>306</v>
      </c>
      <c r="CF7" s="1609" t="s">
        <v>307</v>
      </c>
      <c r="CG7" s="1609" t="s">
        <v>308</v>
      </c>
      <c r="CH7" s="1609" t="s">
        <v>309</v>
      </c>
      <c r="CI7" s="1609" t="s">
        <v>310</v>
      </c>
      <c r="CJ7" s="1609" t="s">
        <v>311</v>
      </c>
      <c r="CK7" s="1609" t="s">
        <v>312</v>
      </c>
      <c r="CL7" s="29" t="s">
        <v>313</v>
      </c>
      <c r="CM7" s="1783" t="s">
        <v>314</v>
      </c>
      <c r="CN7" s="1783" t="s">
        <v>315</v>
      </c>
      <c r="CO7" s="1783" t="s">
        <v>316</v>
      </c>
      <c r="CP7" s="1783" t="s">
        <v>317</v>
      </c>
      <c r="CQ7" s="1783" t="s">
        <v>318</v>
      </c>
      <c r="CR7" s="1783" t="s">
        <v>319</v>
      </c>
      <c r="CS7" s="20" t="s">
        <v>320</v>
      </c>
      <c r="CT7" s="20" t="s">
        <v>321</v>
      </c>
      <c r="CU7" s="20" t="s">
        <v>322</v>
      </c>
      <c r="CV7" s="20" t="s">
        <v>323</v>
      </c>
      <c r="CW7" s="20" t="s">
        <v>324</v>
      </c>
      <c r="DN7" s="1715"/>
    </row>
    <row r="8" spans="1:118" s="29" customFormat="1" ht="35.25" customHeight="1" x14ac:dyDescent="0.35">
      <c r="A8" s="1143" t="s">
        <v>101</v>
      </c>
      <c r="B8" s="1132" t="s">
        <v>325</v>
      </c>
      <c r="C8" s="1132" t="s">
        <v>326</v>
      </c>
      <c r="D8" s="1359" t="s">
        <v>327</v>
      </c>
      <c r="E8" s="1359">
        <v>1</v>
      </c>
      <c r="F8" s="1780" t="s">
        <v>327</v>
      </c>
      <c r="G8" s="1132" t="s">
        <v>328</v>
      </c>
      <c r="H8" s="1360">
        <v>33.25</v>
      </c>
      <c r="I8" s="1360">
        <v>33.25</v>
      </c>
      <c r="J8" s="1360">
        <v>33.25</v>
      </c>
      <c r="K8" s="1360">
        <v>33.25</v>
      </c>
      <c r="L8" s="1132" t="s">
        <v>329</v>
      </c>
      <c r="M8" s="1132" t="str">
        <f t="shared" ref="M8:M71" si="0">IF(F8&lt;&gt;"Custom",CONCATENATE($I$1,", ",$J$1," ",F8),"")</f>
        <v>Nicor Gas PY11-PY14 Adjustable Goals Template_2025-03-01, Tab 4.4.3</v>
      </c>
      <c r="N8" s="1361">
        <v>818.18830024212616</v>
      </c>
      <c r="O8" s="1361">
        <v>818.18830024212616</v>
      </c>
      <c r="P8" s="1361">
        <v>818.18830024212616</v>
      </c>
      <c r="Q8" s="1361">
        <v>818.18830024212616</v>
      </c>
      <c r="R8" s="1781">
        <v>0.92</v>
      </c>
      <c r="S8" s="1781">
        <v>0.92</v>
      </c>
      <c r="T8" s="1781">
        <v>0.92</v>
      </c>
      <c r="U8" s="1781">
        <v>0.92</v>
      </c>
      <c r="V8" s="1781">
        <v>0.92</v>
      </c>
      <c r="W8" s="1781">
        <v>0.92</v>
      </c>
      <c r="X8" s="1781">
        <v>0.92</v>
      </c>
      <c r="Y8" s="1781">
        <v>0.92</v>
      </c>
      <c r="Z8" s="1359">
        <f t="shared" ref="Z8:Z25" si="1">IF(AA8="Custom",0,1)</f>
        <v>1</v>
      </c>
      <c r="AA8" s="1781">
        <f t="shared" ref="AA8:AA71" si="2">V8</f>
        <v>0.92</v>
      </c>
      <c r="AB8" s="1781">
        <f t="shared" ref="AB8:AB71" si="3">W8</f>
        <v>0.92</v>
      </c>
      <c r="AC8" s="1781">
        <f t="shared" ref="AC8:AC71" si="4">X8</f>
        <v>0.92</v>
      </c>
      <c r="AD8" s="1781">
        <f t="shared" ref="AD8:AD71" si="5">Y8</f>
        <v>0.92</v>
      </c>
      <c r="AE8" s="1781">
        <f t="shared" ref="AE8:AE71" si="6">V8</f>
        <v>0.92</v>
      </c>
      <c r="AF8" s="1781">
        <f t="shared" ref="AF8:AF71" si="7">W8</f>
        <v>0.92</v>
      </c>
      <c r="AG8" s="1781">
        <f t="shared" ref="AG8:AG71" si="8">X8</f>
        <v>0.92</v>
      </c>
      <c r="AH8" s="1781">
        <f t="shared" ref="AH8:AH71" si="9">Y8</f>
        <v>0.92</v>
      </c>
      <c r="AI8" s="1362">
        <f>H8*N8*R8</f>
        <v>25028.380104406642</v>
      </c>
      <c r="AJ8" s="1362">
        <f t="shared" ref="AJ8:AL8" si="10">I8*O8*S8</f>
        <v>25028.380104406642</v>
      </c>
      <c r="AK8" s="1362">
        <f t="shared" si="10"/>
        <v>25028.380104406642</v>
      </c>
      <c r="AL8" s="1362">
        <f t="shared" si="10"/>
        <v>25028.380104406642</v>
      </c>
      <c r="AM8" s="1362">
        <f>SUM(AI8:AL8)</f>
        <v>100113.52041762657</v>
      </c>
      <c r="AN8" s="1132" t="str">
        <f t="shared" ref="AN8:AN71" si="11">L8</f>
        <v>CI-HVC-PBTU-V05-160601</v>
      </c>
      <c r="AO8" s="1132" t="str">
        <f t="shared" ref="AO8:AO71" si="12">M8</f>
        <v>Nicor Gas PY11-PY14 Adjustable Goals Template_2025-03-01, Tab 4.4.3</v>
      </c>
      <c r="AP8" s="2247">
        <f>'4.4.3'!$L$4</f>
        <v>818.18830024212616</v>
      </c>
      <c r="AQ8" s="2505"/>
      <c r="AR8" s="2505">
        <f t="shared" ref="AR8:AR71" si="13">H8*AP8*V8</f>
        <v>25028.380104406642</v>
      </c>
      <c r="AS8" s="2505">
        <f t="shared" ref="AS8:AS71" si="14">AR8-AI8</f>
        <v>0</v>
      </c>
      <c r="AT8" s="1132" t="str">
        <f t="shared" ref="AT8:AT71" si="15">L8</f>
        <v>CI-HVC-PBTU-V05-160601</v>
      </c>
      <c r="AU8" s="1132" t="str">
        <f t="shared" ref="AU8:AU71" si="16">M8</f>
        <v>Nicor Gas PY11-PY14 Adjustable Goals Template_2025-03-01, Tab 4.4.3</v>
      </c>
      <c r="AV8" s="2247">
        <f>'4.4.3'!$L$4</f>
        <v>818.18830024212616</v>
      </c>
      <c r="AW8" s="2505"/>
      <c r="AX8" s="1362">
        <f t="shared" ref="AX8:AX71" si="17">I8*AV8*W8</f>
        <v>25028.380104406642</v>
      </c>
      <c r="AY8" s="1360">
        <f t="shared" ref="AY8:AY71" si="18">AX8-AJ8</f>
        <v>0</v>
      </c>
      <c r="AZ8" s="1132" t="str">
        <f t="shared" ref="AZ8:AZ71" si="19">L8</f>
        <v>CI-HVC-PBTU-V05-160601</v>
      </c>
      <c r="BA8" s="1132" t="str">
        <f t="shared" ref="BA8:BA71" si="20">M8</f>
        <v>Nicor Gas PY11-PY14 Adjustable Goals Template_2025-03-01, Tab 4.4.3</v>
      </c>
      <c r="BB8" s="2247">
        <f>'4.4.3'!$L$4</f>
        <v>818.18830024212616</v>
      </c>
      <c r="BC8" s="2505"/>
      <c r="BD8" s="1362">
        <f t="shared" ref="BD8:BD71" si="21">J8*BB8*X8</f>
        <v>25028.380104406642</v>
      </c>
      <c r="BE8" s="1360">
        <f t="shared" ref="BE8:BE71" si="22">BD8-AK8</f>
        <v>0</v>
      </c>
      <c r="BF8" s="1132" t="str">
        <f t="shared" ref="BF8:BF71" si="23">L8</f>
        <v>CI-HVC-PBTU-V05-160601</v>
      </c>
      <c r="BG8" s="1132" t="str">
        <f t="shared" ref="BG8:BG71" si="24">M8</f>
        <v>Nicor Gas PY11-PY14 Adjustable Goals Template_2025-03-01, Tab 4.4.3</v>
      </c>
      <c r="BH8" s="2247">
        <f>'4.4.3'!$L$4</f>
        <v>818.18830024212616</v>
      </c>
      <c r="BI8" s="2505"/>
      <c r="BJ8" s="1362">
        <f>K8*BH8*AH8</f>
        <v>25028.380104406642</v>
      </c>
      <c r="BK8" s="1360">
        <f t="shared" ref="BK8:BK71" si="25">BJ8-AL8</f>
        <v>0</v>
      </c>
      <c r="BL8" s="1601">
        <f t="shared" ref="BL8:BL71" si="26">IF($BL$2=2022,IF($E8=1,AR8,AR8),IF($E8=1,AR8,AI8))</f>
        <v>25028.380104406642</v>
      </c>
      <c r="BM8" s="1601">
        <f t="shared" ref="BM8:BM71" si="27">IF($BL$2=2022,IF($E8=1,AX8,AX8),IF($E8=1,AX8,AJ8))</f>
        <v>25028.380104406642</v>
      </c>
      <c r="BN8" s="1601">
        <f t="shared" ref="BN8:BN71" si="28">IF($BL$2=2022,IF($E8=1,BD8,BD8),IF($E8=1,BD8,AK8))</f>
        <v>25028.380104406642</v>
      </c>
      <c r="BO8" s="1601">
        <f t="shared" ref="BO8:BO71" si="29">IF($BL$2=2022,IF($E8=1,BJ8,BJ8),IF($E8=1,BJ8,AL8))</f>
        <v>25028.380104406642</v>
      </c>
      <c r="BP8" s="1602">
        <f t="shared" ref="BP8:BP71" si="30">SUM(BL8:BO8)</f>
        <v>100113.52041762657</v>
      </c>
      <c r="BQ8" s="1362"/>
      <c r="BR8" s="1602" t="s">
        <v>327</v>
      </c>
      <c r="BS8" s="1602">
        <v>0</v>
      </c>
      <c r="BT8" s="1362">
        <v>3</v>
      </c>
      <c r="BU8" s="1362">
        <v>3</v>
      </c>
      <c r="BV8" s="1362">
        <v>3</v>
      </c>
      <c r="BW8" s="1362">
        <v>3</v>
      </c>
      <c r="BX8" s="1362">
        <f>H8*N8*R8*BT8</f>
        <v>75085.140313219919</v>
      </c>
      <c r="BY8" s="1362">
        <f>I8*O8*S8*BU8</f>
        <v>75085.140313219919</v>
      </c>
      <c r="BZ8" s="1362">
        <f t="shared" ref="BZ8:CA8" si="31">J8*P8*T8*BV8</f>
        <v>75085.140313219919</v>
      </c>
      <c r="CA8" s="1362">
        <f t="shared" si="31"/>
        <v>75085.140313219919</v>
      </c>
      <c r="CB8" s="1362">
        <f t="shared" ref="CB8" si="32">SUM(BX8:CA8)</f>
        <v>300340.56125287968</v>
      </c>
      <c r="CC8" s="1360">
        <v>3</v>
      </c>
      <c r="CD8" s="1360">
        <v>3</v>
      </c>
      <c r="CE8" s="1360">
        <v>3</v>
      </c>
      <c r="CF8" s="1360">
        <v>3</v>
      </c>
      <c r="CG8" s="1604">
        <f t="shared" ref="CG8:CG71" si="33">H8*V8*AP8*CC8</f>
        <v>75085.140313219919</v>
      </c>
      <c r="CH8" s="1604">
        <f t="shared" ref="CH8:CH71" si="34">I8*W8*AV8*CD8</f>
        <v>75085.140313219919</v>
      </c>
      <c r="CI8" s="1604">
        <f t="shared" ref="CI8:CI71" si="35">J8*X8*BB8*CE8</f>
        <v>75085.140313219919</v>
      </c>
      <c r="CJ8" s="1604">
        <f t="shared" ref="CJ8:CJ71" si="36">K8*Y8*BH8*CF8</f>
        <v>75085.140313219919</v>
      </c>
      <c r="CK8" s="1521">
        <f t="shared" ref="CK8:CK71" si="37">SUM(CG8:CJ8)</f>
        <v>300340.56125287968</v>
      </c>
      <c r="CL8" s="1132">
        <v>1</v>
      </c>
      <c r="CM8" s="1132" t="s">
        <v>328</v>
      </c>
      <c r="CN8" s="1359">
        <v>0</v>
      </c>
      <c r="CO8" s="1360">
        <v>33.25</v>
      </c>
      <c r="CP8" s="1360">
        <v>33.25</v>
      </c>
      <c r="CQ8" s="1360">
        <v>33.25</v>
      </c>
      <c r="CR8" s="1360">
        <v>33.25</v>
      </c>
      <c r="CS8" s="1362">
        <f t="shared" ref="CS8:CS71" si="38">IF($CN8=1,CO8*N8*AE8,BL8)</f>
        <v>25028.380104406642</v>
      </c>
      <c r="CT8" s="1362">
        <f t="shared" ref="CT8:CT71" si="39">IF($CN8=1,CP8*O8*AF8,BM8)</f>
        <v>25028.380104406642</v>
      </c>
      <c r="CU8" s="1362">
        <f t="shared" ref="CU8:CU71" si="40">IF($CN8=1,CQ8*P8*AG8,BN8)</f>
        <v>25028.380104406642</v>
      </c>
      <c r="CV8" s="1362">
        <f t="shared" ref="CV8:CV71" si="41">IF($CN8=1,CR8*Q8*AH8,BO8)</f>
        <v>25028.380104406642</v>
      </c>
      <c r="CW8" s="1362">
        <f t="shared" ref="CW8:CW71" si="42">+SUM(CS8:CV8)</f>
        <v>100113.52041762657</v>
      </c>
      <c r="CY8" s="2887"/>
    </row>
    <row r="9" spans="1:118" s="1143" customFormat="1" ht="46.5" x14ac:dyDescent="0.35">
      <c r="A9" s="1132" t="s">
        <v>101</v>
      </c>
      <c r="B9" s="1132" t="s">
        <v>325</v>
      </c>
      <c r="C9" s="1132" t="s">
        <v>330</v>
      </c>
      <c r="D9" s="1359" t="s">
        <v>331</v>
      </c>
      <c r="E9" s="1359">
        <v>1</v>
      </c>
      <c r="F9" s="1780" t="s">
        <v>332</v>
      </c>
      <c r="G9" s="1132" t="s">
        <v>328</v>
      </c>
      <c r="H9" s="1360">
        <v>71.25</v>
      </c>
      <c r="I9" s="1360">
        <v>71.25</v>
      </c>
      <c r="J9" s="1360">
        <v>71.25</v>
      </c>
      <c r="K9" s="1360">
        <v>71.25</v>
      </c>
      <c r="L9" s="1132" t="s">
        <v>333</v>
      </c>
      <c r="M9" s="1132" t="str">
        <f t="shared" si="0"/>
        <v>Nicor Gas PY11-PY14 Adjustable Goals Template_2025-03-01, Tab 4.4.2</v>
      </c>
      <c r="N9" s="1361">
        <v>848.47141104294656</v>
      </c>
      <c r="O9" s="1361">
        <v>848.47141104294656</v>
      </c>
      <c r="P9" s="1361">
        <v>848.47141104294656</v>
      </c>
      <c r="Q9" s="1361">
        <v>848.47141104294656</v>
      </c>
      <c r="R9" s="1781">
        <v>0.92</v>
      </c>
      <c r="S9" s="1781">
        <v>0.92</v>
      </c>
      <c r="T9" s="1781">
        <v>0.92</v>
      </c>
      <c r="U9" s="1781">
        <v>0.92</v>
      </c>
      <c r="V9" s="1781">
        <v>0.92</v>
      </c>
      <c r="W9" s="1781">
        <v>0.92</v>
      </c>
      <c r="X9" s="1781">
        <v>0.92</v>
      </c>
      <c r="Y9" s="1781">
        <v>0.92</v>
      </c>
      <c r="Z9" s="1359">
        <f t="shared" si="1"/>
        <v>1</v>
      </c>
      <c r="AA9" s="1781">
        <f t="shared" si="2"/>
        <v>0.92</v>
      </c>
      <c r="AB9" s="1781">
        <f t="shared" si="3"/>
        <v>0.92</v>
      </c>
      <c r="AC9" s="1781">
        <f t="shared" si="4"/>
        <v>0.92</v>
      </c>
      <c r="AD9" s="1781">
        <f t="shared" si="5"/>
        <v>0.92</v>
      </c>
      <c r="AE9" s="1781">
        <f t="shared" si="6"/>
        <v>0.92</v>
      </c>
      <c r="AF9" s="1781">
        <f t="shared" si="7"/>
        <v>0.92</v>
      </c>
      <c r="AG9" s="1781">
        <f t="shared" si="8"/>
        <v>0.92</v>
      </c>
      <c r="AH9" s="1781">
        <f t="shared" si="9"/>
        <v>0.92</v>
      </c>
      <c r="AI9" s="1362">
        <f t="shared" ref="AI9:AI72" si="43">H9*N9*R9</f>
        <v>55617.300993865145</v>
      </c>
      <c r="AJ9" s="1362">
        <f t="shared" ref="AJ9:AJ72" si="44">I9*O9*S9</f>
        <v>55617.300993865145</v>
      </c>
      <c r="AK9" s="1362">
        <f t="shared" ref="AK9:AK72" si="45">J9*P9*T9</f>
        <v>55617.300993865145</v>
      </c>
      <c r="AL9" s="1362">
        <f t="shared" ref="AL9:AL72" si="46">K9*Q9*U9</f>
        <v>55617.300993865145</v>
      </c>
      <c r="AM9" s="1362">
        <f t="shared" ref="AM9:AM72" si="47">SUM(AI9:AL9)</f>
        <v>222469.20397546058</v>
      </c>
      <c r="AN9" s="1132" t="str">
        <f t="shared" si="11"/>
        <v>CI-HVC-BLRT-V06-160601</v>
      </c>
      <c r="AO9" s="1132" t="str">
        <f t="shared" si="12"/>
        <v>Nicor Gas PY11-PY14 Adjustable Goals Template_2025-03-01, Tab 4.4.2</v>
      </c>
      <c r="AP9" s="2247">
        <f>'4.4.2'!$O$14</f>
        <v>848.47141104294656</v>
      </c>
      <c r="AQ9" s="2505"/>
      <c r="AR9" s="2505">
        <f t="shared" si="13"/>
        <v>55617.300993865145</v>
      </c>
      <c r="AS9" s="2505">
        <f t="shared" si="14"/>
        <v>0</v>
      </c>
      <c r="AT9" s="1132" t="str">
        <f t="shared" si="15"/>
        <v>CI-HVC-BLRT-V06-160601</v>
      </c>
      <c r="AU9" s="1132" t="str">
        <f t="shared" si="16"/>
        <v>Nicor Gas PY11-PY14 Adjustable Goals Template_2025-03-01, Tab 4.4.2</v>
      </c>
      <c r="AV9" s="2247">
        <f>'4.4.2'!$O$14</f>
        <v>848.47141104294656</v>
      </c>
      <c r="AW9" s="2505"/>
      <c r="AX9" s="1362">
        <f t="shared" si="17"/>
        <v>55617.300993865145</v>
      </c>
      <c r="AY9" s="1360">
        <f t="shared" si="18"/>
        <v>0</v>
      </c>
      <c r="AZ9" s="1132" t="str">
        <f t="shared" si="19"/>
        <v>CI-HVC-BLRT-V06-160601</v>
      </c>
      <c r="BA9" s="1132" t="str">
        <f t="shared" si="20"/>
        <v>Nicor Gas PY11-PY14 Adjustable Goals Template_2025-03-01, Tab 4.4.2</v>
      </c>
      <c r="BB9" s="2247">
        <f>'4.4.2'!$O$14</f>
        <v>848.47141104294656</v>
      </c>
      <c r="BC9" s="2505"/>
      <c r="BD9" s="1362">
        <f t="shared" si="21"/>
        <v>55617.300993865145</v>
      </c>
      <c r="BE9" s="1360">
        <f t="shared" si="22"/>
        <v>0</v>
      </c>
      <c r="BF9" s="1132" t="str">
        <f t="shared" si="23"/>
        <v>CI-HVC-BLRT-V06-160601</v>
      </c>
      <c r="BG9" s="1132" t="str">
        <f t="shared" si="24"/>
        <v>Nicor Gas PY11-PY14 Adjustable Goals Template_2025-03-01, Tab 4.4.2</v>
      </c>
      <c r="BH9" s="2247">
        <f>'4.4.2'!$O$14</f>
        <v>848.47141104294656</v>
      </c>
      <c r="BI9" s="2505"/>
      <c r="BJ9" s="1362">
        <f t="shared" ref="BJ9:BJ72" si="48">K9*BH9*Y9</f>
        <v>55617.300993865145</v>
      </c>
      <c r="BK9" s="1360">
        <f t="shared" si="25"/>
        <v>0</v>
      </c>
      <c r="BL9" s="1601">
        <f t="shared" si="26"/>
        <v>55617.300993865145</v>
      </c>
      <c r="BM9" s="1601">
        <f t="shared" si="27"/>
        <v>55617.300993865145</v>
      </c>
      <c r="BN9" s="1601">
        <f t="shared" si="28"/>
        <v>55617.300993865145</v>
      </c>
      <c r="BO9" s="1601">
        <f t="shared" si="29"/>
        <v>55617.300993865145</v>
      </c>
      <c r="BP9" s="1602">
        <f t="shared" si="30"/>
        <v>222469.20397546058</v>
      </c>
      <c r="BQ9" s="1602"/>
      <c r="BR9" s="1602" t="s">
        <v>332</v>
      </c>
      <c r="BS9" s="1602">
        <v>0</v>
      </c>
      <c r="BT9" s="1602">
        <v>3</v>
      </c>
      <c r="BU9" s="1602">
        <v>3</v>
      </c>
      <c r="BV9" s="1602">
        <v>3</v>
      </c>
      <c r="BW9" s="1602">
        <v>3</v>
      </c>
      <c r="BX9" s="1362">
        <f t="shared" ref="BX9:BX72" si="49">H9*N9*R9*BT9</f>
        <v>166851.90298159543</v>
      </c>
      <c r="BY9" s="1362">
        <f t="shared" ref="BY9:BY72" si="50">I9*O9*S9*BU9</f>
        <v>166851.90298159543</v>
      </c>
      <c r="BZ9" s="1362">
        <f t="shared" ref="BZ9:BZ72" si="51">J9*P9*T9*BV9</f>
        <v>166851.90298159543</v>
      </c>
      <c r="CA9" s="1362">
        <f t="shared" ref="CA9:CA72" si="52">K9*Q9*U9*BW9</f>
        <v>166851.90298159543</v>
      </c>
      <c r="CB9" s="1362">
        <f t="shared" ref="CB9:CB72" si="53">SUM(BX9:CA9)</f>
        <v>667407.61192638171</v>
      </c>
      <c r="CC9" s="1360">
        <v>3</v>
      </c>
      <c r="CD9" s="1360">
        <v>3</v>
      </c>
      <c r="CE9" s="1360">
        <v>3</v>
      </c>
      <c r="CF9" s="1360">
        <v>3</v>
      </c>
      <c r="CG9" s="1604">
        <f t="shared" si="33"/>
        <v>166851.90298159543</v>
      </c>
      <c r="CH9" s="1604">
        <f t="shared" si="34"/>
        <v>166851.90298159543</v>
      </c>
      <c r="CI9" s="1604">
        <f t="shared" si="35"/>
        <v>166851.90298159543</v>
      </c>
      <c r="CJ9" s="1604">
        <f t="shared" si="36"/>
        <v>166851.90298159543</v>
      </c>
      <c r="CK9" s="1521">
        <f t="shared" si="37"/>
        <v>667407.61192638171</v>
      </c>
      <c r="CL9" s="1132">
        <v>2</v>
      </c>
      <c r="CM9" s="1132" t="s">
        <v>328</v>
      </c>
      <c r="CN9" s="1359">
        <v>0</v>
      </c>
      <c r="CO9" s="1360">
        <v>71.25</v>
      </c>
      <c r="CP9" s="1360">
        <v>71.25</v>
      </c>
      <c r="CQ9" s="1360">
        <v>71.25</v>
      </c>
      <c r="CR9" s="1360">
        <v>71.25</v>
      </c>
      <c r="CS9" s="1362">
        <f t="shared" si="38"/>
        <v>55617.300993865145</v>
      </c>
      <c r="CT9" s="1362">
        <f t="shared" si="39"/>
        <v>55617.300993865145</v>
      </c>
      <c r="CU9" s="1362">
        <f t="shared" si="40"/>
        <v>55617.300993865145</v>
      </c>
      <c r="CV9" s="1362">
        <f t="shared" si="41"/>
        <v>55617.300993865145</v>
      </c>
      <c r="CW9" s="1362">
        <f t="shared" si="42"/>
        <v>222469.20397546058</v>
      </c>
      <c r="CY9" s="2887"/>
      <c r="DN9" s="1715"/>
    </row>
    <row r="10" spans="1:118" s="1143" customFormat="1" ht="46.5" x14ac:dyDescent="0.35">
      <c r="A10" s="1132" t="s">
        <v>101</v>
      </c>
      <c r="B10" s="1132" t="s">
        <v>325</v>
      </c>
      <c r="C10" s="1132" t="s">
        <v>334</v>
      </c>
      <c r="D10" s="1359" t="s">
        <v>335</v>
      </c>
      <c r="E10" s="1359">
        <v>1</v>
      </c>
      <c r="F10" s="1780" t="s">
        <v>336</v>
      </c>
      <c r="G10" s="1132" t="s">
        <v>337</v>
      </c>
      <c r="H10" s="1360">
        <v>4275</v>
      </c>
      <c r="I10" s="1360">
        <v>4275</v>
      </c>
      <c r="J10" s="1360">
        <v>4275</v>
      </c>
      <c r="K10" s="1360">
        <v>4275</v>
      </c>
      <c r="L10" s="1132" t="s">
        <v>338</v>
      </c>
      <c r="M10" s="1132" t="str">
        <f t="shared" si="0"/>
        <v>Nicor Gas PY11-PY14 Adjustable Goals Template_2025-03-01, Tab 4.4.14</v>
      </c>
      <c r="N10" s="1361">
        <v>1.6846271672771671</v>
      </c>
      <c r="O10" s="1361">
        <v>1.6846271672771671</v>
      </c>
      <c r="P10" s="1361">
        <v>1.6846271672771671</v>
      </c>
      <c r="Q10" s="1361">
        <v>1.6846271672771671</v>
      </c>
      <c r="R10" s="1781">
        <v>0.92</v>
      </c>
      <c r="S10" s="1781">
        <v>0.92</v>
      </c>
      <c r="T10" s="1781">
        <v>0.92</v>
      </c>
      <c r="U10" s="1781">
        <v>0.92</v>
      </c>
      <c r="V10" s="1781">
        <v>0.92</v>
      </c>
      <c r="W10" s="1781">
        <v>0.92</v>
      </c>
      <c r="X10" s="1781">
        <v>0.92</v>
      </c>
      <c r="Y10" s="1781">
        <v>0.92</v>
      </c>
      <c r="Z10" s="1359">
        <f t="shared" si="1"/>
        <v>1</v>
      </c>
      <c r="AA10" s="1781">
        <f t="shared" si="2"/>
        <v>0.92</v>
      </c>
      <c r="AB10" s="1781">
        <f t="shared" si="3"/>
        <v>0.92</v>
      </c>
      <c r="AC10" s="1781">
        <f t="shared" si="4"/>
        <v>0.92</v>
      </c>
      <c r="AD10" s="1781">
        <f t="shared" si="5"/>
        <v>0.92</v>
      </c>
      <c r="AE10" s="1781">
        <f t="shared" si="6"/>
        <v>0.92</v>
      </c>
      <c r="AF10" s="1781">
        <f t="shared" si="7"/>
        <v>0.92</v>
      </c>
      <c r="AG10" s="1781">
        <f t="shared" si="8"/>
        <v>0.92</v>
      </c>
      <c r="AH10" s="1781">
        <f t="shared" si="9"/>
        <v>0.92</v>
      </c>
      <c r="AI10" s="1362">
        <f t="shared" si="43"/>
        <v>6625.6386489010993</v>
      </c>
      <c r="AJ10" s="1362">
        <f t="shared" si="44"/>
        <v>6625.6386489010993</v>
      </c>
      <c r="AK10" s="1362">
        <f t="shared" si="45"/>
        <v>6625.6386489010993</v>
      </c>
      <c r="AL10" s="1362">
        <f t="shared" si="46"/>
        <v>6625.6386489010993</v>
      </c>
      <c r="AM10" s="1362">
        <f t="shared" si="47"/>
        <v>26502.554595604397</v>
      </c>
      <c r="AN10" s="1132" t="str">
        <f t="shared" si="11"/>
        <v>CI-HVC-PINS-V05-190101</v>
      </c>
      <c r="AO10" s="1132" t="str">
        <f t="shared" si="12"/>
        <v>Nicor Gas PY11-PY14 Adjustable Goals Template_2025-03-01, Tab 4.4.14</v>
      </c>
      <c r="AP10" s="2247">
        <f>'4.4.14'!$T$10</f>
        <v>1.6846271672771671</v>
      </c>
      <c r="AQ10" s="2505"/>
      <c r="AR10" s="2505">
        <f t="shared" si="13"/>
        <v>6625.6386489010993</v>
      </c>
      <c r="AS10" s="2505">
        <f t="shared" si="14"/>
        <v>0</v>
      </c>
      <c r="AT10" s="1132" t="str">
        <f t="shared" si="15"/>
        <v>CI-HVC-PINS-V05-190101</v>
      </c>
      <c r="AU10" s="1132" t="str">
        <f t="shared" si="16"/>
        <v>Nicor Gas PY11-PY14 Adjustable Goals Template_2025-03-01, Tab 4.4.14</v>
      </c>
      <c r="AV10" s="2247">
        <f>'4.4.14'!$T$10</f>
        <v>1.6846271672771671</v>
      </c>
      <c r="AW10" s="2505"/>
      <c r="AX10" s="1362">
        <f t="shared" si="17"/>
        <v>6625.6386489010993</v>
      </c>
      <c r="AY10" s="1360">
        <f t="shared" si="18"/>
        <v>0</v>
      </c>
      <c r="AZ10" s="1132" t="str">
        <f t="shared" si="19"/>
        <v>CI-HVC-PINS-V05-190101</v>
      </c>
      <c r="BA10" s="1132" t="str">
        <f t="shared" si="20"/>
        <v>Nicor Gas PY11-PY14 Adjustable Goals Template_2025-03-01, Tab 4.4.14</v>
      </c>
      <c r="BB10" s="2247">
        <f>'4.4.14'!$T$10</f>
        <v>1.6846271672771671</v>
      </c>
      <c r="BC10" s="2505"/>
      <c r="BD10" s="1362">
        <f t="shared" si="21"/>
        <v>6625.6386489010993</v>
      </c>
      <c r="BE10" s="1360">
        <f t="shared" si="22"/>
        <v>0</v>
      </c>
      <c r="BF10" s="1132" t="str">
        <f t="shared" si="23"/>
        <v>CI-HVC-PINS-V05-190101</v>
      </c>
      <c r="BG10" s="1132" t="str">
        <f t="shared" si="24"/>
        <v>Nicor Gas PY11-PY14 Adjustable Goals Template_2025-03-01, Tab 4.4.14</v>
      </c>
      <c r="BH10" s="2247">
        <f>'4.4.14'!$T$10</f>
        <v>1.6846271672771671</v>
      </c>
      <c r="BI10" s="2505"/>
      <c r="BJ10" s="1362">
        <f t="shared" si="48"/>
        <v>6625.6386489010993</v>
      </c>
      <c r="BK10" s="1360">
        <f t="shared" si="25"/>
        <v>0</v>
      </c>
      <c r="BL10" s="1601">
        <f t="shared" si="26"/>
        <v>6625.6386489010993</v>
      </c>
      <c r="BM10" s="1601">
        <f t="shared" si="27"/>
        <v>6625.6386489010993</v>
      </c>
      <c r="BN10" s="1601">
        <f t="shared" si="28"/>
        <v>6625.6386489010993</v>
      </c>
      <c r="BO10" s="1601">
        <f t="shared" si="29"/>
        <v>6625.6386489010993</v>
      </c>
      <c r="BP10" s="1602">
        <f t="shared" si="30"/>
        <v>26502.554595604397</v>
      </c>
      <c r="BQ10" s="1602"/>
      <c r="BR10" s="1602" t="s">
        <v>336</v>
      </c>
      <c r="BS10" s="1602">
        <v>0</v>
      </c>
      <c r="BT10" s="1602">
        <v>15</v>
      </c>
      <c r="BU10" s="1602">
        <v>15</v>
      </c>
      <c r="BV10" s="1602">
        <v>15</v>
      </c>
      <c r="BW10" s="1602">
        <v>15</v>
      </c>
      <c r="BX10" s="1362">
        <f t="shared" si="49"/>
        <v>99384.579733516483</v>
      </c>
      <c r="BY10" s="1362">
        <f t="shared" si="50"/>
        <v>99384.579733516483</v>
      </c>
      <c r="BZ10" s="1362">
        <f t="shared" si="51"/>
        <v>99384.579733516483</v>
      </c>
      <c r="CA10" s="1362">
        <f t="shared" si="52"/>
        <v>99384.579733516483</v>
      </c>
      <c r="CB10" s="1362">
        <f t="shared" si="53"/>
        <v>397538.31893406593</v>
      </c>
      <c r="CC10" s="1360">
        <v>15</v>
      </c>
      <c r="CD10" s="1360">
        <v>15</v>
      </c>
      <c r="CE10" s="1360">
        <v>15</v>
      </c>
      <c r="CF10" s="1360">
        <v>15</v>
      </c>
      <c r="CG10" s="1604">
        <f t="shared" si="33"/>
        <v>99384.579733516468</v>
      </c>
      <c r="CH10" s="1604">
        <f t="shared" si="34"/>
        <v>99384.579733516468</v>
      </c>
      <c r="CI10" s="1604">
        <f t="shared" si="35"/>
        <v>99384.579733516468</v>
      </c>
      <c r="CJ10" s="1604">
        <f t="shared" si="36"/>
        <v>99384.579733516468</v>
      </c>
      <c r="CK10" s="1521">
        <f t="shared" si="37"/>
        <v>397538.31893406587</v>
      </c>
      <c r="CL10" s="1132">
        <v>3</v>
      </c>
      <c r="CM10" s="1132" t="s">
        <v>337</v>
      </c>
      <c r="CN10" s="1359">
        <v>0</v>
      </c>
      <c r="CO10" s="1360">
        <v>4275</v>
      </c>
      <c r="CP10" s="1360">
        <v>4275</v>
      </c>
      <c r="CQ10" s="1360">
        <v>4275</v>
      </c>
      <c r="CR10" s="1360">
        <v>4275</v>
      </c>
      <c r="CS10" s="1362">
        <f t="shared" si="38"/>
        <v>6625.6386489010993</v>
      </c>
      <c r="CT10" s="1362">
        <f t="shared" si="39"/>
        <v>6625.6386489010993</v>
      </c>
      <c r="CU10" s="1362">
        <f t="shared" si="40"/>
        <v>6625.6386489010993</v>
      </c>
      <c r="CV10" s="1362">
        <f t="shared" si="41"/>
        <v>6625.6386489010993</v>
      </c>
      <c r="CW10" s="1362">
        <f t="shared" si="42"/>
        <v>26502.554595604397</v>
      </c>
      <c r="CY10" s="2887"/>
      <c r="DN10" s="1715"/>
    </row>
    <row r="11" spans="1:118" s="1143" customFormat="1" ht="46.5" x14ac:dyDescent="0.35">
      <c r="A11" s="1132" t="s">
        <v>101</v>
      </c>
      <c r="B11" s="1132" t="s">
        <v>325</v>
      </c>
      <c r="C11" s="1132" t="s">
        <v>339</v>
      </c>
      <c r="D11" s="1359" t="s">
        <v>340</v>
      </c>
      <c r="E11" s="1359">
        <v>1</v>
      </c>
      <c r="F11" s="1780" t="s">
        <v>336</v>
      </c>
      <c r="G11" s="1132" t="s">
        <v>337</v>
      </c>
      <c r="H11" s="1360">
        <v>9500</v>
      </c>
      <c r="I11" s="1360">
        <v>9500</v>
      </c>
      <c r="J11" s="1360">
        <v>9500</v>
      </c>
      <c r="K11" s="1360">
        <v>9500</v>
      </c>
      <c r="L11" s="1132" t="s">
        <v>338</v>
      </c>
      <c r="M11" s="1132" t="str">
        <f t="shared" si="0"/>
        <v>Nicor Gas PY11-PY14 Adjustable Goals Template_2025-03-01, Tab 4.4.14</v>
      </c>
      <c r="N11" s="1361">
        <v>4.3477888475836428</v>
      </c>
      <c r="O11" s="1361">
        <v>4.3477888475836428</v>
      </c>
      <c r="P11" s="1361">
        <v>4.3477888475836428</v>
      </c>
      <c r="Q11" s="1361">
        <v>4.3477888475836428</v>
      </c>
      <c r="R11" s="1781">
        <v>0.92</v>
      </c>
      <c r="S11" s="1781">
        <v>0.92</v>
      </c>
      <c r="T11" s="1781">
        <v>0.92</v>
      </c>
      <c r="U11" s="1781">
        <v>0.92</v>
      </c>
      <c r="V11" s="1781">
        <v>0.92</v>
      </c>
      <c r="W11" s="1781">
        <v>0.92</v>
      </c>
      <c r="X11" s="1781">
        <v>0.92</v>
      </c>
      <c r="Y11" s="1781">
        <v>0.92</v>
      </c>
      <c r="Z11" s="1359">
        <f t="shared" si="1"/>
        <v>1</v>
      </c>
      <c r="AA11" s="1781">
        <f t="shared" si="2"/>
        <v>0.92</v>
      </c>
      <c r="AB11" s="1781">
        <f t="shared" si="3"/>
        <v>0.92</v>
      </c>
      <c r="AC11" s="1781">
        <f t="shared" si="4"/>
        <v>0.92</v>
      </c>
      <c r="AD11" s="1781">
        <f t="shared" si="5"/>
        <v>0.92</v>
      </c>
      <c r="AE11" s="1781">
        <f t="shared" si="6"/>
        <v>0.92</v>
      </c>
      <c r="AF11" s="1781">
        <f t="shared" si="7"/>
        <v>0.92</v>
      </c>
      <c r="AG11" s="1781">
        <f t="shared" si="8"/>
        <v>0.92</v>
      </c>
      <c r="AH11" s="1781">
        <f t="shared" si="9"/>
        <v>0.92</v>
      </c>
      <c r="AI11" s="1362">
        <f t="shared" si="43"/>
        <v>37999.674527881034</v>
      </c>
      <c r="AJ11" s="1362">
        <f t="shared" si="44"/>
        <v>37999.674527881034</v>
      </c>
      <c r="AK11" s="1362">
        <f t="shared" si="45"/>
        <v>37999.674527881034</v>
      </c>
      <c r="AL11" s="1362">
        <f t="shared" si="46"/>
        <v>37999.674527881034</v>
      </c>
      <c r="AM11" s="1362">
        <f t="shared" si="47"/>
        <v>151998.69811152414</v>
      </c>
      <c r="AN11" s="1132" t="str">
        <f t="shared" si="11"/>
        <v>CI-HVC-PINS-V05-190101</v>
      </c>
      <c r="AO11" s="1132" t="str">
        <f t="shared" si="12"/>
        <v>Nicor Gas PY11-PY14 Adjustable Goals Template_2025-03-01, Tab 4.4.14</v>
      </c>
      <c r="AP11" s="2247">
        <f>'4.4.14'!$T$7</f>
        <v>4.3477888475836428</v>
      </c>
      <c r="AQ11" s="2505"/>
      <c r="AR11" s="2505">
        <f t="shared" si="13"/>
        <v>37999.674527881034</v>
      </c>
      <c r="AS11" s="2505">
        <f t="shared" si="14"/>
        <v>0</v>
      </c>
      <c r="AT11" s="1132" t="str">
        <f t="shared" si="15"/>
        <v>CI-HVC-PINS-V05-190101</v>
      </c>
      <c r="AU11" s="1132" t="str">
        <f t="shared" si="16"/>
        <v>Nicor Gas PY11-PY14 Adjustable Goals Template_2025-03-01, Tab 4.4.14</v>
      </c>
      <c r="AV11" s="2247">
        <f>'4.4.14'!$T$7</f>
        <v>4.3477888475836428</v>
      </c>
      <c r="AW11" s="2505"/>
      <c r="AX11" s="1362">
        <f t="shared" si="17"/>
        <v>37999.674527881034</v>
      </c>
      <c r="AY11" s="1360">
        <f t="shared" si="18"/>
        <v>0</v>
      </c>
      <c r="AZ11" s="1132" t="str">
        <f t="shared" si="19"/>
        <v>CI-HVC-PINS-V05-190101</v>
      </c>
      <c r="BA11" s="1132" t="str">
        <f t="shared" si="20"/>
        <v>Nicor Gas PY11-PY14 Adjustable Goals Template_2025-03-01, Tab 4.4.14</v>
      </c>
      <c r="BB11" s="2247">
        <f>'4.4.14'!$T$7</f>
        <v>4.3477888475836428</v>
      </c>
      <c r="BC11" s="2505"/>
      <c r="BD11" s="1362">
        <f t="shared" si="21"/>
        <v>37999.674527881034</v>
      </c>
      <c r="BE11" s="1360">
        <f t="shared" si="22"/>
        <v>0</v>
      </c>
      <c r="BF11" s="1132" t="str">
        <f t="shared" si="23"/>
        <v>CI-HVC-PINS-V05-190101</v>
      </c>
      <c r="BG11" s="1132" t="str">
        <f t="shared" si="24"/>
        <v>Nicor Gas PY11-PY14 Adjustable Goals Template_2025-03-01, Tab 4.4.14</v>
      </c>
      <c r="BH11" s="2247">
        <f>'4.4.14'!$T$7</f>
        <v>4.3477888475836428</v>
      </c>
      <c r="BI11" s="2505"/>
      <c r="BJ11" s="1362">
        <f t="shared" si="48"/>
        <v>37999.674527881034</v>
      </c>
      <c r="BK11" s="1360">
        <f t="shared" si="25"/>
        <v>0</v>
      </c>
      <c r="BL11" s="1601">
        <f t="shared" si="26"/>
        <v>37999.674527881034</v>
      </c>
      <c r="BM11" s="1601">
        <f t="shared" si="27"/>
        <v>37999.674527881034</v>
      </c>
      <c r="BN11" s="1601">
        <f t="shared" si="28"/>
        <v>37999.674527881034</v>
      </c>
      <c r="BO11" s="1601">
        <f t="shared" si="29"/>
        <v>37999.674527881034</v>
      </c>
      <c r="BP11" s="1602">
        <f t="shared" si="30"/>
        <v>151998.69811152414</v>
      </c>
      <c r="BQ11" s="1602"/>
      <c r="BR11" s="1602" t="s">
        <v>336</v>
      </c>
      <c r="BS11" s="1602">
        <v>0</v>
      </c>
      <c r="BT11" s="1602">
        <v>15</v>
      </c>
      <c r="BU11" s="1602">
        <v>15</v>
      </c>
      <c r="BV11" s="1602">
        <v>15</v>
      </c>
      <c r="BW11" s="1602">
        <v>15</v>
      </c>
      <c r="BX11" s="1362">
        <f t="shared" si="49"/>
        <v>569995.11791821546</v>
      </c>
      <c r="BY11" s="1362">
        <f t="shared" si="50"/>
        <v>569995.11791821546</v>
      </c>
      <c r="BZ11" s="1362">
        <f t="shared" si="51"/>
        <v>569995.11791821546</v>
      </c>
      <c r="CA11" s="1362">
        <f t="shared" si="52"/>
        <v>569995.11791821546</v>
      </c>
      <c r="CB11" s="1362">
        <f t="shared" si="53"/>
        <v>2279980.4716728618</v>
      </c>
      <c r="CC11" s="1360">
        <v>15</v>
      </c>
      <c r="CD11" s="1360">
        <v>15</v>
      </c>
      <c r="CE11" s="1360">
        <v>15</v>
      </c>
      <c r="CF11" s="1360">
        <v>15</v>
      </c>
      <c r="CG11" s="1604">
        <f t="shared" si="33"/>
        <v>569995.11791821558</v>
      </c>
      <c r="CH11" s="1604">
        <f t="shared" si="34"/>
        <v>569995.11791821558</v>
      </c>
      <c r="CI11" s="1604">
        <f t="shared" si="35"/>
        <v>569995.11791821558</v>
      </c>
      <c r="CJ11" s="1604">
        <f t="shared" si="36"/>
        <v>569995.11791821558</v>
      </c>
      <c r="CK11" s="1521">
        <f t="shared" si="37"/>
        <v>2279980.4716728623</v>
      </c>
      <c r="CL11" s="1132">
        <v>4</v>
      </c>
      <c r="CM11" s="1132" t="s">
        <v>337</v>
      </c>
      <c r="CN11" s="1359">
        <v>0</v>
      </c>
      <c r="CO11" s="1360">
        <v>9500</v>
      </c>
      <c r="CP11" s="1360">
        <v>9500</v>
      </c>
      <c r="CQ11" s="1360">
        <v>9500</v>
      </c>
      <c r="CR11" s="1360">
        <v>9500</v>
      </c>
      <c r="CS11" s="1362">
        <f t="shared" si="38"/>
        <v>37999.674527881034</v>
      </c>
      <c r="CT11" s="1362">
        <f t="shared" si="39"/>
        <v>37999.674527881034</v>
      </c>
      <c r="CU11" s="1362">
        <f t="shared" si="40"/>
        <v>37999.674527881034</v>
      </c>
      <c r="CV11" s="1362">
        <f t="shared" si="41"/>
        <v>37999.674527881034</v>
      </c>
      <c r="CW11" s="1362">
        <f t="shared" si="42"/>
        <v>151998.69811152414</v>
      </c>
      <c r="CY11" s="2887"/>
      <c r="DN11" s="1715"/>
    </row>
    <row r="12" spans="1:118" s="1143" customFormat="1" ht="46.5" x14ac:dyDescent="0.35">
      <c r="A12" s="1132" t="s">
        <v>101</v>
      </c>
      <c r="B12" s="1132" t="s">
        <v>325</v>
      </c>
      <c r="C12" s="1132" t="s">
        <v>341</v>
      </c>
      <c r="D12" s="1359" t="s">
        <v>342</v>
      </c>
      <c r="E12" s="1359">
        <v>1</v>
      </c>
      <c r="F12" s="1780" t="s">
        <v>336</v>
      </c>
      <c r="G12" s="1132" t="s">
        <v>337</v>
      </c>
      <c r="H12" s="1360">
        <v>190</v>
      </c>
      <c r="I12" s="1360">
        <v>190</v>
      </c>
      <c r="J12" s="1360">
        <v>190</v>
      </c>
      <c r="K12" s="1360">
        <v>190</v>
      </c>
      <c r="L12" s="1132" t="s">
        <v>338</v>
      </c>
      <c r="M12" s="1132" t="str">
        <f t="shared" si="0"/>
        <v>Nicor Gas PY11-PY14 Adjustable Goals Template_2025-03-01, Tab 4.4.14</v>
      </c>
      <c r="N12" s="1361">
        <v>6.2725912019826513</v>
      </c>
      <c r="O12" s="1361">
        <v>6.2725912019826513</v>
      </c>
      <c r="P12" s="1361">
        <v>6.2725912019826513</v>
      </c>
      <c r="Q12" s="1361">
        <v>6.2725912019826513</v>
      </c>
      <c r="R12" s="1781">
        <v>0.92</v>
      </c>
      <c r="S12" s="1781">
        <v>0.92</v>
      </c>
      <c r="T12" s="1781">
        <v>0.92</v>
      </c>
      <c r="U12" s="1781">
        <v>0.92</v>
      </c>
      <c r="V12" s="1781">
        <v>0.92</v>
      </c>
      <c r="W12" s="1781">
        <v>0.92</v>
      </c>
      <c r="X12" s="1781">
        <v>0.92</v>
      </c>
      <c r="Y12" s="1781">
        <v>0.92</v>
      </c>
      <c r="Z12" s="1359">
        <f t="shared" si="1"/>
        <v>1</v>
      </c>
      <c r="AA12" s="1781">
        <f t="shared" si="2"/>
        <v>0.92</v>
      </c>
      <c r="AB12" s="1781">
        <f t="shared" si="3"/>
        <v>0.92</v>
      </c>
      <c r="AC12" s="1781">
        <f t="shared" si="4"/>
        <v>0.92</v>
      </c>
      <c r="AD12" s="1781">
        <f t="shared" si="5"/>
        <v>0.92</v>
      </c>
      <c r="AE12" s="1781">
        <f t="shared" si="6"/>
        <v>0.92</v>
      </c>
      <c r="AF12" s="1781">
        <f t="shared" si="7"/>
        <v>0.92</v>
      </c>
      <c r="AG12" s="1781">
        <f t="shared" si="8"/>
        <v>0.92</v>
      </c>
      <c r="AH12" s="1781">
        <f t="shared" si="9"/>
        <v>0.92</v>
      </c>
      <c r="AI12" s="1362">
        <f t="shared" si="43"/>
        <v>1096.4489421065675</v>
      </c>
      <c r="AJ12" s="1362">
        <f t="shared" si="44"/>
        <v>1096.4489421065675</v>
      </c>
      <c r="AK12" s="1362">
        <f t="shared" si="45"/>
        <v>1096.4489421065675</v>
      </c>
      <c r="AL12" s="1362">
        <f t="shared" si="46"/>
        <v>1096.4489421065675</v>
      </c>
      <c r="AM12" s="1362">
        <f t="shared" si="47"/>
        <v>4385.7957684262701</v>
      </c>
      <c r="AN12" s="1132" t="str">
        <f t="shared" si="11"/>
        <v>CI-HVC-PINS-V05-190101</v>
      </c>
      <c r="AO12" s="1132" t="str">
        <f t="shared" si="12"/>
        <v>Nicor Gas PY11-PY14 Adjustable Goals Template_2025-03-01, Tab 4.4.14</v>
      </c>
      <c r="AP12" s="2247">
        <f>'4.4.14'!$T$12</f>
        <v>6.2725912019826513</v>
      </c>
      <c r="AQ12" s="2505"/>
      <c r="AR12" s="2505">
        <f t="shared" si="13"/>
        <v>1096.4489421065675</v>
      </c>
      <c r="AS12" s="2505">
        <f t="shared" si="14"/>
        <v>0</v>
      </c>
      <c r="AT12" s="1132" t="str">
        <f t="shared" si="15"/>
        <v>CI-HVC-PINS-V05-190101</v>
      </c>
      <c r="AU12" s="1132" t="str">
        <f t="shared" si="16"/>
        <v>Nicor Gas PY11-PY14 Adjustable Goals Template_2025-03-01, Tab 4.4.14</v>
      </c>
      <c r="AV12" s="2247">
        <f>'4.4.14'!$T$12</f>
        <v>6.2725912019826513</v>
      </c>
      <c r="AW12" s="2505"/>
      <c r="AX12" s="1362">
        <f t="shared" si="17"/>
        <v>1096.4489421065675</v>
      </c>
      <c r="AY12" s="1360">
        <f t="shared" si="18"/>
        <v>0</v>
      </c>
      <c r="AZ12" s="1132" t="str">
        <f t="shared" si="19"/>
        <v>CI-HVC-PINS-V05-190101</v>
      </c>
      <c r="BA12" s="1132" t="str">
        <f t="shared" si="20"/>
        <v>Nicor Gas PY11-PY14 Adjustable Goals Template_2025-03-01, Tab 4.4.14</v>
      </c>
      <c r="BB12" s="2247">
        <f>'4.4.14'!$T$12</f>
        <v>6.2725912019826513</v>
      </c>
      <c r="BC12" s="2505"/>
      <c r="BD12" s="1362">
        <f t="shared" si="21"/>
        <v>1096.4489421065675</v>
      </c>
      <c r="BE12" s="1360">
        <f t="shared" si="22"/>
        <v>0</v>
      </c>
      <c r="BF12" s="1132" t="str">
        <f t="shared" si="23"/>
        <v>CI-HVC-PINS-V05-190101</v>
      </c>
      <c r="BG12" s="1132" t="str">
        <f t="shared" si="24"/>
        <v>Nicor Gas PY11-PY14 Adjustable Goals Template_2025-03-01, Tab 4.4.14</v>
      </c>
      <c r="BH12" s="2247">
        <f>'4.4.14'!$T$12</f>
        <v>6.2725912019826513</v>
      </c>
      <c r="BI12" s="2505"/>
      <c r="BJ12" s="1362">
        <f t="shared" si="48"/>
        <v>1096.4489421065675</v>
      </c>
      <c r="BK12" s="1360">
        <f t="shared" si="25"/>
        <v>0</v>
      </c>
      <c r="BL12" s="1601">
        <f t="shared" si="26"/>
        <v>1096.4489421065675</v>
      </c>
      <c r="BM12" s="1601">
        <f t="shared" si="27"/>
        <v>1096.4489421065675</v>
      </c>
      <c r="BN12" s="1601">
        <f t="shared" si="28"/>
        <v>1096.4489421065675</v>
      </c>
      <c r="BO12" s="1601">
        <f t="shared" si="29"/>
        <v>1096.4489421065675</v>
      </c>
      <c r="BP12" s="1602">
        <f t="shared" si="30"/>
        <v>4385.7957684262701</v>
      </c>
      <c r="BQ12" s="1602"/>
      <c r="BR12" s="1602" t="s">
        <v>336</v>
      </c>
      <c r="BS12" s="1602">
        <v>0</v>
      </c>
      <c r="BT12" s="1602">
        <v>15</v>
      </c>
      <c r="BU12" s="1602">
        <v>15</v>
      </c>
      <c r="BV12" s="1602">
        <v>15</v>
      </c>
      <c r="BW12" s="1602">
        <v>15</v>
      </c>
      <c r="BX12" s="1362">
        <f t="shared" si="49"/>
        <v>16446.734131598514</v>
      </c>
      <c r="BY12" s="1362">
        <f t="shared" si="50"/>
        <v>16446.734131598514</v>
      </c>
      <c r="BZ12" s="1362">
        <f t="shared" si="51"/>
        <v>16446.734131598514</v>
      </c>
      <c r="CA12" s="1362">
        <f t="shared" si="52"/>
        <v>16446.734131598514</v>
      </c>
      <c r="CB12" s="1362">
        <f t="shared" si="53"/>
        <v>65786.936526394056</v>
      </c>
      <c r="CC12" s="1360">
        <v>15</v>
      </c>
      <c r="CD12" s="1360">
        <v>15</v>
      </c>
      <c r="CE12" s="1360">
        <v>15</v>
      </c>
      <c r="CF12" s="1360">
        <v>15</v>
      </c>
      <c r="CG12" s="1604">
        <f t="shared" si="33"/>
        <v>16446.734131598514</v>
      </c>
      <c r="CH12" s="1604">
        <f t="shared" si="34"/>
        <v>16446.734131598514</v>
      </c>
      <c r="CI12" s="1604">
        <f t="shared" si="35"/>
        <v>16446.734131598514</v>
      </c>
      <c r="CJ12" s="1604">
        <f t="shared" si="36"/>
        <v>16446.734131598514</v>
      </c>
      <c r="CK12" s="1521">
        <f t="shared" si="37"/>
        <v>65786.936526394056</v>
      </c>
      <c r="CL12" s="1132">
        <v>5</v>
      </c>
      <c r="CM12" s="1132" t="s">
        <v>337</v>
      </c>
      <c r="CN12" s="1359">
        <v>0</v>
      </c>
      <c r="CO12" s="1360">
        <v>190</v>
      </c>
      <c r="CP12" s="1360">
        <v>190</v>
      </c>
      <c r="CQ12" s="1360">
        <v>190</v>
      </c>
      <c r="CR12" s="1360">
        <v>190</v>
      </c>
      <c r="CS12" s="1362">
        <f t="shared" si="38"/>
        <v>1096.4489421065675</v>
      </c>
      <c r="CT12" s="1362">
        <f t="shared" si="39"/>
        <v>1096.4489421065675</v>
      </c>
      <c r="CU12" s="1362">
        <f t="shared" si="40"/>
        <v>1096.4489421065675</v>
      </c>
      <c r="CV12" s="1362">
        <f t="shared" si="41"/>
        <v>1096.4489421065675</v>
      </c>
      <c r="CW12" s="1362">
        <f t="shared" si="42"/>
        <v>4385.7957684262701</v>
      </c>
      <c r="CY12" s="2887"/>
      <c r="DN12" s="1715"/>
    </row>
    <row r="13" spans="1:118" s="1143" customFormat="1" ht="46.5" x14ac:dyDescent="0.35">
      <c r="A13" s="1132" t="s">
        <v>101</v>
      </c>
      <c r="B13" s="1132" t="s">
        <v>325</v>
      </c>
      <c r="C13" s="1132" t="s">
        <v>343</v>
      </c>
      <c r="D13" s="1359" t="s">
        <v>344</v>
      </c>
      <c r="E13" s="1359">
        <v>1</v>
      </c>
      <c r="F13" s="1780" t="s">
        <v>336</v>
      </c>
      <c r="G13" s="1132" t="s">
        <v>337</v>
      </c>
      <c r="H13" s="1360">
        <v>6650</v>
      </c>
      <c r="I13" s="1360">
        <v>6650</v>
      </c>
      <c r="J13" s="1360">
        <v>6650</v>
      </c>
      <c r="K13" s="1360">
        <v>6650</v>
      </c>
      <c r="L13" s="1132" t="s">
        <v>338</v>
      </c>
      <c r="M13" s="1132" t="str">
        <f t="shared" si="0"/>
        <v>Nicor Gas PY11-PY14 Adjustable Goals Template_2025-03-01, Tab 4.4.14</v>
      </c>
      <c r="N13" s="1361">
        <v>8.1973935563816607</v>
      </c>
      <c r="O13" s="1361">
        <v>8.1973935563816607</v>
      </c>
      <c r="P13" s="1361">
        <v>8.1973935563816607</v>
      </c>
      <c r="Q13" s="1361">
        <v>8.1973935563816607</v>
      </c>
      <c r="R13" s="1781">
        <v>0.92</v>
      </c>
      <c r="S13" s="1781">
        <v>0.92</v>
      </c>
      <c r="T13" s="1781">
        <v>0.92</v>
      </c>
      <c r="U13" s="1781">
        <v>0.92</v>
      </c>
      <c r="V13" s="1781">
        <v>0.92</v>
      </c>
      <c r="W13" s="1781">
        <v>0.92</v>
      </c>
      <c r="X13" s="1781">
        <v>0.92</v>
      </c>
      <c r="Y13" s="1781">
        <v>0.92</v>
      </c>
      <c r="Z13" s="1359">
        <f t="shared" si="1"/>
        <v>1</v>
      </c>
      <c r="AA13" s="1781">
        <f t="shared" si="2"/>
        <v>0.92</v>
      </c>
      <c r="AB13" s="1781">
        <f t="shared" si="3"/>
        <v>0.92</v>
      </c>
      <c r="AC13" s="1781">
        <f t="shared" si="4"/>
        <v>0.92</v>
      </c>
      <c r="AD13" s="1781">
        <f t="shared" si="5"/>
        <v>0.92</v>
      </c>
      <c r="AE13" s="1781">
        <f t="shared" si="6"/>
        <v>0.92</v>
      </c>
      <c r="AF13" s="1781">
        <f t="shared" si="7"/>
        <v>0.92</v>
      </c>
      <c r="AG13" s="1781">
        <f t="shared" si="8"/>
        <v>0.92</v>
      </c>
      <c r="AH13" s="1781">
        <f t="shared" si="9"/>
        <v>0.92</v>
      </c>
      <c r="AI13" s="1362">
        <f t="shared" si="43"/>
        <v>50151.653777943007</v>
      </c>
      <c r="AJ13" s="1362">
        <f t="shared" si="44"/>
        <v>50151.653777943007</v>
      </c>
      <c r="AK13" s="1362">
        <f t="shared" si="45"/>
        <v>50151.653777943007</v>
      </c>
      <c r="AL13" s="1362">
        <f t="shared" si="46"/>
        <v>50151.653777943007</v>
      </c>
      <c r="AM13" s="1362">
        <f t="shared" si="47"/>
        <v>200606.61511177203</v>
      </c>
      <c r="AN13" s="1132" t="str">
        <f t="shared" si="11"/>
        <v>CI-HVC-PINS-V05-190101</v>
      </c>
      <c r="AO13" s="1132" t="str">
        <f t="shared" si="12"/>
        <v>Nicor Gas PY11-PY14 Adjustable Goals Template_2025-03-01, Tab 4.4.14</v>
      </c>
      <c r="AP13" s="2247">
        <f>'4.4.14'!$T$6</f>
        <v>8.1973935563816607</v>
      </c>
      <c r="AQ13" s="2505"/>
      <c r="AR13" s="2505">
        <f t="shared" si="13"/>
        <v>50151.653777943007</v>
      </c>
      <c r="AS13" s="2505">
        <f t="shared" si="14"/>
        <v>0</v>
      </c>
      <c r="AT13" s="1132" t="str">
        <f t="shared" si="15"/>
        <v>CI-HVC-PINS-V05-190101</v>
      </c>
      <c r="AU13" s="1132" t="str">
        <f t="shared" si="16"/>
        <v>Nicor Gas PY11-PY14 Adjustable Goals Template_2025-03-01, Tab 4.4.14</v>
      </c>
      <c r="AV13" s="2247">
        <f>'4.4.14'!$T$6</f>
        <v>8.1973935563816607</v>
      </c>
      <c r="AW13" s="2505"/>
      <c r="AX13" s="1362">
        <f t="shared" si="17"/>
        <v>50151.653777943007</v>
      </c>
      <c r="AY13" s="1360">
        <f t="shared" si="18"/>
        <v>0</v>
      </c>
      <c r="AZ13" s="1132" t="str">
        <f t="shared" si="19"/>
        <v>CI-HVC-PINS-V05-190101</v>
      </c>
      <c r="BA13" s="1132" t="str">
        <f t="shared" si="20"/>
        <v>Nicor Gas PY11-PY14 Adjustable Goals Template_2025-03-01, Tab 4.4.14</v>
      </c>
      <c r="BB13" s="2247">
        <f>'4.4.14'!$T$6</f>
        <v>8.1973935563816607</v>
      </c>
      <c r="BC13" s="2505"/>
      <c r="BD13" s="1362">
        <f t="shared" si="21"/>
        <v>50151.653777943007</v>
      </c>
      <c r="BE13" s="1360">
        <f t="shared" si="22"/>
        <v>0</v>
      </c>
      <c r="BF13" s="1132" t="str">
        <f t="shared" si="23"/>
        <v>CI-HVC-PINS-V05-190101</v>
      </c>
      <c r="BG13" s="1132" t="str">
        <f t="shared" si="24"/>
        <v>Nicor Gas PY11-PY14 Adjustable Goals Template_2025-03-01, Tab 4.4.14</v>
      </c>
      <c r="BH13" s="2247">
        <f>'4.4.14'!$T$6</f>
        <v>8.1973935563816607</v>
      </c>
      <c r="BI13" s="2505"/>
      <c r="BJ13" s="1362">
        <f t="shared" si="48"/>
        <v>50151.653777943007</v>
      </c>
      <c r="BK13" s="1360">
        <f t="shared" si="25"/>
        <v>0</v>
      </c>
      <c r="BL13" s="1601">
        <f t="shared" si="26"/>
        <v>50151.653777943007</v>
      </c>
      <c r="BM13" s="1601">
        <f t="shared" si="27"/>
        <v>50151.653777943007</v>
      </c>
      <c r="BN13" s="1601">
        <f t="shared" si="28"/>
        <v>50151.653777943007</v>
      </c>
      <c r="BO13" s="1601">
        <f t="shared" si="29"/>
        <v>50151.653777943007</v>
      </c>
      <c r="BP13" s="1602">
        <f t="shared" si="30"/>
        <v>200606.61511177203</v>
      </c>
      <c r="BQ13" s="1602"/>
      <c r="BR13" s="1602" t="s">
        <v>336</v>
      </c>
      <c r="BS13" s="1602">
        <v>0</v>
      </c>
      <c r="BT13" s="1602">
        <v>15</v>
      </c>
      <c r="BU13" s="1602">
        <v>15</v>
      </c>
      <c r="BV13" s="1602">
        <v>15</v>
      </c>
      <c r="BW13" s="1602">
        <v>15</v>
      </c>
      <c r="BX13" s="1362">
        <f t="shared" si="49"/>
        <v>752274.80666914512</v>
      </c>
      <c r="BY13" s="1362">
        <f t="shared" si="50"/>
        <v>752274.80666914512</v>
      </c>
      <c r="BZ13" s="1362">
        <f t="shared" si="51"/>
        <v>752274.80666914512</v>
      </c>
      <c r="CA13" s="1362">
        <f t="shared" si="52"/>
        <v>752274.80666914512</v>
      </c>
      <c r="CB13" s="1362">
        <f t="shared" si="53"/>
        <v>3009099.2266765805</v>
      </c>
      <c r="CC13" s="1360">
        <v>15</v>
      </c>
      <c r="CD13" s="1360">
        <v>15</v>
      </c>
      <c r="CE13" s="1360">
        <v>15</v>
      </c>
      <c r="CF13" s="1360">
        <v>15</v>
      </c>
      <c r="CG13" s="1604">
        <f t="shared" si="33"/>
        <v>752274.80666914501</v>
      </c>
      <c r="CH13" s="1604">
        <f t="shared" si="34"/>
        <v>752274.80666914501</v>
      </c>
      <c r="CI13" s="1604">
        <f t="shared" si="35"/>
        <v>752274.80666914501</v>
      </c>
      <c r="CJ13" s="1604">
        <f t="shared" si="36"/>
        <v>752274.80666914501</v>
      </c>
      <c r="CK13" s="1521">
        <f t="shared" si="37"/>
        <v>3009099.22667658</v>
      </c>
      <c r="CL13" s="1132">
        <v>6</v>
      </c>
      <c r="CM13" s="1132" t="s">
        <v>337</v>
      </c>
      <c r="CN13" s="1359">
        <v>0</v>
      </c>
      <c r="CO13" s="1360">
        <v>6650</v>
      </c>
      <c r="CP13" s="1360">
        <v>6650</v>
      </c>
      <c r="CQ13" s="1360">
        <v>6650</v>
      </c>
      <c r="CR13" s="1360">
        <v>6650</v>
      </c>
      <c r="CS13" s="1362">
        <f t="shared" si="38"/>
        <v>50151.653777943007</v>
      </c>
      <c r="CT13" s="1362">
        <f t="shared" si="39"/>
        <v>50151.653777943007</v>
      </c>
      <c r="CU13" s="1362">
        <f t="shared" si="40"/>
        <v>50151.653777943007</v>
      </c>
      <c r="CV13" s="1362">
        <f t="shared" si="41"/>
        <v>50151.653777943007</v>
      </c>
      <c r="CW13" s="1362">
        <f t="shared" si="42"/>
        <v>200606.61511177203</v>
      </c>
      <c r="CY13" s="2887"/>
      <c r="DN13" s="1715"/>
    </row>
    <row r="14" spans="1:118" s="1143" customFormat="1" ht="46.5" x14ac:dyDescent="0.35">
      <c r="A14" s="1132" t="s">
        <v>101</v>
      </c>
      <c r="B14" s="1132" t="s">
        <v>325</v>
      </c>
      <c r="C14" s="1132" t="s">
        <v>345</v>
      </c>
      <c r="D14" s="1359" t="s">
        <v>346</v>
      </c>
      <c r="E14" s="1359">
        <v>1</v>
      </c>
      <c r="F14" s="1780" t="s">
        <v>336</v>
      </c>
      <c r="G14" s="1132" t="s">
        <v>337</v>
      </c>
      <c r="H14" s="1360">
        <v>712.5</v>
      </c>
      <c r="I14" s="1360">
        <v>712.5</v>
      </c>
      <c r="J14" s="1360">
        <v>712.5</v>
      </c>
      <c r="K14" s="1360">
        <v>712.5</v>
      </c>
      <c r="L14" s="1132" t="s">
        <v>338</v>
      </c>
      <c r="M14" s="1132" t="str">
        <f t="shared" si="0"/>
        <v>Nicor Gas PY11-PY14 Adjustable Goals Template_2025-03-01, Tab 4.4.14</v>
      </c>
      <c r="N14" s="1361">
        <v>2.0533046641791044</v>
      </c>
      <c r="O14" s="1361">
        <v>2.0533046641791044</v>
      </c>
      <c r="P14" s="1361">
        <v>2.0533046641791044</v>
      </c>
      <c r="Q14" s="1361">
        <v>2.0533046641791044</v>
      </c>
      <c r="R14" s="1781">
        <v>0.92</v>
      </c>
      <c r="S14" s="1781">
        <v>0.92</v>
      </c>
      <c r="T14" s="1781">
        <v>0.92</v>
      </c>
      <c r="U14" s="1781">
        <v>0.92</v>
      </c>
      <c r="V14" s="1781">
        <v>0.92</v>
      </c>
      <c r="W14" s="1781">
        <v>0.92</v>
      </c>
      <c r="X14" s="1781">
        <v>0.92</v>
      </c>
      <c r="Y14" s="1781">
        <v>0.92</v>
      </c>
      <c r="Z14" s="1359">
        <f t="shared" si="1"/>
        <v>1</v>
      </c>
      <c r="AA14" s="1781">
        <f t="shared" si="2"/>
        <v>0.92</v>
      </c>
      <c r="AB14" s="1781">
        <f t="shared" si="3"/>
        <v>0.92</v>
      </c>
      <c r="AC14" s="1781">
        <f t="shared" si="4"/>
        <v>0.92</v>
      </c>
      <c r="AD14" s="1781">
        <f t="shared" si="5"/>
        <v>0.92</v>
      </c>
      <c r="AE14" s="1781">
        <f t="shared" si="6"/>
        <v>0.92</v>
      </c>
      <c r="AF14" s="1781">
        <f t="shared" si="7"/>
        <v>0.92</v>
      </c>
      <c r="AG14" s="1781">
        <f t="shared" si="8"/>
        <v>0.92</v>
      </c>
      <c r="AH14" s="1781">
        <f t="shared" si="9"/>
        <v>0.92</v>
      </c>
      <c r="AI14" s="1362">
        <f t="shared" si="43"/>
        <v>1345.9412073694029</v>
      </c>
      <c r="AJ14" s="1362">
        <f t="shared" si="44"/>
        <v>1345.9412073694029</v>
      </c>
      <c r="AK14" s="1362">
        <f t="shared" si="45"/>
        <v>1345.9412073694029</v>
      </c>
      <c r="AL14" s="1362">
        <f t="shared" si="46"/>
        <v>1345.9412073694029</v>
      </c>
      <c r="AM14" s="1362">
        <f t="shared" si="47"/>
        <v>5383.7648294776118</v>
      </c>
      <c r="AN14" s="1132" t="str">
        <f t="shared" si="11"/>
        <v>CI-HVC-PINS-V05-190101</v>
      </c>
      <c r="AO14" s="1132" t="str">
        <f t="shared" si="12"/>
        <v>Nicor Gas PY11-PY14 Adjustable Goals Template_2025-03-01, Tab 4.4.14</v>
      </c>
      <c r="AP14" s="2247">
        <f>'4.4.14'!$T$9</f>
        <v>2.0533046641791044</v>
      </c>
      <c r="AQ14" s="2505"/>
      <c r="AR14" s="2505">
        <f t="shared" si="13"/>
        <v>1345.9412073694029</v>
      </c>
      <c r="AS14" s="2505">
        <f t="shared" si="14"/>
        <v>0</v>
      </c>
      <c r="AT14" s="1132" t="str">
        <f t="shared" si="15"/>
        <v>CI-HVC-PINS-V05-190101</v>
      </c>
      <c r="AU14" s="1132" t="str">
        <f t="shared" si="16"/>
        <v>Nicor Gas PY11-PY14 Adjustable Goals Template_2025-03-01, Tab 4.4.14</v>
      </c>
      <c r="AV14" s="2247">
        <f>'4.4.14'!$T$9</f>
        <v>2.0533046641791044</v>
      </c>
      <c r="AW14" s="2505"/>
      <c r="AX14" s="1362">
        <f t="shared" si="17"/>
        <v>1345.9412073694029</v>
      </c>
      <c r="AY14" s="1360">
        <f t="shared" si="18"/>
        <v>0</v>
      </c>
      <c r="AZ14" s="1132" t="str">
        <f t="shared" si="19"/>
        <v>CI-HVC-PINS-V05-190101</v>
      </c>
      <c r="BA14" s="1132" t="str">
        <f t="shared" si="20"/>
        <v>Nicor Gas PY11-PY14 Adjustable Goals Template_2025-03-01, Tab 4.4.14</v>
      </c>
      <c r="BB14" s="2247">
        <f>'4.4.14'!$T$9</f>
        <v>2.0533046641791044</v>
      </c>
      <c r="BC14" s="2505"/>
      <c r="BD14" s="1362">
        <f t="shared" si="21"/>
        <v>1345.9412073694029</v>
      </c>
      <c r="BE14" s="1360">
        <f t="shared" si="22"/>
        <v>0</v>
      </c>
      <c r="BF14" s="1132" t="str">
        <f t="shared" si="23"/>
        <v>CI-HVC-PINS-V05-190101</v>
      </c>
      <c r="BG14" s="1132" t="str">
        <f t="shared" si="24"/>
        <v>Nicor Gas PY11-PY14 Adjustable Goals Template_2025-03-01, Tab 4.4.14</v>
      </c>
      <c r="BH14" s="2247">
        <f>'4.4.14'!$T$9</f>
        <v>2.0533046641791044</v>
      </c>
      <c r="BI14" s="2505"/>
      <c r="BJ14" s="1362">
        <f t="shared" si="48"/>
        <v>1345.9412073694029</v>
      </c>
      <c r="BK14" s="1360">
        <f t="shared" si="25"/>
        <v>0</v>
      </c>
      <c r="BL14" s="1601">
        <f t="shared" si="26"/>
        <v>1345.9412073694029</v>
      </c>
      <c r="BM14" s="1601">
        <f t="shared" si="27"/>
        <v>1345.9412073694029</v>
      </c>
      <c r="BN14" s="1601">
        <f t="shared" si="28"/>
        <v>1345.9412073694029</v>
      </c>
      <c r="BO14" s="1601">
        <f t="shared" si="29"/>
        <v>1345.9412073694029</v>
      </c>
      <c r="BP14" s="1602">
        <f t="shared" si="30"/>
        <v>5383.7648294776118</v>
      </c>
      <c r="BQ14" s="1602"/>
      <c r="BR14" s="1602" t="s">
        <v>336</v>
      </c>
      <c r="BS14" s="1602">
        <v>0</v>
      </c>
      <c r="BT14" s="1602">
        <v>15</v>
      </c>
      <c r="BU14" s="1602">
        <v>15</v>
      </c>
      <c r="BV14" s="1602">
        <v>15</v>
      </c>
      <c r="BW14" s="1602">
        <v>15</v>
      </c>
      <c r="BX14" s="1362">
        <f t="shared" si="49"/>
        <v>20189.118110541043</v>
      </c>
      <c r="BY14" s="1362">
        <f t="shared" si="50"/>
        <v>20189.118110541043</v>
      </c>
      <c r="BZ14" s="1362">
        <f t="shared" si="51"/>
        <v>20189.118110541043</v>
      </c>
      <c r="CA14" s="1362">
        <f t="shared" si="52"/>
        <v>20189.118110541043</v>
      </c>
      <c r="CB14" s="1362">
        <f t="shared" si="53"/>
        <v>80756.472442164173</v>
      </c>
      <c r="CC14" s="1360">
        <v>15</v>
      </c>
      <c r="CD14" s="1360">
        <v>15</v>
      </c>
      <c r="CE14" s="1360">
        <v>15</v>
      </c>
      <c r="CF14" s="1360">
        <v>15</v>
      </c>
      <c r="CG14" s="1604">
        <f t="shared" si="33"/>
        <v>20189.118110541043</v>
      </c>
      <c r="CH14" s="1604">
        <f t="shared" si="34"/>
        <v>20189.118110541043</v>
      </c>
      <c r="CI14" s="1604">
        <f t="shared" si="35"/>
        <v>20189.118110541043</v>
      </c>
      <c r="CJ14" s="1604">
        <f t="shared" si="36"/>
        <v>20189.118110541043</v>
      </c>
      <c r="CK14" s="1521">
        <f t="shared" si="37"/>
        <v>80756.472442164173</v>
      </c>
      <c r="CL14" s="1132">
        <v>7</v>
      </c>
      <c r="CM14" s="1132" t="s">
        <v>337</v>
      </c>
      <c r="CN14" s="1359">
        <v>0</v>
      </c>
      <c r="CO14" s="1360">
        <v>712.5</v>
      </c>
      <c r="CP14" s="1360">
        <v>712.5</v>
      </c>
      <c r="CQ14" s="1360">
        <v>712.5</v>
      </c>
      <c r="CR14" s="1360">
        <v>712.5</v>
      </c>
      <c r="CS14" s="1362">
        <f t="shared" si="38"/>
        <v>1345.9412073694029</v>
      </c>
      <c r="CT14" s="1362">
        <f t="shared" si="39"/>
        <v>1345.9412073694029</v>
      </c>
      <c r="CU14" s="1362">
        <f t="shared" si="40"/>
        <v>1345.9412073694029</v>
      </c>
      <c r="CV14" s="1362">
        <f t="shared" si="41"/>
        <v>1345.9412073694029</v>
      </c>
      <c r="CW14" s="1362">
        <f t="shared" si="42"/>
        <v>5383.7648294776118</v>
      </c>
      <c r="CY14" s="2887"/>
    </row>
    <row r="15" spans="1:118" s="1143" customFormat="1" ht="46.5" x14ac:dyDescent="0.35">
      <c r="A15" s="1132" t="s">
        <v>101</v>
      </c>
      <c r="B15" s="1132" t="s">
        <v>325</v>
      </c>
      <c r="C15" s="1132" t="s">
        <v>347</v>
      </c>
      <c r="D15" s="1359" t="s">
        <v>348</v>
      </c>
      <c r="E15" s="1359">
        <v>1</v>
      </c>
      <c r="F15" s="1780" t="s">
        <v>336</v>
      </c>
      <c r="G15" s="1132" t="s">
        <v>337</v>
      </c>
      <c r="H15" s="1360">
        <v>147.25</v>
      </c>
      <c r="I15" s="1360">
        <v>147.25</v>
      </c>
      <c r="J15" s="1360">
        <v>147.25</v>
      </c>
      <c r="K15" s="1360">
        <v>147.25</v>
      </c>
      <c r="L15" s="1132" t="s">
        <v>338</v>
      </c>
      <c r="M15" s="1132" t="str">
        <f t="shared" si="0"/>
        <v>Nicor Gas PY11-PY14 Adjustable Goals Template_2025-03-01, Tab 4.4.14</v>
      </c>
      <c r="N15" s="1361">
        <v>7.4695851301115246</v>
      </c>
      <c r="O15" s="1361">
        <v>7.4695851301115246</v>
      </c>
      <c r="P15" s="1361">
        <v>7.4695851301115246</v>
      </c>
      <c r="Q15" s="1361">
        <v>7.4695851301115246</v>
      </c>
      <c r="R15" s="1781">
        <v>0.92</v>
      </c>
      <c r="S15" s="1781">
        <v>0.92</v>
      </c>
      <c r="T15" s="1781">
        <v>0.92</v>
      </c>
      <c r="U15" s="1781">
        <v>0.92</v>
      </c>
      <c r="V15" s="1781">
        <v>0.92</v>
      </c>
      <c r="W15" s="1781">
        <v>0.92</v>
      </c>
      <c r="X15" s="1781">
        <v>0.92</v>
      </c>
      <c r="Y15" s="1781">
        <v>0.92</v>
      </c>
      <c r="Z15" s="1359">
        <f t="shared" si="1"/>
        <v>1</v>
      </c>
      <c r="AA15" s="1781">
        <f t="shared" si="2"/>
        <v>0.92</v>
      </c>
      <c r="AB15" s="1781">
        <f t="shared" si="3"/>
        <v>0.92</v>
      </c>
      <c r="AC15" s="1781">
        <f t="shared" si="4"/>
        <v>0.92</v>
      </c>
      <c r="AD15" s="1781">
        <f t="shared" si="5"/>
        <v>0.92</v>
      </c>
      <c r="AE15" s="1781">
        <f t="shared" si="6"/>
        <v>0.92</v>
      </c>
      <c r="AF15" s="1781">
        <f t="shared" si="7"/>
        <v>0.92</v>
      </c>
      <c r="AG15" s="1781">
        <f t="shared" si="8"/>
        <v>0.92</v>
      </c>
      <c r="AH15" s="1781">
        <f t="shared" si="9"/>
        <v>0.92</v>
      </c>
      <c r="AI15" s="1362">
        <f t="shared" si="43"/>
        <v>1011.9046975762084</v>
      </c>
      <c r="AJ15" s="1362">
        <f t="shared" si="44"/>
        <v>1011.9046975762084</v>
      </c>
      <c r="AK15" s="1362">
        <f t="shared" si="45"/>
        <v>1011.9046975762084</v>
      </c>
      <c r="AL15" s="1362">
        <f t="shared" si="46"/>
        <v>1011.9046975762084</v>
      </c>
      <c r="AM15" s="1362">
        <f t="shared" si="47"/>
        <v>4047.6187903048335</v>
      </c>
      <c r="AN15" s="1132" t="str">
        <f t="shared" si="11"/>
        <v>CI-HVC-PINS-V05-190101</v>
      </c>
      <c r="AO15" s="1132" t="str">
        <f t="shared" si="12"/>
        <v>Nicor Gas PY11-PY14 Adjustable Goals Template_2025-03-01, Tab 4.4.14</v>
      </c>
      <c r="AP15" s="2247">
        <f>'4.4.14'!$T$18</f>
        <v>7.4695851301115246</v>
      </c>
      <c r="AQ15" s="2505"/>
      <c r="AR15" s="2505">
        <f t="shared" si="13"/>
        <v>1011.9046975762084</v>
      </c>
      <c r="AS15" s="2505">
        <f t="shared" si="14"/>
        <v>0</v>
      </c>
      <c r="AT15" s="1132" t="str">
        <f t="shared" si="15"/>
        <v>CI-HVC-PINS-V05-190101</v>
      </c>
      <c r="AU15" s="1132" t="str">
        <f t="shared" si="16"/>
        <v>Nicor Gas PY11-PY14 Adjustable Goals Template_2025-03-01, Tab 4.4.14</v>
      </c>
      <c r="AV15" s="2247">
        <f>'4.4.14'!$T$18</f>
        <v>7.4695851301115246</v>
      </c>
      <c r="AW15" s="2505"/>
      <c r="AX15" s="1362">
        <f t="shared" si="17"/>
        <v>1011.9046975762084</v>
      </c>
      <c r="AY15" s="1360">
        <f t="shared" si="18"/>
        <v>0</v>
      </c>
      <c r="AZ15" s="1132" t="str">
        <f t="shared" si="19"/>
        <v>CI-HVC-PINS-V05-190101</v>
      </c>
      <c r="BA15" s="1132" t="str">
        <f t="shared" si="20"/>
        <v>Nicor Gas PY11-PY14 Adjustable Goals Template_2025-03-01, Tab 4.4.14</v>
      </c>
      <c r="BB15" s="2247">
        <f>'4.4.14'!$T$18</f>
        <v>7.4695851301115246</v>
      </c>
      <c r="BC15" s="2505"/>
      <c r="BD15" s="1362">
        <f t="shared" si="21"/>
        <v>1011.9046975762084</v>
      </c>
      <c r="BE15" s="1360">
        <f t="shared" si="22"/>
        <v>0</v>
      </c>
      <c r="BF15" s="1132" t="str">
        <f t="shared" si="23"/>
        <v>CI-HVC-PINS-V05-190101</v>
      </c>
      <c r="BG15" s="1132" t="str">
        <f t="shared" si="24"/>
        <v>Nicor Gas PY11-PY14 Adjustable Goals Template_2025-03-01, Tab 4.4.14</v>
      </c>
      <c r="BH15" s="2247">
        <f>'4.4.14'!$T$18</f>
        <v>7.4695851301115246</v>
      </c>
      <c r="BI15" s="2505"/>
      <c r="BJ15" s="1362">
        <f t="shared" si="48"/>
        <v>1011.9046975762084</v>
      </c>
      <c r="BK15" s="1360">
        <f t="shared" si="25"/>
        <v>0</v>
      </c>
      <c r="BL15" s="1601">
        <f t="shared" si="26"/>
        <v>1011.9046975762084</v>
      </c>
      <c r="BM15" s="1601">
        <f t="shared" si="27"/>
        <v>1011.9046975762084</v>
      </c>
      <c r="BN15" s="1601">
        <f t="shared" si="28"/>
        <v>1011.9046975762084</v>
      </c>
      <c r="BO15" s="1601">
        <f t="shared" si="29"/>
        <v>1011.9046975762084</v>
      </c>
      <c r="BP15" s="1602">
        <f t="shared" si="30"/>
        <v>4047.6187903048335</v>
      </c>
      <c r="BQ15" s="1602"/>
      <c r="BR15" s="1602" t="s">
        <v>336</v>
      </c>
      <c r="BS15" s="1602">
        <v>0</v>
      </c>
      <c r="BT15" s="1602">
        <v>15</v>
      </c>
      <c r="BU15" s="1602">
        <v>15</v>
      </c>
      <c r="BV15" s="1602">
        <v>15</v>
      </c>
      <c r="BW15" s="1602">
        <v>15</v>
      </c>
      <c r="BX15" s="1362">
        <f t="shared" si="49"/>
        <v>15178.570463643126</v>
      </c>
      <c r="BY15" s="1362">
        <f t="shared" si="50"/>
        <v>15178.570463643126</v>
      </c>
      <c r="BZ15" s="1362">
        <f t="shared" si="51"/>
        <v>15178.570463643126</v>
      </c>
      <c r="CA15" s="1362">
        <f t="shared" si="52"/>
        <v>15178.570463643126</v>
      </c>
      <c r="CB15" s="1362">
        <f t="shared" si="53"/>
        <v>60714.281854572502</v>
      </c>
      <c r="CC15" s="1360">
        <v>15</v>
      </c>
      <c r="CD15" s="1360">
        <v>15</v>
      </c>
      <c r="CE15" s="1360">
        <v>15</v>
      </c>
      <c r="CF15" s="1360">
        <v>15</v>
      </c>
      <c r="CG15" s="1604">
        <f t="shared" si="33"/>
        <v>15178.570463643124</v>
      </c>
      <c r="CH15" s="1604">
        <f t="shared" si="34"/>
        <v>15178.570463643124</v>
      </c>
      <c r="CI15" s="1604">
        <f t="shared" si="35"/>
        <v>15178.570463643124</v>
      </c>
      <c r="CJ15" s="1604">
        <f t="shared" si="36"/>
        <v>15178.570463643124</v>
      </c>
      <c r="CK15" s="1521">
        <f t="shared" si="37"/>
        <v>60714.281854572495</v>
      </c>
      <c r="CL15" s="1132">
        <v>8</v>
      </c>
      <c r="CM15" s="1132" t="s">
        <v>337</v>
      </c>
      <c r="CN15" s="1359">
        <v>0</v>
      </c>
      <c r="CO15" s="1360">
        <v>147.25</v>
      </c>
      <c r="CP15" s="1360">
        <v>147.25</v>
      </c>
      <c r="CQ15" s="1360">
        <v>147.25</v>
      </c>
      <c r="CR15" s="1360">
        <v>147.25</v>
      </c>
      <c r="CS15" s="1362">
        <f t="shared" si="38"/>
        <v>1011.9046975762084</v>
      </c>
      <c r="CT15" s="1362">
        <f t="shared" si="39"/>
        <v>1011.9046975762084</v>
      </c>
      <c r="CU15" s="1362">
        <f t="shared" si="40"/>
        <v>1011.9046975762084</v>
      </c>
      <c r="CV15" s="1362">
        <f t="shared" si="41"/>
        <v>1011.9046975762084</v>
      </c>
      <c r="CW15" s="1362">
        <f t="shared" si="42"/>
        <v>4047.6187903048335</v>
      </c>
      <c r="CY15" s="2887"/>
    </row>
    <row r="16" spans="1:118" s="1143" customFormat="1" ht="46.5" x14ac:dyDescent="0.35">
      <c r="A16" s="1132" t="s">
        <v>101</v>
      </c>
      <c r="B16" s="1132" t="s">
        <v>325</v>
      </c>
      <c r="C16" s="1132" t="s">
        <v>349</v>
      </c>
      <c r="D16" s="1359" t="s">
        <v>350</v>
      </c>
      <c r="E16" s="1359">
        <v>1</v>
      </c>
      <c r="F16" s="1780" t="s">
        <v>336</v>
      </c>
      <c r="G16" s="1132" t="s">
        <v>337</v>
      </c>
      <c r="H16" s="1360">
        <v>427.5</v>
      </c>
      <c r="I16" s="1360">
        <v>427.5</v>
      </c>
      <c r="J16" s="1360">
        <v>427.5</v>
      </c>
      <c r="K16" s="1360">
        <v>427.5</v>
      </c>
      <c r="L16" s="1132" t="s">
        <v>338</v>
      </c>
      <c r="M16" s="1132" t="str">
        <f t="shared" si="0"/>
        <v>Nicor Gas PY11-PY14 Adjustable Goals Template_2025-03-01, Tab 4.4.14</v>
      </c>
      <c r="N16" s="1361">
        <v>10.776432713754645</v>
      </c>
      <c r="O16" s="1361">
        <v>10.776432713754645</v>
      </c>
      <c r="P16" s="1361">
        <v>10.776432713754645</v>
      </c>
      <c r="Q16" s="1361">
        <v>10.776432713754645</v>
      </c>
      <c r="R16" s="1781">
        <v>0.92</v>
      </c>
      <c r="S16" s="1781">
        <v>0.92</v>
      </c>
      <c r="T16" s="1781">
        <v>0.92</v>
      </c>
      <c r="U16" s="1781">
        <v>0.92</v>
      </c>
      <c r="V16" s="1781">
        <v>0.92</v>
      </c>
      <c r="W16" s="1781">
        <v>0.92</v>
      </c>
      <c r="X16" s="1781">
        <v>0.92</v>
      </c>
      <c r="Y16" s="1781">
        <v>0.92</v>
      </c>
      <c r="Z16" s="1359">
        <f t="shared" si="1"/>
        <v>1</v>
      </c>
      <c r="AA16" s="1781">
        <f t="shared" si="2"/>
        <v>0.92</v>
      </c>
      <c r="AB16" s="1781">
        <f t="shared" si="3"/>
        <v>0.92</v>
      </c>
      <c r="AC16" s="1781">
        <f t="shared" si="4"/>
        <v>0.92</v>
      </c>
      <c r="AD16" s="1781">
        <f t="shared" si="5"/>
        <v>0.92</v>
      </c>
      <c r="AE16" s="1781">
        <f t="shared" si="6"/>
        <v>0.92</v>
      </c>
      <c r="AF16" s="1781">
        <f t="shared" si="7"/>
        <v>0.92</v>
      </c>
      <c r="AG16" s="1781">
        <f t="shared" si="8"/>
        <v>0.92</v>
      </c>
      <c r="AH16" s="1781">
        <f t="shared" si="9"/>
        <v>0.92</v>
      </c>
      <c r="AI16" s="1362">
        <f t="shared" si="43"/>
        <v>4238.3709863197018</v>
      </c>
      <c r="AJ16" s="1362">
        <f t="shared" si="44"/>
        <v>4238.3709863197018</v>
      </c>
      <c r="AK16" s="1362">
        <f t="shared" si="45"/>
        <v>4238.3709863197018</v>
      </c>
      <c r="AL16" s="1362">
        <f t="shared" si="46"/>
        <v>4238.3709863197018</v>
      </c>
      <c r="AM16" s="1362">
        <f t="shared" si="47"/>
        <v>16953.483945278807</v>
      </c>
      <c r="AN16" s="1132" t="str">
        <f t="shared" si="11"/>
        <v>CI-HVC-PINS-V05-190101</v>
      </c>
      <c r="AO16" s="1132" t="str">
        <f t="shared" si="12"/>
        <v>Nicor Gas PY11-PY14 Adjustable Goals Template_2025-03-01, Tab 4.4.14</v>
      </c>
      <c r="AP16" s="2247">
        <f>'4.4.14'!$T$17</f>
        <v>10.776432713754645</v>
      </c>
      <c r="AQ16" s="2505"/>
      <c r="AR16" s="2505">
        <f t="shared" si="13"/>
        <v>4238.3709863197018</v>
      </c>
      <c r="AS16" s="2505">
        <f t="shared" si="14"/>
        <v>0</v>
      </c>
      <c r="AT16" s="1132" t="str">
        <f t="shared" si="15"/>
        <v>CI-HVC-PINS-V05-190101</v>
      </c>
      <c r="AU16" s="1132" t="str">
        <f t="shared" si="16"/>
        <v>Nicor Gas PY11-PY14 Adjustable Goals Template_2025-03-01, Tab 4.4.14</v>
      </c>
      <c r="AV16" s="2247">
        <f>'4.4.14'!$T$17</f>
        <v>10.776432713754645</v>
      </c>
      <c r="AW16" s="2505"/>
      <c r="AX16" s="1362">
        <f t="shared" si="17"/>
        <v>4238.3709863197018</v>
      </c>
      <c r="AY16" s="1360">
        <f t="shared" si="18"/>
        <v>0</v>
      </c>
      <c r="AZ16" s="1132" t="str">
        <f t="shared" si="19"/>
        <v>CI-HVC-PINS-V05-190101</v>
      </c>
      <c r="BA16" s="1132" t="str">
        <f t="shared" si="20"/>
        <v>Nicor Gas PY11-PY14 Adjustable Goals Template_2025-03-01, Tab 4.4.14</v>
      </c>
      <c r="BB16" s="2247">
        <f>'4.4.14'!$T$17</f>
        <v>10.776432713754645</v>
      </c>
      <c r="BC16" s="2505"/>
      <c r="BD16" s="1362">
        <f t="shared" si="21"/>
        <v>4238.3709863197018</v>
      </c>
      <c r="BE16" s="1360">
        <f t="shared" si="22"/>
        <v>0</v>
      </c>
      <c r="BF16" s="1132" t="str">
        <f t="shared" si="23"/>
        <v>CI-HVC-PINS-V05-190101</v>
      </c>
      <c r="BG16" s="1132" t="str">
        <f t="shared" si="24"/>
        <v>Nicor Gas PY11-PY14 Adjustable Goals Template_2025-03-01, Tab 4.4.14</v>
      </c>
      <c r="BH16" s="2247">
        <f>'4.4.14'!$T$17</f>
        <v>10.776432713754645</v>
      </c>
      <c r="BI16" s="2505"/>
      <c r="BJ16" s="1362">
        <f t="shared" si="48"/>
        <v>4238.3709863197018</v>
      </c>
      <c r="BK16" s="1360">
        <f t="shared" si="25"/>
        <v>0</v>
      </c>
      <c r="BL16" s="1601">
        <f t="shared" si="26"/>
        <v>4238.3709863197018</v>
      </c>
      <c r="BM16" s="1601">
        <f t="shared" si="27"/>
        <v>4238.3709863197018</v>
      </c>
      <c r="BN16" s="1601">
        <f t="shared" si="28"/>
        <v>4238.3709863197018</v>
      </c>
      <c r="BO16" s="1601">
        <f t="shared" si="29"/>
        <v>4238.3709863197018</v>
      </c>
      <c r="BP16" s="1602">
        <f t="shared" si="30"/>
        <v>16953.483945278807</v>
      </c>
      <c r="BQ16" s="1602"/>
      <c r="BR16" s="1602" t="s">
        <v>336</v>
      </c>
      <c r="BS16" s="1602">
        <v>0</v>
      </c>
      <c r="BT16" s="1602">
        <v>15</v>
      </c>
      <c r="BU16" s="1602">
        <v>15</v>
      </c>
      <c r="BV16" s="1602">
        <v>15</v>
      </c>
      <c r="BW16" s="1602">
        <v>15</v>
      </c>
      <c r="BX16" s="1362">
        <f t="shared" si="49"/>
        <v>63575.564794795529</v>
      </c>
      <c r="BY16" s="1362">
        <f t="shared" si="50"/>
        <v>63575.564794795529</v>
      </c>
      <c r="BZ16" s="1362">
        <f t="shared" si="51"/>
        <v>63575.564794795529</v>
      </c>
      <c r="CA16" s="1362">
        <f t="shared" si="52"/>
        <v>63575.564794795529</v>
      </c>
      <c r="CB16" s="1362">
        <f t="shared" si="53"/>
        <v>254302.25917918212</v>
      </c>
      <c r="CC16" s="1360">
        <v>15</v>
      </c>
      <c r="CD16" s="1360">
        <v>15</v>
      </c>
      <c r="CE16" s="1360">
        <v>15</v>
      </c>
      <c r="CF16" s="1360">
        <v>15</v>
      </c>
      <c r="CG16" s="1604">
        <f t="shared" si="33"/>
        <v>63575.564794795529</v>
      </c>
      <c r="CH16" s="1604">
        <f t="shared" si="34"/>
        <v>63575.564794795529</v>
      </c>
      <c r="CI16" s="1604">
        <f t="shared" si="35"/>
        <v>63575.564794795529</v>
      </c>
      <c r="CJ16" s="1604">
        <f t="shared" si="36"/>
        <v>63575.564794795529</v>
      </c>
      <c r="CK16" s="1521">
        <f t="shared" si="37"/>
        <v>254302.25917918212</v>
      </c>
      <c r="CL16" s="1132">
        <v>9</v>
      </c>
      <c r="CM16" s="1132" t="s">
        <v>337</v>
      </c>
      <c r="CN16" s="1359">
        <v>0</v>
      </c>
      <c r="CO16" s="1360">
        <v>427.5</v>
      </c>
      <c r="CP16" s="1360">
        <v>427.5</v>
      </c>
      <c r="CQ16" s="1360">
        <v>427.5</v>
      </c>
      <c r="CR16" s="1360">
        <v>427.5</v>
      </c>
      <c r="CS16" s="1362">
        <f t="shared" si="38"/>
        <v>4238.3709863197018</v>
      </c>
      <c r="CT16" s="1362">
        <f t="shared" si="39"/>
        <v>4238.3709863197018</v>
      </c>
      <c r="CU16" s="1362">
        <f t="shared" si="40"/>
        <v>4238.3709863197018</v>
      </c>
      <c r="CV16" s="1362">
        <f t="shared" si="41"/>
        <v>4238.3709863197018</v>
      </c>
      <c r="CW16" s="1362">
        <f t="shared" si="42"/>
        <v>16953.483945278807</v>
      </c>
      <c r="CY16" s="2887"/>
    </row>
    <row r="17" spans="1:118" s="1143" customFormat="1" ht="46.5" x14ac:dyDescent="0.35">
      <c r="A17" s="1132" t="s">
        <v>101</v>
      </c>
      <c r="B17" s="1132" t="s">
        <v>325</v>
      </c>
      <c r="C17" s="1132" t="s">
        <v>351</v>
      </c>
      <c r="D17" s="1359" t="s">
        <v>352</v>
      </c>
      <c r="E17" s="1359">
        <v>1</v>
      </c>
      <c r="F17" s="1780" t="s">
        <v>336</v>
      </c>
      <c r="G17" s="1132" t="s">
        <v>337</v>
      </c>
      <c r="H17" s="1360">
        <v>617.5</v>
      </c>
      <c r="I17" s="1360">
        <v>617.5</v>
      </c>
      <c r="J17" s="1360">
        <v>617.5</v>
      </c>
      <c r="K17" s="1360">
        <v>617.5</v>
      </c>
      <c r="L17" s="1132" t="s">
        <v>338</v>
      </c>
      <c r="M17" s="1132" t="str">
        <f t="shared" si="0"/>
        <v>Nicor Gas PY11-PY14 Adjustable Goals Template_2025-03-01, Tab 4.4.14</v>
      </c>
      <c r="N17" s="1361">
        <v>14.083280297397769</v>
      </c>
      <c r="O17" s="1361">
        <v>14.083280297397769</v>
      </c>
      <c r="P17" s="1361">
        <v>14.083280297397769</v>
      </c>
      <c r="Q17" s="1361">
        <v>14.083280297397769</v>
      </c>
      <c r="R17" s="1781">
        <v>0.92</v>
      </c>
      <c r="S17" s="1781">
        <v>0.92</v>
      </c>
      <c r="T17" s="1781">
        <v>0.92</v>
      </c>
      <c r="U17" s="1781">
        <v>0.92</v>
      </c>
      <c r="V17" s="1781">
        <v>0.92</v>
      </c>
      <c r="W17" s="1781">
        <v>0.92</v>
      </c>
      <c r="X17" s="1781">
        <v>0.92</v>
      </c>
      <c r="Y17" s="1781">
        <v>0.92</v>
      </c>
      <c r="Z17" s="1359">
        <f t="shared" si="1"/>
        <v>1</v>
      </c>
      <c r="AA17" s="1781">
        <f t="shared" si="2"/>
        <v>0.92</v>
      </c>
      <c r="AB17" s="1781">
        <f t="shared" si="3"/>
        <v>0.92</v>
      </c>
      <c r="AC17" s="1781">
        <f t="shared" si="4"/>
        <v>0.92</v>
      </c>
      <c r="AD17" s="1781">
        <f t="shared" si="5"/>
        <v>0.92</v>
      </c>
      <c r="AE17" s="1781">
        <f t="shared" si="6"/>
        <v>0.92</v>
      </c>
      <c r="AF17" s="1781">
        <f t="shared" si="7"/>
        <v>0.92</v>
      </c>
      <c r="AG17" s="1781">
        <f t="shared" si="8"/>
        <v>0.92</v>
      </c>
      <c r="AH17" s="1781">
        <f t="shared" si="9"/>
        <v>0.92</v>
      </c>
      <c r="AI17" s="1362">
        <f t="shared" si="43"/>
        <v>8000.7115369516723</v>
      </c>
      <c r="AJ17" s="1362">
        <f t="shared" si="44"/>
        <v>8000.7115369516723</v>
      </c>
      <c r="AK17" s="1362">
        <f t="shared" si="45"/>
        <v>8000.7115369516723</v>
      </c>
      <c r="AL17" s="1362">
        <f t="shared" si="46"/>
        <v>8000.7115369516723</v>
      </c>
      <c r="AM17" s="1362">
        <f t="shared" si="47"/>
        <v>32002.846147806689</v>
      </c>
      <c r="AN17" s="1132" t="str">
        <f t="shared" si="11"/>
        <v>CI-HVC-PINS-V05-190101</v>
      </c>
      <c r="AO17" s="1132" t="str">
        <f t="shared" si="12"/>
        <v>Nicor Gas PY11-PY14 Adjustable Goals Template_2025-03-01, Tab 4.4.14</v>
      </c>
      <c r="AP17" s="2247">
        <f>'4.4.14'!$T$16</f>
        <v>14.083280297397769</v>
      </c>
      <c r="AQ17" s="2505"/>
      <c r="AR17" s="2505">
        <f t="shared" si="13"/>
        <v>8000.7115369516723</v>
      </c>
      <c r="AS17" s="2505">
        <f t="shared" si="14"/>
        <v>0</v>
      </c>
      <c r="AT17" s="1132" t="str">
        <f t="shared" si="15"/>
        <v>CI-HVC-PINS-V05-190101</v>
      </c>
      <c r="AU17" s="1132" t="str">
        <f t="shared" si="16"/>
        <v>Nicor Gas PY11-PY14 Adjustable Goals Template_2025-03-01, Tab 4.4.14</v>
      </c>
      <c r="AV17" s="2247">
        <f>'4.4.14'!$T$16</f>
        <v>14.083280297397769</v>
      </c>
      <c r="AW17" s="2505"/>
      <c r="AX17" s="1362">
        <f t="shared" si="17"/>
        <v>8000.7115369516723</v>
      </c>
      <c r="AY17" s="1360">
        <f t="shared" si="18"/>
        <v>0</v>
      </c>
      <c r="AZ17" s="1132" t="str">
        <f t="shared" si="19"/>
        <v>CI-HVC-PINS-V05-190101</v>
      </c>
      <c r="BA17" s="1132" t="str">
        <f t="shared" si="20"/>
        <v>Nicor Gas PY11-PY14 Adjustable Goals Template_2025-03-01, Tab 4.4.14</v>
      </c>
      <c r="BB17" s="2247">
        <f>'4.4.14'!$T$16</f>
        <v>14.083280297397769</v>
      </c>
      <c r="BC17" s="2505"/>
      <c r="BD17" s="1362">
        <f t="shared" si="21"/>
        <v>8000.7115369516723</v>
      </c>
      <c r="BE17" s="1360">
        <f t="shared" si="22"/>
        <v>0</v>
      </c>
      <c r="BF17" s="1132" t="str">
        <f t="shared" si="23"/>
        <v>CI-HVC-PINS-V05-190101</v>
      </c>
      <c r="BG17" s="1132" t="str">
        <f t="shared" si="24"/>
        <v>Nicor Gas PY11-PY14 Adjustable Goals Template_2025-03-01, Tab 4.4.14</v>
      </c>
      <c r="BH17" s="2247">
        <f>'4.4.14'!$T$16</f>
        <v>14.083280297397769</v>
      </c>
      <c r="BI17" s="2505"/>
      <c r="BJ17" s="1362">
        <f t="shared" si="48"/>
        <v>8000.7115369516723</v>
      </c>
      <c r="BK17" s="1360">
        <f t="shared" si="25"/>
        <v>0</v>
      </c>
      <c r="BL17" s="1601">
        <f t="shared" si="26"/>
        <v>8000.7115369516723</v>
      </c>
      <c r="BM17" s="1601">
        <f t="shared" si="27"/>
        <v>8000.7115369516723</v>
      </c>
      <c r="BN17" s="1601">
        <f t="shared" si="28"/>
        <v>8000.7115369516723</v>
      </c>
      <c r="BO17" s="1601">
        <f t="shared" si="29"/>
        <v>8000.7115369516723</v>
      </c>
      <c r="BP17" s="1602">
        <f t="shared" si="30"/>
        <v>32002.846147806689</v>
      </c>
      <c r="BQ17" s="1602"/>
      <c r="BR17" s="1602" t="s">
        <v>336</v>
      </c>
      <c r="BS17" s="1602">
        <v>0</v>
      </c>
      <c r="BT17" s="1602">
        <v>15</v>
      </c>
      <c r="BU17" s="1602">
        <v>15</v>
      </c>
      <c r="BV17" s="1602">
        <v>15</v>
      </c>
      <c r="BW17" s="1602">
        <v>15</v>
      </c>
      <c r="BX17" s="1362">
        <f t="shared" si="49"/>
        <v>120010.67305427509</v>
      </c>
      <c r="BY17" s="1362">
        <f t="shared" si="50"/>
        <v>120010.67305427509</v>
      </c>
      <c r="BZ17" s="1362">
        <f t="shared" si="51"/>
        <v>120010.67305427509</v>
      </c>
      <c r="CA17" s="1362">
        <f t="shared" si="52"/>
        <v>120010.67305427509</v>
      </c>
      <c r="CB17" s="1362">
        <f t="shared" si="53"/>
        <v>480042.69221710035</v>
      </c>
      <c r="CC17" s="1360">
        <v>15</v>
      </c>
      <c r="CD17" s="1360">
        <v>15</v>
      </c>
      <c r="CE17" s="1360">
        <v>15</v>
      </c>
      <c r="CF17" s="1360">
        <v>15</v>
      </c>
      <c r="CG17" s="1604">
        <f t="shared" si="33"/>
        <v>120010.6730542751</v>
      </c>
      <c r="CH17" s="1604">
        <f t="shared" si="34"/>
        <v>120010.6730542751</v>
      </c>
      <c r="CI17" s="1604">
        <f t="shared" si="35"/>
        <v>120010.6730542751</v>
      </c>
      <c r="CJ17" s="1604">
        <f t="shared" si="36"/>
        <v>120010.6730542751</v>
      </c>
      <c r="CK17" s="1521">
        <f t="shared" si="37"/>
        <v>480042.69221710041</v>
      </c>
      <c r="CL17" s="1132">
        <v>10</v>
      </c>
      <c r="CM17" s="1132" t="s">
        <v>337</v>
      </c>
      <c r="CN17" s="1359">
        <v>0</v>
      </c>
      <c r="CO17" s="1360">
        <v>617.5</v>
      </c>
      <c r="CP17" s="1360">
        <v>617.5</v>
      </c>
      <c r="CQ17" s="1360">
        <v>617.5</v>
      </c>
      <c r="CR17" s="1360">
        <v>617.5</v>
      </c>
      <c r="CS17" s="1362">
        <f t="shared" si="38"/>
        <v>8000.7115369516723</v>
      </c>
      <c r="CT17" s="1362">
        <f t="shared" si="39"/>
        <v>8000.7115369516723</v>
      </c>
      <c r="CU17" s="1362">
        <f t="shared" si="40"/>
        <v>8000.7115369516723</v>
      </c>
      <c r="CV17" s="1362">
        <f t="shared" si="41"/>
        <v>8000.7115369516723</v>
      </c>
      <c r="CW17" s="1362">
        <f t="shared" si="42"/>
        <v>32002.846147806689</v>
      </c>
      <c r="CY17" s="2887"/>
      <c r="DN17" s="1715"/>
    </row>
    <row r="18" spans="1:118" s="1143" customFormat="1" ht="46.5" x14ac:dyDescent="0.35">
      <c r="A18" s="1132" t="s">
        <v>101</v>
      </c>
      <c r="B18" s="1132" t="s">
        <v>325</v>
      </c>
      <c r="C18" s="1132" t="s">
        <v>353</v>
      </c>
      <c r="D18" s="1359" t="s">
        <v>354</v>
      </c>
      <c r="E18" s="1359">
        <v>1</v>
      </c>
      <c r="F18" s="1780" t="s">
        <v>355</v>
      </c>
      <c r="G18" s="1132" t="s">
        <v>356</v>
      </c>
      <c r="H18" s="1360">
        <v>332.5</v>
      </c>
      <c r="I18" s="1360">
        <v>332.5</v>
      </c>
      <c r="J18" s="1360">
        <v>332.5</v>
      </c>
      <c r="K18" s="1360">
        <v>332.5</v>
      </c>
      <c r="L18" s="1132" t="s">
        <v>357</v>
      </c>
      <c r="M18" s="1132" t="str">
        <f t="shared" si="0"/>
        <v>Nicor Gas PY11-PY14 Adjustable Goals Template_2025-03-01, Tab 4.4.16</v>
      </c>
      <c r="N18" s="1361">
        <v>102.13709764839483</v>
      </c>
      <c r="O18" s="1361">
        <v>102.13709764839483</v>
      </c>
      <c r="P18" s="1361">
        <v>102.13709764839483</v>
      </c>
      <c r="Q18" s="1361">
        <v>102.13709764839483</v>
      </c>
      <c r="R18" s="1781">
        <v>0.92</v>
      </c>
      <c r="S18" s="1781">
        <v>0.92</v>
      </c>
      <c r="T18" s="1781">
        <v>0.92</v>
      </c>
      <c r="U18" s="1781">
        <v>0.92</v>
      </c>
      <c r="V18" s="1781">
        <v>0.92</v>
      </c>
      <c r="W18" s="1781">
        <v>0.92</v>
      </c>
      <c r="X18" s="1781">
        <v>0.92</v>
      </c>
      <c r="Y18" s="1781">
        <v>0.92</v>
      </c>
      <c r="Z18" s="1359">
        <f t="shared" si="1"/>
        <v>1</v>
      </c>
      <c r="AA18" s="1781">
        <f t="shared" si="2"/>
        <v>0.92</v>
      </c>
      <c r="AB18" s="1781">
        <f t="shared" si="3"/>
        <v>0.92</v>
      </c>
      <c r="AC18" s="1781">
        <f t="shared" si="4"/>
        <v>0.92</v>
      </c>
      <c r="AD18" s="1781">
        <f t="shared" si="5"/>
        <v>0.92</v>
      </c>
      <c r="AE18" s="1781">
        <f t="shared" si="6"/>
        <v>0.92</v>
      </c>
      <c r="AF18" s="1781">
        <f t="shared" si="7"/>
        <v>0.92</v>
      </c>
      <c r="AG18" s="1781">
        <f t="shared" si="8"/>
        <v>0.92</v>
      </c>
      <c r="AH18" s="1781">
        <f t="shared" si="9"/>
        <v>0.92</v>
      </c>
      <c r="AI18" s="1362">
        <f t="shared" si="43"/>
        <v>31243.738170643977</v>
      </c>
      <c r="AJ18" s="1362">
        <f t="shared" si="44"/>
        <v>31243.738170643977</v>
      </c>
      <c r="AK18" s="1362">
        <f t="shared" si="45"/>
        <v>31243.738170643977</v>
      </c>
      <c r="AL18" s="1362">
        <f t="shared" si="46"/>
        <v>31243.738170643977</v>
      </c>
      <c r="AM18" s="1362">
        <f t="shared" si="47"/>
        <v>124974.95268257591</v>
      </c>
      <c r="AN18" s="1132" t="str">
        <f t="shared" si="11"/>
        <v>CI-HVC-STRE-V05-180101</v>
      </c>
      <c r="AO18" s="1132" t="str">
        <f t="shared" si="12"/>
        <v>Nicor Gas PY11-PY14 Adjustable Goals Template_2025-03-01, Tab 4.4.16</v>
      </c>
      <c r="AP18" s="2247">
        <f>'4.4.16'!$O$11</f>
        <v>102.13709764839483</v>
      </c>
      <c r="AQ18" s="2505"/>
      <c r="AR18" s="2505">
        <f t="shared" si="13"/>
        <v>31243.738170643977</v>
      </c>
      <c r="AS18" s="2505">
        <f t="shared" si="14"/>
        <v>0</v>
      </c>
      <c r="AT18" s="1132" t="str">
        <f t="shared" si="15"/>
        <v>CI-HVC-STRE-V05-180101</v>
      </c>
      <c r="AU18" s="1132" t="str">
        <f t="shared" si="16"/>
        <v>Nicor Gas PY11-PY14 Adjustable Goals Template_2025-03-01, Tab 4.4.16</v>
      </c>
      <c r="AV18" s="2247">
        <f>'4.4.16'!$O$11</f>
        <v>102.13709764839483</v>
      </c>
      <c r="AW18" s="2505"/>
      <c r="AX18" s="1362">
        <f t="shared" si="17"/>
        <v>31243.738170643977</v>
      </c>
      <c r="AY18" s="1360">
        <f t="shared" si="18"/>
        <v>0</v>
      </c>
      <c r="AZ18" s="1132" t="str">
        <f t="shared" si="19"/>
        <v>CI-HVC-STRE-V05-180101</v>
      </c>
      <c r="BA18" s="1132" t="str">
        <f t="shared" si="20"/>
        <v>Nicor Gas PY11-PY14 Adjustable Goals Template_2025-03-01, Tab 4.4.16</v>
      </c>
      <c r="BB18" s="2247">
        <f>'4.4.16'!$O$11</f>
        <v>102.13709764839483</v>
      </c>
      <c r="BC18" s="2505"/>
      <c r="BD18" s="1362">
        <f t="shared" si="21"/>
        <v>31243.738170643977</v>
      </c>
      <c r="BE18" s="1360">
        <f t="shared" si="22"/>
        <v>0</v>
      </c>
      <c r="BF18" s="1132" t="str">
        <f t="shared" si="23"/>
        <v>CI-HVC-STRE-V05-180101</v>
      </c>
      <c r="BG18" s="1132" t="str">
        <f t="shared" si="24"/>
        <v>Nicor Gas PY11-PY14 Adjustable Goals Template_2025-03-01, Tab 4.4.16</v>
      </c>
      <c r="BH18" s="2247">
        <f>'4.4.16'!$O$11</f>
        <v>102.13709764839483</v>
      </c>
      <c r="BI18" s="2505"/>
      <c r="BJ18" s="1362">
        <f t="shared" si="48"/>
        <v>31243.738170643977</v>
      </c>
      <c r="BK18" s="1360">
        <f t="shared" si="25"/>
        <v>0</v>
      </c>
      <c r="BL18" s="1601">
        <f t="shared" si="26"/>
        <v>31243.738170643977</v>
      </c>
      <c r="BM18" s="1601">
        <f t="shared" si="27"/>
        <v>31243.738170643977</v>
      </c>
      <c r="BN18" s="1601">
        <f t="shared" si="28"/>
        <v>31243.738170643977</v>
      </c>
      <c r="BO18" s="1601">
        <f t="shared" si="29"/>
        <v>31243.738170643977</v>
      </c>
      <c r="BP18" s="1602">
        <f t="shared" si="30"/>
        <v>124974.95268257591</v>
      </c>
      <c r="BQ18" s="1602"/>
      <c r="BR18" s="1602" t="s">
        <v>355</v>
      </c>
      <c r="BS18" s="1602">
        <v>0</v>
      </c>
      <c r="BT18" s="1602">
        <v>6</v>
      </c>
      <c r="BU18" s="1602">
        <v>6</v>
      </c>
      <c r="BV18" s="1602">
        <v>6</v>
      </c>
      <c r="BW18" s="1602">
        <v>6</v>
      </c>
      <c r="BX18" s="1362">
        <f t="shared" si="49"/>
        <v>187462.42902386386</v>
      </c>
      <c r="BY18" s="1362">
        <f t="shared" si="50"/>
        <v>187462.42902386386</v>
      </c>
      <c r="BZ18" s="1362">
        <f t="shared" si="51"/>
        <v>187462.42902386386</v>
      </c>
      <c r="CA18" s="1362">
        <f t="shared" si="52"/>
        <v>187462.42902386386</v>
      </c>
      <c r="CB18" s="1362">
        <f t="shared" si="53"/>
        <v>749849.71609545546</v>
      </c>
      <c r="CC18" s="1360">
        <v>6</v>
      </c>
      <c r="CD18" s="1360">
        <v>6</v>
      </c>
      <c r="CE18" s="1360">
        <v>6</v>
      </c>
      <c r="CF18" s="1360">
        <v>6</v>
      </c>
      <c r="CG18" s="1604">
        <f t="shared" si="33"/>
        <v>187462.42902386389</v>
      </c>
      <c r="CH18" s="1604">
        <f t="shared" si="34"/>
        <v>187462.42902386389</v>
      </c>
      <c r="CI18" s="1604">
        <f t="shared" si="35"/>
        <v>187462.42902386389</v>
      </c>
      <c r="CJ18" s="1604">
        <f t="shared" si="36"/>
        <v>187462.42902386389</v>
      </c>
      <c r="CK18" s="1521">
        <f t="shared" si="37"/>
        <v>749849.71609545557</v>
      </c>
      <c r="CL18" s="1132">
        <v>11</v>
      </c>
      <c r="CM18" s="1132" t="s">
        <v>356</v>
      </c>
      <c r="CN18" s="1359">
        <v>0</v>
      </c>
      <c r="CO18" s="1360">
        <v>332.5</v>
      </c>
      <c r="CP18" s="1360">
        <v>332.5</v>
      </c>
      <c r="CQ18" s="1360">
        <v>332.5</v>
      </c>
      <c r="CR18" s="1360">
        <v>332.5</v>
      </c>
      <c r="CS18" s="1362">
        <f t="shared" si="38"/>
        <v>31243.738170643977</v>
      </c>
      <c r="CT18" s="1362">
        <f t="shared" si="39"/>
        <v>31243.738170643977</v>
      </c>
      <c r="CU18" s="1362">
        <f t="shared" si="40"/>
        <v>31243.738170643977</v>
      </c>
      <c r="CV18" s="1362">
        <f t="shared" si="41"/>
        <v>31243.738170643977</v>
      </c>
      <c r="CW18" s="1362">
        <f t="shared" si="42"/>
        <v>124974.95268257591</v>
      </c>
      <c r="CY18" s="2887"/>
      <c r="DN18" s="1715"/>
    </row>
    <row r="19" spans="1:118" s="1143" customFormat="1" ht="46.5" x14ac:dyDescent="0.35">
      <c r="A19" s="1132" t="s">
        <v>101</v>
      </c>
      <c r="B19" s="1132" t="s">
        <v>325</v>
      </c>
      <c r="C19" s="1132" t="s">
        <v>358</v>
      </c>
      <c r="D19" s="1359" t="s">
        <v>359</v>
      </c>
      <c r="E19" s="1359">
        <v>1</v>
      </c>
      <c r="F19" s="1780" t="s">
        <v>355</v>
      </c>
      <c r="G19" s="1132" t="s">
        <v>356</v>
      </c>
      <c r="H19" s="1360">
        <v>118.75</v>
      </c>
      <c r="I19" s="1360">
        <v>118.75</v>
      </c>
      <c r="J19" s="1360">
        <v>118.75</v>
      </c>
      <c r="K19" s="1360">
        <v>118.75</v>
      </c>
      <c r="L19" s="1132" t="s">
        <v>357</v>
      </c>
      <c r="M19" s="1132" t="str">
        <f t="shared" si="0"/>
        <v>Nicor Gas PY11-PY14 Adjustable Goals Template_2025-03-01, Tab 4.4.16</v>
      </c>
      <c r="N19" s="1361">
        <v>762.90491998307095</v>
      </c>
      <c r="O19" s="1361">
        <v>762.90491998307095</v>
      </c>
      <c r="P19" s="1361">
        <v>762.90491998307095</v>
      </c>
      <c r="Q19" s="1361">
        <v>762.90491998307095</v>
      </c>
      <c r="R19" s="1781">
        <v>0.92</v>
      </c>
      <c r="S19" s="1781">
        <v>0.92</v>
      </c>
      <c r="T19" s="1781">
        <v>0.92</v>
      </c>
      <c r="U19" s="1781">
        <v>0.92</v>
      </c>
      <c r="V19" s="1781">
        <v>0.92</v>
      </c>
      <c r="W19" s="1781">
        <v>0.92</v>
      </c>
      <c r="X19" s="1781">
        <v>0.92</v>
      </c>
      <c r="Y19" s="1781">
        <v>0.92</v>
      </c>
      <c r="Z19" s="1359">
        <f t="shared" si="1"/>
        <v>1</v>
      </c>
      <c r="AA19" s="1781">
        <f t="shared" si="2"/>
        <v>0.92</v>
      </c>
      <c r="AB19" s="1781">
        <f t="shared" si="3"/>
        <v>0.92</v>
      </c>
      <c r="AC19" s="1781">
        <f t="shared" si="4"/>
        <v>0.92</v>
      </c>
      <c r="AD19" s="1781">
        <f t="shared" si="5"/>
        <v>0.92</v>
      </c>
      <c r="AE19" s="1781">
        <f t="shared" si="6"/>
        <v>0.92</v>
      </c>
      <c r="AF19" s="1781">
        <f t="shared" si="7"/>
        <v>0.92</v>
      </c>
      <c r="AG19" s="1781">
        <f t="shared" si="8"/>
        <v>0.92</v>
      </c>
      <c r="AH19" s="1781">
        <f t="shared" si="9"/>
        <v>0.92</v>
      </c>
      <c r="AI19" s="1362">
        <f t="shared" si="43"/>
        <v>83347.362508150516</v>
      </c>
      <c r="AJ19" s="1362">
        <f t="shared" si="44"/>
        <v>83347.362508150516</v>
      </c>
      <c r="AK19" s="1362">
        <f t="shared" si="45"/>
        <v>83347.362508150516</v>
      </c>
      <c r="AL19" s="1362">
        <f t="shared" si="46"/>
        <v>83347.362508150516</v>
      </c>
      <c r="AM19" s="1362">
        <f t="shared" si="47"/>
        <v>333389.45003260206</v>
      </c>
      <c r="AN19" s="1132" t="str">
        <f t="shared" si="11"/>
        <v>CI-HVC-STRE-V05-180101</v>
      </c>
      <c r="AO19" s="1132" t="str">
        <f t="shared" si="12"/>
        <v>Nicor Gas PY11-PY14 Adjustable Goals Template_2025-03-01, Tab 4.4.16</v>
      </c>
      <c r="AP19" s="2247">
        <f>'4.4.16'!$O$5</f>
        <v>762.90491998307095</v>
      </c>
      <c r="AQ19" s="2505"/>
      <c r="AR19" s="2505">
        <f t="shared" si="13"/>
        <v>83347.362508150516</v>
      </c>
      <c r="AS19" s="2505">
        <f t="shared" si="14"/>
        <v>0</v>
      </c>
      <c r="AT19" s="1132" t="str">
        <f t="shared" si="15"/>
        <v>CI-HVC-STRE-V05-180101</v>
      </c>
      <c r="AU19" s="1132" t="str">
        <f t="shared" si="16"/>
        <v>Nicor Gas PY11-PY14 Adjustable Goals Template_2025-03-01, Tab 4.4.16</v>
      </c>
      <c r="AV19" s="2247">
        <f>'4.4.16'!$O$5</f>
        <v>762.90491998307095</v>
      </c>
      <c r="AW19" s="2505"/>
      <c r="AX19" s="1362">
        <f t="shared" si="17"/>
        <v>83347.362508150516</v>
      </c>
      <c r="AY19" s="1360">
        <f t="shared" si="18"/>
        <v>0</v>
      </c>
      <c r="AZ19" s="1132" t="str">
        <f t="shared" si="19"/>
        <v>CI-HVC-STRE-V05-180101</v>
      </c>
      <c r="BA19" s="1132" t="str">
        <f t="shared" si="20"/>
        <v>Nicor Gas PY11-PY14 Adjustable Goals Template_2025-03-01, Tab 4.4.16</v>
      </c>
      <c r="BB19" s="2247">
        <f>'4.4.16'!$O$5</f>
        <v>762.90491998307095</v>
      </c>
      <c r="BC19" s="2505"/>
      <c r="BD19" s="1362">
        <f t="shared" si="21"/>
        <v>83347.362508150516</v>
      </c>
      <c r="BE19" s="1360">
        <f t="shared" si="22"/>
        <v>0</v>
      </c>
      <c r="BF19" s="1132" t="str">
        <f t="shared" si="23"/>
        <v>CI-HVC-STRE-V05-180101</v>
      </c>
      <c r="BG19" s="1132" t="str">
        <f t="shared" si="24"/>
        <v>Nicor Gas PY11-PY14 Adjustable Goals Template_2025-03-01, Tab 4.4.16</v>
      </c>
      <c r="BH19" s="2247">
        <f>'4.4.16'!$O$5</f>
        <v>762.90491998307095</v>
      </c>
      <c r="BI19" s="2505"/>
      <c r="BJ19" s="1362">
        <f t="shared" si="48"/>
        <v>83347.362508150516</v>
      </c>
      <c r="BK19" s="1360">
        <f t="shared" si="25"/>
        <v>0</v>
      </c>
      <c r="BL19" s="1601">
        <f t="shared" si="26"/>
        <v>83347.362508150516</v>
      </c>
      <c r="BM19" s="1601">
        <f t="shared" si="27"/>
        <v>83347.362508150516</v>
      </c>
      <c r="BN19" s="1601">
        <f t="shared" si="28"/>
        <v>83347.362508150516</v>
      </c>
      <c r="BO19" s="1601">
        <f t="shared" si="29"/>
        <v>83347.362508150516</v>
      </c>
      <c r="BP19" s="1602">
        <f t="shared" si="30"/>
        <v>333389.45003260206</v>
      </c>
      <c r="BQ19" s="1602"/>
      <c r="BR19" s="1602" t="s">
        <v>355</v>
      </c>
      <c r="BS19" s="1602">
        <v>0</v>
      </c>
      <c r="BT19" s="1602">
        <v>6</v>
      </c>
      <c r="BU19" s="1602">
        <v>6</v>
      </c>
      <c r="BV19" s="1602">
        <v>6</v>
      </c>
      <c r="BW19" s="1602">
        <v>6</v>
      </c>
      <c r="BX19" s="1362">
        <f t="shared" si="49"/>
        <v>500084.1750489031</v>
      </c>
      <c r="BY19" s="1362">
        <f t="shared" si="50"/>
        <v>500084.1750489031</v>
      </c>
      <c r="BZ19" s="1362">
        <f t="shared" si="51"/>
        <v>500084.1750489031</v>
      </c>
      <c r="CA19" s="1362">
        <f t="shared" si="52"/>
        <v>500084.1750489031</v>
      </c>
      <c r="CB19" s="1362">
        <f t="shared" si="53"/>
        <v>2000336.7001956124</v>
      </c>
      <c r="CC19" s="1360">
        <v>6</v>
      </c>
      <c r="CD19" s="1360">
        <v>6</v>
      </c>
      <c r="CE19" s="1360">
        <v>6</v>
      </c>
      <c r="CF19" s="1360">
        <v>6</v>
      </c>
      <c r="CG19" s="1604">
        <f t="shared" si="33"/>
        <v>500084.17504890298</v>
      </c>
      <c r="CH19" s="1604">
        <f t="shared" si="34"/>
        <v>500084.17504890298</v>
      </c>
      <c r="CI19" s="1604">
        <f t="shared" si="35"/>
        <v>500084.17504890298</v>
      </c>
      <c r="CJ19" s="1604">
        <f t="shared" si="36"/>
        <v>500084.17504890298</v>
      </c>
      <c r="CK19" s="1521">
        <f t="shared" si="37"/>
        <v>2000336.7001956119</v>
      </c>
      <c r="CL19" s="1132">
        <v>12</v>
      </c>
      <c r="CM19" s="1132" t="s">
        <v>356</v>
      </c>
      <c r="CN19" s="1359">
        <v>0</v>
      </c>
      <c r="CO19" s="1360">
        <v>118.75</v>
      </c>
      <c r="CP19" s="1360">
        <v>118.75</v>
      </c>
      <c r="CQ19" s="1360">
        <v>118.75</v>
      </c>
      <c r="CR19" s="1360">
        <v>118.75</v>
      </c>
      <c r="CS19" s="1362">
        <f t="shared" si="38"/>
        <v>83347.362508150516</v>
      </c>
      <c r="CT19" s="1362">
        <f t="shared" si="39"/>
        <v>83347.362508150516</v>
      </c>
      <c r="CU19" s="1362">
        <f t="shared" si="40"/>
        <v>83347.362508150516</v>
      </c>
      <c r="CV19" s="1362">
        <f t="shared" si="41"/>
        <v>83347.362508150516</v>
      </c>
      <c r="CW19" s="1362">
        <f t="shared" si="42"/>
        <v>333389.45003260206</v>
      </c>
      <c r="CY19" s="2887"/>
      <c r="DN19" s="1715"/>
    </row>
    <row r="20" spans="1:118" s="1143" customFormat="1" ht="46.5" x14ac:dyDescent="0.35">
      <c r="A20" s="1132" t="s">
        <v>101</v>
      </c>
      <c r="B20" s="1132" t="s">
        <v>325</v>
      </c>
      <c r="C20" s="1132" t="s">
        <v>360</v>
      </c>
      <c r="D20" s="1359" t="s">
        <v>361</v>
      </c>
      <c r="E20" s="1359">
        <v>1</v>
      </c>
      <c r="F20" s="1780" t="s">
        <v>355</v>
      </c>
      <c r="G20" s="1132" t="s">
        <v>356</v>
      </c>
      <c r="H20" s="1360">
        <v>109.25</v>
      </c>
      <c r="I20" s="1360">
        <v>109.25</v>
      </c>
      <c r="J20" s="1360">
        <v>109.25</v>
      </c>
      <c r="K20" s="1360">
        <v>109.25</v>
      </c>
      <c r="L20" s="1132" t="s">
        <v>357</v>
      </c>
      <c r="M20" s="1132" t="str">
        <f t="shared" si="0"/>
        <v>Nicor Gas PY11-PY14 Adjustable Goals Template_2025-03-01, Tab 4.4.16</v>
      </c>
      <c r="N20" s="1361">
        <v>2773.9803407924196</v>
      </c>
      <c r="O20" s="1361">
        <v>2773.9803407924196</v>
      </c>
      <c r="P20" s="1361">
        <v>2773.9803407924196</v>
      </c>
      <c r="Q20" s="1361">
        <v>2773.9803407924196</v>
      </c>
      <c r="R20" s="1781">
        <v>0.92</v>
      </c>
      <c r="S20" s="1781">
        <v>0.92</v>
      </c>
      <c r="T20" s="1781">
        <v>0.92</v>
      </c>
      <c r="U20" s="1781">
        <v>0.92</v>
      </c>
      <c r="V20" s="1781">
        <v>0.92</v>
      </c>
      <c r="W20" s="1781">
        <v>0.92</v>
      </c>
      <c r="X20" s="1781">
        <v>0.92</v>
      </c>
      <c r="Y20" s="1781">
        <v>0.92</v>
      </c>
      <c r="Z20" s="1359">
        <f t="shared" si="1"/>
        <v>1</v>
      </c>
      <c r="AA20" s="1781">
        <f t="shared" si="2"/>
        <v>0.92</v>
      </c>
      <c r="AB20" s="1781">
        <f t="shared" si="3"/>
        <v>0.92</v>
      </c>
      <c r="AC20" s="1781">
        <f t="shared" si="4"/>
        <v>0.92</v>
      </c>
      <c r="AD20" s="1781">
        <f t="shared" si="5"/>
        <v>0.92</v>
      </c>
      <c r="AE20" s="1781">
        <f t="shared" si="6"/>
        <v>0.92</v>
      </c>
      <c r="AF20" s="1781">
        <f t="shared" si="7"/>
        <v>0.92</v>
      </c>
      <c r="AG20" s="1781">
        <f t="shared" si="8"/>
        <v>0.92</v>
      </c>
      <c r="AH20" s="1781">
        <f t="shared" si="9"/>
        <v>0.92</v>
      </c>
      <c r="AI20" s="1362">
        <f t="shared" si="43"/>
        <v>278812.76405304612</v>
      </c>
      <c r="AJ20" s="1362">
        <f t="shared" si="44"/>
        <v>278812.76405304612</v>
      </c>
      <c r="AK20" s="1362">
        <f t="shared" si="45"/>
        <v>278812.76405304612</v>
      </c>
      <c r="AL20" s="1362">
        <f t="shared" si="46"/>
        <v>278812.76405304612</v>
      </c>
      <c r="AM20" s="1362">
        <f t="shared" si="47"/>
        <v>1115251.0562121845</v>
      </c>
      <c r="AN20" s="1132" t="str">
        <f t="shared" si="11"/>
        <v>CI-HVC-STRE-V05-180101</v>
      </c>
      <c r="AO20" s="1132" t="str">
        <f t="shared" si="12"/>
        <v>Nicor Gas PY11-PY14 Adjustable Goals Template_2025-03-01, Tab 4.4.16</v>
      </c>
      <c r="AP20" s="2247">
        <f>'4.4.16'!$O$6</f>
        <v>2773.9803407924196</v>
      </c>
      <c r="AQ20" s="2505"/>
      <c r="AR20" s="2505">
        <f t="shared" si="13"/>
        <v>278812.76405304612</v>
      </c>
      <c r="AS20" s="2505">
        <f t="shared" si="14"/>
        <v>0</v>
      </c>
      <c r="AT20" s="1132" t="str">
        <f t="shared" si="15"/>
        <v>CI-HVC-STRE-V05-180101</v>
      </c>
      <c r="AU20" s="1132" t="str">
        <f t="shared" si="16"/>
        <v>Nicor Gas PY11-PY14 Adjustable Goals Template_2025-03-01, Tab 4.4.16</v>
      </c>
      <c r="AV20" s="2247">
        <f>'4.4.16'!$O$6</f>
        <v>2773.9803407924196</v>
      </c>
      <c r="AW20" s="2505"/>
      <c r="AX20" s="1362">
        <f t="shared" si="17"/>
        <v>278812.76405304612</v>
      </c>
      <c r="AY20" s="1360">
        <f t="shared" si="18"/>
        <v>0</v>
      </c>
      <c r="AZ20" s="1132" t="str">
        <f t="shared" si="19"/>
        <v>CI-HVC-STRE-V05-180101</v>
      </c>
      <c r="BA20" s="1132" t="str">
        <f t="shared" si="20"/>
        <v>Nicor Gas PY11-PY14 Adjustable Goals Template_2025-03-01, Tab 4.4.16</v>
      </c>
      <c r="BB20" s="2247">
        <f>'4.4.16'!$O$6</f>
        <v>2773.9803407924196</v>
      </c>
      <c r="BC20" s="2505"/>
      <c r="BD20" s="1362">
        <f t="shared" si="21"/>
        <v>278812.76405304612</v>
      </c>
      <c r="BE20" s="1360">
        <f t="shared" si="22"/>
        <v>0</v>
      </c>
      <c r="BF20" s="1132" t="str">
        <f t="shared" si="23"/>
        <v>CI-HVC-STRE-V05-180101</v>
      </c>
      <c r="BG20" s="1132" t="str">
        <f t="shared" si="24"/>
        <v>Nicor Gas PY11-PY14 Adjustable Goals Template_2025-03-01, Tab 4.4.16</v>
      </c>
      <c r="BH20" s="2247">
        <f>'4.4.16'!$O$6</f>
        <v>2773.9803407924196</v>
      </c>
      <c r="BI20" s="2505"/>
      <c r="BJ20" s="1362">
        <f t="shared" si="48"/>
        <v>278812.76405304612</v>
      </c>
      <c r="BK20" s="1360">
        <f t="shared" si="25"/>
        <v>0</v>
      </c>
      <c r="BL20" s="1601">
        <f t="shared" si="26"/>
        <v>278812.76405304612</v>
      </c>
      <c r="BM20" s="1601">
        <f t="shared" si="27"/>
        <v>278812.76405304612</v>
      </c>
      <c r="BN20" s="1601">
        <f t="shared" si="28"/>
        <v>278812.76405304612</v>
      </c>
      <c r="BO20" s="1601">
        <f t="shared" si="29"/>
        <v>278812.76405304612</v>
      </c>
      <c r="BP20" s="1602">
        <f t="shared" si="30"/>
        <v>1115251.0562121845</v>
      </c>
      <c r="BQ20" s="1602"/>
      <c r="BR20" s="1602" t="s">
        <v>355</v>
      </c>
      <c r="BS20" s="1602">
        <v>0</v>
      </c>
      <c r="BT20" s="1602">
        <v>6</v>
      </c>
      <c r="BU20" s="1602">
        <v>6</v>
      </c>
      <c r="BV20" s="1602">
        <v>6</v>
      </c>
      <c r="BW20" s="1602">
        <v>6</v>
      </c>
      <c r="BX20" s="1362">
        <f t="shared" si="49"/>
        <v>1672876.5843182767</v>
      </c>
      <c r="BY20" s="1362">
        <f t="shared" si="50"/>
        <v>1672876.5843182767</v>
      </c>
      <c r="BZ20" s="1362">
        <f t="shared" si="51"/>
        <v>1672876.5843182767</v>
      </c>
      <c r="CA20" s="1362">
        <f t="shared" si="52"/>
        <v>1672876.5843182767</v>
      </c>
      <c r="CB20" s="1362">
        <f t="shared" si="53"/>
        <v>6691506.3372731069</v>
      </c>
      <c r="CC20" s="1360">
        <v>6</v>
      </c>
      <c r="CD20" s="1360">
        <v>6</v>
      </c>
      <c r="CE20" s="1360">
        <v>6</v>
      </c>
      <c r="CF20" s="1360">
        <v>6</v>
      </c>
      <c r="CG20" s="1604">
        <f t="shared" si="33"/>
        <v>1672876.5843182767</v>
      </c>
      <c r="CH20" s="1604">
        <f t="shared" si="34"/>
        <v>1672876.5843182767</v>
      </c>
      <c r="CI20" s="1604">
        <f t="shared" si="35"/>
        <v>1672876.5843182767</v>
      </c>
      <c r="CJ20" s="1604">
        <f t="shared" si="36"/>
        <v>1672876.5843182767</v>
      </c>
      <c r="CK20" s="1521">
        <f t="shared" si="37"/>
        <v>6691506.3372731069</v>
      </c>
      <c r="CL20" s="1132">
        <v>13</v>
      </c>
      <c r="CM20" s="1132" t="s">
        <v>356</v>
      </c>
      <c r="CN20" s="1359">
        <v>0</v>
      </c>
      <c r="CO20" s="1360">
        <v>109.25</v>
      </c>
      <c r="CP20" s="1360">
        <v>109.25</v>
      </c>
      <c r="CQ20" s="1360">
        <v>109.25</v>
      </c>
      <c r="CR20" s="1360">
        <v>109.25</v>
      </c>
      <c r="CS20" s="1362">
        <f t="shared" si="38"/>
        <v>278812.76405304612</v>
      </c>
      <c r="CT20" s="1362">
        <f t="shared" si="39"/>
        <v>278812.76405304612</v>
      </c>
      <c r="CU20" s="1362">
        <f t="shared" si="40"/>
        <v>278812.76405304612</v>
      </c>
      <c r="CV20" s="1362">
        <f t="shared" si="41"/>
        <v>278812.76405304612</v>
      </c>
      <c r="CW20" s="1362">
        <f t="shared" si="42"/>
        <v>1115251.0562121845</v>
      </c>
      <c r="CY20" s="2887"/>
      <c r="DN20" s="1715"/>
    </row>
    <row r="21" spans="1:118" s="1143" customFormat="1" ht="46.5" x14ac:dyDescent="0.35">
      <c r="A21" s="1132" t="s">
        <v>101</v>
      </c>
      <c r="B21" s="1132" t="s">
        <v>325</v>
      </c>
      <c r="C21" s="1132" t="s">
        <v>362</v>
      </c>
      <c r="D21" s="1359" t="s">
        <v>363</v>
      </c>
      <c r="E21" s="1359">
        <v>1</v>
      </c>
      <c r="F21" s="1780" t="s">
        <v>355</v>
      </c>
      <c r="G21" s="1132" t="s">
        <v>356</v>
      </c>
      <c r="H21" s="1360">
        <v>76</v>
      </c>
      <c r="I21" s="1360">
        <v>76</v>
      </c>
      <c r="J21" s="1360">
        <v>76</v>
      </c>
      <c r="K21" s="1360">
        <v>76</v>
      </c>
      <c r="L21" s="1132" t="s">
        <v>357</v>
      </c>
      <c r="M21" s="1132" t="str">
        <f t="shared" si="0"/>
        <v>Nicor Gas PY11-PY14 Adjustable Goals Template_2025-03-01, Tab 4.4.16</v>
      </c>
      <c r="N21" s="1361">
        <v>5256.3081214778895</v>
      </c>
      <c r="O21" s="1361">
        <v>5256.3081214778895</v>
      </c>
      <c r="P21" s="1361">
        <v>5256.3081214778895</v>
      </c>
      <c r="Q21" s="1361">
        <v>5256.3081214778895</v>
      </c>
      <c r="R21" s="1781">
        <v>0.92</v>
      </c>
      <c r="S21" s="1781">
        <v>0.92</v>
      </c>
      <c r="T21" s="1781">
        <v>0.92</v>
      </c>
      <c r="U21" s="1781">
        <v>0.92</v>
      </c>
      <c r="V21" s="1781">
        <v>0.92</v>
      </c>
      <c r="W21" s="1781">
        <v>0.92</v>
      </c>
      <c r="X21" s="1781">
        <v>0.92</v>
      </c>
      <c r="Y21" s="1781">
        <v>0.92</v>
      </c>
      <c r="Z21" s="1359">
        <f t="shared" si="1"/>
        <v>1</v>
      </c>
      <c r="AA21" s="1781">
        <f t="shared" si="2"/>
        <v>0.92</v>
      </c>
      <c r="AB21" s="1781">
        <f t="shared" si="3"/>
        <v>0.92</v>
      </c>
      <c r="AC21" s="1781">
        <f t="shared" si="4"/>
        <v>0.92</v>
      </c>
      <c r="AD21" s="1781">
        <f t="shared" si="5"/>
        <v>0.92</v>
      </c>
      <c r="AE21" s="1781">
        <f t="shared" si="6"/>
        <v>0.92</v>
      </c>
      <c r="AF21" s="1781">
        <f t="shared" si="7"/>
        <v>0.92</v>
      </c>
      <c r="AG21" s="1781">
        <f t="shared" si="8"/>
        <v>0.92</v>
      </c>
      <c r="AH21" s="1781">
        <f t="shared" si="9"/>
        <v>0.92</v>
      </c>
      <c r="AI21" s="1362">
        <f t="shared" si="43"/>
        <v>367521.06385373406</v>
      </c>
      <c r="AJ21" s="1362">
        <f t="shared" si="44"/>
        <v>367521.06385373406</v>
      </c>
      <c r="AK21" s="1362">
        <f t="shared" si="45"/>
        <v>367521.06385373406</v>
      </c>
      <c r="AL21" s="1362">
        <f t="shared" si="46"/>
        <v>367521.06385373406</v>
      </c>
      <c r="AM21" s="1362">
        <f t="shared" si="47"/>
        <v>1470084.2554149362</v>
      </c>
      <c r="AN21" s="1132" t="str">
        <f t="shared" si="11"/>
        <v>CI-HVC-STRE-V05-180101</v>
      </c>
      <c r="AO21" s="1132" t="str">
        <f t="shared" si="12"/>
        <v>Nicor Gas PY11-PY14 Adjustable Goals Template_2025-03-01, Tab 4.4.16</v>
      </c>
      <c r="AP21" s="2247">
        <f>'4.4.16'!$O$7</f>
        <v>5256.3081214778895</v>
      </c>
      <c r="AQ21" s="2505"/>
      <c r="AR21" s="2505">
        <f t="shared" si="13"/>
        <v>367521.06385373406</v>
      </c>
      <c r="AS21" s="2505">
        <f t="shared" si="14"/>
        <v>0</v>
      </c>
      <c r="AT21" s="1132" t="str">
        <f t="shared" si="15"/>
        <v>CI-HVC-STRE-V05-180101</v>
      </c>
      <c r="AU21" s="1132" t="str">
        <f t="shared" si="16"/>
        <v>Nicor Gas PY11-PY14 Adjustable Goals Template_2025-03-01, Tab 4.4.16</v>
      </c>
      <c r="AV21" s="2247">
        <f>'4.4.16'!$O$7</f>
        <v>5256.3081214778895</v>
      </c>
      <c r="AW21" s="2505"/>
      <c r="AX21" s="1362">
        <f t="shared" si="17"/>
        <v>367521.06385373406</v>
      </c>
      <c r="AY21" s="1360">
        <f t="shared" si="18"/>
        <v>0</v>
      </c>
      <c r="AZ21" s="1132" t="str">
        <f t="shared" si="19"/>
        <v>CI-HVC-STRE-V05-180101</v>
      </c>
      <c r="BA21" s="1132" t="str">
        <f t="shared" si="20"/>
        <v>Nicor Gas PY11-PY14 Adjustable Goals Template_2025-03-01, Tab 4.4.16</v>
      </c>
      <c r="BB21" s="2247">
        <f>'4.4.16'!$O$7</f>
        <v>5256.3081214778895</v>
      </c>
      <c r="BC21" s="2505"/>
      <c r="BD21" s="1362">
        <f t="shared" si="21"/>
        <v>367521.06385373406</v>
      </c>
      <c r="BE21" s="1360">
        <f t="shared" si="22"/>
        <v>0</v>
      </c>
      <c r="BF21" s="1132" t="str">
        <f t="shared" si="23"/>
        <v>CI-HVC-STRE-V05-180101</v>
      </c>
      <c r="BG21" s="1132" t="str">
        <f t="shared" si="24"/>
        <v>Nicor Gas PY11-PY14 Adjustable Goals Template_2025-03-01, Tab 4.4.16</v>
      </c>
      <c r="BH21" s="2247">
        <f>'4.4.16'!$O$7</f>
        <v>5256.3081214778895</v>
      </c>
      <c r="BI21" s="2505"/>
      <c r="BJ21" s="1362">
        <f t="shared" si="48"/>
        <v>367521.06385373406</v>
      </c>
      <c r="BK21" s="1360">
        <f t="shared" si="25"/>
        <v>0</v>
      </c>
      <c r="BL21" s="1601">
        <f t="shared" si="26"/>
        <v>367521.06385373406</v>
      </c>
      <c r="BM21" s="1601">
        <f t="shared" si="27"/>
        <v>367521.06385373406</v>
      </c>
      <c r="BN21" s="1601">
        <f t="shared" si="28"/>
        <v>367521.06385373406</v>
      </c>
      <c r="BO21" s="1601">
        <f t="shared" si="29"/>
        <v>367521.06385373406</v>
      </c>
      <c r="BP21" s="1602">
        <f t="shared" si="30"/>
        <v>1470084.2554149362</v>
      </c>
      <c r="BQ21" s="1602"/>
      <c r="BR21" s="1602" t="s">
        <v>355</v>
      </c>
      <c r="BS21" s="1602">
        <v>0</v>
      </c>
      <c r="BT21" s="1602">
        <v>6</v>
      </c>
      <c r="BU21" s="1602">
        <v>6</v>
      </c>
      <c r="BV21" s="1602">
        <v>6</v>
      </c>
      <c r="BW21" s="1602">
        <v>6</v>
      </c>
      <c r="BX21" s="1362">
        <f t="shared" si="49"/>
        <v>2205126.3831224041</v>
      </c>
      <c r="BY21" s="1362">
        <f t="shared" si="50"/>
        <v>2205126.3831224041</v>
      </c>
      <c r="BZ21" s="1362">
        <f t="shared" si="51"/>
        <v>2205126.3831224041</v>
      </c>
      <c r="CA21" s="1362">
        <f t="shared" si="52"/>
        <v>2205126.3831224041</v>
      </c>
      <c r="CB21" s="1362">
        <f t="shared" si="53"/>
        <v>8820505.5324896164</v>
      </c>
      <c r="CC21" s="1360">
        <v>6</v>
      </c>
      <c r="CD21" s="1360">
        <v>6</v>
      </c>
      <c r="CE21" s="1360">
        <v>6</v>
      </c>
      <c r="CF21" s="1360">
        <v>6</v>
      </c>
      <c r="CG21" s="1604">
        <f t="shared" si="33"/>
        <v>2205126.3831224041</v>
      </c>
      <c r="CH21" s="1604">
        <f t="shared" si="34"/>
        <v>2205126.3831224041</v>
      </c>
      <c r="CI21" s="1604">
        <f t="shared" si="35"/>
        <v>2205126.3831224041</v>
      </c>
      <c r="CJ21" s="1604">
        <f t="shared" si="36"/>
        <v>2205126.3831224041</v>
      </c>
      <c r="CK21" s="1521">
        <f t="shared" si="37"/>
        <v>8820505.5324896164</v>
      </c>
      <c r="CL21" s="1132">
        <v>14</v>
      </c>
      <c r="CM21" s="1132" t="s">
        <v>356</v>
      </c>
      <c r="CN21" s="1359">
        <v>0</v>
      </c>
      <c r="CO21" s="1360">
        <v>76</v>
      </c>
      <c r="CP21" s="1360">
        <v>76</v>
      </c>
      <c r="CQ21" s="1360">
        <v>76</v>
      </c>
      <c r="CR21" s="1360">
        <v>76</v>
      </c>
      <c r="CS21" s="1362">
        <f t="shared" si="38"/>
        <v>367521.06385373406</v>
      </c>
      <c r="CT21" s="1362">
        <f t="shared" si="39"/>
        <v>367521.06385373406</v>
      </c>
      <c r="CU21" s="1362">
        <f t="shared" si="40"/>
        <v>367521.06385373406</v>
      </c>
      <c r="CV21" s="1362">
        <f t="shared" si="41"/>
        <v>367521.06385373406</v>
      </c>
      <c r="CW21" s="1362">
        <f t="shared" si="42"/>
        <v>1470084.2554149362</v>
      </c>
      <c r="CY21" s="2887"/>
      <c r="DN21" s="1715"/>
    </row>
    <row r="22" spans="1:118" s="1143" customFormat="1" ht="46.5" x14ac:dyDescent="0.35">
      <c r="A22" s="1132" t="s">
        <v>101</v>
      </c>
      <c r="B22" s="1132" t="s">
        <v>325</v>
      </c>
      <c r="C22" s="1132" t="s">
        <v>364</v>
      </c>
      <c r="D22" s="1359" t="s">
        <v>365</v>
      </c>
      <c r="E22" s="1359">
        <v>1</v>
      </c>
      <c r="F22" s="1780" t="s">
        <v>355</v>
      </c>
      <c r="G22" s="1132" t="s">
        <v>356</v>
      </c>
      <c r="H22" s="1360">
        <v>71.25</v>
      </c>
      <c r="I22" s="1360">
        <v>71.25</v>
      </c>
      <c r="J22" s="1360">
        <v>71.25</v>
      </c>
      <c r="K22" s="1360">
        <v>71.25</v>
      </c>
      <c r="L22" s="1132" t="s">
        <v>357</v>
      </c>
      <c r="M22" s="1132" t="str">
        <f t="shared" si="0"/>
        <v>Nicor Gas PY11-PY14 Adjustable Goals Template_2025-03-01, Tab 4.4.16</v>
      </c>
      <c r="N22" s="1361">
        <v>7330.5589709869309</v>
      </c>
      <c r="O22" s="1361">
        <v>7330.5589709869309</v>
      </c>
      <c r="P22" s="1361">
        <v>7330.5589709869309</v>
      </c>
      <c r="Q22" s="1361">
        <v>7330.5589709869309</v>
      </c>
      <c r="R22" s="1781">
        <v>0.92</v>
      </c>
      <c r="S22" s="1781">
        <v>0.92</v>
      </c>
      <c r="T22" s="1781">
        <v>0.92</v>
      </c>
      <c r="U22" s="1781">
        <v>0.92</v>
      </c>
      <c r="V22" s="1781">
        <v>0.92</v>
      </c>
      <c r="W22" s="1781">
        <v>0.92</v>
      </c>
      <c r="X22" s="1781">
        <v>0.92</v>
      </c>
      <c r="Y22" s="1781">
        <v>0.92</v>
      </c>
      <c r="Z22" s="1359">
        <f t="shared" si="1"/>
        <v>1</v>
      </c>
      <c r="AA22" s="1781">
        <f t="shared" si="2"/>
        <v>0.92</v>
      </c>
      <c r="AB22" s="1781">
        <f t="shared" si="3"/>
        <v>0.92</v>
      </c>
      <c r="AC22" s="1781">
        <f t="shared" si="4"/>
        <v>0.92</v>
      </c>
      <c r="AD22" s="1781">
        <f t="shared" si="5"/>
        <v>0.92</v>
      </c>
      <c r="AE22" s="1781">
        <f t="shared" si="6"/>
        <v>0.92</v>
      </c>
      <c r="AF22" s="1781">
        <f t="shared" si="7"/>
        <v>0.92</v>
      </c>
      <c r="AG22" s="1781">
        <f t="shared" si="8"/>
        <v>0.92</v>
      </c>
      <c r="AH22" s="1781">
        <f t="shared" si="9"/>
        <v>0.92</v>
      </c>
      <c r="AI22" s="1362">
        <f t="shared" si="43"/>
        <v>480518.14054819336</v>
      </c>
      <c r="AJ22" s="1362">
        <f t="shared" si="44"/>
        <v>480518.14054819336</v>
      </c>
      <c r="AK22" s="1362">
        <f t="shared" si="45"/>
        <v>480518.14054819336</v>
      </c>
      <c r="AL22" s="1362">
        <f t="shared" si="46"/>
        <v>480518.14054819336</v>
      </c>
      <c r="AM22" s="1362">
        <f t="shared" si="47"/>
        <v>1922072.5621927734</v>
      </c>
      <c r="AN22" s="1132" t="str">
        <f t="shared" si="11"/>
        <v>CI-HVC-STRE-V05-180101</v>
      </c>
      <c r="AO22" s="1132" t="str">
        <f t="shared" si="12"/>
        <v>Nicor Gas PY11-PY14 Adjustable Goals Template_2025-03-01, Tab 4.4.16</v>
      </c>
      <c r="AP22" s="2247">
        <f>'4.4.16'!$O$8</f>
        <v>7330.5589709869309</v>
      </c>
      <c r="AQ22" s="2505"/>
      <c r="AR22" s="2505">
        <f t="shared" si="13"/>
        <v>480518.14054819336</v>
      </c>
      <c r="AS22" s="2505">
        <f t="shared" si="14"/>
        <v>0</v>
      </c>
      <c r="AT22" s="1132" t="str">
        <f t="shared" si="15"/>
        <v>CI-HVC-STRE-V05-180101</v>
      </c>
      <c r="AU22" s="1132" t="str">
        <f t="shared" si="16"/>
        <v>Nicor Gas PY11-PY14 Adjustable Goals Template_2025-03-01, Tab 4.4.16</v>
      </c>
      <c r="AV22" s="2247">
        <f>'4.4.16'!$O$8</f>
        <v>7330.5589709869309</v>
      </c>
      <c r="AW22" s="2505"/>
      <c r="AX22" s="1362">
        <f t="shared" si="17"/>
        <v>480518.14054819336</v>
      </c>
      <c r="AY22" s="1360">
        <f t="shared" si="18"/>
        <v>0</v>
      </c>
      <c r="AZ22" s="1132" t="str">
        <f t="shared" si="19"/>
        <v>CI-HVC-STRE-V05-180101</v>
      </c>
      <c r="BA22" s="1132" t="str">
        <f t="shared" si="20"/>
        <v>Nicor Gas PY11-PY14 Adjustable Goals Template_2025-03-01, Tab 4.4.16</v>
      </c>
      <c r="BB22" s="2247">
        <f>'4.4.16'!$O$8</f>
        <v>7330.5589709869309</v>
      </c>
      <c r="BC22" s="2505"/>
      <c r="BD22" s="1362">
        <f t="shared" si="21"/>
        <v>480518.14054819336</v>
      </c>
      <c r="BE22" s="1360">
        <f t="shared" si="22"/>
        <v>0</v>
      </c>
      <c r="BF22" s="1132" t="str">
        <f t="shared" si="23"/>
        <v>CI-HVC-STRE-V05-180101</v>
      </c>
      <c r="BG22" s="1132" t="str">
        <f t="shared" si="24"/>
        <v>Nicor Gas PY11-PY14 Adjustable Goals Template_2025-03-01, Tab 4.4.16</v>
      </c>
      <c r="BH22" s="2247">
        <f>'4.4.16'!$O$8</f>
        <v>7330.5589709869309</v>
      </c>
      <c r="BI22" s="2505"/>
      <c r="BJ22" s="1362">
        <f t="shared" si="48"/>
        <v>480518.14054819336</v>
      </c>
      <c r="BK22" s="1360">
        <f t="shared" si="25"/>
        <v>0</v>
      </c>
      <c r="BL22" s="1601">
        <f t="shared" si="26"/>
        <v>480518.14054819336</v>
      </c>
      <c r="BM22" s="1601">
        <f t="shared" si="27"/>
        <v>480518.14054819336</v>
      </c>
      <c r="BN22" s="1601">
        <f t="shared" si="28"/>
        <v>480518.14054819336</v>
      </c>
      <c r="BO22" s="1601">
        <f t="shared" si="29"/>
        <v>480518.14054819336</v>
      </c>
      <c r="BP22" s="1602">
        <f t="shared" si="30"/>
        <v>1922072.5621927734</v>
      </c>
      <c r="BQ22" s="1602"/>
      <c r="BR22" s="1602" t="s">
        <v>355</v>
      </c>
      <c r="BS22" s="1602">
        <v>0</v>
      </c>
      <c r="BT22" s="1602">
        <v>6</v>
      </c>
      <c r="BU22" s="1602">
        <v>6</v>
      </c>
      <c r="BV22" s="1602">
        <v>6</v>
      </c>
      <c r="BW22" s="1602">
        <v>6</v>
      </c>
      <c r="BX22" s="1362">
        <f t="shared" si="49"/>
        <v>2883108.8432891602</v>
      </c>
      <c r="BY22" s="1362">
        <f t="shared" si="50"/>
        <v>2883108.8432891602</v>
      </c>
      <c r="BZ22" s="1362">
        <f t="shared" si="51"/>
        <v>2883108.8432891602</v>
      </c>
      <c r="CA22" s="1362">
        <f t="shared" si="52"/>
        <v>2883108.8432891602</v>
      </c>
      <c r="CB22" s="1362">
        <f t="shared" si="53"/>
        <v>11532435.373156641</v>
      </c>
      <c r="CC22" s="1360">
        <v>6</v>
      </c>
      <c r="CD22" s="1360">
        <v>6</v>
      </c>
      <c r="CE22" s="1360">
        <v>6</v>
      </c>
      <c r="CF22" s="1360">
        <v>6</v>
      </c>
      <c r="CG22" s="1604">
        <f t="shared" si="33"/>
        <v>2883108.8432891597</v>
      </c>
      <c r="CH22" s="1604">
        <f t="shared" si="34"/>
        <v>2883108.8432891597</v>
      </c>
      <c r="CI22" s="1604">
        <f t="shared" si="35"/>
        <v>2883108.8432891597</v>
      </c>
      <c r="CJ22" s="1604">
        <f t="shared" si="36"/>
        <v>2883108.8432891597</v>
      </c>
      <c r="CK22" s="1521">
        <f t="shared" si="37"/>
        <v>11532435.373156639</v>
      </c>
      <c r="CL22" s="1132">
        <v>15</v>
      </c>
      <c r="CM22" s="1132" t="s">
        <v>356</v>
      </c>
      <c r="CN22" s="1359">
        <v>0</v>
      </c>
      <c r="CO22" s="1360">
        <v>71.25</v>
      </c>
      <c r="CP22" s="1360">
        <v>71.25</v>
      </c>
      <c r="CQ22" s="1360">
        <v>71.25</v>
      </c>
      <c r="CR22" s="1360">
        <v>71.25</v>
      </c>
      <c r="CS22" s="1362">
        <f t="shared" si="38"/>
        <v>480518.14054819336</v>
      </c>
      <c r="CT22" s="1362">
        <f t="shared" si="39"/>
        <v>480518.14054819336</v>
      </c>
      <c r="CU22" s="1362">
        <f t="shared" si="40"/>
        <v>480518.14054819336</v>
      </c>
      <c r="CV22" s="1362">
        <f t="shared" si="41"/>
        <v>480518.14054819336</v>
      </c>
      <c r="CW22" s="1362">
        <f t="shared" si="42"/>
        <v>1922072.5621927734</v>
      </c>
      <c r="CY22" s="2887"/>
      <c r="DN22" s="1715"/>
    </row>
    <row r="23" spans="1:118" s="1143" customFormat="1" ht="46.5" x14ac:dyDescent="0.35">
      <c r="A23" s="1132" t="s">
        <v>101</v>
      </c>
      <c r="B23" s="1132" t="s">
        <v>325</v>
      </c>
      <c r="C23" s="1132" t="s">
        <v>366</v>
      </c>
      <c r="D23" s="1359" t="s">
        <v>367</v>
      </c>
      <c r="E23" s="1359">
        <v>1</v>
      </c>
      <c r="F23" s="1780" t="s">
        <v>355</v>
      </c>
      <c r="G23" s="1132" t="s">
        <v>356</v>
      </c>
      <c r="H23" s="1360">
        <v>42.75</v>
      </c>
      <c r="I23" s="1360">
        <v>42.75</v>
      </c>
      <c r="J23" s="1360">
        <v>42.75</v>
      </c>
      <c r="K23" s="1360">
        <v>42.75</v>
      </c>
      <c r="L23" s="1132" t="s">
        <v>357</v>
      </c>
      <c r="M23" s="1132" t="str">
        <f t="shared" si="0"/>
        <v>Nicor Gas PY11-PY14 Adjustable Goals Template_2025-03-01, Tab 4.4.16</v>
      </c>
      <c r="N23" s="1361">
        <v>9903.4578866889951</v>
      </c>
      <c r="O23" s="1361">
        <v>9903.4578866889951</v>
      </c>
      <c r="P23" s="1361">
        <v>9903.4578866889951</v>
      </c>
      <c r="Q23" s="1361">
        <v>9903.4578866889951</v>
      </c>
      <c r="R23" s="1781">
        <v>0.92</v>
      </c>
      <c r="S23" s="1781">
        <v>0.92</v>
      </c>
      <c r="T23" s="1781">
        <v>0.92</v>
      </c>
      <c r="U23" s="1781">
        <v>0.92</v>
      </c>
      <c r="V23" s="1781">
        <v>0.92</v>
      </c>
      <c r="W23" s="1781">
        <v>0.92</v>
      </c>
      <c r="X23" s="1781">
        <v>0.92</v>
      </c>
      <c r="Y23" s="1781">
        <v>0.92</v>
      </c>
      <c r="Z23" s="1359">
        <f t="shared" si="1"/>
        <v>1</v>
      </c>
      <c r="AA23" s="1781">
        <f t="shared" si="2"/>
        <v>0.92</v>
      </c>
      <c r="AB23" s="1781">
        <f t="shared" si="3"/>
        <v>0.92</v>
      </c>
      <c r="AC23" s="1781">
        <f t="shared" si="4"/>
        <v>0.92</v>
      </c>
      <c r="AD23" s="1781">
        <f t="shared" si="5"/>
        <v>0.92</v>
      </c>
      <c r="AE23" s="1781">
        <f t="shared" si="6"/>
        <v>0.92</v>
      </c>
      <c r="AF23" s="1781">
        <f t="shared" si="7"/>
        <v>0.92</v>
      </c>
      <c r="AG23" s="1781">
        <f t="shared" si="8"/>
        <v>0.92</v>
      </c>
      <c r="AH23" s="1781">
        <f t="shared" si="9"/>
        <v>0.92</v>
      </c>
      <c r="AI23" s="1362">
        <f t="shared" si="43"/>
        <v>389502.99868347822</v>
      </c>
      <c r="AJ23" s="1362">
        <f t="shared" si="44"/>
        <v>389502.99868347822</v>
      </c>
      <c r="AK23" s="1362">
        <f t="shared" si="45"/>
        <v>389502.99868347822</v>
      </c>
      <c r="AL23" s="1362">
        <f t="shared" si="46"/>
        <v>389502.99868347822</v>
      </c>
      <c r="AM23" s="1362">
        <f t="shared" si="47"/>
        <v>1558011.9947339129</v>
      </c>
      <c r="AN23" s="1132" t="str">
        <f t="shared" si="11"/>
        <v>CI-HVC-STRE-V05-180101</v>
      </c>
      <c r="AO23" s="1132" t="str">
        <f t="shared" si="12"/>
        <v>Nicor Gas PY11-PY14 Adjustable Goals Template_2025-03-01, Tab 4.4.16</v>
      </c>
      <c r="AP23" s="2247">
        <f>'4.4.16'!$O$9</f>
        <v>9903.4578866889951</v>
      </c>
      <c r="AQ23" s="2505"/>
      <c r="AR23" s="2505">
        <f t="shared" si="13"/>
        <v>389502.99868347822</v>
      </c>
      <c r="AS23" s="2505">
        <f t="shared" si="14"/>
        <v>0</v>
      </c>
      <c r="AT23" s="1132" t="str">
        <f t="shared" si="15"/>
        <v>CI-HVC-STRE-V05-180101</v>
      </c>
      <c r="AU23" s="1132" t="str">
        <f t="shared" si="16"/>
        <v>Nicor Gas PY11-PY14 Adjustable Goals Template_2025-03-01, Tab 4.4.16</v>
      </c>
      <c r="AV23" s="2247">
        <f>'4.4.16'!$O$9</f>
        <v>9903.4578866889951</v>
      </c>
      <c r="AW23" s="2505"/>
      <c r="AX23" s="1362">
        <f t="shared" si="17"/>
        <v>389502.99868347822</v>
      </c>
      <c r="AY23" s="1360">
        <f t="shared" si="18"/>
        <v>0</v>
      </c>
      <c r="AZ23" s="1132" t="str">
        <f t="shared" si="19"/>
        <v>CI-HVC-STRE-V05-180101</v>
      </c>
      <c r="BA23" s="1132" t="str">
        <f t="shared" si="20"/>
        <v>Nicor Gas PY11-PY14 Adjustable Goals Template_2025-03-01, Tab 4.4.16</v>
      </c>
      <c r="BB23" s="2247">
        <f>'4.4.16'!$O$9</f>
        <v>9903.4578866889951</v>
      </c>
      <c r="BC23" s="2505"/>
      <c r="BD23" s="1362">
        <f t="shared" si="21"/>
        <v>389502.99868347822</v>
      </c>
      <c r="BE23" s="1360">
        <f t="shared" si="22"/>
        <v>0</v>
      </c>
      <c r="BF23" s="1132" t="str">
        <f t="shared" si="23"/>
        <v>CI-HVC-STRE-V05-180101</v>
      </c>
      <c r="BG23" s="1132" t="str">
        <f t="shared" si="24"/>
        <v>Nicor Gas PY11-PY14 Adjustable Goals Template_2025-03-01, Tab 4.4.16</v>
      </c>
      <c r="BH23" s="2247">
        <f>'4.4.16'!$O$9</f>
        <v>9903.4578866889951</v>
      </c>
      <c r="BI23" s="2505"/>
      <c r="BJ23" s="1362">
        <f t="shared" si="48"/>
        <v>389502.99868347822</v>
      </c>
      <c r="BK23" s="1360">
        <f t="shared" si="25"/>
        <v>0</v>
      </c>
      <c r="BL23" s="1601">
        <f t="shared" si="26"/>
        <v>389502.99868347822</v>
      </c>
      <c r="BM23" s="1601">
        <f t="shared" si="27"/>
        <v>389502.99868347822</v>
      </c>
      <c r="BN23" s="1601">
        <f t="shared" si="28"/>
        <v>389502.99868347822</v>
      </c>
      <c r="BO23" s="1601">
        <f t="shared" si="29"/>
        <v>389502.99868347822</v>
      </c>
      <c r="BP23" s="1602">
        <f t="shared" si="30"/>
        <v>1558011.9947339129</v>
      </c>
      <c r="BQ23" s="1602"/>
      <c r="BR23" s="1602" t="s">
        <v>355</v>
      </c>
      <c r="BS23" s="1602">
        <v>0</v>
      </c>
      <c r="BT23" s="1602">
        <v>6</v>
      </c>
      <c r="BU23" s="1602">
        <v>6</v>
      </c>
      <c r="BV23" s="1602">
        <v>6</v>
      </c>
      <c r="BW23" s="1602">
        <v>6</v>
      </c>
      <c r="BX23" s="1362">
        <f t="shared" si="49"/>
        <v>2337017.9921008693</v>
      </c>
      <c r="BY23" s="1362">
        <f t="shared" si="50"/>
        <v>2337017.9921008693</v>
      </c>
      <c r="BZ23" s="1362">
        <f t="shared" si="51"/>
        <v>2337017.9921008693</v>
      </c>
      <c r="CA23" s="1362">
        <f t="shared" si="52"/>
        <v>2337017.9921008693</v>
      </c>
      <c r="CB23" s="1362">
        <f t="shared" si="53"/>
        <v>9348071.9684034772</v>
      </c>
      <c r="CC23" s="1360">
        <v>6</v>
      </c>
      <c r="CD23" s="1360">
        <v>6</v>
      </c>
      <c r="CE23" s="1360">
        <v>6</v>
      </c>
      <c r="CF23" s="1360">
        <v>6</v>
      </c>
      <c r="CG23" s="1604">
        <f t="shared" si="33"/>
        <v>2337017.9921008688</v>
      </c>
      <c r="CH23" s="1604">
        <f t="shared" si="34"/>
        <v>2337017.9921008688</v>
      </c>
      <c r="CI23" s="1604">
        <f t="shared" si="35"/>
        <v>2337017.9921008688</v>
      </c>
      <c r="CJ23" s="1604">
        <f t="shared" si="36"/>
        <v>2337017.9921008688</v>
      </c>
      <c r="CK23" s="1521">
        <f t="shared" si="37"/>
        <v>9348071.9684034754</v>
      </c>
      <c r="CL23" s="1132">
        <v>16</v>
      </c>
      <c r="CM23" s="1132" t="s">
        <v>356</v>
      </c>
      <c r="CN23" s="1359">
        <v>0</v>
      </c>
      <c r="CO23" s="1360">
        <v>42.75</v>
      </c>
      <c r="CP23" s="1360">
        <v>42.75</v>
      </c>
      <c r="CQ23" s="1360">
        <v>42.75</v>
      </c>
      <c r="CR23" s="1360">
        <v>42.75</v>
      </c>
      <c r="CS23" s="1362">
        <f t="shared" si="38"/>
        <v>389502.99868347822</v>
      </c>
      <c r="CT23" s="1362">
        <f t="shared" si="39"/>
        <v>389502.99868347822</v>
      </c>
      <c r="CU23" s="1362">
        <f t="shared" si="40"/>
        <v>389502.99868347822</v>
      </c>
      <c r="CV23" s="1362">
        <f t="shared" si="41"/>
        <v>389502.99868347822</v>
      </c>
      <c r="CW23" s="1362">
        <f t="shared" si="42"/>
        <v>1558011.9947339129</v>
      </c>
      <c r="CY23" s="2887"/>
      <c r="DN23" s="1715"/>
    </row>
    <row r="24" spans="1:118" s="1143" customFormat="1" ht="46.5" x14ac:dyDescent="0.35">
      <c r="A24" s="1132" t="s">
        <v>101</v>
      </c>
      <c r="B24" s="1132" t="s">
        <v>325</v>
      </c>
      <c r="C24" s="1132" t="s">
        <v>368</v>
      </c>
      <c r="D24" s="1359" t="s">
        <v>369</v>
      </c>
      <c r="E24" s="1359">
        <v>1</v>
      </c>
      <c r="F24" s="1780" t="s">
        <v>355</v>
      </c>
      <c r="G24" s="1132" t="s">
        <v>356</v>
      </c>
      <c r="H24" s="1360">
        <v>9.5</v>
      </c>
      <c r="I24" s="1360">
        <v>9.5</v>
      </c>
      <c r="J24" s="1360">
        <v>9.5</v>
      </c>
      <c r="K24" s="1360">
        <v>9.5</v>
      </c>
      <c r="L24" s="1132" t="s">
        <v>357</v>
      </c>
      <c r="M24" s="1132" t="str">
        <f t="shared" si="0"/>
        <v>Nicor Gas PY11-PY14 Adjustable Goals Template_2025-03-01, Tab 4.4.16</v>
      </c>
      <c r="N24" s="1361">
        <v>12686.870831068883</v>
      </c>
      <c r="O24" s="1361">
        <v>12686.870831068883</v>
      </c>
      <c r="P24" s="1361">
        <v>12686.870831068883</v>
      </c>
      <c r="Q24" s="1361">
        <v>12686.870831068883</v>
      </c>
      <c r="R24" s="1781">
        <v>0.92</v>
      </c>
      <c r="S24" s="1781">
        <v>0.92</v>
      </c>
      <c r="T24" s="1781">
        <v>0.92</v>
      </c>
      <c r="U24" s="1781">
        <v>0.92</v>
      </c>
      <c r="V24" s="1781">
        <v>0.92</v>
      </c>
      <c r="W24" s="1781">
        <v>0.92</v>
      </c>
      <c r="X24" s="1781">
        <v>0.92</v>
      </c>
      <c r="Y24" s="1781">
        <v>0.92</v>
      </c>
      <c r="Z24" s="1359">
        <f t="shared" si="1"/>
        <v>1</v>
      </c>
      <c r="AA24" s="1781">
        <f t="shared" si="2"/>
        <v>0.92</v>
      </c>
      <c r="AB24" s="1781">
        <f t="shared" si="3"/>
        <v>0.92</v>
      </c>
      <c r="AC24" s="1781">
        <f t="shared" si="4"/>
        <v>0.92</v>
      </c>
      <c r="AD24" s="1781">
        <f t="shared" si="5"/>
        <v>0.92</v>
      </c>
      <c r="AE24" s="1781">
        <f t="shared" si="6"/>
        <v>0.92</v>
      </c>
      <c r="AF24" s="1781">
        <f t="shared" si="7"/>
        <v>0.92</v>
      </c>
      <c r="AG24" s="1781">
        <f t="shared" si="8"/>
        <v>0.92</v>
      </c>
      <c r="AH24" s="1781">
        <f t="shared" si="9"/>
        <v>0.92</v>
      </c>
      <c r="AI24" s="1362">
        <f t="shared" si="43"/>
        <v>110883.25106354205</v>
      </c>
      <c r="AJ24" s="1362">
        <f t="shared" si="44"/>
        <v>110883.25106354205</v>
      </c>
      <c r="AK24" s="1362">
        <f t="shared" si="45"/>
        <v>110883.25106354205</v>
      </c>
      <c r="AL24" s="1362">
        <f t="shared" si="46"/>
        <v>110883.25106354205</v>
      </c>
      <c r="AM24" s="1362">
        <f t="shared" si="47"/>
        <v>443533.00425416819</v>
      </c>
      <c r="AN24" s="1132" t="str">
        <f t="shared" si="11"/>
        <v>CI-HVC-STRE-V05-180101</v>
      </c>
      <c r="AO24" s="1132" t="str">
        <f t="shared" si="12"/>
        <v>Nicor Gas PY11-PY14 Adjustable Goals Template_2025-03-01, Tab 4.4.16</v>
      </c>
      <c r="AP24" s="2247">
        <f>'4.4.16'!$O$10</f>
        <v>12686.870831068883</v>
      </c>
      <c r="AQ24" s="2505"/>
      <c r="AR24" s="2505">
        <f t="shared" si="13"/>
        <v>110883.25106354205</v>
      </c>
      <c r="AS24" s="2505">
        <f t="shared" si="14"/>
        <v>0</v>
      </c>
      <c r="AT24" s="1132" t="str">
        <f t="shared" si="15"/>
        <v>CI-HVC-STRE-V05-180101</v>
      </c>
      <c r="AU24" s="1132" t="str">
        <f t="shared" si="16"/>
        <v>Nicor Gas PY11-PY14 Adjustable Goals Template_2025-03-01, Tab 4.4.16</v>
      </c>
      <c r="AV24" s="2247">
        <f>'4.4.16'!$O$10</f>
        <v>12686.870831068883</v>
      </c>
      <c r="AW24" s="2505"/>
      <c r="AX24" s="1362">
        <f t="shared" si="17"/>
        <v>110883.25106354205</v>
      </c>
      <c r="AY24" s="1360">
        <f t="shared" si="18"/>
        <v>0</v>
      </c>
      <c r="AZ24" s="1132" t="str">
        <f t="shared" si="19"/>
        <v>CI-HVC-STRE-V05-180101</v>
      </c>
      <c r="BA24" s="1132" t="str">
        <f t="shared" si="20"/>
        <v>Nicor Gas PY11-PY14 Adjustable Goals Template_2025-03-01, Tab 4.4.16</v>
      </c>
      <c r="BB24" s="2247">
        <f>'4.4.16'!$O$10</f>
        <v>12686.870831068883</v>
      </c>
      <c r="BC24" s="2505"/>
      <c r="BD24" s="1362">
        <f t="shared" si="21"/>
        <v>110883.25106354205</v>
      </c>
      <c r="BE24" s="1360">
        <f t="shared" si="22"/>
        <v>0</v>
      </c>
      <c r="BF24" s="1132" t="str">
        <f t="shared" si="23"/>
        <v>CI-HVC-STRE-V05-180101</v>
      </c>
      <c r="BG24" s="1132" t="str">
        <f t="shared" si="24"/>
        <v>Nicor Gas PY11-PY14 Adjustable Goals Template_2025-03-01, Tab 4.4.16</v>
      </c>
      <c r="BH24" s="2247">
        <f>'4.4.16'!$O$10</f>
        <v>12686.870831068883</v>
      </c>
      <c r="BI24" s="2505"/>
      <c r="BJ24" s="1362">
        <f t="shared" si="48"/>
        <v>110883.25106354205</v>
      </c>
      <c r="BK24" s="1360">
        <f t="shared" si="25"/>
        <v>0</v>
      </c>
      <c r="BL24" s="1601">
        <f t="shared" si="26"/>
        <v>110883.25106354205</v>
      </c>
      <c r="BM24" s="1601">
        <f t="shared" si="27"/>
        <v>110883.25106354205</v>
      </c>
      <c r="BN24" s="1601">
        <f t="shared" si="28"/>
        <v>110883.25106354205</v>
      </c>
      <c r="BO24" s="1601">
        <f t="shared" si="29"/>
        <v>110883.25106354205</v>
      </c>
      <c r="BP24" s="1602">
        <f t="shared" si="30"/>
        <v>443533.00425416819</v>
      </c>
      <c r="BQ24" s="1602"/>
      <c r="BR24" s="1602" t="s">
        <v>355</v>
      </c>
      <c r="BS24" s="1602">
        <v>0</v>
      </c>
      <c r="BT24" s="1602">
        <v>6</v>
      </c>
      <c r="BU24" s="1602">
        <v>6</v>
      </c>
      <c r="BV24" s="1602">
        <v>6</v>
      </c>
      <c r="BW24" s="1602">
        <v>6</v>
      </c>
      <c r="BX24" s="1362">
        <f t="shared" si="49"/>
        <v>665299.50638125231</v>
      </c>
      <c r="BY24" s="1362">
        <f t="shared" si="50"/>
        <v>665299.50638125231</v>
      </c>
      <c r="BZ24" s="1362">
        <f t="shared" si="51"/>
        <v>665299.50638125231</v>
      </c>
      <c r="CA24" s="1362">
        <f t="shared" si="52"/>
        <v>665299.50638125231</v>
      </c>
      <c r="CB24" s="1362">
        <f t="shared" si="53"/>
        <v>2661198.0255250093</v>
      </c>
      <c r="CC24" s="1360">
        <v>6</v>
      </c>
      <c r="CD24" s="1360">
        <v>6</v>
      </c>
      <c r="CE24" s="1360">
        <v>6</v>
      </c>
      <c r="CF24" s="1360">
        <v>6</v>
      </c>
      <c r="CG24" s="1604">
        <f t="shared" si="33"/>
        <v>665299.50638125231</v>
      </c>
      <c r="CH24" s="1604">
        <f t="shared" si="34"/>
        <v>665299.50638125231</v>
      </c>
      <c r="CI24" s="1604">
        <f t="shared" si="35"/>
        <v>665299.50638125231</v>
      </c>
      <c r="CJ24" s="1604">
        <f t="shared" si="36"/>
        <v>665299.50638125231</v>
      </c>
      <c r="CK24" s="1521">
        <f t="shared" si="37"/>
        <v>2661198.0255250093</v>
      </c>
      <c r="CL24" s="1132">
        <v>17</v>
      </c>
      <c r="CM24" s="1132" t="s">
        <v>356</v>
      </c>
      <c r="CN24" s="1359">
        <v>0</v>
      </c>
      <c r="CO24" s="1360">
        <v>9.5</v>
      </c>
      <c r="CP24" s="1360">
        <v>9.5</v>
      </c>
      <c r="CQ24" s="1360">
        <v>9.5</v>
      </c>
      <c r="CR24" s="1360">
        <v>9.5</v>
      </c>
      <c r="CS24" s="1362">
        <f t="shared" si="38"/>
        <v>110883.25106354205</v>
      </c>
      <c r="CT24" s="1362">
        <f t="shared" si="39"/>
        <v>110883.25106354205</v>
      </c>
      <c r="CU24" s="1362">
        <f t="shared" si="40"/>
        <v>110883.25106354205</v>
      </c>
      <c r="CV24" s="1362">
        <f t="shared" si="41"/>
        <v>110883.25106354205</v>
      </c>
      <c r="CW24" s="1362">
        <f t="shared" si="42"/>
        <v>443533.00425416819</v>
      </c>
      <c r="CY24" s="2887"/>
      <c r="DN24" s="1715"/>
    </row>
    <row r="25" spans="1:118" s="1143" customFormat="1" ht="15.5" x14ac:dyDescent="0.35">
      <c r="A25" s="1132" t="s">
        <v>101</v>
      </c>
      <c r="B25" s="1132" t="s">
        <v>325</v>
      </c>
      <c r="C25" s="1132" t="s">
        <v>370</v>
      </c>
      <c r="D25" s="1359" t="s">
        <v>105</v>
      </c>
      <c r="E25" s="1359">
        <f>IF(AI25-AR25=0,0,1)</f>
        <v>0</v>
      </c>
      <c r="F25" s="1132" t="s">
        <v>105</v>
      </c>
      <c r="G25" s="1132" t="s">
        <v>356</v>
      </c>
      <c r="H25" s="1360">
        <v>38</v>
      </c>
      <c r="I25" s="1360">
        <v>38</v>
      </c>
      <c r="J25" s="1360">
        <v>38</v>
      </c>
      <c r="K25" s="1360">
        <v>38</v>
      </c>
      <c r="L25" s="1132" t="s">
        <v>105</v>
      </c>
      <c r="M25" s="1132" t="str">
        <f t="shared" si="0"/>
        <v/>
      </c>
      <c r="N25" s="1361">
        <v>0</v>
      </c>
      <c r="O25" s="1361">
        <v>0</v>
      </c>
      <c r="P25" s="1361">
        <v>0</v>
      </c>
      <c r="Q25" s="1361">
        <v>0</v>
      </c>
      <c r="R25" s="1781">
        <v>0.92</v>
      </c>
      <c r="S25" s="1781">
        <v>0.92</v>
      </c>
      <c r="T25" s="1781">
        <v>0.92</v>
      </c>
      <c r="U25" s="1781">
        <v>0.92</v>
      </c>
      <c r="V25" s="1781">
        <v>0.92</v>
      </c>
      <c r="W25" s="1781">
        <v>0.92</v>
      </c>
      <c r="X25" s="1781">
        <v>0.92</v>
      </c>
      <c r="Y25" s="1781">
        <v>0.92</v>
      </c>
      <c r="Z25" s="1359">
        <f t="shared" si="1"/>
        <v>1</v>
      </c>
      <c r="AA25" s="1781">
        <f t="shared" si="2"/>
        <v>0.92</v>
      </c>
      <c r="AB25" s="1781">
        <f t="shared" si="3"/>
        <v>0.92</v>
      </c>
      <c r="AC25" s="1781">
        <f t="shared" si="4"/>
        <v>0.92</v>
      </c>
      <c r="AD25" s="1781">
        <f t="shared" si="5"/>
        <v>0.92</v>
      </c>
      <c r="AE25" s="1781">
        <f t="shared" si="6"/>
        <v>0.92</v>
      </c>
      <c r="AF25" s="1781">
        <f t="shared" si="7"/>
        <v>0.92</v>
      </c>
      <c r="AG25" s="1781">
        <f t="shared" si="8"/>
        <v>0.92</v>
      </c>
      <c r="AH25" s="1781">
        <f t="shared" si="9"/>
        <v>0.92</v>
      </c>
      <c r="AI25" s="1362">
        <f t="shared" si="43"/>
        <v>0</v>
      </c>
      <c r="AJ25" s="1362">
        <f t="shared" si="44"/>
        <v>0</v>
      </c>
      <c r="AK25" s="1362">
        <f t="shared" si="45"/>
        <v>0</v>
      </c>
      <c r="AL25" s="1362">
        <f t="shared" si="46"/>
        <v>0</v>
      </c>
      <c r="AM25" s="1362">
        <f t="shared" si="47"/>
        <v>0</v>
      </c>
      <c r="AN25" s="1132" t="str">
        <f t="shared" si="11"/>
        <v>Custom</v>
      </c>
      <c r="AO25" s="1132" t="str">
        <f t="shared" si="12"/>
        <v/>
      </c>
      <c r="AP25" s="2247">
        <v>0</v>
      </c>
      <c r="AQ25" s="2505"/>
      <c r="AR25" s="2505">
        <f t="shared" si="13"/>
        <v>0</v>
      </c>
      <c r="AS25" s="2505">
        <f t="shared" si="14"/>
        <v>0</v>
      </c>
      <c r="AT25" s="1132" t="str">
        <f t="shared" si="15"/>
        <v>Custom</v>
      </c>
      <c r="AU25" s="1132" t="str">
        <f t="shared" si="16"/>
        <v/>
      </c>
      <c r="AV25" s="2247">
        <v>0</v>
      </c>
      <c r="AW25" s="2505"/>
      <c r="AX25" s="1362">
        <f t="shared" si="17"/>
        <v>0</v>
      </c>
      <c r="AY25" s="1360">
        <f t="shared" si="18"/>
        <v>0</v>
      </c>
      <c r="AZ25" s="1132" t="str">
        <f t="shared" si="19"/>
        <v>Custom</v>
      </c>
      <c r="BA25" s="1132" t="str">
        <f t="shared" si="20"/>
        <v/>
      </c>
      <c r="BB25" s="2247">
        <v>0</v>
      </c>
      <c r="BC25" s="2505"/>
      <c r="BD25" s="1362">
        <f t="shared" si="21"/>
        <v>0</v>
      </c>
      <c r="BE25" s="1360">
        <f t="shared" si="22"/>
        <v>0</v>
      </c>
      <c r="BF25" s="1132" t="str">
        <f t="shared" si="23"/>
        <v>Custom</v>
      </c>
      <c r="BG25" s="1132" t="str">
        <f t="shared" si="24"/>
        <v/>
      </c>
      <c r="BH25" s="2247">
        <v>0</v>
      </c>
      <c r="BI25" s="2505"/>
      <c r="BJ25" s="1362">
        <f t="shared" si="48"/>
        <v>0</v>
      </c>
      <c r="BK25" s="1360">
        <f t="shared" si="25"/>
        <v>0</v>
      </c>
      <c r="BL25" s="1601">
        <f t="shared" si="26"/>
        <v>0</v>
      </c>
      <c r="BM25" s="1601">
        <f t="shared" si="27"/>
        <v>0</v>
      </c>
      <c r="BN25" s="1601">
        <f t="shared" si="28"/>
        <v>0</v>
      </c>
      <c r="BO25" s="1601">
        <f t="shared" si="29"/>
        <v>0</v>
      </c>
      <c r="BP25" s="1602">
        <f t="shared" si="30"/>
        <v>0</v>
      </c>
      <c r="BQ25" s="1602"/>
      <c r="BR25" s="1602" t="s">
        <v>105</v>
      </c>
      <c r="BS25" s="1602">
        <v>0</v>
      </c>
      <c r="BT25" s="1602">
        <v>0</v>
      </c>
      <c r="BU25" s="1602">
        <v>0</v>
      </c>
      <c r="BV25" s="1602">
        <v>0</v>
      </c>
      <c r="BW25" s="1602">
        <v>0</v>
      </c>
      <c r="BX25" s="1362">
        <f t="shared" si="49"/>
        <v>0</v>
      </c>
      <c r="BY25" s="1362">
        <f t="shared" si="50"/>
        <v>0</v>
      </c>
      <c r="BZ25" s="1362">
        <f t="shared" si="51"/>
        <v>0</v>
      </c>
      <c r="CA25" s="1362">
        <f t="shared" si="52"/>
        <v>0</v>
      </c>
      <c r="CB25" s="1362">
        <f t="shared" si="53"/>
        <v>0</v>
      </c>
      <c r="CC25" s="1360">
        <v>0</v>
      </c>
      <c r="CD25" s="1360">
        <v>0</v>
      </c>
      <c r="CE25" s="1360">
        <v>0</v>
      </c>
      <c r="CF25" s="1360">
        <v>0</v>
      </c>
      <c r="CG25" s="1604">
        <f t="shared" si="33"/>
        <v>0</v>
      </c>
      <c r="CH25" s="1604">
        <f t="shared" si="34"/>
        <v>0</v>
      </c>
      <c r="CI25" s="1604">
        <f t="shared" si="35"/>
        <v>0</v>
      </c>
      <c r="CJ25" s="1604">
        <f t="shared" si="36"/>
        <v>0</v>
      </c>
      <c r="CK25" s="1521">
        <f t="shared" si="37"/>
        <v>0</v>
      </c>
      <c r="CL25" s="1132">
        <v>18</v>
      </c>
      <c r="CM25" s="1132" t="s">
        <v>356</v>
      </c>
      <c r="CN25" s="1359">
        <v>0</v>
      </c>
      <c r="CO25" s="1360">
        <v>38</v>
      </c>
      <c r="CP25" s="1360">
        <v>38</v>
      </c>
      <c r="CQ25" s="1360">
        <v>38</v>
      </c>
      <c r="CR25" s="1360">
        <v>38</v>
      </c>
      <c r="CS25" s="1362">
        <f t="shared" si="38"/>
        <v>0</v>
      </c>
      <c r="CT25" s="1362">
        <f t="shared" si="39"/>
        <v>0</v>
      </c>
      <c r="CU25" s="1362">
        <f t="shared" si="40"/>
        <v>0</v>
      </c>
      <c r="CV25" s="1362">
        <f t="shared" si="41"/>
        <v>0</v>
      </c>
      <c r="CW25" s="1362">
        <f t="shared" si="42"/>
        <v>0</v>
      </c>
      <c r="CY25" s="2887"/>
      <c r="DN25" s="1715"/>
    </row>
    <row r="26" spans="1:118" s="1143" customFormat="1" ht="46.5" x14ac:dyDescent="0.35">
      <c r="A26" s="1132" t="s">
        <v>101</v>
      </c>
      <c r="B26" s="1132" t="s">
        <v>371</v>
      </c>
      <c r="C26" s="1132" t="s">
        <v>372</v>
      </c>
      <c r="D26" s="1359" t="s">
        <v>373</v>
      </c>
      <c r="E26" s="1359">
        <v>1</v>
      </c>
      <c r="F26" s="1780" t="s">
        <v>374</v>
      </c>
      <c r="G26" s="1132" t="s">
        <v>356</v>
      </c>
      <c r="H26" s="1360">
        <v>2.5</v>
      </c>
      <c r="I26" s="1360">
        <v>2.5</v>
      </c>
      <c r="J26" s="1360">
        <v>2.5</v>
      </c>
      <c r="K26" s="1360">
        <v>2.5</v>
      </c>
      <c r="L26" s="1132" t="s">
        <v>375</v>
      </c>
      <c r="M26" s="1132" t="str">
        <f t="shared" si="0"/>
        <v>Nicor Gas PY11-PY14 Adjustable Goals Template_2025-03-01, Tab 4.2.3</v>
      </c>
      <c r="N26" s="1361">
        <v>752.01231086676478</v>
      </c>
      <c r="O26" s="1361">
        <v>752.01231086676478</v>
      </c>
      <c r="P26" s="1361">
        <v>752.01231086676478</v>
      </c>
      <c r="Q26" s="1361">
        <v>752.01231086676478</v>
      </c>
      <c r="R26" s="1781">
        <v>0.86</v>
      </c>
      <c r="S26" s="1781">
        <v>0.86</v>
      </c>
      <c r="T26" s="1781">
        <v>0.86</v>
      </c>
      <c r="U26" s="1781">
        <v>0.86</v>
      </c>
      <c r="V26" s="2567">
        <v>0.8</v>
      </c>
      <c r="W26" s="2567">
        <v>0.8</v>
      </c>
      <c r="X26" s="2567">
        <v>0.8</v>
      </c>
      <c r="Y26" s="2567">
        <v>0.8</v>
      </c>
      <c r="Z26" s="1359">
        <v>0</v>
      </c>
      <c r="AA26" s="2567">
        <f t="shared" si="2"/>
        <v>0.8</v>
      </c>
      <c r="AB26" s="2567">
        <f t="shared" si="3"/>
        <v>0.8</v>
      </c>
      <c r="AC26" s="2567">
        <f t="shared" si="4"/>
        <v>0.8</v>
      </c>
      <c r="AD26" s="2567">
        <f t="shared" si="5"/>
        <v>0.8</v>
      </c>
      <c r="AE26" s="2567">
        <f t="shared" si="6"/>
        <v>0.8</v>
      </c>
      <c r="AF26" s="2567">
        <f t="shared" si="7"/>
        <v>0.8</v>
      </c>
      <c r="AG26" s="2567">
        <f t="shared" si="8"/>
        <v>0.8</v>
      </c>
      <c r="AH26" s="2567">
        <f t="shared" si="9"/>
        <v>0.8</v>
      </c>
      <c r="AI26" s="1362">
        <f t="shared" si="43"/>
        <v>1616.8264683635443</v>
      </c>
      <c r="AJ26" s="1362">
        <f t="shared" si="44"/>
        <v>1616.8264683635443</v>
      </c>
      <c r="AK26" s="1362">
        <f t="shared" si="45"/>
        <v>1616.8264683635443</v>
      </c>
      <c r="AL26" s="1362">
        <f t="shared" si="46"/>
        <v>1616.8264683635443</v>
      </c>
      <c r="AM26" s="1362">
        <f t="shared" si="47"/>
        <v>6467.3058734541773</v>
      </c>
      <c r="AN26" s="1132" t="str">
        <f t="shared" si="11"/>
        <v>CI-FSE-STMC-V05-190101</v>
      </c>
      <c r="AO26" s="1132" t="str">
        <f t="shared" si="12"/>
        <v>Nicor Gas PY11-PY14 Adjustable Goals Template_2025-03-01, Tab 4.2.3</v>
      </c>
      <c r="AP26" s="2563">
        <f>'4.2.3'!$P$3</f>
        <v>752.01231086676478</v>
      </c>
      <c r="AQ26" s="2568" t="s">
        <v>376</v>
      </c>
      <c r="AR26" s="2505">
        <f t="shared" si="13"/>
        <v>1504.0246217335298</v>
      </c>
      <c r="AS26" s="2505">
        <f t="shared" si="14"/>
        <v>-112.80184663001455</v>
      </c>
      <c r="AT26" s="1132" t="str">
        <f t="shared" si="15"/>
        <v>CI-FSE-STMC-V05-190101</v>
      </c>
      <c r="AU26" s="1132" t="str">
        <f t="shared" si="16"/>
        <v>Nicor Gas PY11-PY14 Adjustable Goals Template_2025-03-01, Tab 4.2.3</v>
      </c>
      <c r="AV26" s="2563">
        <f>'4.2.3'!$P$3</f>
        <v>752.01231086676478</v>
      </c>
      <c r="AW26" s="2568" t="s">
        <v>376</v>
      </c>
      <c r="AX26" s="1362">
        <f t="shared" si="17"/>
        <v>1504.0246217335298</v>
      </c>
      <c r="AY26" s="1360">
        <f t="shared" si="18"/>
        <v>-112.80184663001455</v>
      </c>
      <c r="AZ26" s="1132" t="str">
        <f t="shared" si="19"/>
        <v>CI-FSE-STMC-V05-190101</v>
      </c>
      <c r="BA26" s="1132" t="str">
        <f t="shared" si="20"/>
        <v>Nicor Gas PY11-PY14 Adjustable Goals Template_2025-03-01, Tab 4.2.3</v>
      </c>
      <c r="BB26" s="2769">
        <f>'4.2.3'!$P$3</f>
        <v>752.01231086676478</v>
      </c>
      <c r="BC26" s="2568" t="s">
        <v>376</v>
      </c>
      <c r="BD26" s="1362">
        <f t="shared" si="21"/>
        <v>1504.0246217335298</v>
      </c>
      <c r="BE26" s="1360">
        <f t="shared" si="22"/>
        <v>-112.80184663001455</v>
      </c>
      <c r="BF26" s="1132" t="str">
        <f t="shared" si="23"/>
        <v>CI-FSE-STMC-V05-190101</v>
      </c>
      <c r="BG26" s="1132" t="str">
        <f t="shared" si="24"/>
        <v>Nicor Gas PY11-PY14 Adjustable Goals Template_2025-03-01, Tab 4.2.3</v>
      </c>
      <c r="BH26" s="2769">
        <f>'4.2.3'!$P$3</f>
        <v>752.01231086676478</v>
      </c>
      <c r="BI26" s="2568" t="s">
        <v>376</v>
      </c>
      <c r="BJ26" s="1362">
        <f t="shared" si="48"/>
        <v>1504.0246217335298</v>
      </c>
      <c r="BK26" s="1360">
        <f t="shared" si="25"/>
        <v>-112.80184663001455</v>
      </c>
      <c r="BL26" s="1601">
        <f t="shared" si="26"/>
        <v>1504.0246217335298</v>
      </c>
      <c r="BM26" s="1601">
        <f t="shared" si="27"/>
        <v>1504.0246217335298</v>
      </c>
      <c r="BN26" s="1601">
        <f t="shared" si="28"/>
        <v>1504.0246217335298</v>
      </c>
      <c r="BO26" s="1601">
        <f t="shared" si="29"/>
        <v>1504.0246217335298</v>
      </c>
      <c r="BP26" s="1602">
        <f t="shared" si="30"/>
        <v>6016.0984869341191</v>
      </c>
      <c r="BQ26" s="1602"/>
      <c r="BR26" s="1602" t="s">
        <v>374</v>
      </c>
      <c r="BS26" s="1602">
        <v>0</v>
      </c>
      <c r="BT26" s="1602">
        <v>12</v>
      </c>
      <c r="BU26" s="1602">
        <v>12</v>
      </c>
      <c r="BV26" s="1602">
        <v>12</v>
      </c>
      <c r="BW26" s="1602">
        <v>12</v>
      </c>
      <c r="BX26" s="1362">
        <f t="shared" si="49"/>
        <v>19401.917620362532</v>
      </c>
      <c r="BY26" s="1362">
        <f t="shared" si="50"/>
        <v>19401.917620362532</v>
      </c>
      <c r="BZ26" s="1362">
        <f t="shared" si="51"/>
        <v>19401.917620362532</v>
      </c>
      <c r="CA26" s="1362">
        <f t="shared" si="52"/>
        <v>19401.917620362532</v>
      </c>
      <c r="CB26" s="1362">
        <f t="shared" si="53"/>
        <v>77607.670481450128</v>
      </c>
      <c r="CC26" s="1360">
        <v>12</v>
      </c>
      <c r="CD26" s="1360">
        <v>12</v>
      </c>
      <c r="CE26" s="1360">
        <v>12</v>
      </c>
      <c r="CF26" s="1360">
        <v>12</v>
      </c>
      <c r="CG26" s="1604">
        <f t="shared" si="33"/>
        <v>18048.295460802354</v>
      </c>
      <c r="CH26" s="1604">
        <f t="shared" si="34"/>
        <v>18048.295460802354</v>
      </c>
      <c r="CI26" s="1604">
        <f t="shared" si="35"/>
        <v>18048.295460802354</v>
      </c>
      <c r="CJ26" s="1604">
        <f t="shared" si="36"/>
        <v>18048.295460802354</v>
      </c>
      <c r="CK26" s="1521">
        <f t="shared" si="37"/>
        <v>72193.181843209415</v>
      </c>
      <c r="CL26" s="1132">
        <v>19</v>
      </c>
      <c r="CM26" s="1132" t="s">
        <v>356</v>
      </c>
      <c r="CN26" s="1359">
        <v>1</v>
      </c>
      <c r="CO26" s="1360">
        <v>1.7070951050239547</v>
      </c>
      <c r="CP26" s="1360">
        <v>1.7070951050239547</v>
      </c>
      <c r="CQ26" s="1360">
        <v>1.7070951050239547</v>
      </c>
      <c r="CR26" s="1360">
        <v>1.7070951050239547</v>
      </c>
      <c r="CS26" s="1362">
        <f t="shared" si="38"/>
        <v>1027.0052278387254</v>
      </c>
      <c r="CT26" s="1362">
        <f t="shared" si="39"/>
        <v>1027.0052278387254</v>
      </c>
      <c r="CU26" s="1362">
        <f t="shared" si="40"/>
        <v>1027.0052278387254</v>
      </c>
      <c r="CV26" s="1362">
        <f t="shared" si="41"/>
        <v>1027.0052278387254</v>
      </c>
      <c r="CW26" s="1362">
        <f t="shared" si="42"/>
        <v>4108.0209113549017</v>
      </c>
      <c r="CY26" s="2887"/>
      <c r="DN26" s="1715"/>
    </row>
    <row r="27" spans="1:118" s="1143" customFormat="1" ht="46.5" x14ac:dyDescent="0.35">
      <c r="A27" s="1132" t="s">
        <v>101</v>
      </c>
      <c r="B27" s="1132" t="s">
        <v>371</v>
      </c>
      <c r="C27" s="1132" t="s">
        <v>377</v>
      </c>
      <c r="D27" s="1359" t="s">
        <v>378</v>
      </c>
      <c r="E27" s="1359">
        <v>1</v>
      </c>
      <c r="F27" s="1780" t="s">
        <v>378</v>
      </c>
      <c r="G27" s="1132" t="s">
        <v>356</v>
      </c>
      <c r="H27" s="1360">
        <v>40.75</v>
      </c>
      <c r="I27" s="1360">
        <v>40.75</v>
      </c>
      <c r="J27" s="1360">
        <v>40.75</v>
      </c>
      <c r="K27" s="1360">
        <v>40.75</v>
      </c>
      <c r="L27" s="1132" t="s">
        <v>379</v>
      </c>
      <c r="M27" s="1132" t="str">
        <f t="shared" si="0"/>
        <v>Nicor Gas PY11-PY14 Adjustable Goals Template_2025-03-01, Tab 4.2.5</v>
      </c>
      <c r="N27" s="1361">
        <v>353.45688664596281</v>
      </c>
      <c r="O27" s="1361">
        <v>353.45688664596281</v>
      </c>
      <c r="P27" s="1361">
        <v>353.45688664596281</v>
      </c>
      <c r="Q27" s="1361">
        <v>353.45688664596281</v>
      </c>
      <c r="R27" s="1781">
        <v>0.86</v>
      </c>
      <c r="S27" s="1781">
        <v>0.86</v>
      </c>
      <c r="T27" s="1781">
        <v>0.86</v>
      </c>
      <c r="U27" s="1781">
        <v>0.86</v>
      </c>
      <c r="V27" s="2567">
        <v>0.8</v>
      </c>
      <c r="W27" s="2567">
        <v>0.8</v>
      </c>
      <c r="X27" s="2567">
        <v>0.8</v>
      </c>
      <c r="Y27" s="2567">
        <v>0.8</v>
      </c>
      <c r="Z27" s="1359">
        <v>0</v>
      </c>
      <c r="AA27" s="2567">
        <f t="shared" si="2"/>
        <v>0.8</v>
      </c>
      <c r="AB27" s="2567">
        <f t="shared" si="3"/>
        <v>0.8</v>
      </c>
      <c r="AC27" s="2567">
        <f t="shared" si="4"/>
        <v>0.8</v>
      </c>
      <c r="AD27" s="2567">
        <f t="shared" si="5"/>
        <v>0.8</v>
      </c>
      <c r="AE27" s="2567">
        <f t="shared" si="6"/>
        <v>0.8</v>
      </c>
      <c r="AF27" s="2567">
        <f t="shared" si="7"/>
        <v>0.8</v>
      </c>
      <c r="AG27" s="2567">
        <f t="shared" si="8"/>
        <v>0.8</v>
      </c>
      <c r="AH27" s="2567">
        <f t="shared" si="9"/>
        <v>0.8</v>
      </c>
      <c r="AI27" s="1362">
        <f t="shared" si="43"/>
        <v>12386.896592507766</v>
      </c>
      <c r="AJ27" s="1362">
        <f t="shared" si="44"/>
        <v>12386.896592507766</v>
      </c>
      <c r="AK27" s="1362">
        <f t="shared" si="45"/>
        <v>12386.896592507766</v>
      </c>
      <c r="AL27" s="1362">
        <f t="shared" si="46"/>
        <v>12386.896592507766</v>
      </c>
      <c r="AM27" s="1362">
        <f t="shared" si="47"/>
        <v>49547.586370031066</v>
      </c>
      <c r="AN27" s="1132" t="str">
        <f t="shared" si="11"/>
        <v>CI-FSE-ESCV-V02-180101</v>
      </c>
      <c r="AO27" s="1132" t="str">
        <f t="shared" si="12"/>
        <v>Nicor Gas PY11-PY14 Adjustable Goals Template_2025-03-01, Tab 4.2.5</v>
      </c>
      <c r="AP27" s="2563">
        <f>'4.2.5'!$M$3</f>
        <v>353.45688664596281</v>
      </c>
      <c r="AQ27" s="2568" t="s">
        <v>376</v>
      </c>
      <c r="AR27" s="2505">
        <f t="shared" si="13"/>
        <v>11522.694504658388</v>
      </c>
      <c r="AS27" s="2505">
        <f t="shared" si="14"/>
        <v>-864.20208784937859</v>
      </c>
      <c r="AT27" s="1132" t="str">
        <f t="shared" si="15"/>
        <v>CI-FSE-ESCV-V02-180101</v>
      </c>
      <c r="AU27" s="1132" t="str">
        <f t="shared" si="16"/>
        <v>Nicor Gas PY11-PY14 Adjustable Goals Template_2025-03-01, Tab 4.2.5</v>
      </c>
      <c r="AV27" s="2563">
        <f>'4.2.5'!$M$3</f>
        <v>353.45688664596281</v>
      </c>
      <c r="AW27" s="2568" t="s">
        <v>376</v>
      </c>
      <c r="AX27" s="1362">
        <f t="shared" si="17"/>
        <v>11522.694504658388</v>
      </c>
      <c r="AY27" s="1360">
        <f t="shared" si="18"/>
        <v>-864.20208784937859</v>
      </c>
      <c r="AZ27" s="1132" t="str">
        <f t="shared" si="19"/>
        <v>CI-FSE-ESCV-V02-180101</v>
      </c>
      <c r="BA27" s="1132" t="str">
        <f t="shared" si="20"/>
        <v>Nicor Gas PY11-PY14 Adjustable Goals Template_2025-03-01, Tab 4.2.5</v>
      </c>
      <c r="BB27" s="2769">
        <f>'4.2.5'!$M$3</f>
        <v>353.45688664596281</v>
      </c>
      <c r="BC27" s="2568" t="s">
        <v>376</v>
      </c>
      <c r="BD27" s="1362">
        <f t="shared" si="21"/>
        <v>11522.694504658388</v>
      </c>
      <c r="BE27" s="1360">
        <f t="shared" si="22"/>
        <v>-864.20208784937859</v>
      </c>
      <c r="BF27" s="1132" t="str">
        <f t="shared" si="23"/>
        <v>CI-FSE-ESCV-V02-180101</v>
      </c>
      <c r="BG27" s="1132" t="str">
        <f t="shared" si="24"/>
        <v>Nicor Gas PY11-PY14 Adjustable Goals Template_2025-03-01, Tab 4.2.5</v>
      </c>
      <c r="BH27" s="2769">
        <f>'4.2.5'!$M$3</f>
        <v>353.45688664596281</v>
      </c>
      <c r="BI27" s="2568" t="s">
        <v>376</v>
      </c>
      <c r="BJ27" s="1362">
        <f t="shared" si="48"/>
        <v>11522.694504658388</v>
      </c>
      <c r="BK27" s="1360">
        <f t="shared" si="25"/>
        <v>-864.20208784937859</v>
      </c>
      <c r="BL27" s="1601">
        <f t="shared" si="26"/>
        <v>11522.694504658388</v>
      </c>
      <c r="BM27" s="1601">
        <f t="shared" si="27"/>
        <v>11522.694504658388</v>
      </c>
      <c r="BN27" s="1601">
        <f t="shared" si="28"/>
        <v>11522.694504658388</v>
      </c>
      <c r="BO27" s="1601">
        <f t="shared" si="29"/>
        <v>11522.694504658388</v>
      </c>
      <c r="BP27" s="1602">
        <f t="shared" si="30"/>
        <v>46090.778018633551</v>
      </c>
      <c r="BQ27" s="1602"/>
      <c r="BR27" s="1602" t="s">
        <v>378</v>
      </c>
      <c r="BS27" s="1602">
        <v>0</v>
      </c>
      <c r="BT27" s="1602">
        <v>12</v>
      </c>
      <c r="BU27" s="1602">
        <v>12</v>
      </c>
      <c r="BV27" s="1602">
        <v>12</v>
      </c>
      <c r="BW27" s="1602">
        <v>12</v>
      </c>
      <c r="BX27" s="1362">
        <f t="shared" si="49"/>
        <v>148642.7591100932</v>
      </c>
      <c r="BY27" s="1362">
        <f t="shared" si="50"/>
        <v>148642.7591100932</v>
      </c>
      <c r="BZ27" s="1362">
        <f t="shared" si="51"/>
        <v>148642.7591100932</v>
      </c>
      <c r="CA27" s="1362">
        <f t="shared" si="52"/>
        <v>148642.7591100932</v>
      </c>
      <c r="CB27" s="1362">
        <f t="shared" si="53"/>
        <v>594571.03644037282</v>
      </c>
      <c r="CC27" s="1360">
        <v>12</v>
      </c>
      <c r="CD27" s="1360">
        <v>12</v>
      </c>
      <c r="CE27" s="1360">
        <v>12</v>
      </c>
      <c r="CF27" s="1360">
        <v>12</v>
      </c>
      <c r="CG27" s="1604">
        <f t="shared" si="33"/>
        <v>138272.33405590066</v>
      </c>
      <c r="CH27" s="1604">
        <f t="shared" si="34"/>
        <v>138272.33405590066</v>
      </c>
      <c r="CI27" s="1604">
        <f t="shared" si="35"/>
        <v>138272.33405590066</v>
      </c>
      <c r="CJ27" s="1604">
        <f t="shared" si="36"/>
        <v>138272.33405590066</v>
      </c>
      <c r="CK27" s="1521">
        <f t="shared" si="37"/>
        <v>553089.33622360264</v>
      </c>
      <c r="CL27" s="1132">
        <v>20</v>
      </c>
      <c r="CM27" s="1132" t="s">
        <v>356</v>
      </c>
      <c r="CN27" s="1359">
        <v>1</v>
      </c>
      <c r="CO27" s="1360">
        <v>27.825650211890462</v>
      </c>
      <c r="CP27" s="1360">
        <v>27.825650211890462</v>
      </c>
      <c r="CQ27" s="1360">
        <v>27.825650211890462</v>
      </c>
      <c r="CR27" s="1360">
        <v>27.825650211890462</v>
      </c>
      <c r="CS27" s="1362">
        <f t="shared" si="38"/>
        <v>7868.1341542355021</v>
      </c>
      <c r="CT27" s="1362">
        <f t="shared" si="39"/>
        <v>7868.1341542355021</v>
      </c>
      <c r="CU27" s="1362">
        <f t="shared" si="40"/>
        <v>7868.1341542355021</v>
      </c>
      <c r="CV27" s="1362">
        <f t="shared" si="41"/>
        <v>7868.1341542355021</v>
      </c>
      <c r="CW27" s="1362">
        <f t="shared" si="42"/>
        <v>31472.536616942009</v>
      </c>
      <c r="CY27" s="2887"/>
      <c r="DN27" s="1715"/>
    </row>
    <row r="28" spans="1:118" s="1143" customFormat="1" ht="46.5" x14ac:dyDescent="0.35">
      <c r="A28" s="1132" t="s">
        <v>101</v>
      </c>
      <c r="B28" s="1132" t="s">
        <v>371</v>
      </c>
      <c r="C28" s="1132" t="s">
        <v>380</v>
      </c>
      <c r="D28" s="1359" t="s">
        <v>381</v>
      </c>
      <c r="E28" s="1359">
        <v>1</v>
      </c>
      <c r="F28" s="1780" t="s">
        <v>382</v>
      </c>
      <c r="G28" s="1132" t="s">
        <v>356</v>
      </c>
      <c r="H28" s="1360">
        <v>7.5</v>
      </c>
      <c r="I28" s="1360">
        <v>7.5</v>
      </c>
      <c r="J28" s="1360">
        <v>7.5</v>
      </c>
      <c r="K28" s="1360">
        <v>7.5</v>
      </c>
      <c r="L28" s="1132" t="s">
        <v>383</v>
      </c>
      <c r="M28" s="1132" t="str">
        <f t="shared" si="0"/>
        <v>Nicor Gas PY11-PY14 Adjustable Goals Template_2025-03-01, Tab 4.2.1</v>
      </c>
      <c r="N28" s="1361">
        <v>363.70538907682175</v>
      </c>
      <c r="O28" s="1361">
        <v>363.70538907682175</v>
      </c>
      <c r="P28" s="1361">
        <v>363.70538907682175</v>
      </c>
      <c r="Q28" s="1361">
        <v>363.70538907682175</v>
      </c>
      <c r="R28" s="1781">
        <v>0.86</v>
      </c>
      <c r="S28" s="1781">
        <v>0.86</v>
      </c>
      <c r="T28" s="1781">
        <v>0.86</v>
      </c>
      <c r="U28" s="1781">
        <v>0.86</v>
      </c>
      <c r="V28" s="2567">
        <v>0.8</v>
      </c>
      <c r="W28" s="2567">
        <v>0.8</v>
      </c>
      <c r="X28" s="2567">
        <v>0.8</v>
      </c>
      <c r="Y28" s="2567">
        <v>0.8</v>
      </c>
      <c r="Z28" s="1359">
        <v>0</v>
      </c>
      <c r="AA28" s="2567">
        <f t="shared" si="2"/>
        <v>0.8</v>
      </c>
      <c r="AB28" s="2567">
        <f t="shared" si="3"/>
        <v>0.8</v>
      </c>
      <c r="AC28" s="2567">
        <f t="shared" si="4"/>
        <v>0.8</v>
      </c>
      <c r="AD28" s="2567">
        <f t="shared" si="5"/>
        <v>0.8</v>
      </c>
      <c r="AE28" s="2567">
        <f t="shared" si="6"/>
        <v>0.8</v>
      </c>
      <c r="AF28" s="2567">
        <f t="shared" si="7"/>
        <v>0.8</v>
      </c>
      <c r="AG28" s="2567">
        <f t="shared" si="8"/>
        <v>0.8</v>
      </c>
      <c r="AH28" s="2567">
        <f t="shared" si="9"/>
        <v>0.8</v>
      </c>
      <c r="AI28" s="1362">
        <f t="shared" si="43"/>
        <v>2345.8997595455003</v>
      </c>
      <c r="AJ28" s="1362">
        <f t="shared" si="44"/>
        <v>2345.8997595455003</v>
      </c>
      <c r="AK28" s="1362">
        <f t="shared" si="45"/>
        <v>2345.8997595455003</v>
      </c>
      <c r="AL28" s="1362">
        <f t="shared" si="46"/>
        <v>2345.8997595455003</v>
      </c>
      <c r="AM28" s="1362">
        <f t="shared" si="47"/>
        <v>9383.5990381820011</v>
      </c>
      <c r="AN28" s="1132" t="str">
        <f t="shared" si="11"/>
        <v>CI-FSE-CBOV-V02-160601</v>
      </c>
      <c r="AO28" s="1132" t="str">
        <f t="shared" si="12"/>
        <v>Nicor Gas PY11-PY14 Adjustable Goals Template_2025-03-01, Tab 4.2.1</v>
      </c>
      <c r="AP28" s="2563">
        <f>'4.2.1'!$M$4</f>
        <v>363.70538907682175</v>
      </c>
      <c r="AQ28" s="2568" t="s">
        <v>376</v>
      </c>
      <c r="AR28" s="2505">
        <f t="shared" si="13"/>
        <v>2182.2323344609304</v>
      </c>
      <c r="AS28" s="2505">
        <f t="shared" si="14"/>
        <v>-163.66742508456991</v>
      </c>
      <c r="AT28" s="1132" t="str">
        <f t="shared" si="15"/>
        <v>CI-FSE-CBOV-V02-160601</v>
      </c>
      <c r="AU28" s="1132" t="str">
        <f t="shared" si="16"/>
        <v>Nicor Gas PY11-PY14 Adjustable Goals Template_2025-03-01, Tab 4.2.1</v>
      </c>
      <c r="AV28" s="2563">
        <f>'4.2.1'!$M$4</f>
        <v>363.70538907682175</v>
      </c>
      <c r="AW28" s="2568" t="s">
        <v>376</v>
      </c>
      <c r="AX28" s="1362">
        <f t="shared" si="17"/>
        <v>2182.2323344609304</v>
      </c>
      <c r="AY28" s="1360">
        <f t="shared" si="18"/>
        <v>-163.66742508456991</v>
      </c>
      <c r="AZ28" s="1132" t="str">
        <f t="shared" si="19"/>
        <v>CI-FSE-CBOV-V02-160601</v>
      </c>
      <c r="BA28" s="1132" t="str">
        <f t="shared" si="20"/>
        <v>Nicor Gas PY11-PY14 Adjustable Goals Template_2025-03-01, Tab 4.2.1</v>
      </c>
      <c r="BB28" s="2769">
        <f>'4.2.1'!$M$4</f>
        <v>363.70538907682175</v>
      </c>
      <c r="BC28" s="2568" t="s">
        <v>376</v>
      </c>
      <c r="BD28" s="1362">
        <f t="shared" si="21"/>
        <v>2182.2323344609304</v>
      </c>
      <c r="BE28" s="1360">
        <f t="shared" si="22"/>
        <v>-163.66742508456991</v>
      </c>
      <c r="BF28" s="1132" t="str">
        <f t="shared" si="23"/>
        <v>CI-FSE-CBOV-V02-160601</v>
      </c>
      <c r="BG28" s="1132" t="str">
        <f t="shared" si="24"/>
        <v>Nicor Gas PY11-PY14 Adjustable Goals Template_2025-03-01, Tab 4.2.1</v>
      </c>
      <c r="BH28" s="2769">
        <f>'4.2.1'!$M$4</f>
        <v>363.70538907682175</v>
      </c>
      <c r="BI28" s="2568" t="s">
        <v>376</v>
      </c>
      <c r="BJ28" s="1362">
        <f t="shared" si="48"/>
        <v>2182.2323344609304</v>
      </c>
      <c r="BK28" s="1360">
        <f t="shared" si="25"/>
        <v>-163.66742508456991</v>
      </c>
      <c r="BL28" s="1601">
        <f t="shared" si="26"/>
        <v>2182.2323344609304</v>
      </c>
      <c r="BM28" s="1601">
        <f t="shared" si="27"/>
        <v>2182.2323344609304</v>
      </c>
      <c r="BN28" s="1601">
        <f t="shared" si="28"/>
        <v>2182.2323344609304</v>
      </c>
      <c r="BO28" s="1601">
        <f t="shared" si="29"/>
        <v>2182.2323344609304</v>
      </c>
      <c r="BP28" s="1602">
        <f t="shared" si="30"/>
        <v>8728.9293378437214</v>
      </c>
      <c r="BQ28" s="1602"/>
      <c r="BR28" s="1602" t="s">
        <v>382</v>
      </c>
      <c r="BS28" s="1602">
        <v>0</v>
      </c>
      <c r="BT28" s="1602">
        <v>12</v>
      </c>
      <c r="BU28" s="1602">
        <v>12</v>
      </c>
      <c r="BV28" s="1602">
        <v>12</v>
      </c>
      <c r="BW28" s="1602">
        <v>12</v>
      </c>
      <c r="BX28" s="1362">
        <f t="shared" si="49"/>
        <v>28150.797114546003</v>
      </c>
      <c r="BY28" s="1362">
        <f t="shared" si="50"/>
        <v>28150.797114546003</v>
      </c>
      <c r="BZ28" s="1362">
        <f t="shared" si="51"/>
        <v>28150.797114546003</v>
      </c>
      <c r="CA28" s="1362">
        <f t="shared" si="52"/>
        <v>28150.797114546003</v>
      </c>
      <c r="CB28" s="1362">
        <f t="shared" si="53"/>
        <v>112603.18845818401</v>
      </c>
      <c r="CC28" s="1360">
        <v>12</v>
      </c>
      <c r="CD28" s="1360">
        <v>12</v>
      </c>
      <c r="CE28" s="1360">
        <v>12</v>
      </c>
      <c r="CF28" s="1360">
        <v>12</v>
      </c>
      <c r="CG28" s="1604">
        <f t="shared" si="33"/>
        <v>26186.788013531164</v>
      </c>
      <c r="CH28" s="1604">
        <f t="shared" si="34"/>
        <v>26186.788013531164</v>
      </c>
      <c r="CI28" s="1604">
        <f t="shared" si="35"/>
        <v>26186.788013531164</v>
      </c>
      <c r="CJ28" s="1604">
        <f t="shared" si="36"/>
        <v>26186.788013531164</v>
      </c>
      <c r="CK28" s="1521">
        <f t="shared" si="37"/>
        <v>104747.15205412466</v>
      </c>
      <c r="CL28" s="1132">
        <v>21</v>
      </c>
      <c r="CM28" s="1132" t="s">
        <v>356</v>
      </c>
      <c r="CN28" s="1359">
        <v>1</v>
      </c>
      <c r="CO28" s="1360">
        <v>5.121285315071864</v>
      </c>
      <c r="CP28" s="1360">
        <v>5.121285315071864</v>
      </c>
      <c r="CQ28" s="1360">
        <v>5.121285315071864</v>
      </c>
      <c r="CR28" s="1360">
        <v>5.121285315071864</v>
      </c>
      <c r="CS28" s="1362">
        <f t="shared" si="38"/>
        <v>1490.1112544733007</v>
      </c>
      <c r="CT28" s="1362">
        <f t="shared" si="39"/>
        <v>1490.1112544733007</v>
      </c>
      <c r="CU28" s="1362">
        <f t="shared" si="40"/>
        <v>1490.1112544733007</v>
      </c>
      <c r="CV28" s="1362">
        <f t="shared" si="41"/>
        <v>1490.1112544733007</v>
      </c>
      <c r="CW28" s="1362">
        <f t="shared" si="42"/>
        <v>5960.4450178932029</v>
      </c>
      <c r="CY28" s="2887"/>
      <c r="DN28" s="1715"/>
    </row>
    <row r="29" spans="1:118" s="1143" customFormat="1" ht="15" customHeight="1" x14ac:dyDescent="0.35">
      <c r="A29" s="1132" t="s">
        <v>101</v>
      </c>
      <c r="B29" s="1132" t="s">
        <v>371</v>
      </c>
      <c r="C29" s="1132" t="s">
        <v>384</v>
      </c>
      <c r="D29" s="1359" t="s">
        <v>385</v>
      </c>
      <c r="E29" s="1359">
        <v>1</v>
      </c>
      <c r="F29" s="1780" t="s">
        <v>385</v>
      </c>
      <c r="G29" s="1132" t="s">
        <v>356</v>
      </c>
      <c r="H29" s="1360">
        <v>5.25</v>
      </c>
      <c r="I29" s="1360">
        <v>5.25</v>
      </c>
      <c r="J29" s="1360">
        <v>5.25</v>
      </c>
      <c r="K29" s="1360">
        <v>5.25</v>
      </c>
      <c r="L29" s="1132" t="s">
        <v>386</v>
      </c>
      <c r="M29" s="1132" t="str">
        <f t="shared" si="0"/>
        <v>Nicor Gas PY11-PY14 Adjustable Goals Template_2025-03-01, Tab 4.2.4</v>
      </c>
      <c r="N29" s="1361">
        <v>884</v>
      </c>
      <c r="O29" s="1361">
        <v>884</v>
      </c>
      <c r="P29" s="1361">
        <v>884</v>
      </c>
      <c r="Q29" s="1361">
        <v>884</v>
      </c>
      <c r="R29" s="1781">
        <v>0.86</v>
      </c>
      <c r="S29" s="1781">
        <v>0.86</v>
      </c>
      <c r="T29" s="1781">
        <v>0.86</v>
      </c>
      <c r="U29" s="1781">
        <v>0.86</v>
      </c>
      <c r="V29" s="2567">
        <v>0.8</v>
      </c>
      <c r="W29" s="2567">
        <v>0.8</v>
      </c>
      <c r="X29" s="2567">
        <v>0.8</v>
      </c>
      <c r="Y29" s="2567">
        <v>0.8</v>
      </c>
      <c r="Z29" s="1359">
        <v>0</v>
      </c>
      <c r="AA29" s="2567">
        <f t="shared" si="2"/>
        <v>0.8</v>
      </c>
      <c r="AB29" s="2567">
        <f t="shared" si="3"/>
        <v>0.8</v>
      </c>
      <c r="AC29" s="2567">
        <f t="shared" si="4"/>
        <v>0.8</v>
      </c>
      <c r="AD29" s="2567">
        <f t="shared" si="5"/>
        <v>0.8</v>
      </c>
      <c r="AE29" s="2567">
        <f t="shared" si="6"/>
        <v>0.8</v>
      </c>
      <c r="AF29" s="2567">
        <f t="shared" si="7"/>
        <v>0.8</v>
      </c>
      <c r="AG29" s="2567">
        <f t="shared" si="8"/>
        <v>0.8</v>
      </c>
      <c r="AH29" s="2567">
        <f t="shared" si="9"/>
        <v>0.8</v>
      </c>
      <c r="AI29" s="1362">
        <f t="shared" si="43"/>
        <v>3991.2599999999998</v>
      </c>
      <c r="AJ29" s="1362">
        <f t="shared" si="44"/>
        <v>3991.2599999999998</v>
      </c>
      <c r="AK29" s="1362">
        <f t="shared" si="45"/>
        <v>3991.2599999999998</v>
      </c>
      <c r="AL29" s="1362">
        <f t="shared" si="46"/>
        <v>3991.2599999999998</v>
      </c>
      <c r="AM29" s="1362">
        <f t="shared" si="47"/>
        <v>15965.039999999999</v>
      </c>
      <c r="AN29" s="1132" t="str">
        <f t="shared" si="11"/>
        <v>CI-FSE-CVOV-V02-180101</v>
      </c>
      <c r="AO29" s="1132" t="str">
        <f t="shared" si="12"/>
        <v>Nicor Gas PY11-PY14 Adjustable Goals Template_2025-03-01, Tab 4.2.4</v>
      </c>
      <c r="AP29" s="2563">
        <f>'4.2.4'!$L$3</f>
        <v>884</v>
      </c>
      <c r="AQ29" s="2568" t="s">
        <v>376</v>
      </c>
      <c r="AR29" s="2505">
        <f t="shared" si="13"/>
        <v>3712.8</v>
      </c>
      <c r="AS29" s="2505">
        <f t="shared" si="14"/>
        <v>-278.45999999999958</v>
      </c>
      <c r="AT29" s="1132" t="str">
        <f t="shared" si="15"/>
        <v>CI-FSE-CVOV-V02-180101</v>
      </c>
      <c r="AU29" s="1132" t="str">
        <f t="shared" si="16"/>
        <v>Nicor Gas PY11-PY14 Adjustable Goals Template_2025-03-01, Tab 4.2.4</v>
      </c>
      <c r="AV29" s="2563">
        <f>'4.2.4'!$L$3</f>
        <v>884</v>
      </c>
      <c r="AW29" s="2568" t="s">
        <v>376</v>
      </c>
      <c r="AX29" s="1362">
        <f t="shared" si="17"/>
        <v>3712.8</v>
      </c>
      <c r="AY29" s="1360">
        <f t="shared" si="18"/>
        <v>-278.45999999999958</v>
      </c>
      <c r="AZ29" s="1132" t="str">
        <f t="shared" si="19"/>
        <v>CI-FSE-CVOV-V02-180101</v>
      </c>
      <c r="BA29" s="1132" t="str">
        <f t="shared" si="20"/>
        <v>Nicor Gas PY11-PY14 Adjustable Goals Template_2025-03-01, Tab 4.2.4</v>
      </c>
      <c r="BB29" s="2769">
        <f>'4.2.4'!$L$3</f>
        <v>884</v>
      </c>
      <c r="BC29" s="2568" t="s">
        <v>376</v>
      </c>
      <c r="BD29" s="1362">
        <f t="shared" si="21"/>
        <v>3712.8</v>
      </c>
      <c r="BE29" s="1360">
        <f t="shared" si="22"/>
        <v>-278.45999999999958</v>
      </c>
      <c r="BF29" s="1132" t="str">
        <f t="shared" si="23"/>
        <v>CI-FSE-CVOV-V02-180101</v>
      </c>
      <c r="BG29" s="1132" t="str">
        <f t="shared" si="24"/>
        <v>Nicor Gas PY11-PY14 Adjustable Goals Template_2025-03-01, Tab 4.2.4</v>
      </c>
      <c r="BH29" s="2769">
        <f>'4.2.4'!$L$3</f>
        <v>884</v>
      </c>
      <c r="BI29" s="2568" t="s">
        <v>376</v>
      </c>
      <c r="BJ29" s="1362">
        <f t="shared" si="48"/>
        <v>3712.8</v>
      </c>
      <c r="BK29" s="1360">
        <f t="shared" si="25"/>
        <v>-278.45999999999958</v>
      </c>
      <c r="BL29" s="1601">
        <f t="shared" si="26"/>
        <v>3712.8</v>
      </c>
      <c r="BM29" s="1601">
        <f t="shared" si="27"/>
        <v>3712.8</v>
      </c>
      <c r="BN29" s="1601">
        <f t="shared" si="28"/>
        <v>3712.8</v>
      </c>
      <c r="BO29" s="1601">
        <f t="shared" si="29"/>
        <v>3712.8</v>
      </c>
      <c r="BP29" s="1602">
        <f t="shared" si="30"/>
        <v>14851.2</v>
      </c>
      <c r="BQ29" s="1602"/>
      <c r="BR29" s="1602" t="s">
        <v>385</v>
      </c>
      <c r="BS29" s="1602">
        <v>0</v>
      </c>
      <c r="BT29" s="1602">
        <v>17</v>
      </c>
      <c r="BU29" s="1602">
        <v>17</v>
      </c>
      <c r="BV29" s="1602">
        <v>17</v>
      </c>
      <c r="BW29" s="1602">
        <v>17</v>
      </c>
      <c r="BX29" s="1362">
        <f t="shared" si="49"/>
        <v>67851.42</v>
      </c>
      <c r="BY29" s="1362">
        <f t="shared" si="50"/>
        <v>67851.42</v>
      </c>
      <c r="BZ29" s="1362">
        <f t="shared" si="51"/>
        <v>67851.42</v>
      </c>
      <c r="CA29" s="1362">
        <f t="shared" si="52"/>
        <v>67851.42</v>
      </c>
      <c r="CB29" s="1362">
        <f t="shared" si="53"/>
        <v>271405.68</v>
      </c>
      <c r="CC29" s="1360">
        <v>17</v>
      </c>
      <c r="CD29" s="1360">
        <v>17</v>
      </c>
      <c r="CE29" s="1360">
        <v>17</v>
      </c>
      <c r="CF29" s="1360">
        <v>17</v>
      </c>
      <c r="CG29" s="1604">
        <f t="shared" si="33"/>
        <v>63117.600000000006</v>
      </c>
      <c r="CH29" s="1604">
        <f t="shared" si="34"/>
        <v>63117.600000000006</v>
      </c>
      <c r="CI29" s="1604">
        <f t="shared" si="35"/>
        <v>63117.600000000006</v>
      </c>
      <c r="CJ29" s="1604">
        <f t="shared" si="36"/>
        <v>63117.600000000006</v>
      </c>
      <c r="CK29" s="1521">
        <f t="shared" si="37"/>
        <v>252470.40000000002</v>
      </c>
      <c r="CL29" s="1132">
        <v>22</v>
      </c>
      <c r="CM29" s="1132" t="s">
        <v>356</v>
      </c>
      <c r="CN29" s="1359">
        <v>1</v>
      </c>
      <c r="CO29" s="1360">
        <v>3.5848997205503053</v>
      </c>
      <c r="CP29" s="1360">
        <v>3.5848997205503053</v>
      </c>
      <c r="CQ29" s="1360">
        <v>3.5848997205503053</v>
      </c>
      <c r="CR29" s="1360">
        <v>3.5848997205503053</v>
      </c>
      <c r="CS29" s="1362">
        <f t="shared" si="38"/>
        <v>2535.2410823731761</v>
      </c>
      <c r="CT29" s="1362">
        <f t="shared" si="39"/>
        <v>2535.2410823731761</v>
      </c>
      <c r="CU29" s="1362">
        <f t="shared" si="40"/>
        <v>2535.2410823731761</v>
      </c>
      <c r="CV29" s="1362">
        <f t="shared" si="41"/>
        <v>2535.2410823731761</v>
      </c>
      <c r="CW29" s="1362">
        <f t="shared" si="42"/>
        <v>10140.964329492705</v>
      </c>
      <c r="CY29" s="2887"/>
      <c r="DN29" s="1715"/>
    </row>
    <row r="30" spans="1:118" s="1143" customFormat="1" ht="45.75" customHeight="1" x14ac:dyDescent="0.35">
      <c r="A30" s="1132" t="s">
        <v>101</v>
      </c>
      <c r="B30" s="1132" t="s">
        <v>371</v>
      </c>
      <c r="C30" s="1132" t="s">
        <v>387</v>
      </c>
      <c r="D30" s="1359" t="s">
        <v>105</v>
      </c>
      <c r="E30" s="1359">
        <f>IF(AI30-AR30=0,0,1)</f>
        <v>1</v>
      </c>
      <c r="F30" s="1132" t="s">
        <v>105</v>
      </c>
      <c r="G30" s="1132" t="s">
        <v>356</v>
      </c>
      <c r="H30" s="1360">
        <v>10.25</v>
      </c>
      <c r="I30" s="1360">
        <v>10.25</v>
      </c>
      <c r="J30" s="1360">
        <v>10.25</v>
      </c>
      <c r="K30" s="1360">
        <v>10.25</v>
      </c>
      <c r="L30" s="1132" t="s">
        <v>105</v>
      </c>
      <c r="M30" s="1132" t="str">
        <f t="shared" si="0"/>
        <v/>
      </c>
      <c r="N30" s="1361">
        <v>884</v>
      </c>
      <c r="O30" s="1361">
        <v>884</v>
      </c>
      <c r="P30" s="1361">
        <v>884</v>
      </c>
      <c r="Q30" s="1361">
        <v>884</v>
      </c>
      <c r="R30" s="1781">
        <v>0.86</v>
      </c>
      <c r="S30" s="1781">
        <v>0.86</v>
      </c>
      <c r="T30" s="1781">
        <v>0.86</v>
      </c>
      <c r="U30" s="1781">
        <v>0.86</v>
      </c>
      <c r="V30" s="2567">
        <v>0.8</v>
      </c>
      <c r="W30" s="2567">
        <v>0.8</v>
      </c>
      <c r="X30" s="2567">
        <v>0.8</v>
      </c>
      <c r="Y30" s="2567">
        <v>0.8</v>
      </c>
      <c r="Z30" s="1359">
        <v>0</v>
      </c>
      <c r="AA30" s="2567">
        <f t="shared" si="2"/>
        <v>0.8</v>
      </c>
      <c r="AB30" s="2567">
        <f t="shared" si="3"/>
        <v>0.8</v>
      </c>
      <c r="AC30" s="2567">
        <f t="shared" si="4"/>
        <v>0.8</v>
      </c>
      <c r="AD30" s="2567">
        <f t="shared" si="5"/>
        <v>0.8</v>
      </c>
      <c r="AE30" s="2567">
        <f t="shared" si="6"/>
        <v>0.8</v>
      </c>
      <c r="AF30" s="2567">
        <f t="shared" si="7"/>
        <v>0.8</v>
      </c>
      <c r="AG30" s="2567">
        <f t="shared" si="8"/>
        <v>0.8</v>
      </c>
      <c r="AH30" s="2567">
        <f t="shared" si="9"/>
        <v>0.8</v>
      </c>
      <c r="AI30" s="1362">
        <f t="shared" si="43"/>
        <v>7792.46</v>
      </c>
      <c r="AJ30" s="1362">
        <f t="shared" si="44"/>
        <v>7792.46</v>
      </c>
      <c r="AK30" s="1362">
        <f t="shared" si="45"/>
        <v>7792.46</v>
      </c>
      <c r="AL30" s="1362">
        <f t="shared" si="46"/>
        <v>7792.46</v>
      </c>
      <c r="AM30" s="1362">
        <f t="shared" si="47"/>
        <v>31169.84</v>
      </c>
      <c r="AN30" s="1132" t="str">
        <f t="shared" si="11"/>
        <v>Custom</v>
      </c>
      <c r="AO30" s="1132" t="str">
        <f t="shared" si="12"/>
        <v/>
      </c>
      <c r="AP30" s="2247">
        <v>884</v>
      </c>
      <c r="AQ30" s="2568" t="s">
        <v>376</v>
      </c>
      <c r="AR30" s="2505">
        <f t="shared" si="13"/>
        <v>7248.8</v>
      </c>
      <c r="AS30" s="2505">
        <f t="shared" si="14"/>
        <v>-543.65999999999985</v>
      </c>
      <c r="AT30" s="1132" t="str">
        <f t="shared" si="15"/>
        <v>Custom</v>
      </c>
      <c r="AU30" s="1132" t="str">
        <f t="shared" si="16"/>
        <v/>
      </c>
      <c r="AV30" s="2247">
        <v>884</v>
      </c>
      <c r="AW30" s="2568" t="s">
        <v>376</v>
      </c>
      <c r="AX30" s="1362">
        <f t="shared" si="17"/>
        <v>7248.8</v>
      </c>
      <c r="AY30" s="1360">
        <f t="shared" si="18"/>
        <v>-543.65999999999985</v>
      </c>
      <c r="AZ30" s="1132" t="str">
        <f t="shared" si="19"/>
        <v>Custom</v>
      </c>
      <c r="BA30" s="1132" t="str">
        <f t="shared" si="20"/>
        <v/>
      </c>
      <c r="BB30" s="2247">
        <v>884</v>
      </c>
      <c r="BC30" s="2568" t="s">
        <v>376</v>
      </c>
      <c r="BD30" s="1362">
        <f t="shared" si="21"/>
        <v>7248.8</v>
      </c>
      <c r="BE30" s="1360">
        <f t="shared" si="22"/>
        <v>-543.65999999999985</v>
      </c>
      <c r="BF30" s="1132" t="str">
        <f t="shared" si="23"/>
        <v>Custom</v>
      </c>
      <c r="BG30" s="1132" t="str">
        <f t="shared" si="24"/>
        <v/>
      </c>
      <c r="BH30" s="2247">
        <v>884</v>
      </c>
      <c r="BI30" s="2568" t="s">
        <v>376</v>
      </c>
      <c r="BJ30" s="1362">
        <f t="shared" si="48"/>
        <v>7248.8</v>
      </c>
      <c r="BK30" s="1360">
        <f t="shared" si="25"/>
        <v>-543.65999999999985</v>
      </c>
      <c r="BL30" s="1601">
        <f t="shared" si="26"/>
        <v>7248.8</v>
      </c>
      <c r="BM30" s="1601">
        <f t="shared" si="27"/>
        <v>7248.8</v>
      </c>
      <c r="BN30" s="1601">
        <f t="shared" si="28"/>
        <v>7248.8</v>
      </c>
      <c r="BO30" s="1601">
        <f t="shared" si="29"/>
        <v>7248.8</v>
      </c>
      <c r="BP30" s="1602">
        <f t="shared" si="30"/>
        <v>28995.200000000001</v>
      </c>
      <c r="BQ30" s="1602"/>
      <c r="BR30" s="1602"/>
      <c r="BS30" s="1602">
        <v>0</v>
      </c>
      <c r="BT30" s="1602">
        <v>17</v>
      </c>
      <c r="BU30" s="1602">
        <v>17</v>
      </c>
      <c r="BV30" s="1602">
        <v>17</v>
      </c>
      <c r="BW30" s="1602">
        <v>17</v>
      </c>
      <c r="BX30" s="1362">
        <f t="shared" si="49"/>
        <v>132471.82</v>
      </c>
      <c r="BY30" s="1362">
        <f t="shared" si="50"/>
        <v>132471.82</v>
      </c>
      <c r="BZ30" s="1362">
        <f t="shared" si="51"/>
        <v>132471.82</v>
      </c>
      <c r="CA30" s="1362">
        <f t="shared" si="52"/>
        <v>132471.82</v>
      </c>
      <c r="CB30" s="1362">
        <f t="shared" si="53"/>
        <v>529887.28</v>
      </c>
      <c r="CC30" s="1360">
        <v>17</v>
      </c>
      <c r="CD30" s="1360">
        <v>17</v>
      </c>
      <c r="CE30" s="1360">
        <v>17</v>
      </c>
      <c r="CF30" s="1360">
        <v>17</v>
      </c>
      <c r="CG30" s="1604">
        <f t="shared" si="33"/>
        <v>123229.60000000002</v>
      </c>
      <c r="CH30" s="1604">
        <f t="shared" si="34"/>
        <v>123229.60000000002</v>
      </c>
      <c r="CI30" s="1604">
        <f t="shared" si="35"/>
        <v>123229.60000000002</v>
      </c>
      <c r="CJ30" s="1604">
        <f t="shared" si="36"/>
        <v>123229.60000000002</v>
      </c>
      <c r="CK30" s="1521">
        <f t="shared" si="37"/>
        <v>492918.40000000008</v>
      </c>
      <c r="CL30" s="1132">
        <v>23</v>
      </c>
      <c r="CM30" s="1132" t="s">
        <v>356</v>
      </c>
      <c r="CN30" s="1359">
        <v>1</v>
      </c>
      <c r="CO30" s="1360">
        <v>6.999089930598215</v>
      </c>
      <c r="CP30" s="1360">
        <v>6.999089930598215</v>
      </c>
      <c r="CQ30" s="1360">
        <v>6.999089930598215</v>
      </c>
      <c r="CR30" s="1360">
        <v>6.999089930598215</v>
      </c>
      <c r="CS30" s="1362">
        <f t="shared" si="38"/>
        <v>4949.7563989190576</v>
      </c>
      <c r="CT30" s="1362">
        <f t="shared" si="39"/>
        <v>4949.7563989190576</v>
      </c>
      <c r="CU30" s="1362">
        <f t="shared" si="40"/>
        <v>4949.7563989190576</v>
      </c>
      <c r="CV30" s="1362">
        <f t="shared" si="41"/>
        <v>4949.7563989190576</v>
      </c>
      <c r="CW30" s="1362">
        <f t="shared" si="42"/>
        <v>19799.02559567623</v>
      </c>
      <c r="CY30" s="2887"/>
      <c r="DN30" s="1715"/>
    </row>
    <row r="31" spans="1:118" s="1143" customFormat="1" ht="46.5" x14ac:dyDescent="0.35">
      <c r="A31" s="1132" t="s">
        <v>101</v>
      </c>
      <c r="B31" s="1132" t="s">
        <v>371</v>
      </c>
      <c r="C31" s="1132" t="s">
        <v>388</v>
      </c>
      <c r="D31" s="1359" t="s">
        <v>389</v>
      </c>
      <c r="E31" s="1359">
        <v>1</v>
      </c>
      <c r="F31" s="1780" t="s">
        <v>390</v>
      </c>
      <c r="G31" s="1132" t="s">
        <v>356</v>
      </c>
      <c r="H31" s="1360">
        <v>2.5</v>
      </c>
      <c r="I31" s="1360">
        <v>2.5</v>
      </c>
      <c r="J31" s="1360">
        <v>2.5</v>
      </c>
      <c r="K31" s="1360">
        <v>2.5</v>
      </c>
      <c r="L31" s="1132" t="s">
        <v>391</v>
      </c>
      <c r="M31" s="1132" t="str">
        <f t="shared" si="0"/>
        <v>Nicor Gas PY11-PY14 Adjustable Goals Template_2025-03-01, Tab 4.2.18</v>
      </c>
      <c r="N31" s="1360">
        <v>1034</v>
      </c>
      <c r="O31" s="1361">
        <v>1034</v>
      </c>
      <c r="P31" s="1361">
        <v>1034</v>
      </c>
      <c r="Q31" s="1361">
        <v>1034</v>
      </c>
      <c r="R31" s="1781">
        <v>0.86</v>
      </c>
      <c r="S31" s="1781">
        <v>0.86</v>
      </c>
      <c r="T31" s="1781">
        <v>0.86</v>
      </c>
      <c r="U31" s="1781">
        <v>0.86</v>
      </c>
      <c r="V31" s="2567">
        <v>0.8</v>
      </c>
      <c r="W31" s="2567">
        <v>0.8</v>
      </c>
      <c r="X31" s="2567">
        <v>0.8</v>
      </c>
      <c r="Y31" s="2567">
        <v>0.8</v>
      </c>
      <c r="Z31" s="1359">
        <v>0</v>
      </c>
      <c r="AA31" s="2567">
        <f t="shared" si="2"/>
        <v>0.8</v>
      </c>
      <c r="AB31" s="2567">
        <f t="shared" si="3"/>
        <v>0.8</v>
      </c>
      <c r="AC31" s="2567">
        <f t="shared" si="4"/>
        <v>0.8</v>
      </c>
      <c r="AD31" s="2567">
        <f t="shared" si="5"/>
        <v>0.8</v>
      </c>
      <c r="AE31" s="2567">
        <f t="shared" si="6"/>
        <v>0.8</v>
      </c>
      <c r="AF31" s="2567">
        <f t="shared" si="7"/>
        <v>0.8</v>
      </c>
      <c r="AG31" s="2567">
        <f t="shared" si="8"/>
        <v>0.8</v>
      </c>
      <c r="AH31" s="2567">
        <f t="shared" si="9"/>
        <v>0.8</v>
      </c>
      <c r="AI31" s="1362">
        <f t="shared" si="43"/>
        <v>2223.1</v>
      </c>
      <c r="AJ31" s="1362">
        <f t="shared" si="44"/>
        <v>2223.1</v>
      </c>
      <c r="AK31" s="1362">
        <f t="shared" si="45"/>
        <v>2223.1</v>
      </c>
      <c r="AL31" s="1362">
        <f t="shared" si="46"/>
        <v>2223.1</v>
      </c>
      <c r="AM31" s="1362">
        <f t="shared" si="47"/>
        <v>8892.4</v>
      </c>
      <c r="AN31" s="1132" t="str">
        <f t="shared" si="11"/>
        <v>C143</v>
      </c>
      <c r="AO31" s="1132" t="str">
        <f t="shared" si="12"/>
        <v>Nicor Gas PY11-PY14 Adjustable Goals Template_2025-03-01, Tab 4.2.18</v>
      </c>
      <c r="AP31" s="2771">
        <f>'4.2.18'!$L$5</f>
        <v>1034</v>
      </c>
      <c r="AQ31" s="2568" t="s">
        <v>376</v>
      </c>
      <c r="AR31" s="2505">
        <f t="shared" si="13"/>
        <v>2068</v>
      </c>
      <c r="AS31" s="2247">
        <f t="shared" si="14"/>
        <v>-155.09999999999991</v>
      </c>
      <c r="AT31" s="1132" t="str">
        <f t="shared" si="15"/>
        <v>C143</v>
      </c>
      <c r="AU31" s="1132" t="str">
        <f t="shared" si="16"/>
        <v>Nicor Gas PY11-PY14 Adjustable Goals Template_2025-03-01, Tab 4.2.18</v>
      </c>
      <c r="AV31" s="2809">
        <f>'4.2.18'!$L$5</f>
        <v>1034</v>
      </c>
      <c r="AW31" s="2568" t="s">
        <v>376</v>
      </c>
      <c r="AX31" s="1362">
        <f t="shared" si="17"/>
        <v>2068</v>
      </c>
      <c r="AY31" s="1360">
        <f t="shared" si="18"/>
        <v>-155.09999999999991</v>
      </c>
      <c r="AZ31" s="1132" t="str">
        <f t="shared" si="19"/>
        <v>C143</v>
      </c>
      <c r="BA31" s="1132" t="str">
        <f t="shared" si="20"/>
        <v>Nicor Gas PY11-PY14 Adjustable Goals Template_2025-03-01, Tab 4.2.18</v>
      </c>
      <c r="BB31" s="2771">
        <f>'4.2.18'!$L$5</f>
        <v>1034</v>
      </c>
      <c r="BC31" s="2568" t="s">
        <v>376</v>
      </c>
      <c r="BD31" s="1362">
        <f t="shared" si="21"/>
        <v>2068</v>
      </c>
      <c r="BE31" s="1360">
        <f t="shared" si="22"/>
        <v>-155.09999999999991</v>
      </c>
      <c r="BF31" s="1132" t="str">
        <f t="shared" si="23"/>
        <v>C143</v>
      </c>
      <c r="BG31" s="1132" t="str">
        <f t="shared" si="24"/>
        <v>Nicor Gas PY11-PY14 Adjustable Goals Template_2025-03-01, Tab 4.2.18</v>
      </c>
      <c r="BH31" s="2771">
        <f>'4.2.18'!$L$5</f>
        <v>1034</v>
      </c>
      <c r="BI31" s="2568" t="s">
        <v>376</v>
      </c>
      <c r="BJ31" s="1362">
        <f t="shared" si="48"/>
        <v>2068</v>
      </c>
      <c r="BK31" s="1360">
        <f t="shared" si="25"/>
        <v>-155.09999999999991</v>
      </c>
      <c r="BL31" s="1601">
        <f t="shared" si="26"/>
        <v>2068</v>
      </c>
      <c r="BM31" s="1601">
        <f t="shared" si="27"/>
        <v>2068</v>
      </c>
      <c r="BN31" s="1601">
        <f t="shared" si="28"/>
        <v>2068</v>
      </c>
      <c r="BO31" s="1601">
        <f t="shared" si="29"/>
        <v>2068</v>
      </c>
      <c r="BP31" s="1602">
        <f t="shared" si="30"/>
        <v>8272</v>
      </c>
      <c r="BQ31" s="1602"/>
      <c r="BR31" s="1602" t="s">
        <v>390</v>
      </c>
      <c r="BS31" s="1602">
        <v>0</v>
      </c>
      <c r="BT31" s="1602">
        <v>12</v>
      </c>
      <c r="BU31" s="1602">
        <v>12</v>
      </c>
      <c r="BV31" s="1602">
        <v>12</v>
      </c>
      <c r="BW31" s="1602">
        <v>12</v>
      </c>
      <c r="BX31" s="1362">
        <f t="shared" si="49"/>
        <v>26677.199999999997</v>
      </c>
      <c r="BY31" s="1362">
        <f t="shared" si="50"/>
        <v>26677.199999999997</v>
      </c>
      <c r="BZ31" s="1362">
        <f t="shared" si="51"/>
        <v>26677.199999999997</v>
      </c>
      <c r="CA31" s="1362">
        <f t="shared" si="52"/>
        <v>26677.199999999997</v>
      </c>
      <c r="CB31" s="1362">
        <f t="shared" si="53"/>
        <v>106708.79999999999</v>
      </c>
      <c r="CC31" s="1360">
        <v>12</v>
      </c>
      <c r="CD31" s="1360">
        <v>12</v>
      </c>
      <c r="CE31" s="1360">
        <v>12</v>
      </c>
      <c r="CF31" s="1360">
        <v>12</v>
      </c>
      <c r="CG31" s="1604">
        <f t="shared" si="33"/>
        <v>24816</v>
      </c>
      <c r="CH31" s="1604">
        <f t="shared" si="34"/>
        <v>24816</v>
      </c>
      <c r="CI31" s="1604">
        <f t="shared" si="35"/>
        <v>24816</v>
      </c>
      <c r="CJ31" s="1604">
        <f t="shared" si="36"/>
        <v>24816</v>
      </c>
      <c r="CK31" s="1521">
        <f t="shared" si="37"/>
        <v>99264</v>
      </c>
      <c r="CL31" s="1132">
        <v>24</v>
      </c>
      <c r="CM31" s="1132" t="s">
        <v>356</v>
      </c>
      <c r="CN31" s="1359">
        <v>1</v>
      </c>
      <c r="CO31" s="1360">
        <v>1.7070951050239547</v>
      </c>
      <c r="CP31" s="1360">
        <v>1.7070951050239547</v>
      </c>
      <c r="CQ31" s="1360">
        <v>1.7070951050239547</v>
      </c>
      <c r="CR31" s="1360">
        <v>1.7070951050239547</v>
      </c>
      <c r="CS31" s="1362">
        <f t="shared" si="38"/>
        <v>1412.1090708758154</v>
      </c>
      <c r="CT31" s="1362">
        <f t="shared" si="39"/>
        <v>1412.1090708758154</v>
      </c>
      <c r="CU31" s="1362">
        <f t="shared" si="40"/>
        <v>1412.1090708758154</v>
      </c>
      <c r="CV31" s="1362">
        <f t="shared" si="41"/>
        <v>1412.1090708758154</v>
      </c>
      <c r="CW31" s="1362">
        <f t="shared" si="42"/>
        <v>5648.4362835032616</v>
      </c>
      <c r="CY31" s="2887"/>
      <c r="DN31" s="1715"/>
    </row>
    <row r="32" spans="1:118" s="1143" customFormat="1" ht="15" customHeight="1" x14ac:dyDescent="0.35">
      <c r="A32" s="1132" t="s">
        <v>101</v>
      </c>
      <c r="B32" s="1132" t="s">
        <v>371</v>
      </c>
      <c r="C32" s="1132" t="s">
        <v>392</v>
      </c>
      <c r="D32" s="1359" t="s">
        <v>390</v>
      </c>
      <c r="E32" s="1359">
        <v>1</v>
      </c>
      <c r="F32" s="1780" t="s">
        <v>390</v>
      </c>
      <c r="G32" s="1132" t="s">
        <v>356</v>
      </c>
      <c r="H32" s="1360">
        <v>2.5</v>
      </c>
      <c r="I32" s="1360">
        <v>2.5</v>
      </c>
      <c r="J32" s="1360">
        <v>2.5</v>
      </c>
      <c r="K32" s="1360">
        <v>2.5</v>
      </c>
      <c r="L32" s="1132" t="s">
        <v>393</v>
      </c>
      <c r="M32" s="1132" t="str">
        <f t="shared" si="0"/>
        <v>Nicor Gas PY11-PY14 Adjustable Goals Template_2025-03-01, Tab 4.2.18</v>
      </c>
      <c r="N32" s="1361">
        <v>1930.5000000000007</v>
      </c>
      <c r="O32" s="1361">
        <v>1930.5000000000007</v>
      </c>
      <c r="P32" s="1361">
        <v>1930.5000000000007</v>
      </c>
      <c r="Q32" s="1361">
        <v>1930.5000000000007</v>
      </c>
      <c r="R32" s="1781">
        <v>0.86</v>
      </c>
      <c r="S32" s="1781">
        <v>0.86</v>
      </c>
      <c r="T32" s="1781">
        <v>0.86</v>
      </c>
      <c r="U32" s="1781">
        <v>0.86</v>
      </c>
      <c r="V32" s="2567">
        <v>0.8</v>
      </c>
      <c r="W32" s="2567">
        <v>0.8</v>
      </c>
      <c r="X32" s="2567">
        <v>0.8</v>
      </c>
      <c r="Y32" s="2567">
        <v>0.8</v>
      </c>
      <c r="Z32" s="1359">
        <v>0</v>
      </c>
      <c r="AA32" s="2567">
        <f t="shared" si="2"/>
        <v>0.8</v>
      </c>
      <c r="AB32" s="2567">
        <f t="shared" si="3"/>
        <v>0.8</v>
      </c>
      <c r="AC32" s="2567">
        <f t="shared" si="4"/>
        <v>0.8</v>
      </c>
      <c r="AD32" s="2567">
        <f t="shared" si="5"/>
        <v>0.8</v>
      </c>
      <c r="AE32" s="2567">
        <f t="shared" si="6"/>
        <v>0.8</v>
      </c>
      <c r="AF32" s="2567">
        <f t="shared" si="7"/>
        <v>0.8</v>
      </c>
      <c r="AG32" s="2567">
        <f t="shared" si="8"/>
        <v>0.8</v>
      </c>
      <c r="AH32" s="2567">
        <f t="shared" si="9"/>
        <v>0.8</v>
      </c>
      <c r="AI32" s="1362">
        <f t="shared" si="43"/>
        <v>4150.5750000000016</v>
      </c>
      <c r="AJ32" s="1362">
        <f t="shared" si="44"/>
        <v>4150.5750000000016</v>
      </c>
      <c r="AK32" s="1362">
        <f t="shared" si="45"/>
        <v>4150.5750000000016</v>
      </c>
      <c r="AL32" s="1362">
        <f t="shared" si="46"/>
        <v>4150.5750000000016</v>
      </c>
      <c r="AM32" s="1362">
        <f t="shared" si="47"/>
        <v>16602.300000000007</v>
      </c>
      <c r="AN32" s="1132" t="str">
        <f t="shared" si="11"/>
        <v>CI-FSE-RKOV-VO2-180101</v>
      </c>
      <c r="AO32" s="1132" t="str">
        <f t="shared" si="12"/>
        <v>Nicor Gas PY11-PY14 Adjustable Goals Template_2025-03-01, Tab 4.2.18</v>
      </c>
      <c r="AP32" s="2769">
        <f>'4.2.18'!$L$4</f>
        <v>1930.5000000000007</v>
      </c>
      <c r="AQ32" s="2568" t="s">
        <v>376</v>
      </c>
      <c r="AR32" s="2505">
        <f t="shared" si="13"/>
        <v>3861.0000000000018</v>
      </c>
      <c r="AS32" s="2505">
        <f t="shared" si="14"/>
        <v>-289.57499999999982</v>
      </c>
      <c r="AT32" s="1132" t="str">
        <f t="shared" si="15"/>
        <v>CI-FSE-RKOV-VO2-180101</v>
      </c>
      <c r="AU32" s="1132" t="str">
        <f t="shared" si="16"/>
        <v>Nicor Gas PY11-PY14 Adjustable Goals Template_2025-03-01, Tab 4.2.18</v>
      </c>
      <c r="AV32" s="2563">
        <f>'4.2.18'!$L$4</f>
        <v>1930.5000000000007</v>
      </c>
      <c r="AW32" s="2568" t="s">
        <v>376</v>
      </c>
      <c r="AX32" s="1362">
        <f t="shared" si="17"/>
        <v>3861.0000000000018</v>
      </c>
      <c r="AY32" s="1360">
        <f t="shared" si="18"/>
        <v>-289.57499999999982</v>
      </c>
      <c r="AZ32" s="1132" t="str">
        <f t="shared" si="19"/>
        <v>CI-FSE-RKOV-VO2-180101</v>
      </c>
      <c r="BA32" s="1132" t="str">
        <f t="shared" si="20"/>
        <v>Nicor Gas PY11-PY14 Adjustable Goals Template_2025-03-01, Tab 4.2.18</v>
      </c>
      <c r="BB32" s="2769">
        <f>'4.2.18'!$L$4</f>
        <v>1930.5000000000007</v>
      </c>
      <c r="BC32" s="2568" t="s">
        <v>376</v>
      </c>
      <c r="BD32" s="1362">
        <f t="shared" si="21"/>
        <v>3861.0000000000018</v>
      </c>
      <c r="BE32" s="1360">
        <f t="shared" si="22"/>
        <v>-289.57499999999982</v>
      </c>
      <c r="BF32" s="1132" t="str">
        <f t="shared" si="23"/>
        <v>CI-FSE-RKOV-VO2-180101</v>
      </c>
      <c r="BG32" s="1132" t="str">
        <f t="shared" si="24"/>
        <v>Nicor Gas PY11-PY14 Adjustable Goals Template_2025-03-01, Tab 4.2.18</v>
      </c>
      <c r="BH32" s="2769">
        <f>'4.2.18'!$L$4</f>
        <v>1930.5000000000007</v>
      </c>
      <c r="BI32" s="2568" t="s">
        <v>376</v>
      </c>
      <c r="BJ32" s="1362">
        <f t="shared" si="48"/>
        <v>3861.0000000000018</v>
      </c>
      <c r="BK32" s="1360">
        <f t="shared" si="25"/>
        <v>-289.57499999999982</v>
      </c>
      <c r="BL32" s="1601">
        <f t="shared" si="26"/>
        <v>3861.0000000000018</v>
      </c>
      <c r="BM32" s="1601">
        <f t="shared" si="27"/>
        <v>3861.0000000000018</v>
      </c>
      <c r="BN32" s="1601">
        <f t="shared" si="28"/>
        <v>3861.0000000000018</v>
      </c>
      <c r="BO32" s="1601">
        <f t="shared" si="29"/>
        <v>3861.0000000000018</v>
      </c>
      <c r="BP32" s="1602">
        <f t="shared" si="30"/>
        <v>15444.000000000007</v>
      </c>
      <c r="BQ32" s="1602"/>
      <c r="BR32" s="1602" t="s">
        <v>390</v>
      </c>
      <c r="BS32" s="1602">
        <v>0</v>
      </c>
      <c r="BT32" s="1602">
        <v>12</v>
      </c>
      <c r="BU32" s="1602">
        <v>12</v>
      </c>
      <c r="BV32" s="1602">
        <v>12</v>
      </c>
      <c r="BW32" s="1602">
        <v>12</v>
      </c>
      <c r="BX32" s="1362">
        <f t="shared" si="49"/>
        <v>49806.900000000023</v>
      </c>
      <c r="BY32" s="1362">
        <f t="shared" si="50"/>
        <v>49806.900000000023</v>
      </c>
      <c r="BZ32" s="1362">
        <f t="shared" si="51"/>
        <v>49806.900000000023</v>
      </c>
      <c r="CA32" s="1362">
        <f t="shared" si="52"/>
        <v>49806.900000000023</v>
      </c>
      <c r="CB32" s="1362">
        <f t="shared" si="53"/>
        <v>199227.60000000009</v>
      </c>
      <c r="CC32" s="1360">
        <v>12</v>
      </c>
      <c r="CD32" s="1360">
        <v>12</v>
      </c>
      <c r="CE32" s="1360">
        <v>12</v>
      </c>
      <c r="CF32" s="1360">
        <v>12</v>
      </c>
      <c r="CG32" s="1604">
        <f t="shared" si="33"/>
        <v>46332.000000000015</v>
      </c>
      <c r="CH32" s="1604">
        <f t="shared" si="34"/>
        <v>46332.000000000015</v>
      </c>
      <c r="CI32" s="1604">
        <f t="shared" si="35"/>
        <v>46332.000000000015</v>
      </c>
      <c r="CJ32" s="1604">
        <f t="shared" si="36"/>
        <v>46332.000000000015</v>
      </c>
      <c r="CK32" s="1521">
        <f t="shared" si="37"/>
        <v>185328.00000000006</v>
      </c>
      <c r="CL32" s="1132">
        <v>25</v>
      </c>
      <c r="CM32" s="1132" t="s">
        <v>356</v>
      </c>
      <c r="CN32" s="1359">
        <v>1</v>
      </c>
      <c r="CO32" s="1360">
        <v>1.7070951050239547</v>
      </c>
      <c r="CP32" s="1360">
        <v>1.7070951050239547</v>
      </c>
      <c r="CQ32" s="1360">
        <v>1.7070951050239547</v>
      </c>
      <c r="CR32" s="1360">
        <v>1.7070951050239547</v>
      </c>
      <c r="CS32" s="1362">
        <f t="shared" si="38"/>
        <v>2636.4376801989965</v>
      </c>
      <c r="CT32" s="1362">
        <f t="shared" si="39"/>
        <v>2636.4376801989965</v>
      </c>
      <c r="CU32" s="1362">
        <f t="shared" si="40"/>
        <v>2636.4376801989965</v>
      </c>
      <c r="CV32" s="1362">
        <f t="shared" si="41"/>
        <v>2636.4376801989965</v>
      </c>
      <c r="CW32" s="1362">
        <f t="shared" si="42"/>
        <v>10545.750720795986</v>
      </c>
      <c r="CY32" s="2887"/>
      <c r="DN32" s="1715"/>
    </row>
    <row r="33" spans="1:118" s="1143" customFormat="1" ht="77.5" x14ac:dyDescent="0.35">
      <c r="A33" s="1132" t="s">
        <v>101</v>
      </c>
      <c r="B33" s="1132" t="s">
        <v>371</v>
      </c>
      <c r="C33" s="1132" t="s">
        <v>394</v>
      </c>
      <c r="D33" s="1359" t="s">
        <v>395</v>
      </c>
      <c r="E33" s="1359">
        <v>1</v>
      </c>
      <c r="F33" s="2807" t="s">
        <v>395</v>
      </c>
      <c r="G33" s="1132" t="s">
        <v>356</v>
      </c>
      <c r="H33" s="1360">
        <v>83.75</v>
      </c>
      <c r="I33" s="1360">
        <v>83.75</v>
      </c>
      <c r="J33" s="1360">
        <v>83.75</v>
      </c>
      <c r="K33" s="1360">
        <v>83.75</v>
      </c>
      <c r="L33" s="1132" t="s">
        <v>396</v>
      </c>
      <c r="M33" s="1132" t="str">
        <f t="shared" si="0"/>
        <v>Nicor Gas PY11-PY14 Adjustable Goals Template_2025-03-01, Tab 4.2.7</v>
      </c>
      <c r="N33" s="1361">
        <v>503.33256181318683</v>
      </c>
      <c r="O33" s="1361">
        <v>503.33256181318683</v>
      </c>
      <c r="P33" s="1361">
        <v>503.33256181318683</v>
      </c>
      <c r="Q33" s="1361">
        <v>503.33256181318683</v>
      </c>
      <c r="R33" s="1781">
        <v>0.86</v>
      </c>
      <c r="S33" s="1781">
        <v>0.86</v>
      </c>
      <c r="T33" s="1781">
        <v>0.86</v>
      </c>
      <c r="U33" s="1781">
        <v>0.86</v>
      </c>
      <c r="V33" s="2567">
        <v>0.8</v>
      </c>
      <c r="W33" s="2567">
        <v>0.8</v>
      </c>
      <c r="X33" s="2567">
        <v>0.8</v>
      </c>
      <c r="Y33" s="2567">
        <v>0.8</v>
      </c>
      <c r="Z33" s="1359">
        <v>0</v>
      </c>
      <c r="AA33" s="2567">
        <f t="shared" si="2"/>
        <v>0.8</v>
      </c>
      <c r="AB33" s="2567">
        <f t="shared" si="3"/>
        <v>0.8</v>
      </c>
      <c r="AC33" s="2567">
        <f t="shared" si="4"/>
        <v>0.8</v>
      </c>
      <c r="AD33" s="2567">
        <f t="shared" si="5"/>
        <v>0.8</v>
      </c>
      <c r="AE33" s="2567">
        <f t="shared" si="6"/>
        <v>0.8</v>
      </c>
      <c r="AF33" s="2567">
        <f t="shared" si="7"/>
        <v>0.8</v>
      </c>
      <c r="AG33" s="2567">
        <f t="shared" si="8"/>
        <v>0.8</v>
      </c>
      <c r="AH33" s="2567">
        <f t="shared" si="9"/>
        <v>0.8</v>
      </c>
      <c r="AI33" s="1362">
        <f t="shared" si="43"/>
        <v>36252.527764594779</v>
      </c>
      <c r="AJ33" s="1362">
        <f t="shared" si="44"/>
        <v>36252.527764594779</v>
      </c>
      <c r="AK33" s="1362">
        <f t="shared" si="45"/>
        <v>36252.527764594779</v>
      </c>
      <c r="AL33" s="1362">
        <f t="shared" si="46"/>
        <v>36252.527764594779</v>
      </c>
      <c r="AM33" s="1362">
        <f t="shared" si="47"/>
        <v>145010.11105837912</v>
      </c>
      <c r="AN33" s="1132" t="str">
        <f t="shared" si="11"/>
        <v>CI-FSE-ESFR-V02-190101</v>
      </c>
      <c r="AO33" s="1132" t="str">
        <f t="shared" si="12"/>
        <v>Nicor Gas PY11-PY14 Adjustable Goals Template_2025-03-01, Tab 4.2.7</v>
      </c>
      <c r="AP33" s="2770">
        <f>'4.2.7'!$L$3</f>
        <v>512.46381181318702</v>
      </c>
      <c r="AQ33" s="2568" t="s">
        <v>397</v>
      </c>
      <c r="AR33" s="2505">
        <f t="shared" si="13"/>
        <v>34335.07539148353</v>
      </c>
      <c r="AS33" s="2505">
        <f t="shared" si="14"/>
        <v>-1917.4523731112495</v>
      </c>
      <c r="AT33" s="1132" t="str">
        <f t="shared" si="15"/>
        <v>CI-FSE-ESFR-V02-190101</v>
      </c>
      <c r="AU33" s="1132" t="str">
        <f t="shared" si="16"/>
        <v>Nicor Gas PY11-PY14 Adjustable Goals Template_2025-03-01, Tab 4.2.7</v>
      </c>
      <c r="AV33" s="2769">
        <f>'4.2.7'!$L$3</f>
        <v>512.46381181318702</v>
      </c>
      <c r="AW33" s="2568" t="s">
        <v>397</v>
      </c>
      <c r="AX33" s="1362">
        <f t="shared" si="17"/>
        <v>34335.07539148353</v>
      </c>
      <c r="AY33" s="1360">
        <f t="shared" si="18"/>
        <v>-1917.4523731112495</v>
      </c>
      <c r="AZ33" s="1132" t="str">
        <f t="shared" si="19"/>
        <v>CI-FSE-ESFR-V02-190101</v>
      </c>
      <c r="BA33" s="1132" t="str">
        <f t="shared" si="20"/>
        <v>Nicor Gas PY11-PY14 Adjustable Goals Template_2025-03-01, Tab 4.2.7</v>
      </c>
      <c r="BB33" s="2769">
        <f>'4.2.7'!$L$3</f>
        <v>512.46381181318702</v>
      </c>
      <c r="BC33" s="2568" t="s">
        <v>397</v>
      </c>
      <c r="BD33" s="1362">
        <f t="shared" si="21"/>
        <v>34335.07539148353</v>
      </c>
      <c r="BE33" s="1360">
        <f t="shared" si="22"/>
        <v>-1917.4523731112495</v>
      </c>
      <c r="BF33" s="1132" t="str">
        <f t="shared" si="23"/>
        <v>CI-FSE-ESFR-V02-190101</v>
      </c>
      <c r="BG33" s="1132" t="str">
        <f t="shared" si="24"/>
        <v>Nicor Gas PY11-PY14 Adjustable Goals Template_2025-03-01, Tab 4.2.7</v>
      </c>
      <c r="BH33" s="2769">
        <f>'4.2.7'!$L$3</f>
        <v>512.46381181318702</v>
      </c>
      <c r="BI33" s="2568" t="s">
        <v>397</v>
      </c>
      <c r="BJ33" s="1362">
        <f t="shared" si="48"/>
        <v>34335.07539148353</v>
      </c>
      <c r="BK33" s="1360">
        <f t="shared" si="25"/>
        <v>-1917.4523731112495</v>
      </c>
      <c r="BL33" s="1601">
        <f t="shared" si="26"/>
        <v>34335.07539148353</v>
      </c>
      <c r="BM33" s="1601">
        <f t="shared" si="27"/>
        <v>34335.07539148353</v>
      </c>
      <c r="BN33" s="1601">
        <f t="shared" si="28"/>
        <v>34335.07539148353</v>
      </c>
      <c r="BO33" s="1601">
        <f t="shared" si="29"/>
        <v>34335.07539148353</v>
      </c>
      <c r="BP33" s="1602">
        <f t="shared" si="30"/>
        <v>137340.30156593412</v>
      </c>
      <c r="BQ33" s="1602"/>
      <c r="BR33" s="1602" t="s">
        <v>395</v>
      </c>
      <c r="BS33" s="1602">
        <v>0</v>
      </c>
      <c r="BT33" s="1602">
        <v>12</v>
      </c>
      <c r="BU33" s="1602">
        <v>12</v>
      </c>
      <c r="BV33" s="1602">
        <v>12</v>
      </c>
      <c r="BW33" s="1602">
        <v>12</v>
      </c>
      <c r="BX33" s="1362">
        <f t="shared" si="49"/>
        <v>435030.33317513735</v>
      </c>
      <c r="BY33" s="1362">
        <f t="shared" si="50"/>
        <v>435030.33317513735</v>
      </c>
      <c r="BZ33" s="1362">
        <f t="shared" si="51"/>
        <v>435030.33317513735</v>
      </c>
      <c r="CA33" s="1362">
        <f t="shared" si="52"/>
        <v>435030.33317513735</v>
      </c>
      <c r="CB33" s="1362">
        <f t="shared" si="53"/>
        <v>1740121.3327005494</v>
      </c>
      <c r="CC33" s="1360">
        <v>12</v>
      </c>
      <c r="CD33" s="1360">
        <v>12</v>
      </c>
      <c r="CE33" s="1360">
        <v>12</v>
      </c>
      <c r="CF33" s="1360">
        <v>12</v>
      </c>
      <c r="CG33" s="1604">
        <f t="shared" si="33"/>
        <v>412020.90469780238</v>
      </c>
      <c r="CH33" s="1604">
        <f t="shared" si="34"/>
        <v>412020.90469780238</v>
      </c>
      <c r="CI33" s="1604">
        <f t="shared" si="35"/>
        <v>412020.90469780238</v>
      </c>
      <c r="CJ33" s="1604">
        <f t="shared" si="36"/>
        <v>412020.90469780238</v>
      </c>
      <c r="CK33" s="1521">
        <f t="shared" si="37"/>
        <v>1648083.6187912095</v>
      </c>
      <c r="CL33" s="1132">
        <v>26</v>
      </c>
      <c r="CM33" s="1132" t="s">
        <v>356</v>
      </c>
      <c r="CN33" s="1359">
        <v>1</v>
      </c>
      <c r="CO33" s="1360">
        <v>57.187686018302486</v>
      </c>
      <c r="CP33" s="1360">
        <v>57.187686018302486</v>
      </c>
      <c r="CQ33" s="1360">
        <v>57.187686018302486</v>
      </c>
      <c r="CR33" s="1360">
        <v>57.187686018302486</v>
      </c>
      <c r="CS33" s="1362">
        <f t="shared" si="38"/>
        <v>23027.539606208287</v>
      </c>
      <c r="CT33" s="1362">
        <f t="shared" si="39"/>
        <v>23027.539606208287</v>
      </c>
      <c r="CU33" s="1362">
        <f t="shared" si="40"/>
        <v>23027.539606208287</v>
      </c>
      <c r="CV33" s="1362">
        <f t="shared" si="41"/>
        <v>23027.539606208287</v>
      </c>
      <c r="CW33" s="1362">
        <f t="shared" si="42"/>
        <v>92110.158424833149</v>
      </c>
      <c r="CY33" s="2887"/>
      <c r="DN33" s="1715"/>
    </row>
    <row r="34" spans="1:118" s="1143" customFormat="1" ht="45.75" customHeight="1" x14ac:dyDescent="0.35">
      <c r="A34" s="1132" t="s">
        <v>101</v>
      </c>
      <c r="B34" s="1132" t="s">
        <v>371</v>
      </c>
      <c r="C34" s="1132" t="s">
        <v>398</v>
      </c>
      <c r="D34" s="1359" t="s">
        <v>105</v>
      </c>
      <c r="E34" s="1359">
        <f>IF(AI34-AR34=0,0,1)</f>
        <v>1</v>
      </c>
      <c r="F34" s="1132" t="s">
        <v>105</v>
      </c>
      <c r="G34" s="1132" t="s">
        <v>356</v>
      </c>
      <c r="H34" s="1360">
        <v>23</v>
      </c>
      <c r="I34" s="1360">
        <v>23</v>
      </c>
      <c r="J34" s="1360">
        <v>23</v>
      </c>
      <c r="K34" s="1360">
        <v>23</v>
      </c>
      <c r="L34" s="1132" t="s">
        <v>105</v>
      </c>
      <c r="M34" s="1132" t="str">
        <f t="shared" si="0"/>
        <v/>
      </c>
      <c r="N34" s="1361">
        <v>503.33</v>
      </c>
      <c r="O34" s="1361">
        <v>503.33</v>
      </c>
      <c r="P34" s="1361">
        <v>503.33</v>
      </c>
      <c r="Q34" s="1361">
        <v>503.33</v>
      </c>
      <c r="R34" s="1781">
        <v>0.86</v>
      </c>
      <c r="S34" s="1781">
        <v>0.86</v>
      </c>
      <c r="T34" s="1781">
        <v>0.86</v>
      </c>
      <c r="U34" s="1781">
        <v>0.86</v>
      </c>
      <c r="V34" s="2567">
        <v>0.8</v>
      </c>
      <c r="W34" s="2567">
        <v>0.8</v>
      </c>
      <c r="X34" s="2567">
        <v>0.8</v>
      </c>
      <c r="Y34" s="2567">
        <v>0.8</v>
      </c>
      <c r="Z34" s="1359">
        <v>0</v>
      </c>
      <c r="AA34" s="2567">
        <f t="shared" si="2"/>
        <v>0.8</v>
      </c>
      <c r="AB34" s="2567">
        <f t="shared" si="3"/>
        <v>0.8</v>
      </c>
      <c r="AC34" s="2567">
        <f t="shared" si="4"/>
        <v>0.8</v>
      </c>
      <c r="AD34" s="2567">
        <f t="shared" si="5"/>
        <v>0.8</v>
      </c>
      <c r="AE34" s="2567">
        <f t="shared" si="6"/>
        <v>0.8</v>
      </c>
      <c r="AF34" s="2567">
        <f t="shared" si="7"/>
        <v>0.8</v>
      </c>
      <c r="AG34" s="2567">
        <f t="shared" si="8"/>
        <v>0.8</v>
      </c>
      <c r="AH34" s="2567">
        <f t="shared" si="9"/>
        <v>0.8</v>
      </c>
      <c r="AI34" s="1362">
        <f t="shared" si="43"/>
        <v>9955.8673999999992</v>
      </c>
      <c r="AJ34" s="1362">
        <f t="shared" si="44"/>
        <v>9955.8673999999992</v>
      </c>
      <c r="AK34" s="1362">
        <f t="shared" si="45"/>
        <v>9955.8673999999992</v>
      </c>
      <c r="AL34" s="1362">
        <f t="shared" si="46"/>
        <v>9955.8673999999992</v>
      </c>
      <c r="AM34" s="1362">
        <f t="shared" si="47"/>
        <v>39823.469599999997</v>
      </c>
      <c r="AN34" s="1132" t="str">
        <f t="shared" si="11"/>
        <v>Custom</v>
      </c>
      <c r="AO34" s="1132" t="str">
        <f t="shared" si="12"/>
        <v/>
      </c>
      <c r="AP34" s="2247">
        <v>503.33</v>
      </c>
      <c r="AQ34" s="2568" t="s">
        <v>376</v>
      </c>
      <c r="AR34" s="2505">
        <f t="shared" si="13"/>
        <v>9261.2720000000008</v>
      </c>
      <c r="AS34" s="2505">
        <f t="shared" si="14"/>
        <v>-694.59539999999834</v>
      </c>
      <c r="AT34" s="1132" t="str">
        <f t="shared" si="15"/>
        <v>Custom</v>
      </c>
      <c r="AU34" s="1132" t="str">
        <f t="shared" si="16"/>
        <v/>
      </c>
      <c r="AV34" s="2247">
        <v>503.33</v>
      </c>
      <c r="AW34" s="2568" t="s">
        <v>376</v>
      </c>
      <c r="AX34" s="1362">
        <f t="shared" si="17"/>
        <v>9261.2720000000008</v>
      </c>
      <c r="AY34" s="1360">
        <f t="shared" si="18"/>
        <v>-694.59539999999834</v>
      </c>
      <c r="AZ34" s="1132" t="str">
        <f t="shared" si="19"/>
        <v>Custom</v>
      </c>
      <c r="BA34" s="1132" t="str">
        <f t="shared" si="20"/>
        <v/>
      </c>
      <c r="BB34" s="2247">
        <v>503.33</v>
      </c>
      <c r="BC34" s="2568" t="s">
        <v>376</v>
      </c>
      <c r="BD34" s="1362">
        <f t="shared" si="21"/>
        <v>9261.2720000000008</v>
      </c>
      <c r="BE34" s="1360">
        <f t="shared" si="22"/>
        <v>-694.59539999999834</v>
      </c>
      <c r="BF34" s="1132" t="str">
        <f t="shared" si="23"/>
        <v>Custom</v>
      </c>
      <c r="BG34" s="1132" t="str">
        <f t="shared" si="24"/>
        <v/>
      </c>
      <c r="BH34" s="2247">
        <v>503.33</v>
      </c>
      <c r="BI34" s="2568" t="s">
        <v>376</v>
      </c>
      <c r="BJ34" s="1362">
        <f t="shared" si="48"/>
        <v>9261.2720000000008</v>
      </c>
      <c r="BK34" s="1360">
        <f t="shared" si="25"/>
        <v>-694.59539999999834</v>
      </c>
      <c r="BL34" s="1601">
        <f t="shared" si="26"/>
        <v>9261.2720000000008</v>
      </c>
      <c r="BM34" s="1601">
        <f t="shared" si="27"/>
        <v>9261.2720000000008</v>
      </c>
      <c r="BN34" s="1601">
        <f t="shared" si="28"/>
        <v>9261.2720000000008</v>
      </c>
      <c r="BO34" s="1601">
        <f t="shared" si="29"/>
        <v>9261.2720000000008</v>
      </c>
      <c r="BP34" s="1602">
        <f t="shared" si="30"/>
        <v>37045.088000000003</v>
      </c>
      <c r="BQ34" s="1602"/>
      <c r="BR34" s="1602"/>
      <c r="BS34" s="1602">
        <v>0</v>
      </c>
      <c r="BT34" s="1602">
        <v>12</v>
      </c>
      <c r="BU34" s="1602">
        <v>12</v>
      </c>
      <c r="BV34" s="1602">
        <v>12</v>
      </c>
      <c r="BW34" s="1602">
        <v>12</v>
      </c>
      <c r="BX34" s="1362">
        <f t="shared" si="49"/>
        <v>119470.40879999999</v>
      </c>
      <c r="BY34" s="1362">
        <f t="shared" si="50"/>
        <v>119470.40879999999</v>
      </c>
      <c r="BZ34" s="1362">
        <f t="shared" si="51"/>
        <v>119470.40879999999</v>
      </c>
      <c r="CA34" s="1362">
        <f t="shared" si="52"/>
        <v>119470.40879999999</v>
      </c>
      <c r="CB34" s="1362">
        <f t="shared" si="53"/>
        <v>477881.63519999996</v>
      </c>
      <c r="CC34" s="1360">
        <v>12</v>
      </c>
      <c r="CD34" s="1360">
        <v>12</v>
      </c>
      <c r="CE34" s="1360">
        <v>12</v>
      </c>
      <c r="CF34" s="1360">
        <v>12</v>
      </c>
      <c r="CG34" s="1604">
        <f t="shared" si="33"/>
        <v>111135.26400000001</v>
      </c>
      <c r="CH34" s="1604">
        <f t="shared" si="34"/>
        <v>111135.26400000001</v>
      </c>
      <c r="CI34" s="1604">
        <f t="shared" si="35"/>
        <v>111135.26400000001</v>
      </c>
      <c r="CJ34" s="1604">
        <f t="shared" si="36"/>
        <v>111135.26400000001</v>
      </c>
      <c r="CK34" s="1521">
        <f t="shared" si="37"/>
        <v>444541.05600000004</v>
      </c>
      <c r="CL34" s="1132">
        <v>27</v>
      </c>
      <c r="CM34" s="1132" t="s">
        <v>356</v>
      </c>
      <c r="CN34" s="1359">
        <v>1</v>
      </c>
      <c r="CO34" s="1360">
        <v>15.705274966220383</v>
      </c>
      <c r="CP34" s="1360">
        <v>15.705274966220383</v>
      </c>
      <c r="CQ34" s="1360">
        <v>15.705274966220383</v>
      </c>
      <c r="CR34" s="1360">
        <v>15.705274966220383</v>
      </c>
      <c r="CS34" s="1362">
        <f t="shared" si="38"/>
        <v>6323.9488389981643</v>
      </c>
      <c r="CT34" s="1362">
        <f t="shared" si="39"/>
        <v>6323.9488389981643</v>
      </c>
      <c r="CU34" s="1362">
        <f t="shared" si="40"/>
        <v>6323.9488389981643</v>
      </c>
      <c r="CV34" s="1362">
        <f t="shared" si="41"/>
        <v>6323.9488389981643</v>
      </c>
      <c r="CW34" s="1362">
        <f t="shared" si="42"/>
        <v>25295.795355992657</v>
      </c>
      <c r="CY34" s="2887"/>
      <c r="DN34" s="1715"/>
    </row>
    <row r="35" spans="1:118" s="1143" customFormat="1" ht="46.5" x14ac:dyDescent="0.35">
      <c r="A35" s="1132" t="s">
        <v>101</v>
      </c>
      <c r="B35" s="1132" t="s">
        <v>371</v>
      </c>
      <c r="C35" s="1132" t="s">
        <v>399</v>
      </c>
      <c r="D35" s="1359" t="s">
        <v>400</v>
      </c>
      <c r="E35" s="1359">
        <v>1</v>
      </c>
      <c r="F35" s="1780" t="s">
        <v>400</v>
      </c>
      <c r="G35" s="1132" t="s">
        <v>356</v>
      </c>
      <c r="H35" s="1360">
        <v>7.5</v>
      </c>
      <c r="I35" s="1360">
        <v>7.5</v>
      </c>
      <c r="J35" s="1360">
        <v>7.5</v>
      </c>
      <c r="K35" s="1360">
        <v>7.5</v>
      </c>
      <c r="L35" s="1132" t="s">
        <v>401</v>
      </c>
      <c r="M35" s="1132" t="str">
        <f t="shared" si="0"/>
        <v>Nicor Gas PY11-PY14 Adjustable Goals Template_2025-03-01, Tab 4.2.8</v>
      </c>
      <c r="N35" s="1361">
        <v>148.64153124999993</v>
      </c>
      <c r="O35" s="1361">
        <v>148.64153124999993</v>
      </c>
      <c r="P35" s="1361">
        <v>148.64153124999993</v>
      </c>
      <c r="Q35" s="1361">
        <v>148.64153124999993</v>
      </c>
      <c r="R35" s="1781">
        <v>0.86</v>
      </c>
      <c r="S35" s="1781">
        <v>0.86</v>
      </c>
      <c r="T35" s="1781">
        <v>0.86</v>
      </c>
      <c r="U35" s="1781">
        <v>0.86</v>
      </c>
      <c r="V35" s="2567">
        <v>0.8</v>
      </c>
      <c r="W35" s="2567">
        <v>0.8</v>
      </c>
      <c r="X35" s="2567">
        <v>0.8</v>
      </c>
      <c r="Y35" s="2567">
        <v>0.8</v>
      </c>
      <c r="Z35" s="1359">
        <v>0</v>
      </c>
      <c r="AA35" s="2567">
        <f t="shared" si="2"/>
        <v>0.8</v>
      </c>
      <c r="AB35" s="2567">
        <f t="shared" si="3"/>
        <v>0.8</v>
      </c>
      <c r="AC35" s="2567">
        <f t="shared" si="4"/>
        <v>0.8</v>
      </c>
      <c r="AD35" s="2567">
        <f t="shared" si="5"/>
        <v>0.8</v>
      </c>
      <c r="AE35" s="2567">
        <f t="shared" si="6"/>
        <v>0.8</v>
      </c>
      <c r="AF35" s="2567">
        <f t="shared" si="7"/>
        <v>0.8</v>
      </c>
      <c r="AG35" s="2567">
        <f t="shared" si="8"/>
        <v>0.8</v>
      </c>
      <c r="AH35" s="2567">
        <f t="shared" si="9"/>
        <v>0.8</v>
      </c>
      <c r="AI35" s="1362">
        <f t="shared" si="43"/>
        <v>958.73787656249954</v>
      </c>
      <c r="AJ35" s="1362">
        <f t="shared" si="44"/>
        <v>958.73787656249954</v>
      </c>
      <c r="AK35" s="1362">
        <f t="shared" si="45"/>
        <v>958.73787656249954</v>
      </c>
      <c r="AL35" s="1362">
        <f t="shared" si="46"/>
        <v>958.73787656249954</v>
      </c>
      <c r="AM35" s="1362">
        <f t="shared" si="47"/>
        <v>3834.9515062499981</v>
      </c>
      <c r="AN35" s="1132" t="str">
        <f t="shared" si="11"/>
        <v>CI-FSE-ESGR-V03-190101</v>
      </c>
      <c r="AO35" s="1132" t="str">
        <f t="shared" si="12"/>
        <v>Nicor Gas PY11-PY14 Adjustable Goals Template_2025-03-01, Tab 4.2.8</v>
      </c>
      <c r="AP35" s="2769">
        <f>'4.2.8'!$N$3</f>
        <v>148.64153124999993</v>
      </c>
      <c r="AQ35" s="2568" t="s">
        <v>376</v>
      </c>
      <c r="AR35" s="2505">
        <f t="shared" si="13"/>
        <v>891.84918749999963</v>
      </c>
      <c r="AS35" s="2505">
        <f t="shared" si="14"/>
        <v>-66.888689062499907</v>
      </c>
      <c r="AT35" s="1132" t="str">
        <f t="shared" si="15"/>
        <v>CI-FSE-ESGR-V03-190101</v>
      </c>
      <c r="AU35" s="1132" t="str">
        <f t="shared" si="16"/>
        <v>Nicor Gas PY11-PY14 Adjustable Goals Template_2025-03-01, Tab 4.2.8</v>
      </c>
      <c r="AV35" s="2769">
        <f>'4.2.8'!$N$3</f>
        <v>148.64153124999993</v>
      </c>
      <c r="AW35" s="2568" t="s">
        <v>376</v>
      </c>
      <c r="AX35" s="1362">
        <f t="shared" si="17"/>
        <v>891.84918749999963</v>
      </c>
      <c r="AY35" s="1360">
        <f t="shared" si="18"/>
        <v>-66.888689062499907</v>
      </c>
      <c r="AZ35" s="1132" t="str">
        <f t="shared" si="19"/>
        <v>CI-FSE-ESGR-V03-190101</v>
      </c>
      <c r="BA35" s="1132" t="str">
        <f t="shared" si="20"/>
        <v>Nicor Gas PY11-PY14 Adjustable Goals Template_2025-03-01, Tab 4.2.8</v>
      </c>
      <c r="BB35" s="2769">
        <f>'4.2.8'!$N$3</f>
        <v>148.64153124999993</v>
      </c>
      <c r="BC35" s="2568" t="s">
        <v>376</v>
      </c>
      <c r="BD35" s="1362">
        <f t="shared" si="21"/>
        <v>891.84918749999963</v>
      </c>
      <c r="BE35" s="1360">
        <f t="shared" si="22"/>
        <v>-66.888689062499907</v>
      </c>
      <c r="BF35" s="1132" t="str">
        <f t="shared" si="23"/>
        <v>CI-FSE-ESGR-V03-190101</v>
      </c>
      <c r="BG35" s="1132" t="str">
        <f t="shared" si="24"/>
        <v>Nicor Gas PY11-PY14 Adjustable Goals Template_2025-03-01, Tab 4.2.8</v>
      </c>
      <c r="BH35" s="2769">
        <f>'4.2.8'!$N$3</f>
        <v>148.64153124999993</v>
      </c>
      <c r="BI35" s="2568" t="s">
        <v>376</v>
      </c>
      <c r="BJ35" s="1362">
        <f t="shared" si="48"/>
        <v>891.84918749999963</v>
      </c>
      <c r="BK35" s="1360">
        <f t="shared" si="25"/>
        <v>-66.888689062499907</v>
      </c>
      <c r="BL35" s="1601">
        <f t="shared" si="26"/>
        <v>891.84918749999963</v>
      </c>
      <c r="BM35" s="1601">
        <f t="shared" si="27"/>
        <v>891.84918749999963</v>
      </c>
      <c r="BN35" s="1601">
        <f t="shared" si="28"/>
        <v>891.84918749999963</v>
      </c>
      <c r="BO35" s="1601">
        <f t="shared" si="29"/>
        <v>891.84918749999963</v>
      </c>
      <c r="BP35" s="1602">
        <f t="shared" si="30"/>
        <v>3567.3967499999985</v>
      </c>
      <c r="BQ35" s="1602"/>
      <c r="BR35" s="1602" t="s">
        <v>400</v>
      </c>
      <c r="BS35" s="1602">
        <v>0</v>
      </c>
      <c r="BT35" s="1602">
        <v>12</v>
      </c>
      <c r="BU35" s="1602">
        <v>12</v>
      </c>
      <c r="BV35" s="1602">
        <v>12</v>
      </c>
      <c r="BW35" s="1602">
        <v>12</v>
      </c>
      <c r="BX35" s="1362">
        <f t="shared" si="49"/>
        <v>11504.854518749995</v>
      </c>
      <c r="BY35" s="1362">
        <f t="shared" si="50"/>
        <v>11504.854518749995</v>
      </c>
      <c r="BZ35" s="1362">
        <f t="shared" si="51"/>
        <v>11504.854518749995</v>
      </c>
      <c r="CA35" s="1362">
        <f t="shared" si="52"/>
        <v>11504.854518749995</v>
      </c>
      <c r="CB35" s="1362">
        <f t="shared" si="53"/>
        <v>46019.41807499998</v>
      </c>
      <c r="CC35" s="1360">
        <v>12</v>
      </c>
      <c r="CD35" s="1360">
        <v>12</v>
      </c>
      <c r="CE35" s="1360">
        <v>12</v>
      </c>
      <c r="CF35" s="1360">
        <v>12</v>
      </c>
      <c r="CG35" s="1604">
        <f t="shared" si="33"/>
        <v>10702.190249999994</v>
      </c>
      <c r="CH35" s="1604">
        <f t="shared" si="34"/>
        <v>10702.190249999994</v>
      </c>
      <c r="CI35" s="1604">
        <f t="shared" si="35"/>
        <v>10702.190249999994</v>
      </c>
      <c r="CJ35" s="1604">
        <f t="shared" si="36"/>
        <v>10702.190249999994</v>
      </c>
      <c r="CK35" s="1521">
        <f t="shared" si="37"/>
        <v>42808.760999999977</v>
      </c>
      <c r="CL35" s="1132">
        <v>28</v>
      </c>
      <c r="CM35" s="1132" t="s">
        <v>356</v>
      </c>
      <c r="CN35" s="1359">
        <v>1</v>
      </c>
      <c r="CO35" s="1360">
        <v>5.121285315071864</v>
      </c>
      <c r="CP35" s="1360">
        <v>5.121285315071864</v>
      </c>
      <c r="CQ35" s="1360">
        <v>5.121285315071864</v>
      </c>
      <c r="CR35" s="1360">
        <v>5.121285315071864</v>
      </c>
      <c r="CS35" s="1362">
        <f t="shared" si="38"/>
        <v>608.98855296033616</v>
      </c>
      <c r="CT35" s="1362">
        <f t="shared" si="39"/>
        <v>608.98855296033616</v>
      </c>
      <c r="CU35" s="1362">
        <f t="shared" si="40"/>
        <v>608.98855296033616</v>
      </c>
      <c r="CV35" s="1362">
        <f t="shared" si="41"/>
        <v>608.98855296033616</v>
      </c>
      <c r="CW35" s="1362">
        <f t="shared" si="42"/>
        <v>2435.9542118413447</v>
      </c>
      <c r="CY35" s="2887"/>
    </row>
    <row r="36" spans="1:118" s="1143" customFormat="1" ht="46.5" x14ac:dyDescent="0.35">
      <c r="A36" s="1132" t="s">
        <v>101</v>
      </c>
      <c r="B36" s="1132" t="s">
        <v>371</v>
      </c>
      <c r="C36" s="1132" t="s">
        <v>402</v>
      </c>
      <c r="D36" s="1359" t="s">
        <v>403</v>
      </c>
      <c r="E36" s="1359">
        <v>1</v>
      </c>
      <c r="F36" s="1780" t="s">
        <v>403</v>
      </c>
      <c r="G36" s="1132" t="s">
        <v>356</v>
      </c>
      <c r="H36" s="1360">
        <v>10.25</v>
      </c>
      <c r="I36" s="1360">
        <v>10.25</v>
      </c>
      <c r="J36" s="1360">
        <v>10.25</v>
      </c>
      <c r="K36" s="1360">
        <v>10.25</v>
      </c>
      <c r="L36" s="1132" t="s">
        <v>404</v>
      </c>
      <c r="M36" s="1132" t="str">
        <f t="shared" si="0"/>
        <v>Nicor Gas PY11-PY14 Adjustable Goals Template_2025-03-01, Tab 4.2.17</v>
      </c>
      <c r="N36" s="1361">
        <v>1380</v>
      </c>
      <c r="O36" s="1361">
        <v>1380</v>
      </c>
      <c r="P36" s="1361">
        <v>1380</v>
      </c>
      <c r="Q36" s="1361">
        <v>1380</v>
      </c>
      <c r="R36" s="1781">
        <v>0.86</v>
      </c>
      <c r="S36" s="1781">
        <v>0.86</v>
      </c>
      <c r="T36" s="1781">
        <v>0.86</v>
      </c>
      <c r="U36" s="1781">
        <v>0.86</v>
      </c>
      <c r="V36" s="2567">
        <v>0.8</v>
      </c>
      <c r="W36" s="2567">
        <v>0.8</v>
      </c>
      <c r="X36" s="2567">
        <v>0.8</v>
      </c>
      <c r="Y36" s="2567">
        <v>0.8</v>
      </c>
      <c r="Z36" s="1359">
        <v>0</v>
      </c>
      <c r="AA36" s="2567">
        <f t="shared" si="2"/>
        <v>0.8</v>
      </c>
      <c r="AB36" s="2567">
        <f t="shared" si="3"/>
        <v>0.8</v>
      </c>
      <c r="AC36" s="2567">
        <f t="shared" si="4"/>
        <v>0.8</v>
      </c>
      <c r="AD36" s="2567">
        <f t="shared" si="5"/>
        <v>0.8</v>
      </c>
      <c r="AE36" s="2567">
        <f t="shared" si="6"/>
        <v>0.8</v>
      </c>
      <c r="AF36" s="2567">
        <f t="shared" si="7"/>
        <v>0.8</v>
      </c>
      <c r="AG36" s="2567">
        <f t="shared" si="8"/>
        <v>0.8</v>
      </c>
      <c r="AH36" s="2567">
        <f t="shared" si="9"/>
        <v>0.8</v>
      </c>
      <c r="AI36" s="1362">
        <f t="shared" si="43"/>
        <v>12164.699999999999</v>
      </c>
      <c r="AJ36" s="1362">
        <f t="shared" si="44"/>
        <v>12164.699999999999</v>
      </c>
      <c r="AK36" s="1362">
        <f t="shared" si="45"/>
        <v>12164.699999999999</v>
      </c>
      <c r="AL36" s="1362">
        <f t="shared" si="46"/>
        <v>12164.699999999999</v>
      </c>
      <c r="AM36" s="1362">
        <f t="shared" si="47"/>
        <v>48658.799999999996</v>
      </c>
      <c r="AN36" s="1132" t="str">
        <f t="shared" si="11"/>
        <v>CI-FSE-PCOK-V02-180101</v>
      </c>
      <c r="AO36" s="1132" t="str">
        <f t="shared" si="12"/>
        <v>Nicor Gas PY11-PY14 Adjustable Goals Template_2025-03-01, Tab 4.2.17</v>
      </c>
      <c r="AP36" s="2769">
        <f>'4.2.17'!$L$4</f>
        <v>1380</v>
      </c>
      <c r="AQ36" s="2568" t="s">
        <v>376</v>
      </c>
      <c r="AR36" s="2505">
        <f t="shared" si="13"/>
        <v>11316</v>
      </c>
      <c r="AS36" s="2505">
        <f t="shared" si="14"/>
        <v>-848.69999999999891</v>
      </c>
      <c r="AT36" s="1132" t="str">
        <f t="shared" si="15"/>
        <v>CI-FSE-PCOK-V02-180101</v>
      </c>
      <c r="AU36" s="1132" t="str">
        <f t="shared" si="16"/>
        <v>Nicor Gas PY11-PY14 Adjustable Goals Template_2025-03-01, Tab 4.2.17</v>
      </c>
      <c r="AV36" s="2769">
        <f>'4.2.17'!$L$4</f>
        <v>1380</v>
      </c>
      <c r="AW36" s="2568" t="s">
        <v>376</v>
      </c>
      <c r="AX36" s="1362">
        <f t="shared" si="17"/>
        <v>11316</v>
      </c>
      <c r="AY36" s="1360">
        <f t="shared" si="18"/>
        <v>-848.69999999999891</v>
      </c>
      <c r="AZ36" s="1132" t="str">
        <f t="shared" si="19"/>
        <v>CI-FSE-PCOK-V02-180101</v>
      </c>
      <c r="BA36" s="1132" t="str">
        <f t="shared" si="20"/>
        <v>Nicor Gas PY11-PY14 Adjustable Goals Template_2025-03-01, Tab 4.2.17</v>
      </c>
      <c r="BB36" s="2769">
        <f>'4.2.17'!$L$4</f>
        <v>1380</v>
      </c>
      <c r="BC36" s="2568" t="s">
        <v>376</v>
      </c>
      <c r="BD36" s="1362">
        <f t="shared" si="21"/>
        <v>11316</v>
      </c>
      <c r="BE36" s="1360">
        <f t="shared" si="22"/>
        <v>-848.69999999999891</v>
      </c>
      <c r="BF36" s="1132" t="str">
        <f t="shared" si="23"/>
        <v>CI-FSE-PCOK-V02-180101</v>
      </c>
      <c r="BG36" s="1132" t="str">
        <f t="shared" si="24"/>
        <v>Nicor Gas PY11-PY14 Adjustable Goals Template_2025-03-01, Tab 4.2.17</v>
      </c>
      <c r="BH36" s="2769">
        <f>'4.2.17'!$L$4</f>
        <v>1380</v>
      </c>
      <c r="BI36" s="2568" t="s">
        <v>376</v>
      </c>
      <c r="BJ36" s="1362">
        <f t="shared" si="48"/>
        <v>11316</v>
      </c>
      <c r="BK36" s="1360">
        <f t="shared" si="25"/>
        <v>-848.69999999999891</v>
      </c>
      <c r="BL36" s="1601">
        <f t="shared" si="26"/>
        <v>11316</v>
      </c>
      <c r="BM36" s="1601">
        <f t="shared" si="27"/>
        <v>11316</v>
      </c>
      <c r="BN36" s="1601">
        <f t="shared" si="28"/>
        <v>11316</v>
      </c>
      <c r="BO36" s="1601">
        <f t="shared" si="29"/>
        <v>11316</v>
      </c>
      <c r="BP36" s="1602">
        <f t="shared" si="30"/>
        <v>45264</v>
      </c>
      <c r="BQ36" s="1602"/>
      <c r="BR36" s="1602" t="s">
        <v>403</v>
      </c>
      <c r="BS36" s="1602">
        <v>0</v>
      </c>
      <c r="BT36" s="1602">
        <v>12</v>
      </c>
      <c r="BU36" s="1602">
        <v>12</v>
      </c>
      <c r="BV36" s="1602">
        <v>12</v>
      </c>
      <c r="BW36" s="1602">
        <v>12</v>
      </c>
      <c r="BX36" s="1362">
        <f t="shared" si="49"/>
        <v>145976.4</v>
      </c>
      <c r="BY36" s="1362">
        <f t="shared" si="50"/>
        <v>145976.4</v>
      </c>
      <c r="BZ36" s="1362">
        <f t="shared" si="51"/>
        <v>145976.4</v>
      </c>
      <c r="CA36" s="1362">
        <f t="shared" si="52"/>
        <v>145976.4</v>
      </c>
      <c r="CB36" s="1362">
        <f t="shared" si="53"/>
        <v>583905.6</v>
      </c>
      <c r="CC36" s="1360">
        <v>12</v>
      </c>
      <c r="CD36" s="1360">
        <v>12</v>
      </c>
      <c r="CE36" s="1360">
        <v>12</v>
      </c>
      <c r="CF36" s="1360">
        <v>12</v>
      </c>
      <c r="CG36" s="1604">
        <f t="shared" si="33"/>
        <v>135792.00000000003</v>
      </c>
      <c r="CH36" s="1604">
        <f t="shared" si="34"/>
        <v>135792.00000000003</v>
      </c>
      <c r="CI36" s="1604">
        <f t="shared" si="35"/>
        <v>135792.00000000003</v>
      </c>
      <c r="CJ36" s="1604">
        <f t="shared" si="36"/>
        <v>135792.00000000003</v>
      </c>
      <c r="CK36" s="1521">
        <f t="shared" si="37"/>
        <v>543168.00000000012</v>
      </c>
      <c r="CL36" s="1132">
        <v>29</v>
      </c>
      <c r="CM36" s="1132" t="s">
        <v>356</v>
      </c>
      <c r="CN36" s="1359">
        <v>1</v>
      </c>
      <c r="CO36" s="1360">
        <v>6.999089930598215</v>
      </c>
      <c r="CP36" s="1360">
        <v>6.999089930598215</v>
      </c>
      <c r="CQ36" s="1360">
        <v>6.999089930598215</v>
      </c>
      <c r="CR36" s="1360">
        <v>6.999089930598215</v>
      </c>
      <c r="CS36" s="1362">
        <f t="shared" si="38"/>
        <v>7726.9952833804291</v>
      </c>
      <c r="CT36" s="1362">
        <f t="shared" si="39"/>
        <v>7726.9952833804291</v>
      </c>
      <c r="CU36" s="1362">
        <f t="shared" si="40"/>
        <v>7726.9952833804291</v>
      </c>
      <c r="CV36" s="1362">
        <f t="shared" si="41"/>
        <v>7726.9952833804291</v>
      </c>
      <c r="CW36" s="1362">
        <f t="shared" si="42"/>
        <v>30907.981133521716</v>
      </c>
      <c r="CY36" s="2887"/>
      <c r="DN36" s="1715"/>
    </row>
    <row r="37" spans="1:118" s="1143" customFormat="1" ht="46.5" x14ac:dyDescent="0.35">
      <c r="A37" s="1132" t="s">
        <v>101</v>
      </c>
      <c r="B37" s="1132" t="s">
        <v>371</v>
      </c>
      <c r="C37" s="1132" t="s">
        <v>405</v>
      </c>
      <c r="D37" s="1359" t="s">
        <v>406</v>
      </c>
      <c r="E37" s="1359">
        <v>1</v>
      </c>
      <c r="F37" s="1780" t="s">
        <v>406</v>
      </c>
      <c r="G37" s="1132" t="s">
        <v>356</v>
      </c>
      <c r="H37" s="1360">
        <v>2.5</v>
      </c>
      <c r="I37" s="1360">
        <v>2.5</v>
      </c>
      <c r="J37" s="1360">
        <v>2.5</v>
      </c>
      <c r="K37" s="1360">
        <v>2.5</v>
      </c>
      <c r="L37" s="1132" t="s">
        <v>407</v>
      </c>
      <c r="M37" s="1132" t="str">
        <f t="shared" si="0"/>
        <v>Nicor Gas PY11-PY14 Adjustable Goals Template_2025-03-01, Tab 4.2.13</v>
      </c>
      <c r="N37" s="1361">
        <v>599.04</v>
      </c>
      <c r="O37" s="1361">
        <v>599.04</v>
      </c>
      <c r="P37" s="1361">
        <v>599.04</v>
      </c>
      <c r="Q37" s="1361">
        <v>599.04</v>
      </c>
      <c r="R37" s="1781">
        <v>0.86</v>
      </c>
      <c r="S37" s="1781">
        <v>0.86</v>
      </c>
      <c r="T37" s="1781">
        <v>0.86</v>
      </c>
      <c r="U37" s="1781">
        <v>0.86</v>
      </c>
      <c r="V37" s="2567">
        <v>0.8</v>
      </c>
      <c r="W37" s="2567">
        <v>0.8</v>
      </c>
      <c r="X37" s="2567">
        <v>0.8</v>
      </c>
      <c r="Y37" s="2567">
        <v>0.8</v>
      </c>
      <c r="Z37" s="1359">
        <v>0</v>
      </c>
      <c r="AA37" s="2567">
        <f t="shared" si="2"/>
        <v>0.8</v>
      </c>
      <c r="AB37" s="2567">
        <f t="shared" si="3"/>
        <v>0.8</v>
      </c>
      <c r="AC37" s="2567">
        <f t="shared" si="4"/>
        <v>0.8</v>
      </c>
      <c r="AD37" s="2567">
        <f t="shared" si="5"/>
        <v>0.8</v>
      </c>
      <c r="AE37" s="2567">
        <f t="shared" si="6"/>
        <v>0.8</v>
      </c>
      <c r="AF37" s="2567">
        <f t="shared" si="7"/>
        <v>0.8</v>
      </c>
      <c r="AG37" s="2567">
        <f t="shared" si="8"/>
        <v>0.8</v>
      </c>
      <c r="AH37" s="2567">
        <f t="shared" si="9"/>
        <v>0.8</v>
      </c>
      <c r="AI37" s="1362">
        <f t="shared" si="43"/>
        <v>1287.9359999999999</v>
      </c>
      <c r="AJ37" s="1362">
        <f t="shared" si="44"/>
        <v>1287.9359999999999</v>
      </c>
      <c r="AK37" s="1362">
        <f t="shared" si="45"/>
        <v>1287.9359999999999</v>
      </c>
      <c r="AL37" s="1362">
        <f t="shared" si="46"/>
        <v>1287.9359999999999</v>
      </c>
      <c r="AM37" s="1362">
        <f t="shared" si="47"/>
        <v>5151.7439999999997</v>
      </c>
      <c r="AN37" s="1132" t="str">
        <f t="shared" si="11"/>
        <v>CI-FSE-IROV-V02-180101</v>
      </c>
      <c r="AO37" s="1132" t="str">
        <f t="shared" si="12"/>
        <v>Nicor Gas PY11-PY14 Adjustable Goals Template_2025-03-01, Tab 4.2.13</v>
      </c>
      <c r="AP37" s="2769">
        <f>'4.2.13'!$L$3</f>
        <v>599.04</v>
      </c>
      <c r="AQ37" s="2568" t="s">
        <v>376</v>
      </c>
      <c r="AR37" s="2505">
        <f t="shared" si="13"/>
        <v>1198.08</v>
      </c>
      <c r="AS37" s="2505">
        <f t="shared" si="14"/>
        <v>-89.855999999999995</v>
      </c>
      <c r="AT37" s="1132" t="str">
        <f t="shared" si="15"/>
        <v>CI-FSE-IROV-V02-180101</v>
      </c>
      <c r="AU37" s="1132" t="str">
        <f t="shared" si="16"/>
        <v>Nicor Gas PY11-PY14 Adjustable Goals Template_2025-03-01, Tab 4.2.13</v>
      </c>
      <c r="AV37" s="2769">
        <f>'4.2.13'!$L$3</f>
        <v>599.04</v>
      </c>
      <c r="AW37" s="2568" t="s">
        <v>376</v>
      </c>
      <c r="AX37" s="1362">
        <f t="shared" si="17"/>
        <v>1198.08</v>
      </c>
      <c r="AY37" s="1360">
        <f t="shared" si="18"/>
        <v>-89.855999999999995</v>
      </c>
      <c r="AZ37" s="1132" t="str">
        <f t="shared" si="19"/>
        <v>CI-FSE-IROV-V02-180101</v>
      </c>
      <c r="BA37" s="1132" t="str">
        <f t="shared" si="20"/>
        <v>Nicor Gas PY11-PY14 Adjustable Goals Template_2025-03-01, Tab 4.2.13</v>
      </c>
      <c r="BB37" s="2769">
        <f>'4.2.13'!$L$3</f>
        <v>599.04</v>
      </c>
      <c r="BC37" s="2568" t="s">
        <v>376</v>
      </c>
      <c r="BD37" s="1362">
        <f t="shared" si="21"/>
        <v>1198.08</v>
      </c>
      <c r="BE37" s="1360">
        <f t="shared" si="22"/>
        <v>-89.855999999999995</v>
      </c>
      <c r="BF37" s="1132" t="str">
        <f t="shared" si="23"/>
        <v>CI-FSE-IROV-V02-180101</v>
      </c>
      <c r="BG37" s="1132" t="str">
        <f t="shared" si="24"/>
        <v>Nicor Gas PY11-PY14 Adjustable Goals Template_2025-03-01, Tab 4.2.13</v>
      </c>
      <c r="BH37" s="2769">
        <f>'4.2.13'!$L$3</f>
        <v>599.04</v>
      </c>
      <c r="BI37" s="2568" t="s">
        <v>376</v>
      </c>
      <c r="BJ37" s="1362">
        <f t="shared" si="48"/>
        <v>1198.08</v>
      </c>
      <c r="BK37" s="1360">
        <f t="shared" si="25"/>
        <v>-89.855999999999995</v>
      </c>
      <c r="BL37" s="1601">
        <f t="shared" si="26"/>
        <v>1198.08</v>
      </c>
      <c r="BM37" s="1601">
        <f t="shared" si="27"/>
        <v>1198.08</v>
      </c>
      <c r="BN37" s="1601">
        <f t="shared" si="28"/>
        <v>1198.08</v>
      </c>
      <c r="BO37" s="1601">
        <f t="shared" si="29"/>
        <v>1198.08</v>
      </c>
      <c r="BP37" s="1602">
        <f t="shared" si="30"/>
        <v>4792.32</v>
      </c>
      <c r="BQ37" s="1602"/>
      <c r="BR37" s="1602" t="s">
        <v>406</v>
      </c>
      <c r="BS37" s="1602">
        <v>0</v>
      </c>
      <c r="BT37" s="1602">
        <v>12</v>
      </c>
      <c r="BU37" s="1602">
        <v>12</v>
      </c>
      <c r="BV37" s="1602">
        <v>12</v>
      </c>
      <c r="BW37" s="1602">
        <v>12</v>
      </c>
      <c r="BX37" s="1362">
        <f t="shared" si="49"/>
        <v>15455.232</v>
      </c>
      <c r="BY37" s="1362">
        <f t="shared" si="50"/>
        <v>15455.232</v>
      </c>
      <c r="BZ37" s="1362">
        <f t="shared" si="51"/>
        <v>15455.232</v>
      </c>
      <c r="CA37" s="1362">
        <f t="shared" si="52"/>
        <v>15455.232</v>
      </c>
      <c r="CB37" s="1362">
        <f t="shared" si="53"/>
        <v>61820.928</v>
      </c>
      <c r="CC37" s="1360">
        <v>12</v>
      </c>
      <c r="CD37" s="1360">
        <v>12</v>
      </c>
      <c r="CE37" s="1360">
        <v>12</v>
      </c>
      <c r="CF37" s="1360">
        <v>12</v>
      </c>
      <c r="CG37" s="1604">
        <f t="shared" si="33"/>
        <v>14376.96</v>
      </c>
      <c r="CH37" s="1604">
        <f t="shared" si="34"/>
        <v>14376.96</v>
      </c>
      <c r="CI37" s="1604">
        <f t="shared" si="35"/>
        <v>14376.96</v>
      </c>
      <c r="CJ37" s="1604">
        <f t="shared" si="36"/>
        <v>14376.96</v>
      </c>
      <c r="CK37" s="1521">
        <f t="shared" si="37"/>
        <v>57507.839999999997</v>
      </c>
      <c r="CL37" s="1132">
        <v>30</v>
      </c>
      <c r="CM37" s="1132" t="s">
        <v>356</v>
      </c>
      <c r="CN37" s="1359">
        <v>1</v>
      </c>
      <c r="CO37" s="1360">
        <v>1.7070951050239547</v>
      </c>
      <c r="CP37" s="1360">
        <v>1.7070951050239547</v>
      </c>
      <c r="CQ37" s="1360">
        <v>1.7070951050239547</v>
      </c>
      <c r="CR37" s="1360">
        <v>1.7070951050239547</v>
      </c>
      <c r="CS37" s="1362">
        <f t="shared" si="38"/>
        <v>818.09460137083988</v>
      </c>
      <c r="CT37" s="1362">
        <f t="shared" si="39"/>
        <v>818.09460137083988</v>
      </c>
      <c r="CU37" s="1362">
        <f t="shared" si="40"/>
        <v>818.09460137083988</v>
      </c>
      <c r="CV37" s="1362">
        <f t="shared" si="41"/>
        <v>818.09460137083988</v>
      </c>
      <c r="CW37" s="1362">
        <f t="shared" si="42"/>
        <v>3272.3784054833595</v>
      </c>
      <c r="CY37" s="2887"/>
      <c r="DN37" s="1715"/>
    </row>
    <row r="38" spans="1:118" s="1143" customFormat="1" ht="46.5" x14ac:dyDescent="0.35">
      <c r="A38" s="1132" t="s">
        <v>101</v>
      </c>
      <c r="B38" s="1132" t="s">
        <v>371</v>
      </c>
      <c r="C38" s="1132" t="s">
        <v>408</v>
      </c>
      <c r="D38" s="1359" t="s">
        <v>409</v>
      </c>
      <c r="E38" s="1359">
        <v>1</v>
      </c>
      <c r="F38" s="1780" t="s">
        <v>409</v>
      </c>
      <c r="G38" s="1132" t="s">
        <v>356</v>
      </c>
      <c r="H38" s="1360">
        <v>7.5</v>
      </c>
      <c r="I38" s="1360">
        <v>7.5</v>
      </c>
      <c r="J38" s="1360">
        <v>7.5</v>
      </c>
      <c r="K38" s="1360">
        <v>7.5</v>
      </c>
      <c r="L38" s="1132" t="s">
        <v>410</v>
      </c>
      <c r="M38" s="1132" t="str">
        <f t="shared" si="0"/>
        <v>Nicor Gas PY11-PY14 Adjustable Goals Template_2025-03-01, Tab 4.2.12</v>
      </c>
      <c r="N38" s="1361">
        <v>706.68</v>
      </c>
      <c r="O38" s="1361">
        <v>706.68</v>
      </c>
      <c r="P38" s="1361">
        <v>706.68</v>
      </c>
      <c r="Q38" s="1361">
        <v>706.68</v>
      </c>
      <c r="R38" s="1781">
        <v>0.86</v>
      </c>
      <c r="S38" s="1781">
        <v>0.86</v>
      </c>
      <c r="T38" s="1781">
        <v>0.86</v>
      </c>
      <c r="U38" s="1781">
        <v>0.86</v>
      </c>
      <c r="V38" s="2567">
        <v>0.8</v>
      </c>
      <c r="W38" s="2567">
        <v>0.8</v>
      </c>
      <c r="X38" s="2567">
        <v>0.8</v>
      </c>
      <c r="Y38" s="2567">
        <v>0.8</v>
      </c>
      <c r="Z38" s="1359">
        <v>0</v>
      </c>
      <c r="AA38" s="2567">
        <f t="shared" si="2"/>
        <v>0.8</v>
      </c>
      <c r="AB38" s="2567">
        <f t="shared" si="3"/>
        <v>0.8</v>
      </c>
      <c r="AC38" s="2567">
        <f t="shared" si="4"/>
        <v>0.8</v>
      </c>
      <c r="AD38" s="2567">
        <f t="shared" si="5"/>
        <v>0.8</v>
      </c>
      <c r="AE38" s="2567">
        <f t="shared" si="6"/>
        <v>0.8</v>
      </c>
      <c r="AF38" s="2567">
        <f t="shared" si="7"/>
        <v>0.8</v>
      </c>
      <c r="AG38" s="2567">
        <f t="shared" si="8"/>
        <v>0.8</v>
      </c>
      <c r="AH38" s="2567">
        <f t="shared" si="9"/>
        <v>0.8</v>
      </c>
      <c r="AI38" s="1362">
        <f t="shared" si="43"/>
        <v>4558.0859999999993</v>
      </c>
      <c r="AJ38" s="1362">
        <f t="shared" si="44"/>
        <v>4558.0859999999993</v>
      </c>
      <c r="AK38" s="1362">
        <f t="shared" si="45"/>
        <v>4558.0859999999993</v>
      </c>
      <c r="AL38" s="1362">
        <f t="shared" si="46"/>
        <v>4558.0859999999993</v>
      </c>
      <c r="AM38" s="1362">
        <f t="shared" si="47"/>
        <v>18232.343999999997</v>
      </c>
      <c r="AN38" s="1132" t="str">
        <f t="shared" si="11"/>
        <v>CI-FSE-IRCB-V02-180101</v>
      </c>
      <c r="AO38" s="1132" t="str">
        <f t="shared" si="12"/>
        <v>Nicor Gas PY11-PY14 Adjustable Goals Template_2025-03-01, Tab 4.2.12</v>
      </c>
      <c r="AP38" s="2769">
        <f>'4.2.12'!$L$3</f>
        <v>706.68</v>
      </c>
      <c r="AQ38" s="2568" t="s">
        <v>376</v>
      </c>
      <c r="AR38" s="2505">
        <f t="shared" si="13"/>
        <v>4240.08</v>
      </c>
      <c r="AS38" s="2505">
        <f t="shared" si="14"/>
        <v>-318.0059999999994</v>
      </c>
      <c r="AT38" s="1132" t="str">
        <f t="shared" si="15"/>
        <v>CI-FSE-IRCB-V02-180101</v>
      </c>
      <c r="AU38" s="1132" t="str">
        <f t="shared" si="16"/>
        <v>Nicor Gas PY11-PY14 Adjustable Goals Template_2025-03-01, Tab 4.2.12</v>
      </c>
      <c r="AV38" s="2769">
        <f>'4.2.12'!$L$3</f>
        <v>706.68</v>
      </c>
      <c r="AW38" s="2568" t="s">
        <v>376</v>
      </c>
      <c r="AX38" s="1362">
        <f t="shared" si="17"/>
        <v>4240.08</v>
      </c>
      <c r="AY38" s="1360">
        <f t="shared" si="18"/>
        <v>-318.0059999999994</v>
      </c>
      <c r="AZ38" s="1132" t="str">
        <f t="shared" si="19"/>
        <v>CI-FSE-IRCB-V02-180101</v>
      </c>
      <c r="BA38" s="1132" t="str">
        <f t="shared" si="20"/>
        <v>Nicor Gas PY11-PY14 Adjustable Goals Template_2025-03-01, Tab 4.2.12</v>
      </c>
      <c r="BB38" s="2769">
        <f>'4.2.12'!$L$3</f>
        <v>706.68</v>
      </c>
      <c r="BC38" s="2568" t="s">
        <v>376</v>
      </c>
      <c r="BD38" s="1362">
        <f t="shared" si="21"/>
        <v>4240.08</v>
      </c>
      <c r="BE38" s="1360">
        <f t="shared" si="22"/>
        <v>-318.0059999999994</v>
      </c>
      <c r="BF38" s="1132" t="str">
        <f t="shared" si="23"/>
        <v>CI-FSE-IRCB-V02-180101</v>
      </c>
      <c r="BG38" s="1132" t="str">
        <f t="shared" si="24"/>
        <v>Nicor Gas PY11-PY14 Adjustable Goals Template_2025-03-01, Tab 4.2.12</v>
      </c>
      <c r="BH38" s="2769">
        <f>'4.2.12'!$L$3</f>
        <v>706.68</v>
      </c>
      <c r="BI38" s="2568" t="s">
        <v>376</v>
      </c>
      <c r="BJ38" s="1362">
        <f t="shared" si="48"/>
        <v>4240.08</v>
      </c>
      <c r="BK38" s="1360">
        <f t="shared" si="25"/>
        <v>-318.0059999999994</v>
      </c>
      <c r="BL38" s="1601">
        <f t="shared" si="26"/>
        <v>4240.08</v>
      </c>
      <c r="BM38" s="1601">
        <f t="shared" si="27"/>
        <v>4240.08</v>
      </c>
      <c r="BN38" s="1601">
        <f t="shared" si="28"/>
        <v>4240.08</v>
      </c>
      <c r="BO38" s="1601">
        <f t="shared" si="29"/>
        <v>4240.08</v>
      </c>
      <c r="BP38" s="1602">
        <f t="shared" si="30"/>
        <v>16960.32</v>
      </c>
      <c r="BQ38" s="1602"/>
      <c r="BR38" s="1602" t="s">
        <v>409</v>
      </c>
      <c r="BS38" s="1602">
        <v>0</v>
      </c>
      <c r="BT38" s="1602">
        <v>12</v>
      </c>
      <c r="BU38" s="1602">
        <v>12</v>
      </c>
      <c r="BV38" s="1602">
        <v>12</v>
      </c>
      <c r="BW38" s="1602">
        <v>12</v>
      </c>
      <c r="BX38" s="1362">
        <f t="shared" si="49"/>
        <v>54697.031999999992</v>
      </c>
      <c r="BY38" s="1362">
        <f t="shared" si="50"/>
        <v>54697.031999999992</v>
      </c>
      <c r="BZ38" s="1362">
        <f t="shared" si="51"/>
        <v>54697.031999999992</v>
      </c>
      <c r="CA38" s="1362">
        <f t="shared" si="52"/>
        <v>54697.031999999992</v>
      </c>
      <c r="CB38" s="1362">
        <f t="shared" si="53"/>
        <v>218788.12799999997</v>
      </c>
      <c r="CC38" s="1360">
        <v>12</v>
      </c>
      <c r="CD38" s="1360">
        <v>12</v>
      </c>
      <c r="CE38" s="1360">
        <v>12</v>
      </c>
      <c r="CF38" s="1360">
        <v>12</v>
      </c>
      <c r="CG38" s="1604">
        <f t="shared" si="33"/>
        <v>50880.959999999999</v>
      </c>
      <c r="CH38" s="1604">
        <f t="shared" si="34"/>
        <v>50880.959999999999</v>
      </c>
      <c r="CI38" s="1604">
        <f t="shared" si="35"/>
        <v>50880.959999999999</v>
      </c>
      <c r="CJ38" s="1604">
        <f t="shared" si="36"/>
        <v>50880.959999999999</v>
      </c>
      <c r="CK38" s="1521">
        <f t="shared" si="37"/>
        <v>203523.84</v>
      </c>
      <c r="CL38" s="1132">
        <v>31</v>
      </c>
      <c r="CM38" s="1132" t="s">
        <v>356</v>
      </c>
      <c r="CN38" s="1359">
        <v>1</v>
      </c>
      <c r="CO38" s="1360">
        <v>5.121285315071864</v>
      </c>
      <c r="CP38" s="1360">
        <v>5.121285315071864</v>
      </c>
      <c r="CQ38" s="1360">
        <v>5.121285315071864</v>
      </c>
      <c r="CR38" s="1360">
        <v>5.121285315071864</v>
      </c>
      <c r="CS38" s="1362">
        <f t="shared" si="38"/>
        <v>2895.2879251639879</v>
      </c>
      <c r="CT38" s="1362">
        <f t="shared" si="39"/>
        <v>2895.2879251639879</v>
      </c>
      <c r="CU38" s="1362">
        <f t="shared" si="40"/>
        <v>2895.2879251639879</v>
      </c>
      <c r="CV38" s="1362">
        <f t="shared" si="41"/>
        <v>2895.2879251639879</v>
      </c>
      <c r="CW38" s="1362">
        <f t="shared" si="42"/>
        <v>11581.151700655952</v>
      </c>
      <c r="CY38" s="2887"/>
      <c r="DN38" s="1715"/>
    </row>
    <row r="39" spans="1:118" s="1143" customFormat="1" ht="15" customHeight="1" x14ac:dyDescent="0.35">
      <c r="A39" s="1132" t="s">
        <v>101</v>
      </c>
      <c r="B39" s="1132" t="s">
        <v>371</v>
      </c>
      <c r="C39" s="1132" t="s">
        <v>411</v>
      </c>
      <c r="D39" s="1359" t="s">
        <v>412</v>
      </c>
      <c r="E39" s="1359">
        <v>1</v>
      </c>
      <c r="F39" s="1780" t="s">
        <v>412</v>
      </c>
      <c r="G39" s="1132" t="s">
        <v>356</v>
      </c>
      <c r="H39" s="1360">
        <v>2.5</v>
      </c>
      <c r="I39" s="1360">
        <v>2.5</v>
      </c>
      <c r="J39" s="1360">
        <v>2.5</v>
      </c>
      <c r="K39" s="1360">
        <v>2.5</v>
      </c>
      <c r="L39" s="1132" t="s">
        <v>413</v>
      </c>
      <c r="M39" s="1132" t="str">
        <f t="shared" si="0"/>
        <v>Nicor Gas PY11-PY14 Adjustable Goals Template_2025-03-01, Tab 4.2.15</v>
      </c>
      <c r="N39" s="1361">
        <v>943.48799999999983</v>
      </c>
      <c r="O39" s="1361">
        <v>943.48799999999983</v>
      </c>
      <c r="P39" s="1361">
        <v>943.48799999999983</v>
      </c>
      <c r="Q39" s="1361">
        <v>943.48799999999983</v>
      </c>
      <c r="R39" s="1781">
        <v>0.86</v>
      </c>
      <c r="S39" s="1781">
        <v>0.86</v>
      </c>
      <c r="T39" s="1781">
        <v>0.86</v>
      </c>
      <c r="U39" s="1781">
        <v>0.86</v>
      </c>
      <c r="V39" s="2567">
        <v>0.8</v>
      </c>
      <c r="W39" s="2567">
        <v>0.8</v>
      </c>
      <c r="X39" s="2567">
        <v>0.8</v>
      </c>
      <c r="Y39" s="2567">
        <v>0.8</v>
      </c>
      <c r="Z39" s="1359">
        <v>0</v>
      </c>
      <c r="AA39" s="2567">
        <f t="shared" si="2"/>
        <v>0.8</v>
      </c>
      <c r="AB39" s="2567">
        <f t="shared" si="3"/>
        <v>0.8</v>
      </c>
      <c r="AC39" s="2567">
        <f t="shared" si="4"/>
        <v>0.8</v>
      </c>
      <c r="AD39" s="2567">
        <f t="shared" si="5"/>
        <v>0.8</v>
      </c>
      <c r="AE39" s="2567">
        <f t="shared" si="6"/>
        <v>0.8</v>
      </c>
      <c r="AF39" s="2567">
        <f t="shared" si="7"/>
        <v>0.8</v>
      </c>
      <c r="AG39" s="2567">
        <f t="shared" si="8"/>
        <v>0.8</v>
      </c>
      <c r="AH39" s="2567">
        <f t="shared" si="9"/>
        <v>0.8</v>
      </c>
      <c r="AI39" s="1362">
        <f t="shared" si="43"/>
        <v>2028.4991999999995</v>
      </c>
      <c r="AJ39" s="1362">
        <f t="shared" si="44"/>
        <v>2028.4991999999995</v>
      </c>
      <c r="AK39" s="1362">
        <f t="shared" si="45"/>
        <v>2028.4991999999995</v>
      </c>
      <c r="AL39" s="1362">
        <f t="shared" si="46"/>
        <v>2028.4991999999995</v>
      </c>
      <c r="AM39" s="1362">
        <f t="shared" si="47"/>
        <v>8113.9967999999981</v>
      </c>
      <c r="AN39" s="1132" t="str">
        <f t="shared" si="11"/>
        <v>CI-FSE-IRUB-V02-180101</v>
      </c>
      <c r="AO39" s="1132" t="str">
        <f t="shared" si="12"/>
        <v>Nicor Gas PY11-PY14 Adjustable Goals Template_2025-03-01, Tab 4.2.15</v>
      </c>
      <c r="AP39" s="2769">
        <f>'4.2.15'!$L$4</f>
        <v>943.48799999999983</v>
      </c>
      <c r="AQ39" s="2568" t="s">
        <v>376</v>
      </c>
      <c r="AR39" s="2505">
        <f t="shared" si="13"/>
        <v>1886.9759999999997</v>
      </c>
      <c r="AS39" s="2505">
        <f t="shared" si="14"/>
        <v>-141.52319999999986</v>
      </c>
      <c r="AT39" s="1132" t="str">
        <f t="shared" si="15"/>
        <v>CI-FSE-IRUB-V02-180101</v>
      </c>
      <c r="AU39" s="1132" t="str">
        <f t="shared" si="16"/>
        <v>Nicor Gas PY11-PY14 Adjustable Goals Template_2025-03-01, Tab 4.2.15</v>
      </c>
      <c r="AV39" s="2769">
        <f>'4.2.15'!$L$4</f>
        <v>943.48799999999983</v>
      </c>
      <c r="AW39" s="2568" t="s">
        <v>376</v>
      </c>
      <c r="AX39" s="1362">
        <f t="shared" si="17"/>
        <v>1886.9759999999997</v>
      </c>
      <c r="AY39" s="1360">
        <f t="shared" si="18"/>
        <v>-141.52319999999986</v>
      </c>
      <c r="AZ39" s="1132" t="str">
        <f t="shared" si="19"/>
        <v>CI-FSE-IRUB-V02-180101</v>
      </c>
      <c r="BA39" s="1132" t="str">
        <f t="shared" si="20"/>
        <v>Nicor Gas PY11-PY14 Adjustable Goals Template_2025-03-01, Tab 4.2.15</v>
      </c>
      <c r="BB39" s="2769">
        <f>'4.2.15'!$L$4</f>
        <v>943.48799999999983</v>
      </c>
      <c r="BC39" s="2568" t="s">
        <v>376</v>
      </c>
      <c r="BD39" s="1362">
        <f t="shared" si="21"/>
        <v>1886.9759999999997</v>
      </c>
      <c r="BE39" s="1360">
        <f t="shared" si="22"/>
        <v>-141.52319999999986</v>
      </c>
      <c r="BF39" s="1132" t="str">
        <f t="shared" si="23"/>
        <v>CI-FSE-IRUB-V02-180101</v>
      </c>
      <c r="BG39" s="1132" t="str">
        <f t="shared" si="24"/>
        <v>Nicor Gas PY11-PY14 Adjustable Goals Template_2025-03-01, Tab 4.2.15</v>
      </c>
      <c r="BH39" s="2769">
        <f>'4.2.15'!$L$4</f>
        <v>943.48799999999983</v>
      </c>
      <c r="BI39" s="2568" t="s">
        <v>376</v>
      </c>
      <c r="BJ39" s="1362">
        <f t="shared" si="48"/>
        <v>1886.9759999999997</v>
      </c>
      <c r="BK39" s="1360">
        <f t="shared" si="25"/>
        <v>-141.52319999999986</v>
      </c>
      <c r="BL39" s="1601">
        <f t="shared" si="26"/>
        <v>1886.9759999999997</v>
      </c>
      <c r="BM39" s="1601">
        <f t="shared" si="27"/>
        <v>1886.9759999999997</v>
      </c>
      <c r="BN39" s="1601">
        <f t="shared" si="28"/>
        <v>1886.9759999999997</v>
      </c>
      <c r="BO39" s="1601">
        <f t="shared" si="29"/>
        <v>1886.9759999999997</v>
      </c>
      <c r="BP39" s="1602">
        <f t="shared" si="30"/>
        <v>7547.9039999999986</v>
      </c>
      <c r="BQ39" s="1602"/>
      <c r="BR39" s="1602" t="s">
        <v>412</v>
      </c>
      <c r="BS39" s="1602">
        <v>0</v>
      </c>
      <c r="BT39" s="1602">
        <v>12</v>
      </c>
      <c r="BU39" s="1602">
        <v>12</v>
      </c>
      <c r="BV39" s="1602">
        <v>12</v>
      </c>
      <c r="BW39" s="1602">
        <v>12</v>
      </c>
      <c r="BX39" s="1362">
        <f t="shared" si="49"/>
        <v>24341.990399999995</v>
      </c>
      <c r="BY39" s="1362">
        <f t="shared" si="50"/>
        <v>24341.990399999995</v>
      </c>
      <c r="BZ39" s="1362">
        <f t="shared" si="51"/>
        <v>24341.990399999995</v>
      </c>
      <c r="CA39" s="1362">
        <f t="shared" si="52"/>
        <v>24341.990399999995</v>
      </c>
      <c r="CB39" s="1362">
        <f t="shared" si="53"/>
        <v>97367.961599999981</v>
      </c>
      <c r="CC39" s="1360">
        <v>12</v>
      </c>
      <c r="CD39" s="1360">
        <v>12</v>
      </c>
      <c r="CE39" s="1360">
        <v>12</v>
      </c>
      <c r="CF39" s="1360">
        <v>12</v>
      </c>
      <c r="CG39" s="1604">
        <f t="shared" si="33"/>
        <v>22643.711999999996</v>
      </c>
      <c r="CH39" s="1604">
        <f t="shared" si="34"/>
        <v>22643.711999999996</v>
      </c>
      <c r="CI39" s="1604">
        <f t="shared" si="35"/>
        <v>22643.711999999996</v>
      </c>
      <c r="CJ39" s="1604">
        <f t="shared" si="36"/>
        <v>22643.711999999996</v>
      </c>
      <c r="CK39" s="1521">
        <f t="shared" si="37"/>
        <v>90574.847999999984</v>
      </c>
      <c r="CL39" s="1132">
        <v>32</v>
      </c>
      <c r="CM39" s="1132" t="s">
        <v>356</v>
      </c>
      <c r="CN39" s="1359">
        <v>1</v>
      </c>
      <c r="CO39" s="1360">
        <v>1.7070951050239547</v>
      </c>
      <c r="CP39" s="1360">
        <v>1.7070951050239547</v>
      </c>
      <c r="CQ39" s="1360">
        <v>1.7070951050239547</v>
      </c>
      <c r="CR39" s="1360">
        <v>1.7070951050239547</v>
      </c>
      <c r="CS39" s="1362">
        <f t="shared" si="38"/>
        <v>1288.4989971590726</v>
      </c>
      <c r="CT39" s="1362">
        <f t="shared" si="39"/>
        <v>1288.4989971590726</v>
      </c>
      <c r="CU39" s="1362">
        <f t="shared" si="40"/>
        <v>1288.4989971590726</v>
      </c>
      <c r="CV39" s="1362">
        <f t="shared" si="41"/>
        <v>1288.4989971590726</v>
      </c>
      <c r="CW39" s="1362">
        <f t="shared" si="42"/>
        <v>5153.9959886362903</v>
      </c>
      <c r="CY39" s="2887"/>
      <c r="DN39" s="1715"/>
    </row>
    <row r="40" spans="1:118" s="1143" customFormat="1" ht="46.5" x14ac:dyDescent="0.35">
      <c r="A40" s="1132" t="s">
        <v>101</v>
      </c>
      <c r="B40" s="1132" t="s">
        <v>371</v>
      </c>
      <c r="C40" s="1132" t="s">
        <v>414</v>
      </c>
      <c r="D40" s="1359" t="s">
        <v>415</v>
      </c>
      <c r="E40" s="1359">
        <v>1</v>
      </c>
      <c r="F40" s="1780" t="s">
        <v>415</v>
      </c>
      <c r="G40" s="1132" t="s">
        <v>356</v>
      </c>
      <c r="H40" s="1360">
        <v>5.25</v>
      </c>
      <c r="I40" s="1360">
        <v>5.25</v>
      </c>
      <c r="J40" s="1360">
        <v>5.25</v>
      </c>
      <c r="K40" s="1360">
        <v>5.25</v>
      </c>
      <c r="L40" s="1132" t="s">
        <v>416</v>
      </c>
      <c r="M40" s="1132" t="str">
        <f t="shared" si="0"/>
        <v>Nicor Gas PY11-PY14 Adjustable Goals Template_2025-03-01, Tab 4.2.14</v>
      </c>
      <c r="N40" s="1361">
        <v>240.23999999999995</v>
      </c>
      <c r="O40" s="1361">
        <v>240.23999999999995</v>
      </c>
      <c r="P40" s="1361">
        <v>240.23999999999995</v>
      </c>
      <c r="Q40" s="1361">
        <v>240.23999999999995</v>
      </c>
      <c r="R40" s="1781">
        <v>0.86</v>
      </c>
      <c r="S40" s="1781">
        <v>0.86</v>
      </c>
      <c r="T40" s="1781">
        <v>0.86</v>
      </c>
      <c r="U40" s="1781">
        <v>0.86</v>
      </c>
      <c r="V40" s="2567">
        <v>0.8</v>
      </c>
      <c r="W40" s="2567">
        <v>0.8</v>
      </c>
      <c r="X40" s="2567">
        <v>0.8</v>
      </c>
      <c r="Y40" s="2567">
        <v>0.8</v>
      </c>
      <c r="Z40" s="1359">
        <v>0</v>
      </c>
      <c r="AA40" s="2567">
        <f t="shared" si="2"/>
        <v>0.8</v>
      </c>
      <c r="AB40" s="2567">
        <f t="shared" si="3"/>
        <v>0.8</v>
      </c>
      <c r="AC40" s="2567">
        <f t="shared" si="4"/>
        <v>0.8</v>
      </c>
      <c r="AD40" s="2567">
        <f t="shared" si="5"/>
        <v>0.8</v>
      </c>
      <c r="AE40" s="2567">
        <f t="shared" si="6"/>
        <v>0.8</v>
      </c>
      <c r="AF40" s="2567">
        <f t="shared" si="7"/>
        <v>0.8</v>
      </c>
      <c r="AG40" s="2567">
        <f t="shared" si="8"/>
        <v>0.8</v>
      </c>
      <c r="AH40" s="2567">
        <f t="shared" si="9"/>
        <v>0.8</v>
      </c>
      <c r="AI40" s="1362">
        <f t="shared" si="43"/>
        <v>1084.6835999999998</v>
      </c>
      <c r="AJ40" s="1362">
        <f t="shared" si="44"/>
        <v>1084.6835999999998</v>
      </c>
      <c r="AK40" s="1362">
        <f t="shared" si="45"/>
        <v>1084.6835999999998</v>
      </c>
      <c r="AL40" s="1362">
        <f t="shared" si="46"/>
        <v>1084.6835999999998</v>
      </c>
      <c r="AM40" s="1362">
        <f t="shared" si="47"/>
        <v>4338.7343999999994</v>
      </c>
      <c r="AN40" s="1132" t="str">
        <f t="shared" si="11"/>
        <v>CI-FSE-IRBL-V02-180101</v>
      </c>
      <c r="AO40" s="1132" t="str">
        <f t="shared" si="12"/>
        <v>Nicor Gas PY11-PY14 Adjustable Goals Template_2025-03-01, Tab 4.2.14</v>
      </c>
      <c r="AP40" s="2769">
        <f>'4.2.14'!$L$3</f>
        <v>240.23999999999995</v>
      </c>
      <c r="AQ40" s="2568" t="s">
        <v>376</v>
      </c>
      <c r="AR40" s="2505">
        <f t="shared" si="13"/>
        <v>1009.0079999999998</v>
      </c>
      <c r="AS40" s="2505">
        <f t="shared" si="14"/>
        <v>-75.675600000000031</v>
      </c>
      <c r="AT40" s="1132" t="str">
        <f t="shared" si="15"/>
        <v>CI-FSE-IRBL-V02-180101</v>
      </c>
      <c r="AU40" s="1132" t="str">
        <f t="shared" si="16"/>
        <v>Nicor Gas PY11-PY14 Adjustable Goals Template_2025-03-01, Tab 4.2.14</v>
      </c>
      <c r="AV40" s="2769">
        <f>'4.2.14'!$L$3</f>
        <v>240.23999999999995</v>
      </c>
      <c r="AW40" s="2568" t="s">
        <v>376</v>
      </c>
      <c r="AX40" s="1362">
        <f t="shared" si="17"/>
        <v>1009.0079999999998</v>
      </c>
      <c r="AY40" s="1360">
        <f t="shared" si="18"/>
        <v>-75.675600000000031</v>
      </c>
      <c r="AZ40" s="1132" t="str">
        <f t="shared" si="19"/>
        <v>CI-FSE-IRBL-V02-180101</v>
      </c>
      <c r="BA40" s="1132" t="str">
        <f t="shared" si="20"/>
        <v>Nicor Gas PY11-PY14 Adjustable Goals Template_2025-03-01, Tab 4.2.14</v>
      </c>
      <c r="BB40" s="2769">
        <f>'4.2.14'!$L$3</f>
        <v>240.23999999999995</v>
      </c>
      <c r="BC40" s="2568" t="s">
        <v>376</v>
      </c>
      <c r="BD40" s="1362">
        <f t="shared" si="21"/>
        <v>1009.0079999999998</v>
      </c>
      <c r="BE40" s="1360">
        <f t="shared" si="22"/>
        <v>-75.675600000000031</v>
      </c>
      <c r="BF40" s="1132" t="str">
        <f t="shared" si="23"/>
        <v>CI-FSE-IRBL-V02-180101</v>
      </c>
      <c r="BG40" s="1132" t="str">
        <f t="shared" si="24"/>
        <v>Nicor Gas PY11-PY14 Adjustable Goals Template_2025-03-01, Tab 4.2.14</v>
      </c>
      <c r="BH40" s="2769">
        <f>'4.2.14'!$L$3</f>
        <v>240.23999999999995</v>
      </c>
      <c r="BI40" s="2568" t="s">
        <v>376</v>
      </c>
      <c r="BJ40" s="1362">
        <f t="shared" si="48"/>
        <v>1009.0079999999998</v>
      </c>
      <c r="BK40" s="1360">
        <f t="shared" si="25"/>
        <v>-75.675600000000031</v>
      </c>
      <c r="BL40" s="1601">
        <f t="shared" si="26"/>
        <v>1009.0079999999998</v>
      </c>
      <c r="BM40" s="1601">
        <f t="shared" si="27"/>
        <v>1009.0079999999998</v>
      </c>
      <c r="BN40" s="1601">
        <f t="shared" si="28"/>
        <v>1009.0079999999998</v>
      </c>
      <c r="BO40" s="1601">
        <f t="shared" si="29"/>
        <v>1009.0079999999998</v>
      </c>
      <c r="BP40" s="1602">
        <f t="shared" si="30"/>
        <v>4036.0319999999992</v>
      </c>
      <c r="BQ40" s="1602"/>
      <c r="BR40" s="1602" t="s">
        <v>415</v>
      </c>
      <c r="BS40" s="1602">
        <v>0</v>
      </c>
      <c r="BT40" s="1602">
        <v>12</v>
      </c>
      <c r="BU40" s="1602">
        <v>12</v>
      </c>
      <c r="BV40" s="1602">
        <v>12</v>
      </c>
      <c r="BW40" s="1602">
        <v>12</v>
      </c>
      <c r="BX40" s="1362">
        <f t="shared" si="49"/>
        <v>13016.203199999998</v>
      </c>
      <c r="BY40" s="1362">
        <f t="shared" si="50"/>
        <v>13016.203199999998</v>
      </c>
      <c r="BZ40" s="1362">
        <f t="shared" si="51"/>
        <v>13016.203199999998</v>
      </c>
      <c r="CA40" s="1362">
        <f t="shared" si="52"/>
        <v>13016.203199999998</v>
      </c>
      <c r="CB40" s="1362">
        <f t="shared" si="53"/>
        <v>52064.812799999992</v>
      </c>
      <c r="CC40" s="1360">
        <v>12</v>
      </c>
      <c r="CD40" s="1360">
        <v>12</v>
      </c>
      <c r="CE40" s="1360">
        <v>12</v>
      </c>
      <c r="CF40" s="1360">
        <v>12</v>
      </c>
      <c r="CG40" s="1604">
        <f t="shared" si="33"/>
        <v>12108.095999999998</v>
      </c>
      <c r="CH40" s="1604">
        <f t="shared" si="34"/>
        <v>12108.095999999998</v>
      </c>
      <c r="CI40" s="1604">
        <f t="shared" si="35"/>
        <v>12108.095999999998</v>
      </c>
      <c r="CJ40" s="1604">
        <f t="shared" si="36"/>
        <v>12108.095999999998</v>
      </c>
      <c r="CK40" s="1521">
        <f t="shared" si="37"/>
        <v>48432.383999999991</v>
      </c>
      <c r="CL40" s="1132">
        <v>33</v>
      </c>
      <c r="CM40" s="1132" t="s">
        <v>356</v>
      </c>
      <c r="CN40" s="1359">
        <v>1</v>
      </c>
      <c r="CO40" s="1360">
        <v>3.5848997205503053</v>
      </c>
      <c r="CP40" s="1360">
        <v>3.5848997205503053</v>
      </c>
      <c r="CQ40" s="1360">
        <v>3.5848997205503053</v>
      </c>
      <c r="CR40" s="1360">
        <v>3.5848997205503053</v>
      </c>
      <c r="CS40" s="1362">
        <f t="shared" si="38"/>
        <v>688.98904709200417</v>
      </c>
      <c r="CT40" s="1362">
        <f t="shared" si="39"/>
        <v>688.98904709200417</v>
      </c>
      <c r="CU40" s="1362">
        <f t="shared" si="40"/>
        <v>688.98904709200417</v>
      </c>
      <c r="CV40" s="1362">
        <f t="shared" si="41"/>
        <v>688.98904709200417</v>
      </c>
      <c r="CW40" s="1362">
        <f t="shared" si="42"/>
        <v>2755.9561883680167</v>
      </c>
      <c r="CY40" s="2887"/>
    </row>
    <row r="41" spans="1:118" s="1143" customFormat="1" ht="45.75" customHeight="1" x14ac:dyDescent="0.35">
      <c r="A41" s="1132" t="s">
        <v>101</v>
      </c>
      <c r="B41" s="1132" t="s">
        <v>371</v>
      </c>
      <c r="C41" s="1132" t="s">
        <v>417</v>
      </c>
      <c r="D41" s="1359" t="s">
        <v>105</v>
      </c>
      <c r="E41" s="1359">
        <f>IF(AI41-AR41=0,0,1)</f>
        <v>1</v>
      </c>
      <c r="F41" s="1132" t="s">
        <v>105</v>
      </c>
      <c r="G41" s="1132" t="s">
        <v>356</v>
      </c>
      <c r="H41" s="1360">
        <v>2.5</v>
      </c>
      <c r="I41" s="1360">
        <v>2.5</v>
      </c>
      <c r="J41" s="1360">
        <v>2.5</v>
      </c>
      <c r="K41" s="1360">
        <v>2.5</v>
      </c>
      <c r="L41" s="1132" t="s">
        <v>105</v>
      </c>
      <c r="M41" s="1132" t="str">
        <f t="shared" si="0"/>
        <v/>
      </c>
      <c r="N41" s="1361">
        <v>707</v>
      </c>
      <c r="O41" s="1361">
        <v>707</v>
      </c>
      <c r="P41" s="1361">
        <v>707</v>
      </c>
      <c r="Q41" s="1361">
        <v>707</v>
      </c>
      <c r="R41" s="1781">
        <v>0.86</v>
      </c>
      <c r="S41" s="1781">
        <v>0.86</v>
      </c>
      <c r="T41" s="1781">
        <v>0.86</v>
      </c>
      <c r="U41" s="1781">
        <v>0.86</v>
      </c>
      <c r="V41" s="2567">
        <v>0.8</v>
      </c>
      <c r="W41" s="2567">
        <v>0.8</v>
      </c>
      <c r="X41" s="2567">
        <v>0.8</v>
      </c>
      <c r="Y41" s="2567">
        <v>0.8</v>
      </c>
      <c r="Z41" s="1359">
        <v>0</v>
      </c>
      <c r="AA41" s="2567">
        <f t="shared" si="2"/>
        <v>0.8</v>
      </c>
      <c r="AB41" s="2567">
        <f t="shared" si="3"/>
        <v>0.8</v>
      </c>
      <c r="AC41" s="2567">
        <f t="shared" si="4"/>
        <v>0.8</v>
      </c>
      <c r="AD41" s="2567">
        <f t="shared" si="5"/>
        <v>0.8</v>
      </c>
      <c r="AE41" s="2567">
        <f t="shared" si="6"/>
        <v>0.8</v>
      </c>
      <c r="AF41" s="2567">
        <f t="shared" si="7"/>
        <v>0.8</v>
      </c>
      <c r="AG41" s="2567">
        <f t="shared" si="8"/>
        <v>0.8</v>
      </c>
      <c r="AH41" s="2567">
        <f t="shared" si="9"/>
        <v>0.8</v>
      </c>
      <c r="AI41" s="1362">
        <f t="shared" si="43"/>
        <v>1520.05</v>
      </c>
      <c r="AJ41" s="1362">
        <f t="shared" si="44"/>
        <v>1520.05</v>
      </c>
      <c r="AK41" s="1362">
        <f t="shared" si="45"/>
        <v>1520.05</v>
      </c>
      <c r="AL41" s="1362">
        <f t="shared" si="46"/>
        <v>1520.05</v>
      </c>
      <c r="AM41" s="1362">
        <f t="shared" si="47"/>
        <v>6080.2</v>
      </c>
      <c r="AN41" s="1132" t="str">
        <f t="shared" si="11"/>
        <v>Custom</v>
      </c>
      <c r="AO41" s="1132" t="str">
        <f t="shared" si="12"/>
        <v/>
      </c>
      <c r="AP41" s="2247">
        <v>707</v>
      </c>
      <c r="AQ41" s="2568" t="s">
        <v>376</v>
      </c>
      <c r="AR41" s="2505">
        <f t="shared" si="13"/>
        <v>1414</v>
      </c>
      <c r="AS41" s="2505">
        <f t="shared" si="14"/>
        <v>-106.04999999999995</v>
      </c>
      <c r="AT41" s="1132" t="str">
        <f t="shared" si="15"/>
        <v>Custom</v>
      </c>
      <c r="AU41" s="1132" t="str">
        <f t="shared" si="16"/>
        <v/>
      </c>
      <c r="AV41" s="2247">
        <v>707</v>
      </c>
      <c r="AW41" s="2568" t="s">
        <v>376</v>
      </c>
      <c r="AX41" s="1362">
        <f t="shared" si="17"/>
        <v>1414</v>
      </c>
      <c r="AY41" s="1360">
        <f t="shared" si="18"/>
        <v>-106.04999999999995</v>
      </c>
      <c r="AZ41" s="1132" t="str">
        <f t="shared" si="19"/>
        <v>Custom</v>
      </c>
      <c r="BA41" s="1132" t="str">
        <f t="shared" si="20"/>
        <v/>
      </c>
      <c r="BB41" s="2247">
        <v>707</v>
      </c>
      <c r="BC41" s="2568" t="s">
        <v>376</v>
      </c>
      <c r="BD41" s="1362">
        <f t="shared" si="21"/>
        <v>1414</v>
      </c>
      <c r="BE41" s="1360">
        <f t="shared" si="22"/>
        <v>-106.04999999999995</v>
      </c>
      <c r="BF41" s="1132" t="str">
        <f t="shared" si="23"/>
        <v>Custom</v>
      </c>
      <c r="BG41" s="1132" t="str">
        <f t="shared" si="24"/>
        <v/>
      </c>
      <c r="BH41" s="2247">
        <v>707</v>
      </c>
      <c r="BI41" s="2568" t="s">
        <v>376</v>
      </c>
      <c r="BJ41" s="1362">
        <f t="shared" si="48"/>
        <v>1414</v>
      </c>
      <c r="BK41" s="1360">
        <f t="shared" si="25"/>
        <v>-106.04999999999995</v>
      </c>
      <c r="BL41" s="1601">
        <f t="shared" si="26"/>
        <v>1414</v>
      </c>
      <c r="BM41" s="1601">
        <f t="shared" si="27"/>
        <v>1414</v>
      </c>
      <c r="BN41" s="1601">
        <f t="shared" si="28"/>
        <v>1414</v>
      </c>
      <c r="BO41" s="1601">
        <f t="shared" si="29"/>
        <v>1414</v>
      </c>
      <c r="BP41" s="1602">
        <f t="shared" si="30"/>
        <v>5656</v>
      </c>
      <c r="BQ41" s="1602"/>
      <c r="BR41" s="1602"/>
      <c r="BS41" s="1602">
        <v>0</v>
      </c>
      <c r="BT41" s="1602">
        <v>12</v>
      </c>
      <c r="BU41" s="1602">
        <v>12</v>
      </c>
      <c r="BV41" s="1602">
        <v>12</v>
      </c>
      <c r="BW41" s="1602">
        <v>12</v>
      </c>
      <c r="BX41" s="1362">
        <f t="shared" si="49"/>
        <v>18240.599999999999</v>
      </c>
      <c r="BY41" s="1362">
        <f t="shared" si="50"/>
        <v>18240.599999999999</v>
      </c>
      <c r="BZ41" s="1362">
        <f t="shared" si="51"/>
        <v>18240.599999999999</v>
      </c>
      <c r="CA41" s="1362">
        <f t="shared" si="52"/>
        <v>18240.599999999999</v>
      </c>
      <c r="CB41" s="1362">
        <f t="shared" si="53"/>
        <v>72962.399999999994</v>
      </c>
      <c r="CC41" s="1360">
        <v>12</v>
      </c>
      <c r="CD41" s="1360">
        <v>12</v>
      </c>
      <c r="CE41" s="1360">
        <v>12</v>
      </c>
      <c r="CF41" s="1360">
        <v>12</v>
      </c>
      <c r="CG41" s="1604">
        <f t="shared" si="33"/>
        <v>16968</v>
      </c>
      <c r="CH41" s="1604">
        <f t="shared" si="34"/>
        <v>16968</v>
      </c>
      <c r="CI41" s="1604">
        <f t="shared" si="35"/>
        <v>16968</v>
      </c>
      <c r="CJ41" s="1604">
        <f t="shared" si="36"/>
        <v>16968</v>
      </c>
      <c r="CK41" s="1521">
        <f t="shared" si="37"/>
        <v>67872</v>
      </c>
      <c r="CL41" s="1132">
        <v>34</v>
      </c>
      <c r="CM41" s="1132" t="s">
        <v>356</v>
      </c>
      <c r="CN41" s="1359">
        <v>1</v>
      </c>
      <c r="CO41" s="1360">
        <v>1.7070951050239547</v>
      </c>
      <c r="CP41" s="1360">
        <v>1.7070951050239547</v>
      </c>
      <c r="CQ41" s="1360">
        <v>1.7070951050239547</v>
      </c>
      <c r="CR41" s="1360">
        <v>1.7070951050239547</v>
      </c>
      <c r="CS41" s="1362">
        <f t="shared" si="38"/>
        <v>965.53299140154877</v>
      </c>
      <c r="CT41" s="1362">
        <f t="shared" si="39"/>
        <v>965.53299140154877</v>
      </c>
      <c r="CU41" s="1362">
        <f t="shared" si="40"/>
        <v>965.53299140154877</v>
      </c>
      <c r="CV41" s="1362">
        <f t="shared" si="41"/>
        <v>965.53299140154877</v>
      </c>
      <c r="CW41" s="1362">
        <f t="shared" si="42"/>
        <v>3862.1319656061951</v>
      </c>
      <c r="CY41" s="2887"/>
      <c r="DN41" s="1715"/>
    </row>
    <row r="42" spans="1:118" s="1143" customFormat="1" ht="46.5" x14ac:dyDescent="0.35">
      <c r="A42" s="1132" t="s">
        <v>101</v>
      </c>
      <c r="B42" s="1132" t="s">
        <v>371</v>
      </c>
      <c r="C42" s="1132" t="s">
        <v>418</v>
      </c>
      <c r="D42" s="1359" t="s">
        <v>419</v>
      </c>
      <c r="E42" s="1359">
        <v>1</v>
      </c>
      <c r="F42" s="1780" t="s">
        <v>419</v>
      </c>
      <c r="G42" s="1132" t="s">
        <v>328</v>
      </c>
      <c r="H42" s="1360">
        <v>5.25</v>
      </c>
      <c r="I42" s="1360">
        <v>5.25</v>
      </c>
      <c r="J42" s="1360">
        <v>5.25</v>
      </c>
      <c r="K42" s="1360">
        <v>5.25</v>
      </c>
      <c r="L42" s="1132" t="s">
        <v>420</v>
      </c>
      <c r="M42" s="1132" t="str">
        <f t="shared" si="0"/>
        <v>Nicor Gas PY11-PY14 Adjustable Goals Template_2025-03-01, Tab 4.2.16</v>
      </c>
      <c r="N42" s="1361">
        <v>5998.5</v>
      </c>
      <c r="O42" s="1361">
        <v>5998.5</v>
      </c>
      <c r="P42" s="1361">
        <v>5998.5</v>
      </c>
      <c r="Q42" s="1361">
        <v>5998.5</v>
      </c>
      <c r="R42" s="1781">
        <v>0.86</v>
      </c>
      <c r="S42" s="1781">
        <v>0.86</v>
      </c>
      <c r="T42" s="1781">
        <v>0.86</v>
      </c>
      <c r="U42" s="1781">
        <v>0.86</v>
      </c>
      <c r="V42" s="2567">
        <v>0.8</v>
      </c>
      <c r="W42" s="2567">
        <v>0.8</v>
      </c>
      <c r="X42" s="2567">
        <v>0.8</v>
      </c>
      <c r="Y42" s="2567">
        <v>0.8</v>
      </c>
      <c r="Z42" s="1359">
        <v>0</v>
      </c>
      <c r="AA42" s="2567">
        <f t="shared" si="2"/>
        <v>0.8</v>
      </c>
      <c r="AB42" s="2567">
        <f t="shared" si="3"/>
        <v>0.8</v>
      </c>
      <c r="AC42" s="2567">
        <f t="shared" si="4"/>
        <v>0.8</v>
      </c>
      <c r="AD42" s="2567">
        <f t="shared" si="5"/>
        <v>0.8</v>
      </c>
      <c r="AE42" s="2567">
        <f t="shared" si="6"/>
        <v>0.8</v>
      </c>
      <c r="AF42" s="2567">
        <f t="shared" si="7"/>
        <v>0.8</v>
      </c>
      <c r="AG42" s="2567">
        <f t="shared" si="8"/>
        <v>0.8</v>
      </c>
      <c r="AH42" s="2567">
        <f t="shared" si="9"/>
        <v>0.8</v>
      </c>
      <c r="AI42" s="1362">
        <f t="shared" si="43"/>
        <v>27083.227500000001</v>
      </c>
      <c r="AJ42" s="1362">
        <f t="shared" si="44"/>
        <v>27083.227500000001</v>
      </c>
      <c r="AK42" s="1362">
        <f t="shared" si="45"/>
        <v>27083.227500000001</v>
      </c>
      <c r="AL42" s="1362">
        <f t="shared" si="46"/>
        <v>27083.227500000001</v>
      </c>
      <c r="AM42" s="1362">
        <f t="shared" si="47"/>
        <v>108332.91</v>
      </c>
      <c r="AN42" s="1132" t="str">
        <f t="shared" si="11"/>
        <v>CI-FSE-VENT-V04-210101</v>
      </c>
      <c r="AO42" s="1132" t="str">
        <f t="shared" si="12"/>
        <v>Nicor Gas PY11-PY14 Adjustable Goals Template_2025-03-01, Tab 4.2.16</v>
      </c>
      <c r="AP42" s="2509">
        <f>'4.2.16'!$M$3</f>
        <v>5998.5</v>
      </c>
      <c r="AQ42" s="2568" t="s">
        <v>376</v>
      </c>
      <c r="AR42" s="2505">
        <f t="shared" si="13"/>
        <v>25193.7</v>
      </c>
      <c r="AS42" s="2505">
        <f t="shared" si="14"/>
        <v>-1889.5275000000001</v>
      </c>
      <c r="AT42" s="1132" t="str">
        <f t="shared" si="15"/>
        <v>CI-FSE-VENT-V04-210101</v>
      </c>
      <c r="AU42" s="1132" t="str">
        <f t="shared" si="16"/>
        <v>Nicor Gas PY11-PY14 Adjustable Goals Template_2025-03-01, Tab 4.2.16</v>
      </c>
      <c r="AV42" s="2509">
        <f>'4.2.16'!$M$3</f>
        <v>5998.5</v>
      </c>
      <c r="AW42" s="2568" t="s">
        <v>376</v>
      </c>
      <c r="AX42" s="1362">
        <f t="shared" si="17"/>
        <v>25193.7</v>
      </c>
      <c r="AY42" s="1360">
        <f t="shared" si="18"/>
        <v>-1889.5275000000001</v>
      </c>
      <c r="AZ42" s="1132" t="str">
        <f t="shared" si="19"/>
        <v>CI-FSE-VENT-V04-210101</v>
      </c>
      <c r="BA42" s="1132" t="str">
        <f t="shared" si="20"/>
        <v>Nicor Gas PY11-PY14 Adjustable Goals Template_2025-03-01, Tab 4.2.16</v>
      </c>
      <c r="BB42" s="2509">
        <f>'4.2.16'!$M$3</f>
        <v>5998.5</v>
      </c>
      <c r="BC42" s="2568" t="s">
        <v>376</v>
      </c>
      <c r="BD42" s="1362">
        <f t="shared" si="21"/>
        <v>25193.7</v>
      </c>
      <c r="BE42" s="1360">
        <f t="shared" si="22"/>
        <v>-1889.5275000000001</v>
      </c>
      <c r="BF42" s="1132" t="str">
        <f t="shared" si="23"/>
        <v>CI-FSE-VENT-V04-210101</v>
      </c>
      <c r="BG42" s="1132" t="str">
        <f t="shared" si="24"/>
        <v>Nicor Gas PY11-PY14 Adjustable Goals Template_2025-03-01, Tab 4.2.16</v>
      </c>
      <c r="BH42" s="2509">
        <f>'4.2.16'!$M$3</f>
        <v>5998.5</v>
      </c>
      <c r="BI42" s="2568" t="s">
        <v>376</v>
      </c>
      <c r="BJ42" s="1362">
        <f t="shared" si="48"/>
        <v>25193.7</v>
      </c>
      <c r="BK42" s="1360">
        <f t="shared" si="25"/>
        <v>-1889.5275000000001</v>
      </c>
      <c r="BL42" s="1601">
        <f t="shared" si="26"/>
        <v>25193.7</v>
      </c>
      <c r="BM42" s="1601">
        <f t="shared" si="27"/>
        <v>25193.7</v>
      </c>
      <c r="BN42" s="1601">
        <f t="shared" si="28"/>
        <v>25193.7</v>
      </c>
      <c r="BO42" s="1601">
        <f t="shared" si="29"/>
        <v>25193.7</v>
      </c>
      <c r="BP42" s="1602">
        <f t="shared" si="30"/>
        <v>100774.8</v>
      </c>
      <c r="BQ42" s="1602"/>
      <c r="BR42" s="1602" t="s">
        <v>419</v>
      </c>
      <c r="BS42" s="1602">
        <v>0</v>
      </c>
      <c r="BT42" s="1602">
        <v>20</v>
      </c>
      <c r="BU42" s="1602">
        <v>20</v>
      </c>
      <c r="BV42" s="1602">
        <v>20</v>
      </c>
      <c r="BW42" s="1602">
        <v>20</v>
      </c>
      <c r="BX42" s="1362">
        <f t="shared" si="49"/>
        <v>541664.55000000005</v>
      </c>
      <c r="BY42" s="1362">
        <f t="shared" si="50"/>
        <v>541664.55000000005</v>
      </c>
      <c r="BZ42" s="1362">
        <f t="shared" si="51"/>
        <v>541664.55000000005</v>
      </c>
      <c r="CA42" s="1362">
        <f t="shared" si="52"/>
        <v>541664.55000000005</v>
      </c>
      <c r="CB42" s="1362">
        <f t="shared" si="53"/>
        <v>2166658.2000000002</v>
      </c>
      <c r="CC42" s="1360">
        <v>20</v>
      </c>
      <c r="CD42" s="1360">
        <v>20</v>
      </c>
      <c r="CE42" s="1360">
        <v>20</v>
      </c>
      <c r="CF42" s="1360">
        <v>20</v>
      </c>
      <c r="CG42" s="1604">
        <f t="shared" si="33"/>
        <v>503874</v>
      </c>
      <c r="CH42" s="1604">
        <f t="shared" si="34"/>
        <v>503874</v>
      </c>
      <c r="CI42" s="1604">
        <f t="shared" si="35"/>
        <v>503874</v>
      </c>
      <c r="CJ42" s="1604">
        <f t="shared" si="36"/>
        <v>503874</v>
      </c>
      <c r="CK42" s="1521">
        <f t="shared" si="37"/>
        <v>2015496</v>
      </c>
      <c r="CL42" s="1132">
        <v>35</v>
      </c>
      <c r="CM42" s="1132" t="s">
        <v>328</v>
      </c>
      <c r="CN42" s="1359">
        <v>1</v>
      </c>
      <c r="CO42" s="1360">
        <v>3.5848997205503053</v>
      </c>
      <c r="CP42" s="1360">
        <v>3.5848997205503053</v>
      </c>
      <c r="CQ42" s="1360">
        <v>3.5848997205503053</v>
      </c>
      <c r="CR42" s="1360">
        <v>3.5848997205503053</v>
      </c>
      <c r="CS42" s="1362">
        <f t="shared" si="38"/>
        <v>17203.216778976806</v>
      </c>
      <c r="CT42" s="1362">
        <f t="shared" si="39"/>
        <v>17203.216778976806</v>
      </c>
      <c r="CU42" s="1362">
        <f t="shared" si="40"/>
        <v>17203.216778976806</v>
      </c>
      <c r="CV42" s="1362">
        <f t="shared" si="41"/>
        <v>17203.216778976806</v>
      </c>
      <c r="CW42" s="1362">
        <f t="shared" si="42"/>
        <v>68812.867115907226</v>
      </c>
      <c r="CY42" s="2887"/>
      <c r="DN42" s="1715"/>
    </row>
    <row r="43" spans="1:118" s="1143" customFormat="1" ht="46.5" x14ac:dyDescent="0.35">
      <c r="A43" s="1132" t="s">
        <v>101</v>
      </c>
      <c r="B43" s="1132" t="s">
        <v>371</v>
      </c>
      <c r="C43" s="1132" t="s">
        <v>421</v>
      </c>
      <c r="D43" s="1359" t="s">
        <v>422</v>
      </c>
      <c r="E43" s="1359">
        <v>1</v>
      </c>
      <c r="F43" s="1132" t="s">
        <v>422</v>
      </c>
      <c r="G43" s="1132" t="s">
        <v>356</v>
      </c>
      <c r="H43" s="1360">
        <v>10.25</v>
      </c>
      <c r="I43" s="1360">
        <v>10.25</v>
      </c>
      <c r="J43" s="1360">
        <v>10.25</v>
      </c>
      <c r="K43" s="1360">
        <v>10.25</v>
      </c>
      <c r="L43" s="1132" t="s">
        <v>423</v>
      </c>
      <c r="M43" s="1132" t="str">
        <f t="shared" si="0"/>
        <v>Nicor Gas PY11-PY14 Adjustable Goals Template_2025-03-01, Tab 4.2.6</v>
      </c>
      <c r="N43" s="1361">
        <v>459</v>
      </c>
      <c r="O43" s="1361">
        <v>459</v>
      </c>
      <c r="P43" s="1361">
        <v>459</v>
      </c>
      <c r="Q43" s="1361">
        <v>459</v>
      </c>
      <c r="R43" s="1781">
        <v>0.86</v>
      </c>
      <c r="S43" s="1781">
        <v>0.86</v>
      </c>
      <c r="T43" s="1781">
        <v>0.86</v>
      </c>
      <c r="U43" s="1781">
        <v>0.86</v>
      </c>
      <c r="V43" s="2567">
        <v>0.8</v>
      </c>
      <c r="W43" s="2567">
        <v>0.8</v>
      </c>
      <c r="X43" s="2567">
        <v>0.8</v>
      </c>
      <c r="Y43" s="2567">
        <v>0.8</v>
      </c>
      <c r="Z43" s="1359">
        <v>0</v>
      </c>
      <c r="AA43" s="2567">
        <f t="shared" si="2"/>
        <v>0.8</v>
      </c>
      <c r="AB43" s="2567">
        <f t="shared" si="3"/>
        <v>0.8</v>
      </c>
      <c r="AC43" s="2567">
        <f t="shared" si="4"/>
        <v>0.8</v>
      </c>
      <c r="AD43" s="2567">
        <f t="shared" si="5"/>
        <v>0.8</v>
      </c>
      <c r="AE43" s="2567">
        <f t="shared" si="6"/>
        <v>0.8</v>
      </c>
      <c r="AF43" s="2567">
        <f t="shared" si="7"/>
        <v>0.8</v>
      </c>
      <c r="AG43" s="2567">
        <f t="shared" si="8"/>
        <v>0.8</v>
      </c>
      <c r="AH43" s="2567">
        <f t="shared" si="9"/>
        <v>0.8</v>
      </c>
      <c r="AI43" s="1362">
        <f t="shared" si="43"/>
        <v>4046.085</v>
      </c>
      <c r="AJ43" s="1362">
        <f t="shared" si="44"/>
        <v>4046.085</v>
      </c>
      <c r="AK43" s="1362">
        <f t="shared" si="45"/>
        <v>4046.085</v>
      </c>
      <c r="AL43" s="1362">
        <f t="shared" si="46"/>
        <v>4046.085</v>
      </c>
      <c r="AM43" s="1362">
        <f t="shared" si="47"/>
        <v>16184.34</v>
      </c>
      <c r="AN43" s="1132" t="str">
        <f t="shared" si="11"/>
        <v>CI-FSE-ESDW-V04-190101</v>
      </c>
      <c r="AO43" s="1132" t="str">
        <f t="shared" si="12"/>
        <v>Nicor Gas PY11-PY14 Adjustable Goals Template_2025-03-01, Tab 4.2.6</v>
      </c>
      <c r="AP43" s="2509">
        <f>'4.2.6'!$N$4</f>
        <v>459</v>
      </c>
      <c r="AQ43" s="2568" t="s">
        <v>376</v>
      </c>
      <c r="AR43" s="2505">
        <f t="shared" si="13"/>
        <v>3763.8</v>
      </c>
      <c r="AS43" s="2505">
        <f t="shared" si="14"/>
        <v>-282.28499999999985</v>
      </c>
      <c r="AT43" s="1132" t="str">
        <f t="shared" si="15"/>
        <v>CI-FSE-ESDW-V04-190101</v>
      </c>
      <c r="AU43" s="1132" t="str">
        <f t="shared" si="16"/>
        <v>Nicor Gas PY11-PY14 Adjustable Goals Template_2025-03-01, Tab 4.2.6</v>
      </c>
      <c r="AV43" s="2509">
        <f>'4.2.6'!$N$4</f>
        <v>459</v>
      </c>
      <c r="AW43" s="2568" t="s">
        <v>376</v>
      </c>
      <c r="AX43" s="1362">
        <f t="shared" si="17"/>
        <v>3763.8</v>
      </c>
      <c r="AY43" s="1360">
        <f t="shared" si="18"/>
        <v>-282.28499999999985</v>
      </c>
      <c r="AZ43" s="1132" t="str">
        <f t="shared" si="19"/>
        <v>CI-FSE-ESDW-V04-190101</v>
      </c>
      <c r="BA43" s="1132" t="str">
        <f t="shared" si="20"/>
        <v>Nicor Gas PY11-PY14 Adjustable Goals Template_2025-03-01, Tab 4.2.6</v>
      </c>
      <c r="BB43" s="2509">
        <f>'4.2.6'!$N$4</f>
        <v>459</v>
      </c>
      <c r="BC43" s="2568" t="s">
        <v>376</v>
      </c>
      <c r="BD43" s="1362">
        <f t="shared" si="21"/>
        <v>3763.8</v>
      </c>
      <c r="BE43" s="1360">
        <f t="shared" si="22"/>
        <v>-282.28499999999985</v>
      </c>
      <c r="BF43" s="1132" t="str">
        <f t="shared" si="23"/>
        <v>CI-FSE-ESDW-V04-190101</v>
      </c>
      <c r="BG43" s="1132" t="str">
        <f t="shared" si="24"/>
        <v>Nicor Gas PY11-PY14 Adjustable Goals Template_2025-03-01, Tab 4.2.6</v>
      </c>
      <c r="BH43" s="2509">
        <f>'4.2.6'!$N$4</f>
        <v>459</v>
      </c>
      <c r="BI43" s="2568" t="s">
        <v>376</v>
      </c>
      <c r="BJ43" s="1362">
        <f t="shared" si="48"/>
        <v>3763.8</v>
      </c>
      <c r="BK43" s="1360">
        <f t="shared" si="25"/>
        <v>-282.28499999999985</v>
      </c>
      <c r="BL43" s="1601">
        <f t="shared" si="26"/>
        <v>3763.8</v>
      </c>
      <c r="BM43" s="1601">
        <f t="shared" si="27"/>
        <v>3763.8</v>
      </c>
      <c r="BN43" s="1601">
        <f t="shared" si="28"/>
        <v>3763.8</v>
      </c>
      <c r="BO43" s="1601">
        <f t="shared" si="29"/>
        <v>3763.8</v>
      </c>
      <c r="BP43" s="1602">
        <f t="shared" si="30"/>
        <v>15055.2</v>
      </c>
      <c r="BQ43" s="1602"/>
      <c r="BR43" s="1602" t="s">
        <v>422</v>
      </c>
      <c r="BS43" s="1602">
        <v>0</v>
      </c>
      <c r="BT43" s="1602">
        <v>15.555555555555555</v>
      </c>
      <c r="BU43" s="1602">
        <v>15.555555555555555</v>
      </c>
      <c r="BV43" s="1602">
        <v>15.555555555555555</v>
      </c>
      <c r="BW43" s="1602">
        <v>15.555555555555555</v>
      </c>
      <c r="BX43" s="1362">
        <f t="shared" si="49"/>
        <v>62939.1</v>
      </c>
      <c r="BY43" s="1362">
        <f t="shared" si="50"/>
        <v>62939.1</v>
      </c>
      <c r="BZ43" s="1362">
        <f t="shared" si="51"/>
        <v>62939.1</v>
      </c>
      <c r="CA43" s="1362">
        <f t="shared" si="52"/>
        <v>62939.1</v>
      </c>
      <c r="CB43" s="1362">
        <f t="shared" si="53"/>
        <v>251756.4</v>
      </c>
      <c r="CC43" s="1360">
        <v>15.555555555555555</v>
      </c>
      <c r="CD43" s="1360">
        <v>15.555555555555555</v>
      </c>
      <c r="CE43" s="1360">
        <v>15.555555555555555</v>
      </c>
      <c r="CF43" s="1360">
        <v>15.555555555555555</v>
      </c>
      <c r="CG43" s="1604">
        <f t="shared" si="33"/>
        <v>58548.000000000007</v>
      </c>
      <c r="CH43" s="1604">
        <f t="shared" si="34"/>
        <v>58548.000000000007</v>
      </c>
      <c r="CI43" s="1604">
        <f t="shared" si="35"/>
        <v>58548.000000000007</v>
      </c>
      <c r="CJ43" s="1604">
        <f t="shared" si="36"/>
        <v>58548.000000000007</v>
      </c>
      <c r="CK43" s="1521">
        <f t="shared" si="37"/>
        <v>234192.00000000003</v>
      </c>
      <c r="CL43" s="1132">
        <v>36</v>
      </c>
      <c r="CM43" s="1132" t="s">
        <v>356</v>
      </c>
      <c r="CN43" s="1359">
        <v>1</v>
      </c>
      <c r="CO43" s="1360">
        <v>6.999089930598215</v>
      </c>
      <c r="CP43" s="1360">
        <v>6.999089930598215</v>
      </c>
      <c r="CQ43" s="1360">
        <v>6.999089930598215</v>
      </c>
      <c r="CR43" s="1360">
        <v>6.999089930598215</v>
      </c>
      <c r="CS43" s="1362">
        <f t="shared" si="38"/>
        <v>2570.0658225156649</v>
      </c>
      <c r="CT43" s="1362">
        <f t="shared" si="39"/>
        <v>2570.0658225156649</v>
      </c>
      <c r="CU43" s="1362">
        <f t="shared" si="40"/>
        <v>2570.0658225156649</v>
      </c>
      <c r="CV43" s="1362">
        <f t="shared" si="41"/>
        <v>2570.0658225156649</v>
      </c>
      <c r="CW43" s="1362">
        <f t="shared" si="42"/>
        <v>10280.26329006266</v>
      </c>
      <c r="CY43" s="2887"/>
      <c r="DN43" s="1715"/>
    </row>
    <row r="44" spans="1:118" s="1143" customFormat="1" ht="45.75" customHeight="1" x14ac:dyDescent="0.35">
      <c r="A44" s="1132" t="s">
        <v>101</v>
      </c>
      <c r="B44" s="1132" t="s">
        <v>424</v>
      </c>
      <c r="C44" s="1132" t="s">
        <v>425</v>
      </c>
      <c r="D44" s="1359" t="s">
        <v>105</v>
      </c>
      <c r="E44" s="1359">
        <f>IF(AI44-AR44=0,0,1)</f>
        <v>0</v>
      </c>
      <c r="F44" s="1132" t="s">
        <v>105</v>
      </c>
      <c r="G44" s="1132" t="s">
        <v>356</v>
      </c>
      <c r="H44" s="1360">
        <v>18.254249999999999</v>
      </c>
      <c r="I44" s="1360">
        <v>18.254249999999999</v>
      </c>
      <c r="J44" s="1360">
        <v>18.254249999999999</v>
      </c>
      <c r="K44" s="1360">
        <v>18.254249999999999</v>
      </c>
      <c r="L44" s="1132" t="s">
        <v>105</v>
      </c>
      <c r="M44" s="1132" t="str">
        <f t="shared" si="0"/>
        <v/>
      </c>
      <c r="N44" s="1361">
        <v>0</v>
      </c>
      <c r="O44" s="1361">
        <v>0</v>
      </c>
      <c r="P44" s="1361">
        <v>0</v>
      </c>
      <c r="Q44" s="1361">
        <v>0</v>
      </c>
      <c r="R44" s="1781">
        <v>0.86</v>
      </c>
      <c r="S44" s="1781">
        <v>0.86</v>
      </c>
      <c r="T44" s="1781">
        <v>0.86</v>
      </c>
      <c r="U44" s="1781">
        <v>0.86</v>
      </c>
      <c r="V44" s="1781">
        <v>0.86</v>
      </c>
      <c r="W44" s="1781">
        <v>0.86</v>
      </c>
      <c r="X44" s="1781">
        <v>0.86</v>
      </c>
      <c r="Y44" s="1781">
        <v>0.86</v>
      </c>
      <c r="Z44" s="1359">
        <v>1</v>
      </c>
      <c r="AA44" s="1781">
        <f t="shared" si="2"/>
        <v>0.86</v>
      </c>
      <c r="AB44" s="1781">
        <f t="shared" si="3"/>
        <v>0.86</v>
      </c>
      <c r="AC44" s="1781">
        <f t="shared" si="4"/>
        <v>0.86</v>
      </c>
      <c r="AD44" s="1781">
        <f t="shared" si="5"/>
        <v>0.86</v>
      </c>
      <c r="AE44" s="1781">
        <f t="shared" si="6"/>
        <v>0.86</v>
      </c>
      <c r="AF44" s="1781">
        <f t="shared" si="7"/>
        <v>0.86</v>
      </c>
      <c r="AG44" s="1781">
        <f t="shared" si="8"/>
        <v>0.86</v>
      </c>
      <c r="AH44" s="1781">
        <f t="shared" si="9"/>
        <v>0.86</v>
      </c>
      <c r="AI44" s="1362">
        <f t="shared" si="43"/>
        <v>0</v>
      </c>
      <c r="AJ44" s="1362">
        <f t="shared" si="44"/>
        <v>0</v>
      </c>
      <c r="AK44" s="1362">
        <f t="shared" si="45"/>
        <v>0</v>
      </c>
      <c r="AL44" s="1362">
        <f t="shared" si="46"/>
        <v>0</v>
      </c>
      <c r="AM44" s="1362">
        <f t="shared" si="47"/>
        <v>0</v>
      </c>
      <c r="AN44" s="1132" t="str">
        <f t="shared" si="11"/>
        <v>Custom</v>
      </c>
      <c r="AO44" s="1132" t="str">
        <f t="shared" si="12"/>
        <v/>
      </c>
      <c r="AP44" s="2505">
        <v>0</v>
      </c>
      <c r="AQ44" s="2505"/>
      <c r="AR44" s="2505">
        <f t="shared" si="13"/>
        <v>0</v>
      </c>
      <c r="AS44" s="2505">
        <f t="shared" si="14"/>
        <v>0</v>
      </c>
      <c r="AT44" s="1132" t="str">
        <f t="shared" si="15"/>
        <v>Custom</v>
      </c>
      <c r="AU44" s="1132" t="str">
        <f t="shared" si="16"/>
        <v/>
      </c>
      <c r="AV44" s="2505">
        <v>0</v>
      </c>
      <c r="AW44" s="2505"/>
      <c r="AX44" s="1362">
        <f t="shared" si="17"/>
        <v>0</v>
      </c>
      <c r="AY44" s="1360">
        <f t="shared" si="18"/>
        <v>0</v>
      </c>
      <c r="AZ44" s="1132" t="str">
        <f t="shared" si="19"/>
        <v>Custom</v>
      </c>
      <c r="BA44" s="1132" t="str">
        <f t="shared" si="20"/>
        <v/>
      </c>
      <c r="BB44" s="2505">
        <v>0</v>
      </c>
      <c r="BC44" s="2505"/>
      <c r="BD44" s="1362">
        <f t="shared" si="21"/>
        <v>0</v>
      </c>
      <c r="BE44" s="1360">
        <f t="shared" si="22"/>
        <v>0</v>
      </c>
      <c r="BF44" s="1132" t="str">
        <f t="shared" si="23"/>
        <v>Custom</v>
      </c>
      <c r="BG44" s="1132" t="str">
        <f t="shared" si="24"/>
        <v/>
      </c>
      <c r="BH44" s="2505">
        <v>0</v>
      </c>
      <c r="BI44" s="2505"/>
      <c r="BJ44" s="1362">
        <f t="shared" si="48"/>
        <v>0</v>
      </c>
      <c r="BK44" s="1360">
        <f t="shared" si="25"/>
        <v>0</v>
      </c>
      <c r="BL44" s="1601">
        <f t="shared" si="26"/>
        <v>0</v>
      </c>
      <c r="BM44" s="1601">
        <f t="shared" si="27"/>
        <v>0</v>
      </c>
      <c r="BN44" s="1601">
        <f t="shared" si="28"/>
        <v>0</v>
      </c>
      <c r="BO44" s="1601">
        <f t="shared" si="29"/>
        <v>0</v>
      </c>
      <c r="BP44" s="1602">
        <f t="shared" si="30"/>
        <v>0</v>
      </c>
      <c r="BQ44" s="1602"/>
      <c r="BR44" s="1602"/>
      <c r="BS44" s="1602">
        <v>0</v>
      </c>
      <c r="BT44" s="1602">
        <v>1</v>
      </c>
      <c r="BU44" s="1602">
        <v>1</v>
      </c>
      <c r="BV44" s="1602">
        <v>1</v>
      </c>
      <c r="BW44" s="1602">
        <v>1</v>
      </c>
      <c r="BX44" s="1362">
        <f t="shared" si="49"/>
        <v>0</v>
      </c>
      <c r="BY44" s="1362">
        <f t="shared" si="50"/>
        <v>0</v>
      </c>
      <c r="BZ44" s="1362">
        <f t="shared" si="51"/>
        <v>0</v>
      </c>
      <c r="CA44" s="1362">
        <f t="shared" si="52"/>
        <v>0</v>
      </c>
      <c r="CB44" s="1362">
        <f t="shared" si="53"/>
        <v>0</v>
      </c>
      <c r="CC44" s="1360">
        <v>1</v>
      </c>
      <c r="CD44" s="1360">
        <v>1</v>
      </c>
      <c r="CE44" s="1360">
        <v>1</v>
      </c>
      <c r="CF44" s="1360">
        <v>1</v>
      </c>
      <c r="CG44" s="1604">
        <f t="shared" si="33"/>
        <v>0</v>
      </c>
      <c r="CH44" s="1604">
        <f t="shared" si="34"/>
        <v>0</v>
      </c>
      <c r="CI44" s="1604">
        <f t="shared" si="35"/>
        <v>0</v>
      </c>
      <c r="CJ44" s="1604">
        <f t="shared" si="36"/>
        <v>0</v>
      </c>
      <c r="CK44" s="1521">
        <f t="shared" si="37"/>
        <v>0</v>
      </c>
      <c r="CL44" s="1132">
        <v>37</v>
      </c>
      <c r="CM44" s="1132" t="s">
        <v>356</v>
      </c>
      <c r="CN44" s="1359">
        <v>0</v>
      </c>
      <c r="CO44" s="1360">
        <v>18.254249999999999</v>
      </c>
      <c r="CP44" s="1360">
        <v>18.254249999999999</v>
      </c>
      <c r="CQ44" s="1360">
        <v>18.254249999999999</v>
      </c>
      <c r="CR44" s="1360">
        <v>18.254249999999999</v>
      </c>
      <c r="CS44" s="1362">
        <f t="shared" si="38"/>
        <v>0</v>
      </c>
      <c r="CT44" s="1362">
        <f t="shared" si="39"/>
        <v>0</v>
      </c>
      <c r="CU44" s="1362">
        <f t="shared" si="40"/>
        <v>0</v>
      </c>
      <c r="CV44" s="1362">
        <f t="shared" si="41"/>
        <v>0</v>
      </c>
      <c r="CW44" s="1362">
        <f t="shared" si="42"/>
        <v>0</v>
      </c>
      <c r="CY44" s="2887"/>
      <c r="DN44" s="1715"/>
    </row>
    <row r="45" spans="1:118" s="1143" customFormat="1" ht="46.5" x14ac:dyDescent="0.35">
      <c r="A45" s="1132" t="s">
        <v>101</v>
      </c>
      <c r="B45" s="1132" t="s">
        <v>424</v>
      </c>
      <c r="C45" s="1132" t="s">
        <v>426</v>
      </c>
      <c r="D45" s="1359" t="s">
        <v>427</v>
      </c>
      <c r="E45" s="1359">
        <v>1</v>
      </c>
      <c r="F45" s="1780" t="s">
        <v>428</v>
      </c>
      <c r="G45" s="1132" t="s">
        <v>328</v>
      </c>
      <c r="H45" s="1360">
        <v>1.2169499999999998</v>
      </c>
      <c r="I45" s="1360">
        <v>1.2169499999999998</v>
      </c>
      <c r="J45" s="1360">
        <v>1.2169499999999998</v>
      </c>
      <c r="K45" s="1360">
        <v>1.2169499999999998</v>
      </c>
      <c r="L45" s="1132" t="s">
        <v>429</v>
      </c>
      <c r="M45" s="1132" t="str">
        <f t="shared" si="0"/>
        <v>Nicor Gas PY11-PY14 Adjustable Goals Template_2025-03-01, Tab 4.4.4</v>
      </c>
      <c r="N45" s="1361">
        <v>400.87199999999996</v>
      </c>
      <c r="O45" s="1361">
        <v>400.87199999999996</v>
      </c>
      <c r="P45" s="1361">
        <v>400.87199999999996</v>
      </c>
      <c r="Q45" s="1361">
        <v>400.87199999999996</v>
      </c>
      <c r="R45" s="1781">
        <v>0.86</v>
      </c>
      <c r="S45" s="1781">
        <v>0.86</v>
      </c>
      <c r="T45" s="1781">
        <v>0.86</v>
      </c>
      <c r="U45" s="1781">
        <v>0.86</v>
      </c>
      <c r="V45" s="1781">
        <v>0.86</v>
      </c>
      <c r="W45" s="1781">
        <v>0.86</v>
      </c>
      <c r="X45" s="1781">
        <v>0.86</v>
      </c>
      <c r="Y45" s="1781">
        <v>0.86</v>
      </c>
      <c r="Z45" s="1359">
        <v>1</v>
      </c>
      <c r="AA45" s="1781">
        <f t="shared" si="2"/>
        <v>0.86</v>
      </c>
      <c r="AB45" s="1781">
        <f t="shared" si="3"/>
        <v>0.86</v>
      </c>
      <c r="AC45" s="1781">
        <f t="shared" si="4"/>
        <v>0.86</v>
      </c>
      <c r="AD45" s="1781">
        <f t="shared" si="5"/>
        <v>0.86</v>
      </c>
      <c r="AE45" s="1781">
        <f t="shared" si="6"/>
        <v>0.86</v>
      </c>
      <c r="AF45" s="1781">
        <f t="shared" si="7"/>
        <v>0.86</v>
      </c>
      <c r="AG45" s="1781">
        <f t="shared" si="8"/>
        <v>0.86</v>
      </c>
      <c r="AH45" s="1781">
        <f t="shared" si="9"/>
        <v>0.86</v>
      </c>
      <c r="AI45" s="1362">
        <f t="shared" si="43"/>
        <v>419.54341514399988</v>
      </c>
      <c r="AJ45" s="1362">
        <f t="shared" si="44"/>
        <v>419.54341514399988</v>
      </c>
      <c r="AK45" s="1362">
        <f t="shared" si="45"/>
        <v>419.54341514399988</v>
      </c>
      <c r="AL45" s="1362">
        <f t="shared" si="46"/>
        <v>419.54341514399988</v>
      </c>
      <c r="AM45" s="1362">
        <f t="shared" si="47"/>
        <v>1678.1736605759995</v>
      </c>
      <c r="AN45" s="1132" t="str">
        <f t="shared" si="11"/>
        <v>CI-HVC-BLRC-V03-150601</v>
      </c>
      <c r="AO45" s="1132" t="str">
        <f t="shared" si="12"/>
        <v>Nicor Gas PY11-PY14 Adjustable Goals Template_2025-03-01, Tab 4.4.4</v>
      </c>
      <c r="AP45" s="2505">
        <f>'4.4.4'!$N$4</f>
        <v>400.87199999999996</v>
      </c>
      <c r="AQ45" s="2505"/>
      <c r="AR45" s="2505">
        <f t="shared" si="13"/>
        <v>419.54341514399988</v>
      </c>
      <c r="AS45" s="2505">
        <f t="shared" si="14"/>
        <v>0</v>
      </c>
      <c r="AT45" s="1132" t="str">
        <f t="shared" si="15"/>
        <v>CI-HVC-BLRC-V03-150601</v>
      </c>
      <c r="AU45" s="1132" t="str">
        <f t="shared" si="16"/>
        <v>Nicor Gas PY11-PY14 Adjustable Goals Template_2025-03-01, Tab 4.4.4</v>
      </c>
      <c r="AV45" s="2505">
        <f>'4.4.4'!$N$4</f>
        <v>400.87199999999996</v>
      </c>
      <c r="AW45" s="2505"/>
      <c r="AX45" s="1362">
        <f t="shared" si="17"/>
        <v>419.54341514399988</v>
      </c>
      <c r="AY45" s="1360">
        <f t="shared" si="18"/>
        <v>0</v>
      </c>
      <c r="AZ45" s="1132" t="str">
        <f t="shared" si="19"/>
        <v>CI-HVC-BLRC-V03-150601</v>
      </c>
      <c r="BA45" s="1132" t="str">
        <f t="shared" si="20"/>
        <v>Nicor Gas PY11-PY14 Adjustable Goals Template_2025-03-01, Tab 4.4.4</v>
      </c>
      <c r="BB45" s="2505">
        <f>'4.4.4'!$N$4</f>
        <v>400.87199999999996</v>
      </c>
      <c r="BC45" s="2505"/>
      <c r="BD45" s="1362">
        <f t="shared" si="21"/>
        <v>419.54341514399988</v>
      </c>
      <c r="BE45" s="1360">
        <f t="shared" si="22"/>
        <v>0</v>
      </c>
      <c r="BF45" s="1132" t="str">
        <f t="shared" si="23"/>
        <v>CI-HVC-BLRC-V03-150601</v>
      </c>
      <c r="BG45" s="1132" t="str">
        <f t="shared" si="24"/>
        <v>Nicor Gas PY11-PY14 Adjustable Goals Template_2025-03-01, Tab 4.4.4</v>
      </c>
      <c r="BH45" s="2505">
        <f>'4.4.4'!$N$4</f>
        <v>400.87199999999996</v>
      </c>
      <c r="BI45" s="2505"/>
      <c r="BJ45" s="1362">
        <f t="shared" si="48"/>
        <v>419.54341514399988</v>
      </c>
      <c r="BK45" s="1360">
        <f t="shared" si="25"/>
        <v>0</v>
      </c>
      <c r="BL45" s="1601">
        <f t="shared" si="26"/>
        <v>419.54341514399988</v>
      </c>
      <c r="BM45" s="1601">
        <f t="shared" si="27"/>
        <v>419.54341514399988</v>
      </c>
      <c r="BN45" s="1601">
        <f t="shared" si="28"/>
        <v>419.54341514399988</v>
      </c>
      <c r="BO45" s="1601">
        <f t="shared" si="29"/>
        <v>419.54341514399988</v>
      </c>
      <c r="BP45" s="1602">
        <f t="shared" si="30"/>
        <v>1678.1736605759995</v>
      </c>
      <c r="BQ45" s="1602"/>
      <c r="BR45" s="1602" t="s">
        <v>428</v>
      </c>
      <c r="BS45" s="1602">
        <v>0</v>
      </c>
      <c r="BT45" s="1602">
        <v>16</v>
      </c>
      <c r="BU45" s="1602">
        <v>16</v>
      </c>
      <c r="BV45" s="1602">
        <v>16</v>
      </c>
      <c r="BW45" s="1602">
        <v>16</v>
      </c>
      <c r="BX45" s="1362">
        <f t="shared" si="49"/>
        <v>6712.6946423039981</v>
      </c>
      <c r="BY45" s="1362">
        <f t="shared" si="50"/>
        <v>6712.6946423039981</v>
      </c>
      <c r="BZ45" s="1362">
        <f t="shared" si="51"/>
        <v>6712.6946423039981</v>
      </c>
      <c r="CA45" s="1362">
        <f t="shared" si="52"/>
        <v>6712.6946423039981</v>
      </c>
      <c r="CB45" s="1362">
        <f t="shared" si="53"/>
        <v>26850.778569215992</v>
      </c>
      <c r="CC45" s="1360">
        <v>16</v>
      </c>
      <c r="CD45" s="1360">
        <v>16</v>
      </c>
      <c r="CE45" s="1360">
        <v>16</v>
      </c>
      <c r="CF45" s="1360">
        <v>16</v>
      </c>
      <c r="CG45" s="1604">
        <f t="shared" si="33"/>
        <v>6712.6946423039981</v>
      </c>
      <c r="CH45" s="1604">
        <f t="shared" si="34"/>
        <v>6712.6946423039981</v>
      </c>
      <c r="CI45" s="1604">
        <f t="shared" si="35"/>
        <v>6712.6946423039981</v>
      </c>
      <c r="CJ45" s="1604">
        <f t="shared" si="36"/>
        <v>6712.6946423039981</v>
      </c>
      <c r="CK45" s="1521">
        <f t="shared" si="37"/>
        <v>26850.778569215992</v>
      </c>
      <c r="CL45" s="1132">
        <v>38</v>
      </c>
      <c r="CM45" s="1132" t="s">
        <v>328</v>
      </c>
      <c r="CN45" s="1359">
        <v>0</v>
      </c>
      <c r="CO45" s="1360">
        <v>1.2169499999999998</v>
      </c>
      <c r="CP45" s="1360">
        <v>1.2169499999999998</v>
      </c>
      <c r="CQ45" s="1360">
        <v>1.2169499999999998</v>
      </c>
      <c r="CR45" s="1360">
        <v>1.2169499999999998</v>
      </c>
      <c r="CS45" s="1362">
        <f t="shared" si="38"/>
        <v>419.54341514399988</v>
      </c>
      <c r="CT45" s="1362">
        <f t="shared" si="39"/>
        <v>419.54341514399988</v>
      </c>
      <c r="CU45" s="1362">
        <f t="shared" si="40"/>
        <v>419.54341514399988</v>
      </c>
      <c r="CV45" s="1362">
        <f t="shared" si="41"/>
        <v>419.54341514399988</v>
      </c>
      <c r="CW45" s="1362">
        <f t="shared" si="42"/>
        <v>1678.1736605759995</v>
      </c>
      <c r="CY45" s="2887"/>
      <c r="DN45" s="1715"/>
    </row>
    <row r="46" spans="1:118" s="1143" customFormat="1" ht="46.5" x14ac:dyDescent="0.35">
      <c r="A46" s="1132" t="s">
        <v>101</v>
      </c>
      <c r="B46" s="1132" t="s">
        <v>424</v>
      </c>
      <c r="C46" s="1132" t="s">
        <v>430</v>
      </c>
      <c r="D46" s="1359" t="s">
        <v>431</v>
      </c>
      <c r="E46" s="1359">
        <v>1</v>
      </c>
      <c r="F46" s="2807" t="s">
        <v>332</v>
      </c>
      <c r="G46" s="1132" t="s">
        <v>328</v>
      </c>
      <c r="H46" s="1360">
        <v>10.95255</v>
      </c>
      <c r="I46" s="1360">
        <v>10.95255</v>
      </c>
      <c r="J46" s="1360">
        <v>10.95255</v>
      </c>
      <c r="K46" s="1360">
        <v>10.95255</v>
      </c>
      <c r="L46" s="1132" t="s">
        <v>333</v>
      </c>
      <c r="M46" s="1132" t="str">
        <f t="shared" si="0"/>
        <v>Nicor Gas PY11-PY14 Adjustable Goals Template_2025-03-01, Tab 4.4.2</v>
      </c>
      <c r="N46" s="1361">
        <v>178.19138451334805</v>
      </c>
      <c r="O46" s="1361">
        <v>178.19138451334805</v>
      </c>
      <c r="P46" s="1361">
        <v>178.19138451334805</v>
      </c>
      <c r="Q46" s="1361">
        <v>178.19138451334805</v>
      </c>
      <c r="R46" s="1781">
        <v>0.86</v>
      </c>
      <c r="S46" s="1781">
        <v>0.86</v>
      </c>
      <c r="T46" s="1781">
        <v>0.86</v>
      </c>
      <c r="U46" s="1781">
        <v>0.86</v>
      </c>
      <c r="V46" s="1781">
        <v>0.86</v>
      </c>
      <c r="W46" s="1781">
        <v>0.86</v>
      </c>
      <c r="X46" s="1781">
        <v>0.86</v>
      </c>
      <c r="Y46" s="1781">
        <v>0.86</v>
      </c>
      <c r="Z46" s="1359">
        <v>1</v>
      </c>
      <c r="AA46" s="1781">
        <f t="shared" si="2"/>
        <v>0.86</v>
      </c>
      <c r="AB46" s="1781">
        <f t="shared" si="3"/>
        <v>0.86</v>
      </c>
      <c r="AC46" s="1781">
        <f t="shared" si="4"/>
        <v>0.86</v>
      </c>
      <c r="AD46" s="1781">
        <f t="shared" si="5"/>
        <v>0.86</v>
      </c>
      <c r="AE46" s="1781">
        <f t="shared" si="6"/>
        <v>0.86</v>
      </c>
      <c r="AF46" s="1781">
        <f t="shared" si="7"/>
        <v>0.86</v>
      </c>
      <c r="AG46" s="1781">
        <f t="shared" si="8"/>
        <v>0.86</v>
      </c>
      <c r="AH46" s="1781">
        <f t="shared" si="9"/>
        <v>0.86</v>
      </c>
      <c r="AI46" s="1362">
        <f t="shared" si="43"/>
        <v>1678.4190416684364</v>
      </c>
      <c r="AJ46" s="1362">
        <f t="shared" si="44"/>
        <v>1678.4190416684364</v>
      </c>
      <c r="AK46" s="1362">
        <f t="shared" si="45"/>
        <v>1678.4190416684364</v>
      </c>
      <c r="AL46" s="1362">
        <f t="shared" si="46"/>
        <v>1678.4190416684364</v>
      </c>
      <c r="AM46" s="1362">
        <f t="shared" si="47"/>
        <v>6713.6761666737457</v>
      </c>
      <c r="AN46" s="1132" t="str">
        <f t="shared" si="11"/>
        <v>CI-HVC-BLRT-V06-160601</v>
      </c>
      <c r="AO46" s="1132" t="str">
        <f t="shared" si="12"/>
        <v>Nicor Gas PY11-PY14 Adjustable Goals Template_2025-03-01, Tab 4.4.2</v>
      </c>
      <c r="AP46" s="2568">
        <f>'4.4.2'!$O$4</f>
        <v>174.54860553805378</v>
      </c>
      <c r="AQ46" s="2568" t="s">
        <v>432</v>
      </c>
      <c r="AR46" s="2505">
        <f t="shared" si="13"/>
        <v>1644.1070034437973</v>
      </c>
      <c r="AS46" s="2505">
        <f t="shared" si="14"/>
        <v>-34.312038224639082</v>
      </c>
      <c r="AT46" s="1132" t="str">
        <f t="shared" si="15"/>
        <v>CI-HVC-BLRT-V06-160601</v>
      </c>
      <c r="AU46" s="1132" t="str">
        <f t="shared" si="16"/>
        <v>Nicor Gas PY11-PY14 Adjustable Goals Template_2025-03-01, Tab 4.4.2</v>
      </c>
      <c r="AV46" s="2505">
        <f>'4.4.2'!$O$4</f>
        <v>174.54860553805378</v>
      </c>
      <c r="AW46" s="2568" t="s">
        <v>432</v>
      </c>
      <c r="AX46" s="1362">
        <f t="shared" si="17"/>
        <v>1644.1070034437973</v>
      </c>
      <c r="AY46" s="1360">
        <f t="shared" si="18"/>
        <v>-34.312038224639082</v>
      </c>
      <c r="AZ46" s="1132" t="str">
        <f t="shared" si="19"/>
        <v>CI-HVC-BLRT-V06-160601</v>
      </c>
      <c r="BA46" s="1132" t="str">
        <f t="shared" si="20"/>
        <v>Nicor Gas PY11-PY14 Adjustable Goals Template_2025-03-01, Tab 4.4.2</v>
      </c>
      <c r="BB46" s="2505">
        <f>'4.4.2'!$O$4</f>
        <v>174.54860553805378</v>
      </c>
      <c r="BC46" s="2568" t="s">
        <v>432</v>
      </c>
      <c r="BD46" s="1362">
        <f t="shared" si="21"/>
        <v>1644.1070034437973</v>
      </c>
      <c r="BE46" s="1360">
        <f t="shared" si="22"/>
        <v>-34.312038224639082</v>
      </c>
      <c r="BF46" s="1132" t="str">
        <f t="shared" si="23"/>
        <v>CI-HVC-BLRT-V06-160601</v>
      </c>
      <c r="BG46" s="1132" t="str">
        <f t="shared" si="24"/>
        <v>Nicor Gas PY11-PY14 Adjustable Goals Template_2025-03-01, Tab 4.4.2</v>
      </c>
      <c r="BH46" s="2505">
        <f>'4.4.2'!$O$4</f>
        <v>174.54860553805378</v>
      </c>
      <c r="BI46" s="2568" t="s">
        <v>432</v>
      </c>
      <c r="BJ46" s="1362">
        <f t="shared" si="48"/>
        <v>1644.1070034437973</v>
      </c>
      <c r="BK46" s="1360">
        <f t="shared" si="25"/>
        <v>-34.312038224639082</v>
      </c>
      <c r="BL46" s="1601">
        <f t="shared" si="26"/>
        <v>1644.1070034437973</v>
      </c>
      <c r="BM46" s="1601">
        <f t="shared" si="27"/>
        <v>1644.1070034437973</v>
      </c>
      <c r="BN46" s="1601">
        <f t="shared" si="28"/>
        <v>1644.1070034437973</v>
      </c>
      <c r="BO46" s="1601">
        <f t="shared" si="29"/>
        <v>1644.1070034437973</v>
      </c>
      <c r="BP46" s="1602">
        <f t="shared" si="30"/>
        <v>6576.4280137751894</v>
      </c>
      <c r="BQ46" s="1602"/>
      <c r="BR46" s="1602" t="s">
        <v>332</v>
      </c>
      <c r="BS46" s="1602">
        <v>0</v>
      </c>
      <c r="BT46" s="1602">
        <v>3</v>
      </c>
      <c r="BU46" s="1602">
        <v>3</v>
      </c>
      <c r="BV46" s="1602">
        <v>3</v>
      </c>
      <c r="BW46" s="1602">
        <v>3</v>
      </c>
      <c r="BX46" s="1362">
        <f t="shared" si="49"/>
        <v>5035.2571250053097</v>
      </c>
      <c r="BY46" s="1362">
        <f t="shared" si="50"/>
        <v>5035.2571250053097</v>
      </c>
      <c r="BZ46" s="1362">
        <f t="shared" si="51"/>
        <v>5035.2571250053097</v>
      </c>
      <c r="CA46" s="1362">
        <f t="shared" si="52"/>
        <v>5035.2571250053097</v>
      </c>
      <c r="CB46" s="1362">
        <f t="shared" si="53"/>
        <v>20141.028500021239</v>
      </c>
      <c r="CC46" s="1360">
        <v>3</v>
      </c>
      <c r="CD46" s="1360">
        <v>3</v>
      </c>
      <c r="CE46" s="1360">
        <v>3</v>
      </c>
      <c r="CF46" s="1360">
        <v>3</v>
      </c>
      <c r="CG46" s="1604">
        <f t="shared" si="33"/>
        <v>4932.3210103313922</v>
      </c>
      <c r="CH46" s="1604">
        <f t="shared" si="34"/>
        <v>4932.3210103313922</v>
      </c>
      <c r="CI46" s="1604">
        <f t="shared" si="35"/>
        <v>4932.3210103313922</v>
      </c>
      <c r="CJ46" s="1604">
        <f t="shared" si="36"/>
        <v>4932.3210103313922</v>
      </c>
      <c r="CK46" s="1521">
        <f t="shared" si="37"/>
        <v>19729.284041325569</v>
      </c>
      <c r="CL46" s="1132">
        <v>39</v>
      </c>
      <c r="CM46" s="1132" t="s">
        <v>328</v>
      </c>
      <c r="CN46" s="1359">
        <v>0</v>
      </c>
      <c r="CO46" s="1360">
        <v>10.95255</v>
      </c>
      <c r="CP46" s="1360">
        <v>10.95255</v>
      </c>
      <c r="CQ46" s="1360">
        <v>10.95255</v>
      </c>
      <c r="CR46" s="1360">
        <v>10.95255</v>
      </c>
      <c r="CS46" s="1362">
        <f t="shared" si="38"/>
        <v>1644.1070034437973</v>
      </c>
      <c r="CT46" s="1362">
        <f t="shared" si="39"/>
        <v>1644.1070034437973</v>
      </c>
      <c r="CU46" s="1362">
        <f t="shared" si="40"/>
        <v>1644.1070034437973</v>
      </c>
      <c r="CV46" s="1362">
        <f t="shared" si="41"/>
        <v>1644.1070034437973</v>
      </c>
      <c r="CW46" s="1362">
        <f t="shared" si="42"/>
        <v>6576.4280137751894</v>
      </c>
      <c r="CY46" s="2887"/>
    </row>
    <row r="47" spans="1:118" s="1143" customFormat="1" ht="46.5" x14ac:dyDescent="0.35">
      <c r="A47" s="1132" t="s">
        <v>101</v>
      </c>
      <c r="B47" s="1132" t="s">
        <v>424</v>
      </c>
      <c r="C47" s="1132" t="s">
        <v>326</v>
      </c>
      <c r="D47" s="1359" t="s">
        <v>327</v>
      </c>
      <c r="E47" s="1359">
        <v>1</v>
      </c>
      <c r="F47" s="1780" t="s">
        <v>327</v>
      </c>
      <c r="G47" s="1132" t="s">
        <v>328</v>
      </c>
      <c r="H47" s="1360">
        <v>10.95255</v>
      </c>
      <c r="I47" s="1360">
        <v>10.95255</v>
      </c>
      <c r="J47" s="1360">
        <v>10.95255</v>
      </c>
      <c r="K47" s="1360">
        <v>10.95255</v>
      </c>
      <c r="L47" s="1132" t="s">
        <v>329</v>
      </c>
      <c r="M47" s="1132" t="str">
        <f t="shared" si="0"/>
        <v>Nicor Gas PY11-PY14 Adjustable Goals Template_2025-03-01, Tab 4.4.3</v>
      </c>
      <c r="N47" s="1361">
        <v>818.18830024212616</v>
      </c>
      <c r="O47" s="1361">
        <v>818.18830024212616</v>
      </c>
      <c r="P47" s="1361">
        <v>818.18830024212616</v>
      </c>
      <c r="Q47" s="1361">
        <v>818.18830024212616</v>
      </c>
      <c r="R47" s="1781">
        <v>0.86</v>
      </c>
      <c r="S47" s="1781">
        <v>0.86</v>
      </c>
      <c r="T47" s="1781">
        <v>0.86</v>
      </c>
      <c r="U47" s="1781">
        <v>0.86</v>
      </c>
      <c r="V47" s="1781">
        <v>0.86</v>
      </c>
      <c r="W47" s="1781">
        <v>0.86</v>
      </c>
      <c r="X47" s="1781">
        <v>0.86</v>
      </c>
      <c r="Y47" s="1781">
        <v>0.86</v>
      </c>
      <c r="Z47" s="1359">
        <v>1</v>
      </c>
      <c r="AA47" s="1781">
        <f t="shared" si="2"/>
        <v>0.86</v>
      </c>
      <c r="AB47" s="1781">
        <f t="shared" si="3"/>
        <v>0.86</v>
      </c>
      <c r="AC47" s="1781">
        <f t="shared" si="4"/>
        <v>0.86</v>
      </c>
      <c r="AD47" s="1781">
        <f t="shared" si="5"/>
        <v>0.86</v>
      </c>
      <c r="AE47" s="1781">
        <f t="shared" si="6"/>
        <v>0.86</v>
      </c>
      <c r="AF47" s="1781">
        <f t="shared" si="7"/>
        <v>0.86</v>
      </c>
      <c r="AG47" s="1781">
        <f t="shared" si="8"/>
        <v>0.86</v>
      </c>
      <c r="AH47" s="1781">
        <f t="shared" si="9"/>
        <v>0.86</v>
      </c>
      <c r="AI47" s="1362">
        <f t="shared" si="43"/>
        <v>7706.6735103225337</v>
      </c>
      <c r="AJ47" s="1362">
        <f t="shared" si="44"/>
        <v>7706.6735103225337</v>
      </c>
      <c r="AK47" s="1362">
        <f t="shared" si="45"/>
        <v>7706.6735103225337</v>
      </c>
      <c r="AL47" s="1362">
        <f t="shared" si="46"/>
        <v>7706.6735103225337</v>
      </c>
      <c r="AM47" s="1362">
        <f t="shared" si="47"/>
        <v>30826.694041290135</v>
      </c>
      <c r="AN47" s="1132" t="str">
        <f t="shared" si="11"/>
        <v>CI-HVC-PBTU-V05-160601</v>
      </c>
      <c r="AO47" s="1132" t="str">
        <f t="shared" si="12"/>
        <v>Nicor Gas PY11-PY14 Adjustable Goals Template_2025-03-01, Tab 4.4.3</v>
      </c>
      <c r="AP47" s="2505">
        <f>'4.4.3'!$L$4</f>
        <v>818.18830024212616</v>
      </c>
      <c r="AQ47" s="2505"/>
      <c r="AR47" s="2505">
        <f t="shared" si="13"/>
        <v>7706.6735103225337</v>
      </c>
      <c r="AS47" s="2505">
        <f t="shared" si="14"/>
        <v>0</v>
      </c>
      <c r="AT47" s="1132" t="str">
        <f t="shared" si="15"/>
        <v>CI-HVC-PBTU-V05-160601</v>
      </c>
      <c r="AU47" s="1132" t="str">
        <f t="shared" si="16"/>
        <v>Nicor Gas PY11-PY14 Adjustable Goals Template_2025-03-01, Tab 4.4.3</v>
      </c>
      <c r="AV47" s="2505">
        <f>'4.4.3'!$L$4</f>
        <v>818.18830024212616</v>
      </c>
      <c r="AW47" s="2505"/>
      <c r="AX47" s="1362">
        <f t="shared" si="17"/>
        <v>7706.6735103225337</v>
      </c>
      <c r="AY47" s="1360">
        <f t="shared" si="18"/>
        <v>0</v>
      </c>
      <c r="AZ47" s="1132" t="str">
        <f t="shared" si="19"/>
        <v>CI-HVC-PBTU-V05-160601</v>
      </c>
      <c r="BA47" s="1132" t="str">
        <f t="shared" si="20"/>
        <v>Nicor Gas PY11-PY14 Adjustable Goals Template_2025-03-01, Tab 4.4.3</v>
      </c>
      <c r="BB47" s="2505">
        <f>'4.4.3'!$L$4</f>
        <v>818.18830024212616</v>
      </c>
      <c r="BC47" s="2505"/>
      <c r="BD47" s="1362">
        <f t="shared" si="21"/>
        <v>7706.6735103225337</v>
      </c>
      <c r="BE47" s="1360">
        <f t="shared" si="22"/>
        <v>0</v>
      </c>
      <c r="BF47" s="1132" t="str">
        <f t="shared" si="23"/>
        <v>CI-HVC-PBTU-V05-160601</v>
      </c>
      <c r="BG47" s="1132" t="str">
        <f t="shared" si="24"/>
        <v>Nicor Gas PY11-PY14 Adjustable Goals Template_2025-03-01, Tab 4.4.3</v>
      </c>
      <c r="BH47" s="2505">
        <f>'4.4.3'!$L$4</f>
        <v>818.18830024212616</v>
      </c>
      <c r="BI47" s="2505"/>
      <c r="BJ47" s="1362">
        <f t="shared" si="48"/>
        <v>7706.6735103225337</v>
      </c>
      <c r="BK47" s="1360">
        <f t="shared" si="25"/>
        <v>0</v>
      </c>
      <c r="BL47" s="1601">
        <f t="shared" si="26"/>
        <v>7706.6735103225337</v>
      </c>
      <c r="BM47" s="1601">
        <f t="shared" si="27"/>
        <v>7706.6735103225337</v>
      </c>
      <c r="BN47" s="1601">
        <f t="shared" si="28"/>
        <v>7706.6735103225337</v>
      </c>
      <c r="BO47" s="1601">
        <f t="shared" si="29"/>
        <v>7706.6735103225337</v>
      </c>
      <c r="BP47" s="1602">
        <f t="shared" si="30"/>
        <v>30826.694041290135</v>
      </c>
      <c r="BQ47" s="1602"/>
      <c r="BR47" s="1602" t="s">
        <v>327</v>
      </c>
      <c r="BS47" s="1602">
        <v>0</v>
      </c>
      <c r="BT47" s="1602">
        <v>3</v>
      </c>
      <c r="BU47" s="1602">
        <v>3</v>
      </c>
      <c r="BV47" s="1602">
        <v>3</v>
      </c>
      <c r="BW47" s="1602">
        <v>3</v>
      </c>
      <c r="BX47" s="1362">
        <f t="shared" si="49"/>
        <v>23120.020530967602</v>
      </c>
      <c r="BY47" s="1362">
        <f t="shared" si="50"/>
        <v>23120.020530967602</v>
      </c>
      <c r="BZ47" s="1362">
        <f t="shared" si="51"/>
        <v>23120.020530967602</v>
      </c>
      <c r="CA47" s="1362">
        <f t="shared" si="52"/>
        <v>23120.020530967602</v>
      </c>
      <c r="CB47" s="1362">
        <f t="shared" si="53"/>
        <v>92480.082123870408</v>
      </c>
      <c r="CC47" s="1360">
        <v>3</v>
      </c>
      <c r="CD47" s="1360">
        <v>3</v>
      </c>
      <c r="CE47" s="1360">
        <v>3</v>
      </c>
      <c r="CF47" s="1360">
        <v>3</v>
      </c>
      <c r="CG47" s="1604">
        <f t="shared" si="33"/>
        <v>23120.020530967598</v>
      </c>
      <c r="CH47" s="1604">
        <f t="shared" si="34"/>
        <v>23120.020530967598</v>
      </c>
      <c r="CI47" s="1604">
        <f t="shared" si="35"/>
        <v>23120.020530967598</v>
      </c>
      <c r="CJ47" s="1604">
        <f t="shared" si="36"/>
        <v>23120.020530967598</v>
      </c>
      <c r="CK47" s="1521">
        <f t="shared" si="37"/>
        <v>92480.082123870394</v>
      </c>
      <c r="CL47" s="1132">
        <v>40</v>
      </c>
      <c r="CM47" s="1132" t="s">
        <v>328</v>
      </c>
      <c r="CN47" s="1359">
        <v>0</v>
      </c>
      <c r="CO47" s="1360">
        <v>10.95255</v>
      </c>
      <c r="CP47" s="1360">
        <v>10.95255</v>
      </c>
      <c r="CQ47" s="1360">
        <v>10.95255</v>
      </c>
      <c r="CR47" s="1360">
        <v>10.95255</v>
      </c>
      <c r="CS47" s="1362">
        <f t="shared" si="38"/>
        <v>7706.6735103225337</v>
      </c>
      <c r="CT47" s="1362">
        <f t="shared" si="39"/>
        <v>7706.6735103225337</v>
      </c>
      <c r="CU47" s="1362">
        <f t="shared" si="40"/>
        <v>7706.6735103225337</v>
      </c>
      <c r="CV47" s="1362">
        <f t="shared" si="41"/>
        <v>7706.6735103225337</v>
      </c>
      <c r="CW47" s="1362">
        <f t="shared" si="42"/>
        <v>30826.694041290135</v>
      </c>
      <c r="CY47" s="2887"/>
      <c r="DN47" s="1715"/>
    </row>
    <row r="48" spans="1:118" s="1143" customFormat="1" ht="35.5" customHeight="1" x14ac:dyDescent="0.35">
      <c r="A48" s="1132" t="s">
        <v>101</v>
      </c>
      <c r="B48" s="1132" t="s">
        <v>424</v>
      </c>
      <c r="C48" s="1132" t="s">
        <v>433</v>
      </c>
      <c r="D48" s="1359" t="s">
        <v>434</v>
      </c>
      <c r="E48" s="1359">
        <v>1</v>
      </c>
      <c r="F48" s="2807" t="s">
        <v>435</v>
      </c>
      <c r="G48" s="1132" t="s">
        <v>356</v>
      </c>
      <c r="H48" s="1360">
        <v>6.6932249999999991</v>
      </c>
      <c r="I48" s="1360">
        <v>6.6932249999999991</v>
      </c>
      <c r="J48" s="1360">
        <v>6.6932249999999991</v>
      </c>
      <c r="K48" s="1360">
        <v>6.6932249999999991</v>
      </c>
      <c r="L48" s="1132" t="s">
        <v>436</v>
      </c>
      <c r="M48" s="1132" t="str">
        <f t="shared" si="0"/>
        <v>Nicor Gas PY11-PY14 Adjustable Goals Template_2025-03-01, Tab 4.4.10</v>
      </c>
      <c r="N48" s="1361">
        <v>238.91364739575309</v>
      </c>
      <c r="O48" s="1361">
        <v>238.91364739575309</v>
      </c>
      <c r="P48" s="1361">
        <v>238.91364739575309</v>
      </c>
      <c r="Q48" s="1361">
        <v>238.91364739575309</v>
      </c>
      <c r="R48" s="1781">
        <v>0.86</v>
      </c>
      <c r="S48" s="1781">
        <v>0.86</v>
      </c>
      <c r="T48" s="1781">
        <v>0.86</v>
      </c>
      <c r="U48" s="1781">
        <v>0.86</v>
      </c>
      <c r="V48" s="1781">
        <v>0.86</v>
      </c>
      <c r="W48" s="1781">
        <v>0.86</v>
      </c>
      <c r="X48" s="1781">
        <v>0.86</v>
      </c>
      <c r="Y48" s="1781">
        <v>0.86</v>
      </c>
      <c r="Z48" s="1359">
        <v>1</v>
      </c>
      <c r="AA48" s="1781">
        <f t="shared" si="2"/>
        <v>0.86</v>
      </c>
      <c r="AB48" s="1781">
        <f t="shared" si="3"/>
        <v>0.86</v>
      </c>
      <c r="AC48" s="1781">
        <f t="shared" si="4"/>
        <v>0.86</v>
      </c>
      <c r="AD48" s="1781">
        <f t="shared" si="5"/>
        <v>0.86</v>
      </c>
      <c r="AE48" s="1781">
        <f t="shared" si="6"/>
        <v>0.86</v>
      </c>
      <c r="AF48" s="1781">
        <f t="shared" si="7"/>
        <v>0.86</v>
      </c>
      <c r="AG48" s="1781">
        <f t="shared" si="8"/>
        <v>0.86</v>
      </c>
      <c r="AH48" s="1781">
        <f t="shared" si="9"/>
        <v>0.86</v>
      </c>
      <c r="AI48" s="1362">
        <f t="shared" si="43"/>
        <v>1375.2284059277777</v>
      </c>
      <c r="AJ48" s="1362">
        <f t="shared" si="44"/>
        <v>1375.2284059277777</v>
      </c>
      <c r="AK48" s="1362">
        <f t="shared" si="45"/>
        <v>1375.2284059277777</v>
      </c>
      <c r="AL48" s="1362">
        <f t="shared" si="46"/>
        <v>1375.2284059277777</v>
      </c>
      <c r="AM48" s="1362">
        <f t="shared" si="47"/>
        <v>5500.9136237111106</v>
      </c>
      <c r="AN48" s="1132" t="str">
        <f t="shared" si="11"/>
        <v>CI-HVC-BOIL-V06-190101</v>
      </c>
      <c r="AO48" s="1132" t="str">
        <f t="shared" si="12"/>
        <v>Nicor Gas PY11-PY14 Adjustable Goals Template_2025-03-01, Tab 4.4.10</v>
      </c>
      <c r="AP48" s="2568">
        <f>'4.4.10'!$Q$4</f>
        <v>234.02951894015465</v>
      </c>
      <c r="AQ48" s="2568" t="s">
        <v>432</v>
      </c>
      <c r="AR48" s="2505">
        <f t="shared" si="13"/>
        <v>1347.114515141066</v>
      </c>
      <c r="AS48" s="2505">
        <f t="shared" si="14"/>
        <v>-28.113890786711636</v>
      </c>
      <c r="AT48" s="1132" t="str">
        <f t="shared" si="15"/>
        <v>CI-HVC-BOIL-V06-190101</v>
      </c>
      <c r="AU48" s="1132" t="str">
        <f t="shared" si="16"/>
        <v>Nicor Gas PY11-PY14 Adjustable Goals Template_2025-03-01, Tab 4.4.10</v>
      </c>
      <c r="AV48" s="2505">
        <f>'4.4.10'!$Q$4</f>
        <v>234.02951894015465</v>
      </c>
      <c r="AW48" s="2568" t="s">
        <v>432</v>
      </c>
      <c r="AX48" s="1362">
        <f t="shared" si="17"/>
        <v>1347.114515141066</v>
      </c>
      <c r="AY48" s="1360">
        <f t="shared" si="18"/>
        <v>-28.113890786711636</v>
      </c>
      <c r="AZ48" s="1132" t="str">
        <f t="shared" si="19"/>
        <v>CI-HVC-BOIL-V06-190101</v>
      </c>
      <c r="BA48" s="1132" t="str">
        <f t="shared" si="20"/>
        <v>Nicor Gas PY11-PY14 Adjustable Goals Template_2025-03-01, Tab 4.4.10</v>
      </c>
      <c r="BB48" s="2505">
        <f>'4.4.10'!$Q$4</f>
        <v>234.02951894015465</v>
      </c>
      <c r="BC48" s="2568" t="s">
        <v>432</v>
      </c>
      <c r="BD48" s="1362">
        <f t="shared" si="21"/>
        <v>1347.114515141066</v>
      </c>
      <c r="BE48" s="1360">
        <f t="shared" si="22"/>
        <v>-28.113890786711636</v>
      </c>
      <c r="BF48" s="1132" t="str">
        <f t="shared" si="23"/>
        <v>CI-HVC-BOIL-V06-190101</v>
      </c>
      <c r="BG48" s="1132" t="str">
        <f t="shared" si="24"/>
        <v>Nicor Gas PY11-PY14 Adjustable Goals Template_2025-03-01, Tab 4.4.10</v>
      </c>
      <c r="BH48" s="2505">
        <f>'4.4.10'!$Q$4</f>
        <v>234.02951894015465</v>
      </c>
      <c r="BI48" s="2568" t="s">
        <v>432</v>
      </c>
      <c r="BJ48" s="1362">
        <f t="shared" si="48"/>
        <v>1347.114515141066</v>
      </c>
      <c r="BK48" s="1360">
        <f t="shared" si="25"/>
        <v>-28.113890786711636</v>
      </c>
      <c r="BL48" s="1601">
        <f t="shared" si="26"/>
        <v>1347.114515141066</v>
      </c>
      <c r="BM48" s="1601">
        <f t="shared" si="27"/>
        <v>1347.114515141066</v>
      </c>
      <c r="BN48" s="1601">
        <f t="shared" si="28"/>
        <v>1347.114515141066</v>
      </c>
      <c r="BO48" s="1601">
        <f t="shared" si="29"/>
        <v>1347.114515141066</v>
      </c>
      <c r="BP48" s="1602">
        <f t="shared" si="30"/>
        <v>5388.4580605642641</v>
      </c>
      <c r="BQ48" s="1602"/>
      <c r="BR48" s="1602" t="s">
        <v>435</v>
      </c>
      <c r="BS48" s="1602">
        <v>0</v>
      </c>
      <c r="BT48" s="1602">
        <v>25</v>
      </c>
      <c r="BU48" s="1602">
        <v>25</v>
      </c>
      <c r="BV48" s="1602">
        <v>25</v>
      </c>
      <c r="BW48" s="1602">
        <v>25</v>
      </c>
      <c r="BX48" s="1362">
        <f t="shared" si="49"/>
        <v>34380.710148194441</v>
      </c>
      <c r="BY48" s="1362">
        <f t="shared" si="50"/>
        <v>34380.710148194441</v>
      </c>
      <c r="BZ48" s="1362">
        <f t="shared" si="51"/>
        <v>34380.710148194441</v>
      </c>
      <c r="CA48" s="1362">
        <f t="shared" si="52"/>
        <v>34380.710148194441</v>
      </c>
      <c r="CB48" s="1362">
        <f t="shared" si="53"/>
        <v>137522.84059277776</v>
      </c>
      <c r="CC48" s="1360">
        <v>25</v>
      </c>
      <c r="CD48" s="1360">
        <v>25</v>
      </c>
      <c r="CE48" s="1360">
        <v>25</v>
      </c>
      <c r="CF48" s="1360">
        <v>25</v>
      </c>
      <c r="CG48" s="1604">
        <f t="shared" si="33"/>
        <v>33677.862878526648</v>
      </c>
      <c r="CH48" s="1604">
        <f t="shared" si="34"/>
        <v>33677.862878526648</v>
      </c>
      <c r="CI48" s="1604">
        <f t="shared" si="35"/>
        <v>33677.862878526648</v>
      </c>
      <c r="CJ48" s="1604">
        <f t="shared" si="36"/>
        <v>33677.862878526648</v>
      </c>
      <c r="CK48" s="1521">
        <f t="shared" si="37"/>
        <v>134711.45151410659</v>
      </c>
      <c r="CL48" s="1132">
        <v>41</v>
      </c>
      <c r="CM48" s="1132" t="s">
        <v>356</v>
      </c>
      <c r="CN48" s="1359">
        <v>0</v>
      </c>
      <c r="CO48" s="1360">
        <v>6.6932249999999991</v>
      </c>
      <c r="CP48" s="1360">
        <v>6.6932249999999991</v>
      </c>
      <c r="CQ48" s="1360">
        <v>6.6932249999999991</v>
      </c>
      <c r="CR48" s="1360">
        <v>6.6932249999999991</v>
      </c>
      <c r="CS48" s="1362">
        <f t="shared" si="38"/>
        <v>1347.114515141066</v>
      </c>
      <c r="CT48" s="1362">
        <f t="shared" si="39"/>
        <v>1347.114515141066</v>
      </c>
      <c r="CU48" s="1362">
        <f t="shared" si="40"/>
        <v>1347.114515141066</v>
      </c>
      <c r="CV48" s="1362">
        <f t="shared" si="41"/>
        <v>1347.114515141066</v>
      </c>
      <c r="CW48" s="1362">
        <f t="shared" si="42"/>
        <v>5388.4580605642641</v>
      </c>
      <c r="CY48" s="2887"/>
      <c r="DN48" s="1715"/>
    </row>
    <row r="49" spans="1:118" s="1143" customFormat="1" ht="46.5" x14ac:dyDescent="0.35">
      <c r="A49" s="1132" t="s">
        <v>101</v>
      </c>
      <c r="B49" s="1132" t="s">
        <v>424</v>
      </c>
      <c r="C49" s="1132" t="s">
        <v>437</v>
      </c>
      <c r="D49" s="1359" t="s">
        <v>438</v>
      </c>
      <c r="E49" s="1359">
        <v>1</v>
      </c>
      <c r="F49" s="2807" t="s">
        <v>435</v>
      </c>
      <c r="G49" s="1132" t="s">
        <v>356</v>
      </c>
      <c r="H49" s="1360">
        <v>1.2169499999999998</v>
      </c>
      <c r="I49" s="1360">
        <v>1.2169499999999998</v>
      </c>
      <c r="J49" s="1360">
        <v>1.2169499999999998</v>
      </c>
      <c r="K49" s="1360">
        <v>1.2169499999999998</v>
      </c>
      <c r="L49" s="1132" t="s">
        <v>436</v>
      </c>
      <c r="M49" s="1132" t="str">
        <f t="shared" si="0"/>
        <v>Nicor Gas PY11-PY14 Adjustable Goals Template_2025-03-01, Tab 4.4.10</v>
      </c>
      <c r="N49" s="1361">
        <v>447.71432736486514</v>
      </c>
      <c r="O49" s="1361">
        <v>447.71432736486514</v>
      </c>
      <c r="P49" s="1361">
        <v>447.71432736486514</v>
      </c>
      <c r="Q49" s="1361">
        <v>447.71432736486514</v>
      </c>
      <c r="R49" s="1781">
        <v>0.86</v>
      </c>
      <c r="S49" s="1781">
        <v>0.86</v>
      </c>
      <c r="T49" s="1781">
        <v>0.86</v>
      </c>
      <c r="U49" s="1781">
        <v>0.86</v>
      </c>
      <c r="V49" s="1781">
        <v>0.86</v>
      </c>
      <c r="W49" s="1781">
        <v>0.86</v>
      </c>
      <c r="X49" s="1781">
        <v>0.86</v>
      </c>
      <c r="Y49" s="1781">
        <v>0.86</v>
      </c>
      <c r="Z49" s="1359">
        <v>1</v>
      </c>
      <c r="AA49" s="1781">
        <f t="shared" si="2"/>
        <v>0.86</v>
      </c>
      <c r="AB49" s="1781">
        <f t="shared" si="3"/>
        <v>0.86</v>
      </c>
      <c r="AC49" s="1781">
        <f t="shared" si="4"/>
        <v>0.86</v>
      </c>
      <c r="AD49" s="1781">
        <f t="shared" si="5"/>
        <v>0.86</v>
      </c>
      <c r="AE49" s="1781">
        <f t="shared" si="6"/>
        <v>0.86</v>
      </c>
      <c r="AF49" s="1781">
        <f t="shared" si="7"/>
        <v>0.86</v>
      </c>
      <c r="AG49" s="1781">
        <f t="shared" si="8"/>
        <v>0.86</v>
      </c>
      <c r="AH49" s="1781">
        <f t="shared" si="9"/>
        <v>0.86</v>
      </c>
      <c r="AI49" s="1362">
        <f t="shared" si="43"/>
        <v>468.56751759053833</v>
      </c>
      <c r="AJ49" s="1362">
        <f t="shared" si="44"/>
        <v>468.56751759053833</v>
      </c>
      <c r="AK49" s="1362">
        <f t="shared" si="45"/>
        <v>468.56751759053833</v>
      </c>
      <c r="AL49" s="1362">
        <f t="shared" si="46"/>
        <v>468.56751759053833</v>
      </c>
      <c r="AM49" s="1362">
        <f t="shared" si="47"/>
        <v>1874.2700703621533</v>
      </c>
      <c r="AN49" s="1132" t="str">
        <f t="shared" si="11"/>
        <v>CI-HVC-BOIL-V06-190101</v>
      </c>
      <c r="AO49" s="1132" t="str">
        <f t="shared" si="12"/>
        <v>Nicor Gas PY11-PY14 Adjustable Goals Template_2025-03-01, Tab 4.4.10</v>
      </c>
      <c r="AP49" s="2568">
        <f>'4.4.10'!$Q$5</f>
        <v>438.56167195946</v>
      </c>
      <c r="AQ49" s="2568" t="s">
        <v>432</v>
      </c>
      <c r="AR49" s="2505">
        <f t="shared" si="13"/>
        <v>458.98855895431569</v>
      </c>
      <c r="AS49" s="2505">
        <f t="shared" si="14"/>
        <v>-9.5789586362226373</v>
      </c>
      <c r="AT49" s="1132" t="str">
        <f t="shared" si="15"/>
        <v>CI-HVC-BOIL-V06-190101</v>
      </c>
      <c r="AU49" s="1132" t="str">
        <f t="shared" si="16"/>
        <v>Nicor Gas PY11-PY14 Adjustable Goals Template_2025-03-01, Tab 4.4.10</v>
      </c>
      <c r="AV49" s="2505">
        <f>'4.4.10'!$Q$5</f>
        <v>438.56167195946</v>
      </c>
      <c r="AW49" s="2568" t="s">
        <v>432</v>
      </c>
      <c r="AX49" s="1362">
        <f t="shared" si="17"/>
        <v>458.98855895431569</v>
      </c>
      <c r="AY49" s="1360">
        <f t="shared" si="18"/>
        <v>-9.5789586362226373</v>
      </c>
      <c r="AZ49" s="1132" t="str">
        <f t="shared" si="19"/>
        <v>CI-HVC-BOIL-V06-190101</v>
      </c>
      <c r="BA49" s="1132" t="str">
        <f t="shared" si="20"/>
        <v>Nicor Gas PY11-PY14 Adjustable Goals Template_2025-03-01, Tab 4.4.10</v>
      </c>
      <c r="BB49" s="2505">
        <f>'4.4.10'!$Q$5</f>
        <v>438.56167195946</v>
      </c>
      <c r="BC49" s="2568" t="s">
        <v>432</v>
      </c>
      <c r="BD49" s="1362">
        <f t="shared" si="21"/>
        <v>458.98855895431569</v>
      </c>
      <c r="BE49" s="1360">
        <f t="shared" si="22"/>
        <v>-9.5789586362226373</v>
      </c>
      <c r="BF49" s="1132" t="str">
        <f t="shared" si="23"/>
        <v>CI-HVC-BOIL-V06-190101</v>
      </c>
      <c r="BG49" s="1132" t="str">
        <f t="shared" si="24"/>
        <v>Nicor Gas PY11-PY14 Adjustable Goals Template_2025-03-01, Tab 4.4.10</v>
      </c>
      <c r="BH49" s="2505">
        <f>'4.4.10'!$Q$5</f>
        <v>438.56167195946</v>
      </c>
      <c r="BI49" s="2568" t="s">
        <v>432</v>
      </c>
      <c r="BJ49" s="1362">
        <f t="shared" si="48"/>
        <v>458.98855895431569</v>
      </c>
      <c r="BK49" s="1360">
        <f t="shared" si="25"/>
        <v>-9.5789586362226373</v>
      </c>
      <c r="BL49" s="1601">
        <f t="shared" si="26"/>
        <v>458.98855895431569</v>
      </c>
      <c r="BM49" s="1601">
        <f t="shared" si="27"/>
        <v>458.98855895431569</v>
      </c>
      <c r="BN49" s="1601">
        <f t="shared" si="28"/>
        <v>458.98855895431569</v>
      </c>
      <c r="BO49" s="1601">
        <f t="shared" si="29"/>
        <v>458.98855895431569</v>
      </c>
      <c r="BP49" s="1602">
        <f t="shared" si="30"/>
        <v>1835.9542358172628</v>
      </c>
      <c r="BQ49" s="1602"/>
      <c r="BR49" s="1602" t="s">
        <v>435</v>
      </c>
      <c r="BS49" s="1602">
        <v>0</v>
      </c>
      <c r="BT49" s="1602">
        <v>25</v>
      </c>
      <c r="BU49" s="1602">
        <v>25</v>
      </c>
      <c r="BV49" s="1602">
        <v>25</v>
      </c>
      <c r="BW49" s="1602">
        <v>25</v>
      </c>
      <c r="BX49" s="1362">
        <f t="shared" si="49"/>
        <v>11714.187939763458</v>
      </c>
      <c r="BY49" s="1362">
        <f t="shared" si="50"/>
        <v>11714.187939763458</v>
      </c>
      <c r="BZ49" s="1362">
        <f t="shared" si="51"/>
        <v>11714.187939763458</v>
      </c>
      <c r="CA49" s="1362">
        <f t="shared" si="52"/>
        <v>11714.187939763458</v>
      </c>
      <c r="CB49" s="1362">
        <f t="shared" si="53"/>
        <v>46856.751759053834</v>
      </c>
      <c r="CC49" s="1360">
        <v>25</v>
      </c>
      <c r="CD49" s="1360">
        <v>25</v>
      </c>
      <c r="CE49" s="1360">
        <v>25</v>
      </c>
      <c r="CF49" s="1360">
        <v>25</v>
      </c>
      <c r="CG49" s="1604">
        <f t="shared" si="33"/>
        <v>11474.713973857892</v>
      </c>
      <c r="CH49" s="1604">
        <f t="shared" si="34"/>
        <v>11474.713973857892</v>
      </c>
      <c r="CI49" s="1604">
        <f t="shared" si="35"/>
        <v>11474.713973857892</v>
      </c>
      <c r="CJ49" s="1604">
        <f t="shared" si="36"/>
        <v>11474.713973857892</v>
      </c>
      <c r="CK49" s="1521">
        <f t="shared" si="37"/>
        <v>45898.855895431567</v>
      </c>
      <c r="CL49" s="1132">
        <v>42</v>
      </c>
      <c r="CM49" s="1132" t="s">
        <v>356</v>
      </c>
      <c r="CN49" s="1359">
        <v>0</v>
      </c>
      <c r="CO49" s="1360">
        <v>1.2169499999999998</v>
      </c>
      <c r="CP49" s="1360">
        <v>1.2169499999999998</v>
      </c>
      <c r="CQ49" s="1360">
        <v>1.2169499999999998</v>
      </c>
      <c r="CR49" s="1360">
        <v>1.2169499999999998</v>
      </c>
      <c r="CS49" s="1362">
        <f t="shared" si="38"/>
        <v>458.98855895431569</v>
      </c>
      <c r="CT49" s="1362">
        <f t="shared" si="39"/>
        <v>458.98855895431569</v>
      </c>
      <c r="CU49" s="1362">
        <f t="shared" si="40"/>
        <v>458.98855895431569</v>
      </c>
      <c r="CV49" s="1362">
        <f t="shared" si="41"/>
        <v>458.98855895431569</v>
      </c>
      <c r="CW49" s="1362">
        <f t="shared" si="42"/>
        <v>1835.9542358172628</v>
      </c>
      <c r="CY49" s="2887"/>
    </row>
    <row r="50" spans="1:118" s="1143" customFormat="1" ht="15" customHeight="1" x14ac:dyDescent="0.35">
      <c r="A50" s="1132" t="s">
        <v>101</v>
      </c>
      <c r="B50" s="1132" t="s">
        <v>424</v>
      </c>
      <c r="C50" s="1132" t="s">
        <v>439</v>
      </c>
      <c r="D50" s="1359" t="s">
        <v>440</v>
      </c>
      <c r="E50" s="1359">
        <v>1</v>
      </c>
      <c r="F50" s="2807" t="s">
        <v>435</v>
      </c>
      <c r="G50" s="1132" t="s">
        <v>356</v>
      </c>
      <c r="H50" s="1360">
        <v>4.2593249999999987</v>
      </c>
      <c r="I50" s="1360">
        <v>4.2593249999999987</v>
      </c>
      <c r="J50" s="1360">
        <v>4.2593249999999987</v>
      </c>
      <c r="K50" s="1360">
        <v>4.2593249999999987</v>
      </c>
      <c r="L50" s="1132" t="s">
        <v>436</v>
      </c>
      <c r="M50" s="1132" t="str">
        <f t="shared" si="0"/>
        <v>Nicor Gas PY11-PY14 Adjustable Goals Template_2025-03-01, Tab 4.4.10</v>
      </c>
      <c r="N50" s="1361">
        <v>744.8581799420856</v>
      </c>
      <c r="O50" s="1361">
        <v>744.8581799420856</v>
      </c>
      <c r="P50" s="1361">
        <v>744.8581799420856</v>
      </c>
      <c r="Q50" s="1361">
        <v>744.8581799420856</v>
      </c>
      <c r="R50" s="1781">
        <v>0.86</v>
      </c>
      <c r="S50" s="1781">
        <v>0.86</v>
      </c>
      <c r="T50" s="1781">
        <v>0.86</v>
      </c>
      <c r="U50" s="1781">
        <v>0.86</v>
      </c>
      <c r="V50" s="1781">
        <v>0.86</v>
      </c>
      <c r="W50" s="1781">
        <v>0.86</v>
      </c>
      <c r="X50" s="1781">
        <v>0.86</v>
      </c>
      <c r="Y50" s="1781">
        <v>0.86</v>
      </c>
      <c r="Z50" s="1359">
        <v>1</v>
      </c>
      <c r="AA50" s="1781">
        <f t="shared" si="2"/>
        <v>0.86</v>
      </c>
      <c r="AB50" s="1781">
        <f t="shared" si="3"/>
        <v>0.86</v>
      </c>
      <c r="AC50" s="1781">
        <f t="shared" si="4"/>
        <v>0.86</v>
      </c>
      <c r="AD50" s="1781">
        <f t="shared" si="5"/>
        <v>0.86</v>
      </c>
      <c r="AE50" s="1781">
        <f t="shared" si="6"/>
        <v>0.86</v>
      </c>
      <c r="AF50" s="1781">
        <f t="shared" si="7"/>
        <v>0.86</v>
      </c>
      <c r="AG50" s="1781">
        <f t="shared" si="8"/>
        <v>0.86</v>
      </c>
      <c r="AH50" s="1781">
        <f t="shared" si="9"/>
        <v>0.86</v>
      </c>
      <c r="AI50" s="1362">
        <f t="shared" si="43"/>
        <v>2728.4300378623675</v>
      </c>
      <c r="AJ50" s="1362">
        <f t="shared" si="44"/>
        <v>2728.4300378623675</v>
      </c>
      <c r="AK50" s="1362">
        <f t="shared" si="45"/>
        <v>2728.4300378623675</v>
      </c>
      <c r="AL50" s="1362">
        <f t="shared" si="46"/>
        <v>2728.4300378623675</v>
      </c>
      <c r="AM50" s="1362">
        <f t="shared" si="47"/>
        <v>10913.72015144947</v>
      </c>
      <c r="AN50" s="1132" t="str">
        <f t="shared" si="11"/>
        <v>CI-HVC-BOIL-V06-190101</v>
      </c>
      <c r="AO50" s="1132" t="str">
        <f t="shared" si="12"/>
        <v>Nicor Gas PY11-PY14 Adjustable Goals Template_2025-03-01, Tab 4.4.10</v>
      </c>
      <c r="AP50" s="2568">
        <f>'4.4.10'!$Q$6</f>
        <v>729.63099191119761</v>
      </c>
      <c r="AQ50" s="2568" t="s">
        <v>432</v>
      </c>
      <c r="AR50" s="2505">
        <f t="shared" si="13"/>
        <v>2672.6525511750583</v>
      </c>
      <c r="AS50" s="2505">
        <f t="shared" si="14"/>
        <v>-55.777486687309192</v>
      </c>
      <c r="AT50" s="1132" t="str">
        <f t="shared" si="15"/>
        <v>CI-HVC-BOIL-V06-190101</v>
      </c>
      <c r="AU50" s="1132" t="str">
        <f t="shared" si="16"/>
        <v>Nicor Gas PY11-PY14 Adjustable Goals Template_2025-03-01, Tab 4.4.10</v>
      </c>
      <c r="AV50" s="2505">
        <f>'4.4.10'!$Q$6</f>
        <v>729.63099191119761</v>
      </c>
      <c r="AW50" s="2568" t="s">
        <v>432</v>
      </c>
      <c r="AX50" s="1362">
        <f t="shared" si="17"/>
        <v>2672.6525511750583</v>
      </c>
      <c r="AY50" s="1360">
        <f t="shared" si="18"/>
        <v>-55.777486687309192</v>
      </c>
      <c r="AZ50" s="1132" t="str">
        <f t="shared" si="19"/>
        <v>CI-HVC-BOIL-V06-190101</v>
      </c>
      <c r="BA50" s="1132" t="str">
        <f t="shared" si="20"/>
        <v>Nicor Gas PY11-PY14 Adjustable Goals Template_2025-03-01, Tab 4.4.10</v>
      </c>
      <c r="BB50" s="2505">
        <f>'4.4.10'!$Q$6</f>
        <v>729.63099191119761</v>
      </c>
      <c r="BC50" s="2568" t="s">
        <v>432</v>
      </c>
      <c r="BD50" s="1362">
        <f t="shared" si="21"/>
        <v>2672.6525511750583</v>
      </c>
      <c r="BE50" s="1360">
        <f t="shared" si="22"/>
        <v>-55.777486687309192</v>
      </c>
      <c r="BF50" s="1132" t="str">
        <f t="shared" si="23"/>
        <v>CI-HVC-BOIL-V06-190101</v>
      </c>
      <c r="BG50" s="1132" t="str">
        <f t="shared" si="24"/>
        <v>Nicor Gas PY11-PY14 Adjustable Goals Template_2025-03-01, Tab 4.4.10</v>
      </c>
      <c r="BH50" s="2505">
        <f>'4.4.10'!$Q$6</f>
        <v>729.63099191119761</v>
      </c>
      <c r="BI50" s="2568" t="s">
        <v>432</v>
      </c>
      <c r="BJ50" s="1362">
        <f t="shared" si="48"/>
        <v>2672.6525511750583</v>
      </c>
      <c r="BK50" s="1360">
        <f t="shared" si="25"/>
        <v>-55.777486687309192</v>
      </c>
      <c r="BL50" s="1601">
        <f t="shared" si="26"/>
        <v>2672.6525511750583</v>
      </c>
      <c r="BM50" s="1601">
        <f t="shared" si="27"/>
        <v>2672.6525511750583</v>
      </c>
      <c r="BN50" s="1601">
        <f t="shared" si="28"/>
        <v>2672.6525511750583</v>
      </c>
      <c r="BO50" s="1601">
        <f t="shared" si="29"/>
        <v>2672.6525511750583</v>
      </c>
      <c r="BP50" s="1602">
        <f t="shared" si="30"/>
        <v>10690.610204700233</v>
      </c>
      <c r="BQ50" s="1602"/>
      <c r="BR50" s="1602" t="s">
        <v>435</v>
      </c>
      <c r="BS50" s="1602">
        <v>0</v>
      </c>
      <c r="BT50" s="1602">
        <v>25</v>
      </c>
      <c r="BU50" s="1602">
        <v>25</v>
      </c>
      <c r="BV50" s="1602">
        <v>25</v>
      </c>
      <c r="BW50" s="1602">
        <v>25</v>
      </c>
      <c r="BX50" s="1362">
        <f t="shared" si="49"/>
        <v>68210.750946559187</v>
      </c>
      <c r="BY50" s="1362">
        <f t="shared" si="50"/>
        <v>68210.750946559187</v>
      </c>
      <c r="BZ50" s="1362">
        <f t="shared" si="51"/>
        <v>68210.750946559187</v>
      </c>
      <c r="CA50" s="1362">
        <f t="shared" si="52"/>
        <v>68210.750946559187</v>
      </c>
      <c r="CB50" s="1362">
        <f t="shared" si="53"/>
        <v>272843.00378623675</v>
      </c>
      <c r="CC50" s="1360">
        <v>25</v>
      </c>
      <c r="CD50" s="1360">
        <v>25</v>
      </c>
      <c r="CE50" s="1360">
        <v>25</v>
      </c>
      <c r="CF50" s="1360">
        <v>25</v>
      </c>
      <c r="CG50" s="1604">
        <f t="shared" si="33"/>
        <v>66816.313779376462</v>
      </c>
      <c r="CH50" s="1604">
        <f t="shared" si="34"/>
        <v>66816.313779376462</v>
      </c>
      <c r="CI50" s="1604">
        <f t="shared" si="35"/>
        <v>66816.313779376462</v>
      </c>
      <c r="CJ50" s="1604">
        <f t="shared" si="36"/>
        <v>66816.313779376462</v>
      </c>
      <c r="CK50" s="1521">
        <f t="shared" si="37"/>
        <v>267265.25511750585</v>
      </c>
      <c r="CL50" s="1132">
        <v>43</v>
      </c>
      <c r="CM50" s="1132" t="s">
        <v>356</v>
      </c>
      <c r="CN50" s="1359">
        <v>0</v>
      </c>
      <c r="CO50" s="1360">
        <v>4.2593249999999987</v>
      </c>
      <c r="CP50" s="1360">
        <v>4.2593249999999987</v>
      </c>
      <c r="CQ50" s="1360">
        <v>4.2593249999999987</v>
      </c>
      <c r="CR50" s="1360">
        <v>4.2593249999999987</v>
      </c>
      <c r="CS50" s="1362">
        <f t="shared" si="38"/>
        <v>2672.6525511750583</v>
      </c>
      <c r="CT50" s="1362">
        <f t="shared" si="39"/>
        <v>2672.6525511750583</v>
      </c>
      <c r="CU50" s="1362">
        <f t="shared" si="40"/>
        <v>2672.6525511750583</v>
      </c>
      <c r="CV50" s="1362">
        <f t="shared" si="41"/>
        <v>2672.6525511750583</v>
      </c>
      <c r="CW50" s="1362">
        <f t="shared" si="42"/>
        <v>10690.610204700233</v>
      </c>
      <c r="CY50" s="2887"/>
      <c r="DN50" s="1715"/>
    </row>
    <row r="51" spans="1:118" s="1143" customFormat="1" ht="46.5" x14ac:dyDescent="0.35">
      <c r="A51" s="1132" t="s">
        <v>101</v>
      </c>
      <c r="B51" s="1132" t="s">
        <v>424</v>
      </c>
      <c r="C51" s="1132" t="s">
        <v>441</v>
      </c>
      <c r="D51" s="1359" t="s">
        <v>442</v>
      </c>
      <c r="E51" s="1359">
        <v>1</v>
      </c>
      <c r="F51" s="2807" t="s">
        <v>435</v>
      </c>
      <c r="G51" s="1132" t="s">
        <v>356</v>
      </c>
      <c r="H51" s="1360">
        <v>1.2169499999999998</v>
      </c>
      <c r="I51" s="1360">
        <v>1.2169499999999998</v>
      </c>
      <c r="J51" s="1360">
        <v>1.2169499999999998</v>
      </c>
      <c r="K51" s="1360">
        <v>1.2169499999999998</v>
      </c>
      <c r="L51" s="1132" t="s">
        <v>436</v>
      </c>
      <c r="M51" s="1132" t="str">
        <f t="shared" si="0"/>
        <v>Nicor Gas PY11-PY14 Adjustable Goals Template_2025-03-01, Tab 4.4.10</v>
      </c>
      <c r="N51" s="1361">
        <v>1409.4136100386113</v>
      </c>
      <c r="O51" s="1361">
        <v>1409.4136100386113</v>
      </c>
      <c r="P51" s="1361">
        <v>1409.4136100386113</v>
      </c>
      <c r="Q51" s="1361">
        <v>1409.4136100386113</v>
      </c>
      <c r="R51" s="1781">
        <v>0.86</v>
      </c>
      <c r="S51" s="1781">
        <v>0.86</v>
      </c>
      <c r="T51" s="1781">
        <v>0.86</v>
      </c>
      <c r="U51" s="1781">
        <v>0.86</v>
      </c>
      <c r="V51" s="1781">
        <v>0.86</v>
      </c>
      <c r="W51" s="1781">
        <v>0.86</v>
      </c>
      <c r="X51" s="1781">
        <v>0.86</v>
      </c>
      <c r="Y51" s="1781">
        <v>0.86</v>
      </c>
      <c r="Z51" s="1359">
        <v>1</v>
      </c>
      <c r="AA51" s="1781">
        <f t="shared" si="2"/>
        <v>0.86</v>
      </c>
      <c r="AB51" s="1781">
        <f t="shared" si="3"/>
        <v>0.86</v>
      </c>
      <c r="AC51" s="1781">
        <f t="shared" si="4"/>
        <v>0.86</v>
      </c>
      <c r="AD51" s="1781">
        <f t="shared" si="5"/>
        <v>0.86</v>
      </c>
      <c r="AE51" s="1781">
        <f t="shared" si="6"/>
        <v>0.86</v>
      </c>
      <c r="AF51" s="1781">
        <f t="shared" si="7"/>
        <v>0.86</v>
      </c>
      <c r="AG51" s="1781">
        <f t="shared" si="8"/>
        <v>0.86</v>
      </c>
      <c r="AH51" s="1781">
        <f t="shared" si="9"/>
        <v>0.86</v>
      </c>
      <c r="AI51" s="1362">
        <f t="shared" si="43"/>
        <v>1475.0598677533794</v>
      </c>
      <c r="AJ51" s="1362">
        <f t="shared" si="44"/>
        <v>1475.0598677533794</v>
      </c>
      <c r="AK51" s="1362">
        <f t="shared" si="45"/>
        <v>1475.0598677533794</v>
      </c>
      <c r="AL51" s="1362">
        <f t="shared" si="46"/>
        <v>1475.0598677533794</v>
      </c>
      <c r="AM51" s="1362">
        <f t="shared" si="47"/>
        <v>5900.2394710135177</v>
      </c>
      <c r="AN51" s="1132" t="str">
        <f t="shared" si="11"/>
        <v>CI-HVC-BOIL-V06-190101</v>
      </c>
      <c r="AO51" s="1132" t="str">
        <f t="shared" si="12"/>
        <v>Nicor Gas PY11-PY14 Adjustable Goals Template_2025-03-01, Tab 4.4.10</v>
      </c>
      <c r="AP51" s="2568">
        <f>'4.4.10'!$Q$7</f>
        <v>1380.60086872587</v>
      </c>
      <c r="AQ51" s="2568" t="s">
        <v>432</v>
      </c>
      <c r="AR51" s="2505">
        <f t="shared" si="13"/>
        <v>1444.9051153885146</v>
      </c>
      <c r="AS51" s="2505">
        <f t="shared" si="14"/>
        <v>-30.154752364864862</v>
      </c>
      <c r="AT51" s="1132" t="str">
        <f t="shared" si="15"/>
        <v>CI-HVC-BOIL-V06-190101</v>
      </c>
      <c r="AU51" s="1132" t="str">
        <f t="shared" si="16"/>
        <v>Nicor Gas PY11-PY14 Adjustable Goals Template_2025-03-01, Tab 4.4.10</v>
      </c>
      <c r="AV51" s="2505">
        <f>'4.4.10'!$Q$7</f>
        <v>1380.60086872587</v>
      </c>
      <c r="AW51" s="2568" t="s">
        <v>432</v>
      </c>
      <c r="AX51" s="1362">
        <f t="shared" si="17"/>
        <v>1444.9051153885146</v>
      </c>
      <c r="AY51" s="1360">
        <f t="shared" si="18"/>
        <v>-30.154752364864862</v>
      </c>
      <c r="AZ51" s="1132" t="str">
        <f t="shared" si="19"/>
        <v>CI-HVC-BOIL-V06-190101</v>
      </c>
      <c r="BA51" s="1132" t="str">
        <f t="shared" si="20"/>
        <v>Nicor Gas PY11-PY14 Adjustable Goals Template_2025-03-01, Tab 4.4.10</v>
      </c>
      <c r="BB51" s="2505">
        <f>'4.4.10'!$Q$7</f>
        <v>1380.60086872587</v>
      </c>
      <c r="BC51" s="2568" t="s">
        <v>432</v>
      </c>
      <c r="BD51" s="1362">
        <f t="shared" si="21"/>
        <v>1444.9051153885146</v>
      </c>
      <c r="BE51" s="1360">
        <f t="shared" si="22"/>
        <v>-30.154752364864862</v>
      </c>
      <c r="BF51" s="1132" t="str">
        <f t="shared" si="23"/>
        <v>CI-HVC-BOIL-V06-190101</v>
      </c>
      <c r="BG51" s="1132" t="str">
        <f t="shared" si="24"/>
        <v>Nicor Gas PY11-PY14 Adjustable Goals Template_2025-03-01, Tab 4.4.10</v>
      </c>
      <c r="BH51" s="2505">
        <f>'4.4.10'!$Q$7</f>
        <v>1380.60086872587</v>
      </c>
      <c r="BI51" s="2568" t="s">
        <v>432</v>
      </c>
      <c r="BJ51" s="1362">
        <f t="shared" si="48"/>
        <v>1444.9051153885146</v>
      </c>
      <c r="BK51" s="1360">
        <f t="shared" si="25"/>
        <v>-30.154752364864862</v>
      </c>
      <c r="BL51" s="1601">
        <f t="shared" si="26"/>
        <v>1444.9051153885146</v>
      </c>
      <c r="BM51" s="1601">
        <f t="shared" si="27"/>
        <v>1444.9051153885146</v>
      </c>
      <c r="BN51" s="1601">
        <f t="shared" si="28"/>
        <v>1444.9051153885146</v>
      </c>
      <c r="BO51" s="1601">
        <f t="shared" si="29"/>
        <v>1444.9051153885146</v>
      </c>
      <c r="BP51" s="1602">
        <f t="shared" si="30"/>
        <v>5779.6204615540582</v>
      </c>
      <c r="BQ51" s="1602"/>
      <c r="BR51" s="1602" t="s">
        <v>435</v>
      </c>
      <c r="BS51" s="1602">
        <v>0</v>
      </c>
      <c r="BT51" s="1602">
        <v>25</v>
      </c>
      <c r="BU51" s="1602">
        <v>25</v>
      </c>
      <c r="BV51" s="1602">
        <v>25</v>
      </c>
      <c r="BW51" s="1602">
        <v>25</v>
      </c>
      <c r="BX51" s="1362">
        <f t="shared" si="49"/>
        <v>36876.496693834488</v>
      </c>
      <c r="BY51" s="1362">
        <f t="shared" si="50"/>
        <v>36876.496693834488</v>
      </c>
      <c r="BZ51" s="1362">
        <f t="shared" si="51"/>
        <v>36876.496693834488</v>
      </c>
      <c r="CA51" s="1362">
        <f t="shared" si="52"/>
        <v>36876.496693834488</v>
      </c>
      <c r="CB51" s="1362">
        <f t="shared" si="53"/>
        <v>147505.98677533795</v>
      </c>
      <c r="CC51" s="1360">
        <v>25</v>
      </c>
      <c r="CD51" s="1360">
        <v>25</v>
      </c>
      <c r="CE51" s="1360">
        <v>25</v>
      </c>
      <c r="CF51" s="1360">
        <v>25</v>
      </c>
      <c r="CG51" s="1604">
        <f t="shared" si="33"/>
        <v>36122.627884712863</v>
      </c>
      <c r="CH51" s="1604">
        <f t="shared" si="34"/>
        <v>36122.627884712863</v>
      </c>
      <c r="CI51" s="1604">
        <f t="shared" si="35"/>
        <v>36122.627884712863</v>
      </c>
      <c r="CJ51" s="1604">
        <f t="shared" si="36"/>
        <v>36122.627884712863</v>
      </c>
      <c r="CK51" s="1521">
        <f t="shared" si="37"/>
        <v>144490.51153885145</v>
      </c>
      <c r="CL51" s="1132">
        <v>44</v>
      </c>
      <c r="CM51" s="1132" t="s">
        <v>356</v>
      </c>
      <c r="CN51" s="1359">
        <v>0</v>
      </c>
      <c r="CO51" s="1360">
        <v>1.2169499999999998</v>
      </c>
      <c r="CP51" s="1360">
        <v>1.2169499999999998</v>
      </c>
      <c r="CQ51" s="1360">
        <v>1.2169499999999998</v>
      </c>
      <c r="CR51" s="1360">
        <v>1.2169499999999998</v>
      </c>
      <c r="CS51" s="1362">
        <f t="shared" si="38"/>
        <v>1444.9051153885146</v>
      </c>
      <c r="CT51" s="1362">
        <f t="shared" si="39"/>
        <v>1444.9051153885146</v>
      </c>
      <c r="CU51" s="1362">
        <f t="shared" si="40"/>
        <v>1444.9051153885146</v>
      </c>
      <c r="CV51" s="1362">
        <f t="shared" si="41"/>
        <v>1444.9051153885146</v>
      </c>
      <c r="CW51" s="1362">
        <f t="shared" si="42"/>
        <v>5779.6204615540582</v>
      </c>
      <c r="CY51" s="2887"/>
      <c r="DN51" s="1715"/>
    </row>
    <row r="52" spans="1:118" s="1143" customFormat="1" ht="46.5" x14ac:dyDescent="0.35">
      <c r="A52" s="1132" t="s">
        <v>101</v>
      </c>
      <c r="B52" s="1132" t="s">
        <v>424</v>
      </c>
      <c r="C52" s="1132" t="s">
        <v>443</v>
      </c>
      <c r="D52" s="1359" t="s">
        <v>444</v>
      </c>
      <c r="E52" s="1359">
        <v>1</v>
      </c>
      <c r="F52" s="2807" t="s">
        <v>435</v>
      </c>
      <c r="G52" s="1132" t="s">
        <v>356</v>
      </c>
      <c r="H52" s="1360">
        <v>4.867799999999999</v>
      </c>
      <c r="I52" s="1360">
        <v>4.867799999999999</v>
      </c>
      <c r="J52" s="1360">
        <v>4.867799999999999</v>
      </c>
      <c r="K52" s="1360">
        <v>4.867799999999999</v>
      </c>
      <c r="L52" s="1132" t="s">
        <v>436</v>
      </c>
      <c r="M52" s="1132" t="str">
        <f t="shared" si="0"/>
        <v>Nicor Gas PY11-PY14 Adjustable Goals Template_2025-03-01, Tab 4.4.10</v>
      </c>
      <c r="N52" s="1361">
        <v>2213.0736533223958</v>
      </c>
      <c r="O52" s="1361">
        <v>2213.0736533223958</v>
      </c>
      <c r="P52" s="1361">
        <v>2213.0736533223958</v>
      </c>
      <c r="Q52" s="1361">
        <v>2213.0736533223958</v>
      </c>
      <c r="R52" s="1781">
        <v>0.86</v>
      </c>
      <c r="S52" s="1781">
        <v>0.86</v>
      </c>
      <c r="T52" s="1781">
        <v>0.86</v>
      </c>
      <c r="U52" s="1781">
        <v>0.86</v>
      </c>
      <c r="V52" s="1781">
        <v>0.86</v>
      </c>
      <c r="W52" s="1781">
        <v>0.86</v>
      </c>
      <c r="X52" s="1781">
        <v>0.86</v>
      </c>
      <c r="Y52" s="1781">
        <v>0.86</v>
      </c>
      <c r="Z52" s="1359">
        <v>1</v>
      </c>
      <c r="AA52" s="1781">
        <f t="shared" si="2"/>
        <v>0.86</v>
      </c>
      <c r="AB52" s="1781">
        <f t="shared" si="3"/>
        <v>0.86</v>
      </c>
      <c r="AC52" s="1781">
        <f t="shared" si="4"/>
        <v>0.86</v>
      </c>
      <c r="AD52" s="1781">
        <f t="shared" si="5"/>
        <v>0.86</v>
      </c>
      <c r="AE52" s="1781">
        <f t="shared" si="6"/>
        <v>0.86</v>
      </c>
      <c r="AF52" s="1781">
        <f t="shared" si="7"/>
        <v>0.86</v>
      </c>
      <c r="AG52" s="1781">
        <f t="shared" si="8"/>
        <v>0.86</v>
      </c>
      <c r="AH52" s="1781">
        <f t="shared" si="9"/>
        <v>0.86</v>
      </c>
      <c r="AI52" s="1362">
        <f t="shared" si="43"/>
        <v>9264.6079394927692</v>
      </c>
      <c r="AJ52" s="1362">
        <f t="shared" si="44"/>
        <v>9264.6079394927692</v>
      </c>
      <c r="AK52" s="1362">
        <f t="shared" si="45"/>
        <v>9264.6079394927692</v>
      </c>
      <c r="AL52" s="1362">
        <f t="shared" si="46"/>
        <v>9264.6079394927692</v>
      </c>
      <c r="AM52" s="1362">
        <f t="shared" si="47"/>
        <v>37058.431757971077</v>
      </c>
      <c r="AN52" s="1132" t="str">
        <f t="shared" si="11"/>
        <v>CI-HVC-BOIL-V06-190101</v>
      </c>
      <c r="AO52" s="1132" t="str">
        <f t="shared" si="12"/>
        <v>Nicor Gas PY11-PY14 Adjustable Goals Template_2025-03-01, Tab 4.4.10</v>
      </c>
      <c r="AP52" s="2568">
        <f>'4.4.10'!$Q$8</f>
        <v>2167.831633361006</v>
      </c>
      <c r="AQ52" s="2568" t="s">
        <v>432</v>
      </c>
      <c r="AR52" s="2505">
        <f t="shared" si="13"/>
        <v>9075.2109093922445</v>
      </c>
      <c r="AS52" s="2505">
        <f t="shared" si="14"/>
        <v>-189.39703010052472</v>
      </c>
      <c r="AT52" s="1132" t="str">
        <f t="shared" si="15"/>
        <v>CI-HVC-BOIL-V06-190101</v>
      </c>
      <c r="AU52" s="1132" t="str">
        <f t="shared" si="16"/>
        <v>Nicor Gas PY11-PY14 Adjustable Goals Template_2025-03-01, Tab 4.4.10</v>
      </c>
      <c r="AV52" s="2505">
        <f>'4.4.10'!$Q$8</f>
        <v>2167.831633361006</v>
      </c>
      <c r="AW52" s="2568" t="s">
        <v>432</v>
      </c>
      <c r="AX52" s="1362">
        <f t="shared" si="17"/>
        <v>9075.2109093922445</v>
      </c>
      <c r="AY52" s="1360">
        <f t="shared" si="18"/>
        <v>-189.39703010052472</v>
      </c>
      <c r="AZ52" s="1132" t="str">
        <f t="shared" si="19"/>
        <v>CI-HVC-BOIL-V06-190101</v>
      </c>
      <c r="BA52" s="1132" t="str">
        <f t="shared" si="20"/>
        <v>Nicor Gas PY11-PY14 Adjustable Goals Template_2025-03-01, Tab 4.4.10</v>
      </c>
      <c r="BB52" s="2505">
        <f>'4.4.10'!$Q$8</f>
        <v>2167.831633361006</v>
      </c>
      <c r="BC52" s="2568" t="s">
        <v>432</v>
      </c>
      <c r="BD52" s="1362">
        <f t="shared" si="21"/>
        <v>9075.2109093922445</v>
      </c>
      <c r="BE52" s="1360">
        <f t="shared" si="22"/>
        <v>-189.39703010052472</v>
      </c>
      <c r="BF52" s="1132" t="str">
        <f t="shared" si="23"/>
        <v>CI-HVC-BOIL-V06-190101</v>
      </c>
      <c r="BG52" s="1132" t="str">
        <f t="shared" si="24"/>
        <v>Nicor Gas PY11-PY14 Adjustable Goals Template_2025-03-01, Tab 4.4.10</v>
      </c>
      <c r="BH52" s="2505">
        <f>'4.4.10'!$Q$8</f>
        <v>2167.831633361006</v>
      </c>
      <c r="BI52" s="2568" t="s">
        <v>432</v>
      </c>
      <c r="BJ52" s="1362">
        <f t="shared" si="48"/>
        <v>9075.2109093922445</v>
      </c>
      <c r="BK52" s="1360">
        <f t="shared" si="25"/>
        <v>-189.39703010052472</v>
      </c>
      <c r="BL52" s="1601">
        <f t="shared" si="26"/>
        <v>9075.2109093922445</v>
      </c>
      <c r="BM52" s="1601">
        <f t="shared" si="27"/>
        <v>9075.2109093922445</v>
      </c>
      <c r="BN52" s="1601">
        <f t="shared" si="28"/>
        <v>9075.2109093922445</v>
      </c>
      <c r="BO52" s="1601">
        <f t="shared" si="29"/>
        <v>9075.2109093922445</v>
      </c>
      <c r="BP52" s="1602">
        <f t="shared" si="30"/>
        <v>36300.843637568978</v>
      </c>
      <c r="BQ52" s="1602"/>
      <c r="BR52" s="1602" t="s">
        <v>435</v>
      </c>
      <c r="BS52" s="1602">
        <v>0</v>
      </c>
      <c r="BT52" s="1602">
        <v>25</v>
      </c>
      <c r="BU52" s="1602">
        <v>25</v>
      </c>
      <c r="BV52" s="1602">
        <v>25</v>
      </c>
      <c r="BW52" s="1602">
        <v>25</v>
      </c>
      <c r="BX52" s="1362">
        <f t="shared" si="49"/>
        <v>231615.19848731923</v>
      </c>
      <c r="BY52" s="1362">
        <f t="shared" si="50"/>
        <v>231615.19848731923</v>
      </c>
      <c r="BZ52" s="1362">
        <f t="shared" si="51"/>
        <v>231615.19848731923</v>
      </c>
      <c r="CA52" s="1362">
        <f t="shared" si="52"/>
        <v>231615.19848731923</v>
      </c>
      <c r="CB52" s="1362">
        <f t="shared" si="53"/>
        <v>926460.79394927691</v>
      </c>
      <c r="CC52" s="1360">
        <v>25</v>
      </c>
      <c r="CD52" s="1360">
        <v>25</v>
      </c>
      <c r="CE52" s="1360">
        <v>25</v>
      </c>
      <c r="CF52" s="1360">
        <v>25</v>
      </c>
      <c r="CG52" s="1604">
        <f t="shared" si="33"/>
        <v>226880.27273480612</v>
      </c>
      <c r="CH52" s="1604">
        <f t="shared" si="34"/>
        <v>226880.27273480612</v>
      </c>
      <c r="CI52" s="1604">
        <f t="shared" si="35"/>
        <v>226880.27273480612</v>
      </c>
      <c r="CJ52" s="1604">
        <f t="shared" si="36"/>
        <v>226880.27273480612</v>
      </c>
      <c r="CK52" s="1521">
        <f t="shared" si="37"/>
        <v>907521.09093922446</v>
      </c>
      <c r="CL52" s="1132">
        <v>45</v>
      </c>
      <c r="CM52" s="1132" t="s">
        <v>356</v>
      </c>
      <c r="CN52" s="1359">
        <v>0</v>
      </c>
      <c r="CO52" s="1360">
        <v>4.867799999999999</v>
      </c>
      <c r="CP52" s="1360">
        <v>4.867799999999999</v>
      </c>
      <c r="CQ52" s="1360">
        <v>4.867799999999999</v>
      </c>
      <c r="CR52" s="1360">
        <v>4.867799999999999</v>
      </c>
      <c r="CS52" s="1362">
        <f t="shared" si="38"/>
        <v>9075.2109093922445</v>
      </c>
      <c r="CT52" s="1362">
        <f t="shared" si="39"/>
        <v>9075.2109093922445</v>
      </c>
      <c r="CU52" s="1362">
        <f t="shared" si="40"/>
        <v>9075.2109093922445</v>
      </c>
      <c r="CV52" s="1362">
        <f t="shared" si="41"/>
        <v>9075.2109093922445</v>
      </c>
      <c r="CW52" s="1362">
        <f t="shared" si="42"/>
        <v>36300.843637568978</v>
      </c>
      <c r="CY52" s="2887"/>
      <c r="DN52" s="1715"/>
    </row>
    <row r="53" spans="1:118" s="1143" customFormat="1" ht="46.5" x14ac:dyDescent="0.35">
      <c r="A53" s="1132" t="s">
        <v>101</v>
      </c>
      <c r="B53" s="1132" t="s">
        <v>424</v>
      </c>
      <c r="C53" s="1132" t="s">
        <v>445</v>
      </c>
      <c r="D53" s="1359" t="s">
        <v>446</v>
      </c>
      <c r="E53" s="1359">
        <v>1</v>
      </c>
      <c r="F53" s="2807" t="s">
        <v>435</v>
      </c>
      <c r="G53" s="1132" t="s">
        <v>356</v>
      </c>
      <c r="H53" s="1360">
        <v>1.2169499999999998</v>
      </c>
      <c r="I53" s="1360">
        <v>1.2169499999999998</v>
      </c>
      <c r="J53" s="1360">
        <v>1.2169499999999998</v>
      </c>
      <c r="K53" s="1360">
        <v>1.2169499999999998</v>
      </c>
      <c r="L53" s="1132" t="s">
        <v>436</v>
      </c>
      <c r="M53" s="1132" t="str">
        <f t="shared" si="0"/>
        <v>Nicor Gas PY11-PY14 Adjustable Goals Template_2025-03-01, Tab 4.4.10</v>
      </c>
      <c r="N53" s="1361">
        <v>32.416513030888062</v>
      </c>
      <c r="O53" s="1361">
        <v>32.416513030888062</v>
      </c>
      <c r="P53" s="1361">
        <v>32.416513030888062</v>
      </c>
      <c r="Q53" s="1361">
        <v>32.416513030888062</v>
      </c>
      <c r="R53" s="1781">
        <v>0.86</v>
      </c>
      <c r="S53" s="1781">
        <v>0.86</v>
      </c>
      <c r="T53" s="1781">
        <v>0.86</v>
      </c>
      <c r="U53" s="1781">
        <v>0.86</v>
      </c>
      <c r="V53" s="1781">
        <v>0.86</v>
      </c>
      <c r="W53" s="1781">
        <v>0.86</v>
      </c>
      <c r="X53" s="1781">
        <v>0.86</v>
      </c>
      <c r="Y53" s="1781">
        <v>0.86</v>
      </c>
      <c r="Z53" s="1359">
        <v>1</v>
      </c>
      <c r="AA53" s="1781">
        <f t="shared" si="2"/>
        <v>0.86</v>
      </c>
      <c r="AB53" s="1781">
        <f t="shared" si="3"/>
        <v>0.86</v>
      </c>
      <c r="AC53" s="1781">
        <f t="shared" si="4"/>
        <v>0.86</v>
      </c>
      <c r="AD53" s="1781">
        <f t="shared" si="5"/>
        <v>0.86</v>
      </c>
      <c r="AE53" s="1781">
        <f t="shared" si="6"/>
        <v>0.86</v>
      </c>
      <c r="AF53" s="1781">
        <f t="shared" si="7"/>
        <v>0.86</v>
      </c>
      <c r="AG53" s="1781">
        <f t="shared" si="8"/>
        <v>0.86</v>
      </c>
      <c r="AH53" s="1781">
        <f t="shared" si="9"/>
        <v>0.86</v>
      </c>
      <c r="AI53" s="1362">
        <f t="shared" si="43"/>
        <v>33.926376958327729</v>
      </c>
      <c r="AJ53" s="1362">
        <f t="shared" si="44"/>
        <v>33.926376958327729</v>
      </c>
      <c r="AK53" s="1362">
        <f t="shared" si="45"/>
        <v>33.926376958327729</v>
      </c>
      <c r="AL53" s="1362">
        <f t="shared" si="46"/>
        <v>33.926376958327729</v>
      </c>
      <c r="AM53" s="1362">
        <f t="shared" si="47"/>
        <v>135.70550783331092</v>
      </c>
      <c r="AN53" s="1132" t="str">
        <f t="shared" si="11"/>
        <v>CI-HVC-BOIL-V06-190101</v>
      </c>
      <c r="AO53" s="1132" t="str">
        <f t="shared" si="12"/>
        <v>Nicor Gas PY11-PY14 Adjustable Goals Template_2025-03-01, Tab 4.4.10</v>
      </c>
      <c r="AP53" s="2568">
        <f>'4.4.10'!$Q$9</f>
        <v>31.753819980695013</v>
      </c>
      <c r="AQ53" s="2568" t="s">
        <v>432</v>
      </c>
      <c r="AR53" s="2505">
        <f t="shared" si="13"/>
        <v>33.23281765393584</v>
      </c>
      <c r="AS53" s="2247">
        <f t="shared" si="14"/>
        <v>-0.69355930439188995</v>
      </c>
      <c r="AT53" s="1132" t="str">
        <f t="shared" si="15"/>
        <v>CI-HVC-BOIL-V06-190101</v>
      </c>
      <c r="AU53" s="1132" t="str">
        <f t="shared" si="16"/>
        <v>Nicor Gas PY11-PY14 Adjustable Goals Template_2025-03-01, Tab 4.4.10</v>
      </c>
      <c r="AV53" s="2505">
        <f>'4.4.10'!$Q$9</f>
        <v>31.753819980695013</v>
      </c>
      <c r="AW53" s="2568" t="s">
        <v>432</v>
      </c>
      <c r="AX53" s="1362">
        <f t="shared" si="17"/>
        <v>33.23281765393584</v>
      </c>
      <c r="AY53" s="1360">
        <f t="shared" si="18"/>
        <v>-0.69355930439188995</v>
      </c>
      <c r="AZ53" s="1132" t="str">
        <f t="shared" si="19"/>
        <v>CI-HVC-BOIL-V06-190101</v>
      </c>
      <c r="BA53" s="1132" t="str">
        <f t="shared" si="20"/>
        <v>Nicor Gas PY11-PY14 Adjustable Goals Template_2025-03-01, Tab 4.4.10</v>
      </c>
      <c r="BB53" s="2505">
        <f>'4.4.10'!$Q$9</f>
        <v>31.753819980695013</v>
      </c>
      <c r="BC53" s="2568" t="s">
        <v>432</v>
      </c>
      <c r="BD53" s="1362">
        <f t="shared" si="21"/>
        <v>33.23281765393584</v>
      </c>
      <c r="BE53" s="1360">
        <f t="shared" si="22"/>
        <v>-0.69355930439188995</v>
      </c>
      <c r="BF53" s="1132" t="str">
        <f t="shared" si="23"/>
        <v>CI-HVC-BOIL-V06-190101</v>
      </c>
      <c r="BG53" s="1132" t="str">
        <f t="shared" si="24"/>
        <v>Nicor Gas PY11-PY14 Adjustable Goals Template_2025-03-01, Tab 4.4.10</v>
      </c>
      <c r="BH53" s="2505">
        <f>'4.4.10'!$Q$9</f>
        <v>31.753819980695013</v>
      </c>
      <c r="BI53" s="2568" t="s">
        <v>432</v>
      </c>
      <c r="BJ53" s="1362">
        <f t="shared" si="48"/>
        <v>33.23281765393584</v>
      </c>
      <c r="BK53" s="1360">
        <f t="shared" si="25"/>
        <v>-0.69355930439188995</v>
      </c>
      <c r="BL53" s="1601">
        <f t="shared" si="26"/>
        <v>33.23281765393584</v>
      </c>
      <c r="BM53" s="1601">
        <f t="shared" si="27"/>
        <v>33.23281765393584</v>
      </c>
      <c r="BN53" s="1601">
        <f t="shared" si="28"/>
        <v>33.23281765393584</v>
      </c>
      <c r="BO53" s="1601">
        <f t="shared" si="29"/>
        <v>33.23281765393584</v>
      </c>
      <c r="BP53" s="1602">
        <f t="shared" si="30"/>
        <v>132.93127061574336</v>
      </c>
      <c r="BQ53" s="1602"/>
      <c r="BR53" s="1602" t="s">
        <v>435</v>
      </c>
      <c r="BS53" s="1602">
        <v>0</v>
      </c>
      <c r="BT53" s="1602">
        <v>25</v>
      </c>
      <c r="BU53" s="1602">
        <v>25</v>
      </c>
      <c r="BV53" s="1602">
        <v>25</v>
      </c>
      <c r="BW53" s="1602">
        <v>25</v>
      </c>
      <c r="BX53" s="1362">
        <f t="shared" si="49"/>
        <v>848.1594239581932</v>
      </c>
      <c r="BY53" s="1362">
        <f t="shared" si="50"/>
        <v>848.1594239581932</v>
      </c>
      <c r="BZ53" s="1362">
        <f t="shared" si="51"/>
        <v>848.1594239581932</v>
      </c>
      <c r="CA53" s="1362">
        <f t="shared" si="52"/>
        <v>848.1594239581932</v>
      </c>
      <c r="CB53" s="1362">
        <f t="shared" si="53"/>
        <v>3392.6376958327728</v>
      </c>
      <c r="CC53" s="1360">
        <v>25</v>
      </c>
      <c r="CD53" s="1360">
        <v>25</v>
      </c>
      <c r="CE53" s="1360">
        <v>25</v>
      </c>
      <c r="CF53" s="1360">
        <v>25</v>
      </c>
      <c r="CG53" s="1604">
        <f t="shared" si="33"/>
        <v>830.820441348396</v>
      </c>
      <c r="CH53" s="1604">
        <f t="shared" si="34"/>
        <v>830.820441348396</v>
      </c>
      <c r="CI53" s="1604">
        <f t="shared" si="35"/>
        <v>830.820441348396</v>
      </c>
      <c r="CJ53" s="1604">
        <f t="shared" si="36"/>
        <v>830.820441348396</v>
      </c>
      <c r="CK53" s="1521">
        <f t="shared" si="37"/>
        <v>3323.281765393584</v>
      </c>
      <c r="CL53" s="1132">
        <v>46</v>
      </c>
      <c r="CM53" s="1132" t="s">
        <v>356</v>
      </c>
      <c r="CN53" s="1359">
        <v>0</v>
      </c>
      <c r="CO53" s="1360">
        <v>1.2169499999999998</v>
      </c>
      <c r="CP53" s="1360">
        <v>1.2169499999999998</v>
      </c>
      <c r="CQ53" s="1360">
        <v>1.2169499999999998</v>
      </c>
      <c r="CR53" s="1360">
        <v>1.2169499999999998</v>
      </c>
      <c r="CS53" s="1362">
        <f t="shared" si="38"/>
        <v>33.23281765393584</v>
      </c>
      <c r="CT53" s="1362">
        <f t="shared" si="39"/>
        <v>33.23281765393584</v>
      </c>
      <c r="CU53" s="1362">
        <f t="shared" si="40"/>
        <v>33.23281765393584</v>
      </c>
      <c r="CV53" s="1362">
        <f t="shared" si="41"/>
        <v>33.23281765393584</v>
      </c>
      <c r="CW53" s="1362">
        <f t="shared" si="42"/>
        <v>132.93127061574336</v>
      </c>
      <c r="CY53" s="2887"/>
      <c r="DN53" s="1715"/>
    </row>
    <row r="54" spans="1:118" s="1143" customFormat="1" ht="44.5" customHeight="1" x14ac:dyDescent="0.35">
      <c r="A54" s="1132" t="s">
        <v>101</v>
      </c>
      <c r="B54" s="1132" t="s">
        <v>424</v>
      </c>
      <c r="C54" s="1132" t="s">
        <v>447</v>
      </c>
      <c r="D54" s="1359" t="s">
        <v>448</v>
      </c>
      <c r="E54" s="1359">
        <v>1</v>
      </c>
      <c r="F54" s="2807" t="s">
        <v>435</v>
      </c>
      <c r="G54" s="1132" t="s">
        <v>356</v>
      </c>
      <c r="H54" s="1360">
        <v>0.60847499999999988</v>
      </c>
      <c r="I54" s="1360">
        <v>0.60847499999999988</v>
      </c>
      <c r="J54" s="1360">
        <v>0.60847499999999988</v>
      </c>
      <c r="K54" s="1360">
        <v>0.60847499999999988</v>
      </c>
      <c r="L54" s="1132" t="s">
        <v>436</v>
      </c>
      <c r="M54" s="1132" t="str">
        <f t="shared" si="0"/>
        <v>Nicor Gas PY11-PY14 Adjustable Goals Template_2025-03-01, Tab 4.4.10</v>
      </c>
      <c r="N54" s="1361">
        <v>74.980804054054119</v>
      </c>
      <c r="O54" s="1361">
        <v>74.980804054054119</v>
      </c>
      <c r="P54" s="1361">
        <v>74.980804054054119</v>
      </c>
      <c r="Q54" s="1361">
        <v>74.980804054054119</v>
      </c>
      <c r="R54" s="1781">
        <v>0.86</v>
      </c>
      <c r="S54" s="1781">
        <v>0.86</v>
      </c>
      <c r="T54" s="1781">
        <v>0.86</v>
      </c>
      <c r="U54" s="1781">
        <v>0.86</v>
      </c>
      <c r="V54" s="1781">
        <v>0.86</v>
      </c>
      <c r="W54" s="1781">
        <v>0.86</v>
      </c>
      <c r="X54" s="1781">
        <v>0.86</v>
      </c>
      <c r="Y54" s="1781">
        <v>0.86</v>
      </c>
      <c r="Z54" s="1359">
        <v>1</v>
      </c>
      <c r="AA54" s="1781">
        <f t="shared" si="2"/>
        <v>0.86</v>
      </c>
      <c r="AB54" s="1781">
        <f t="shared" si="3"/>
        <v>0.86</v>
      </c>
      <c r="AC54" s="1781">
        <f t="shared" si="4"/>
        <v>0.86</v>
      </c>
      <c r="AD54" s="1781">
        <f t="shared" si="5"/>
        <v>0.86</v>
      </c>
      <c r="AE54" s="1781">
        <f t="shared" si="6"/>
        <v>0.86</v>
      </c>
      <c r="AF54" s="1781">
        <f t="shared" si="7"/>
        <v>0.86</v>
      </c>
      <c r="AG54" s="1781">
        <f t="shared" si="8"/>
        <v>0.86</v>
      </c>
      <c r="AH54" s="1781">
        <f t="shared" si="9"/>
        <v>0.86</v>
      </c>
      <c r="AI54" s="1362">
        <f t="shared" si="43"/>
        <v>39.236592482239892</v>
      </c>
      <c r="AJ54" s="1362">
        <f t="shared" si="44"/>
        <v>39.236592482239892</v>
      </c>
      <c r="AK54" s="1362">
        <f t="shared" si="45"/>
        <v>39.236592482239892</v>
      </c>
      <c r="AL54" s="1362">
        <f t="shared" si="46"/>
        <v>39.236592482239892</v>
      </c>
      <c r="AM54" s="1362">
        <f t="shared" si="47"/>
        <v>156.94636992895957</v>
      </c>
      <c r="AN54" s="1132" t="str">
        <f t="shared" si="11"/>
        <v>CI-HVC-BOIL-V06-190101</v>
      </c>
      <c r="AO54" s="1132" t="str">
        <f t="shared" si="12"/>
        <v>Nicor Gas PY11-PY14 Adjustable Goals Template_2025-03-01, Tab 4.4.10</v>
      </c>
      <c r="AP54" s="2568">
        <f>'4.4.10'!$Q$10</f>
        <v>73.447966216216287</v>
      </c>
      <c r="AQ54" s="2568" t="s">
        <v>432</v>
      </c>
      <c r="AR54" s="2505">
        <f t="shared" si="13"/>
        <v>38.434476069334487</v>
      </c>
      <c r="AS54" s="2247">
        <f t="shared" si="14"/>
        <v>-0.8021164129054057</v>
      </c>
      <c r="AT54" s="1132" t="str">
        <f t="shared" si="15"/>
        <v>CI-HVC-BOIL-V06-190101</v>
      </c>
      <c r="AU54" s="1132" t="str">
        <f t="shared" si="16"/>
        <v>Nicor Gas PY11-PY14 Adjustable Goals Template_2025-03-01, Tab 4.4.10</v>
      </c>
      <c r="AV54" s="2505">
        <f>'4.4.10'!$Q$10</f>
        <v>73.447966216216287</v>
      </c>
      <c r="AW54" s="2568" t="s">
        <v>432</v>
      </c>
      <c r="AX54" s="1362">
        <f t="shared" si="17"/>
        <v>38.434476069334487</v>
      </c>
      <c r="AY54" s="1360">
        <f t="shared" si="18"/>
        <v>-0.8021164129054057</v>
      </c>
      <c r="AZ54" s="1132" t="str">
        <f t="shared" si="19"/>
        <v>CI-HVC-BOIL-V06-190101</v>
      </c>
      <c r="BA54" s="1132" t="str">
        <f t="shared" si="20"/>
        <v>Nicor Gas PY11-PY14 Adjustable Goals Template_2025-03-01, Tab 4.4.10</v>
      </c>
      <c r="BB54" s="2505">
        <f>'4.4.10'!$Q$10</f>
        <v>73.447966216216287</v>
      </c>
      <c r="BC54" s="2568" t="s">
        <v>432</v>
      </c>
      <c r="BD54" s="1362">
        <f t="shared" si="21"/>
        <v>38.434476069334487</v>
      </c>
      <c r="BE54" s="1360">
        <f t="shared" si="22"/>
        <v>-0.8021164129054057</v>
      </c>
      <c r="BF54" s="1132" t="str">
        <f t="shared" si="23"/>
        <v>CI-HVC-BOIL-V06-190101</v>
      </c>
      <c r="BG54" s="1132" t="str">
        <f t="shared" si="24"/>
        <v>Nicor Gas PY11-PY14 Adjustable Goals Template_2025-03-01, Tab 4.4.10</v>
      </c>
      <c r="BH54" s="2505">
        <f>'4.4.10'!$Q$10</f>
        <v>73.447966216216287</v>
      </c>
      <c r="BI54" s="2568" t="s">
        <v>432</v>
      </c>
      <c r="BJ54" s="1362">
        <f t="shared" si="48"/>
        <v>38.434476069334487</v>
      </c>
      <c r="BK54" s="1360">
        <f t="shared" si="25"/>
        <v>-0.8021164129054057</v>
      </c>
      <c r="BL54" s="1601">
        <f t="shared" si="26"/>
        <v>38.434476069334487</v>
      </c>
      <c r="BM54" s="1601">
        <f t="shared" si="27"/>
        <v>38.434476069334487</v>
      </c>
      <c r="BN54" s="1601">
        <f t="shared" si="28"/>
        <v>38.434476069334487</v>
      </c>
      <c r="BO54" s="1601">
        <f t="shared" si="29"/>
        <v>38.434476069334487</v>
      </c>
      <c r="BP54" s="1602">
        <f t="shared" si="30"/>
        <v>153.73790427733795</v>
      </c>
      <c r="BQ54" s="1602"/>
      <c r="BR54" s="1602" t="s">
        <v>435</v>
      </c>
      <c r="BS54" s="1602">
        <v>0</v>
      </c>
      <c r="BT54" s="1602">
        <v>25</v>
      </c>
      <c r="BU54" s="1602">
        <v>25</v>
      </c>
      <c r="BV54" s="1602">
        <v>25</v>
      </c>
      <c r="BW54" s="1602">
        <v>25</v>
      </c>
      <c r="BX54" s="1362">
        <f t="shared" si="49"/>
        <v>980.91481205599734</v>
      </c>
      <c r="BY54" s="1362">
        <f t="shared" si="50"/>
        <v>980.91481205599734</v>
      </c>
      <c r="BZ54" s="1362">
        <f t="shared" si="51"/>
        <v>980.91481205599734</v>
      </c>
      <c r="CA54" s="1362">
        <f t="shared" si="52"/>
        <v>980.91481205599734</v>
      </c>
      <c r="CB54" s="1362">
        <f t="shared" si="53"/>
        <v>3923.6592482239894</v>
      </c>
      <c r="CC54" s="1360">
        <v>25</v>
      </c>
      <c r="CD54" s="1360">
        <v>25</v>
      </c>
      <c r="CE54" s="1360">
        <v>25</v>
      </c>
      <c r="CF54" s="1360">
        <v>25</v>
      </c>
      <c r="CG54" s="1604">
        <f t="shared" si="33"/>
        <v>960.8619017333624</v>
      </c>
      <c r="CH54" s="1604">
        <f t="shared" si="34"/>
        <v>960.8619017333624</v>
      </c>
      <c r="CI54" s="1604">
        <f t="shared" si="35"/>
        <v>960.8619017333624</v>
      </c>
      <c r="CJ54" s="1604">
        <f t="shared" si="36"/>
        <v>960.8619017333624</v>
      </c>
      <c r="CK54" s="1521">
        <f t="shared" si="37"/>
        <v>3843.4476069334496</v>
      </c>
      <c r="CL54" s="1132">
        <v>47</v>
      </c>
      <c r="CM54" s="1132" t="s">
        <v>356</v>
      </c>
      <c r="CN54" s="1359">
        <v>0</v>
      </c>
      <c r="CO54" s="1360">
        <v>0.60847499999999988</v>
      </c>
      <c r="CP54" s="1360">
        <v>0.60847499999999988</v>
      </c>
      <c r="CQ54" s="1360">
        <v>0.60847499999999988</v>
      </c>
      <c r="CR54" s="1360">
        <v>0.60847499999999988</v>
      </c>
      <c r="CS54" s="1362">
        <f t="shared" si="38"/>
        <v>38.434476069334487</v>
      </c>
      <c r="CT54" s="1362">
        <f t="shared" si="39"/>
        <v>38.434476069334487</v>
      </c>
      <c r="CU54" s="1362">
        <f t="shared" si="40"/>
        <v>38.434476069334487</v>
      </c>
      <c r="CV54" s="1362">
        <f t="shared" si="41"/>
        <v>38.434476069334487</v>
      </c>
      <c r="CW54" s="1362">
        <f t="shared" si="42"/>
        <v>153.73790427733795</v>
      </c>
      <c r="CY54" s="2887"/>
      <c r="DN54" s="1715"/>
    </row>
    <row r="55" spans="1:118" s="1143" customFormat="1" ht="46.5" x14ac:dyDescent="0.35">
      <c r="A55" s="1132" t="s">
        <v>101</v>
      </c>
      <c r="B55" s="1132" t="s">
        <v>424</v>
      </c>
      <c r="C55" s="1132" t="s">
        <v>449</v>
      </c>
      <c r="D55" s="1359" t="s">
        <v>450</v>
      </c>
      <c r="E55" s="1359">
        <v>1</v>
      </c>
      <c r="F55" s="2807" t="s">
        <v>435</v>
      </c>
      <c r="G55" s="1132" t="s">
        <v>356</v>
      </c>
      <c r="H55" s="1360">
        <v>0.60847499999999988</v>
      </c>
      <c r="I55" s="1360">
        <v>0.60847499999999988</v>
      </c>
      <c r="J55" s="1360">
        <v>0.60847499999999988</v>
      </c>
      <c r="K55" s="1360">
        <v>0.60847499999999988</v>
      </c>
      <c r="L55" s="1132" t="s">
        <v>436</v>
      </c>
      <c r="M55" s="1132" t="str">
        <f t="shared" si="0"/>
        <v>Nicor Gas PY11-PY14 Adjustable Goals Template_2025-03-01, Tab 4.4.10</v>
      </c>
      <c r="N55" s="1361">
        <v>134.22992131467194</v>
      </c>
      <c r="O55" s="1361">
        <v>134.22992131467194</v>
      </c>
      <c r="P55" s="1361">
        <v>134.22992131467194</v>
      </c>
      <c r="Q55" s="1361">
        <v>134.22992131467194</v>
      </c>
      <c r="R55" s="1781">
        <v>0.86</v>
      </c>
      <c r="S55" s="1781">
        <v>0.86</v>
      </c>
      <c r="T55" s="1781">
        <v>0.86</v>
      </c>
      <c r="U55" s="1781">
        <v>0.86</v>
      </c>
      <c r="V55" s="1781">
        <v>0.86</v>
      </c>
      <c r="W55" s="1781">
        <v>0.86</v>
      </c>
      <c r="X55" s="1781">
        <v>0.86</v>
      </c>
      <c r="Y55" s="1781">
        <v>0.86</v>
      </c>
      <c r="Z55" s="1359">
        <v>1</v>
      </c>
      <c r="AA55" s="1781">
        <f t="shared" si="2"/>
        <v>0.86</v>
      </c>
      <c r="AB55" s="1781">
        <f t="shared" si="3"/>
        <v>0.86</v>
      </c>
      <c r="AC55" s="1781">
        <f t="shared" si="4"/>
        <v>0.86</v>
      </c>
      <c r="AD55" s="1781">
        <f t="shared" si="5"/>
        <v>0.86</v>
      </c>
      <c r="AE55" s="1781">
        <f t="shared" si="6"/>
        <v>0.86</v>
      </c>
      <c r="AF55" s="1781">
        <f t="shared" si="7"/>
        <v>0.86</v>
      </c>
      <c r="AG55" s="1781">
        <f t="shared" si="8"/>
        <v>0.86</v>
      </c>
      <c r="AH55" s="1781">
        <f t="shared" si="9"/>
        <v>0.86</v>
      </c>
      <c r="AI55" s="1362">
        <f t="shared" si="43"/>
        <v>70.240974179872694</v>
      </c>
      <c r="AJ55" s="1362">
        <f t="shared" si="44"/>
        <v>70.240974179872694</v>
      </c>
      <c r="AK55" s="1362">
        <f t="shared" si="45"/>
        <v>70.240974179872694</v>
      </c>
      <c r="AL55" s="1362">
        <f t="shared" si="46"/>
        <v>70.240974179872694</v>
      </c>
      <c r="AM55" s="1362">
        <f t="shared" si="47"/>
        <v>280.96389671949078</v>
      </c>
      <c r="AN55" s="1132" t="str">
        <f t="shared" si="11"/>
        <v>CI-HVC-BOIL-V06-190101</v>
      </c>
      <c r="AO55" s="1132" t="str">
        <f t="shared" si="12"/>
        <v>Nicor Gas PY11-PY14 Adjustable Goals Template_2025-03-01, Tab 4.4.10</v>
      </c>
      <c r="AP55" s="2568">
        <f>'4.4.10'!$Q$11</f>
        <v>131.48584961583023</v>
      </c>
      <c r="AQ55" s="2568" t="s">
        <v>432</v>
      </c>
      <c r="AR55" s="2505">
        <f t="shared" si="13"/>
        <v>68.805033016693372</v>
      </c>
      <c r="AS55" s="2247">
        <f t="shared" si="14"/>
        <v>-1.4359411631793222</v>
      </c>
      <c r="AT55" s="1132" t="str">
        <f t="shared" si="15"/>
        <v>CI-HVC-BOIL-V06-190101</v>
      </c>
      <c r="AU55" s="1132" t="str">
        <f t="shared" si="16"/>
        <v>Nicor Gas PY11-PY14 Adjustable Goals Template_2025-03-01, Tab 4.4.10</v>
      </c>
      <c r="AV55" s="2505">
        <f>'4.4.10'!$Q$11</f>
        <v>131.48584961583023</v>
      </c>
      <c r="AW55" s="2568" t="s">
        <v>432</v>
      </c>
      <c r="AX55" s="1362">
        <f t="shared" si="17"/>
        <v>68.805033016693372</v>
      </c>
      <c r="AY55" s="1360">
        <f t="shared" si="18"/>
        <v>-1.4359411631793222</v>
      </c>
      <c r="AZ55" s="1132" t="str">
        <f t="shared" si="19"/>
        <v>CI-HVC-BOIL-V06-190101</v>
      </c>
      <c r="BA55" s="1132" t="str">
        <f t="shared" si="20"/>
        <v>Nicor Gas PY11-PY14 Adjustable Goals Template_2025-03-01, Tab 4.4.10</v>
      </c>
      <c r="BB55" s="2505">
        <f>'4.4.10'!$Q$11</f>
        <v>131.48584961583023</v>
      </c>
      <c r="BC55" s="2568" t="s">
        <v>432</v>
      </c>
      <c r="BD55" s="1362">
        <f t="shared" si="21"/>
        <v>68.805033016693372</v>
      </c>
      <c r="BE55" s="1360">
        <f t="shared" si="22"/>
        <v>-1.4359411631793222</v>
      </c>
      <c r="BF55" s="1132" t="str">
        <f t="shared" si="23"/>
        <v>CI-HVC-BOIL-V06-190101</v>
      </c>
      <c r="BG55" s="1132" t="str">
        <f t="shared" si="24"/>
        <v>Nicor Gas PY11-PY14 Adjustable Goals Template_2025-03-01, Tab 4.4.10</v>
      </c>
      <c r="BH55" s="2505">
        <f>'4.4.10'!$Q$11</f>
        <v>131.48584961583023</v>
      </c>
      <c r="BI55" s="2568" t="s">
        <v>432</v>
      </c>
      <c r="BJ55" s="1362">
        <f t="shared" si="48"/>
        <v>68.805033016693372</v>
      </c>
      <c r="BK55" s="1360">
        <f t="shared" si="25"/>
        <v>-1.4359411631793222</v>
      </c>
      <c r="BL55" s="1601">
        <f t="shared" si="26"/>
        <v>68.805033016693372</v>
      </c>
      <c r="BM55" s="1601">
        <f t="shared" si="27"/>
        <v>68.805033016693372</v>
      </c>
      <c r="BN55" s="1601">
        <f t="shared" si="28"/>
        <v>68.805033016693372</v>
      </c>
      <c r="BO55" s="1601">
        <f t="shared" si="29"/>
        <v>68.805033016693372</v>
      </c>
      <c r="BP55" s="1602">
        <f t="shared" si="30"/>
        <v>275.22013206677349</v>
      </c>
      <c r="BQ55" s="1602"/>
      <c r="BR55" s="1602" t="s">
        <v>435</v>
      </c>
      <c r="BS55" s="1602">
        <v>0</v>
      </c>
      <c r="BT55" s="1602">
        <v>25</v>
      </c>
      <c r="BU55" s="1602">
        <v>25</v>
      </c>
      <c r="BV55" s="1602">
        <v>25</v>
      </c>
      <c r="BW55" s="1602">
        <v>25</v>
      </c>
      <c r="BX55" s="1362">
        <f t="shared" si="49"/>
        <v>1756.0243544968173</v>
      </c>
      <c r="BY55" s="1362">
        <f t="shared" si="50"/>
        <v>1756.0243544968173</v>
      </c>
      <c r="BZ55" s="1362">
        <f t="shared" si="51"/>
        <v>1756.0243544968173</v>
      </c>
      <c r="CA55" s="1362">
        <f t="shared" si="52"/>
        <v>1756.0243544968173</v>
      </c>
      <c r="CB55" s="1362">
        <f t="shared" si="53"/>
        <v>7024.0974179872692</v>
      </c>
      <c r="CC55" s="1360">
        <v>25</v>
      </c>
      <c r="CD55" s="1360">
        <v>25</v>
      </c>
      <c r="CE55" s="1360">
        <v>25</v>
      </c>
      <c r="CF55" s="1360">
        <v>25</v>
      </c>
      <c r="CG55" s="1604">
        <f t="shared" si="33"/>
        <v>1720.1258254173342</v>
      </c>
      <c r="CH55" s="1604">
        <f t="shared" si="34"/>
        <v>1720.1258254173342</v>
      </c>
      <c r="CI55" s="1604">
        <f t="shared" si="35"/>
        <v>1720.1258254173342</v>
      </c>
      <c r="CJ55" s="1604">
        <f t="shared" si="36"/>
        <v>1720.1258254173342</v>
      </c>
      <c r="CK55" s="1521">
        <f t="shared" si="37"/>
        <v>6880.5033016693369</v>
      </c>
      <c r="CL55" s="1132">
        <v>48</v>
      </c>
      <c r="CM55" s="1132" t="s">
        <v>356</v>
      </c>
      <c r="CN55" s="1359">
        <v>0</v>
      </c>
      <c r="CO55" s="1360">
        <v>0.60847499999999988</v>
      </c>
      <c r="CP55" s="1360">
        <v>0.60847499999999988</v>
      </c>
      <c r="CQ55" s="1360">
        <v>0.60847499999999988</v>
      </c>
      <c r="CR55" s="1360">
        <v>0.60847499999999988</v>
      </c>
      <c r="CS55" s="1362">
        <f t="shared" si="38"/>
        <v>68.805033016693372</v>
      </c>
      <c r="CT55" s="1362">
        <f t="shared" si="39"/>
        <v>68.805033016693372</v>
      </c>
      <c r="CU55" s="1362">
        <f t="shared" si="40"/>
        <v>68.805033016693372</v>
      </c>
      <c r="CV55" s="1362">
        <f t="shared" si="41"/>
        <v>68.805033016693372</v>
      </c>
      <c r="CW55" s="1362">
        <f t="shared" si="42"/>
        <v>275.22013206677349</v>
      </c>
      <c r="CY55" s="2887"/>
      <c r="DN55" s="1715"/>
    </row>
    <row r="56" spans="1:118" s="1143" customFormat="1" ht="46.5" x14ac:dyDescent="0.35">
      <c r="A56" s="1132" t="s">
        <v>101</v>
      </c>
      <c r="B56" s="1132" t="s">
        <v>424</v>
      </c>
      <c r="C56" s="1132" t="s">
        <v>451</v>
      </c>
      <c r="D56" s="1359" t="s">
        <v>452</v>
      </c>
      <c r="E56" s="1359">
        <v>1</v>
      </c>
      <c r="F56" s="2807" t="s">
        <v>435</v>
      </c>
      <c r="G56" s="1132" t="s">
        <v>356</v>
      </c>
      <c r="H56" s="1360">
        <v>0.60847499999999988</v>
      </c>
      <c r="I56" s="1360">
        <v>0.60847499999999988</v>
      </c>
      <c r="J56" s="1360">
        <v>0.60847499999999988</v>
      </c>
      <c r="K56" s="1360">
        <v>0.60847499999999988</v>
      </c>
      <c r="L56" s="1132" t="s">
        <v>436</v>
      </c>
      <c r="M56" s="1132" t="str">
        <f t="shared" si="0"/>
        <v>Nicor Gas PY11-PY14 Adjustable Goals Template_2025-03-01, Tab 4.4.10</v>
      </c>
      <c r="N56" s="1361">
        <v>253.19326232722025</v>
      </c>
      <c r="O56" s="1361">
        <v>253.19326232722025</v>
      </c>
      <c r="P56" s="1361">
        <v>253.19326232722025</v>
      </c>
      <c r="Q56" s="1361">
        <v>253.19326232722025</v>
      </c>
      <c r="R56" s="1781">
        <v>0.86</v>
      </c>
      <c r="S56" s="1781">
        <v>0.86</v>
      </c>
      <c r="T56" s="1781">
        <v>0.86</v>
      </c>
      <c r="U56" s="1781">
        <v>0.86</v>
      </c>
      <c r="V56" s="1781">
        <v>0.86</v>
      </c>
      <c r="W56" s="1781">
        <v>0.86</v>
      </c>
      <c r="X56" s="1781">
        <v>0.86</v>
      </c>
      <c r="Y56" s="1781">
        <v>0.86</v>
      </c>
      <c r="Z56" s="1359">
        <v>1</v>
      </c>
      <c r="AA56" s="1781">
        <f t="shared" si="2"/>
        <v>0.86</v>
      </c>
      <c r="AB56" s="1781">
        <f t="shared" si="3"/>
        <v>0.86</v>
      </c>
      <c r="AC56" s="1781">
        <f t="shared" si="4"/>
        <v>0.86</v>
      </c>
      <c r="AD56" s="1781">
        <f t="shared" si="5"/>
        <v>0.86</v>
      </c>
      <c r="AE56" s="1781">
        <f t="shared" si="6"/>
        <v>0.86</v>
      </c>
      <c r="AF56" s="1781">
        <f t="shared" si="7"/>
        <v>0.86</v>
      </c>
      <c r="AG56" s="1781">
        <f t="shared" si="8"/>
        <v>0.86</v>
      </c>
      <c r="AH56" s="1781">
        <f t="shared" si="9"/>
        <v>0.86</v>
      </c>
      <c r="AI56" s="1362">
        <f t="shared" si="43"/>
        <v>132.49312245331757</v>
      </c>
      <c r="AJ56" s="1362">
        <f t="shared" si="44"/>
        <v>132.49312245331757</v>
      </c>
      <c r="AK56" s="1362">
        <f t="shared" si="45"/>
        <v>132.49312245331757</v>
      </c>
      <c r="AL56" s="1362">
        <f t="shared" si="46"/>
        <v>132.49312245331757</v>
      </c>
      <c r="AM56" s="1362">
        <f t="shared" si="47"/>
        <v>529.97248981327027</v>
      </c>
      <c r="AN56" s="1132" t="str">
        <f t="shared" si="11"/>
        <v>CI-HVC-BOIL-V06-190101</v>
      </c>
      <c r="AO56" s="1132" t="str">
        <f t="shared" si="12"/>
        <v>Nicor Gas PY11-PY14 Adjustable Goals Template_2025-03-01, Tab 4.4.10</v>
      </c>
      <c r="AP56" s="2568">
        <f>'4.4.10'!$Q$12</f>
        <v>248.01721470173769</v>
      </c>
      <c r="AQ56" s="2568" t="s">
        <v>432</v>
      </c>
      <c r="AR56" s="2505">
        <f t="shared" si="13"/>
        <v>129.78455625545021</v>
      </c>
      <c r="AS56" s="2505">
        <f t="shared" si="14"/>
        <v>-2.7085661978673556</v>
      </c>
      <c r="AT56" s="1132" t="str">
        <f t="shared" si="15"/>
        <v>CI-HVC-BOIL-V06-190101</v>
      </c>
      <c r="AU56" s="1132" t="str">
        <f t="shared" si="16"/>
        <v>Nicor Gas PY11-PY14 Adjustable Goals Template_2025-03-01, Tab 4.4.10</v>
      </c>
      <c r="AV56" s="2505">
        <f>'4.4.10'!$Q$12</f>
        <v>248.01721470173769</v>
      </c>
      <c r="AW56" s="2568" t="s">
        <v>432</v>
      </c>
      <c r="AX56" s="1362">
        <f t="shared" si="17"/>
        <v>129.78455625545021</v>
      </c>
      <c r="AY56" s="1360">
        <f t="shared" si="18"/>
        <v>-2.7085661978673556</v>
      </c>
      <c r="AZ56" s="1132" t="str">
        <f t="shared" si="19"/>
        <v>CI-HVC-BOIL-V06-190101</v>
      </c>
      <c r="BA56" s="1132" t="str">
        <f t="shared" si="20"/>
        <v>Nicor Gas PY11-PY14 Adjustable Goals Template_2025-03-01, Tab 4.4.10</v>
      </c>
      <c r="BB56" s="2505">
        <f>'4.4.10'!$Q$12</f>
        <v>248.01721470173769</v>
      </c>
      <c r="BC56" s="2568" t="s">
        <v>432</v>
      </c>
      <c r="BD56" s="1362">
        <f t="shared" si="21"/>
        <v>129.78455625545021</v>
      </c>
      <c r="BE56" s="1360">
        <f t="shared" si="22"/>
        <v>-2.7085661978673556</v>
      </c>
      <c r="BF56" s="1132" t="str">
        <f t="shared" si="23"/>
        <v>CI-HVC-BOIL-V06-190101</v>
      </c>
      <c r="BG56" s="1132" t="str">
        <f t="shared" si="24"/>
        <v>Nicor Gas PY11-PY14 Adjustable Goals Template_2025-03-01, Tab 4.4.10</v>
      </c>
      <c r="BH56" s="2505">
        <f>'4.4.10'!$Q$12</f>
        <v>248.01721470173769</v>
      </c>
      <c r="BI56" s="2568" t="s">
        <v>432</v>
      </c>
      <c r="BJ56" s="1362">
        <f t="shared" si="48"/>
        <v>129.78455625545021</v>
      </c>
      <c r="BK56" s="1360">
        <f t="shared" si="25"/>
        <v>-2.7085661978673556</v>
      </c>
      <c r="BL56" s="1601">
        <f t="shared" si="26"/>
        <v>129.78455625545021</v>
      </c>
      <c r="BM56" s="1601">
        <f t="shared" si="27"/>
        <v>129.78455625545021</v>
      </c>
      <c r="BN56" s="1601">
        <f t="shared" si="28"/>
        <v>129.78455625545021</v>
      </c>
      <c r="BO56" s="1601">
        <f t="shared" si="29"/>
        <v>129.78455625545021</v>
      </c>
      <c r="BP56" s="1602">
        <f t="shared" si="30"/>
        <v>519.13822502180085</v>
      </c>
      <c r="BQ56" s="1602"/>
      <c r="BR56" s="1602" t="s">
        <v>435</v>
      </c>
      <c r="BS56" s="1602">
        <v>0</v>
      </c>
      <c r="BT56" s="1602">
        <v>25</v>
      </c>
      <c r="BU56" s="1602">
        <v>25</v>
      </c>
      <c r="BV56" s="1602">
        <v>25</v>
      </c>
      <c r="BW56" s="1602">
        <v>25</v>
      </c>
      <c r="BX56" s="1362">
        <f t="shared" si="49"/>
        <v>3312.3280613329393</v>
      </c>
      <c r="BY56" s="1362">
        <f t="shared" si="50"/>
        <v>3312.3280613329393</v>
      </c>
      <c r="BZ56" s="1362">
        <f t="shared" si="51"/>
        <v>3312.3280613329393</v>
      </c>
      <c r="CA56" s="1362">
        <f t="shared" si="52"/>
        <v>3312.3280613329393</v>
      </c>
      <c r="CB56" s="1362">
        <f t="shared" si="53"/>
        <v>13249.312245331757</v>
      </c>
      <c r="CC56" s="1360">
        <v>25</v>
      </c>
      <c r="CD56" s="1360">
        <v>25</v>
      </c>
      <c r="CE56" s="1360">
        <v>25</v>
      </c>
      <c r="CF56" s="1360">
        <v>25</v>
      </c>
      <c r="CG56" s="1604">
        <f t="shared" si="33"/>
        <v>3244.6139063862561</v>
      </c>
      <c r="CH56" s="1604">
        <f t="shared" si="34"/>
        <v>3244.6139063862561</v>
      </c>
      <c r="CI56" s="1604">
        <f t="shared" si="35"/>
        <v>3244.6139063862561</v>
      </c>
      <c r="CJ56" s="1604">
        <f t="shared" si="36"/>
        <v>3244.6139063862561</v>
      </c>
      <c r="CK56" s="1521">
        <f t="shared" si="37"/>
        <v>12978.455625545024</v>
      </c>
      <c r="CL56" s="1132">
        <v>49</v>
      </c>
      <c r="CM56" s="1132" t="s">
        <v>356</v>
      </c>
      <c r="CN56" s="1359">
        <v>0</v>
      </c>
      <c r="CO56" s="1360">
        <v>0.60847499999999988</v>
      </c>
      <c r="CP56" s="1360">
        <v>0.60847499999999988</v>
      </c>
      <c r="CQ56" s="1360">
        <v>0.60847499999999988</v>
      </c>
      <c r="CR56" s="1360">
        <v>0.60847499999999988</v>
      </c>
      <c r="CS56" s="1362">
        <f t="shared" si="38"/>
        <v>129.78455625545021</v>
      </c>
      <c r="CT56" s="1362">
        <f t="shared" si="39"/>
        <v>129.78455625545021</v>
      </c>
      <c r="CU56" s="1362">
        <f t="shared" si="40"/>
        <v>129.78455625545021</v>
      </c>
      <c r="CV56" s="1362">
        <f t="shared" si="41"/>
        <v>129.78455625545021</v>
      </c>
      <c r="CW56" s="1362">
        <f t="shared" si="42"/>
        <v>519.13822502180085</v>
      </c>
      <c r="CY56" s="2887"/>
      <c r="DN56" s="1715"/>
    </row>
    <row r="57" spans="1:118" s="1143" customFormat="1" ht="46.5" x14ac:dyDescent="0.35">
      <c r="A57" s="1132" t="s">
        <v>101</v>
      </c>
      <c r="B57" s="1132" t="s">
        <v>424</v>
      </c>
      <c r="C57" s="1132" t="s">
        <v>453</v>
      </c>
      <c r="D57" s="1359" t="s">
        <v>454</v>
      </c>
      <c r="E57" s="1359">
        <v>1</v>
      </c>
      <c r="F57" s="2807" t="s">
        <v>435</v>
      </c>
      <c r="G57" s="1132" t="s">
        <v>356</v>
      </c>
      <c r="H57" s="1360">
        <v>1.2169499999999998</v>
      </c>
      <c r="I57" s="1360">
        <v>1.2169499999999998</v>
      </c>
      <c r="J57" s="1360">
        <v>1.2169499999999998</v>
      </c>
      <c r="K57" s="1360">
        <v>1.2169499999999998</v>
      </c>
      <c r="L57" s="1132" t="s">
        <v>436</v>
      </c>
      <c r="M57" s="1132" t="str">
        <f t="shared" si="0"/>
        <v>Nicor Gas PY11-PY14 Adjustable Goals Template_2025-03-01, Tab 4.4.10</v>
      </c>
      <c r="N57" s="1361">
        <v>358.75984509362968</v>
      </c>
      <c r="O57" s="1361">
        <v>358.75984509362968</v>
      </c>
      <c r="P57" s="1361">
        <v>358.75984509362968</v>
      </c>
      <c r="Q57" s="1361">
        <v>358.75984509362968</v>
      </c>
      <c r="R57" s="1781">
        <v>0.86</v>
      </c>
      <c r="S57" s="1781">
        <v>0.86</v>
      </c>
      <c r="T57" s="1781">
        <v>0.86</v>
      </c>
      <c r="U57" s="1781">
        <v>0.86</v>
      </c>
      <c r="V57" s="1781">
        <v>0.86</v>
      </c>
      <c r="W57" s="1781">
        <v>0.86</v>
      </c>
      <c r="X57" s="1781">
        <v>0.86</v>
      </c>
      <c r="Y57" s="1781">
        <v>0.86</v>
      </c>
      <c r="Z57" s="1359">
        <v>1</v>
      </c>
      <c r="AA57" s="1781">
        <f t="shared" si="2"/>
        <v>0.86</v>
      </c>
      <c r="AB57" s="1781">
        <f t="shared" si="3"/>
        <v>0.86</v>
      </c>
      <c r="AC57" s="1781">
        <f t="shared" si="4"/>
        <v>0.86</v>
      </c>
      <c r="AD57" s="1781">
        <f t="shared" si="5"/>
        <v>0.86</v>
      </c>
      <c r="AE57" s="1781">
        <f t="shared" si="6"/>
        <v>0.86</v>
      </c>
      <c r="AF57" s="1781">
        <f t="shared" si="7"/>
        <v>0.86</v>
      </c>
      <c r="AG57" s="1781">
        <f t="shared" si="8"/>
        <v>0.86</v>
      </c>
      <c r="AH57" s="1781">
        <f t="shared" si="9"/>
        <v>0.86</v>
      </c>
      <c r="AI57" s="1362">
        <f t="shared" si="43"/>
        <v>375.46980239855554</v>
      </c>
      <c r="AJ57" s="1362">
        <f t="shared" si="44"/>
        <v>375.46980239855554</v>
      </c>
      <c r="AK57" s="1362">
        <f t="shared" si="45"/>
        <v>375.46980239855554</v>
      </c>
      <c r="AL57" s="1362">
        <f t="shared" si="46"/>
        <v>375.46980239855554</v>
      </c>
      <c r="AM57" s="1362">
        <f t="shared" si="47"/>
        <v>1501.8792095942222</v>
      </c>
      <c r="AN57" s="1132" t="str">
        <f t="shared" si="11"/>
        <v>CI-HVC-BOIL-V06-190101</v>
      </c>
      <c r="AO57" s="1132" t="str">
        <f t="shared" si="12"/>
        <v>Nicor Gas PY11-PY14 Adjustable Goals Template_2025-03-01, Tab 4.4.10</v>
      </c>
      <c r="AP57" s="2568">
        <f>'4.4.10'!$Q$13</f>
        <v>351.42569241023205</v>
      </c>
      <c r="AQ57" s="2568" t="s">
        <v>432</v>
      </c>
      <c r="AR57" s="2505">
        <f t="shared" si="13"/>
        <v>367.79404688562335</v>
      </c>
      <c r="AS57" s="2505">
        <f t="shared" si="14"/>
        <v>-7.6757555129321986</v>
      </c>
      <c r="AT57" s="1132" t="str">
        <f t="shared" si="15"/>
        <v>CI-HVC-BOIL-V06-190101</v>
      </c>
      <c r="AU57" s="1132" t="str">
        <f t="shared" si="16"/>
        <v>Nicor Gas PY11-PY14 Adjustable Goals Template_2025-03-01, Tab 4.4.10</v>
      </c>
      <c r="AV57" s="2505">
        <f>'4.4.10'!$Q$13</f>
        <v>351.42569241023205</v>
      </c>
      <c r="AW57" s="2568" t="s">
        <v>432</v>
      </c>
      <c r="AX57" s="1362">
        <f t="shared" si="17"/>
        <v>367.79404688562335</v>
      </c>
      <c r="AY57" s="1360">
        <f t="shared" si="18"/>
        <v>-7.6757555129321986</v>
      </c>
      <c r="AZ57" s="1132" t="str">
        <f t="shared" si="19"/>
        <v>CI-HVC-BOIL-V06-190101</v>
      </c>
      <c r="BA57" s="1132" t="str">
        <f t="shared" si="20"/>
        <v>Nicor Gas PY11-PY14 Adjustable Goals Template_2025-03-01, Tab 4.4.10</v>
      </c>
      <c r="BB57" s="2505">
        <f>'4.4.10'!$Q$13</f>
        <v>351.42569241023205</v>
      </c>
      <c r="BC57" s="2568" t="s">
        <v>432</v>
      </c>
      <c r="BD57" s="1362">
        <f t="shared" si="21"/>
        <v>367.79404688562335</v>
      </c>
      <c r="BE57" s="1360">
        <f t="shared" si="22"/>
        <v>-7.6757555129321986</v>
      </c>
      <c r="BF57" s="1132" t="str">
        <f t="shared" si="23"/>
        <v>CI-HVC-BOIL-V06-190101</v>
      </c>
      <c r="BG57" s="1132" t="str">
        <f t="shared" si="24"/>
        <v>Nicor Gas PY11-PY14 Adjustable Goals Template_2025-03-01, Tab 4.4.10</v>
      </c>
      <c r="BH57" s="2505">
        <f>'4.4.10'!$Q$13</f>
        <v>351.42569241023205</v>
      </c>
      <c r="BI57" s="2568" t="s">
        <v>432</v>
      </c>
      <c r="BJ57" s="1362">
        <f t="shared" si="48"/>
        <v>367.79404688562335</v>
      </c>
      <c r="BK57" s="1360">
        <f t="shared" si="25"/>
        <v>-7.6757555129321986</v>
      </c>
      <c r="BL57" s="1601">
        <f t="shared" si="26"/>
        <v>367.79404688562335</v>
      </c>
      <c r="BM57" s="1601">
        <f t="shared" si="27"/>
        <v>367.79404688562335</v>
      </c>
      <c r="BN57" s="1601">
        <f t="shared" si="28"/>
        <v>367.79404688562335</v>
      </c>
      <c r="BO57" s="1601">
        <f t="shared" si="29"/>
        <v>367.79404688562335</v>
      </c>
      <c r="BP57" s="1602">
        <f t="shared" si="30"/>
        <v>1471.1761875424934</v>
      </c>
      <c r="BQ57" s="1602"/>
      <c r="BR57" s="1602" t="s">
        <v>435</v>
      </c>
      <c r="BS57" s="1602">
        <v>0</v>
      </c>
      <c r="BT57" s="1602">
        <v>25</v>
      </c>
      <c r="BU57" s="1602">
        <v>25</v>
      </c>
      <c r="BV57" s="1602">
        <v>25</v>
      </c>
      <c r="BW57" s="1602">
        <v>25</v>
      </c>
      <c r="BX57" s="1362">
        <f t="shared" si="49"/>
        <v>9386.7450599638887</v>
      </c>
      <c r="BY57" s="1362">
        <f t="shared" si="50"/>
        <v>9386.7450599638887</v>
      </c>
      <c r="BZ57" s="1362">
        <f t="shared" si="51"/>
        <v>9386.7450599638887</v>
      </c>
      <c r="CA57" s="1362">
        <f t="shared" si="52"/>
        <v>9386.7450599638887</v>
      </c>
      <c r="CB57" s="1362">
        <f t="shared" si="53"/>
        <v>37546.980239855555</v>
      </c>
      <c r="CC57" s="1360">
        <v>25</v>
      </c>
      <c r="CD57" s="1360">
        <v>25</v>
      </c>
      <c r="CE57" s="1360">
        <v>25</v>
      </c>
      <c r="CF57" s="1360">
        <v>25</v>
      </c>
      <c r="CG57" s="1604">
        <f t="shared" si="33"/>
        <v>9194.8511721405848</v>
      </c>
      <c r="CH57" s="1604">
        <f t="shared" si="34"/>
        <v>9194.8511721405848</v>
      </c>
      <c r="CI57" s="1604">
        <f t="shared" si="35"/>
        <v>9194.8511721405848</v>
      </c>
      <c r="CJ57" s="1604">
        <f t="shared" si="36"/>
        <v>9194.8511721405848</v>
      </c>
      <c r="CK57" s="1521">
        <f t="shared" si="37"/>
        <v>36779.404688562339</v>
      </c>
      <c r="CL57" s="1132">
        <v>50</v>
      </c>
      <c r="CM57" s="1132" t="s">
        <v>356</v>
      </c>
      <c r="CN57" s="1359">
        <v>0</v>
      </c>
      <c r="CO57" s="1360">
        <v>1.2169499999999998</v>
      </c>
      <c r="CP57" s="1360">
        <v>1.2169499999999998</v>
      </c>
      <c r="CQ57" s="1360">
        <v>1.2169499999999998</v>
      </c>
      <c r="CR57" s="1360">
        <v>1.2169499999999998</v>
      </c>
      <c r="CS57" s="1362">
        <f t="shared" si="38"/>
        <v>367.79404688562335</v>
      </c>
      <c r="CT57" s="1362">
        <f t="shared" si="39"/>
        <v>367.79404688562335</v>
      </c>
      <c r="CU57" s="1362">
        <f t="shared" si="40"/>
        <v>367.79404688562335</v>
      </c>
      <c r="CV57" s="1362">
        <f t="shared" si="41"/>
        <v>367.79404688562335</v>
      </c>
      <c r="CW57" s="1362">
        <f t="shared" si="42"/>
        <v>1471.1761875424934</v>
      </c>
      <c r="CY57" s="2887"/>
      <c r="DN57" s="1715"/>
    </row>
    <row r="58" spans="1:118" s="1143" customFormat="1" ht="46.5" x14ac:dyDescent="0.35">
      <c r="A58" s="1132" t="s">
        <v>101</v>
      </c>
      <c r="B58" s="1132" t="s">
        <v>424</v>
      </c>
      <c r="C58" s="1132" t="s">
        <v>455</v>
      </c>
      <c r="D58" s="1359" t="s">
        <v>456</v>
      </c>
      <c r="E58" s="1359">
        <v>1</v>
      </c>
      <c r="F58" s="1780" t="s">
        <v>457</v>
      </c>
      <c r="G58" s="1132" t="s">
        <v>356</v>
      </c>
      <c r="H58" s="1360">
        <v>3.6508499999999993</v>
      </c>
      <c r="I58" s="1360">
        <v>3.6508499999999993</v>
      </c>
      <c r="J58" s="1360">
        <v>3.6508499999999993</v>
      </c>
      <c r="K58" s="1360">
        <v>3.6508499999999993</v>
      </c>
      <c r="L58" s="1132" t="s">
        <v>458</v>
      </c>
      <c r="M58" s="1132" t="str">
        <f t="shared" si="0"/>
        <v>Nicor Gas PY11-PY14 Adjustable Goals Template_2025-03-01, Tab 4.4.11</v>
      </c>
      <c r="N58" s="1361">
        <v>246.40192524374996</v>
      </c>
      <c r="O58" s="1361">
        <v>246.40192524374996</v>
      </c>
      <c r="P58" s="1361">
        <v>246.40192524374996</v>
      </c>
      <c r="Q58" s="1361">
        <v>246.40192524374996</v>
      </c>
      <c r="R58" s="1781">
        <v>0.86</v>
      </c>
      <c r="S58" s="1781">
        <v>0.86</v>
      </c>
      <c r="T58" s="1781">
        <v>0.86</v>
      </c>
      <c r="U58" s="1781">
        <v>0.86</v>
      </c>
      <c r="V58" s="1781">
        <v>0.86</v>
      </c>
      <c r="W58" s="1781">
        <v>0.86</v>
      </c>
      <c r="X58" s="1781">
        <v>0.86</v>
      </c>
      <c r="Y58" s="1781">
        <v>0.86</v>
      </c>
      <c r="Z58" s="1359">
        <v>1</v>
      </c>
      <c r="AA58" s="1781">
        <f t="shared" si="2"/>
        <v>0.86</v>
      </c>
      <c r="AB58" s="1781">
        <f t="shared" si="3"/>
        <v>0.86</v>
      </c>
      <c r="AC58" s="1781">
        <f t="shared" si="4"/>
        <v>0.86</v>
      </c>
      <c r="AD58" s="1781">
        <f t="shared" si="5"/>
        <v>0.86</v>
      </c>
      <c r="AE58" s="1781">
        <f t="shared" si="6"/>
        <v>0.86</v>
      </c>
      <c r="AF58" s="1781">
        <f t="shared" si="7"/>
        <v>0.86</v>
      </c>
      <c r="AG58" s="1781">
        <f t="shared" si="8"/>
        <v>0.86</v>
      </c>
      <c r="AH58" s="1781">
        <f t="shared" si="9"/>
        <v>0.86</v>
      </c>
      <c r="AI58" s="1362">
        <f t="shared" si="43"/>
        <v>773.63576314748411</v>
      </c>
      <c r="AJ58" s="1362">
        <f t="shared" si="44"/>
        <v>773.63576314748411</v>
      </c>
      <c r="AK58" s="1362">
        <f t="shared" si="45"/>
        <v>773.63576314748411</v>
      </c>
      <c r="AL58" s="1362">
        <f t="shared" si="46"/>
        <v>773.63576314748411</v>
      </c>
      <c r="AM58" s="1362">
        <f t="shared" si="47"/>
        <v>3094.5430525899365</v>
      </c>
      <c r="AN58" s="1132" t="str">
        <f t="shared" si="11"/>
        <v>CI-HVC-FRNC-V08-190101</v>
      </c>
      <c r="AO58" s="1132" t="str">
        <f t="shared" si="12"/>
        <v>Nicor Gas PY11-PY14 Adjustable Goals Template_2025-03-01, Tab 4.4.11</v>
      </c>
      <c r="AP58" s="2505">
        <f>'4.4.11'!$R$4</f>
        <v>246.40192524374996</v>
      </c>
      <c r="AQ58" s="2505"/>
      <c r="AR58" s="2505">
        <f t="shared" si="13"/>
        <v>773.63576314748411</v>
      </c>
      <c r="AS58" s="2505">
        <f t="shared" si="14"/>
        <v>0</v>
      </c>
      <c r="AT58" s="1132" t="str">
        <f t="shared" si="15"/>
        <v>CI-HVC-FRNC-V08-190101</v>
      </c>
      <c r="AU58" s="1132" t="str">
        <f t="shared" si="16"/>
        <v>Nicor Gas PY11-PY14 Adjustable Goals Template_2025-03-01, Tab 4.4.11</v>
      </c>
      <c r="AV58" s="2505">
        <f>'4.4.11'!$R$4</f>
        <v>246.40192524374996</v>
      </c>
      <c r="AW58" s="2505"/>
      <c r="AX58" s="1362">
        <f t="shared" si="17"/>
        <v>773.63576314748411</v>
      </c>
      <c r="AY58" s="1360">
        <f t="shared" si="18"/>
        <v>0</v>
      </c>
      <c r="AZ58" s="1132" t="str">
        <f t="shared" si="19"/>
        <v>CI-HVC-FRNC-V08-190101</v>
      </c>
      <c r="BA58" s="1132" t="str">
        <f t="shared" si="20"/>
        <v>Nicor Gas PY11-PY14 Adjustable Goals Template_2025-03-01, Tab 4.4.11</v>
      </c>
      <c r="BB58" s="2505">
        <f>'4.4.11'!$R$4</f>
        <v>246.40192524374996</v>
      </c>
      <c r="BC58" s="2505"/>
      <c r="BD58" s="1362">
        <f t="shared" si="21"/>
        <v>773.63576314748411</v>
      </c>
      <c r="BE58" s="1360">
        <f t="shared" si="22"/>
        <v>0</v>
      </c>
      <c r="BF58" s="1132" t="str">
        <f t="shared" si="23"/>
        <v>CI-HVC-FRNC-V08-190101</v>
      </c>
      <c r="BG58" s="1132" t="str">
        <f t="shared" si="24"/>
        <v>Nicor Gas PY11-PY14 Adjustable Goals Template_2025-03-01, Tab 4.4.11</v>
      </c>
      <c r="BH58" s="2505">
        <f>'4.4.11'!$R$4</f>
        <v>246.40192524374996</v>
      </c>
      <c r="BI58" s="2505"/>
      <c r="BJ58" s="1362">
        <f t="shared" si="48"/>
        <v>773.63576314748411</v>
      </c>
      <c r="BK58" s="1360">
        <f t="shared" si="25"/>
        <v>0</v>
      </c>
      <c r="BL58" s="1601">
        <f t="shared" si="26"/>
        <v>773.63576314748411</v>
      </c>
      <c r="BM58" s="1601">
        <f t="shared" si="27"/>
        <v>773.63576314748411</v>
      </c>
      <c r="BN58" s="1601">
        <f t="shared" si="28"/>
        <v>773.63576314748411</v>
      </c>
      <c r="BO58" s="1601">
        <f t="shared" si="29"/>
        <v>773.63576314748411</v>
      </c>
      <c r="BP58" s="1602">
        <f t="shared" si="30"/>
        <v>3094.5430525899365</v>
      </c>
      <c r="BQ58" s="1602"/>
      <c r="BR58" s="1602" t="s">
        <v>457</v>
      </c>
      <c r="BS58" s="1602">
        <v>0</v>
      </c>
      <c r="BT58" s="1602">
        <v>16.5</v>
      </c>
      <c r="BU58" s="1602">
        <v>16.5</v>
      </c>
      <c r="BV58" s="1602">
        <v>16.5</v>
      </c>
      <c r="BW58" s="1602">
        <v>16.5</v>
      </c>
      <c r="BX58" s="1362">
        <f t="shared" si="49"/>
        <v>12764.990091933489</v>
      </c>
      <c r="BY58" s="1362">
        <f t="shared" si="50"/>
        <v>12764.990091933489</v>
      </c>
      <c r="BZ58" s="1362">
        <f t="shared" si="51"/>
        <v>12764.990091933489</v>
      </c>
      <c r="CA58" s="1362">
        <f t="shared" si="52"/>
        <v>12764.990091933489</v>
      </c>
      <c r="CB58" s="1362">
        <f t="shared" si="53"/>
        <v>51059.960367733955</v>
      </c>
      <c r="CC58" s="1360">
        <v>16.5</v>
      </c>
      <c r="CD58" s="1360">
        <v>16.5</v>
      </c>
      <c r="CE58" s="1360">
        <v>16.5</v>
      </c>
      <c r="CF58" s="1360">
        <v>16.5</v>
      </c>
      <c r="CG58" s="1604">
        <f t="shared" si="33"/>
        <v>12764.990091933489</v>
      </c>
      <c r="CH58" s="1604">
        <f t="shared" si="34"/>
        <v>12764.990091933489</v>
      </c>
      <c r="CI58" s="1604">
        <f t="shared" si="35"/>
        <v>12764.990091933489</v>
      </c>
      <c r="CJ58" s="1604">
        <f t="shared" si="36"/>
        <v>12764.990091933489</v>
      </c>
      <c r="CK58" s="1521">
        <f t="shared" si="37"/>
        <v>51059.960367733955</v>
      </c>
      <c r="CL58" s="1132">
        <v>51</v>
      </c>
      <c r="CM58" s="1132" t="s">
        <v>356</v>
      </c>
      <c r="CN58" s="1359">
        <v>0</v>
      </c>
      <c r="CO58" s="1360">
        <v>3.6508499999999993</v>
      </c>
      <c r="CP58" s="1360">
        <v>3.6508499999999993</v>
      </c>
      <c r="CQ58" s="1360">
        <v>3.6508499999999993</v>
      </c>
      <c r="CR58" s="1360">
        <v>3.6508499999999993</v>
      </c>
      <c r="CS58" s="1362">
        <f t="shared" si="38"/>
        <v>773.63576314748411</v>
      </c>
      <c r="CT58" s="1362">
        <f t="shared" si="39"/>
        <v>773.63576314748411</v>
      </c>
      <c r="CU58" s="1362">
        <f t="shared" si="40"/>
        <v>773.63576314748411</v>
      </c>
      <c r="CV58" s="1362">
        <f t="shared" si="41"/>
        <v>773.63576314748411</v>
      </c>
      <c r="CW58" s="1362">
        <f t="shared" si="42"/>
        <v>3094.5430525899365</v>
      </c>
      <c r="CY58" s="2887"/>
      <c r="DN58" s="1715"/>
    </row>
    <row r="59" spans="1:118" s="1143" customFormat="1" ht="46.5" x14ac:dyDescent="0.35">
      <c r="A59" s="1132" t="s">
        <v>101</v>
      </c>
      <c r="B59" s="1132" t="s">
        <v>424</v>
      </c>
      <c r="C59" s="1132" t="s">
        <v>459</v>
      </c>
      <c r="D59" s="1359" t="s">
        <v>460</v>
      </c>
      <c r="E59" s="1359">
        <v>1</v>
      </c>
      <c r="F59" s="1780" t="s">
        <v>457</v>
      </c>
      <c r="G59" s="1132" t="s">
        <v>356</v>
      </c>
      <c r="H59" s="1360">
        <v>52.328849999999989</v>
      </c>
      <c r="I59" s="1360">
        <v>52.328849999999989</v>
      </c>
      <c r="J59" s="1360">
        <v>52.328849999999989</v>
      </c>
      <c r="K59" s="1360">
        <v>52.328849999999989</v>
      </c>
      <c r="L59" s="1132" t="s">
        <v>458</v>
      </c>
      <c r="M59" s="1132" t="str">
        <f t="shared" si="0"/>
        <v>Nicor Gas PY11-PY14 Adjustable Goals Template_2025-03-01, Tab 4.4.11</v>
      </c>
      <c r="N59" s="1361">
        <v>309.75045379999989</v>
      </c>
      <c r="O59" s="1361">
        <v>309.75045379999989</v>
      </c>
      <c r="P59" s="1361">
        <v>309.75045379999989</v>
      </c>
      <c r="Q59" s="1361">
        <v>309.75045379999989</v>
      </c>
      <c r="R59" s="1781">
        <v>0.86</v>
      </c>
      <c r="S59" s="1781">
        <v>0.86</v>
      </c>
      <c r="T59" s="1781">
        <v>0.86</v>
      </c>
      <c r="U59" s="1781">
        <v>0.86</v>
      </c>
      <c r="V59" s="1781">
        <v>0.86</v>
      </c>
      <c r="W59" s="1781">
        <v>0.86</v>
      </c>
      <c r="X59" s="1781">
        <v>0.86</v>
      </c>
      <c r="Y59" s="1781">
        <v>0.86</v>
      </c>
      <c r="Z59" s="1359">
        <v>1</v>
      </c>
      <c r="AA59" s="1781">
        <f t="shared" si="2"/>
        <v>0.86</v>
      </c>
      <c r="AB59" s="1781">
        <f t="shared" si="3"/>
        <v>0.86</v>
      </c>
      <c r="AC59" s="1781">
        <f t="shared" si="4"/>
        <v>0.86</v>
      </c>
      <c r="AD59" s="1781">
        <f t="shared" si="5"/>
        <v>0.86</v>
      </c>
      <c r="AE59" s="1781">
        <f t="shared" si="6"/>
        <v>0.86</v>
      </c>
      <c r="AF59" s="1781">
        <f t="shared" si="7"/>
        <v>0.86</v>
      </c>
      <c r="AG59" s="1781">
        <f t="shared" si="8"/>
        <v>0.86</v>
      </c>
      <c r="AH59" s="1781">
        <f t="shared" si="9"/>
        <v>0.86</v>
      </c>
      <c r="AI59" s="1362">
        <f t="shared" si="43"/>
        <v>13939.641129525624</v>
      </c>
      <c r="AJ59" s="1362">
        <f t="shared" si="44"/>
        <v>13939.641129525624</v>
      </c>
      <c r="AK59" s="1362">
        <f t="shared" si="45"/>
        <v>13939.641129525624</v>
      </c>
      <c r="AL59" s="1362">
        <f t="shared" si="46"/>
        <v>13939.641129525624</v>
      </c>
      <c r="AM59" s="1362">
        <f t="shared" si="47"/>
        <v>55758.564518102496</v>
      </c>
      <c r="AN59" s="1132" t="str">
        <f t="shared" si="11"/>
        <v>CI-HVC-FRNC-V08-190101</v>
      </c>
      <c r="AO59" s="1132" t="str">
        <f t="shared" si="12"/>
        <v>Nicor Gas PY11-PY14 Adjustable Goals Template_2025-03-01, Tab 4.4.11</v>
      </c>
      <c r="AP59" s="2505">
        <f>'4.4.11'!$R$5</f>
        <v>309.75045379999989</v>
      </c>
      <c r="AQ59" s="2505"/>
      <c r="AR59" s="2505">
        <f t="shared" si="13"/>
        <v>13939.641129525624</v>
      </c>
      <c r="AS59" s="2505">
        <f t="shared" si="14"/>
        <v>0</v>
      </c>
      <c r="AT59" s="1132" t="str">
        <f t="shared" si="15"/>
        <v>CI-HVC-FRNC-V08-190101</v>
      </c>
      <c r="AU59" s="1132" t="str">
        <f t="shared" si="16"/>
        <v>Nicor Gas PY11-PY14 Adjustable Goals Template_2025-03-01, Tab 4.4.11</v>
      </c>
      <c r="AV59" s="2505">
        <f>'4.4.11'!$R$5</f>
        <v>309.75045379999989</v>
      </c>
      <c r="AW59" s="2505"/>
      <c r="AX59" s="1362">
        <f t="shared" si="17"/>
        <v>13939.641129525624</v>
      </c>
      <c r="AY59" s="1360">
        <f t="shared" si="18"/>
        <v>0</v>
      </c>
      <c r="AZ59" s="1132" t="str">
        <f t="shared" si="19"/>
        <v>CI-HVC-FRNC-V08-190101</v>
      </c>
      <c r="BA59" s="1132" t="str">
        <f t="shared" si="20"/>
        <v>Nicor Gas PY11-PY14 Adjustable Goals Template_2025-03-01, Tab 4.4.11</v>
      </c>
      <c r="BB59" s="2505">
        <f>'4.4.11'!$R$5</f>
        <v>309.75045379999989</v>
      </c>
      <c r="BC59" s="2505"/>
      <c r="BD59" s="1362">
        <f t="shared" si="21"/>
        <v>13939.641129525624</v>
      </c>
      <c r="BE59" s="1360">
        <f t="shared" si="22"/>
        <v>0</v>
      </c>
      <c r="BF59" s="1132" t="str">
        <f t="shared" si="23"/>
        <v>CI-HVC-FRNC-V08-190101</v>
      </c>
      <c r="BG59" s="1132" t="str">
        <f t="shared" si="24"/>
        <v>Nicor Gas PY11-PY14 Adjustable Goals Template_2025-03-01, Tab 4.4.11</v>
      </c>
      <c r="BH59" s="2505">
        <f>'4.4.11'!$R$5</f>
        <v>309.75045379999989</v>
      </c>
      <c r="BI59" s="2505"/>
      <c r="BJ59" s="1362">
        <f t="shared" si="48"/>
        <v>13939.641129525624</v>
      </c>
      <c r="BK59" s="1360">
        <f t="shared" si="25"/>
        <v>0</v>
      </c>
      <c r="BL59" s="1601">
        <f t="shared" si="26"/>
        <v>13939.641129525624</v>
      </c>
      <c r="BM59" s="1601">
        <f t="shared" si="27"/>
        <v>13939.641129525624</v>
      </c>
      <c r="BN59" s="1601">
        <f t="shared" si="28"/>
        <v>13939.641129525624</v>
      </c>
      <c r="BO59" s="1601">
        <f t="shared" si="29"/>
        <v>13939.641129525624</v>
      </c>
      <c r="BP59" s="1602">
        <f t="shared" si="30"/>
        <v>55758.564518102496</v>
      </c>
      <c r="BQ59" s="1602"/>
      <c r="BR59" s="1602" t="s">
        <v>457</v>
      </c>
      <c r="BS59" s="1602">
        <v>0</v>
      </c>
      <c r="BT59" s="1602">
        <v>16.5</v>
      </c>
      <c r="BU59" s="1602">
        <v>16.5</v>
      </c>
      <c r="BV59" s="1602">
        <v>16.5</v>
      </c>
      <c r="BW59" s="1602">
        <v>16.5</v>
      </c>
      <c r="BX59" s="1362">
        <f t="shared" si="49"/>
        <v>230004.07863717279</v>
      </c>
      <c r="BY59" s="1362">
        <f t="shared" si="50"/>
        <v>230004.07863717279</v>
      </c>
      <c r="BZ59" s="1362">
        <f t="shared" si="51"/>
        <v>230004.07863717279</v>
      </c>
      <c r="CA59" s="1362">
        <f t="shared" si="52"/>
        <v>230004.07863717279</v>
      </c>
      <c r="CB59" s="1362">
        <f t="shared" si="53"/>
        <v>920016.31454869115</v>
      </c>
      <c r="CC59" s="1360">
        <v>16.5</v>
      </c>
      <c r="CD59" s="1360">
        <v>16.5</v>
      </c>
      <c r="CE59" s="1360">
        <v>16.5</v>
      </c>
      <c r="CF59" s="1360">
        <v>16.5</v>
      </c>
      <c r="CG59" s="1604">
        <f t="shared" si="33"/>
        <v>230004.07863717276</v>
      </c>
      <c r="CH59" s="1604">
        <f t="shared" si="34"/>
        <v>230004.07863717276</v>
      </c>
      <c r="CI59" s="1604">
        <f t="shared" si="35"/>
        <v>230004.07863717276</v>
      </c>
      <c r="CJ59" s="1604">
        <f t="shared" si="36"/>
        <v>230004.07863717276</v>
      </c>
      <c r="CK59" s="1521">
        <f t="shared" si="37"/>
        <v>920016.31454869104</v>
      </c>
      <c r="CL59" s="1132">
        <v>52</v>
      </c>
      <c r="CM59" s="1132" t="s">
        <v>356</v>
      </c>
      <c r="CN59" s="1359">
        <v>0</v>
      </c>
      <c r="CO59" s="1360">
        <v>52.328849999999989</v>
      </c>
      <c r="CP59" s="1360">
        <v>52.328849999999989</v>
      </c>
      <c r="CQ59" s="1360">
        <v>52.328849999999989</v>
      </c>
      <c r="CR59" s="1360">
        <v>52.328849999999989</v>
      </c>
      <c r="CS59" s="1362">
        <f t="shared" si="38"/>
        <v>13939.641129525624</v>
      </c>
      <c r="CT59" s="1362">
        <f t="shared" si="39"/>
        <v>13939.641129525624</v>
      </c>
      <c r="CU59" s="1362">
        <f t="shared" si="40"/>
        <v>13939.641129525624</v>
      </c>
      <c r="CV59" s="1362">
        <f t="shared" si="41"/>
        <v>13939.641129525624</v>
      </c>
      <c r="CW59" s="1362">
        <f t="shared" si="42"/>
        <v>55758.564518102496</v>
      </c>
      <c r="CY59" s="2887"/>
      <c r="DN59" s="1715"/>
    </row>
    <row r="60" spans="1:118" s="1143" customFormat="1" ht="46.5" x14ac:dyDescent="0.35">
      <c r="A60" s="1132" t="s">
        <v>101</v>
      </c>
      <c r="B60" s="1132" t="s">
        <v>424</v>
      </c>
      <c r="C60" s="1132" t="s">
        <v>461</v>
      </c>
      <c r="D60" s="1359" t="s">
        <v>462</v>
      </c>
      <c r="E60" s="1359">
        <v>1</v>
      </c>
      <c r="F60" s="1780" t="s">
        <v>457</v>
      </c>
      <c r="G60" s="1132" t="s">
        <v>356</v>
      </c>
      <c r="H60" s="1360">
        <v>3.0423749999999998</v>
      </c>
      <c r="I60" s="1360">
        <v>3.0423749999999998</v>
      </c>
      <c r="J60" s="1360">
        <v>3.0423749999999998</v>
      </c>
      <c r="K60" s="1360">
        <v>3.0423749999999998</v>
      </c>
      <c r="L60" s="1132" t="s">
        <v>458</v>
      </c>
      <c r="M60" s="1132" t="str">
        <f t="shared" si="0"/>
        <v>Nicor Gas PY11-PY14 Adjustable Goals Template_2025-03-01, Tab 4.4.11</v>
      </c>
      <c r="N60" s="1361">
        <v>291.50636484375002</v>
      </c>
      <c r="O60" s="1361">
        <v>291.50636484375002</v>
      </c>
      <c r="P60" s="1361">
        <v>291.50636484375002</v>
      </c>
      <c r="Q60" s="1361">
        <v>291.50636484375002</v>
      </c>
      <c r="R60" s="1781">
        <v>0.86</v>
      </c>
      <c r="S60" s="1781">
        <v>0.86</v>
      </c>
      <c r="T60" s="1781">
        <v>0.86</v>
      </c>
      <c r="U60" s="1781">
        <v>0.86</v>
      </c>
      <c r="V60" s="1781">
        <v>0.86</v>
      </c>
      <c r="W60" s="1781">
        <v>0.86</v>
      </c>
      <c r="X60" s="1781">
        <v>0.86</v>
      </c>
      <c r="Y60" s="1781">
        <v>0.86</v>
      </c>
      <c r="Z60" s="1359">
        <v>1</v>
      </c>
      <c r="AA60" s="1781">
        <f t="shared" si="2"/>
        <v>0.86</v>
      </c>
      <c r="AB60" s="1781">
        <f t="shared" si="3"/>
        <v>0.86</v>
      </c>
      <c r="AC60" s="1781">
        <f t="shared" si="4"/>
        <v>0.86</v>
      </c>
      <c r="AD60" s="1781">
        <f t="shared" si="5"/>
        <v>0.86</v>
      </c>
      <c r="AE60" s="1781">
        <f t="shared" si="6"/>
        <v>0.86</v>
      </c>
      <c r="AF60" s="1781">
        <f t="shared" si="7"/>
        <v>0.86</v>
      </c>
      <c r="AG60" s="1781">
        <f t="shared" si="8"/>
        <v>0.86</v>
      </c>
      <c r="AH60" s="1781">
        <f t="shared" si="9"/>
        <v>0.86</v>
      </c>
      <c r="AI60" s="1362">
        <f t="shared" si="43"/>
        <v>762.70964199769344</v>
      </c>
      <c r="AJ60" s="1362">
        <f t="shared" si="44"/>
        <v>762.70964199769344</v>
      </c>
      <c r="AK60" s="1362">
        <f t="shared" si="45"/>
        <v>762.70964199769344</v>
      </c>
      <c r="AL60" s="1362">
        <f t="shared" si="46"/>
        <v>762.70964199769344</v>
      </c>
      <c r="AM60" s="1362">
        <f t="shared" si="47"/>
        <v>3050.8385679907738</v>
      </c>
      <c r="AN60" s="1132" t="str">
        <f t="shared" si="11"/>
        <v>CI-HVC-FRNC-V08-190101</v>
      </c>
      <c r="AO60" s="1132" t="str">
        <f t="shared" si="12"/>
        <v>Nicor Gas PY11-PY14 Adjustable Goals Template_2025-03-01, Tab 4.4.11</v>
      </c>
      <c r="AP60" s="2505">
        <f>'4.4.11'!$R$6</f>
        <v>291.50636484375002</v>
      </c>
      <c r="AQ60" s="2505"/>
      <c r="AR60" s="2505">
        <f t="shared" si="13"/>
        <v>762.70964199769344</v>
      </c>
      <c r="AS60" s="2505">
        <f t="shared" si="14"/>
        <v>0</v>
      </c>
      <c r="AT60" s="1132" t="str">
        <f t="shared" si="15"/>
        <v>CI-HVC-FRNC-V08-190101</v>
      </c>
      <c r="AU60" s="1132" t="str">
        <f t="shared" si="16"/>
        <v>Nicor Gas PY11-PY14 Adjustable Goals Template_2025-03-01, Tab 4.4.11</v>
      </c>
      <c r="AV60" s="2505">
        <f>'4.4.11'!$R$6</f>
        <v>291.50636484375002</v>
      </c>
      <c r="AW60" s="2505"/>
      <c r="AX60" s="1362">
        <f t="shared" si="17"/>
        <v>762.70964199769344</v>
      </c>
      <c r="AY60" s="1360">
        <f t="shared" si="18"/>
        <v>0</v>
      </c>
      <c r="AZ60" s="1132" t="str">
        <f t="shared" si="19"/>
        <v>CI-HVC-FRNC-V08-190101</v>
      </c>
      <c r="BA60" s="1132" t="str">
        <f t="shared" si="20"/>
        <v>Nicor Gas PY11-PY14 Adjustable Goals Template_2025-03-01, Tab 4.4.11</v>
      </c>
      <c r="BB60" s="2505">
        <f>'4.4.11'!$R$6</f>
        <v>291.50636484375002</v>
      </c>
      <c r="BC60" s="2505"/>
      <c r="BD60" s="1362">
        <f t="shared" si="21"/>
        <v>762.70964199769344</v>
      </c>
      <c r="BE60" s="1360">
        <f t="shared" si="22"/>
        <v>0</v>
      </c>
      <c r="BF60" s="1132" t="str">
        <f t="shared" si="23"/>
        <v>CI-HVC-FRNC-V08-190101</v>
      </c>
      <c r="BG60" s="1132" t="str">
        <f t="shared" si="24"/>
        <v>Nicor Gas PY11-PY14 Adjustable Goals Template_2025-03-01, Tab 4.4.11</v>
      </c>
      <c r="BH60" s="2505">
        <f>'4.4.11'!$R$6</f>
        <v>291.50636484375002</v>
      </c>
      <c r="BI60" s="2505"/>
      <c r="BJ60" s="1362">
        <f t="shared" si="48"/>
        <v>762.70964199769344</v>
      </c>
      <c r="BK60" s="1360">
        <f t="shared" si="25"/>
        <v>0</v>
      </c>
      <c r="BL60" s="1601">
        <f t="shared" si="26"/>
        <v>762.70964199769344</v>
      </c>
      <c r="BM60" s="1601">
        <f t="shared" si="27"/>
        <v>762.70964199769344</v>
      </c>
      <c r="BN60" s="1601">
        <f t="shared" si="28"/>
        <v>762.70964199769344</v>
      </c>
      <c r="BO60" s="1601">
        <f t="shared" si="29"/>
        <v>762.70964199769344</v>
      </c>
      <c r="BP60" s="1602">
        <f t="shared" si="30"/>
        <v>3050.8385679907738</v>
      </c>
      <c r="BQ60" s="1602"/>
      <c r="BR60" s="1602" t="s">
        <v>457</v>
      </c>
      <c r="BS60" s="1602">
        <v>0</v>
      </c>
      <c r="BT60" s="1602">
        <v>16.5</v>
      </c>
      <c r="BU60" s="1602">
        <v>16.5</v>
      </c>
      <c r="BV60" s="1602">
        <v>16.5</v>
      </c>
      <c r="BW60" s="1602">
        <v>16.5</v>
      </c>
      <c r="BX60" s="1362">
        <f t="shared" si="49"/>
        <v>12584.709092961943</v>
      </c>
      <c r="BY60" s="1362">
        <f t="shared" si="50"/>
        <v>12584.709092961943</v>
      </c>
      <c r="BZ60" s="1362">
        <f t="shared" si="51"/>
        <v>12584.709092961943</v>
      </c>
      <c r="CA60" s="1362">
        <f t="shared" si="52"/>
        <v>12584.709092961943</v>
      </c>
      <c r="CB60" s="1362">
        <f t="shared" si="53"/>
        <v>50338.83637184777</v>
      </c>
      <c r="CC60" s="1360">
        <v>16.5</v>
      </c>
      <c r="CD60" s="1360">
        <v>16.5</v>
      </c>
      <c r="CE60" s="1360">
        <v>16.5</v>
      </c>
      <c r="CF60" s="1360">
        <v>16.5</v>
      </c>
      <c r="CG60" s="1604">
        <f t="shared" si="33"/>
        <v>12584.709092961941</v>
      </c>
      <c r="CH60" s="1604">
        <f t="shared" si="34"/>
        <v>12584.709092961941</v>
      </c>
      <c r="CI60" s="1604">
        <f t="shared" si="35"/>
        <v>12584.709092961941</v>
      </c>
      <c r="CJ60" s="1604">
        <f t="shared" si="36"/>
        <v>12584.709092961941</v>
      </c>
      <c r="CK60" s="1521">
        <f t="shared" si="37"/>
        <v>50338.836371847763</v>
      </c>
      <c r="CL60" s="1132">
        <v>53</v>
      </c>
      <c r="CM60" s="1132" t="s">
        <v>356</v>
      </c>
      <c r="CN60" s="1359">
        <v>0</v>
      </c>
      <c r="CO60" s="1360">
        <v>3.0423749999999998</v>
      </c>
      <c r="CP60" s="1360">
        <v>3.0423749999999998</v>
      </c>
      <c r="CQ60" s="1360">
        <v>3.0423749999999998</v>
      </c>
      <c r="CR60" s="1360">
        <v>3.0423749999999998</v>
      </c>
      <c r="CS60" s="1362">
        <f t="shared" si="38"/>
        <v>762.70964199769344</v>
      </c>
      <c r="CT60" s="1362">
        <f t="shared" si="39"/>
        <v>762.70964199769344</v>
      </c>
      <c r="CU60" s="1362">
        <f t="shared" si="40"/>
        <v>762.70964199769344</v>
      </c>
      <c r="CV60" s="1362">
        <f t="shared" si="41"/>
        <v>762.70964199769344</v>
      </c>
      <c r="CW60" s="1362">
        <f t="shared" si="42"/>
        <v>3050.8385679907738</v>
      </c>
      <c r="CY60" s="2887"/>
      <c r="DN60" s="1715"/>
    </row>
    <row r="61" spans="1:118" s="1143" customFormat="1" ht="30" customHeight="1" x14ac:dyDescent="0.35">
      <c r="A61" s="1132" t="s">
        <v>101</v>
      </c>
      <c r="B61" s="1132" t="s">
        <v>424</v>
      </c>
      <c r="C61" s="1132" t="s">
        <v>463</v>
      </c>
      <c r="D61" s="1359" t="s">
        <v>464</v>
      </c>
      <c r="E61" s="1359">
        <v>1</v>
      </c>
      <c r="F61" s="1780" t="s">
        <v>457</v>
      </c>
      <c r="G61" s="1132" t="s">
        <v>356</v>
      </c>
      <c r="H61" s="1360">
        <v>3.0423749999999998</v>
      </c>
      <c r="I61" s="1360">
        <v>3.0423749999999998</v>
      </c>
      <c r="J61" s="1360">
        <v>3.0423749999999998</v>
      </c>
      <c r="K61" s="1360">
        <v>3.0423749999999998</v>
      </c>
      <c r="L61" s="1132" t="s">
        <v>458</v>
      </c>
      <c r="M61" s="1132" t="str">
        <f t="shared" si="0"/>
        <v>Nicor Gas PY11-PY14 Adjustable Goals Template_2025-03-01, Tab 4.4.11</v>
      </c>
      <c r="N61" s="1361">
        <v>345.4890249999998</v>
      </c>
      <c r="O61" s="1361">
        <v>345.4890249999998</v>
      </c>
      <c r="P61" s="1361">
        <v>345.4890249999998</v>
      </c>
      <c r="Q61" s="1361">
        <v>345.4890249999998</v>
      </c>
      <c r="R61" s="1781">
        <v>0.86</v>
      </c>
      <c r="S61" s="1781">
        <v>0.86</v>
      </c>
      <c r="T61" s="1781">
        <v>0.86</v>
      </c>
      <c r="U61" s="1781">
        <v>0.86</v>
      </c>
      <c r="V61" s="1781">
        <v>0.86</v>
      </c>
      <c r="W61" s="1781">
        <v>0.86</v>
      </c>
      <c r="X61" s="1781">
        <v>0.86</v>
      </c>
      <c r="Y61" s="1781">
        <v>0.86</v>
      </c>
      <c r="Z61" s="1359">
        <v>1</v>
      </c>
      <c r="AA61" s="1781">
        <f t="shared" si="2"/>
        <v>0.86</v>
      </c>
      <c r="AB61" s="1781">
        <f t="shared" si="3"/>
        <v>0.86</v>
      </c>
      <c r="AC61" s="1781">
        <f t="shared" si="4"/>
        <v>0.86</v>
      </c>
      <c r="AD61" s="1781">
        <f t="shared" si="5"/>
        <v>0.86</v>
      </c>
      <c r="AE61" s="1781">
        <f t="shared" si="6"/>
        <v>0.86</v>
      </c>
      <c r="AF61" s="1781">
        <f t="shared" si="7"/>
        <v>0.86</v>
      </c>
      <c r="AG61" s="1781">
        <f t="shared" si="8"/>
        <v>0.86</v>
      </c>
      <c r="AH61" s="1781">
        <f t="shared" si="9"/>
        <v>0.86</v>
      </c>
      <c r="AI61" s="1362">
        <f t="shared" si="43"/>
        <v>903.95216829356195</v>
      </c>
      <c r="AJ61" s="1362">
        <f t="shared" si="44"/>
        <v>903.95216829356195</v>
      </c>
      <c r="AK61" s="1362">
        <f t="shared" si="45"/>
        <v>903.95216829356195</v>
      </c>
      <c r="AL61" s="1362">
        <f t="shared" si="46"/>
        <v>903.95216829356195</v>
      </c>
      <c r="AM61" s="1362">
        <f t="shared" si="47"/>
        <v>3615.8086731742478</v>
      </c>
      <c r="AN61" s="1132" t="str">
        <f t="shared" si="11"/>
        <v>CI-HVC-FRNC-V08-190101</v>
      </c>
      <c r="AO61" s="1132" t="str">
        <f t="shared" si="12"/>
        <v>Nicor Gas PY11-PY14 Adjustable Goals Template_2025-03-01, Tab 4.4.11</v>
      </c>
      <c r="AP61" s="2505">
        <f>'4.4.11'!$R$7</f>
        <v>345.4890249999998</v>
      </c>
      <c r="AQ61" s="2505"/>
      <c r="AR61" s="2505">
        <f t="shared" si="13"/>
        <v>903.95216829356195</v>
      </c>
      <c r="AS61" s="2505">
        <f t="shared" si="14"/>
        <v>0</v>
      </c>
      <c r="AT61" s="1132" t="str">
        <f t="shared" si="15"/>
        <v>CI-HVC-FRNC-V08-190101</v>
      </c>
      <c r="AU61" s="1132" t="str">
        <f t="shared" si="16"/>
        <v>Nicor Gas PY11-PY14 Adjustable Goals Template_2025-03-01, Tab 4.4.11</v>
      </c>
      <c r="AV61" s="2505">
        <f>'4.4.11'!$R$7</f>
        <v>345.4890249999998</v>
      </c>
      <c r="AW61" s="2505"/>
      <c r="AX61" s="1362">
        <f t="shared" si="17"/>
        <v>903.95216829356195</v>
      </c>
      <c r="AY61" s="1360">
        <f t="shared" si="18"/>
        <v>0</v>
      </c>
      <c r="AZ61" s="1132" t="str">
        <f t="shared" si="19"/>
        <v>CI-HVC-FRNC-V08-190101</v>
      </c>
      <c r="BA61" s="1132" t="str">
        <f t="shared" si="20"/>
        <v>Nicor Gas PY11-PY14 Adjustable Goals Template_2025-03-01, Tab 4.4.11</v>
      </c>
      <c r="BB61" s="2505">
        <f>'4.4.11'!$R$7</f>
        <v>345.4890249999998</v>
      </c>
      <c r="BC61" s="2505"/>
      <c r="BD61" s="1362">
        <f t="shared" si="21"/>
        <v>903.95216829356195</v>
      </c>
      <c r="BE61" s="1360">
        <f t="shared" si="22"/>
        <v>0</v>
      </c>
      <c r="BF61" s="1132" t="str">
        <f t="shared" si="23"/>
        <v>CI-HVC-FRNC-V08-190101</v>
      </c>
      <c r="BG61" s="1132" t="str">
        <f t="shared" si="24"/>
        <v>Nicor Gas PY11-PY14 Adjustable Goals Template_2025-03-01, Tab 4.4.11</v>
      </c>
      <c r="BH61" s="2505">
        <f>'4.4.11'!$R$7</f>
        <v>345.4890249999998</v>
      </c>
      <c r="BI61" s="2505"/>
      <c r="BJ61" s="1362">
        <f t="shared" si="48"/>
        <v>903.95216829356195</v>
      </c>
      <c r="BK61" s="1360">
        <f t="shared" si="25"/>
        <v>0</v>
      </c>
      <c r="BL61" s="1601">
        <f t="shared" si="26"/>
        <v>903.95216829356195</v>
      </c>
      <c r="BM61" s="1601">
        <f t="shared" si="27"/>
        <v>903.95216829356195</v>
      </c>
      <c r="BN61" s="1601">
        <f t="shared" si="28"/>
        <v>903.95216829356195</v>
      </c>
      <c r="BO61" s="1601">
        <f t="shared" si="29"/>
        <v>903.95216829356195</v>
      </c>
      <c r="BP61" s="1602">
        <f t="shared" si="30"/>
        <v>3615.8086731742478</v>
      </c>
      <c r="BQ61" s="1602"/>
      <c r="BR61" s="1602" t="s">
        <v>457</v>
      </c>
      <c r="BS61" s="1602">
        <v>0</v>
      </c>
      <c r="BT61" s="1602">
        <v>16.5</v>
      </c>
      <c r="BU61" s="1602">
        <v>16.5</v>
      </c>
      <c r="BV61" s="1602">
        <v>16.5</v>
      </c>
      <c r="BW61" s="1602">
        <v>16.5</v>
      </c>
      <c r="BX61" s="1362">
        <f t="shared" si="49"/>
        <v>14915.210776843773</v>
      </c>
      <c r="BY61" s="1362">
        <f t="shared" si="50"/>
        <v>14915.210776843773</v>
      </c>
      <c r="BZ61" s="1362">
        <f t="shared" si="51"/>
        <v>14915.210776843773</v>
      </c>
      <c r="CA61" s="1362">
        <f t="shared" si="52"/>
        <v>14915.210776843773</v>
      </c>
      <c r="CB61" s="1362">
        <f t="shared" si="53"/>
        <v>59660.843107375091</v>
      </c>
      <c r="CC61" s="1360">
        <v>16.5</v>
      </c>
      <c r="CD61" s="1360">
        <v>16.5</v>
      </c>
      <c r="CE61" s="1360">
        <v>16.5</v>
      </c>
      <c r="CF61" s="1360">
        <v>16.5</v>
      </c>
      <c r="CG61" s="1604">
        <f t="shared" si="33"/>
        <v>14915.210776843773</v>
      </c>
      <c r="CH61" s="1604">
        <f t="shared" si="34"/>
        <v>14915.210776843773</v>
      </c>
      <c r="CI61" s="1604">
        <f t="shared" si="35"/>
        <v>14915.210776843773</v>
      </c>
      <c r="CJ61" s="1604">
        <f t="shared" si="36"/>
        <v>14915.210776843773</v>
      </c>
      <c r="CK61" s="1521">
        <f t="shared" si="37"/>
        <v>59660.843107375091</v>
      </c>
      <c r="CL61" s="1132">
        <v>54</v>
      </c>
      <c r="CM61" s="1132" t="s">
        <v>356</v>
      </c>
      <c r="CN61" s="1359">
        <v>0</v>
      </c>
      <c r="CO61" s="1360">
        <v>3.0423749999999998</v>
      </c>
      <c r="CP61" s="1360">
        <v>3.0423749999999998</v>
      </c>
      <c r="CQ61" s="1360">
        <v>3.0423749999999998</v>
      </c>
      <c r="CR61" s="1360">
        <v>3.0423749999999998</v>
      </c>
      <c r="CS61" s="1362">
        <f t="shared" si="38"/>
        <v>903.95216829356195</v>
      </c>
      <c r="CT61" s="1362">
        <f t="shared" si="39"/>
        <v>903.95216829356195</v>
      </c>
      <c r="CU61" s="1362">
        <f t="shared" si="40"/>
        <v>903.95216829356195</v>
      </c>
      <c r="CV61" s="1362">
        <f t="shared" si="41"/>
        <v>903.95216829356195</v>
      </c>
      <c r="CW61" s="1362">
        <f t="shared" si="42"/>
        <v>3615.8086731742478</v>
      </c>
      <c r="CY61" s="2887"/>
      <c r="DN61" s="1715"/>
    </row>
    <row r="62" spans="1:118" s="1143" customFormat="1" ht="30" customHeight="1" x14ac:dyDescent="0.35">
      <c r="A62" s="1132" t="s">
        <v>101</v>
      </c>
      <c r="B62" s="1132" t="s">
        <v>424</v>
      </c>
      <c r="C62" s="1132" t="s">
        <v>465</v>
      </c>
      <c r="D62" s="1359" t="s">
        <v>466</v>
      </c>
      <c r="E62" s="1359">
        <v>1</v>
      </c>
      <c r="F62" s="2807" t="s">
        <v>466</v>
      </c>
      <c r="G62" s="1132" t="s">
        <v>356</v>
      </c>
      <c r="H62" s="1360">
        <v>0.60847499999999988</v>
      </c>
      <c r="I62" s="1360">
        <v>0.60847499999999988</v>
      </c>
      <c r="J62" s="1360">
        <v>0.60847499999999988</v>
      </c>
      <c r="K62" s="1360">
        <v>0.60847499999999988</v>
      </c>
      <c r="L62" s="1132" t="s">
        <v>467</v>
      </c>
      <c r="M62" s="1132" t="str">
        <f t="shared" si="0"/>
        <v>Nicor Gas PY11-PY14 Adjustable Goals Template_2025-03-01, Tab 4.4.5</v>
      </c>
      <c r="N62" s="1361">
        <v>266</v>
      </c>
      <c r="O62" s="1361">
        <v>266</v>
      </c>
      <c r="P62" s="1361">
        <v>266</v>
      </c>
      <c r="Q62" s="1361">
        <v>266</v>
      </c>
      <c r="R62" s="1781">
        <v>0.86</v>
      </c>
      <c r="S62" s="1781">
        <v>0.86</v>
      </c>
      <c r="T62" s="1781">
        <v>0.86</v>
      </c>
      <c r="U62" s="1781">
        <v>0.86</v>
      </c>
      <c r="V62" s="1781">
        <v>0.86</v>
      </c>
      <c r="W62" s="1781">
        <v>0.86</v>
      </c>
      <c r="X62" s="1781">
        <v>0.86</v>
      </c>
      <c r="Y62" s="1781">
        <v>0.86</v>
      </c>
      <c r="Z62" s="1359">
        <v>1</v>
      </c>
      <c r="AA62" s="1781">
        <f t="shared" si="2"/>
        <v>0.86</v>
      </c>
      <c r="AB62" s="1781">
        <f t="shared" si="3"/>
        <v>0.86</v>
      </c>
      <c r="AC62" s="1781">
        <f t="shared" si="4"/>
        <v>0.86</v>
      </c>
      <c r="AD62" s="1781">
        <f t="shared" si="5"/>
        <v>0.86</v>
      </c>
      <c r="AE62" s="1781">
        <f t="shared" si="6"/>
        <v>0.86</v>
      </c>
      <c r="AF62" s="1781">
        <f t="shared" si="7"/>
        <v>0.86</v>
      </c>
      <c r="AG62" s="1781">
        <f t="shared" si="8"/>
        <v>0.86</v>
      </c>
      <c r="AH62" s="1781">
        <f t="shared" si="9"/>
        <v>0.86</v>
      </c>
      <c r="AI62" s="1362">
        <f t="shared" si="43"/>
        <v>139.19474099999996</v>
      </c>
      <c r="AJ62" s="1362">
        <f t="shared" si="44"/>
        <v>139.19474099999996</v>
      </c>
      <c r="AK62" s="1362">
        <f t="shared" si="45"/>
        <v>139.19474099999996</v>
      </c>
      <c r="AL62" s="1362">
        <f t="shared" si="46"/>
        <v>139.19474099999996</v>
      </c>
      <c r="AM62" s="1362">
        <f t="shared" si="47"/>
        <v>556.77896399999986</v>
      </c>
      <c r="AN62" s="1132" t="str">
        <f t="shared" si="11"/>
        <v>CI-HVC-CUHT-V01-190101</v>
      </c>
      <c r="AO62" s="1132" t="str">
        <f t="shared" si="12"/>
        <v>Nicor Gas PY11-PY14 Adjustable Goals Template_2025-03-01, Tab 4.4.5</v>
      </c>
      <c r="AP62" s="2568">
        <f>'4.4.5'!$J$5</f>
        <v>266.0153258868242</v>
      </c>
      <c r="AQ62" s="2568" t="s">
        <v>432</v>
      </c>
      <c r="AR62" s="2505">
        <f t="shared" si="13"/>
        <v>139.20276086032737</v>
      </c>
      <c r="AS62" s="2507">
        <f t="shared" si="14"/>
        <v>8.0198603274084235E-3</v>
      </c>
      <c r="AT62" s="1132" t="str">
        <f t="shared" si="15"/>
        <v>CI-HVC-CUHT-V01-190101</v>
      </c>
      <c r="AU62" s="1132" t="str">
        <f t="shared" si="16"/>
        <v>Nicor Gas PY11-PY14 Adjustable Goals Template_2025-03-01, Tab 4.4.5</v>
      </c>
      <c r="AV62" s="2505">
        <f>'4.4.5'!$J$5</f>
        <v>266.0153258868242</v>
      </c>
      <c r="AW62" s="2568" t="s">
        <v>432</v>
      </c>
      <c r="AX62" s="1362">
        <f t="shared" si="17"/>
        <v>139.20276086032737</v>
      </c>
      <c r="AY62" s="1360">
        <f t="shared" si="18"/>
        <v>8.0198603274084235E-3</v>
      </c>
      <c r="AZ62" s="1132" t="str">
        <f t="shared" si="19"/>
        <v>CI-HVC-CUHT-V01-190101</v>
      </c>
      <c r="BA62" s="1132" t="str">
        <f t="shared" si="20"/>
        <v>Nicor Gas PY11-PY14 Adjustable Goals Template_2025-03-01, Tab 4.4.5</v>
      </c>
      <c r="BB62" s="2505">
        <f>'4.4.5'!$J$5</f>
        <v>266.0153258868242</v>
      </c>
      <c r="BC62" s="2568" t="s">
        <v>432</v>
      </c>
      <c r="BD62" s="1362">
        <f t="shared" si="21"/>
        <v>139.20276086032737</v>
      </c>
      <c r="BE62" s="1360">
        <f t="shared" si="22"/>
        <v>8.0198603274084235E-3</v>
      </c>
      <c r="BF62" s="1132" t="str">
        <f t="shared" si="23"/>
        <v>CI-HVC-CUHT-V01-190101</v>
      </c>
      <c r="BG62" s="1132" t="str">
        <f t="shared" si="24"/>
        <v>Nicor Gas PY11-PY14 Adjustable Goals Template_2025-03-01, Tab 4.4.5</v>
      </c>
      <c r="BH62" s="2505">
        <f>'4.4.5'!$J$5</f>
        <v>266.0153258868242</v>
      </c>
      <c r="BI62" s="2568" t="s">
        <v>432</v>
      </c>
      <c r="BJ62" s="1362">
        <f t="shared" si="48"/>
        <v>139.20276086032737</v>
      </c>
      <c r="BK62" s="1360">
        <f t="shared" si="25"/>
        <v>8.0198603274084235E-3</v>
      </c>
      <c r="BL62" s="1601">
        <f t="shared" si="26"/>
        <v>139.20276086032737</v>
      </c>
      <c r="BM62" s="1601">
        <f t="shared" si="27"/>
        <v>139.20276086032737</v>
      </c>
      <c r="BN62" s="1601">
        <f t="shared" si="28"/>
        <v>139.20276086032737</v>
      </c>
      <c r="BO62" s="1601">
        <f t="shared" si="29"/>
        <v>139.20276086032737</v>
      </c>
      <c r="BP62" s="1602">
        <f t="shared" si="30"/>
        <v>556.81104344130949</v>
      </c>
      <c r="BQ62" s="1602"/>
      <c r="BR62" s="1602" t="s">
        <v>466</v>
      </c>
      <c r="BS62" s="1602">
        <v>0</v>
      </c>
      <c r="BT62" s="1602">
        <v>12</v>
      </c>
      <c r="BU62" s="1602">
        <v>12</v>
      </c>
      <c r="BV62" s="1602">
        <v>12</v>
      </c>
      <c r="BW62" s="1602">
        <v>12</v>
      </c>
      <c r="BX62" s="1362">
        <f t="shared" si="49"/>
        <v>1670.3368919999996</v>
      </c>
      <c r="BY62" s="1362">
        <f t="shared" si="50"/>
        <v>1670.3368919999996</v>
      </c>
      <c r="BZ62" s="1362">
        <f t="shared" si="51"/>
        <v>1670.3368919999996</v>
      </c>
      <c r="CA62" s="1362">
        <f t="shared" si="52"/>
        <v>1670.3368919999996</v>
      </c>
      <c r="CB62" s="1362">
        <f t="shared" si="53"/>
        <v>6681.3475679999983</v>
      </c>
      <c r="CC62" s="1360">
        <v>12</v>
      </c>
      <c r="CD62" s="1360">
        <v>12</v>
      </c>
      <c r="CE62" s="1360">
        <v>12</v>
      </c>
      <c r="CF62" s="1360">
        <v>12</v>
      </c>
      <c r="CG62" s="1604">
        <f t="shared" si="33"/>
        <v>1670.4331303239287</v>
      </c>
      <c r="CH62" s="1604">
        <f t="shared" si="34"/>
        <v>1670.4331303239287</v>
      </c>
      <c r="CI62" s="1604">
        <f t="shared" si="35"/>
        <v>1670.4331303239287</v>
      </c>
      <c r="CJ62" s="1604">
        <f t="shared" si="36"/>
        <v>1670.4331303239287</v>
      </c>
      <c r="CK62" s="1521">
        <f t="shared" si="37"/>
        <v>6681.7325212957148</v>
      </c>
      <c r="CL62" s="1132">
        <v>55</v>
      </c>
      <c r="CM62" s="1132" t="s">
        <v>356</v>
      </c>
      <c r="CN62" s="1359">
        <v>0</v>
      </c>
      <c r="CO62" s="1360">
        <v>0.60847499999999988</v>
      </c>
      <c r="CP62" s="1360">
        <v>0.60847499999999988</v>
      </c>
      <c r="CQ62" s="1360">
        <v>0.60847499999999988</v>
      </c>
      <c r="CR62" s="1360">
        <v>0.60847499999999988</v>
      </c>
      <c r="CS62" s="1362">
        <f t="shared" si="38"/>
        <v>139.20276086032737</v>
      </c>
      <c r="CT62" s="1362">
        <f t="shared" si="39"/>
        <v>139.20276086032737</v>
      </c>
      <c r="CU62" s="1362">
        <f t="shared" si="40"/>
        <v>139.20276086032737</v>
      </c>
      <c r="CV62" s="1362">
        <f t="shared" si="41"/>
        <v>139.20276086032737</v>
      </c>
      <c r="CW62" s="1362">
        <f t="shared" si="42"/>
        <v>556.81104344130949</v>
      </c>
      <c r="CY62" s="2887"/>
      <c r="DN62" s="1715"/>
    </row>
    <row r="63" spans="1:118" s="1143" customFormat="1" ht="30" customHeight="1" x14ac:dyDescent="0.35">
      <c r="A63" s="1132" t="s">
        <v>101</v>
      </c>
      <c r="B63" s="1132" t="s">
        <v>424</v>
      </c>
      <c r="C63" s="1132" t="s">
        <v>468</v>
      </c>
      <c r="D63" s="1359" t="s">
        <v>469</v>
      </c>
      <c r="E63" s="1359">
        <v>1</v>
      </c>
      <c r="F63" s="1780" t="s">
        <v>469</v>
      </c>
      <c r="G63" s="1132" t="s">
        <v>356</v>
      </c>
      <c r="H63" s="1360">
        <v>36.508499999999998</v>
      </c>
      <c r="I63" s="1360">
        <v>36.508499999999998</v>
      </c>
      <c r="J63" s="1360">
        <v>36.508499999999998</v>
      </c>
      <c r="K63" s="1360">
        <v>36.508499999999998</v>
      </c>
      <c r="L63" s="1132" t="s">
        <v>470</v>
      </c>
      <c r="M63" s="1132" t="str">
        <f t="shared" si="0"/>
        <v>Nicor Gas PY11-PY14 Adjustable Goals Template_2025-03-01, Tab 4.4.12</v>
      </c>
      <c r="N63" s="1361">
        <v>281.27205882352951</v>
      </c>
      <c r="O63" s="1361">
        <v>281.27205882352951</v>
      </c>
      <c r="P63" s="1361">
        <v>281.27205882352951</v>
      </c>
      <c r="Q63" s="1361">
        <v>281.27205882352951</v>
      </c>
      <c r="R63" s="1781">
        <v>0.86</v>
      </c>
      <c r="S63" s="1781">
        <v>0.86</v>
      </c>
      <c r="T63" s="1781">
        <v>0.86</v>
      </c>
      <c r="U63" s="1781">
        <v>0.86</v>
      </c>
      <c r="V63" s="1781">
        <v>0.86</v>
      </c>
      <c r="W63" s="1781">
        <v>0.86</v>
      </c>
      <c r="X63" s="1781">
        <v>0.86</v>
      </c>
      <c r="Y63" s="1781">
        <v>0.86</v>
      </c>
      <c r="Z63" s="1359">
        <v>1</v>
      </c>
      <c r="AA63" s="1781">
        <f t="shared" si="2"/>
        <v>0.86</v>
      </c>
      <c r="AB63" s="1781">
        <f t="shared" si="3"/>
        <v>0.86</v>
      </c>
      <c r="AC63" s="1781">
        <f t="shared" si="4"/>
        <v>0.86</v>
      </c>
      <c r="AD63" s="1781">
        <f t="shared" si="5"/>
        <v>0.86</v>
      </c>
      <c r="AE63" s="1781">
        <f t="shared" si="6"/>
        <v>0.86</v>
      </c>
      <c r="AF63" s="1781">
        <f t="shared" si="7"/>
        <v>0.86</v>
      </c>
      <c r="AG63" s="1781">
        <f t="shared" si="8"/>
        <v>0.86</v>
      </c>
      <c r="AH63" s="1781">
        <f t="shared" si="9"/>
        <v>0.86</v>
      </c>
      <c r="AI63" s="1362">
        <f t="shared" si="43"/>
        <v>8831.1860252205915</v>
      </c>
      <c r="AJ63" s="1362">
        <f t="shared" si="44"/>
        <v>8831.1860252205915</v>
      </c>
      <c r="AK63" s="1362">
        <f t="shared" si="45"/>
        <v>8831.1860252205915</v>
      </c>
      <c r="AL63" s="1362">
        <f t="shared" si="46"/>
        <v>8831.1860252205915</v>
      </c>
      <c r="AM63" s="1362">
        <f t="shared" si="47"/>
        <v>35324.744100882366</v>
      </c>
      <c r="AN63" s="1132" t="str">
        <f t="shared" si="11"/>
        <v>CI-HVC-IRHT-V01-190101</v>
      </c>
      <c r="AO63" s="1132" t="str">
        <f t="shared" si="12"/>
        <v>Nicor Gas PY11-PY14 Adjustable Goals Template_2025-03-01, Tab 4.4.12</v>
      </c>
      <c r="AP63" s="2505">
        <f>'4.4.12'!$K$4</f>
        <v>281.27205882352951</v>
      </c>
      <c r="AQ63" s="2505"/>
      <c r="AR63" s="2505">
        <f t="shared" si="13"/>
        <v>8831.1860252205915</v>
      </c>
      <c r="AS63" s="2505">
        <f t="shared" si="14"/>
        <v>0</v>
      </c>
      <c r="AT63" s="1132" t="str">
        <f t="shared" si="15"/>
        <v>CI-HVC-IRHT-V01-190101</v>
      </c>
      <c r="AU63" s="1132" t="str">
        <f t="shared" si="16"/>
        <v>Nicor Gas PY11-PY14 Adjustable Goals Template_2025-03-01, Tab 4.4.12</v>
      </c>
      <c r="AV63" s="2505">
        <f>'4.4.12'!$K$4</f>
        <v>281.27205882352951</v>
      </c>
      <c r="AW63" s="2505"/>
      <c r="AX63" s="1362">
        <f t="shared" si="17"/>
        <v>8831.1860252205915</v>
      </c>
      <c r="AY63" s="1360">
        <f t="shared" si="18"/>
        <v>0</v>
      </c>
      <c r="AZ63" s="1132" t="str">
        <f t="shared" si="19"/>
        <v>CI-HVC-IRHT-V01-190101</v>
      </c>
      <c r="BA63" s="1132" t="str">
        <f t="shared" si="20"/>
        <v>Nicor Gas PY11-PY14 Adjustable Goals Template_2025-03-01, Tab 4.4.12</v>
      </c>
      <c r="BB63" s="2505">
        <f>'4.4.12'!$K$4</f>
        <v>281.27205882352951</v>
      </c>
      <c r="BC63" s="2505"/>
      <c r="BD63" s="1362">
        <f t="shared" si="21"/>
        <v>8831.1860252205915</v>
      </c>
      <c r="BE63" s="1360">
        <f t="shared" si="22"/>
        <v>0</v>
      </c>
      <c r="BF63" s="1132" t="str">
        <f t="shared" si="23"/>
        <v>CI-HVC-IRHT-V01-190101</v>
      </c>
      <c r="BG63" s="1132" t="str">
        <f t="shared" si="24"/>
        <v>Nicor Gas PY11-PY14 Adjustable Goals Template_2025-03-01, Tab 4.4.12</v>
      </c>
      <c r="BH63" s="2505">
        <f>'4.4.12'!$K$4</f>
        <v>281.27205882352951</v>
      </c>
      <c r="BI63" s="2505"/>
      <c r="BJ63" s="1362">
        <f t="shared" si="48"/>
        <v>8831.1860252205915</v>
      </c>
      <c r="BK63" s="1360">
        <f t="shared" si="25"/>
        <v>0</v>
      </c>
      <c r="BL63" s="1601">
        <f t="shared" si="26"/>
        <v>8831.1860252205915</v>
      </c>
      <c r="BM63" s="1601">
        <f t="shared" si="27"/>
        <v>8831.1860252205915</v>
      </c>
      <c r="BN63" s="1601">
        <f t="shared" si="28"/>
        <v>8831.1860252205915</v>
      </c>
      <c r="BO63" s="1601">
        <f t="shared" si="29"/>
        <v>8831.1860252205915</v>
      </c>
      <c r="BP63" s="1602">
        <f t="shared" si="30"/>
        <v>35324.744100882366</v>
      </c>
      <c r="BQ63" s="1602"/>
      <c r="BR63" s="1602" t="s">
        <v>469</v>
      </c>
      <c r="BS63" s="1602">
        <v>0</v>
      </c>
      <c r="BT63" s="1602">
        <v>15</v>
      </c>
      <c r="BU63" s="1602">
        <v>15</v>
      </c>
      <c r="BV63" s="1602">
        <v>15</v>
      </c>
      <c r="BW63" s="1602">
        <v>15</v>
      </c>
      <c r="BX63" s="1362">
        <f t="shared" si="49"/>
        <v>132467.79037830888</v>
      </c>
      <c r="BY63" s="1362">
        <f t="shared" si="50"/>
        <v>132467.79037830888</v>
      </c>
      <c r="BZ63" s="1362">
        <f t="shared" si="51"/>
        <v>132467.79037830888</v>
      </c>
      <c r="CA63" s="1362">
        <f t="shared" si="52"/>
        <v>132467.79037830888</v>
      </c>
      <c r="CB63" s="1362">
        <f t="shared" si="53"/>
        <v>529871.16151323554</v>
      </c>
      <c r="CC63" s="1360">
        <v>15</v>
      </c>
      <c r="CD63" s="1360">
        <v>15</v>
      </c>
      <c r="CE63" s="1360">
        <v>15</v>
      </c>
      <c r="CF63" s="1360">
        <v>15</v>
      </c>
      <c r="CG63" s="1604">
        <f t="shared" si="33"/>
        <v>132467.79037830885</v>
      </c>
      <c r="CH63" s="1604">
        <f t="shared" si="34"/>
        <v>132467.79037830885</v>
      </c>
      <c r="CI63" s="1604">
        <f t="shared" si="35"/>
        <v>132467.79037830885</v>
      </c>
      <c r="CJ63" s="1604">
        <f t="shared" si="36"/>
        <v>132467.79037830885</v>
      </c>
      <c r="CK63" s="1521">
        <f t="shared" si="37"/>
        <v>529871.16151323542</v>
      </c>
      <c r="CL63" s="1132">
        <v>56</v>
      </c>
      <c r="CM63" s="1132" t="s">
        <v>356</v>
      </c>
      <c r="CN63" s="1359">
        <v>0</v>
      </c>
      <c r="CO63" s="1360">
        <v>36.508499999999998</v>
      </c>
      <c r="CP63" s="1360">
        <v>36.508499999999998</v>
      </c>
      <c r="CQ63" s="1360">
        <v>36.508499999999998</v>
      </c>
      <c r="CR63" s="1360">
        <v>36.508499999999998</v>
      </c>
      <c r="CS63" s="1362">
        <f t="shared" si="38"/>
        <v>8831.1860252205915</v>
      </c>
      <c r="CT63" s="1362">
        <f t="shared" si="39"/>
        <v>8831.1860252205915</v>
      </c>
      <c r="CU63" s="1362">
        <f t="shared" si="40"/>
        <v>8831.1860252205915</v>
      </c>
      <c r="CV63" s="1362">
        <f t="shared" si="41"/>
        <v>8831.1860252205915</v>
      </c>
      <c r="CW63" s="1362">
        <f t="shared" si="42"/>
        <v>35324.744100882366</v>
      </c>
      <c r="CY63" s="2887"/>
    </row>
    <row r="64" spans="1:118" s="1143" customFormat="1" ht="45.75" customHeight="1" x14ac:dyDescent="0.35">
      <c r="A64" s="1132" t="s">
        <v>101</v>
      </c>
      <c r="B64" s="1132" t="s">
        <v>424</v>
      </c>
      <c r="C64" s="1132" t="s">
        <v>471</v>
      </c>
      <c r="D64" s="1359" t="s">
        <v>105</v>
      </c>
      <c r="E64" s="1359">
        <f>IF(AI64-AR64=0,0,1)</f>
        <v>0</v>
      </c>
      <c r="F64" s="1132" t="s">
        <v>105</v>
      </c>
      <c r="G64" s="1132" t="s">
        <v>356</v>
      </c>
      <c r="H64" s="1360">
        <v>0.60847499999999988</v>
      </c>
      <c r="I64" s="1360">
        <v>0.60847499999999988</v>
      </c>
      <c r="J64" s="1360">
        <v>0.60847499999999988</v>
      </c>
      <c r="K64" s="1360">
        <v>0.60847499999999988</v>
      </c>
      <c r="L64" s="1132" t="s">
        <v>472</v>
      </c>
      <c r="M64" s="1132" t="str">
        <f t="shared" si="0"/>
        <v/>
      </c>
      <c r="N64" s="1361">
        <v>2333.5725000000002</v>
      </c>
      <c r="O64" s="1361">
        <v>2333.5725000000002</v>
      </c>
      <c r="P64" s="1361">
        <v>2333.5725000000002</v>
      </c>
      <c r="Q64" s="1361">
        <v>2333.5725000000002</v>
      </c>
      <c r="R64" s="1781">
        <v>0.86</v>
      </c>
      <c r="S64" s="1781">
        <v>0.86</v>
      </c>
      <c r="T64" s="1781">
        <v>0.86</v>
      </c>
      <c r="U64" s="1781">
        <v>0.86</v>
      </c>
      <c r="V64" s="1781">
        <v>0.86</v>
      </c>
      <c r="W64" s="1781">
        <v>0.86</v>
      </c>
      <c r="X64" s="1781">
        <v>0.86</v>
      </c>
      <c r="Y64" s="1781">
        <v>0.86</v>
      </c>
      <c r="Z64" s="1359">
        <v>1</v>
      </c>
      <c r="AA64" s="1781">
        <f t="shared" si="2"/>
        <v>0.86</v>
      </c>
      <c r="AB64" s="1781">
        <f t="shared" si="3"/>
        <v>0.86</v>
      </c>
      <c r="AC64" s="1781">
        <f t="shared" si="4"/>
        <v>0.86</v>
      </c>
      <c r="AD64" s="1781">
        <f t="shared" si="5"/>
        <v>0.86</v>
      </c>
      <c r="AE64" s="1781">
        <f t="shared" si="6"/>
        <v>0.86</v>
      </c>
      <c r="AF64" s="1781">
        <f t="shared" si="7"/>
        <v>0.86</v>
      </c>
      <c r="AG64" s="1781">
        <f t="shared" si="8"/>
        <v>0.86</v>
      </c>
      <c r="AH64" s="1781">
        <f t="shared" si="9"/>
        <v>0.86</v>
      </c>
      <c r="AI64" s="1362">
        <f t="shared" si="43"/>
        <v>1221.1316531662499</v>
      </c>
      <c r="AJ64" s="1362">
        <f t="shared" si="44"/>
        <v>1221.1316531662499</v>
      </c>
      <c r="AK64" s="1362">
        <f t="shared" si="45"/>
        <v>1221.1316531662499</v>
      </c>
      <c r="AL64" s="1362">
        <f t="shared" si="46"/>
        <v>1221.1316531662499</v>
      </c>
      <c r="AM64" s="1362">
        <f t="shared" si="47"/>
        <v>4884.5266126649994</v>
      </c>
      <c r="AN64" s="1132" t="str">
        <f t="shared" si="11"/>
        <v>C165</v>
      </c>
      <c r="AO64" s="1132" t="str">
        <f t="shared" si="12"/>
        <v/>
      </c>
      <c r="AP64" s="2505">
        <v>2333.5725000000002</v>
      </c>
      <c r="AQ64" s="2505"/>
      <c r="AR64" s="2505">
        <f t="shared" si="13"/>
        <v>1221.1316531662499</v>
      </c>
      <c r="AS64" s="2505">
        <f t="shared" si="14"/>
        <v>0</v>
      </c>
      <c r="AT64" s="1132" t="str">
        <f t="shared" si="15"/>
        <v>C165</v>
      </c>
      <c r="AU64" s="1132" t="str">
        <f t="shared" si="16"/>
        <v/>
      </c>
      <c r="AV64" s="2505">
        <v>2333.5725000000002</v>
      </c>
      <c r="AW64" s="2505"/>
      <c r="AX64" s="1362">
        <f t="shared" si="17"/>
        <v>1221.1316531662499</v>
      </c>
      <c r="AY64" s="1360">
        <f t="shared" si="18"/>
        <v>0</v>
      </c>
      <c r="AZ64" s="1132" t="str">
        <f t="shared" si="19"/>
        <v>C165</v>
      </c>
      <c r="BA64" s="1132" t="str">
        <f t="shared" si="20"/>
        <v/>
      </c>
      <c r="BB64" s="2505">
        <v>2333.5725000000002</v>
      </c>
      <c r="BC64" s="2505"/>
      <c r="BD64" s="1362">
        <f t="shared" si="21"/>
        <v>1221.1316531662499</v>
      </c>
      <c r="BE64" s="1360">
        <f t="shared" si="22"/>
        <v>0</v>
      </c>
      <c r="BF64" s="1132" t="str">
        <f t="shared" si="23"/>
        <v>C165</v>
      </c>
      <c r="BG64" s="1132" t="str">
        <f t="shared" si="24"/>
        <v/>
      </c>
      <c r="BH64" s="2505">
        <v>2333.5725000000002</v>
      </c>
      <c r="BI64" s="2505"/>
      <c r="BJ64" s="1362">
        <f t="shared" si="48"/>
        <v>1221.1316531662499</v>
      </c>
      <c r="BK64" s="1360">
        <f t="shared" si="25"/>
        <v>0</v>
      </c>
      <c r="BL64" s="1601">
        <f t="shared" si="26"/>
        <v>1221.1316531662499</v>
      </c>
      <c r="BM64" s="1601">
        <f t="shared" si="27"/>
        <v>1221.1316531662499</v>
      </c>
      <c r="BN64" s="1601">
        <f t="shared" si="28"/>
        <v>1221.1316531662499</v>
      </c>
      <c r="BO64" s="1601">
        <f t="shared" si="29"/>
        <v>1221.1316531662499</v>
      </c>
      <c r="BP64" s="1602">
        <f t="shared" si="30"/>
        <v>4884.5266126649994</v>
      </c>
      <c r="BQ64" s="1602"/>
      <c r="BR64" s="1602"/>
      <c r="BS64" s="1602">
        <v>0</v>
      </c>
      <c r="BT64" s="1602">
        <v>15</v>
      </c>
      <c r="BU64" s="1602">
        <v>15</v>
      </c>
      <c r="BV64" s="1602">
        <v>15</v>
      </c>
      <c r="BW64" s="1602">
        <v>15</v>
      </c>
      <c r="BX64" s="1362">
        <f t="shared" si="49"/>
        <v>18316.974797493749</v>
      </c>
      <c r="BY64" s="1362">
        <f t="shared" si="50"/>
        <v>18316.974797493749</v>
      </c>
      <c r="BZ64" s="1362">
        <f t="shared" si="51"/>
        <v>18316.974797493749</v>
      </c>
      <c r="CA64" s="1362">
        <f t="shared" si="52"/>
        <v>18316.974797493749</v>
      </c>
      <c r="CB64" s="1362">
        <f t="shared" si="53"/>
        <v>73267.899189974996</v>
      </c>
      <c r="CC64" s="1360">
        <v>15</v>
      </c>
      <c r="CD64" s="1360">
        <v>15</v>
      </c>
      <c r="CE64" s="1360">
        <v>15</v>
      </c>
      <c r="CF64" s="1360">
        <v>15</v>
      </c>
      <c r="CG64" s="1604">
        <f t="shared" si="33"/>
        <v>18316.974797493749</v>
      </c>
      <c r="CH64" s="1604">
        <f t="shared" si="34"/>
        <v>18316.974797493749</v>
      </c>
      <c r="CI64" s="1604">
        <f t="shared" si="35"/>
        <v>18316.974797493749</v>
      </c>
      <c r="CJ64" s="1604">
        <f t="shared" si="36"/>
        <v>18316.974797493749</v>
      </c>
      <c r="CK64" s="1521">
        <f t="shared" si="37"/>
        <v>73267.899189974996</v>
      </c>
      <c r="CL64" s="1132">
        <v>57</v>
      </c>
      <c r="CM64" s="1132" t="s">
        <v>356</v>
      </c>
      <c r="CN64" s="1359">
        <v>0</v>
      </c>
      <c r="CO64" s="1360">
        <v>0.60847499999999988</v>
      </c>
      <c r="CP64" s="1360">
        <v>0.60847499999999988</v>
      </c>
      <c r="CQ64" s="1360">
        <v>0.60847499999999988</v>
      </c>
      <c r="CR64" s="1360">
        <v>0.60847499999999988</v>
      </c>
      <c r="CS64" s="1362">
        <f t="shared" si="38"/>
        <v>1221.1316531662499</v>
      </c>
      <c r="CT64" s="1362">
        <f t="shared" si="39"/>
        <v>1221.1316531662499</v>
      </c>
      <c r="CU64" s="1362">
        <f t="shared" si="40"/>
        <v>1221.1316531662499</v>
      </c>
      <c r="CV64" s="1362">
        <f t="shared" si="41"/>
        <v>1221.1316531662499</v>
      </c>
      <c r="CW64" s="1362">
        <f t="shared" si="42"/>
        <v>4884.5266126649994</v>
      </c>
      <c r="CY64" s="2887"/>
    </row>
    <row r="65" spans="1:118" s="1143" customFormat="1" ht="45.75" customHeight="1" x14ac:dyDescent="0.35">
      <c r="A65" s="1132" t="s">
        <v>101</v>
      </c>
      <c r="B65" s="1132" t="s">
        <v>424</v>
      </c>
      <c r="C65" s="1132" t="s">
        <v>473</v>
      </c>
      <c r="D65" s="1359" t="s">
        <v>105</v>
      </c>
      <c r="E65" s="1359">
        <f>IF(AI65-AR65=0,0,1)</f>
        <v>0</v>
      </c>
      <c r="F65" s="1132" t="s">
        <v>105</v>
      </c>
      <c r="G65" s="1132" t="s">
        <v>356</v>
      </c>
      <c r="H65" s="1360">
        <v>0.60847499999999988</v>
      </c>
      <c r="I65" s="1360">
        <v>0.60847499999999988</v>
      </c>
      <c r="J65" s="1360">
        <v>0.60847499999999988</v>
      </c>
      <c r="K65" s="1360">
        <v>0.60847499999999988</v>
      </c>
      <c r="L65" s="1132" t="s">
        <v>474</v>
      </c>
      <c r="M65" s="1132" t="str">
        <f t="shared" si="0"/>
        <v/>
      </c>
      <c r="N65" s="1361">
        <v>4667.079999999999</v>
      </c>
      <c r="O65" s="1361">
        <v>4667.079999999999</v>
      </c>
      <c r="P65" s="1361">
        <v>4667.079999999999</v>
      </c>
      <c r="Q65" s="1361">
        <v>4667.079999999999</v>
      </c>
      <c r="R65" s="1781">
        <v>0.86</v>
      </c>
      <c r="S65" s="1781">
        <v>0.86</v>
      </c>
      <c r="T65" s="1781">
        <v>0.86</v>
      </c>
      <c r="U65" s="1781">
        <v>0.86</v>
      </c>
      <c r="V65" s="1781">
        <v>0.86</v>
      </c>
      <c r="W65" s="1781">
        <v>0.86</v>
      </c>
      <c r="X65" s="1781">
        <v>0.86</v>
      </c>
      <c r="Y65" s="1781">
        <v>0.86</v>
      </c>
      <c r="Z65" s="1359">
        <v>1</v>
      </c>
      <c r="AA65" s="1781">
        <f t="shared" si="2"/>
        <v>0.86</v>
      </c>
      <c r="AB65" s="1781">
        <f t="shared" si="3"/>
        <v>0.86</v>
      </c>
      <c r="AC65" s="1781">
        <f t="shared" si="4"/>
        <v>0.86</v>
      </c>
      <c r="AD65" s="1781">
        <f t="shared" si="5"/>
        <v>0.86</v>
      </c>
      <c r="AE65" s="1781">
        <f t="shared" si="6"/>
        <v>0.86</v>
      </c>
      <c r="AF65" s="1781">
        <f t="shared" si="7"/>
        <v>0.86</v>
      </c>
      <c r="AG65" s="1781">
        <f t="shared" si="8"/>
        <v>0.86</v>
      </c>
      <c r="AH65" s="1781">
        <f t="shared" si="9"/>
        <v>0.86</v>
      </c>
      <c r="AI65" s="1362">
        <f t="shared" si="43"/>
        <v>2442.2292925799989</v>
      </c>
      <c r="AJ65" s="1362">
        <f t="shared" si="44"/>
        <v>2442.2292925799989</v>
      </c>
      <c r="AK65" s="1362">
        <f t="shared" si="45"/>
        <v>2442.2292925799989</v>
      </c>
      <c r="AL65" s="1362">
        <f t="shared" si="46"/>
        <v>2442.2292925799989</v>
      </c>
      <c r="AM65" s="1362">
        <f t="shared" si="47"/>
        <v>9768.9171703199954</v>
      </c>
      <c r="AN65" s="1132" t="str">
        <f t="shared" si="11"/>
        <v>C166</v>
      </c>
      <c r="AO65" s="1132" t="str">
        <f t="shared" si="12"/>
        <v/>
      </c>
      <c r="AP65" s="2505">
        <v>4667.079999999999</v>
      </c>
      <c r="AQ65" s="2505"/>
      <c r="AR65" s="2505">
        <f t="shared" si="13"/>
        <v>2442.2292925799989</v>
      </c>
      <c r="AS65" s="2505">
        <f t="shared" si="14"/>
        <v>0</v>
      </c>
      <c r="AT65" s="1132" t="str">
        <f t="shared" si="15"/>
        <v>C166</v>
      </c>
      <c r="AU65" s="1132" t="str">
        <f t="shared" si="16"/>
        <v/>
      </c>
      <c r="AV65" s="2505">
        <v>4667.079999999999</v>
      </c>
      <c r="AW65" s="2505"/>
      <c r="AX65" s="1362">
        <f t="shared" si="17"/>
        <v>2442.2292925799989</v>
      </c>
      <c r="AY65" s="1360">
        <f t="shared" si="18"/>
        <v>0</v>
      </c>
      <c r="AZ65" s="1132" t="str">
        <f t="shared" si="19"/>
        <v>C166</v>
      </c>
      <c r="BA65" s="1132" t="str">
        <f t="shared" si="20"/>
        <v/>
      </c>
      <c r="BB65" s="2505">
        <v>4667.079999999999</v>
      </c>
      <c r="BC65" s="2505"/>
      <c r="BD65" s="1362">
        <f t="shared" si="21"/>
        <v>2442.2292925799989</v>
      </c>
      <c r="BE65" s="1360">
        <f t="shared" si="22"/>
        <v>0</v>
      </c>
      <c r="BF65" s="1132" t="str">
        <f t="shared" si="23"/>
        <v>C166</v>
      </c>
      <c r="BG65" s="1132" t="str">
        <f t="shared" si="24"/>
        <v/>
      </c>
      <c r="BH65" s="2505">
        <v>4667.079999999999</v>
      </c>
      <c r="BI65" s="2505"/>
      <c r="BJ65" s="1362">
        <f t="shared" si="48"/>
        <v>2442.2292925799989</v>
      </c>
      <c r="BK65" s="1360">
        <f t="shared" si="25"/>
        <v>0</v>
      </c>
      <c r="BL65" s="1601">
        <f t="shared" si="26"/>
        <v>2442.2292925799989</v>
      </c>
      <c r="BM65" s="1601">
        <f t="shared" si="27"/>
        <v>2442.2292925799989</v>
      </c>
      <c r="BN65" s="1601">
        <f t="shared" si="28"/>
        <v>2442.2292925799989</v>
      </c>
      <c r="BO65" s="1601">
        <f t="shared" si="29"/>
        <v>2442.2292925799989</v>
      </c>
      <c r="BP65" s="1602">
        <f t="shared" si="30"/>
        <v>9768.9171703199954</v>
      </c>
      <c r="BQ65" s="1602"/>
      <c r="BR65" s="1602"/>
      <c r="BS65" s="1602">
        <v>0</v>
      </c>
      <c r="BT65" s="1602">
        <v>15</v>
      </c>
      <c r="BU65" s="1602">
        <v>15</v>
      </c>
      <c r="BV65" s="1602">
        <v>15</v>
      </c>
      <c r="BW65" s="1602">
        <v>15</v>
      </c>
      <c r="BX65" s="1362">
        <f t="shared" si="49"/>
        <v>36633.439388699982</v>
      </c>
      <c r="BY65" s="1362">
        <f t="shared" si="50"/>
        <v>36633.439388699982</v>
      </c>
      <c r="BZ65" s="1362">
        <f t="shared" si="51"/>
        <v>36633.439388699982</v>
      </c>
      <c r="CA65" s="1362">
        <f t="shared" si="52"/>
        <v>36633.439388699982</v>
      </c>
      <c r="CB65" s="1362">
        <f t="shared" si="53"/>
        <v>146533.75755479993</v>
      </c>
      <c r="CC65" s="1360">
        <v>15</v>
      </c>
      <c r="CD65" s="1360">
        <v>15</v>
      </c>
      <c r="CE65" s="1360">
        <v>15</v>
      </c>
      <c r="CF65" s="1360">
        <v>15</v>
      </c>
      <c r="CG65" s="1604">
        <f t="shared" si="33"/>
        <v>36633.43938869999</v>
      </c>
      <c r="CH65" s="1604">
        <f t="shared" si="34"/>
        <v>36633.43938869999</v>
      </c>
      <c r="CI65" s="1604">
        <f t="shared" si="35"/>
        <v>36633.43938869999</v>
      </c>
      <c r="CJ65" s="1604">
        <f t="shared" si="36"/>
        <v>36633.43938869999</v>
      </c>
      <c r="CK65" s="1521">
        <f t="shared" si="37"/>
        <v>146533.75755479996</v>
      </c>
      <c r="CL65" s="1132">
        <v>58</v>
      </c>
      <c r="CM65" s="1132" t="s">
        <v>356</v>
      </c>
      <c r="CN65" s="1359">
        <v>0</v>
      </c>
      <c r="CO65" s="1360">
        <v>0.60847499999999988</v>
      </c>
      <c r="CP65" s="1360">
        <v>0.60847499999999988</v>
      </c>
      <c r="CQ65" s="1360">
        <v>0.60847499999999988</v>
      </c>
      <c r="CR65" s="1360">
        <v>0.60847499999999988</v>
      </c>
      <c r="CS65" s="1362">
        <f t="shared" si="38"/>
        <v>2442.2292925799989</v>
      </c>
      <c r="CT65" s="1362">
        <f t="shared" si="39"/>
        <v>2442.2292925799989</v>
      </c>
      <c r="CU65" s="1362">
        <f t="shared" si="40"/>
        <v>2442.2292925799989</v>
      </c>
      <c r="CV65" s="1362">
        <f t="shared" si="41"/>
        <v>2442.2292925799989</v>
      </c>
      <c r="CW65" s="1362">
        <f t="shared" si="42"/>
        <v>9768.9171703199954</v>
      </c>
      <c r="CY65" s="2887"/>
    </row>
    <row r="66" spans="1:118" s="1143" customFormat="1" ht="45.75" customHeight="1" x14ac:dyDescent="0.35">
      <c r="A66" s="1132" t="s">
        <v>101</v>
      </c>
      <c r="B66" s="1132" t="s">
        <v>424</v>
      </c>
      <c r="C66" s="1132" t="s">
        <v>475</v>
      </c>
      <c r="D66" s="1359" t="s">
        <v>105</v>
      </c>
      <c r="E66" s="1359">
        <f>IF(AI66-AR66=0,0,1)</f>
        <v>0</v>
      </c>
      <c r="F66" s="1132" t="s">
        <v>105</v>
      </c>
      <c r="G66" s="1132" t="s">
        <v>356</v>
      </c>
      <c r="H66" s="1360">
        <v>0.60847499999999988</v>
      </c>
      <c r="I66" s="1360">
        <v>0.60847499999999988</v>
      </c>
      <c r="J66" s="1360">
        <v>0.60847499999999988</v>
      </c>
      <c r="K66" s="1360">
        <v>0.60847499999999988</v>
      </c>
      <c r="L66" s="1132" t="s">
        <v>476</v>
      </c>
      <c r="M66" s="1132" t="str">
        <f t="shared" si="0"/>
        <v/>
      </c>
      <c r="N66" s="1361">
        <v>7165.1333333333341</v>
      </c>
      <c r="O66" s="1361">
        <v>7165.1333333333341</v>
      </c>
      <c r="P66" s="1361">
        <v>7165.1333333333341</v>
      </c>
      <c r="Q66" s="1361">
        <v>7165.1333333333341</v>
      </c>
      <c r="R66" s="1781">
        <v>0.86</v>
      </c>
      <c r="S66" s="1781">
        <v>0.86</v>
      </c>
      <c r="T66" s="1781">
        <v>0.86</v>
      </c>
      <c r="U66" s="1781">
        <v>0.86</v>
      </c>
      <c r="V66" s="1781">
        <v>0.86</v>
      </c>
      <c r="W66" s="1781">
        <v>0.86</v>
      </c>
      <c r="X66" s="1781">
        <v>0.86</v>
      </c>
      <c r="Y66" s="1781">
        <v>0.86</v>
      </c>
      <c r="Z66" s="1359">
        <v>1</v>
      </c>
      <c r="AA66" s="1781">
        <f t="shared" si="2"/>
        <v>0.86</v>
      </c>
      <c r="AB66" s="1781">
        <f t="shared" si="3"/>
        <v>0.86</v>
      </c>
      <c r="AC66" s="1781">
        <f t="shared" si="4"/>
        <v>0.86</v>
      </c>
      <c r="AD66" s="1781">
        <f t="shared" si="5"/>
        <v>0.86</v>
      </c>
      <c r="AE66" s="1781">
        <f t="shared" si="6"/>
        <v>0.86</v>
      </c>
      <c r="AF66" s="1781">
        <f t="shared" si="7"/>
        <v>0.86</v>
      </c>
      <c r="AG66" s="1781">
        <f t="shared" si="8"/>
        <v>0.86</v>
      </c>
      <c r="AH66" s="1781">
        <f t="shared" si="9"/>
        <v>0.86</v>
      </c>
      <c r="AI66" s="1362">
        <f t="shared" si="43"/>
        <v>3749.4318742999994</v>
      </c>
      <c r="AJ66" s="1362">
        <f t="shared" si="44"/>
        <v>3749.4318742999994</v>
      </c>
      <c r="AK66" s="1362">
        <f t="shared" si="45"/>
        <v>3749.4318742999994</v>
      </c>
      <c r="AL66" s="1362">
        <f t="shared" si="46"/>
        <v>3749.4318742999994</v>
      </c>
      <c r="AM66" s="1362">
        <f t="shared" si="47"/>
        <v>14997.727497199998</v>
      </c>
      <c r="AN66" s="1132" t="str">
        <f t="shared" si="11"/>
        <v>C167</v>
      </c>
      <c r="AO66" s="1132" t="str">
        <f t="shared" si="12"/>
        <v/>
      </c>
      <c r="AP66" s="2505">
        <v>7165.1333333333341</v>
      </c>
      <c r="AQ66" s="2505"/>
      <c r="AR66" s="2505">
        <f t="shared" si="13"/>
        <v>3749.4318742999994</v>
      </c>
      <c r="AS66" s="2505">
        <f t="shared" si="14"/>
        <v>0</v>
      </c>
      <c r="AT66" s="1132" t="str">
        <f t="shared" si="15"/>
        <v>C167</v>
      </c>
      <c r="AU66" s="1132" t="str">
        <f t="shared" si="16"/>
        <v/>
      </c>
      <c r="AV66" s="2505">
        <v>7165.1333333333341</v>
      </c>
      <c r="AW66" s="2505"/>
      <c r="AX66" s="1362">
        <f t="shared" si="17"/>
        <v>3749.4318742999994</v>
      </c>
      <c r="AY66" s="1360">
        <f t="shared" si="18"/>
        <v>0</v>
      </c>
      <c r="AZ66" s="1132" t="str">
        <f t="shared" si="19"/>
        <v>C167</v>
      </c>
      <c r="BA66" s="1132" t="str">
        <f t="shared" si="20"/>
        <v/>
      </c>
      <c r="BB66" s="2505">
        <v>7165.1333333333341</v>
      </c>
      <c r="BC66" s="2505"/>
      <c r="BD66" s="1362">
        <f t="shared" si="21"/>
        <v>3749.4318742999994</v>
      </c>
      <c r="BE66" s="1360">
        <f t="shared" si="22"/>
        <v>0</v>
      </c>
      <c r="BF66" s="1132" t="str">
        <f t="shared" si="23"/>
        <v>C167</v>
      </c>
      <c r="BG66" s="1132" t="str">
        <f t="shared" si="24"/>
        <v/>
      </c>
      <c r="BH66" s="2505">
        <v>7165.1333333333341</v>
      </c>
      <c r="BI66" s="2505"/>
      <c r="BJ66" s="1362">
        <f t="shared" si="48"/>
        <v>3749.4318742999994</v>
      </c>
      <c r="BK66" s="1360">
        <f t="shared" si="25"/>
        <v>0</v>
      </c>
      <c r="BL66" s="1601">
        <f t="shared" si="26"/>
        <v>3749.4318742999994</v>
      </c>
      <c r="BM66" s="1601">
        <f t="shared" si="27"/>
        <v>3749.4318742999994</v>
      </c>
      <c r="BN66" s="1601">
        <f t="shared" si="28"/>
        <v>3749.4318742999994</v>
      </c>
      <c r="BO66" s="1601">
        <f t="shared" si="29"/>
        <v>3749.4318742999994</v>
      </c>
      <c r="BP66" s="1602">
        <f t="shared" si="30"/>
        <v>14997.727497199998</v>
      </c>
      <c r="BQ66" s="1602"/>
      <c r="BR66" s="1602"/>
      <c r="BS66" s="1602">
        <v>0</v>
      </c>
      <c r="BT66" s="1602">
        <v>15</v>
      </c>
      <c r="BU66" s="1602">
        <v>15</v>
      </c>
      <c r="BV66" s="1602">
        <v>15</v>
      </c>
      <c r="BW66" s="1602">
        <v>15</v>
      </c>
      <c r="BX66" s="1362">
        <f t="shared" si="49"/>
        <v>56241.478114499994</v>
      </c>
      <c r="BY66" s="1362">
        <f t="shared" si="50"/>
        <v>56241.478114499994</v>
      </c>
      <c r="BZ66" s="1362">
        <f t="shared" si="51"/>
        <v>56241.478114499994</v>
      </c>
      <c r="CA66" s="1362">
        <f t="shared" si="52"/>
        <v>56241.478114499994</v>
      </c>
      <c r="CB66" s="1362">
        <f t="shared" si="53"/>
        <v>224965.91245799998</v>
      </c>
      <c r="CC66" s="1360">
        <v>15</v>
      </c>
      <c r="CD66" s="1360">
        <v>15</v>
      </c>
      <c r="CE66" s="1360">
        <v>15</v>
      </c>
      <c r="CF66" s="1360">
        <v>15</v>
      </c>
      <c r="CG66" s="1604">
        <f t="shared" si="33"/>
        <v>56241.478114500002</v>
      </c>
      <c r="CH66" s="1604">
        <f t="shared" si="34"/>
        <v>56241.478114500002</v>
      </c>
      <c r="CI66" s="1604">
        <f t="shared" si="35"/>
        <v>56241.478114500002</v>
      </c>
      <c r="CJ66" s="1604">
        <f t="shared" si="36"/>
        <v>56241.478114500002</v>
      </c>
      <c r="CK66" s="1521">
        <f t="shared" si="37"/>
        <v>224965.91245800001</v>
      </c>
      <c r="CL66" s="1132">
        <v>59</v>
      </c>
      <c r="CM66" s="1132" t="s">
        <v>356</v>
      </c>
      <c r="CN66" s="1359">
        <v>0</v>
      </c>
      <c r="CO66" s="1360">
        <v>0.60847499999999988</v>
      </c>
      <c r="CP66" s="1360">
        <v>0.60847499999999988</v>
      </c>
      <c r="CQ66" s="1360">
        <v>0.60847499999999988</v>
      </c>
      <c r="CR66" s="1360">
        <v>0.60847499999999988</v>
      </c>
      <c r="CS66" s="1362">
        <f t="shared" si="38"/>
        <v>3749.4318742999994</v>
      </c>
      <c r="CT66" s="1362">
        <f t="shared" si="39"/>
        <v>3749.4318742999994</v>
      </c>
      <c r="CU66" s="1362">
        <f t="shared" si="40"/>
        <v>3749.4318742999994</v>
      </c>
      <c r="CV66" s="1362">
        <f t="shared" si="41"/>
        <v>3749.4318742999994</v>
      </c>
      <c r="CW66" s="1362">
        <f t="shared" si="42"/>
        <v>14997.727497199998</v>
      </c>
      <c r="CY66" s="2887"/>
    </row>
    <row r="67" spans="1:118" s="1143" customFormat="1" ht="46.5" x14ac:dyDescent="0.35">
      <c r="A67" s="1132" t="s">
        <v>101</v>
      </c>
      <c r="B67" s="1132" t="s">
        <v>424</v>
      </c>
      <c r="C67" s="1132" t="s">
        <v>477</v>
      </c>
      <c r="D67" s="1359" t="s">
        <v>478</v>
      </c>
      <c r="E67" s="1359">
        <v>1</v>
      </c>
      <c r="F67" s="2807" t="s">
        <v>479</v>
      </c>
      <c r="G67" s="1132" t="s">
        <v>356</v>
      </c>
      <c r="H67" s="1360">
        <v>0.60847499999999988</v>
      </c>
      <c r="I67" s="1360">
        <v>0.60847499999999988</v>
      </c>
      <c r="J67" s="1360">
        <v>0.60847499999999988</v>
      </c>
      <c r="K67" s="1360">
        <v>0.60847499999999988</v>
      </c>
      <c r="L67" s="1132" t="s">
        <v>480</v>
      </c>
      <c r="M67" s="1132" t="str">
        <f t="shared" si="0"/>
        <v>Nicor Gas PY11-PY14 Adjustable Goals Template_2025-03-01, Tab 4.3.1</v>
      </c>
      <c r="N67" s="1361">
        <v>48.22116686119378</v>
      </c>
      <c r="O67" s="1361">
        <v>48.22116686119378</v>
      </c>
      <c r="P67" s="1361">
        <v>48.22116686119378</v>
      </c>
      <c r="Q67" s="1361">
        <v>48.22116686119378</v>
      </c>
      <c r="R67" s="1781">
        <v>0.86</v>
      </c>
      <c r="S67" s="1781">
        <v>0.86</v>
      </c>
      <c r="T67" s="1781">
        <v>0.86</v>
      </c>
      <c r="U67" s="1781">
        <v>0.86</v>
      </c>
      <c r="V67" s="1781">
        <v>0.86</v>
      </c>
      <c r="W67" s="1781">
        <v>0.86</v>
      </c>
      <c r="X67" s="1781">
        <v>0.86</v>
      </c>
      <c r="Y67" s="1781">
        <v>0.86</v>
      </c>
      <c r="Z67" s="1359">
        <v>1</v>
      </c>
      <c r="AA67" s="1781">
        <f t="shared" si="2"/>
        <v>0.86</v>
      </c>
      <c r="AB67" s="1781">
        <f t="shared" si="3"/>
        <v>0.86</v>
      </c>
      <c r="AC67" s="1781">
        <f t="shared" si="4"/>
        <v>0.86</v>
      </c>
      <c r="AD67" s="1781">
        <f t="shared" si="5"/>
        <v>0.86</v>
      </c>
      <c r="AE67" s="1781">
        <f t="shared" si="6"/>
        <v>0.86</v>
      </c>
      <c r="AF67" s="1781">
        <f t="shared" si="7"/>
        <v>0.86</v>
      </c>
      <c r="AG67" s="1781">
        <f t="shared" si="8"/>
        <v>0.86</v>
      </c>
      <c r="AH67" s="1781">
        <f t="shared" si="9"/>
        <v>0.86</v>
      </c>
      <c r="AI67" s="1362">
        <f t="shared" si="43"/>
        <v>25.233582075043795</v>
      </c>
      <c r="AJ67" s="1362">
        <f t="shared" si="44"/>
        <v>25.233582075043795</v>
      </c>
      <c r="AK67" s="1362">
        <f t="shared" si="45"/>
        <v>25.233582075043795</v>
      </c>
      <c r="AL67" s="1362">
        <f t="shared" si="46"/>
        <v>25.233582075043795</v>
      </c>
      <c r="AM67" s="1362">
        <f t="shared" si="47"/>
        <v>100.93432830017518</v>
      </c>
      <c r="AN67" s="1132" t="str">
        <f t="shared" si="11"/>
        <v>CI-HW_-HWE-V03-190101</v>
      </c>
      <c r="AO67" s="1132" t="str">
        <f t="shared" si="12"/>
        <v>Nicor Gas PY11-PY14 Adjustable Goals Template_2025-03-01, Tab 4.3.1</v>
      </c>
      <c r="AP67" s="2568">
        <f>'4.3.1'!$Q$4</f>
        <v>50.462432363192917</v>
      </c>
      <c r="AQ67" s="2568" t="s">
        <v>481</v>
      </c>
      <c r="AR67" s="2505">
        <f t="shared" si="13"/>
        <v>26.406410537686671</v>
      </c>
      <c r="AS67" s="2505">
        <f t="shared" si="14"/>
        <v>1.172828462642876</v>
      </c>
      <c r="AT67" s="1132" t="str">
        <f t="shared" si="15"/>
        <v>CI-HW_-HWE-V03-190101</v>
      </c>
      <c r="AU67" s="1132" t="str">
        <f t="shared" si="16"/>
        <v>Nicor Gas PY11-PY14 Adjustable Goals Template_2025-03-01, Tab 4.3.1</v>
      </c>
      <c r="AV67" s="2505">
        <f>'4.3.1'!$Q$4</f>
        <v>50.462432363192917</v>
      </c>
      <c r="AW67" s="2568" t="s">
        <v>481</v>
      </c>
      <c r="AX67" s="1362">
        <f t="shared" si="17"/>
        <v>26.406410537686671</v>
      </c>
      <c r="AY67" s="1360">
        <f t="shared" si="18"/>
        <v>1.172828462642876</v>
      </c>
      <c r="AZ67" s="1132" t="str">
        <f t="shared" si="19"/>
        <v>CI-HW_-HWE-V03-190101</v>
      </c>
      <c r="BA67" s="1132" t="str">
        <f t="shared" si="20"/>
        <v>Nicor Gas PY11-PY14 Adjustable Goals Template_2025-03-01, Tab 4.3.1</v>
      </c>
      <c r="BB67" s="2505">
        <f>'4.3.1'!$Q$4</f>
        <v>50.462432363192917</v>
      </c>
      <c r="BC67" s="2568" t="s">
        <v>481</v>
      </c>
      <c r="BD67" s="1362">
        <f t="shared" si="21"/>
        <v>26.406410537686671</v>
      </c>
      <c r="BE67" s="1360">
        <f t="shared" si="22"/>
        <v>1.172828462642876</v>
      </c>
      <c r="BF67" s="1132" t="str">
        <f t="shared" si="23"/>
        <v>CI-HW_-HWE-V03-190101</v>
      </c>
      <c r="BG67" s="1132" t="str">
        <f t="shared" si="24"/>
        <v>Nicor Gas PY11-PY14 Adjustable Goals Template_2025-03-01, Tab 4.3.1</v>
      </c>
      <c r="BH67" s="2505">
        <f>'4.3.1'!$Q$4</f>
        <v>50.462432363192917</v>
      </c>
      <c r="BI67" s="2568" t="s">
        <v>481</v>
      </c>
      <c r="BJ67" s="1362">
        <f t="shared" si="48"/>
        <v>26.406410537686671</v>
      </c>
      <c r="BK67" s="1360">
        <f t="shared" si="25"/>
        <v>1.172828462642876</v>
      </c>
      <c r="BL67" s="1601">
        <f t="shared" si="26"/>
        <v>26.406410537686671</v>
      </c>
      <c r="BM67" s="1601">
        <f t="shared" si="27"/>
        <v>26.406410537686671</v>
      </c>
      <c r="BN67" s="1601">
        <f t="shared" si="28"/>
        <v>26.406410537686671</v>
      </c>
      <c r="BO67" s="1601">
        <f t="shared" si="29"/>
        <v>26.406410537686671</v>
      </c>
      <c r="BP67" s="1602">
        <f t="shared" si="30"/>
        <v>105.62564215074669</v>
      </c>
      <c r="BQ67" s="1602"/>
      <c r="BR67" s="1602" t="s">
        <v>479</v>
      </c>
      <c r="BS67" s="1602">
        <v>0</v>
      </c>
      <c r="BT67" s="1602">
        <v>15</v>
      </c>
      <c r="BU67" s="1602">
        <v>15</v>
      </c>
      <c r="BV67" s="1602">
        <v>15</v>
      </c>
      <c r="BW67" s="1602">
        <v>15</v>
      </c>
      <c r="BX67" s="1362">
        <f t="shared" si="49"/>
        <v>378.50373112565694</v>
      </c>
      <c r="BY67" s="1362">
        <f t="shared" si="50"/>
        <v>378.50373112565694</v>
      </c>
      <c r="BZ67" s="1362">
        <f t="shared" si="51"/>
        <v>378.50373112565694</v>
      </c>
      <c r="CA67" s="1362">
        <f t="shared" si="52"/>
        <v>378.50373112565694</v>
      </c>
      <c r="CB67" s="1362">
        <f t="shared" si="53"/>
        <v>1514.0149245026278</v>
      </c>
      <c r="CC67" s="1360">
        <v>15</v>
      </c>
      <c r="CD67" s="1360">
        <v>15</v>
      </c>
      <c r="CE67" s="1360">
        <v>15</v>
      </c>
      <c r="CF67" s="1360">
        <v>15</v>
      </c>
      <c r="CG67" s="1604">
        <f t="shared" si="33"/>
        <v>396.09615806530013</v>
      </c>
      <c r="CH67" s="1604">
        <f t="shared" si="34"/>
        <v>396.09615806530013</v>
      </c>
      <c r="CI67" s="1604">
        <f t="shared" si="35"/>
        <v>396.09615806530013</v>
      </c>
      <c r="CJ67" s="1604">
        <f t="shared" si="36"/>
        <v>396.09615806530013</v>
      </c>
      <c r="CK67" s="1521">
        <f t="shared" si="37"/>
        <v>1584.3846322612005</v>
      </c>
      <c r="CL67" s="1132">
        <v>60</v>
      </c>
      <c r="CM67" s="1132" t="s">
        <v>356</v>
      </c>
      <c r="CN67" s="1359">
        <v>0</v>
      </c>
      <c r="CO67" s="1360">
        <v>0.60847499999999988</v>
      </c>
      <c r="CP67" s="1360">
        <v>0.60847499999999988</v>
      </c>
      <c r="CQ67" s="1360">
        <v>0.60847499999999988</v>
      </c>
      <c r="CR67" s="1360">
        <v>0.60847499999999988</v>
      </c>
      <c r="CS67" s="1362">
        <f t="shared" si="38"/>
        <v>26.406410537686671</v>
      </c>
      <c r="CT67" s="1362">
        <f t="shared" si="39"/>
        <v>26.406410537686671</v>
      </c>
      <c r="CU67" s="1362">
        <f t="shared" si="40"/>
        <v>26.406410537686671</v>
      </c>
      <c r="CV67" s="1362">
        <f t="shared" si="41"/>
        <v>26.406410537686671</v>
      </c>
      <c r="CW67" s="1362">
        <f t="shared" si="42"/>
        <v>105.62564215074669</v>
      </c>
      <c r="CY67" s="2887"/>
    </row>
    <row r="68" spans="1:118" s="1143" customFormat="1" ht="46.5" x14ac:dyDescent="0.35">
      <c r="A68" s="1132" t="s">
        <v>101</v>
      </c>
      <c r="B68" s="1132" t="s">
        <v>424</v>
      </c>
      <c r="C68" s="1132" t="s">
        <v>482</v>
      </c>
      <c r="D68" s="1359" t="s">
        <v>483</v>
      </c>
      <c r="E68" s="1359">
        <v>1</v>
      </c>
      <c r="F68" s="2807" t="s">
        <v>479</v>
      </c>
      <c r="G68" s="1132" t="s">
        <v>356</v>
      </c>
      <c r="H68" s="1360">
        <v>0.60847499999999988</v>
      </c>
      <c r="I68" s="1360">
        <v>0.60847499999999988</v>
      </c>
      <c r="J68" s="1360">
        <v>0.60847499999999988</v>
      </c>
      <c r="K68" s="1360">
        <v>0.60847499999999988</v>
      </c>
      <c r="L68" s="1132" t="s">
        <v>480</v>
      </c>
      <c r="M68" s="1132" t="str">
        <f t="shared" si="0"/>
        <v>Nicor Gas PY11-PY14 Adjustable Goals Template_2025-03-01, Tab 4.3.1</v>
      </c>
      <c r="N68" s="1361">
        <v>336.19206214763915</v>
      </c>
      <c r="O68" s="1361">
        <v>336.19206214763915</v>
      </c>
      <c r="P68" s="1361">
        <v>336.19206214763915</v>
      </c>
      <c r="Q68" s="1361">
        <v>336.19206214763915</v>
      </c>
      <c r="R68" s="1781">
        <v>0.86</v>
      </c>
      <c r="S68" s="1781">
        <v>0.86</v>
      </c>
      <c r="T68" s="1781">
        <v>0.86</v>
      </c>
      <c r="U68" s="1781">
        <v>0.86</v>
      </c>
      <c r="V68" s="1781">
        <v>0.86</v>
      </c>
      <c r="W68" s="1781">
        <v>0.86</v>
      </c>
      <c r="X68" s="1781">
        <v>0.86</v>
      </c>
      <c r="Y68" s="1781">
        <v>0.86</v>
      </c>
      <c r="Z68" s="1359">
        <v>1</v>
      </c>
      <c r="AA68" s="1781">
        <f t="shared" si="2"/>
        <v>0.86</v>
      </c>
      <c r="AB68" s="1781">
        <f t="shared" si="3"/>
        <v>0.86</v>
      </c>
      <c r="AC68" s="1781">
        <f t="shared" si="4"/>
        <v>0.86</v>
      </c>
      <c r="AD68" s="1781">
        <f t="shared" si="5"/>
        <v>0.86</v>
      </c>
      <c r="AE68" s="1781">
        <f t="shared" si="6"/>
        <v>0.86</v>
      </c>
      <c r="AF68" s="1781">
        <f t="shared" si="7"/>
        <v>0.86</v>
      </c>
      <c r="AG68" s="1781">
        <f t="shared" si="8"/>
        <v>0.86</v>
      </c>
      <c r="AH68" s="1781">
        <f t="shared" si="9"/>
        <v>0.86</v>
      </c>
      <c r="AI68" s="1362">
        <f t="shared" si="43"/>
        <v>175.92543991314483</v>
      </c>
      <c r="AJ68" s="1362">
        <f t="shared" si="44"/>
        <v>175.92543991314483</v>
      </c>
      <c r="AK68" s="1362">
        <f t="shared" si="45"/>
        <v>175.92543991314483</v>
      </c>
      <c r="AL68" s="1362">
        <f t="shared" si="46"/>
        <v>175.92543991314483</v>
      </c>
      <c r="AM68" s="1362">
        <f t="shared" si="47"/>
        <v>703.70175965257931</v>
      </c>
      <c r="AN68" s="1132" t="str">
        <f t="shared" si="11"/>
        <v>CI-HW_-HWE-V03-190101</v>
      </c>
      <c r="AO68" s="1132" t="str">
        <f t="shared" si="12"/>
        <v>Nicor Gas PY11-PY14 Adjustable Goals Template_2025-03-01, Tab 4.3.1</v>
      </c>
      <c r="AP68" s="2568">
        <f>'4.3.1'!$Q$5</f>
        <v>350.51919514182515</v>
      </c>
      <c r="AQ68" s="2568" t="s">
        <v>481</v>
      </c>
      <c r="AR68" s="2505">
        <f t="shared" si="13"/>
        <v>183.42266384697294</v>
      </c>
      <c r="AS68" s="2505">
        <f t="shared" si="14"/>
        <v>7.4972239338281099</v>
      </c>
      <c r="AT68" s="1132" t="str">
        <f t="shared" si="15"/>
        <v>CI-HW_-HWE-V03-190101</v>
      </c>
      <c r="AU68" s="1132" t="str">
        <f t="shared" si="16"/>
        <v>Nicor Gas PY11-PY14 Adjustable Goals Template_2025-03-01, Tab 4.3.1</v>
      </c>
      <c r="AV68" s="2505">
        <f>'4.3.1'!$Q$5</f>
        <v>350.51919514182515</v>
      </c>
      <c r="AW68" s="2568" t="s">
        <v>481</v>
      </c>
      <c r="AX68" s="1362">
        <f t="shared" si="17"/>
        <v>183.42266384697294</v>
      </c>
      <c r="AY68" s="1360">
        <f t="shared" si="18"/>
        <v>7.4972239338281099</v>
      </c>
      <c r="AZ68" s="1132" t="str">
        <f t="shared" si="19"/>
        <v>CI-HW_-HWE-V03-190101</v>
      </c>
      <c r="BA68" s="1132" t="str">
        <f t="shared" si="20"/>
        <v>Nicor Gas PY11-PY14 Adjustable Goals Template_2025-03-01, Tab 4.3.1</v>
      </c>
      <c r="BB68" s="2505">
        <f>'4.3.1'!$Q$5</f>
        <v>350.51919514182515</v>
      </c>
      <c r="BC68" s="2568" t="s">
        <v>481</v>
      </c>
      <c r="BD68" s="1362">
        <f t="shared" si="21"/>
        <v>183.42266384697294</v>
      </c>
      <c r="BE68" s="1360">
        <f t="shared" si="22"/>
        <v>7.4972239338281099</v>
      </c>
      <c r="BF68" s="1132" t="str">
        <f t="shared" si="23"/>
        <v>CI-HW_-HWE-V03-190101</v>
      </c>
      <c r="BG68" s="1132" t="str">
        <f t="shared" si="24"/>
        <v>Nicor Gas PY11-PY14 Adjustable Goals Template_2025-03-01, Tab 4.3.1</v>
      </c>
      <c r="BH68" s="2505">
        <f>'4.3.1'!$Q$5</f>
        <v>350.51919514182515</v>
      </c>
      <c r="BI68" s="2568" t="s">
        <v>481</v>
      </c>
      <c r="BJ68" s="1362">
        <f t="shared" si="48"/>
        <v>183.42266384697294</v>
      </c>
      <c r="BK68" s="1360">
        <f t="shared" si="25"/>
        <v>7.4972239338281099</v>
      </c>
      <c r="BL68" s="1601">
        <f t="shared" si="26"/>
        <v>183.42266384697294</v>
      </c>
      <c r="BM68" s="1601">
        <f t="shared" si="27"/>
        <v>183.42266384697294</v>
      </c>
      <c r="BN68" s="1601">
        <f t="shared" si="28"/>
        <v>183.42266384697294</v>
      </c>
      <c r="BO68" s="1601">
        <f t="shared" si="29"/>
        <v>183.42266384697294</v>
      </c>
      <c r="BP68" s="1602">
        <f t="shared" si="30"/>
        <v>733.69065538789175</v>
      </c>
      <c r="BQ68" s="1602"/>
      <c r="BR68" s="1602" t="s">
        <v>479</v>
      </c>
      <c r="BS68" s="1602">
        <v>0</v>
      </c>
      <c r="BT68" s="1602">
        <v>15</v>
      </c>
      <c r="BU68" s="1602">
        <v>15</v>
      </c>
      <c r="BV68" s="1602">
        <v>15</v>
      </c>
      <c r="BW68" s="1602">
        <v>15</v>
      </c>
      <c r="BX68" s="1362">
        <f t="shared" si="49"/>
        <v>2638.8815986971722</v>
      </c>
      <c r="BY68" s="1362">
        <f t="shared" si="50"/>
        <v>2638.8815986971722</v>
      </c>
      <c r="BZ68" s="1362">
        <f t="shared" si="51"/>
        <v>2638.8815986971722</v>
      </c>
      <c r="CA68" s="1362">
        <f t="shared" si="52"/>
        <v>2638.8815986971722</v>
      </c>
      <c r="CB68" s="1362">
        <f t="shared" si="53"/>
        <v>10555.526394788689</v>
      </c>
      <c r="CC68" s="1360">
        <v>15</v>
      </c>
      <c r="CD68" s="1360">
        <v>15</v>
      </c>
      <c r="CE68" s="1360">
        <v>15</v>
      </c>
      <c r="CF68" s="1360">
        <v>15</v>
      </c>
      <c r="CG68" s="1604">
        <f t="shared" si="33"/>
        <v>2751.3399577045939</v>
      </c>
      <c r="CH68" s="1604">
        <f t="shared" si="34"/>
        <v>2751.3399577045939</v>
      </c>
      <c r="CI68" s="1604">
        <f t="shared" si="35"/>
        <v>2751.3399577045939</v>
      </c>
      <c r="CJ68" s="1604">
        <f t="shared" si="36"/>
        <v>2751.3399577045939</v>
      </c>
      <c r="CK68" s="1521">
        <f t="shared" si="37"/>
        <v>11005.359830818375</v>
      </c>
      <c r="CL68" s="1132">
        <v>61</v>
      </c>
      <c r="CM68" s="1132" t="s">
        <v>356</v>
      </c>
      <c r="CN68" s="1359">
        <v>0</v>
      </c>
      <c r="CO68" s="1360">
        <v>0.60847499999999988</v>
      </c>
      <c r="CP68" s="1360">
        <v>0.60847499999999988</v>
      </c>
      <c r="CQ68" s="1360">
        <v>0.60847499999999988</v>
      </c>
      <c r="CR68" s="1360">
        <v>0.60847499999999988</v>
      </c>
      <c r="CS68" s="1362">
        <f t="shared" si="38"/>
        <v>183.42266384697294</v>
      </c>
      <c r="CT68" s="1362">
        <f t="shared" si="39"/>
        <v>183.42266384697294</v>
      </c>
      <c r="CU68" s="1362">
        <f t="shared" si="40"/>
        <v>183.42266384697294</v>
      </c>
      <c r="CV68" s="1362">
        <f t="shared" si="41"/>
        <v>183.42266384697294</v>
      </c>
      <c r="CW68" s="1362">
        <f t="shared" si="42"/>
        <v>733.69065538789175</v>
      </c>
      <c r="CY68" s="2887"/>
    </row>
    <row r="69" spans="1:118" s="1143" customFormat="1" ht="62" x14ac:dyDescent="0.35">
      <c r="A69" s="1132" t="s">
        <v>101</v>
      </c>
      <c r="B69" s="1132" t="s">
        <v>424</v>
      </c>
      <c r="C69" s="1132" t="s">
        <v>484</v>
      </c>
      <c r="D69" s="1359" t="s">
        <v>485</v>
      </c>
      <c r="E69" s="1359">
        <v>1</v>
      </c>
      <c r="F69" s="2807" t="s">
        <v>485</v>
      </c>
      <c r="G69" s="1132" t="s">
        <v>356</v>
      </c>
      <c r="H69" s="1360">
        <v>45.027149999999999</v>
      </c>
      <c r="I69" s="1360">
        <v>45.027149999999999</v>
      </c>
      <c r="J69" s="1360">
        <v>45.027149999999999</v>
      </c>
      <c r="K69" s="1360">
        <v>45.027149999999999</v>
      </c>
      <c r="L69" s="1132" t="s">
        <v>486</v>
      </c>
      <c r="M69" s="1132" t="str">
        <f t="shared" si="0"/>
        <v>Nicor Gas PY11-PY14 Adjustable Goals Template_2025-03-01, Tab Customized TRM 4.4.48</v>
      </c>
      <c r="N69" s="1361">
        <v>227.28119295958282</v>
      </c>
      <c r="O69" s="1361">
        <v>227.28119295958282</v>
      </c>
      <c r="P69" s="1361">
        <v>227.28119295958282</v>
      </c>
      <c r="Q69" s="1361">
        <v>227.28119295958282</v>
      </c>
      <c r="R69" s="1781">
        <v>0.86</v>
      </c>
      <c r="S69" s="1781">
        <v>0.86</v>
      </c>
      <c r="T69" s="1781">
        <v>0.86</v>
      </c>
      <c r="U69" s="1781">
        <v>0.86</v>
      </c>
      <c r="V69" s="2567">
        <v>0.92</v>
      </c>
      <c r="W69" s="2567">
        <v>0.92</v>
      </c>
      <c r="X69" s="2567">
        <v>0.92</v>
      </c>
      <c r="Y69" s="2567">
        <v>0.92</v>
      </c>
      <c r="Z69" s="1359">
        <v>1</v>
      </c>
      <c r="AA69" s="1781">
        <f t="shared" si="2"/>
        <v>0.92</v>
      </c>
      <c r="AB69" s="1781">
        <f t="shared" si="3"/>
        <v>0.92</v>
      </c>
      <c r="AC69" s="1781">
        <f t="shared" si="4"/>
        <v>0.92</v>
      </c>
      <c r="AD69" s="1781">
        <f t="shared" si="5"/>
        <v>0.92</v>
      </c>
      <c r="AE69" s="1781">
        <f t="shared" si="6"/>
        <v>0.92</v>
      </c>
      <c r="AF69" s="1781">
        <f t="shared" si="7"/>
        <v>0.92</v>
      </c>
      <c r="AG69" s="1781">
        <f t="shared" si="8"/>
        <v>0.92</v>
      </c>
      <c r="AH69" s="1781">
        <f t="shared" si="9"/>
        <v>0.92</v>
      </c>
      <c r="AI69" s="1362">
        <f t="shared" si="43"/>
        <v>8801.0889561102686</v>
      </c>
      <c r="AJ69" s="1362">
        <f t="shared" si="44"/>
        <v>8801.0889561102686</v>
      </c>
      <c r="AK69" s="1362">
        <f t="shared" si="45"/>
        <v>8801.0889561102686</v>
      </c>
      <c r="AL69" s="1362">
        <f t="shared" si="46"/>
        <v>8801.0889561102686</v>
      </c>
      <c r="AM69" s="1362">
        <f t="shared" si="47"/>
        <v>35204.355824441074</v>
      </c>
      <c r="AN69" s="1132" t="str">
        <f t="shared" si="11"/>
        <v>C149</v>
      </c>
      <c r="AO69" s="1132" t="str">
        <f t="shared" si="12"/>
        <v>Nicor Gas PY11-PY14 Adjustable Goals Template_2025-03-01, Tab Customized TRM 4.4.48</v>
      </c>
      <c r="AP69" s="2568">
        <f>'Customized TRM 4.4.48'!$C$51</f>
        <v>138.79304850065191</v>
      </c>
      <c r="AQ69" s="2568" t="s">
        <v>487</v>
      </c>
      <c r="AR69" s="2505">
        <f t="shared" si="13"/>
        <v>5749.4989806924386</v>
      </c>
      <c r="AS69" s="2505">
        <f t="shared" si="14"/>
        <v>-3051.5899754178299</v>
      </c>
      <c r="AT69" s="1132" t="str">
        <f t="shared" si="15"/>
        <v>C149</v>
      </c>
      <c r="AU69" s="1132" t="str">
        <f t="shared" si="16"/>
        <v>Nicor Gas PY11-PY14 Adjustable Goals Template_2025-03-01, Tab Customized TRM 4.4.48</v>
      </c>
      <c r="AV69" s="2505">
        <f>'Customized TRM 4.4.48'!$C$51</f>
        <v>138.79304850065191</v>
      </c>
      <c r="AW69" s="2568" t="s">
        <v>487</v>
      </c>
      <c r="AX69" s="1362">
        <f t="shared" si="17"/>
        <v>5749.4989806924386</v>
      </c>
      <c r="AY69" s="1360">
        <f t="shared" si="18"/>
        <v>-3051.5899754178299</v>
      </c>
      <c r="AZ69" s="1132" t="str">
        <f t="shared" si="19"/>
        <v>C149</v>
      </c>
      <c r="BA69" s="1132" t="str">
        <f t="shared" si="20"/>
        <v>Nicor Gas PY11-PY14 Adjustable Goals Template_2025-03-01, Tab Customized TRM 4.4.48</v>
      </c>
      <c r="BB69" s="2505">
        <f>'Customized TRM 4.4.48'!$C$51</f>
        <v>138.79304850065191</v>
      </c>
      <c r="BC69" s="2568" t="s">
        <v>487</v>
      </c>
      <c r="BD69" s="1362">
        <f t="shared" si="21"/>
        <v>5749.4989806924386</v>
      </c>
      <c r="BE69" s="1360">
        <f t="shared" si="22"/>
        <v>-3051.5899754178299</v>
      </c>
      <c r="BF69" s="1132" t="str">
        <f t="shared" si="23"/>
        <v>C149</v>
      </c>
      <c r="BG69" s="1132" t="str">
        <f t="shared" si="24"/>
        <v>Nicor Gas PY11-PY14 Adjustable Goals Template_2025-03-01, Tab Customized TRM 4.4.48</v>
      </c>
      <c r="BH69" s="2505">
        <f>'Customized TRM 4.4.48'!$C$51</f>
        <v>138.79304850065191</v>
      </c>
      <c r="BI69" s="2568" t="s">
        <v>487</v>
      </c>
      <c r="BJ69" s="1362">
        <f t="shared" si="48"/>
        <v>5749.4989806924386</v>
      </c>
      <c r="BK69" s="1360">
        <f t="shared" si="25"/>
        <v>-3051.5899754178299</v>
      </c>
      <c r="BL69" s="1601">
        <f t="shared" si="26"/>
        <v>5749.4989806924386</v>
      </c>
      <c r="BM69" s="1601">
        <f t="shared" si="27"/>
        <v>5749.4989806924386</v>
      </c>
      <c r="BN69" s="1601">
        <f t="shared" si="28"/>
        <v>5749.4989806924386</v>
      </c>
      <c r="BO69" s="1601">
        <f t="shared" si="29"/>
        <v>5749.4989806924386</v>
      </c>
      <c r="BP69" s="1602">
        <f t="shared" si="30"/>
        <v>22997.995922769755</v>
      </c>
      <c r="BQ69" s="1602"/>
      <c r="BR69" s="1602" t="s">
        <v>485</v>
      </c>
      <c r="BS69" s="1602">
        <v>0</v>
      </c>
      <c r="BT69" s="1602">
        <v>11</v>
      </c>
      <c r="BU69" s="1602">
        <v>11</v>
      </c>
      <c r="BV69" s="1602">
        <v>11</v>
      </c>
      <c r="BW69" s="1602">
        <v>11</v>
      </c>
      <c r="BX69" s="1362">
        <f t="shared" si="49"/>
        <v>96811.978517212949</v>
      </c>
      <c r="BY69" s="1362">
        <f t="shared" si="50"/>
        <v>96811.978517212949</v>
      </c>
      <c r="BZ69" s="1362">
        <f t="shared" si="51"/>
        <v>96811.978517212949</v>
      </c>
      <c r="CA69" s="1362">
        <f t="shared" si="52"/>
        <v>96811.978517212949</v>
      </c>
      <c r="CB69" s="1362">
        <f t="shared" si="53"/>
        <v>387247.91406885179</v>
      </c>
      <c r="CC69" s="1360">
        <v>11</v>
      </c>
      <c r="CD69" s="1360">
        <v>11</v>
      </c>
      <c r="CE69" s="1360">
        <v>11</v>
      </c>
      <c r="CF69" s="1360">
        <v>11</v>
      </c>
      <c r="CG69" s="1604">
        <f t="shared" si="33"/>
        <v>63244.488787616821</v>
      </c>
      <c r="CH69" s="1604">
        <f t="shared" si="34"/>
        <v>63244.488787616821</v>
      </c>
      <c r="CI69" s="1604">
        <f t="shared" si="35"/>
        <v>63244.488787616821</v>
      </c>
      <c r="CJ69" s="1604">
        <f t="shared" si="36"/>
        <v>63244.488787616821</v>
      </c>
      <c r="CK69" s="1521">
        <f t="shared" si="37"/>
        <v>252977.95515046729</v>
      </c>
      <c r="CL69" s="1132">
        <v>62</v>
      </c>
      <c r="CM69" s="1132" t="s">
        <v>356</v>
      </c>
      <c r="CN69" s="1359">
        <v>0</v>
      </c>
      <c r="CO69" s="1360">
        <v>45.027149999999999</v>
      </c>
      <c r="CP69" s="1360">
        <v>45.027149999999999</v>
      </c>
      <c r="CQ69" s="1360">
        <v>45.027149999999999</v>
      </c>
      <c r="CR69" s="1360">
        <v>45.027149999999999</v>
      </c>
      <c r="CS69" s="1362">
        <f t="shared" si="38"/>
        <v>5749.4989806924386</v>
      </c>
      <c r="CT69" s="1362">
        <f t="shared" si="39"/>
        <v>5749.4989806924386</v>
      </c>
      <c r="CU69" s="1362">
        <f t="shared" si="40"/>
        <v>5749.4989806924386</v>
      </c>
      <c r="CV69" s="1362">
        <f t="shared" si="41"/>
        <v>5749.4989806924386</v>
      </c>
      <c r="CW69" s="1362">
        <f t="shared" si="42"/>
        <v>22997.995922769755</v>
      </c>
      <c r="CY69" s="2887"/>
    </row>
    <row r="70" spans="1:118" s="1143" customFormat="1" ht="46.5" x14ac:dyDescent="0.35">
      <c r="A70" s="1132" t="s">
        <v>101</v>
      </c>
      <c r="B70" s="1132" t="s">
        <v>424</v>
      </c>
      <c r="C70" s="1132" t="s">
        <v>488</v>
      </c>
      <c r="D70" s="1359" t="s">
        <v>489</v>
      </c>
      <c r="E70" s="1359">
        <v>1</v>
      </c>
      <c r="F70" s="1780" t="s">
        <v>489</v>
      </c>
      <c r="G70" s="1132" t="s">
        <v>328</v>
      </c>
      <c r="H70" s="1360">
        <v>3.0423749999999998</v>
      </c>
      <c r="I70" s="1360">
        <v>3.0423749999999998</v>
      </c>
      <c r="J70" s="1360">
        <v>3.0423749999999998</v>
      </c>
      <c r="K70" s="1360">
        <v>3.0423749999999998</v>
      </c>
      <c r="L70" s="1132" t="s">
        <v>490</v>
      </c>
      <c r="M70" s="1132" t="str">
        <f t="shared" si="0"/>
        <v>Nicor Gas PY11-PY14 Adjustable Goals Template_2025-03-01, Tab 4.3.8</v>
      </c>
      <c r="N70" s="1361">
        <v>2507.4840221599998</v>
      </c>
      <c r="O70" s="1361">
        <v>2507.4840221599998</v>
      </c>
      <c r="P70" s="1361">
        <v>2507.4840221599998</v>
      </c>
      <c r="Q70" s="1361">
        <v>2507.4840221599998</v>
      </c>
      <c r="R70" s="1781">
        <v>0.86</v>
      </c>
      <c r="S70" s="1781">
        <v>0.86</v>
      </c>
      <c r="T70" s="1781">
        <v>0.86</v>
      </c>
      <c r="U70" s="1781">
        <v>0.86</v>
      </c>
      <c r="V70" s="1781">
        <v>0.86</v>
      </c>
      <c r="W70" s="1781">
        <v>0.86</v>
      </c>
      <c r="X70" s="1781">
        <v>0.86</v>
      </c>
      <c r="Y70" s="1781">
        <v>0.86</v>
      </c>
      <c r="Z70" s="1359">
        <v>1</v>
      </c>
      <c r="AA70" s="1781">
        <f t="shared" si="2"/>
        <v>0.86</v>
      </c>
      <c r="AB70" s="1781">
        <f t="shared" si="3"/>
        <v>0.86</v>
      </c>
      <c r="AC70" s="1781">
        <f t="shared" si="4"/>
        <v>0.86</v>
      </c>
      <c r="AD70" s="1781">
        <f t="shared" si="5"/>
        <v>0.86</v>
      </c>
      <c r="AE70" s="1781">
        <f t="shared" si="6"/>
        <v>0.86</v>
      </c>
      <c r="AF70" s="1781">
        <f t="shared" si="7"/>
        <v>0.86</v>
      </c>
      <c r="AG70" s="1781">
        <f t="shared" si="8"/>
        <v>0.86</v>
      </c>
      <c r="AH70" s="1781">
        <f t="shared" si="9"/>
        <v>0.86</v>
      </c>
      <c r="AI70" s="1362">
        <f t="shared" si="43"/>
        <v>6560.687763650365</v>
      </c>
      <c r="AJ70" s="1362">
        <f t="shared" si="44"/>
        <v>6560.687763650365</v>
      </c>
      <c r="AK70" s="1362">
        <f t="shared" si="45"/>
        <v>6560.687763650365</v>
      </c>
      <c r="AL70" s="1362">
        <f t="shared" si="46"/>
        <v>6560.687763650365</v>
      </c>
      <c r="AM70" s="1362">
        <f t="shared" si="47"/>
        <v>26242.75105460146</v>
      </c>
      <c r="AN70" s="1132" t="str">
        <f t="shared" si="11"/>
        <v>CI-HW_-HWE-CDHW-V02-180101</v>
      </c>
      <c r="AO70" s="1132" t="str">
        <f t="shared" si="12"/>
        <v>Nicor Gas PY11-PY14 Adjustable Goals Template_2025-03-01, Tab 4.3.8</v>
      </c>
      <c r="AP70" s="2505">
        <f>'4.3.8'!$M$4</f>
        <v>2507.4840221599998</v>
      </c>
      <c r="AQ70" s="2505"/>
      <c r="AR70" s="2505">
        <f t="shared" si="13"/>
        <v>6560.687763650365</v>
      </c>
      <c r="AS70" s="2505">
        <f t="shared" si="14"/>
        <v>0</v>
      </c>
      <c r="AT70" s="1132" t="str">
        <f t="shared" si="15"/>
        <v>CI-HW_-HWE-CDHW-V02-180101</v>
      </c>
      <c r="AU70" s="1132" t="str">
        <f t="shared" si="16"/>
        <v>Nicor Gas PY11-PY14 Adjustable Goals Template_2025-03-01, Tab 4.3.8</v>
      </c>
      <c r="AV70" s="2505">
        <f>'4.3.8'!$M$4</f>
        <v>2507.4840221599998</v>
      </c>
      <c r="AW70" s="2505"/>
      <c r="AX70" s="1362">
        <f t="shared" si="17"/>
        <v>6560.687763650365</v>
      </c>
      <c r="AY70" s="1360">
        <f t="shared" si="18"/>
        <v>0</v>
      </c>
      <c r="AZ70" s="1132" t="str">
        <f t="shared" si="19"/>
        <v>CI-HW_-HWE-CDHW-V02-180101</v>
      </c>
      <c r="BA70" s="1132" t="str">
        <f t="shared" si="20"/>
        <v>Nicor Gas PY11-PY14 Adjustable Goals Template_2025-03-01, Tab 4.3.8</v>
      </c>
      <c r="BB70" s="2505">
        <f>'4.3.8'!$M$4</f>
        <v>2507.4840221599998</v>
      </c>
      <c r="BC70" s="2505"/>
      <c r="BD70" s="1362">
        <f t="shared" si="21"/>
        <v>6560.687763650365</v>
      </c>
      <c r="BE70" s="1360">
        <f t="shared" si="22"/>
        <v>0</v>
      </c>
      <c r="BF70" s="1132" t="str">
        <f t="shared" si="23"/>
        <v>CI-HW_-HWE-CDHW-V02-180101</v>
      </c>
      <c r="BG70" s="1132" t="str">
        <f t="shared" si="24"/>
        <v>Nicor Gas PY11-PY14 Adjustable Goals Template_2025-03-01, Tab 4.3.8</v>
      </c>
      <c r="BH70" s="2505">
        <f>'4.3.8'!$M$4</f>
        <v>2507.4840221599998</v>
      </c>
      <c r="BI70" s="2505"/>
      <c r="BJ70" s="1362">
        <f t="shared" si="48"/>
        <v>6560.687763650365</v>
      </c>
      <c r="BK70" s="1360">
        <f t="shared" si="25"/>
        <v>0</v>
      </c>
      <c r="BL70" s="1601">
        <f t="shared" si="26"/>
        <v>6560.687763650365</v>
      </c>
      <c r="BM70" s="1601">
        <f t="shared" si="27"/>
        <v>6560.687763650365</v>
      </c>
      <c r="BN70" s="1601">
        <f t="shared" si="28"/>
        <v>6560.687763650365</v>
      </c>
      <c r="BO70" s="1601">
        <f t="shared" si="29"/>
        <v>6560.687763650365</v>
      </c>
      <c r="BP70" s="1602">
        <f t="shared" si="30"/>
        <v>26242.75105460146</v>
      </c>
      <c r="BQ70" s="1602"/>
      <c r="BR70" s="1602" t="s">
        <v>489</v>
      </c>
      <c r="BS70" s="1602">
        <v>0</v>
      </c>
      <c r="BT70" s="1602">
        <v>15</v>
      </c>
      <c r="BU70" s="1602">
        <v>15</v>
      </c>
      <c r="BV70" s="1602">
        <v>15</v>
      </c>
      <c r="BW70" s="1602">
        <v>15</v>
      </c>
      <c r="BX70" s="1362">
        <f t="shared" si="49"/>
        <v>98410.316454755477</v>
      </c>
      <c r="BY70" s="1362">
        <f t="shared" si="50"/>
        <v>98410.316454755477</v>
      </c>
      <c r="BZ70" s="1362">
        <f t="shared" si="51"/>
        <v>98410.316454755477</v>
      </c>
      <c r="CA70" s="1362">
        <f t="shared" si="52"/>
        <v>98410.316454755477</v>
      </c>
      <c r="CB70" s="1362">
        <f t="shared" si="53"/>
        <v>393641.26581902191</v>
      </c>
      <c r="CC70" s="1360">
        <v>15</v>
      </c>
      <c r="CD70" s="1360">
        <v>15</v>
      </c>
      <c r="CE70" s="1360">
        <v>15</v>
      </c>
      <c r="CF70" s="1360">
        <v>15</v>
      </c>
      <c r="CG70" s="1604">
        <f t="shared" si="33"/>
        <v>98410.316454755477</v>
      </c>
      <c r="CH70" s="1604">
        <f t="shared" si="34"/>
        <v>98410.316454755477</v>
      </c>
      <c r="CI70" s="1604">
        <f t="shared" si="35"/>
        <v>98410.316454755477</v>
      </c>
      <c r="CJ70" s="1604">
        <f t="shared" si="36"/>
        <v>98410.316454755477</v>
      </c>
      <c r="CK70" s="1521">
        <f t="shared" si="37"/>
        <v>393641.26581902191</v>
      </c>
      <c r="CL70" s="1132">
        <v>63</v>
      </c>
      <c r="CM70" s="1132" t="s">
        <v>328</v>
      </c>
      <c r="CN70" s="1359">
        <v>0</v>
      </c>
      <c r="CO70" s="1360">
        <v>3.0423749999999998</v>
      </c>
      <c r="CP70" s="1360">
        <v>3.0423749999999998</v>
      </c>
      <c r="CQ70" s="1360">
        <v>3.0423749999999998</v>
      </c>
      <c r="CR70" s="1360">
        <v>3.0423749999999998</v>
      </c>
      <c r="CS70" s="1362">
        <f t="shared" si="38"/>
        <v>6560.687763650365</v>
      </c>
      <c r="CT70" s="1362">
        <f t="shared" si="39"/>
        <v>6560.687763650365</v>
      </c>
      <c r="CU70" s="1362">
        <f t="shared" si="40"/>
        <v>6560.687763650365</v>
      </c>
      <c r="CV70" s="1362">
        <f t="shared" si="41"/>
        <v>6560.687763650365</v>
      </c>
      <c r="CW70" s="1362">
        <f t="shared" si="42"/>
        <v>26242.75105460146</v>
      </c>
      <c r="CY70" s="2887"/>
    </row>
    <row r="71" spans="1:118" s="1143" customFormat="1" ht="46.5" x14ac:dyDescent="0.35">
      <c r="A71" s="1132" t="s">
        <v>101</v>
      </c>
      <c r="B71" s="1132" t="s">
        <v>424</v>
      </c>
      <c r="C71" s="1132" t="s">
        <v>491</v>
      </c>
      <c r="D71" s="1359" t="s">
        <v>492</v>
      </c>
      <c r="E71" s="1359">
        <v>1</v>
      </c>
      <c r="F71" s="1780" t="s">
        <v>489</v>
      </c>
      <c r="G71" s="1132" t="s">
        <v>328</v>
      </c>
      <c r="H71" s="1360">
        <v>0.60847499999999988</v>
      </c>
      <c r="I71" s="1360">
        <v>0.60847499999999988</v>
      </c>
      <c r="J71" s="1360">
        <v>0.60847499999999988</v>
      </c>
      <c r="K71" s="1360">
        <v>0.60847499999999988</v>
      </c>
      <c r="L71" s="1132" t="s">
        <v>490</v>
      </c>
      <c r="M71" s="1132" t="str">
        <f t="shared" si="0"/>
        <v>Nicor Gas PY11-PY14 Adjustable Goals Template_2025-03-01, Tab 4.3.8</v>
      </c>
      <c r="N71" s="1361">
        <v>1205.96073024</v>
      </c>
      <c r="O71" s="1361">
        <v>1205.96073024</v>
      </c>
      <c r="P71" s="1361">
        <v>1205.96073024</v>
      </c>
      <c r="Q71" s="1361">
        <v>1205.96073024</v>
      </c>
      <c r="R71" s="1781">
        <v>0.86</v>
      </c>
      <c r="S71" s="1781">
        <v>0.86</v>
      </c>
      <c r="T71" s="1781">
        <v>0.86</v>
      </c>
      <c r="U71" s="1781">
        <v>0.86</v>
      </c>
      <c r="V71" s="1781">
        <v>0.86</v>
      </c>
      <c r="W71" s="1781">
        <v>0.86</v>
      </c>
      <c r="X71" s="1781">
        <v>0.86</v>
      </c>
      <c r="Y71" s="1781">
        <v>0.86</v>
      </c>
      <c r="Z71" s="1359">
        <v>1</v>
      </c>
      <c r="AA71" s="1781">
        <f t="shared" si="2"/>
        <v>0.86</v>
      </c>
      <c r="AB71" s="1781">
        <f t="shared" si="3"/>
        <v>0.86</v>
      </c>
      <c r="AC71" s="1781">
        <f t="shared" si="4"/>
        <v>0.86</v>
      </c>
      <c r="AD71" s="1781">
        <f t="shared" si="5"/>
        <v>0.86</v>
      </c>
      <c r="AE71" s="1781">
        <f t="shared" si="6"/>
        <v>0.86</v>
      </c>
      <c r="AF71" s="1781">
        <f t="shared" si="7"/>
        <v>0.86</v>
      </c>
      <c r="AG71" s="1781">
        <f t="shared" si="8"/>
        <v>0.86</v>
      </c>
      <c r="AH71" s="1781">
        <f t="shared" si="9"/>
        <v>0.86</v>
      </c>
      <c r="AI71" s="1362">
        <f t="shared" si="43"/>
        <v>631.06538158619401</v>
      </c>
      <c r="AJ71" s="1362">
        <f t="shared" si="44"/>
        <v>631.06538158619401</v>
      </c>
      <c r="AK71" s="1362">
        <f t="shared" si="45"/>
        <v>631.06538158619401</v>
      </c>
      <c r="AL71" s="1362">
        <f t="shared" si="46"/>
        <v>631.06538158619401</v>
      </c>
      <c r="AM71" s="1362">
        <f t="shared" si="47"/>
        <v>2524.261526344776</v>
      </c>
      <c r="AN71" s="1132" t="str">
        <f t="shared" si="11"/>
        <v>CI-HW_-HWE-CDHW-V02-180101</v>
      </c>
      <c r="AO71" s="1132" t="str">
        <f t="shared" si="12"/>
        <v>Nicor Gas PY11-PY14 Adjustable Goals Template_2025-03-01, Tab 4.3.8</v>
      </c>
      <c r="AP71" s="2505">
        <f>'4.3.8'!$M$5</f>
        <v>1205.96073024</v>
      </c>
      <c r="AQ71" s="2505"/>
      <c r="AR71" s="2505">
        <f t="shared" si="13"/>
        <v>631.06538158619401</v>
      </c>
      <c r="AS71" s="2505">
        <f t="shared" si="14"/>
        <v>0</v>
      </c>
      <c r="AT71" s="1132" t="str">
        <f t="shared" si="15"/>
        <v>CI-HW_-HWE-CDHW-V02-180101</v>
      </c>
      <c r="AU71" s="1132" t="str">
        <f t="shared" si="16"/>
        <v>Nicor Gas PY11-PY14 Adjustable Goals Template_2025-03-01, Tab 4.3.8</v>
      </c>
      <c r="AV71" s="2505">
        <f>'4.3.8'!$M$5</f>
        <v>1205.96073024</v>
      </c>
      <c r="AW71" s="2505"/>
      <c r="AX71" s="1362">
        <f t="shared" si="17"/>
        <v>631.06538158619401</v>
      </c>
      <c r="AY71" s="1360">
        <f t="shared" si="18"/>
        <v>0</v>
      </c>
      <c r="AZ71" s="1132" t="str">
        <f t="shared" si="19"/>
        <v>CI-HW_-HWE-CDHW-V02-180101</v>
      </c>
      <c r="BA71" s="1132" t="str">
        <f t="shared" si="20"/>
        <v>Nicor Gas PY11-PY14 Adjustable Goals Template_2025-03-01, Tab 4.3.8</v>
      </c>
      <c r="BB71" s="2505">
        <f>'4.3.8'!$M$5</f>
        <v>1205.96073024</v>
      </c>
      <c r="BC71" s="2505"/>
      <c r="BD71" s="1362">
        <f t="shared" si="21"/>
        <v>631.06538158619401</v>
      </c>
      <c r="BE71" s="1360">
        <f t="shared" si="22"/>
        <v>0</v>
      </c>
      <c r="BF71" s="1132" t="str">
        <f t="shared" si="23"/>
        <v>CI-HW_-HWE-CDHW-V02-180101</v>
      </c>
      <c r="BG71" s="1132" t="str">
        <f t="shared" si="24"/>
        <v>Nicor Gas PY11-PY14 Adjustable Goals Template_2025-03-01, Tab 4.3.8</v>
      </c>
      <c r="BH71" s="2505">
        <f>'4.3.8'!$M$5</f>
        <v>1205.96073024</v>
      </c>
      <c r="BI71" s="2505"/>
      <c r="BJ71" s="1362">
        <f t="shared" si="48"/>
        <v>631.06538158619401</v>
      </c>
      <c r="BK71" s="1360">
        <f t="shared" si="25"/>
        <v>0</v>
      </c>
      <c r="BL71" s="1601">
        <f t="shared" si="26"/>
        <v>631.06538158619401</v>
      </c>
      <c r="BM71" s="1601">
        <f t="shared" si="27"/>
        <v>631.06538158619401</v>
      </c>
      <c r="BN71" s="1601">
        <f t="shared" si="28"/>
        <v>631.06538158619401</v>
      </c>
      <c r="BO71" s="1601">
        <f t="shared" si="29"/>
        <v>631.06538158619401</v>
      </c>
      <c r="BP71" s="1602">
        <f t="shared" si="30"/>
        <v>2524.261526344776</v>
      </c>
      <c r="BQ71" s="1602"/>
      <c r="BR71" s="1602" t="s">
        <v>489</v>
      </c>
      <c r="BS71" s="1602">
        <v>0</v>
      </c>
      <c r="BT71" s="1602">
        <v>15</v>
      </c>
      <c r="BU71" s="1602">
        <v>15</v>
      </c>
      <c r="BV71" s="1602">
        <v>15</v>
      </c>
      <c r="BW71" s="1602">
        <v>15</v>
      </c>
      <c r="BX71" s="1362">
        <f t="shared" si="49"/>
        <v>9465.9807237929108</v>
      </c>
      <c r="BY71" s="1362">
        <f t="shared" si="50"/>
        <v>9465.9807237929108</v>
      </c>
      <c r="BZ71" s="1362">
        <f t="shared" si="51"/>
        <v>9465.9807237929108</v>
      </c>
      <c r="CA71" s="1362">
        <f t="shared" si="52"/>
        <v>9465.9807237929108</v>
      </c>
      <c r="CB71" s="1362">
        <f t="shared" si="53"/>
        <v>37863.922895171643</v>
      </c>
      <c r="CC71" s="1360">
        <v>15</v>
      </c>
      <c r="CD71" s="1360">
        <v>15</v>
      </c>
      <c r="CE71" s="1360">
        <v>15</v>
      </c>
      <c r="CF71" s="1360">
        <v>15</v>
      </c>
      <c r="CG71" s="1604">
        <f t="shared" si="33"/>
        <v>9465.9807237929126</v>
      </c>
      <c r="CH71" s="1604">
        <f t="shared" si="34"/>
        <v>9465.9807237929126</v>
      </c>
      <c r="CI71" s="1604">
        <f t="shared" si="35"/>
        <v>9465.9807237929126</v>
      </c>
      <c r="CJ71" s="1604">
        <f t="shared" si="36"/>
        <v>9465.9807237929126</v>
      </c>
      <c r="CK71" s="1521">
        <f t="shared" si="37"/>
        <v>37863.92289517165</v>
      </c>
      <c r="CL71" s="1132">
        <v>64</v>
      </c>
      <c r="CM71" s="1132" t="s">
        <v>328</v>
      </c>
      <c r="CN71" s="1359">
        <v>0</v>
      </c>
      <c r="CO71" s="1360">
        <v>0.60847499999999988</v>
      </c>
      <c r="CP71" s="1360">
        <v>0.60847499999999988</v>
      </c>
      <c r="CQ71" s="1360">
        <v>0.60847499999999988</v>
      </c>
      <c r="CR71" s="1360">
        <v>0.60847499999999988</v>
      </c>
      <c r="CS71" s="1362">
        <f t="shared" si="38"/>
        <v>631.06538158619401</v>
      </c>
      <c r="CT71" s="1362">
        <f t="shared" si="39"/>
        <v>631.06538158619401</v>
      </c>
      <c r="CU71" s="1362">
        <f t="shared" si="40"/>
        <v>631.06538158619401</v>
      </c>
      <c r="CV71" s="1362">
        <f t="shared" si="41"/>
        <v>631.06538158619401</v>
      </c>
      <c r="CW71" s="1362">
        <f t="shared" si="42"/>
        <v>2524.261526344776</v>
      </c>
      <c r="CY71" s="2887"/>
    </row>
    <row r="72" spans="1:118" s="1143" customFormat="1" ht="46.5" x14ac:dyDescent="0.35">
      <c r="A72" s="1132" t="s">
        <v>101</v>
      </c>
      <c r="B72" s="1132" t="s">
        <v>424</v>
      </c>
      <c r="C72" s="1132" t="s">
        <v>493</v>
      </c>
      <c r="D72" s="1359" t="s">
        <v>494</v>
      </c>
      <c r="E72" s="1359">
        <v>1</v>
      </c>
      <c r="F72" s="1780" t="s">
        <v>495</v>
      </c>
      <c r="G72" s="1132" t="s">
        <v>356</v>
      </c>
      <c r="H72" s="1360">
        <v>0.60847499999999988</v>
      </c>
      <c r="I72" s="1360">
        <v>0.60847499999999988</v>
      </c>
      <c r="J72" s="1360">
        <v>0.60847499999999988</v>
      </c>
      <c r="K72" s="1360">
        <v>0.60847499999999988</v>
      </c>
      <c r="L72" s="1132" t="s">
        <v>496</v>
      </c>
      <c r="M72" s="1132" t="str">
        <f t="shared" ref="M72:M135" si="54">IF(F72&lt;&gt;"Custom",CONCATENATE($I$1,", ",$J$1," ",F72),"")</f>
        <v>Nicor Gas PY11-PY14 Adjustable Goals Template_2025-03-01, Tab 4.3.4</v>
      </c>
      <c r="N72" s="1361">
        <v>2610</v>
      </c>
      <c r="O72" s="1361">
        <v>2610</v>
      </c>
      <c r="P72" s="1361">
        <v>2610</v>
      </c>
      <c r="Q72" s="1361">
        <v>2610</v>
      </c>
      <c r="R72" s="1781">
        <v>0.86</v>
      </c>
      <c r="S72" s="1781">
        <v>0.86</v>
      </c>
      <c r="T72" s="1781">
        <v>0.86</v>
      </c>
      <c r="U72" s="1781">
        <v>0.86</v>
      </c>
      <c r="V72" s="1781">
        <v>0.86</v>
      </c>
      <c r="W72" s="1781">
        <v>0.86</v>
      </c>
      <c r="X72" s="1781">
        <v>0.86</v>
      </c>
      <c r="Y72" s="1781">
        <v>0.86</v>
      </c>
      <c r="Z72" s="1359">
        <v>1</v>
      </c>
      <c r="AA72" s="1781">
        <f t="shared" ref="AA72:AA135" si="55">V72</f>
        <v>0.86</v>
      </c>
      <c r="AB72" s="1781">
        <f t="shared" ref="AB72:AB135" si="56">W72</f>
        <v>0.86</v>
      </c>
      <c r="AC72" s="1781">
        <f t="shared" ref="AC72:AC135" si="57">X72</f>
        <v>0.86</v>
      </c>
      <c r="AD72" s="1781">
        <f t="shared" ref="AD72:AD135" si="58">Y72</f>
        <v>0.86</v>
      </c>
      <c r="AE72" s="1781">
        <f t="shared" ref="AE72:AE135" si="59">V72</f>
        <v>0.86</v>
      </c>
      <c r="AF72" s="1781">
        <f t="shared" ref="AF72:AF135" si="60">W72</f>
        <v>0.86</v>
      </c>
      <c r="AG72" s="1781">
        <f t="shared" ref="AG72:AG135" si="61">X72</f>
        <v>0.86</v>
      </c>
      <c r="AH72" s="1781">
        <f t="shared" ref="AH72:AH135" si="62">Y72</f>
        <v>0.86</v>
      </c>
      <c r="AI72" s="1362">
        <f t="shared" si="43"/>
        <v>1365.7829849999996</v>
      </c>
      <c r="AJ72" s="1362">
        <f t="shared" si="44"/>
        <v>1365.7829849999996</v>
      </c>
      <c r="AK72" s="1362">
        <f t="shared" si="45"/>
        <v>1365.7829849999996</v>
      </c>
      <c r="AL72" s="1362">
        <f t="shared" si="46"/>
        <v>1365.7829849999996</v>
      </c>
      <c r="AM72" s="1362">
        <f t="shared" si="47"/>
        <v>5463.1319399999984</v>
      </c>
      <c r="AN72" s="1132" t="str">
        <f t="shared" ref="AN72:AN135" si="63">L72</f>
        <v>CI-HW_-HWE-PLCV-V02-190101</v>
      </c>
      <c r="AO72" s="1132" t="str">
        <f t="shared" ref="AO72:AO135" si="64">M72</f>
        <v>Nicor Gas PY11-PY14 Adjustable Goals Template_2025-03-01, Tab 4.3.4</v>
      </c>
      <c r="AP72" s="2505">
        <f>'4.3.4'!$M$4</f>
        <v>2610</v>
      </c>
      <c r="AQ72" s="2505"/>
      <c r="AR72" s="2505">
        <f t="shared" ref="AR72:AR135" si="65">H72*AP72*V72</f>
        <v>1365.7829849999996</v>
      </c>
      <c r="AS72" s="2505">
        <f t="shared" ref="AS72:AS135" si="66">AR72-AI72</f>
        <v>0</v>
      </c>
      <c r="AT72" s="1132" t="str">
        <f t="shared" ref="AT72:AT135" si="67">L72</f>
        <v>CI-HW_-HWE-PLCV-V02-190101</v>
      </c>
      <c r="AU72" s="1132" t="str">
        <f t="shared" ref="AU72:AU135" si="68">M72</f>
        <v>Nicor Gas PY11-PY14 Adjustable Goals Template_2025-03-01, Tab 4.3.4</v>
      </c>
      <c r="AV72" s="2505">
        <f>'4.3.4'!$M$4</f>
        <v>2610</v>
      </c>
      <c r="AW72" s="2505"/>
      <c r="AX72" s="1362">
        <f t="shared" ref="AX72:AX135" si="69">I72*AV72*W72</f>
        <v>1365.7829849999996</v>
      </c>
      <c r="AY72" s="1360">
        <f t="shared" ref="AY72:AY135" si="70">AX72-AJ72</f>
        <v>0</v>
      </c>
      <c r="AZ72" s="1132" t="str">
        <f t="shared" ref="AZ72:AZ135" si="71">L72</f>
        <v>CI-HW_-HWE-PLCV-V02-190101</v>
      </c>
      <c r="BA72" s="1132" t="str">
        <f t="shared" ref="BA72:BA135" si="72">M72</f>
        <v>Nicor Gas PY11-PY14 Adjustable Goals Template_2025-03-01, Tab 4.3.4</v>
      </c>
      <c r="BB72" s="2505">
        <f>'4.3.4'!$M$4</f>
        <v>2610</v>
      </c>
      <c r="BC72" s="2505"/>
      <c r="BD72" s="1362">
        <f t="shared" ref="BD72:BD135" si="73">J72*BB72*X72</f>
        <v>1365.7829849999996</v>
      </c>
      <c r="BE72" s="1360">
        <f t="shared" ref="BE72:BE135" si="74">BD72-AK72</f>
        <v>0</v>
      </c>
      <c r="BF72" s="1132" t="str">
        <f t="shared" ref="BF72:BF135" si="75">L72</f>
        <v>CI-HW_-HWE-PLCV-V02-190101</v>
      </c>
      <c r="BG72" s="1132" t="str">
        <f t="shared" ref="BG72:BG135" si="76">M72</f>
        <v>Nicor Gas PY11-PY14 Adjustable Goals Template_2025-03-01, Tab 4.3.4</v>
      </c>
      <c r="BH72" s="2505">
        <f>'4.3.4'!$M$4</f>
        <v>2610</v>
      </c>
      <c r="BI72" s="2505"/>
      <c r="BJ72" s="1362">
        <f t="shared" si="48"/>
        <v>1365.7829849999996</v>
      </c>
      <c r="BK72" s="1360">
        <f t="shared" ref="BK72:BK135" si="77">BJ72-AL72</f>
        <v>0</v>
      </c>
      <c r="BL72" s="1601">
        <f t="shared" ref="BL72:BL135" si="78">IF($BL$2=2022,IF($E72=1,AR72,AR72),IF($E72=1,AR72,AI72))</f>
        <v>1365.7829849999996</v>
      </c>
      <c r="BM72" s="1601">
        <f t="shared" ref="BM72:BM135" si="79">IF($BL$2=2022,IF($E72=1,AX72,AX72),IF($E72=1,AX72,AJ72))</f>
        <v>1365.7829849999996</v>
      </c>
      <c r="BN72" s="1601">
        <f t="shared" ref="BN72:BN135" si="80">IF($BL$2=2022,IF($E72=1,BD72,BD72),IF($E72=1,BD72,AK72))</f>
        <v>1365.7829849999996</v>
      </c>
      <c r="BO72" s="1601">
        <f t="shared" ref="BO72:BO135" si="81">IF($BL$2=2022,IF($E72=1,BJ72,BJ72),IF($E72=1,BJ72,AL72))</f>
        <v>1365.7829849999996</v>
      </c>
      <c r="BP72" s="1602">
        <f t="shared" ref="BP72:BP135" si="82">SUM(BL72:BO72)</f>
        <v>5463.1319399999984</v>
      </c>
      <c r="BQ72" s="1602"/>
      <c r="BR72" s="1602" t="s">
        <v>495</v>
      </c>
      <c r="BS72" s="1602">
        <v>0</v>
      </c>
      <c r="BT72" s="1602">
        <v>6</v>
      </c>
      <c r="BU72" s="1602">
        <v>6</v>
      </c>
      <c r="BV72" s="1602">
        <v>6</v>
      </c>
      <c r="BW72" s="1602">
        <v>6</v>
      </c>
      <c r="BX72" s="1362">
        <f t="shared" si="49"/>
        <v>8194.6979099999971</v>
      </c>
      <c r="BY72" s="1362">
        <f t="shared" si="50"/>
        <v>8194.6979099999971</v>
      </c>
      <c r="BZ72" s="1362">
        <f t="shared" si="51"/>
        <v>8194.6979099999971</v>
      </c>
      <c r="CA72" s="1362">
        <f t="shared" si="52"/>
        <v>8194.6979099999971</v>
      </c>
      <c r="CB72" s="1362">
        <f t="shared" si="53"/>
        <v>32778.791639999989</v>
      </c>
      <c r="CC72" s="1360">
        <v>6</v>
      </c>
      <c r="CD72" s="1360">
        <v>6</v>
      </c>
      <c r="CE72" s="1360">
        <v>6</v>
      </c>
      <c r="CF72" s="1360">
        <v>6</v>
      </c>
      <c r="CG72" s="1604">
        <f t="shared" ref="CG72:CG135" si="83">H72*V72*AP72*CC72</f>
        <v>8194.697909999999</v>
      </c>
      <c r="CH72" s="1604">
        <f t="shared" ref="CH72:CH135" si="84">I72*W72*AV72*CD72</f>
        <v>8194.697909999999</v>
      </c>
      <c r="CI72" s="1604">
        <f t="shared" ref="CI72:CI135" si="85">J72*X72*BB72*CE72</f>
        <v>8194.697909999999</v>
      </c>
      <c r="CJ72" s="1604">
        <f t="shared" ref="CJ72:CJ135" si="86">K72*Y72*BH72*CF72</f>
        <v>8194.697909999999</v>
      </c>
      <c r="CK72" s="1521">
        <f t="shared" ref="CK72:CK135" si="87">SUM(CG72:CJ72)</f>
        <v>32778.791639999996</v>
      </c>
      <c r="CL72" s="1132">
        <v>65</v>
      </c>
      <c r="CM72" s="1132" t="s">
        <v>356</v>
      </c>
      <c r="CN72" s="1359">
        <v>0</v>
      </c>
      <c r="CO72" s="1360">
        <v>0.60847499999999988</v>
      </c>
      <c r="CP72" s="1360">
        <v>0.60847499999999988</v>
      </c>
      <c r="CQ72" s="1360">
        <v>0.60847499999999988</v>
      </c>
      <c r="CR72" s="1360">
        <v>0.60847499999999988</v>
      </c>
      <c r="CS72" s="1362">
        <f t="shared" ref="CS72:CS135" si="88">IF($CN72=1,CO72*N72*AE72,BL72)</f>
        <v>1365.7829849999996</v>
      </c>
      <c r="CT72" s="1362">
        <f t="shared" ref="CT72:CT135" si="89">IF($CN72=1,CP72*O72*AF72,BM72)</f>
        <v>1365.7829849999996</v>
      </c>
      <c r="CU72" s="1362">
        <f t="shared" ref="CU72:CU135" si="90">IF($CN72=1,CQ72*P72*AG72,BN72)</f>
        <v>1365.7829849999996</v>
      </c>
      <c r="CV72" s="1362">
        <f t="shared" ref="CV72:CV135" si="91">IF($CN72=1,CR72*Q72*AH72,BO72)</f>
        <v>1365.7829849999996</v>
      </c>
      <c r="CW72" s="1362">
        <f t="shared" ref="CW72:CW135" si="92">+SUM(CS72:CV72)</f>
        <v>5463.1319399999984</v>
      </c>
      <c r="CY72" s="2887"/>
    </row>
    <row r="73" spans="1:118" s="1143" customFormat="1" ht="46.5" x14ac:dyDescent="0.35">
      <c r="A73" s="1132" t="s">
        <v>101</v>
      </c>
      <c r="B73" s="1132" t="s">
        <v>424</v>
      </c>
      <c r="C73" s="1132" t="s">
        <v>497</v>
      </c>
      <c r="D73" s="1359" t="s">
        <v>498</v>
      </c>
      <c r="E73" s="1359">
        <v>1</v>
      </c>
      <c r="F73" s="1780" t="s">
        <v>495</v>
      </c>
      <c r="G73" s="1132" t="s">
        <v>356</v>
      </c>
      <c r="H73" s="1360">
        <v>0.60847499999999988</v>
      </c>
      <c r="I73" s="1360">
        <v>0.60847499999999988</v>
      </c>
      <c r="J73" s="1360">
        <v>0.60847499999999988</v>
      </c>
      <c r="K73" s="1360">
        <v>0.60847499999999988</v>
      </c>
      <c r="L73" s="1132" t="s">
        <v>496</v>
      </c>
      <c r="M73" s="1132" t="str">
        <f t="shared" si="54"/>
        <v>Nicor Gas PY11-PY14 Adjustable Goals Template_2025-03-01, Tab 4.3.4</v>
      </c>
      <c r="N73" s="1361">
        <v>1010</v>
      </c>
      <c r="O73" s="1361">
        <v>1010</v>
      </c>
      <c r="P73" s="1361">
        <v>1010</v>
      </c>
      <c r="Q73" s="1361">
        <v>1010</v>
      </c>
      <c r="R73" s="1781">
        <v>0.86</v>
      </c>
      <c r="S73" s="1781">
        <v>0.86</v>
      </c>
      <c r="T73" s="1781">
        <v>0.86</v>
      </c>
      <c r="U73" s="1781">
        <v>0.86</v>
      </c>
      <c r="V73" s="1781">
        <v>0.86</v>
      </c>
      <c r="W73" s="1781">
        <v>0.86</v>
      </c>
      <c r="X73" s="1781">
        <v>0.86</v>
      </c>
      <c r="Y73" s="1781">
        <v>0.86</v>
      </c>
      <c r="Z73" s="1359">
        <v>1</v>
      </c>
      <c r="AA73" s="1781">
        <f t="shared" si="55"/>
        <v>0.86</v>
      </c>
      <c r="AB73" s="1781">
        <f t="shared" si="56"/>
        <v>0.86</v>
      </c>
      <c r="AC73" s="1781">
        <f t="shared" si="57"/>
        <v>0.86</v>
      </c>
      <c r="AD73" s="1781">
        <f t="shared" si="58"/>
        <v>0.86</v>
      </c>
      <c r="AE73" s="1781">
        <f t="shared" si="59"/>
        <v>0.86</v>
      </c>
      <c r="AF73" s="1781">
        <f t="shared" si="60"/>
        <v>0.86</v>
      </c>
      <c r="AG73" s="1781">
        <f t="shared" si="61"/>
        <v>0.86</v>
      </c>
      <c r="AH73" s="1781">
        <f t="shared" si="62"/>
        <v>0.86</v>
      </c>
      <c r="AI73" s="1362">
        <f t="shared" ref="AI73:AI136" si="93">H73*N73*R73</f>
        <v>528.5213849999999</v>
      </c>
      <c r="AJ73" s="1362">
        <f t="shared" ref="AJ73:AJ136" si="94">I73*O73*S73</f>
        <v>528.5213849999999</v>
      </c>
      <c r="AK73" s="1362">
        <f t="shared" ref="AK73:AK136" si="95">J73*P73*T73</f>
        <v>528.5213849999999</v>
      </c>
      <c r="AL73" s="1362">
        <f t="shared" ref="AL73:AL136" si="96">K73*Q73*U73</f>
        <v>528.5213849999999</v>
      </c>
      <c r="AM73" s="1362">
        <f t="shared" ref="AM73:AM136" si="97">SUM(AI73:AL73)</f>
        <v>2114.0855399999996</v>
      </c>
      <c r="AN73" s="1132" t="str">
        <f t="shared" si="63"/>
        <v>CI-HW_-HWE-PLCV-V02-190101</v>
      </c>
      <c r="AO73" s="1132" t="str">
        <f t="shared" si="64"/>
        <v>Nicor Gas PY11-PY14 Adjustable Goals Template_2025-03-01, Tab 4.3.4</v>
      </c>
      <c r="AP73" s="2505">
        <f>'4.3.4'!$M$5</f>
        <v>1010</v>
      </c>
      <c r="AQ73" s="2505"/>
      <c r="AR73" s="2505">
        <f t="shared" si="65"/>
        <v>528.5213849999999</v>
      </c>
      <c r="AS73" s="2505">
        <f t="shared" si="66"/>
        <v>0</v>
      </c>
      <c r="AT73" s="1132" t="str">
        <f t="shared" si="67"/>
        <v>CI-HW_-HWE-PLCV-V02-190101</v>
      </c>
      <c r="AU73" s="1132" t="str">
        <f t="shared" si="68"/>
        <v>Nicor Gas PY11-PY14 Adjustable Goals Template_2025-03-01, Tab 4.3.4</v>
      </c>
      <c r="AV73" s="2505">
        <f>'4.3.4'!$M$5</f>
        <v>1010</v>
      </c>
      <c r="AW73" s="2505"/>
      <c r="AX73" s="1362">
        <f t="shared" si="69"/>
        <v>528.5213849999999</v>
      </c>
      <c r="AY73" s="1360">
        <f t="shared" si="70"/>
        <v>0</v>
      </c>
      <c r="AZ73" s="1132" t="str">
        <f t="shared" si="71"/>
        <v>CI-HW_-HWE-PLCV-V02-190101</v>
      </c>
      <c r="BA73" s="1132" t="str">
        <f t="shared" si="72"/>
        <v>Nicor Gas PY11-PY14 Adjustable Goals Template_2025-03-01, Tab 4.3.4</v>
      </c>
      <c r="BB73" s="2505">
        <f>'4.3.4'!$M$5</f>
        <v>1010</v>
      </c>
      <c r="BC73" s="2505"/>
      <c r="BD73" s="1362">
        <f t="shared" si="73"/>
        <v>528.5213849999999</v>
      </c>
      <c r="BE73" s="1360">
        <f t="shared" si="74"/>
        <v>0</v>
      </c>
      <c r="BF73" s="1132" t="str">
        <f t="shared" si="75"/>
        <v>CI-HW_-HWE-PLCV-V02-190101</v>
      </c>
      <c r="BG73" s="1132" t="str">
        <f t="shared" si="76"/>
        <v>Nicor Gas PY11-PY14 Adjustable Goals Template_2025-03-01, Tab 4.3.4</v>
      </c>
      <c r="BH73" s="2505">
        <f>'4.3.4'!$M$5</f>
        <v>1010</v>
      </c>
      <c r="BI73" s="2505"/>
      <c r="BJ73" s="1362">
        <f t="shared" ref="BJ73:BJ136" si="98">K73*BH73*Y73</f>
        <v>528.5213849999999</v>
      </c>
      <c r="BK73" s="1360">
        <f t="shared" si="77"/>
        <v>0</v>
      </c>
      <c r="BL73" s="1601">
        <f t="shared" si="78"/>
        <v>528.5213849999999</v>
      </c>
      <c r="BM73" s="1601">
        <f t="shared" si="79"/>
        <v>528.5213849999999</v>
      </c>
      <c r="BN73" s="1601">
        <f t="shared" si="80"/>
        <v>528.5213849999999</v>
      </c>
      <c r="BO73" s="1601">
        <f t="shared" si="81"/>
        <v>528.5213849999999</v>
      </c>
      <c r="BP73" s="1602">
        <f t="shared" si="82"/>
        <v>2114.0855399999996</v>
      </c>
      <c r="BQ73" s="1602"/>
      <c r="BR73" s="1602" t="s">
        <v>495</v>
      </c>
      <c r="BS73" s="1602">
        <v>0</v>
      </c>
      <c r="BT73" s="1602">
        <v>6</v>
      </c>
      <c r="BU73" s="1602">
        <v>6</v>
      </c>
      <c r="BV73" s="1602">
        <v>6</v>
      </c>
      <c r="BW73" s="1602">
        <v>6</v>
      </c>
      <c r="BX73" s="1362">
        <f t="shared" ref="BX73:BX136" si="99">H73*N73*R73*BT73</f>
        <v>3171.1283099999991</v>
      </c>
      <c r="BY73" s="1362">
        <f t="shared" ref="BY73:BY136" si="100">I73*O73*S73*BU73</f>
        <v>3171.1283099999991</v>
      </c>
      <c r="BZ73" s="1362">
        <f t="shared" ref="BZ73:BZ136" si="101">J73*P73*T73*BV73</f>
        <v>3171.1283099999991</v>
      </c>
      <c r="CA73" s="1362">
        <f t="shared" ref="CA73:CA136" si="102">K73*Q73*U73*BW73</f>
        <v>3171.1283099999991</v>
      </c>
      <c r="CB73" s="1362">
        <f t="shared" ref="CB73:CB136" si="103">SUM(BX73:CA73)</f>
        <v>12684.513239999997</v>
      </c>
      <c r="CC73" s="1360">
        <v>6</v>
      </c>
      <c r="CD73" s="1360">
        <v>6</v>
      </c>
      <c r="CE73" s="1360">
        <v>6</v>
      </c>
      <c r="CF73" s="1360">
        <v>6</v>
      </c>
      <c r="CG73" s="1604">
        <f t="shared" si="83"/>
        <v>3171.1283099999991</v>
      </c>
      <c r="CH73" s="1604">
        <f t="shared" si="84"/>
        <v>3171.1283099999991</v>
      </c>
      <c r="CI73" s="1604">
        <f t="shared" si="85"/>
        <v>3171.1283099999991</v>
      </c>
      <c r="CJ73" s="1604">
        <f t="shared" si="86"/>
        <v>3171.1283099999991</v>
      </c>
      <c r="CK73" s="1521">
        <f t="shared" si="87"/>
        <v>12684.513239999997</v>
      </c>
      <c r="CL73" s="1132">
        <v>66</v>
      </c>
      <c r="CM73" s="1132" t="s">
        <v>356</v>
      </c>
      <c r="CN73" s="1359">
        <v>0</v>
      </c>
      <c r="CO73" s="1360">
        <v>0.60847499999999988</v>
      </c>
      <c r="CP73" s="1360">
        <v>0.60847499999999988</v>
      </c>
      <c r="CQ73" s="1360">
        <v>0.60847499999999988</v>
      </c>
      <c r="CR73" s="1360">
        <v>0.60847499999999988</v>
      </c>
      <c r="CS73" s="1362">
        <f t="shared" si="88"/>
        <v>528.5213849999999</v>
      </c>
      <c r="CT73" s="1362">
        <f t="shared" si="89"/>
        <v>528.5213849999999</v>
      </c>
      <c r="CU73" s="1362">
        <f t="shared" si="90"/>
        <v>528.5213849999999</v>
      </c>
      <c r="CV73" s="1362">
        <f t="shared" si="91"/>
        <v>528.5213849999999</v>
      </c>
      <c r="CW73" s="1362">
        <f t="shared" si="92"/>
        <v>2114.0855399999996</v>
      </c>
      <c r="CY73" s="2887"/>
    </row>
    <row r="74" spans="1:118" s="1143" customFormat="1" ht="46.5" x14ac:dyDescent="0.35">
      <c r="A74" s="1132" t="s">
        <v>101</v>
      </c>
      <c r="B74" s="1132" t="s">
        <v>424</v>
      </c>
      <c r="C74" s="1132" t="s">
        <v>499</v>
      </c>
      <c r="D74" s="1359" t="s">
        <v>500</v>
      </c>
      <c r="E74" s="1359">
        <v>1</v>
      </c>
      <c r="F74" s="1780" t="s">
        <v>500</v>
      </c>
      <c r="G74" s="1132" t="s">
        <v>356</v>
      </c>
      <c r="H74" s="1360">
        <v>1.2169499999999998</v>
      </c>
      <c r="I74" s="1360">
        <v>1.2169499999999998</v>
      </c>
      <c r="J74" s="1360">
        <v>1.2169499999999998</v>
      </c>
      <c r="K74" s="1360">
        <v>1.2169499999999998</v>
      </c>
      <c r="L74" s="1132" t="s">
        <v>501</v>
      </c>
      <c r="M74" s="1132" t="str">
        <f t="shared" si="54"/>
        <v>Nicor Gas PY11-PY14 Adjustable Goals Template_2025-03-01, Tab 4.3.6</v>
      </c>
      <c r="N74" s="1361">
        <v>4605</v>
      </c>
      <c r="O74" s="1361">
        <v>4605</v>
      </c>
      <c r="P74" s="1361">
        <v>4605</v>
      </c>
      <c r="Q74" s="1361">
        <v>4605</v>
      </c>
      <c r="R74" s="1781">
        <v>0.86</v>
      </c>
      <c r="S74" s="1781">
        <v>0.86</v>
      </c>
      <c r="T74" s="1781">
        <v>0.86</v>
      </c>
      <c r="U74" s="1781">
        <v>0.86</v>
      </c>
      <c r="V74" s="1781">
        <v>0.86</v>
      </c>
      <c r="W74" s="1781">
        <v>0.86</v>
      </c>
      <c r="X74" s="1781">
        <v>0.86</v>
      </c>
      <c r="Y74" s="1781">
        <v>0.86</v>
      </c>
      <c r="Z74" s="1359">
        <v>1</v>
      </c>
      <c r="AA74" s="1781">
        <f t="shared" si="55"/>
        <v>0.86</v>
      </c>
      <c r="AB74" s="1781">
        <f t="shared" si="56"/>
        <v>0.86</v>
      </c>
      <c r="AC74" s="1781">
        <f t="shared" si="57"/>
        <v>0.86</v>
      </c>
      <c r="AD74" s="1781">
        <f t="shared" si="58"/>
        <v>0.86</v>
      </c>
      <c r="AE74" s="1781">
        <f t="shared" si="59"/>
        <v>0.86</v>
      </c>
      <c r="AF74" s="1781">
        <f t="shared" si="60"/>
        <v>0.86</v>
      </c>
      <c r="AG74" s="1781">
        <f t="shared" si="61"/>
        <v>0.86</v>
      </c>
      <c r="AH74" s="1781">
        <f t="shared" si="62"/>
        <v>0.86</v>
      </c>
      <c r="AI74" s="1362">
        <f t="shared" si="93"/>
        <v>4819.4870849999988</v>
      </c>
      <c r="AJ74" s="1362">
        <f t="shared" si="94"/>
        <v>4819.4870849999988</v>
      </c>
      <c r="AK74" s="1362">
        <f t="shared" si="95"/>
        <v>4819.4870849999988</v>
      </c>
      <c r="AL74" s="1362">
        <f t="shared" si="96"/>
        <v>4819.4870849999988</v>
      </c>
      <c r="AM74" s="1362">
        <f t="shared" si="97"/>
        <v>19277.948339999995</v>
      </c>
      <c r="AN74" s="1132" t="str">
        <f t="shared" si="63"/>
        <v>CI-HW-HWE-OZLD-V02-190101</v>
      </c>
      <c r="AO74" s="1132" t="str">
        <f t="shared" si="64"/>
        <v>Nicor Gas PY11-PY14 Adjustable Goals Template_2025-03-01, Tab 4.3.6</v>
      </c>
      <c r="AP74" s="2505">
        <f>'4.3.6'!$M$4</f>
        <v>4605</v>
      </c>
      <c r="AQ74" s="2505"/>
      <c r="AR74" s="2505">
        <f t="shared" si="65"/>
        <v>4819.4870849999988</v>
      </c>
      <c r="AS74" s="2505">
        <f t="shared" si="66"/>
        <v>0</v>
      </c>
      <c r="AT74" s="1132" t="str">
        <f t="shared" si="67"/>
        <v>CI-HW-HWE-OZLD-V02-190101</v>
      </c>
      <c r="AU74" s="1132" t="str">
        <f t="shared" si="68"/>
        <v>Nicor Gas PY11-PY14 Adjustable Goals Template_2025-03-01, Tab 4.3.6</v>
      </c>
      <c r="AV74" s="2505">
        <f>'4.3.6'!$M$4</f>
        <v>4605</v>
      </c>
      <c r="AW74" s="2505"/>
      <c r="AX74" s="1362">
        <f t="shared" si="69"/>
        <v>4819.4870849999988</v>
      </c>
      <c r="AY74" s="1360">
        <f t="shared" si="70"/>
        <v>0</v>
      </c>
      <c r="AZ74" s="1132" t="str">
        <f t="shared" si="71"/>
        <v>CI-HW-HWE-OZLD-V02-190101</v>
      </c>
      <c r="BA74" s="1132" t="str">
        <f t="shared" si="72"/>
        <v>Nicor Gas PY11-PY14 Adjustable Goals Template_2025-03-01, Tab 4.3.6</v>
      </c>
      <c r="BB74" s="2505">
        <f>'4.3.6'!$M$4</f>
        <v>4605</v>
      </c>
      <c r="BC74" s="2505"/>
      <c r="BD74" s="1362">
        <f t="shared" si="73"/>
        <v>4819.4870849999988</v>
      </c>
      <c r="BE74" s="1360">
        <f t="shared" si="74"/>
        <v>0</v>
      </c>
      <c r="BF74" s="1132" t="str">
        <f t="shared" si="75"/>
        <v>CI-HW-HWE-OZLD-V02-190101</v>
      </c>
      <c r="BG74" s="1132" t="str">
        <f t="shared" si="76"/>
        <v>Nicor Gas PY11-PY14 Adjustable Goals Template_2025-03-01, Tab 4.3.6</v>
      </c>
      <c r="BH74" s="2505">
        <f>'4.3.6'!$M$4</f>
        <v>4605</v>
      </c>
      <c r="BI74" s="2505"/>
      <c r="BJ74" s="1362">
        <f t="shared" si="98"/>
        <v>4819.4870849999988</v>
      </c>
      <c r="BK74" s="1360">
        <f t="shared" si="77"/>
        <v>0</v>
      </c>
      <c r="BL74" s="1601">
        <f t="shared" si="78"/>
        <v>4819.4870849999988</v>
      </c>
      <c r="BM74" s="1601">
        <f t="shared" si="79"/>
        <v>4819.4870849999988</v>
      </c>
      <c r="BN74" s="1601">
        <f t="shared" si="80"/>
        <v>4819.4870849999988</v>
      </c>
      <c r="BO74" s="1601">
        <f t="shared" si="81"/>
        <v>4819.4870849999988</v>
      </c>
      <c r="BP74" s="1602">
        <f t="shared" si="82"/>
        <v>19277.948339999995</v>
      </c>
      <c r="BQ74" s="1602"/>
      <c r="BR74" s="1602" t="s">
        <v>500</v>
      </c>
      <c r="BS74" s="1602">
        <v>0</v>
      </c>
      <c r="BT74" s="1602">
        <v>10</v>
      </c>
      <c r="BU74" s="1602">
        <v>10</v>
      </c>
      <c r="BV74" s="1602">
        <v>10</v>
      </c>
      <c r="BW74" s="1602">
        <v>10</v>
      </c>
      <c r="BX74" s="1362">
        <f t="shared" si="99"/>
        <v>48194.870849999992</v>
      </c>
      <c r="BY74" s="1362">
        <f t="shared" si="100"/>
        <v>48194.870849999992</v>
      </c>
      <c r="BZ74" s="1362">
        <f t="shared" si="101"/>
        <v>48194.870849999992</v>
      </c>
      <c r="CA74" s="1362">
        <f t="shared" si="102"/>
        <v>48194.870849999992</v>
      </c>
      <c r="CB74" s="1362">
        <f t="shared" si="103"/>
        <v>192779.48339999997</v>
      </c>
      <c r="CC74" s="1360">
        <v>10</v>
      </c>
      <c r="CD74" s="1360">
        <v>10</v>
      </c>
      <c r="CE74" s="1360">
        <v>10</v>
      </c>
      <c r="CF74" s="1360">
        <v>10</v>
      </c>
      <c r="CG74" s="1604">
        <f t="shared" si="83"/>
        <v>48194.870849999999</v>
      </c>
      <c r="CH74" s="1604">
        <f t="shared" si="84"/>
        <v>48194.870849999999</v>
      </c>
      <c r="CI74" s="1604">
        <f t="shared" si="85"/>
        <v>48194.870849999999</v>
      </c>
      <c r="CJ74" s="1604">
        <f t="shared" si="86"/>
        <v>48194.870849999999</v>
      </c>
      <c r="CK74" s="1521">
        <f t="shared" si="87"/>
        <v>192779.4834</v>
      </c>
      <c r="CL74" s="1132">
        <v>67</v>
      </c>
      <c r="CM74" s="1132" t="s">
        <v>356</v>
      </c>
      <c r="CN74" s="1359">
        <v>0</v>
      </c>
      <c r="CO74" s="1360">
        <v>1.2169499999999998</v>
      </c>
      <c r="CP74" s="1360">
        <v>1.2169499999999998</v>
      </c>
      <c r="CQ74" s="1360">
        <v>1.2169499999999998</v>
      </c>
      <c r="CR74" s="1360">
        <v>1.2169499999999998</v>
      </c>
      <c r="CS74" s="1362">
        <f t="shared" si="88"/>
        <v>4819.4870849999988</v>
      </c>
      <c r="CT74" s="1362">
        <f t="shared" si="89"/>
        <v>4819.4870849999988</v>
      </c>
      <c r="CU74" s="1362">
        <f t="shared" si="90"/>
        <v>4819.4870849999988</v>
      </c>
      <c r="CV74" s="1362">
        <f t="shared" si="91"/>
        <v>4819.4870849999988</v>
      </c>
      <c r="CW74" s="1362">
        <f t="shared" si="92"/>
        <v>19277.948339999995</v>
      </c>
      <c r="CY74" s="2887"/>
    </row>
    <row r="75" spans="1:118" s="1143" customFormat="1" ht="46.5" x14ac:dyDescent="0.35">
      <c r="A75" s="1132" t="s">
        <v>101</v>
      </c>
      <c r="B75" s="1132" t="s">
        <v>424</v>
      </c>
      <c r="C75" s="1132" t="s">
        <v>502</v>
      </c>
      <c r="D75" s="1359" t="s">
        <v>503</v>
      </c>
      <c r="E75" s="1359">
        <v>1</v>
      </c>
      <c r="F75" s="1780" t="s">
        <v>504</v>
      </c>
      <c r="G75" s="1132" t="s">
        <v>356</v>
      </c>
      <c r="H75" s="1360">
        <v>1.2169499999999998</v>
      </c>
      <c r="I75" s="1360">
        <v>1.2169499999999998</v>
      </c>
      <c r="J75" s="1360">
        <v>1.2169499999999998</v>
      </c>
      <c r="K75" s="1360">
        <v>1.2169499999999998</v>
      </c>
      <c r="L75" s="1132" t="s">
        <v>505</v>
      </c>
      <c r="M75" s="1132" t="str">
        <f t="shared" si="54"/>
        <v>Nicor Gas PY11-PY14 Adjustable Goals Template_2025-03-01, Tab 4.8.4</v>
      </c>
      <c r="N75" s="1361">
        <v>266.94</v>
      </c>
      <c r="O75" s="1361">
        <v>266.94</v>
      </c>
      <c r="P75" s="1361">
        <v>266.94</v>
      </c>
      <c r="Q75" s="1361">
        <v>266.94</v>
      </c>
      <c r="R75" s="1781">
        <v>0.86</v>
      </c>
      <c r="S75" s="1781">
        <v>0.86</v>
      </c>
      <c r="T75" s="1781">
        <v>0.86</v>
      </c>
      <c r="U75" s="1781">
        <v>0.86</v>
      </c>
      <c r="V75" s="1781">
        <v>0.86</v>
      </c>
      <c r="W75" s="1781">
        <v>0.86</v>
      </c>
      <c r="X75" s="1781">
        <v>0.86</v>
      </c>
      <c r="Y75" s="1781">
        <v>0.86</v>
      </c>
      <c r="Z75" s="1359">
        <v>1</v>
      </c>
      <c r="AA75" s="1781">
        <f t="shared" si="55"/>
        <v>0.86</v>
      </c>
      <c r="AB75" s="1781">
        <f t="shared" si="56"/>
        <v>0.86</v>
      </c>
      <c r="AC75" s="1781">
        <f t="shared" si="57"/>
        <v>0.86</v>
      </c>
      <c r="AD75" s="1781">
        <f t="shared" si="58"/>
        <v>0.86</v>
      </c>
      <c r="AE75" s="1781">
        <f t="shared" si="59"/>
        <v>0.86</v>
      </c>
      <c r="AF75" s="1781">
        <f t="shared" si="60"/>
        <v>0.86</v>
      </c>
      <c r="AG75" s="1781">
        <f t="shared" si="61"/>
        <v>0.86</v>
      </c>
      <c r="AH75" s="1781">
        <f t="shared" si="62"/>
        <v>0.86</v>
      </c>
      <c r="AI75" s="1362">
        <f t="shared" si="93"/>
        <v>279.37326437999991</v>
      </c>
      <c r="AJ75" s="1362">
        <f t="shared" si="94"/>
        <v>279.37326437999991</v>
      </c>
      <c r="AK75" s="1362">
        <f t="shared" si="95"/>
        <v>279.37326437999991</v>
      </c>
      <c r="AL75" s="1362">
        <f t="shared" si="96"/>
        <v>279.37326437999991</v>
      </c>
      <c r="AM75" s="1362">
        <f t="shared" si="97"/>
        <v>1117.4930575199996</v>
      </c>
      <c r="AN75" s="1132" t="str">
        <f t="shared" si="63"/>
        <v>CI-MSC-MODD-V01-160601</v>
      </c>
      <c r="AO75" s="1132" t="str">
        <f t="shared" si="64"/>
        <v>Nicor Gas PY11-PY14 Adjustable Goals Template_2025-03-01, Tab 4.8.4</v>
      </c>
      <c r="AP75" s="2505">
        <f>'4.8.4'!$L$4</f>
        <v>266.94</v>
      </c>
      <c r="AQ75" s="2505"/>
      <c r="AR75" s="2505">
        <f t="shared" si="65"/>
        <v>279.37326437999991</v>
      </c>
      <c r="AS75" s="2505">
        <f t="shared" si="66"/>
        <v>0</v>
      </c>
      <c r="AT75" s="1132" t="str">
        <f t="shared" si="67"/>
        <v>CI-MSC-MODD-V01-160601</v>
      </c>
      <c r="AU75" s="1132" t="str">
        <f t="shared" si="68"/>
        <v>Nicor Gas PY11-PY14 Adjustable Goals Template_2025-03-01, Tab 4.8.4</v>
      </c>
      <c r="AV75" s="2505">
        <f>'4.8.4'!$L$4</f>
        <v>266.94</v>
      </c>
      <c r="AW75" s="2505"/>
      <c r="AX75" s="1362">
        <f t="shared" si="69"/>
        <v>279.37326437999991</v>
      </c>
      <c r="AY75" s="1360">
        <f t="shared" si="70"/>
        <v>0</v>
      </c>
      <c r="AZ75" s="1132" t="str">
        <f t="shared" si="71"/>
        <v>CI-MSC-MODD-V01-160601</v>
      </c>
      <c r="BA75" s="1132" t="str">
        <f t="shared" si="72"/>
        <v>Nicor Gas PY11-PY14 Adjustable Goals Template_2025-03-01, Tab 4.8.4</v>
      </c>
      <c r="BB75" s="2505">
        <f>'4.8.4'!$L$4</f>
        <v>266.94</v>
      </c>
      <c r="BC75" s="2505"/>
      <c r="BD75" s="1362">
        <f t="shared" si="73"/>
        <v>279.37326437999991</v>
      </c>
      <c r="BE75" s="1360">
        <f t="shared" si="74"/>
        <v>0</v>
      </c>
      <c r="BF75" s="1132" t="str">
        <f t="shared" si="75"/>
        <v>CI-MSC-MODD-V01-160601</v>
      </c>
      <c r="BG75" s="1132" t="str">
        <f t="shared" si="76"/>
        <v>Nicor Gas PY11-PY14 Adjustable Goals Template_2025-03-01, Tab 4.8.4</v>
      </c>
      <c r="BH75" s="2505">
        <f>'4.8.4'!$L$4</f>
        <v>266.94</v>
      </c>
      <c r="BI75" s="2505"/>
      <c r="BJ75" s="1362">
        <f t="shared" si="98"/>
        <v>279.37326437999991</v>
      </c>
      <c r="BK75" s="1360">
        <f t="shared" si="77"/>
        <v>0</v>
      </c>
      <c r="BL75" s="1601">
        <f t="shared" si="78"/>
        <v>279.37326437999991</v>
      </c>
      <c r="BM75" s="1601">
        <f t="shared" si="79"/>
        <v>279.37326437999991</v>
      </c>
      <c r="BN75" s="1601">
        <f t="shared" si="80"/>
        <v>279.37326437999991</v>
      </c>
      <c r="BO75" s="1601">
        <f t="shared" si="81"/>
        <v>279.37326437999991</v>
      </c>
      <c r="BP75" s="1602">
        <f t="shared" si="82"/>
        <v>1117.4930575199996</v>
      </c>
      <c r="BQ75" s="1602"/>
      <c r="BR75" s="1602" t="s">
        <v>504</v>
      </c>
      <c r="BS75" s="1602">
        <v>0</v>
      </c>
      <c r="BT75" s="1602">
        <v>14</v>
      </c>
      <c r="BU75" s="1602">
        <v>14</v>
      </c>
      <c r="BV75" s="1602">
        <v>14</v>
      </c>
      <c r="BW75" s="1602">
        <v>14</v>
      </c>
      <c r="BX75" s="1362">
        <f t="shared" si="99"/>
        <v>3911.2257013199987</v>
      </c>
      <c r="BY75" s="1362">
        <f t="shared" si="100"/>
        <v>3911.2257013199987</v>
      </c>
      <c r="BZ75" s="1362">
        <f t="shared" si="101"/>
        <v>3911.2257013199987</v>
      </c>
      <c r="CA75" s="1362">
        <f t="shared" si="102"/>
        <v>3911.2257013199987</v>
      </c>
      <c r="CB75" s="1362">
        <f t="shared" si="103"/>
        <v>15644.902805279995</v>
      </c>
      <c r="CC75" s="1360">
        <v>14</v>
      </c>
      <c r="CD75" s="1360">
        <v>14</v>
      </c>
      <c r="CE75" s="1360">
        <v>14</v>
      </c>
      <c r="CF75" s="1360">
        <v>14</v>
      </c>
      <c r="CG75" s="1604">
        <f t="shared" si="83"/>
        <v>3911.2257013199996</v>
      </c>
      <c r="CH75" s="1604">
        <f t="shared" si="84"/>
        <v>3911.2257013199996</v>
      </c>
      <c r="CI75" s="1604">
        <f t="shared" si="85"/>
        <v>3911.2257013199996</v>
      </c>
      <c r="CJ75" s="1604">
        <f t="shared" si="86"/>
        <v>3911.2257013199996</v>
      </c>
      <c r="CK75" s="1521">
        <f t="shared" si="87"/>
        <v>15644.902805279999</v>
      </c>
      <c r="CL75" s="1132">
        <v>68</v>
      </c>
      <c r="CM75" s="1132" t="s">
        <v>356</v>
      </c>
      <c r="CN75" s="1359">
        <v>0</v>
      </c>
      <c r="CO75" s="1360">
        <v>1.2169499999999998</v>
      </c>
      <c r="CP75" s="1360">
        <v>1.2169499999999998</v>
      </c>
      <c r="CQ75" s="1360">
        <v>1.2169499999999998</v>
      </c>
      <c r="CR75" s="1360">
        <v>1.2169499999999998</v>
      </c>
      <c r="CS75" s="1362">
        <f t="shared" si="88"/>
        <v>279.37326437999991</v>
      </c>
      <c r="CT75" s="1362">
        <f t="shared" si="89"/>
        <v>279.37326437999991</v>
      </c>
      <c r="CU75" s="1362">
        <f t="shared" si="90"/>
        <v>279.37326437999991</v>
      </c>
      <c r="CV75" s="1362">
        <f t="shared" si="91"/>
        <v>279.37326437999991</v>
      </c>
      <c r="CW75" s="1362">
        <f t="shared" si="92"/>
        <v>1117.4930575199996</v>
      </c>
      <c r="CY75" s="2887"/>
      <c r="DN75" s="1715"/>
    </row>
    <row r="76" spans="1:118" s="1143" customFormat="1" ht="46.5" x14ac:dyDescent="0.35">
      <c r="A76" s="1132" t="s">
        <v>101</v>
      </c>
      <c r="B76" s="1132" t="s">
        <v>424</v>
      </c>
      <c r="C76" s="1132" t="s">
        <v>506</v>
      </c>
      <c r="D76" s="1359" t="s">
        <v>507</v>
      </c>
      <c r="E76" s="1359">
        <v>1</v>
      </c>
      <c r="F76" s="1780" t="s">
        <v>504</v>
      </c>
      <c r="G76" s="1132" t="s">
        <v>356</v>
      </c>
      <c r="H76" s="1360">
        <v>3.0423749999999998</v>
      </c>
      <c r="I76" s="1360">
        <v>3.0423749999999998</v>
      </c>
      <c r="J76" s="1360">
        <v>3.0423749999999998</v>
      </c>
      <c r="K76" s="1360">
        <v>3.0423749999999998</v>
      </c>
      <c r="L76" s="1132" t="s">
        <v>505</v>
      </c>
      <c r="M76" s="1132" t="str">
        <f t="shared" si="54"/>
        <v>Nicor Gas PY11-PY14 Adjustable Goals Template_2025-03-01, Tab 4.8.4</v>
      </c>
      <c r="N76" s="1361">
        <v>193.32</v>
      </c>
      <c r="O76" s="1361">
        <v>193.32</v>
      </c>
      <c r="P76" s="1361">
        <v>193.32</v>
      </c>
      <c r="Q76" s="1361">
        <v>193.32</v>
      </c>
      <c r="R76" s="1781">
        <v>0.86</v>
      </c>
      <c r="S76" s="1781">
        <v>0.86</v>
      </c>
      <c r="T76" s="1781">
        <v>0.86</v>
      </c>
      <c r="U76" s="1781">
        <v>0.86</v>
      </c>
      <c r="V76" s="1781">
        <v>0.86</v>
      </c>
      <c r="W76" s="1781">
        <v>0.86</v>
      </c>
      <c r="X76" s="1781">
        <v>0.86</v>
      </c>
      <c r="Y76" s="1781">
        <v>0.86</v>
      </c>
      <c r="Z76" s="1359">
        <v>1</v>
      </c>
      <c r="AA76" s="1781">
        <f t="shared" si="55"/>
        <v>0.86</v>
      </c>
      <c r="AB76" s="1781">
        <f t="shared" si="56"/>
        <v>0.86</v>
      </c>
      <c r="AC76" s="1781">
        <f t="shared" si="57"/>
        <v>0.86</v>
      </c>
      <c r="AD76" s="1781">
        <f t="shared" si="58"/>
        <v>0.86</v>
      </c>
      <c r="AE76" s="1781">
        <f t="shared" si="59"/>
        <v>0.86</v>
      </c>
      <c r="AF76" s="1781">
        <f t="shared" si="60"/>
        <v>0.86</v>
      </c>
      <c r="AG76" s="1781">
        <f t="shared" si="61"/>
        <v>0.86</v>
      </c>
      <c r="AH76" s="1781">
        <f t="shared" si="62"/>
        <v>0.86</v>
      </c>
      <c r="AI76" s="1362">
        <f t="shared" si="93"/>
        <v>505.8106641</v>
      </c>
      <c r="AJ76" s="1362">
        <f t="shared" si="94"/>
        <v>505.8106641</v>
      </c>
      <c r="AK76" s="1362">
        <f t="shared" si="95"/>
        <v>505.8106641</v>
      </c>
      <c r="AL76" s="1362">
        <f t="shared" si="96"/>
        <v>505.8106641</v>
      </c>
      <c r="AM76" s="1362">
        <f t="shared" si="97"/>
        <v>2023.2426564</v>
      </c>
      <c r="AN76" s="1132" t="str">
        <f t="shared" si="63"/>
        <v>CI-MSC-MODD-V01-160601</v>
      </c>
      <c r="AO76" s="1132" t="str">
        <f t="shared" si="64"/>
        <v>Nicor Gas PY11-PY14 Adjustable Goals Template_2025-03-01, Tab 4.8.4</v>
      </c>
      <c r="AP76" s="2505">
        <f>'4.8.4'!$L$5</f>
        <v>193.32</v>
      </c>
      <c r="AQ76" s="2505"/>
      <c r="AR76" s="2505">
        <f t="shared" si="65"/>
        <v>505.8106641</v>
      </c>
      <c r="AS76" s="2505">
        <f t="shared" si="66"/>
        <v>0</v>
      </c>
      <c r="AT76" s="1132" t="str">
        <f t="shared" si="67"/>
        <v>CI-MSC-MODD-V01-160601</v>
      </c>
      <c r="AU76" s="1132" t="str">
        <f t="shared" si="68"/>
        <v>Nicor Gas PY11-PY14 Adjustable Goals Template_2025-03-01, Tab 4.8.4</v>
      </c>
      <c r="AV76" s="2505">
        <f>'4.8.4'!$L$5</f>
        <v>193.32</v>
      </c>
      <c r="AW76" s="2505"/>
      <c r="AX76" s="1362">
        <f t="shared" si="69"/>
        <v>505.8106641</v>
      </c>
      <c r="AY76" s="1360">
        <f t="shared" si="70"/>
        <v>0</v>
      </c>
      <c r="AZ76" s="1132" t="str">
        <f t="shared" si="71"/>
        <v>CI-MSC-MODD-V01-160601</v>
      </c>
      <c r="BA76" s="1132" t="str">
        <f t="shared" si="72"/>
        <v>Nicor Gas PY11-PY14 Adjustable Goals Template_2025-03-01, Tab 4.8.4</v>
      </c>
      <c r="BB76" s="2505">
        <f>'4.8.4'!$L$5</f>
        <v>193.32</v>
      </c>
      <c r="BC76" s="2505"/>
      <c r="BD76" s="1362">
        <f t="shared" si="73"/>
        <v>505.8106641</v>
      </c>
      <c r="BE76" s="1360">
        <f t="shared" si="74"/>
        <v>0</v>
      </c>
      <c r="BF76" s="1132" t="str">
        <f t="shared" si="75"/>
        <v>CI-MSC-MODD-V01-160601</v>
      </c>
      <c r="BG76" s="1132" t="str">
        <f t="shared" si="76"/>
        <v>Nicor Gas PY11-PY14 Adjustable Goals Template_2025-03-01, Tab 4.8.4</v>
      </c>
      <c r="BH76" s="2505">
        <f>'4.8.4'!$L$5</f>
        <v>193.32</v>
      </c>
      <c r="BI76" s="2505"/>
      <c r="BJ76" s="1362">
        <f t="shared" si="98"/>
        <v>505.8106641</v>
      </c>
      <c r="BK76" s="1360">
        <f t="shared" si="77"/>
        <v>0</v>
      </c>
      <c r="BL76" s="1601">
        <f t="shared" si="78"/>
        <v>505.8106641</v>
      </c>
      <c r="BM76" s="1601">
        <f t="shared" si="79"/>
        <v>505.8106641</v>
      </c>
      <c r="BN76" s="1601">
        <f t="shared" si="80"/>
        <v>505.8106641</v>
      </c>
      <c r="BO76" s="1601">
        <f t="shared" si="81"/>
        <v>505.8106641</v>
      </c>
      <c r="BP76" s="1602">
        <f t="shared" si="82"/>
        <v>2023.2426564</v>
      </c>
      <c r="BQ76" s="1602"/>
      <c r="BR76" s="1602" t="s">
        <v>504</v>
      </c>
      <c r="BS76" s="1602">
        <v>0</v>
      </c>
      <c r="BT76" s="1602">
        <v>14</v>
      </c>
      <c r="BU76" s="1602">
        <v>14</v>
      </c>
      <c r="BV76" s="1602">
        <v>14</v>
      </c>
      <c r="BW76" s="1602">
        <v>14</v>
      </c>
      <c r="BX76" s="1362">
        <f t="shared" si="99"/>
        <v>7081.3492974000001</v>
      </c>
      <c r="BY76" s="1362">
        <f t="shared" si="100"/>
        <v>7081.3492974000001</v>
      </c>
      <c r="BZ76" s="1362">
        <f t="shared" si="101"/>
        <v>7081.3492974000001</v>
      </c>
      <c r="CA76" s="1362">
        <f t="shared" si="102"/>
        <v>7081.3492974000001</v>
      </c>
      <c r="CB76" s="1362">
        <f t="shared" si="103"/>
        <v>28325.3971896</v>
      </c>
      <c r="CC76" s="1360">
        <v>14</v>
      </c>
      <c r="CD76" s="1360">
        <v>14</v>
      </c>
      <c r="CE76" s="1360">
        <v>14</v>
      </c>
      <c r="CF76" s="1360">
        <v>14</v>
      </c>
      <c r="CG76" s="1604">
        <f t="shared" si="83"/>
        <v>7081.3492973999992</v>
      </c>
      <c r="CH76" s="1604">
        <f t="shared" si="84"/>
        <v>7081.3492973999992</v>
      </c>
      <c r="CI76" s="1604">
        <f t="shared" si="85"/>
        <v>7081.3492973999992</v>
      </c>
      <c r="CJ76" s="1604">
        <f t="shared" si="86"/>
        <v>7081.3492973999992</v>
      </c>
      <c r="CK76" s="1521">
        <f t="shared" si="87"/>
        <v>28325.397189599997</v>
      </c>
      <c r="CL76" s="1132">
        <v>69</v>
      </c>
      <c r="CM76" s="1132" t="s">
        <v>356</v>
      </c>
      <c r="CN76" s="1359">
        <v>0</v>
      </c>
      <c r="CO76" s="1360">
        <v>3.0423749999999998</v>
      </c>
      <c r="CP76" s="1360">
        <v>3.0423749999999998</v>
      </c>
      <c r="CQ76" s="1360">
        <v>3.0423749999999998</v>
      </c>
      <c r="CR76" s="1360">
        <v>3.0423749999999998</v>
      </c>
      <c r="CS76" s="1362">
        <f t="shared" si="88"/>
        <v>505.8106641</v>
      </c>
      <c r="CT76" s="1362">
        <f t="shared" si="89"/>
        <v>505.8106641</v>
      </c>
      <c r="CU76" s="1362">
        <f t="shared" si="90"/>
        <v>505.8106641</v>
      </c>
      <c r="CV76" s="1362">
        <f t="shared" si="91"/>
        <v>505.8106641</v>
      </c>
      <c r="CW76" s="1362">
        <f t="shared" si="92"/>
        <v>2023.2426564</v>
      </c>
      <c r="CY76" s="2887"/>
      <c r="DN76" s="1715"/>
    </row>
    <row r="77" spans="1:118" s="1143" customFormat="1" ht="46.5" x14ac:dyDescent="0.35">
      <c r="A77" s="1132" t="s">
        <v>101</v>
      </c>
      <c r="B77" s="1132" t="s">
        <v>424</v>
      </c>
      <c r="C77" s="1132" t="s">
        <v>508</v>
      </c>
      <c r="D77" s="1359" t="s">
        <v>509</v>
      </c>
      <c r="E77" s="1359">
        <v>1</v>
      </c>
      <c r="F77" s="1780" t="s">
        <v>504</v>
      </c>
      <c r="G77" s="1132" t="s">
        <v>356</v>
      </c>
      <c r="H77" s="1360">
        <v>1.2169499999999998</v>
      </c>
      <c r="I77" s="1360">
        <v>1.2169499999999998</v>
      </c>
      <c r="J77" s="1360">
        <v>1.2169499999999998</v>
      </c>
      <c r="K77" s="1360">
        <v>1.2169499999999998</v>
      </c>
      <c r="L77" s="1132" t="s">
        <v>505</v>
      </c>
      <c r="M77" s="1132" t="str">
        <f t="shared" si="54"/>
        <v>Nicor Gas PY11-PY14 Adjustable Goals Template_2025-03-01, Tab 4.8.4</v>
      </c>
      <c r="N77" s="1361">
        <v>649.26</v>
      </c>
      <c r="O77" s="1361">
        <v>649.26</v>
      </c>
      <c r="P77" s="1361">
        <v>649.26</v>
      </c>
      <c r="Q77" s="1361">
        <v>649.26</v>
      </c>
      <c r="R77" s="1781">
        <v>0.86</v>
      </c>
      <c r="S77" s="1781">
        <v>0.86</v>
      </c>
      <c r="T77" s="1781">
        <v>0.86</v>
      </c>
      <c r="U77" s="1781">
        <v>0.86</v>
      </c>
      <c r="V77" s="1781">
        <v>0.86</v>
      </c>
      <c r="W77" s="1781">
        <v>0.86</v>
      </c>
      <c r="X77" s="1781">
        <v>0.86</v>
      </c>
      <c r="Y77" s="1781">
        <v>0.86</v>
      </c>
      <c r="Z77" s="1359">
        <v>1</v>
      </c>
      <c r="AA77" s="1781">
        <f t="shared" si="55"/>
        <v>0.86</v>
      </c>
      <c r="AB77" s="1781">
        <f t="shared" si="56"/>
        <v>0.86</v>
      </c>
      <c r="AC77" s="1781">
        <f t="shared" si="57"/>
        <v>0.86</v>
      </c>
      <c r="AD77" s="1781">
        <f t="shared" si="58"/>
        <v>0.86</v>
      </c>
      <c r="AE77" s="1781">
        <f t="shared" si="59"/>
        <v>0.86</v>
      </c>
      <c r="AF77" s="1781">
        <f t="shared" si="60"/>
        <v>0.86</v>
      </c>
      <c r="AG77" s="1781">
        <f t="shared" si="61"/>
        <v>0.86</v>
      </c>
      <c r="AH77" s="1781">
        <f t="shared" si="62"/>
        <v>0.86</v>
      </c>
      <c r="AI77" s="1362">
        <f t="shared" si="93"/>
        <v>679.50058301999991</v>
      </c>
      <c r="AJ77" s="1362">
        <f t="shared" si="94"/>
        <v>679.50058301999991</v>
      </c>
      <c r="AK77" s="1362">
        <f t="shared" si="95"/>
        <v>679.50058301999991</v>
      </c>
      <c r="AL77" s="1362">
        <f t="shared" si="96"/>
        <v>679.50058301999991</v>
      </c>
      <c r="AM77" s="1362">
        <f t="shared" si="97"/>
        <v>2718.0023320799996</v>
      </c>
      <c r="AN77" s="1132" t="str">
        <f t="shared" si="63"/>
        <v>CI-MSC-MODD-V01-160601</v>
      </c>
      <c r="AO77" s="1132" t="str">
        <f t="shared" si="64"/>
        <v>Nicor Gas PY11-PY14 Adjustable Goals Template_2025-03-01, Tab 4.8.4</v>
      </c>
      <c r="AP77" s="2505">
        <f>'4.8.4'!$L$6</f>
        <v>649.26</v>
      </c>
      <c r="AQ77" s="2505"/>
      <c r="AR77" s="2505">
        <f t="shared" si="65"/>
        <v>679.50058301999991</v>
      </c>
      <c r="AS77" s="2505">
        <f t="shared" si="66"/>
        <v>0</v>
      </c>
      <c r="AT77" s="1132" t="str">
        <f t="shared" si="67"/>
        <v>CI-MSC-MODD-V01-160601</v>
      </c>
      <c r="AU77" s="1132" t="str">
        <f t="shared" si="68"/>
        <v>Nicor Gas PY11-PY14 Adjustable Goals Template_2025-03-01, Tab 4.8.4</v>
      </c>
      <c r="AV77" s="2505">
        <f>'4.8.4'!$L$6</f>
        <v>649.26</v>
      </c>
      <c r="AW77" s="2505"/>
      <c r="AX77" s="1362">
        <f t="shared" si="69"/>
        <v>679.50058301999991</v>
      </c>
      <c r="AY77" s="1360">
        <f t="shared" si="70"/>
        <v>0</v>
      </c>
      <c r="AZ77" s="1132" t="str">
        <f t="shared" si="71"/>
        <v>CI-MSC-MODD-V01-160601</v>
      </c>
      <c r="BA77" s="1132" t="str">
        <f t="shared" si="72"/>
        <v>Nicor Gas PY11-PY14 Adjustable Goals Template_2025-03-01, Tab 4.8.4</v>
      </c>
      <c r="BB77" s="2505">
        <f>'4.8.4'!$L$6</f>
        <v>649.26</v>
      </c>
      <c r="BC77" s="2505"/>
      <c r="BD77" s="1362">
        <f t="shared" si="73"/>
        <v>679.50058301999991</v>
      </c>
      <c r="BE77" s="1360">
        <f t="shared" si="74"/>
        <v>0</v>
      </c>
      <c r="BF77" s="1132" t="str">
        <f t="shared" si="75"/>
        <v>CI-MSC-MODD-V01-160601</v>
      </c>
      <c r="BG77" s="1132" t="str">
        <f t="shared" si="76"/>
        <v>Nicor Gas PY11-PY14 Adjustable Goals Template_2025-03-01, Tab 4.8.4</v>
      </c>
      <c r="BH77" s="2505">
        <f>'4.8.4'!$L$6</f>
        <v>649.26</v>
      </c>
      <c r="BI77" s="2505"/>
      <c r="BJ77" s="1362">
        <f t="shared" si="98"/>
        <v>679.50058301999991</v>
      </c>
      <c r="BK77" s="1360">
        <f t="shared" si="77"/>
        <v>0</v>
      </c>
      <c r="BL77" s="1601">
        <f t="shared" si="78"/>
        <v>679.50058301999991</v>
      </c>
      <c r="BM77" s="1601">
        <f t="shared" si="79"/>
        <v>679.50058301999991</v>
      </c>
      <c r="BN77" s="1601">
        <f t="shared" si="80"/>
        <v>679.50058301999991</v>
      </c>
      <c r="BO77" s="1601">
        <f t="shared" si="81"/>
        <v>679.50058301999991</v>
      </c>
      <c r="BP77" s="1602">
        <f t="shared" si="82"/>
        <v>2718.0023320799996</v>
      </c>
      <c r="BQ77" s="1602"/>
      <c r="BR77" s="1602" t="s">
        <v>504</v>
      </c>
      <c r="BS77" s="1602">
        <v>0</v>
      </c>
      <c r="BT77" s="1602">
        <v>14</v>
      </c>
      <c r="BU77" s="1602">
        <v>14</v>
      </c>
      <c r="BV77" s="1602">
        <v>14</v>
      </c>
      <c r="BW77" s="1602">
        <v>14</v>
      </c>
      <c r="BX77" s="1362">
        <f t="shared" si="99"/>
        <v>9513.0081622799989</v>
      </c>
      <c r="BY77" s="1362">
        <f t="shared" si="100"/>
        <v>9513.0081622799989</v>
      </c>
      <c r="BZ77" s="1362">
        <f t="shared" si="101"/>
        <v>9513.0081622799989</v>
      </c>
      <c r="CA77" s="1362">
        <f t="shared" si="102"/>
        <v>9513.0081622799989</v>
      </c>
      <c r="CB77" s="1362">
        <f t="shared" si="103"/>
        <v>38052.032649119996</v>
      </c>
      <c r="CC77" s="1360">
        <v>14</v>
      </c>
      <c r="CD77" s="1360">
        <v>14</v>
      </c>
      <c r="CE77" s="1360">
        <v>14</v>
      </c>
      <c r="CF77" s="1360">
        <v>14</v>
      </c>
      <c r="CG77" s="1604">
        <f t="shared" si="83"/>
        <v>9513.0081622799989</v>
      </c>
      <c r="CH77" s="1604">
        <f t="shared" si="84"/>
        <v>9513.0081622799989</v>
      </c>
      <c r="CI77" s="1604">
        <f t="shared" si="85"/>
        <v>9513.0081622799989</v>
      </c>
      <c r="CJ77" s="1604">
        <f t="shared" si="86"/>
        <v>9513.0081622799989</v>
      </c>
      <c r="CK77" s="1521">
        <f t="shared" si="87"/>
        <v>38052.032649119996</v>
      </c>
      <c r="CL77" s="1132">
        <v>70</v>
      </c>
      <c r="CM77" s="1132" t="s">
        <v>356</v>
      </c>
      <c r="CN77" s="1359">
        <v>0</v>
      </c>
      <c r="CO77" s="1360">
        <v>1.2169499999999998</v>
      </c>
      <c r="CP77" s="1360">
        <v>1.2169499999999998</v>
      </c>
      <c r="CQ77" s="1360">
        <v>1.2169499999999998</v>
      </c>
      <c r="CR77" s="1360">
        <v>1.2169499999999998</v>
      </c>
      <c r="CS77" s="1362">
        <f t="shared" si="88"/>
        <v>679.50058301999991</v>
      </c>
      <c r="CT77" s="1362">
        <f t="shared" si="89"/>
        <v>679.50058301999991</v>
      </c>
      <c r="CU77" s="1362">
        <f t="shared" si="90"/>
        <v>679.50058301999991</v>
      </c>
      <c r="CV77" s="1362">
        <f t="shared" si="91"/>
        <v>679.50058301999991</v>
      </c>
      <c r="CW77" s="1362">
        <f t="shared" si="92"/>
        <v>2718.0023320799996</v>
      </c>
      <c r="CY77" s="2887"/>
      <c r="DN77" s="1715"/>
    </row>
    <row r="78" spans="1:118" s="1143" customFormat="1" ht="46.5" x14ac:dyDescent="0.35">
      <c r="A78" s="1132" t="s">
        <v>101</v>
      </c>
      <c r="B78" s="1132" t="s">
        <v>424</v>
      </c>
      <c r="C78" s="1132" t="s">
        <v>510</v>
      </c>
      <c r="D78" s="1359" t="s">
        <v>511</v>
      </c>
      <c r="E78" s="1359">
        <v>1</v>
      </c>
      <c r="F78" s="1780" t="s">
        <v>512</v>
      </c>
      <c r="G78" s="1132" t="s">
        <v>356</v>
      </c>
      <c r="H78" s="1360">
        <v>2.4338999999999995</v>
      </c>
      <c r="I78" s="1360">
        <v>2.4338999999999995</v>
      </c>
      <c r="J78" s="1360">
        <v>2.4338999999999995</v>
      </c>
      <c r="K78" s="1360">
        <v>2.4338999999999995</v>
      </c>
      <c r="L78" s="1132" t="s">
        <v>513</v>
      </c>
      <c r="M78" s="1132" t="str">
        <f t="shared" si="54"/>
        <v>Nicor Gas PY11-PY14 Adjustable Goals Template_2025-03-01, Tab 4.4.19</v>
      </c>
      <c r="N78" s="1361">
        <v>11212.849999999997</v>
      </c>
      <c r="O78" s="1361">
        <v>11212.849999999997</v>
      </c>
      <c r="P78" s="1361">
        <v>11212.849999999997</v>
      </c>
      <c r="Q78" s="1361">
        <v>11212.849999999997</v>
      </c>
      <c r="R78" s="1781">
        <v>0.86</v>
      </c>
      <c r="S78" s="1781">
        <v>0.86</v>
      </c>
      <c r="T78" s="1781">
        <v>0.86</v>
      </c>
      <c r="U78" s="1781">
        <v>0.86</v>
      </c>
      <c r="V78" s="1781">
        <v>0.86</v>
      </c>
      <c r="W78" s="1781">
        <v>0.86</v>
      </c>
      <c r="X78" s="1781">
        <v>0.86</v>
      </c>
      <c r="Y78" s="1781">
        <v>0.86</v>
      </c>
      <c r="Z78" s="1359">
        <v>1</v>
      </c>
      <c r="AA78" s="1781">
        <f t="shared" si="55"/>
        <v>0.86</v>
      </c>
      <c r="AB78" s="1781">
        <f t="shared" si="56"/>
        <v>0.86</v>
      </c>
      <c r="AC78" s="1781">
        <f t="shared" si="57"/>
        <v>0.86</v>
      </c>
      <c r="AD78" s="1781">
        <f t="shared" si="58"/>
        <v>0.86</v>
      </c>
      <c r="AE78" s="1781">
        <f t="shared" si="59"/>
        <v>0.86</v>
      </c>
      <c r="AF78" s="1781">
        <f t="shared" si="60"/>
        <v>0.86</v>
      </c>
      <c r="AG78" s="1781">
        <f t="shared" si="61"/>
        <v>0.86</v>
      </c>
      <c r="AH78" s="1781">
        <f t="shared" si="62"/>
        <v>0.86</v>
      </c>
      <c r="AI78" s="1362">
        <f t="shared" si="93"/>
        <v>23470.22182889999</v>
      </c>
      <c r="AJ78" s="1362">
        <f t="shared" si="94"/>
        <v>23470.22182889999</v>
      </c>
      <c r="AK78" s="1362">
        <f t="shared" si="95"/>
        <v>23470.22182889999</v>
      </c>
      <c r="AL78" s="1362">
        <f t="shared" si="96"/>
        <v>23470.22182889999</v>
      </c>
      <c r="AM78" s="1362">
        <f t="shared" si="97"/>
        <v>93880.887315599961</v>
      </c>
      <c r="AN78" s="1132" t="str">
        <f t="shared" si="63"/>
        <v>CI-HVC-DCV-V05-190101</v>
      </c>
      <c r="AO78" s="1132" t="str">
        <f t="shared" si="64"/>
        <v>Nicor Gas PY11-PY14 Adjustable Goals Template_2025-03-01, Tab 4.4.19</v>
      </c>
      <c r="AP78" s="2505">
        <f>'4.4.19'!$P$4</f>
        <v>11212.849999999997</v>
      </c>
      <c r="AQ78" s="2505"/>
      <c r="AR78" s="2505">
        <f t="shared" si="65"/>
        <v>23470.22182889999</v>
      </c>
      <c r="AS78" s="2505">
        <f t="shared" si="66"/>
        <v>0</v>
      </c>
      <c r="AT78" s="1132" t="str">
        <f t="shared" si="67"/>
        <v>CI-HVC-DCV-V05-190101</v>
      </c>
      <c r="AU78" s="1132" t="str">
        <f t="shared" si="68"/>
        <v>Nicor Gas PY11-PY14 Adjustable Goals Template_2025-03-01, Tab 4.4.19</v>
      </c>
      <c r="AV78" s="2505">
        <f>'4.4.19'!$P$4</f>
        <v>11212.849999999997</v>
      </c>
      <c r="AW78" s="2505"/>
      <c r="AX78" s="1362">
        <f t="shared" si="69"/>
        <v>23470.22182889999</v>
      </c>
      <c r="AY78" s="1360">
        <f t="shared" si="70"/>
        <v>0</v>
      </c>
      <c r="AZ78" s="1132" t="str">
        <f t="shared" si="71"/>
        <v>CI-HVC-DCV-V05-190101</v>
      </c>
      <c r="BA78" s="1132" t="str">
        <f t="shared" si="72"/>
        <v>Nicor Gas PY11-PY14 Adjustable Goals Template_2025-03-01, Tab 4.4.19</v>
      </c>
      <c r="BB78" s="2505">
        <f>'4.4.19'!$P$4</f>
        <v>11212.849999999997</v>
      </c>
      <c r="BC78" s="2505"/>
      <c r="BD78" s="1362">
        <f t="shared" si="73"/>
        <v>23470.22182889999</v>
      </c>
      <c r="BE78" s="1360">
        <f t="shared" si="74"/>
        <v>0</v>
      </c>
      <c r="BF78" s="1132" t="str">
        <f t="shared" si="75"/>
        <v>CI-HVC-DCV-V05-190101</v>
      </c>
      <c r="BG78" s="1132" t="str">
        <f t="shared" si="76"/>
        <v>Nicor Gas PY11-PY14 Adjustable Goals Template_2025-03-01, Tab 4.4.19</v>
      </c>
      <c r="BH78" s="2505">
        <f>'4.4.19'!$P$4</f>
        <v>11212.849999999997</v>
      </c>
      <c r="BI78" s="2505"/>
      <c r="BJ78" s="1362">
        <f t="shared" si="98"/>
        <v>23470.22182889999</v>
      </c>
      <c r="BK78" s="1360">
        <f t="shared" si="77"/>
        <v>0</v>
      </c>
      <c r="BL78" s="1601">
        <f t="shared" si="78"/>
        <v>23470.22182889999</v>
      </c>
      <c r="BM78" s="1601">
        <f t="shared" si="79"/>
        <v>23470.22182889999</v>
      </c>
      <c r="BN78" s="1601">
        <f t="shared" si="80"/>
        <v>23470.22182889999</v>
      </c>
      <c r="BO78" s="1601">
        <f t="shared" si="81"/>
        <v>23470.22182889999</v>
      </c>
      <c r="BP78" s="1602">
        <f t="shared" si="82"/>
        <v>93880.887315599961</v>
      </c>
      <c r="BQ78" s="1602"/>
      <c r="BR78" s="1602" t="s">
        <v>512</v>
      </c>
      <c r="BS78" s="1602">
        <v>0</v>
      </c>
      <c r="BT78" s="1602">
        <v>10</v>
      </c>
      <c r="BU78" s="1602">
        <v>10</v>
      </c>
      <c r="BV78" s="1602">
        <v>10</v>
      </c>
      <c r="BW78" s="1602">
        <v>10</v>
      </c>
      <c r="BX78" s="1362">
        <f t="shared" si="99"/>
        <v>234702.21828899989</v>
      </c>
      <c r="BY78" s="1362">
        <f t="shared" si="100"/>
        <v>234702.21828899989</v>
      </c>
      <c r="BZ78" s="1362">
        <f t="shared" si="101"/>
        <v>234702.21828899989</v>
      </c>
      <c r="CA78" s="1362">
        <f t="shared" si="102"/>
        <v>234702.21828899989</v>
      </c>
      <c r="CB78" s="1362">
        <f t="shared" si="103"/>
        <v>938808.87315599958</v>
      </c>
      <c r="CC78" s="1360">
        <v>10</v>
      </c>
      <c r="CD78" s="1360">
        <v>10</v>
      </c>
      <c r="CE78" s="1360">
        <v>10</v>
      </c>
      <c r="CF78" s="1360">
        <v>10</v>
      </c>
      <c r="CG78" s="1604">
        <f t="shared" si="83"/>
        <v>234702.21828899989</v>
      </c>
      <c r="CH78" s="1604">
        <f t="shared" si="84"/>
        <v>234702.21828899989</v>
      </c>
      <c r="CI78" s="1604">
        <f t="shared" si="85"/>
        <v>234702.21828899989</v>
      </c>
      <c r="CJ78" s="1604">
        <f t="shared" si="86"/>
        <v>234702.21828899989</v>
      </c>
      <c r="CK78" s="1521">
        <f t="shared" si="87"/>
        <v>938808.87315599958</v>
      </c>
      <c r="CL78" s="1132">
        <v>71</v>
      </c>
      <c r="CM78" s="1132" t="s">
        <v>356</v>
      </c>
      <c r="CN78" s="1359">
        <v>0</v>
      </c>
      <c r="CO78" s="1360">
        <v>2.4338999999999995</v>
      </c>
      <c r="CP78" s="1360">
        <v>2.4338999999999995</v>
      </c>
      <c r="CQ78" s="1360">
        <v>2.4338999999999995</v>
      </c>
      <c r="CR78" s="1360">
        <v>2.4338999999999995</v>
      </c>
      <c r="CS78" s="1362">
        <f t="shared" si="88"/>
        <v>23470.22182889999</v>
      </c>
      <c r="CT78" s="1362">
        <f t="shared" si="89"/>
        <v>23470.22182889999</v>
      </c>
      <c r="CU78" s="1362">
        <f t="shared" si="90"/>
        <v>23470.22182889999</v>
      </c>
      <c r="CV78" s="1362">
        <f t="shared" si="91"/>
        <v>23470.22182889999</v>
      </c>
      <c r="CW78" s="1362">
        <f t="shared" si="92"/>
        <v>93880.887315599961</v>
      </c>
      <c r="CY78" s="2887"/>
    </row>
    <row r="79" spans="1:118" s="1143" customFormat="1" ht="46.5" x14ac:dyDescent="0.35">
      <c r="A79" s="1132" t="s">
        <v>101</v>
      </c>
      <c r="B79" s="1132" t="s">
        <v>424</v>
      </c>
      <c r="C79" s="1132" t="s">
        <v>334</v>
      </c>
      <c r="D79" s="1359" t="s">
        <v>335</v>
      </c>
      <c r="E79" s="1359">
        <v>1</v>
      </c>
      <c r="F79" s="1780" t="s">
        <v>336</v>
      </c>
      <c r="G79" s="1132" t="s">
        <v>337</v>
      </c>
      <c r="H79" s="1360">
        <v>15783.233024999998</v>
      </c>
      <c r="I79" s="1360">
        <v>15783.233024999998</v>
      </c>
      <c r="J79" s="1360">
        <v>15783.233024999998</v>
      </c>
      <c r="K79" s="1360">
        <v>15783.233024999998</v>
      </c>
      <c r="L79" s="1132" t="s">
        <v>338</v>
      </c>
      <c r="M79" s="1132" t="str">
        <f t="shared" si="54"/>
        <v>Nicor Gas PY11-PY14 Adjustable Goals Template_2025-03-01, Tab 4.4.14</v>
      </c>
      <c r="N79" s="1361">
        <v>1.6846271672771671</v>
      </c>
      <c r="O79" s="1361">
        <v>1.6846271672771671</v>
      </c>
      <c r="P79" s="1361">
        <v>1.6846271672771671</v>
      </c>
      <c r="Q79" s="1361">
        <v>1.6846271672771671</v>
      </c>
      <c r="R79" s="1781">
        <v>0.86</v>
      </c>
      <c r="S79" s="1781">
        <v>0.86</v>
      </c>
      <c r="T79" s="1781">
        <v>0.86</v>
      </c>
      <c r="U79" s="1781">
        <v>0.86</v>
      </c>
      <c r="V79" s="1781">
        <v>0.86</v>
      </c>
      <c r="W79" s="1781">
        <v>0.86</v>
      </c>
      <c r="X79" s="1781">
        <v>0.86</v>
      </c>
      <c r="Y79" s="1781">
        <v>0.86</v>
      </c>
      <c r="Z79" s="1359">
        <v>1</v>
      </c>
      <c r="AA79" s="1781">
        <f t="shared" si="55"/>
        <v>0.86</v>
      </c>
      <c r="AB79" s="1781">
        <f t="shared" si="56"/>
        <v>0.86</v>
      </c>
      <c r="AC79" s="1781">
        <f t="shared" si="57"/>
        <v>0.86</v>
      </c>
      <c r="AD79" s="1781">
        <f t="shared" si="58"/>
        <v>0.86</v>
      </c>
      <c r="AE79" s="1781">
        <f t="shared" si="59"/>
        <v>0.86</v>
      </c>
      <c r="AF79" s="1781">
        <f t="shared" si="60"/>
        <v>0.86</v>
      </c>
      <c r="AG79" s="1781">
        <f t="shared" si="61"/>
        <v>0.86</v>
      </c>
      <c r="AH79" s="1781">
        <f t="shared" si="62"/>
        <v>0.86</v>
      </c>
      <c r="AI79" s="1362">
        <f t="shared" si="93"/>
        <v>22866.422301587812</v>
      </c>
      <c r="AJ79" s="1362">
        <f t="shared" si="94"/>
        <v>22866.422301587812</v>
      </c>
      <c r="AK79" s="1362">
        <f t="shared" si="95"/>
        <v>22866.422301587812</v>
      </c>
      <c r="AL79" s="1362">
        <f t="shared" si="96"/>
        <v>22866.422301587812</v>
      </c>
      <c r="AM79" s="1362">
        <f t="shared" si="97"/>
        <v>91465.68920635125</v>
      </c>
      <c r="AN79" s="1132" t="str">
        <f t="shared" si="63"/>
        <v>CI-HVC-PINS-V05-190101</v>
      </c>
      <c r="AO79" s="1132" t="str">
        <f t="shared" si="64"/>
        <v>Nicor Gas PY11-PY14 Adjustable Goals Template_2025-03-01, Tab 4.4.14</v>
      </c>
      <c r="AP79" s="2505">
        <f>'4.4.14'!$T$10</f>
        <v>1.6846271672771671</v>
      </c>
      <c r="AQ79" s="2505"/>
      <c r="AR79" s="2505">
        <f t="shared" si="65"/>
        <v>22866.422301587812</v>
      </c>
      <c r="AS79" s="2505">
        <f t="shared" si="66"/>
        <v>0</v>
      </c>
      <c r="AT79" s="1132" t="str">
        <f t="shared" si="67"/>
        <v>CI-HVC-PINS-V05-190101</v>
      </c>
      <c r="AU79" s="1132" t="str">
        <f t="shared" si="68"/>
        <v>Nicor Gas PY11-PY14 Adjustable Goals Template_2025-03-01, Tab 4.4.14</v>
      </c>
      <c r="AV79" s="2505">
        <f>'4.4.14'!$T$10</f>
        <v>1.6846271672771671</v>
      </c>
      <c r="AW79" s="2505"/>
      <c r="AX79" s="1362">
        <f t="shared" si="69"/>
        <v>22866.422301587812</v>
      </c>
      <c r="AY79" s="1360">
        <f t="shared" si="70"/>
        <v>0</v>
      </c>
      <c r="AZ79" s="1132" t="str">
        <f t="shared" si="71"/>
        <v>CI-HVC-PINS-V05-190101</v>
      </c>
      <c r="BA79" s="1132" t="str">
        <f t="shared" si="72"/>
        <v>Nicor Gas PY11-PY14 Adjustable Goals Template_2025-03-01, Tab 4.4.14</v>
      </c>
      <c r="BB79" s="2505">
        <f>'4.4.14'!$T$10</f>
        <v>1.6846271672771671</v>
      </c>
      <c r="BC79" s="2505"/>
      <c r="BD79" s="1362">
        <f t="shared" si="73"/>
        <v>22866.422301587812</v>
      </c>
      <c r="BE79" s="1360">
        <f t="shared" si="74"/>
        <v>0</v>
      </c>
      <c r="BF79" s="1132" t="str">
        <f t="shared" si="75"/>
        <v>CI-HVC-PINS-V05-190101</v>
      </c>
      <c r="BG79" s="1132" t="str">
        <f t="shared" si="76"/>
        <v>Nicor Gas PY11-PY14 Adjustable Goals Template_2025-03-01, Tab 4.4.14</v>
      </c>
      <c r="BH79" s="2505">
        <f>'4.4.14'!$T$10</f>
        <v>1.6846271672771671</v>
      </c>
      <c r="BI79" s="2505"/>
      <c r="BJ79" s="1362">
        <f t="shared" si="98"/>
        <v>22866.422301587812</v>
      </c>
      <c r="BK79" s="1360">
        <f t="shared" si="77"/>
        <v>0</v>
      </c>
      <c r="BL79" s="1601">
        <f t="shared" si="78"/>
        <v>22866.422301587812</v>
      </c>
      <c r="BM79" s="1601">
        <f t="shared" si="79"/>
        <v>22866.422301587812</v>
      </c>
      <c r="BN79" s="1601">
        <f t="shared" si="80"/>
        <v>22866.422301587812</v>
      </c>
      <c r="BO79" s="1601">
        <f t="shared" si="81"/>
        <v>22866.422301587812</v>
      </c>
      <c r="BP79" s="1602">
        <f t="shared" si="82"/>
        <v>91465.68920635125</v>
      </c>
      <c r="BQ79" s="1602"/>
      <c r="BR79" s="1602" t="s">
        <v>336</v>
      </c>
      <c r="BS79" s="1602">
        <v>0</v>
      </c>
      <c r="BT79" s="1602">
        <v>15</v>
      </c>
      <c r="BU79" s="1602">
        <v>15</v>
      </c>
      <c r="BV79" s="1602">
        <v>15</v>
      </c>
      <c r="BW79" s="1602">
        <v>15</v>
      </c>
      <c r="BX79" s="1362">
        <f t="shared" si="99"/>
        <v>342996.33452381718</v>
      </c>
      <c r="BY79" s="1362">
        <f t="shared" si="100"/>
        <v>342996.33452381718</v>
      </c>
      <c r="BZ79" s="1362">
        <f t="shared" si="101"/>
        <v>342996.33452381718</v>
      </c>
      <c r="CA79" s="1362">
        <f t="shared" si="102"/>
        <v>342996.33452381718</v>
      </c>
      <c r="CB79" s="1362">
        <f t="shared" si="103"/>
        <v>1371985.3380952687</v>
      </c>
      <c r="CC79" s="1360">
        <v>15</v>
      </c>
      <c r="CD79" s="1360">
        <v>15</v>
      </c>
      <c r="CE79" s="1360">
        <v>15</v>
      </c>
      <c r="CF79" s="1360">
        <v>15</v>
      </c>
      <c r="CG79" s="1604">
        <f t="shared" si="83"/>
        <v>342996.33452381718</v>
      </c>
      <c r="CH79" s="1604">
        <f t="shared" si="84"/>
        <v>342996.33452381718</v>
      </c>
      <c r="CI79" s="1604">
        <f t="shared" si="85"/>
        <v>342996.33452381718</v>
      </c>
      <c r="CJ79" s="1604">
        <f t="shared" si="86"/>
        <v>342996.33452381718</v>
      </c>
      <c r="CK79" s="1521">
        <f t="shared" si="87"/>
        <v>1371985.3380952687</v>
      </c>
      <c r="CL79" s="1132">
        <v>72</v>
      </c>
      <c r="CM79" s="1132" t="s">
        <v>337</v>
      </c>
      <c r="CN79" s="1359">
        <v>0</v>
      </c>
      <c r="CO79" s="1360">
        <v>15783.233024999998</v>
      </c>
      <c r="CP79" s="1360">
        <v>15783.233024999998</v>
      </c>
      <c r="CQ79" s="1360">
        <v>15783.233024999998</v>
      </c>
      <c r="CR79" s="1360">
        <v>15783.233024999998</v>
      </c>
      <c r="CS79" s="1362">
        <f t="shared" si="88"/>
        <v>22866.422301587812</v>
      </c>
      <c r="CT79" s="1362">
        <f t="shared" si="89"/>
        <v>22866.422301587812</v>
      </c>
      <c r="CU79" s="1362">
        <f t="shared" si="90"/>
        <v>22866.422301587812</v>
      </c>
      <c r="CV79" s="1362">
        <f t="shared" si="91"/>
        <v>22866.422301587812</v>
      </c>
      <c r="CW79" s="1362">
        <f t="shared" si="92"/>
        <v>91465.68920635125</v>
      </c>
      <c r="CY79" s="2887"/>
    </row>
    <row r="80" spans="1:118" s="1143" customFormat="1" ht="46.5" x14ac:dyDescent="0.35">
      <c r="A80" s="1132" t="s">
        <v>101</v>
      </c>
      <c r="B80" s="1132" t="s">
        <v>424</v>
      </c>
      <c r="C80" s="1132" t="s">
        <v>339</v>
      </c>
      <c r="D80" s="1359" t="s">
        <v>340</v>
      </c>
      <c r="E80" s="1359">
        <v>1</v>
      </c>
      <c r="F80" s="1780" t="s">
        <v>336</v>
      </c>
      <c r="G80" s="1132" t="s">
        <v>337</v>
      </c>
      <c r="H80" s="1360">
        <v>13487.456849999999</v>
      </c>
      <c r="I80" s="1360">
        <v>13487.456849999999</v>
      </c>
      <c r="J80" s="1360">
        <v>13487.456849999999</v>
      </c>
      <c r="K80" s="1360">
        <v>13487.456849999999</v>
      </c>
      <c r="L80" s="1132" t="s">
        <v>338</v>
      </c>
      <c r="M80" s="1132" t="str">
        <f t="shared" si="54"/>
        <v>Nicor Gas PY11-PY14 Adjustable Goals Template_2025-03-01, Tab 4.4.14</v>
      </c>
      <c r="N80" s="1361">
        <v>4.3477888475836428</v>
      </c>
      <c r="O80" s="1361">
        <v>4.3477888475836428</v>
      </c>
      <c r="P80" s="1361">
        <v>4.3477888475836428</v>
      </c>
      <c r="Q80" s="1361">
        <v>4.3477888475836428</v>
      </c>
      <c r="R80" s="1781">
        <v>0.86</v>
      </c>
      <c r="S80" s="1781">
        <v>0.86</v>
      </c>
      <c r="T80" s="1781">
        <v>0.86</v>
      </c>
      <c r="U80" s="1781">
        <v>0.86</v>
      </c>
      <c r="V80" s="1781">
        <v>0.86</v>
      </c>
      <c r="W80" s="1781">
        <v>0.86</v>
      </c>
      <c r="X80" s="1781">
        <v>0.86</v>
      </c>
      <c r="Y80" s="1781">
        <v>0.86</v>
      </c>
      <c r="Z80" s="1359">
        <v>1</v>
      </c>
      <c r="AA80" s="1781">
        <f t="shared" si="55"/>
        <v>0.86</v>
      </c>
      <c r="AB80" s="1781">
        <f t="shared" si="56"/>
        <v>0.86</v>
      </c>
      <c r="AC80" s="1781">
        <f t="shared" si="57"/>
        <v>0.86</v>
      </c>
      <c r="AD80" s="1781">
        <f t="shared" si="58"/>
        <v>0.86</v>
      </c>
      <c r="AE80" s="1781">
        <f t="shared" si="59"/>
        <v>0.86</v>
      </c>
      <c r="AF80" s="1781">
        <f t="shared" si="60"/>
        <v>0.86</v>
      </c>
      <c r="AG80" s="1781">
        <f t="shared" si="61"/>
        <v>0.86</v>
      </c>
      <c r="AH80" s="1781">
        <f t="shared" si="62"/>
        <v>0.86</v>
      </c>
      <c r="AI80" s="1362">
        <f t="shared" si="93"/>
        <v>50430.928448238221</v>
      </c>
      <c r="AJ80" s="1362">
        <f t="shared" si="94"/>
        <v>50430.928448238221</v>
      </c>
      <c r="AK80" s="1362">
        <f t="shared" si="95"/>
        <v>50430.928448238221</v>
      </c>
      <c r="AL80" s="1362">
        <f t="shared" si="96"/>
        <v>50430.928448238221</v>
      </c>
      <c r="AM80" s="1362">
        <f t="shared" si="97"/>
        <v>201723.71379295288</v>
      </c>
      <c r="AN80" s="1132" t="str">
        <f t="shared" si="63"/>
        <v>CI-HVC-PINS-V05-190101</v>
      </c>
      <c r="AO80" s="1132" t="str">
        <f t="shared" si="64"/>
        <v>Nicor Gas PY11-PY14 Adjustable Goals Template_2025-03-01, Tab 4.4.14</v>
      </c>
      <c r="AP80" s="2505">
        <f>'4.4.14'!$T$7</f>
        <v>4.3477888475836428</v>
      </c>
      <c r="AQ80" s="2505"/>
      <c r="AR80" s="2505">
        <f t="shared" si="65"/>
        <v>50430.928448238221</v>
      </c>
      <c r="AS80" s="2505">
        <f t="shared" si="66"/>
        <v>0</v>
      </c>
      <c r="AT80" s="1132" t="str">
        <f t="shared" si="67"/>
        <v>CI-HVC-PINS-V05-190101</v>
      </c>
      <c r="AU80" s="1132" t="str">
        <f t="shared" si="68"/>
        <v>Nicor Gas PY11-PY14 Adjustable Goals Template_2025-03-01, Tab 4.4.14</v>
      </c>
      <c r="AV80" s="2505">
        <f>'4.4.14'!$T$7</f>
        <v>4.3477888475836428</v>
      </c>
      <c r="AW80" s="2505"/>
      <c r="AX80" s="1362">
        <f t="shared" si="69"/>
        <v>50430.928448238221</v>
      </c>
      <c r="AY80" s="1360">
        <f t="shared" si="70"/>
        <v>0</v>
      </c>
      <c r="AZ80" s="1132" t="str">
        <f t="shared" si="71"/>
        <v>CI-HVC-PINS-V05-190101</v>
      </c>
      <c r="BA80" s="1132" t="str">
        <f t="shared" si="72"/>
        <v>Nicor Gas PY11-PY14 Adjustable Goals Template_2025-03-01, Tab 4.4.14</v>
      </c>
      <c r="BB80" s="2505">
        <f>'4.4.14'!$T$7</f>
        <v>4.3477888475836428</v>
      </c>
      <c r="BC80" s="2505"/>
      <c r="BD80" s="1362">
        <f t="shared" si="73"/>
        <v>50430.928448238221</v>
      </c>
      <c r="BE80" s="1360">
        <f t="shared" si="74"/>
        <v>0</v>
      </c>
      <c r="BF80" s="1132" t="str">
        <f t="shared" si="75"/>
        <v>CI-HVC-PINS-V05-190101</v>
      </c>
      <c r="BG80" s="1132" t="str">
        <f t="shared" si="76"/>
        <v>Nicor Gas PY11-PY14 Adjustable Goals Template_2025-03-01, Tab 4.4.14</v>
      </c>
      <c r="BH80" s="2505">
        <f>'4.4.14'!$T$7</f>
        <v>4.3477888475836428</v>
      </c>
      <c r="BI80" s="2505"/>
      <c r="BJ80" s="1362">
        <f t="shared" si="98"/>
        <v>50430.928448238221</v>
      </c>
      <c r="BK80" s="1360">
        <f t="shared" si="77"/>
        <v>0</v>
      </c>
      <c r="BL80" s="1601">
        <f t="shared" si="78"/>
        <v>50430.928448238221</v>
      </c>
      <c r="BM80" s="1601">
        <f t="shared" si="79"/>
        <v>50430.928448238221</v>
      </c>
      <c r="BN80" s="1601">
        <f t="shared" si="80"/>
        <v>50430.928448238221</v>
      </c>
      <c r="BO80" s="1601">
        <f t="shared" si="81"/>
        <v>50430.928448238221</v>
      </c>
      <c r="BP80" s="1602">
        <f t="shared" si="82"/>
        <v>201723.71379295288</v>
      </c>
      <c r="BQ80" s="1602"/>
      <c r="BR80" s="1602" t="s">
        <v>336</v>
      </c>
      <c r="BS80" s="1602">
        <v>0</v>
      </c>
      <c r="BT80" s="1602">
        <v>15</v>
      </c>
      <c r="BU80" s="1602">
        <v>15</v>
      </c>
      <c r="BV80" s="1602">
        <v>15</v>
      </c>
      <c r="BW80" s="1602">
        <v>15</v>
      </c>
      <c r="BX80" s="1362">
        <f t="shared" si="99"/>
        <v>756463.92672357336</v>
      </c>
      <c r="BY80" s="1362">
        <f t="shared" si="100"/>
        <v>756463.92672357336</v>
      </c>
      <c r="BZ80" s="1362">
        <f t="shared" si="101"/>
        <v>756463.92672357336</v>
      </c>
      <c r="CA80" s="1362">
        <f t="shared" si="102"/>
        <v>756463.92672357336</v>
      </c>
      <c r="CB80" s="1362">
        <f t="shared" si="103"/>
        <v>3025855.7068942934</v>
      </c>
      <c r="CC80" s="1360">
        <v>15</v>
      </c>
      <c r="CD80" s="1360">
        <v>15</v>
      </c>
      <c r="CE80" s="1360">
        <v>15</v>
      </c>
      <c r="CF80" s="1360">
        <v>15</v>
      </c>
      <c r="CG80" s="1604">
        <f t="shared" si="83"/>
        <v>756463.92672357336</v>
      </c>
      <c r="CH80" s="1604">
        <f t="shared" si="84"/>
        <v>756463.92672357336</v>
      </c>
      <c r="CI80" s="1604">
        <f t="shared" si="85"/>
        <v>756463.92672357336</v>
      </c>
      <c r="CJ80" s="1604">
        <f t="shared" si="86"/>
        <v>756463.92672357336</v>
      </c>
      <c r="CK80" s="1521">
        <f t="shared" si="87"/>
        <v>3025855.7068942934</v>
      </c>
      <c r="CL80" s="1132">
        <v>73</v>
      </c>
      <c r="CM80" s="1132" t="s">
        <v>337</v>
      </c>
      <c r="CN80" s="1359">
        <v>0</v>
      </c>
      <c r="CO80" s="1360">
        <v>13487.456849999999</v>
      </c>
      <c r="CP80" s="1360">
        <v>13487.456849999999</v>
      </c>
      <c r="CQ80" s="1360">
        <v>13487.456849999999</v>
      </c>
      <c r="CR80" s="1360">
        <v>13487.456849999999</v>
      </c>
      <c r="CS80" s="1362">
        <f t="shared" si="88"/>
        <v>50430.928448238221</v>
      </c>
      <c r="CT80" s="1362">
        <f t="shared" si="89"/>
        <v>50430.928448238221</v>
      </c>
      <c r="CU80" s="1362">
        <f t="shared" si="90"/>
        <v>50430.928448238221</v>
      </c>
      <c r="CV80" s="1362">
        <f t="shared" si="91"/>
        <v>50430.928448238221</v>
      </c>
      <c r="CW80" s="1362">
        <f t="shared" si="92"/>
        <v>201723.71379295288</v>
      </c>
      <c r="CY80" s="2887"/>
    </row>
    <row r="81" spans="1:118" s="1143" customFormat="1" ht="46.5" x14ac:dyDescent="0.35">
      <c r="A81" s="1132" t="s">
        <v>101</v>
      </c>
      <c r="B81" s="1132" t="s">
        <v>424</v>
      </c>
      <c r="C81" s="1132" t="s">
        <v>341</v>
      </c>
      <c r="D81" s="1359" t="s">
        <v>342</v>
      </c>
      <c r="E81" s="1359">
        <v>1</v>
      </c>
      <c r="F81" s="1780" t="s">
        <v>336</v>
      </c>
      <c r="G81" s="1132" t="s">
        <v>337</v>
      </c>
      <c r="H81" s="1360">
        <v>435.66810000000004</v>
      </c>
      <c r="I81" s="1360">
        <v>435.66810000000004</v>
      </c>
      <c r="J81" s="1360">
        <v>435.66810000000004</v>
      </c>
      <c r="K81" s="1360">
        <v>435.66810000000004</v>
      </c>
      <c r="L81" s="1132" t="s">
        <v>338</v>
      </c>
      <c r="M81" s="1132" t="str">
        <f t="shared" si="54"/>
        <v>Nicor Gas PY11-PY14 Adjustable Goals Template_2025-03-01, Tab 4.4.14</v>
      </c>
      <c r="N81" s="1361">
        <v>6.2725912019826513</v>
      </c>
      <c r="O81" s="1361">
        <v>6.2725912019826513</v>
      </c>
      <c r="P81" s="1361">
        <v>6.2725912019826513</v>
      </c>
      <c r="Q81" s="1361">
        <v>6.2725912019826513</v>
      </c>
      <c r="R81" s="1781">
        <v>0.86</v>
      </c>
      <c r="S81" s="1781">
        <v>0.86</v>
      </c>
      <c r="T81" s="1781">
        <v>0.86</v>
      </c>
      <c r="U81" s="1781">
        <v>0.86</v>
      </c>
      <c r="V81" s="1781">
        <v>0.86</v>
      </c>
      <c r="W81" s="1781">
        <v>0.86</v>
      </c>
      <c r="X81" s="1781">
        <v>0.86</v>
      </c>
      <c r="Y81" s="1781">
        <v>0.86</v>
      </c>
      <c r="Z81" s="1359">
        <v>1</v>
      </c>
      <c r="AA81" s="1781">
        <f t="shared" si="55"/>
        <v>0.86</v>
      </c>
      <c r="AB81" s="1781">
        <f t="shared" si="56"/>
        <v>0.86</v>
      </c>
      <c r="AC81" s="1781">
        <f t="shared" si="57"/>
        <v>0.86</v>
      </c>
      <c r="AD81" s="1781">
        <f t="shared" si="58"/>
        <v>0.86</v>
      </c>
      <c r="AE81" s="1781">
        <f t="shared" si="59"/>
        <v>0.86</v>
      </c>
      <c r="AF81" s="1781">
        <f t="shared" si="60"/>
        <v>0.86</v>
      </c>
      <c r="AG81" s="1781">
        <f t="shared" si="61"/>
        <v>0.86</v>
      </c>
      <c r="AH81" s="1781">
        <f t="shared" si="62"/>
        <v>0.86</v>
      </c>
      <c r="AI81" s="1362">
        <f t="shared" si="93"/>
        <v>2350.1803862982683</v>
      </c>
      <c r="AJ81" s="1362">
        <f t="shared" si="94"/>
        <v>2350.1803862982683</v>
      </c>
      <c r="AK81" s="1362">
        <f t="shared" si="95"/>
        <v>2350.1803862982683</v>
      </c>
      <c r="AL81" s="1362">
        <f t="shared" si="96"/>
        <v>2350.1803862982683</v>
      </c>
      <c r="AM81" s="1362">
        <f t="shared" si="97"/>
        <v>9400.7215451930733</v>
      </c>
      <c r="AN81" s="1132" t="str">
        <f t="shared" si="63"/>
        <v>CI-HVC-PINS-V05-190101</v>
      </c>
      <c r="AO81" s="1132" t="str">
        <f t="shared" si="64"/>
        <v>Nicor Gas PY11-PY14 Adjustable Goals Template_2025-03-01, Tab 4.4.14</v>
      </c>
      <c r="AP81" s="2505">
        <f>'4.4.14'!$T$12</f>
        <v>6.2725912019826513</v>
      </c>
      <c r="AQ81" s="2505"/>
      <c r="AR81" s="2505">
        <f t="shared" si="65"/>
        <v>2350.1803862982683</v>
      </c>
      <c r="AS81" s="2505">
        <f t="shared" si="66"/>
        <v>0</v>
      </c>
      <c r="AT81" s="1132" t="str">
        <f t="shared" si="67"/>
        <v>CI-HVC-PINS-V05-190101</v>
      </c>
      <c r="AU81" s="1132" t="str">
        <f t="shared" si="68"/>
        <v>Nicor Gas PY11-PY14 Adjustable Goals Template_2025-03-01, Tab 4.4.14</v>
      </c>
      <c r="AV81" s="2505">
        <f>'4.4.14'!$T$12</f>
        <v>6.2725912019826513</v>
      </c>
      <c r="AW81" s="2505"/>
      <c r="AX81" s="1362">
        <f t="shared" si="69"/>
        <v>2350.1803862982683</v>
      </c>
      <c r="AY81" s="1360">
        <f t="shared" si="70"/>
        <v>0</v>
      </c>
      <c r="AZ81" s="1132" t="str">
        <f t="shared" si="71"/>
        <v>CI-HVC-PINS-V05-190101</v>
      </c>
      <c r="BA81" s="1132" t="str">
        <f t="shared" si="72"/>
        <v>Nicor Gas PY11-PY14 Adjustable Goals Template_2025-03-01, Tab 4.4.14</v>
      </c>
      <c r="BB81" s="2505">
        <f>'4.4.14'!$T$12</f>
        <v>6.2725912019826513</v>
      </c>
      <c r="BC81" s="2505"/>
      <c r="BD81" s="1362">
        <f t="shared" si="73"/>
        <v>2350.1803862982683</v>
      </c>
      <c r="BE81" s="1360">
        <f t="shared" si="74"/>
        <v>0</v>
      </c>
      <c r="BF81" s="1132" t="str">
        <f t="shared" si="75"/>
        <v>CI-HVC-PINS-V05-190101</v>
      </c>
      <c r="BG81" s="1132" t="str">
        <f t="shared" si="76"/>
        <v>Nicor Gas PY11-PY14 Adjustable Goals Template_2025-03-01, Tab 4.4.14</v>
      </c>
      <c r="BH81" s="2505">
        <f>'4.4.14'!$T$12</f>
        <v>6.2725912019826513</v>
      </c>
      <c r="BI81" s="2505"/>
      <c r="BJ81" s="1362">
        <f t="shared" si="98"/>
        <v>2350.1803862982683</v>
      </c>
      <c r="BK81" s="1360">
        <f t="shared" si="77"/>
        <v>0</v>
      </c>
      <c r="BL81" s="1601">
        <f t="shared" si="78"/>
        <v>2350.1803862982683</v>
      </c>
      <c r="BM81" s="1601">
        <f t="shared" si="79"/>
        <v>2350.1803862982683</v>
      </c>
      <c r="BN81" s="1601">
        <f t="shared" si="80"/>
        <v>2350.1803862982683</v>
      </c>
      <c r="BO81" s="1601">
        <f t="shared" si="81"/>
        <v>2350.1803862982683</v>
      </c>
      <c r="BP81" s="1602">
        <f t="shared" si="82"/>
        <v>9400.7215451930733</v>
      </c>
      <c r="BQ81" s="1602"/>
      <c r="BR81" s="1602" t="s">
        <v>336</v>
      </c>
      <c r="BS81" s="1602">
        <v>0</v>
      </c>
      <c r="BT81" s="1602">
        <v>15</v>
      </c>
      <c r="BU81" s="1602">
        <v>15</v>
      </c>
      <c r="BV81" s="1602">
        <v>15</v>
      </c>
      <c r="BW81" s="1602">
        <v>15</v>
      </c>
      <c r="BX81" s="1362">
        <f t="shared" si="99"/>
        <v>35252.705794474023</v>
      </c>
      <c r="BY81" s="1362">
        <f t="shared" si="100"/>
        <v>35252.705794474023</v>
      </c>
      <c r="BZ81" s="1362">
        <f t="shared" si="101"/>
        <v>35252.705794474023</v>
      </c>
      <c r="CA81" s="1362">
        <f t="shared" si="102"/>
        <v>35252.705794474023</v>
      </c>
      <c r="CB81" s="1362">
        <f t="shared" si="103"/>
        <v>141010.82317789609</v>
      </c>
      <c r="CC81" s="1360">
        <v>15</v>
      </c>
      <c r="CD81" s="1360">
        <v>15</v>
      </c>
      <c r="CE81" s="1360">
        <v>15</v>
      </c>
      <c r="CF81" s="1360">
        <v>15</v>
      </c>
      <c r="CG81" s="1604">
        <f t="shared" si="83"/>
        <v>35252.705794474023</v>
      </c>
      <c r="CH81" s="1604">
        <f t="shared" si="84"/>
        <v>35252.705794474023</v>
      </c>
      <c r="CI81" s="1604">
        <f t="shared" si="85"/>
        <v>35252.705794474023</v>
      </c>
      <c r="CJ81" s="1604">
        <f t="shared" si="86"/>
        <v>35252.705794474023</v>
      </c>
      <c r="CK81" s="1521">
        <f t="shared" si="87"/>
        <v>141010.82317789609</v>
      </c>
      <c r="CL81" s="1132">
        <v>74</v>
      </c>
      <c r="CM81" s="1132" t="s">
        <v>337</v>
      </c>
      <c r="CN81" s="1359">
        <v>0</v>
      </c>
      <c r="CO81" s="1360">
        <v>435.66810000000004</v>
      </c>
      <c r="CP81" s="1360">
        <v>435.66810000000004</v>
      </c>
      <c r="CQ81" s="1360">
        <v>435.66810000000004</v>
      </c>
      <c r="CR81" s="1360">
        <v>435.66810000000004</v>
      </c>
      <c r="CS81" s="1362">
        <f t="shared" si="88"/>
        <v>2350.1803862982683</v>
      </c>
      <c r="CT81" s="1362">
        <f t="shared" si="89"/>
        <v>2350.1803862982683</v>
      </c>
      <c r="CU81" s="1362">
        <f t="shared" si="90"/>
        <v>2350.1803862982683</v>
      </c>
      <c r="CV81" s="1362">
        <f t="shared" si="91"/>
        <v>2350.1803862982683</v>
      </c>
      <c r="CW81" s="1362">
        <f t="shared" si="92"/>
        <v>9400.7215451930733</v>
      </c>
      <c r="CY81" s="2887"/>
      <c r="DN81" s="1715"/>
    </row>
    <row r="82" spans="1:118" s="1143" customFormat="1" ht="15" customHeight="1" x14ac:dyDescent="0.35">
      <c r="A82" s="1132" t="s">
        <v>101</v>
      </c>
      <c r="B82" s="1132" t="s">
        <v>424</v>
      </c>
      <c r="C82" s="1132" t="s">
        <v>343</v>
      </c>
      <c r="D82" s="1359" t="s">
        <v>344</v>
      </c>
      <c r="E82" s="1359">
        <v>1</v>
      </c>
      <c r="F82" s="1780" t="s">
        <v>336</v>
      </c>
      <c r="G82" s="1132" t="s">
        <v>337</v>
      </c>
      <c r="H82" s="1360">
        <v>130.21364999999994</v>
      </c>
      <c r="I82" s="1360">
        <v>130.21364999999994</v>
      </c>
      <c r="J82" s="1360">
        <v>130.21364999999994</v>
      </c>
      <c r="K82" s="1360">
        <v>130.21364999999994</v>
      </c>
      <c r="L82" s="1132" t="s">
        <v>338</v>
      </c>
      <c r="M82" s="1132" t="str">
        <f t="shared" si="54"/>
        <v>Nicor Gas PY11-PY14 Adjustable Goals Template_2025-03-01, Tab 4.4.14</v>
      </c>
      <c r="N82" s="1361">
        <v>8.1973935563816607</v>
      </c>
      <c r="O82" s="1361">
        <v>8.1973935563816607</v>
      </c>
      <c r="P82" s="1361">
        <v>8.1973935563816607</v>
      </c>
      <c r="Q82" s="1361">
        <v>8.1973935563816607</v>
      </c>
      <c r="R82" s="1781">
        <v>0.86</v>
      </c>
      <c r="S82" s="1781">
        <v>0.86</v>
      </c>
      <c r="T82" s="1781">
        <v>0.86</v>
      </c>
      <c r="U82" s="1781">
        <v>0.86</v>
      </c>
      <c r="V82" s="1781">
        <v>0.86</v>
      </c>
      <c r="W82" s="1781">
        <v>0.86</v>
      </c>
      <c r="X82" s="1781">
        <v>0.86</v>
      </c>
      <c r="Y82" s="1781">
        <v>0.86</v>
      </c>
      <c r="Z82" s="1359">
        <v>1</v>
      </c>
      <c r="AA82" s="1781">
        <f t="shared" si="55"/>
        <v>0.86</v>
      </c>
      <c r="AB82" s="1781">
        <f t="shared" si="56"/>
        <v>0.86</v>
      </c>
      <c r="AC82" s="1781">
        <f t="shared" si="57"/>
        <v>0.86</v>
      </c>
      <c r="AD82" s="1781">
        <f t="shared" si="58"/>
        <v>0.86</v>
      </c>
      <c r="AE82" s="1781">
        <f t="shared" si="59"/>
        <v>0.86</v>
      </c>
      <c r="AF82" s="1781">
        <f t="shared" si="60"/>
        <v>0.86</v>
      </c>
      <c r="AG82" s="1781">
        <f t="shared" si="61"/>
        <v>0.86</v>
      </c>
      <c r="AH82" s="1781">
        <f t="shared" si="62"/>
        <v>0.86</v>
      </c>
      <c r="AI82" s="1362">
        <f t="shared" si="93"/>
        <v>917.97478049812526</v>
      </c>
      <c r="AJ82" s="1362">
        <f t="shared" si="94"/>
        <v>917.97478049812526</v>
      </c>
      <c r="AK82" s="1362">
        <f t="shared" si="95"/>
        <v>917.97478049812526</v>
      </c>
      <c r="AL82" s="1362">
        <f t="shared" si="96"/>
        <v>917.97478049812526</v>
      </c>
      <c r="AM82" s="1362">
        <f t="shared" si="97"/>
        <v>3671.899121992501</v>
      </c>
      <c r="AN82" s="1132" t="str">
        <f t="shared" si="63"/>
        <v>CI-HVC-PINS-V05-190101</v>
      </c>
      <c r="AO82" s="1132" t="str">
        <f t="shared" si="64"/>
        <v>Nicor Gas PY11-PY14 Adjustable Goals Template_2025-03-01, Tab 4.4.14</v>
      </c>
      <c r="AP82" s="2505">
        <f>'4.4.14'!$T$6</f>
        <v>8.1973935563816607</v>
      </c>
      <c r="AQ82" s="2505"/>
      <c r="AR82" s="2505">
        <f t="shared" si="65"/>
        <v>917.97478049812526</v>
      </c>
      <c r="AS82" s="2505">
        <f t="shared" si="66"/>
        <v>0</v>
      </c>
      <c r="AT82" s="1132" t="str">
        <f t="shared" si="67"/>
        <v>CI-HVC-PINS-V05-190101</v>
      </c>
      <c r="AU82" s="1132" t="str">
        <f t="shared" si="68"/>
        <v>Nicor Gas PY11-PY14 Adjustable Goals Template_2025-03-01, Tab 4.4.14</v>
      </c>
      <c r="AV82" s="2505">
        <f>'4.4.14'!$T$6</f>
        <v>8.1973935563816607</v>
      </c>
      <c r="AW82" s="2505"/>
      <c r="AX82" s="1362">
        <f t="shared" si="69"/>
        <v>917.97478049812526</v>
      </c>
      <c r="AY82" s="1360">
        <f t="shared" si="70"/>
        <v>0</v>
      </c>
      <c r="AZ82" s="1132" t="str">
        <f t="shared" si="71"/>
        <v>CI-HVC-PINS-V05-190101</v>
      </c>
      <c r="BA82" s="1132" t="str">
        <f t="shared" si="72"/>
        <v>Nicor Gas PY11-PY14 Adjustable Goals Template_2025-03-01, Tab 4.4.14</v>
      </c>
      <c r="BB82" s="2505">
        <f>'4.4.14'!$T$6</f>
        <v>8.1973935563816607</v>
      </c>
      <c r="BC82" s="2505"/>
      <c r="BD82" s="1362">
        <f t="shared" si="73"/>
        <v>917.97478049812526</v>
      </c>
      <c r="BE82" s="1360">
        <f t="shared" si="74"/>
        <v>0</v>
      </c>
      <c r="BF82" s="1132" t="str">
        <f t="shared" si="75"/>
        <v>CI-HVC-PINS-V05-190101</v>
      </c>
      <c r="BG82" s="1132" t="str">
        <f t="shared" si="76"/>
        <v>Nicor Gas PY11-PY14 Adjustable Goals Template_2025-03-01, Tab 4.4.14</v>
      </c>
      <c r="BH82" s="2505">
        <f>'4.4.14'!$T$6</f>
        <v>8.1973935563816607</v>
      </c>
      <c r="BI82" s="2505"/>
      <c r="BJ82" s="1362">
        <f t="shared" si="98"/>
        <v>917.97478049812526</v>
      </c>
      <c r="BK82" s="1360">
        <f t="shared" si="77"/>
        <v>0</v>
      </c>
      <c r="BL82" s="1601">
        <f t="shared" si="78"/>
        <v>917.97478049812526</v>
      </c>
      <c r="BM82" s="1601">
        <f t="shared" si="79"/>
        <v>917.97478049812526</v>
      </c>
      <c r="BN82" s="1601">
        <f t="shared" si="80"/>
        <v>917.97478049812526</v>
      </c>
      <c r="BO82" s="1601">
        <f t="shared" si="81"/>
        <v>917.97478049812526</v>
      </c>
      <c r="BP82" s="1602">
        <f t="shared" si="82"/>
        <v>3671.899121992501</v>
      </c>
      <c r="BQ82" s="1602"/>
      <c r="BR82" s="1602" t="s">
        <v>336</v>
      </c>
      <c r="BS82" s="1602">
        <v>0</v>
      </c>
      <c r="BT82" s="1602">
        <v>15</v>
      </c>
      <c r="BU82" s="1602">
        <v>15</v>
      </c>
      <c r="BV82" s="1602">
        <v>15</v>
      </c>
      <c r="BW82" s="1602">
        <v>15</v>
      </c>
      <c r="BX82" s="1362">
        <f t="shared" si="99"/>
        <v>13769.621707471879</v>
      </c>
      <c r="BY82" s="1362">
        <f t="shared" si="100"/>
        <v>13769.621707471879</v>
      </c>
      <c r="BZ82" s="1362">
        <f t="shared" si="101"/>
        <v>13769.621707471879</v>
      </c>
      <c r="CA82" s="1362">
        <f t="shared" si="102"/>
        <v>13769.621707471879</v>
      </c>
      <c r="CB82" s="1362">
        <f t="shared" si="103"/>
        <v>55078.486829887515</v>
      </c>
      <c r="CC82" s="1360">
        <v>15</v>
      </c>
      <c r="CD82" s="1360">
        <v>15</v>
      </c>
      <c r="CE82" s="1360">
        <v>15</v>
      </c>
      <c r="CF82" s="1360">
        <v>15</v>
      </c>
      <c r="CG82" s="1604">
        <f t="shared" si="83"/>
        <v>13769.621707471881</v>
      </c>
      <c r="CH82" s="1604">
        <f t="shared" si="84"/>
        <v>13769.621707471881</v>
      </c>
      <c r="CI82" s="1604">
        <f t="shared" si="85"/>
        <v>13769.621707471881</v>
      </c>
      <c r="CJ82" s="1604">
        <f t="shared" si="86"/>
        <v>13769.621707471881</v>
      </c>
      <c r="CK82" s="1521">
        <f t="shared" si="87"/>
        <v>55078.486829887523</v>
      </c>
      <c r="CL82" s="1132">
        <v>75</v>
      </c>
      <c r="CM82" s="1132" t="s">
        <v>337</v>
      </c>
      <c r="CN82" s="1359">
        <v>0</v>
      </c>
      <c r="CO82" s="1360">
        <v>130.21364999999994</v>
      </c>
      <c r="CP82" s="1360">
        <v>130.21364999999994</v>
      </c>
      <c r="CQ82" s="1360">
        <v>130.21364999999994</v>
      </c>
      <c r="CR82" s="1360">
        <v>130.21364999999994</v>
      </c>
      <c r="CS82" s="1362">
        <f t="shared" si="88"/>
        <v>917.97478049812526</v>
      </c>
      <c r="CT82" s="1362">
        <f t="shared" si="89"/>
        <v>917.97478049812526</v>
      </c>
      <c r="CU82" s="1362">
        <f t="shared" si="90"/>
        <v>917.97478049812526</v>
      </c>
      <c r="CV82" s="1362">
        <f t="shared" si="91"/>
        <v>917.97478049812526</v>
      </c>
      <c r="CW82" s="1362">
        <f t="shared" si="92"/>
        <v>3671.899121992501</v>
      </c>
      <c r="CY82" s="2887"/>
      <c r="DN82" s="1715"/>
    </row>
    <row r="83" spans="1:118" s="1143" customFormat="1" ht="15" customHeight="1" x14ac:dyDescent="0.35">
      <c r="A83" s="1132" t="s">
        <v>101</v>
      </c>
      <c r="B83" s="1132" t="s">
        <v>424</v>
      </c>
      <c r="C83" s="1132" t="s">
        <v>345</v>
      </c>
      <c r="D83" s="1359" t="s">
        <v>346</v>
      </c>
      <c r="E83" s="1359">
        <v>1</v>
      </c>
      <c r="F83" s="1780" t="s">
        <v>336</v>
      </c>
      <c r="G83" s="1132" t="s">
        <v>337</v>
      </c>
      <c r="H83" s="1360">
        <v>1417.74675</v>
      </c>
      <c r="I83" s="1360">
        <v>1417.74675</v>
      </c>
      <c r="J83" s="1360">
        <v>1417.74675</v>
      </c>
      <c r="K83" s="1360">
        <v>1417.74675</v>
      </c>
      <c r="L83" s="1132" t="s">
        <v>338</v>
      </c>
      <c r="M83" s="1132" t="str">
        <f t="shared" si="54"/>
        <v>Nicor Gas PY11-PY14 Adjustable Goals Template_2025-03-01, Tab 4.4.14</v>
      </c>
      <c r="N83" s="1361">
        <v>2.0533046641791044</v>
      </c>
      <c r="O83" s="1361">
        <v>2.0533046641791044</v>
      </c>
      <c r="P83" s="1361">
        <v>2.0533046641791044</v>
      </c>
      <c r="Q83" s="1361">
        <v>2.0533046641791044</v>
      </c>
      <c r="R83" s="1781">
        <v>0.86</v>
      </c>
      <c r="S83" s="1781">
        <v>0.86</v>
      </c>
      <c r="T83" s="1781">
        <v>0.86</v>
      </c>
      <c r="U83" s="1781">
        <v>0.86</v>
      </c>
      <c r="V83" s="1781">
        <v>0.86</v>
      </c>
      <c r="W83" s="1781">
        <v>0.86</v>
      </c>
      <c r="X83" s="1781">
        <v>0.86</v>
      </c>
      <c r="Y83" s="1781">
        <v>0.86</v>
      </c>
      <c r="Z83" s="1359">
        <v>1</v>
      </c>
      <c r="AA83" s="1781">
        <f t="shared" si="55"/>
        <v>0.86</v>
      </c>
      <c r="AB83" s="1781">
        <f t="shared" si="56"/>
        <v>0.86</v>
      </c>
      <c r="AC83" s="1781">
        <f t="shared" si="57"/>
        <v>0.86</v>
      </c>
      <c r="AD83" s="1781">
        <f t="shared" si="58"/>
        <v>0.86</v>
      </c>
      <c r="AE83" s="1781">
        <f t="shared" si="59"/>
        <v>0.86</v>
      </c>
      <c r="AF83" s="1781">
        <f t="shared" si="60"/>
        <v>0.86</v>
      </c>
      <c r="AG83" s="1781">
        <f t="shared" si="61"/>
        <v>0.86</v>
      </c>
      <c r="AH83" s="1781">
        <f t="shared" si="62"/>
        <v>0.86</v>
      </c>
      <c r="AI83" s="1362">
        <f t="shared" si="93"/>
        <v>2503.5167723837994</v>
      </c>
      <c r="AJ83" s="1362">
        <f t="shared" si="94"/>
        <v>2503.5167723837994</v>
      </c>
      <c r="AK83" s="1362">
        <f t="shared" si="95"/>
        <v>2503.5167723837994</v>
      </c>
      <c r="AL83" s="1362">
        <f t="shared" si="96"/>
        <v>2503.5167723837994</v>
      </c>
      <c r="AM83" s="1362">
        <f t="shared" si="97"/>
        <v>10014.067089535198</v>
      </c>
      <c r="AN83" s="1132" t="str">
        <f t="shared" si="63"/>
        <v>CI-HVC-PINS-V05-190101</v>
      </c>
      <c r="AO83" s="1132" t="str">
        <f t="shared" si="64"/>
        <v>Nicor Gas PY11-PY14 Adjustable Goals Template_2025-03-01, Tab 4.4.14</v>
      </c>
      <c r="AP83" s="2505">
        <f>'4.4.14'!$T$9</f>
        <v>2.0533046641791044</v>
      </c>
      <c r="AQ83" s="2505"/>
      <c r="AR83" s="2505">
        <f t="shared" si="65"/>
        <v>2503.5167723837994</v>
      </c>
      <c r="AS83" s="2505">
        <f t="shared" si="66"/>
        <v>0</v>
      </c>
      <c r="AT83" s="1132" t="str">
        <f t="shared" si="67"/>
        <v>CI-HVC-PINS-V05-190101</v>
      </c>
      <c r="AU83" s="1132" t="str">
        <f t="shared" si="68"/>
        <v>Nicor Gas PY11-PY14 Adjustable Goals Template_2025-03-01, Tab 4.4.14</v>
      </c>
      <c r="AV83" s="2505">
        <f>'4.4.14'!$T$9</f>
        <v>2.0533046641791044</v>
      </c>
      <c r="AW83" s="2505"/>
      <c r="AX83" s="1362">
        <f t="shared" si="69"/>
        <v>2503.5167723837994</v>
      </c>
      <c r="AY83" s="1360">
        <f t="shared" si="70"/>
        <v>0</v>
      </c>
      <c r="AZ83" s="1132" t="str">
        <f t="shared" si="71"/>
        <v>CI-HVC-PINS-V05-190101</v>
      </c>
      <c r="BA83" s="1132" t="str">
        <f t="shared" si="72"/>
        <v>Nicor Gas PY11-PY14 Adjustable Goals Template_2025-03-01, Tab 4.4.14</v>
      </c>
      <c r="BB83" s="2505">
        <f>'4.4.14'!$T$9</f>
        <v>2.0533046641791044</v>
      </c>
      <c r="BC83" s="2505"/>
      <c r="BD83" s="1362">
        <f t="shared" si="73"/>
        <v>2503.5167723837994</v>
      </c>
      <c r="BE83" s="1360">
        <f t="shared" si="74"/>
        <v>0</v>
      </c>
      <c r="BF83" s="1132" t="str">
        <f t="shared" si="75"/>
        <v>CI-HVC-PINS-V05-190101</v>
      </c>
      <c r="BG83" s="1132" t="str">
        <f t="shared" si="76"/>
        <v>Nicor Gas PY11-PY14 Adjustable Goals Template_2025-03-01, Tab 4.4.14</v>
      </c>
      <c r="BH83" s="2505">
        <f>'4.4.14'!$T$9</f>
        <v>2.0533046641791044</v>
      </c>
      <c r="BI83" s="2505"/>
      <c r="BJ83" s="1362">
        <f t="shared" si="98"/>
        <v>2503.5167723837994</v>
      </c>
      <c r="BK83" s="1360">
        <f t="shared" si="77"/>
        <v>0</v>
      </c>
      <c r="BL83" s="1601">
        <f t="shared" si="78"/>
        <v>2503.5167723837994</v>
      </c>
      <c r="BM83" s="1601">
        <f t="shared" si="79"/>
        <v>2503.5167723837994</v>
      </c>
      <c r="BN83" s="1601">
        <f t="shared" si="80"/>
        <v>2503.5167723837994</v>
      </c>
      <c r="BO83" s="1601">
        <f t="shared" si="81"/>
        <v>2503.5167723837994</v>
      </c>
      <c r="BP83" s="1602">
        <f t="shared" si="82"/>
        <v>10014.067089535198</v>
      </c>
      <c r="BQ83" s="1602"/>
      <c r="BR83" s="1602" t="s">
        <v>336</v>
      </c>
      <c r="BS83" s="1602">
        <v>0</v>
      </c>
      <c r="BT83" s="1602">
        <v>15</v>
      </c>
      <c r="BU83" s="1602">
        <v>15</v>
      </c>
      <c r="BV83" s="1602">
        <v>15</v>
      </c>
      <c r="BW83" s="1602">
        <v>15</v>
      </c>
      <c r="BX83" s="1362">
        <f t="shared" si="99"/>
        <v>37552.751585756989</v>
      </c>
      <c r="BY83" s="1362">
        <f t="shared" si="100"/>
        <v>37552.751585756989</v>
      </c>
      <c r="BZ83" s="1362">
        <f t="shared" si="101"/>
        <v>37552.751585756989</v>
      </c>
      <c r="CA83" s="1362">
        <f t="shared" si="102"/>
        <v>37552.751585756989</v>
      </c>
      <c r="CB83" s="1362">
        <f t="shared" si="103"/>
        <v>150211.00634302796</v>
      </c>
      <c r="CC83" s="1360">
        <v>15</v>
      </c>
      <c r="CD83" s="1360">
        <v>15</v>
      </c>
      <c r="CE83" s="1360">
        <v>15</v>
      </c>
      <c r="CF83" s="1360">
        <v>15</v>
      </c>
      <c r="CG83" s="1604">
        <f t="shared" si="83"/>
        <v>37552.751585756989</v>
      </c>
      <c r="CH83" s="1604">
        <f t="shared" si="84"/>
        <v>37552.751585756989</v>
      </c>
      <c r="CI83" s="1604">
        <f t="shared" si="85"/>
        <v>37552.751585756989</v>
      </c>
      <c r="CJ83" s="1604">
        <f t="shared" si="86"/>
        <v>37552.751585756989</v>
      </c>
      <c r="CK83" s="1521">
        <f t="shared" si="87"/>
        <v>150211.00634302796</v>
      </c>
      <c r="CL83" s="1132">
        <v>76</v>
      </c>
      <c r="CM83" s="1132" t="s">
        <v>337</v>
      </c>
      <c r="CN83" s="1359">
        <v>0</v>
      </c>
      <c r="CO83" s="1360">
        <v>1417.74675</v>
      </c>
      <c r="CP83" s="1360">
        <v>1417.74675</v>
      </c>
      <c r="CQ83" s="1360">
        <v>1417.74675</v>
      </c>
      <c r="CR83" s="1360">
        <v>1417.74675</v>
      </c>
      <c r="CS83" s="1362">
        <f t="shared" si="88"/>
        <v>2503.5167723837994</v>
      </c>
      <c r="CT83" s="1362">
        <f t="shared" si="89"/>
        <v>2503.5167723837994</v>
      </c>
      <c r="CU83" s="1362">
        <f t="shared" si="90"/>
        <v>2503.5167723837994</v>
      </c>
      <c r="CV83" s="1362">
        <f t="shared" si="91"/>
        <v>2503.5167723837994</v>
      </c>
      <c r="CW83" s="1362">
        <f t="shared" si="92"/>
        <v>10014.067089535198</v>
      </c>
      <c r="CY83" s="2887"/>
    </row>
    <row r="84" spans="1:118" s="1143" customFormat="1" ht="15" customHeight="1" x14ac:dyDescent="0.35">
      <c r="A84" s="1132" t="s">
        <v>101</v>
      </c>
      <c r="B84" s="1132" t="s">
        <v>424</v>
      </c>
      <c r="C84" s="1132" t="s">
        <v>347</v>
      </c>
      <c r="D84" s="1359" t="s">
        <v>348</v>
      </c>
      <c r="E84" s="1359">
        <v>1</v>
      </c>
      <c r="F84" s="1780" t="s">
        <v>336</v>
      </c>
      <c r="G84" s="1132" t="s">
        <v>337</v>
      </c>
      <c r="H84" s="1360">
        <v>74.233949999999979</v>
      </c>
      <c r="I84" s="1360">
        <v>74.233949999999979</v>
      </c>
      <c r="J84" s="1360">
        <v>74.233949999999979</v>
      </c>
      <c r="K84" s="1360">
        <v>74.233949999999979</v>
      </c>
      <c r="L84" s="1132" t="s">
        <v>338</v>
      </c>
      <c r="M84" s="1132" t="str">
        <f t="shared" si="54"/>
        <v>Nicor Gas PY11-PY14 Adjustable Goals Template_2025-03-01, Tab 4.4.14</v>
      </c>
      <c r="N84" s="1361">
        <v>7.4695851301115246</v>
      </c>
      <c r="O84" s="1361">
        <v>7.4695851301115246</v>
      </c>
      <c r="P84" s="1361">
        <v>7.4695851301115246</v>
      </c>
      <c r="Q84" s="1361">
        <v>7.4695851301115246</v>
      </c>
      <c r="R84" s="1781">
        <v>0.86</v>
      </c>
      <c r="S84" s="1781">
        <v>0.86</v>
      </c>
      <c r="T84" s="1781">
        <v>0.86</v>
      </c>
      <c r="U84" s="1781">
        <v>0.86</v>
      </c>
      <c r="V84" s="1781">
        <v>0.86</v>
      </c>
      <c r="W84" s="1781">
        <v>0.86</v>
      </c>
      <c r="X84" s="1781">
        <v>0.86</v>
      </c>
      <c r="Y84" s="1781">
        <v>0.86</v>
      </c>
      <c r="Z84" s="1359">
        <v>1</v>
      </c>
      <c r="AA84" s="1781">
        <f t="shared" si="55"/>
        <v>0.86</v>
      </c>
      <c r="AB84" s="1781">
        <f t="shared" si="56"/>
        <v>0.86</v>
      </c>
      <c r="AC84" s="1781">
        <f t="shared" si="57"/>
        <v>0.86</v>
      </c>
      <c r="AD84" s="1781">
        <f t="shared" si="58"/>
        <v>0.86</v>
      </c>
      <c r="AE84" s="1781">
        <f t="shared" si="59"/>
        <v>0.86</v>
      </c>
      <c r="AF84" s="1781">
        <f t="shared" si="60"/>
        <v>0.86</v>
      </c>
      <c r="AG84" s="1781">
        <f t="shared" si="61"/>
        <v>0.86</v>
      </c>
      <c r="AH84" s="1781">
        <f t="shared" si="62"/>
        <v>0.86</v>
      </c>
      <c r="AI84" s="1362">
        <f t="shared" si="93"/>
        <v>476.86725579972034</v>
      </c>
      <c r="AJ84" s="1362">
        <f t="shared" si="94"/>
        <v>476.86725579972034</v>
      </c>
      <c r="AK84" s="1362">
        <f t="shared" si="95"/>
        <v>476.86725579972034</v>
      </c>
      <c r="AL84" s="1362">
        <f t="shared" si="96"/>
        <v>476.86725579972034</v>
      </c>
      <c r="AM84" s="1362">
        <f t="shared" si="97"/>
        <v>1907.4690231988814</v>
      </c>
      <c r="AN84" s="1132" t="str">
        <f t="shared" si="63"/>
        <v>CI-HVC-PINS-V05-190101</v>
      </c>
      <c r="AO84" s="1132" t="str">
        <f t="shared" si="64"/>
        <v>Nicor Gas PY11-PY14 Adjustable Goals Template_2025-03-01, Tab 4.4.14</v>
      </c>
      <c r="AP84" s="2505">
        <f>'4.4.14'!$T$18</f>
        <v>7.4695851301115246</v>
      </c>
      <c r="AQ84" s="2505"/>
      <c r="AR84" s="2505">
        <f t="shared" si="65"/>
        <v>476.86725579972034</v>
      </c>
      <c r="AS84" s="2505">
        <f t="shared" si="66"/>
        <v>0</v>
      </c>
      <c r="AT84" s="1132" t="str">
        <f t="shared" si="67"/>
        <v>CI-HVC-PINS-V05-190101</v>
      </c>
      <c r="AU84" s="1132" t="str">
        <f t="shared" si="68"/>
        <v>Nicor Gas PY11-PY14 Adjustable Goals Template_2025-03-01, Tab 4.4.14</v>
      </c>
      <c r="AV84" s="2505">
        <f>'4.4.14'!$T$18</f>
        <v>7.4695851301115246</v>
      </c>
      <c r="AW84" s="2505"/>
      <c r="AX84" s="1362">
        <f t="shared" si="69"/>
        <v>476.86725579972034</v>
      </c>
      <c r="AY84" s="1360">
        <f t="shared" si="70"/>
        <v>0</v>
      </c>
      <c r="AZ84" s="1132" t="str">
        <f t="shared" si="71"/>
        <v>CI-HVC-PINS-V05-190101</v>
      </c>
      <c r="BA84" s="1132" t="str">
        <f t="shared" si="72"/>
        <v>Nicor Gas PY11-PY14 Adjustable Goals Template_2025-03-01, Tab 4.4.14</v>
      </c>
      <c r="BB84" s="2505">
        <f>'4.4.14'!$T$18</f>
        <v>7.4695851301115246</v>
      </c>
      <c r="BC84" s="2505"/>
      <c r="BD84" s="1362">
        <f t="shared" si="73"/>
        <v>476.86725579972034</v>
      </c>
      <c r="BE84" s="1360">
        <f t="shared" si="74"/>
        <v>0</v>
      </c>
      <c r="BF84" s="1132" t="str">
        <f t="shared" si="75"/>
        <v>CI-HVC-PINS-V05-190101</v>
      </c>
      <c r="BG84" s="1132" t="str">
        <f t="shared" si="76"/>
        <v>Nicor Gas PY11-PY14 Adjustable Goals Template_2025-03-01, Tab 4.4.14</v>
      </c>
      <c r="BH84" s="2505">
        <f>'4.4.14'!$T$18</f>
        <v>7.4695851301115246</v>
      </c>
      <c r="BI84" s="2505"/>
      <c r="BJ84" s="1362">
        <f t="shared" si="98"/>
        <v>476.86725579972034</v>
      </c>
      <c r="BK84" s="1360">
        <f t="shared" si="77"/>
        <v>0</v>
      </c>
      <c r="BL84" s="1601">
        <f t="shared" si="78"/>
        <v>476.86725579972034</v>
      </c>
      <c r="BM84" s="1601">
        <f t="shared" si="79"/>
        <v>476.86725579972034</v>
      </c>
      <c r="BN84" s="1601">
        <f t="shared" si="80"/>
        <v>476.86725579972034</v>
      </c>
      <c r="BO84" s="1601">
        <f t="shared" si="81"/>
        <v>476.86725579972034</v>
      </c>
      <c r="BP84" s="1602">
        <f t="shared" si="82"/>
        <v>1907.4690231988814</v>
      </c>
      <c r="BQ84" s="1602"/>
      <c r="BR84" s="1602" t="s">
        <v>336</v>
      </c>
      <c r="BS84" s="1602">
        <v>0</v>
      </c>
      <c r="BT84" s="1602">
        <v>15</v>
      </c>
      <c r="BU84" s="1602">
        <v>15</v>
      </c>
      <c r="BV84" s="1602">
        <v>15</v>
      </c>
      <c r="BW84" s="1602">
        <v>15</v>
      </c>
      <c r="BX84" s="1362">
        <f t="shared" si="99"/>
        <v>7153.0088369958048</v>
      </c>
      <c r="BY84" s="1362">
        <f t="shared" si="100"/>
        <v>7153.0088369958048</v>
      </c>
      <c r="BZ84" s="1362">
        <f t="shared" si="101"/>
        <v>7153.0088369958048</v>
      </c>
      <c r="CA84" s="1362">
        <f t="shared" si="102"/>
        <v>7153.0088369958048</v>
      </c>
      <c r="CB84" s="1362">
        <f t="shared" si="103"/>
        <v>28612.035347983219</v>
      </c>
      <c r="CC84" s="1360">
        <v>15</v>
      </c>
      <c r="CD84" s="1360">
        <v>15</v>
      </c>
      <c r="CE84" s="1360">
        <v>15</v>
      </c>
      <c r="CF84" s="1360">
        <v>15</v>
      </c>
      <c r="CG84" s="1604">
        <f t="shared" si="83"/>
        <v>7153.0088369958048</v>
      </c>
      <c r="CH84" s="1604">
        <f t="shared" si="84"/>
        <v>7153.0088369958048</v>
      </c>
      <c r="CI84" s="1604">
        <f t="shared" si="85"/>
        <v>7153.0088369958048</v>
      </c>
      <c r="CJ84" s="1604">
        <f t="shared" si="86"/>
        <v>7153.0088369958048</v>
      </c>
      <c r="CK84" s="1521">
        <f t="shared" si="87"/>
        <v>28612.035347983219</v>
      </c>
      <c r="CL84" s="1132">
        <v>77</v>
      </c>
      <c r="CM84" s="1132" t="s">
        <v>337</v>
      </c>
      <c r="CN84" s="1359">
        <v>0</v>
      </c>
      <c r="CO84" s="1360">
        <v>74.233949999999979</v>
      </c>
      <c r="CP84" s="1360">
        <v>74.233949999999979</v>
      </c>
      <c r="CQ84" s="1360">
        <v>74.233949999999979</v>
      </c>
      <c r="CR84" s="1360">
        <v>74.233949999999979</v>
      </c>
      <c r="CS84" s="1362">
        <f t="shared" si="88"/>
        <v>476.86725579972034</v>
      </c>
      <c r="CT84" s="1362">
        <f t="shared" si="89"/>
        <v>476.86725579972034</v>
      </c>
      <c r="CU84" s="1362">
        <f t="shared" si="90"/>
        <v>476.86725579972034</v>
      </c>
      <c r="CV84" s="1362">
        <f t="shared" si="91"/>
        <v>476.86725579972034</v>
      </c>
      <c r="CW84" s="1362">
        <f t="shared" si="92"/>
        <v>1907.4690231988814</v>
      </c>
      <c r="CY84" s="2887"/>
      <c r="DN84" s="1715"/>
    </row>
    <row r="85" spans="1:118" s="1143" customFormat="1" ht="46.5" x14ac:dyDescent="0.35">
      <c r="A85" s="1132" t="s">
        <v>101</v>
      </c>
      <c r="B85" s="1132" t="s">
        <v>424</v>
      </c>
      <c r="C85" s="1132" t="s">
        <v>349</v>
      </c>
      <c r="D85" s="1359" t="s">
        <v>350</v>
      </c>
      <c r="E85" s="1359">
        <v>1</v>
      </c>
      <c r="F85" s="1780" t="s">
        <v>336</v>
      </c>
      <c r="G85" s="1132" t="s">
        <v>337</v>
      </c>
      <c r="H85" s="1360">
        <v>323.70869999999996</v>
      </c>
      <c r="I85" s="1360">
        <v>323.70869999999996</v>
      </c>
      <c r="J85" s="1360">
        <v>323.70869999999996</v>
      </c>
      <c r="K85" s="1360">
        <v>323.70869999999996</v>
      </c>
      <c r="L85" s="1132" t="s">
        <v>338</v>
      </c>
      <c r="M85" s="1132" t="str">
        <f t="shared" si="54"/>
        <v>Nicor Gas PY11-PY14 Adjustable Goals Template_2025-03-01, Tab 4.4.14</v>
      </c>
      <c r="N85" s="1361">
        <v>10.776432713754645</v>
      </c>
      <c r="O85" s="1361">
        <v>10.776432713754645</v>
      </c>
      <c r="P85" s="1361">
        <v>10.776432713754645</v>
      </c>
      <c r="Q85" s="1361">
        <v>10.776432713754645</v>
      </c>
      <c r="R85" s="1781">
        <v>0.86</v>
      </c>
      <c r="S85" s="1781">
        <v>0.86</v>
      </c>
      <c r="T85" s="1781">
        <v>0.86</v>
      </c>
      <c r="U85" s="1781">
        <v>0.86</v>
      </c>
      <c r="V85" s="1781">
        <v>0.86</v>
      </c>
      <c r="W85" s="1781">
        <v>0.86</v>
      </c>
      <c r="X85" s="1781">
        <v>0.86</v>
      </c>
      <c r="Y85" s="1781">
        <v>0.86</v>
      </c>
      <c r="Z85" s="1359">
        <v>1</v>
      </c>
      <c r="AA85" s="1781">
        <f t="shared" si="55"/>
        <v>0.86</v>
      </c>
      <c r="AB85" s="1781">
        <f t="shared" si="56"/>
        <v>0.86</v>
      </c>
      <c r="AC85" s="1781">
        <f t="shared" si="57"/>
        <v>0.86</v>
      </c>
      <c r="AD85" s="1781">
        <f t="shared" si="58"/>
        <v>0.86</v>
      </c>
      <c r="AE85" s="1781">
        <f t="shared" si="59"/>
        <v>0.86</v>
      </c>
      <c r="AF85" s="1781">
        <f t="shared" si="60"/>
        <v>0.86</v>
      </c>
      <c r="AG85" s="1781">
        <f t="shared" si="61"/>
        <v>0.86</v>
      </c>
      <c r="AH85" s="1781">
        <f t="shared" si="62"/>
        <v>0.86</v>
      </c>
      <c r="AI85" s="1362">
        <f t="shared" si="93"/>
        <v>3000.0455209900092</v>
      </c>
      <c r="AJ85" s="1362">
        <f t="shared" si="94"/>
        <v>3000.0455209900092</v>
      </c>
      <c r="AK85" s="1362">
        <f t="shared" si="95"/>
        <v>3000.0455209900092</v>
      </c>
      <c r="AL85" s="1362">
        <f t="shared" si="96"/>
        <v>3000.0455209900092</v>
      </c>
      <c r="AM85" s="1362">
        <f t="shared" si="97"/>
        <v>12000.182083960037</v>
      </c>
      <c r="AN85" s="1132" t="str">
        <f t="shared" si="63"/>
        <v>CI-HVC-PINS-V05-190101</v>
      </c>
      <c r="AO85" s="1132" t="str">
        <f t="shared" si="64"/>
        <v>Nicor Gas PY11-PY14 Adjustable Goals Template_2025-03-01, Tab 4.4.14</v>
      </c>
      <c r="AP85" s="2505">
        <f>'4.4.14'!$T$17</f>
        <v>10.776432713754645</v>
      </c>
      <c r="AQ85" s="2505"/>
      <c r="AR85" s="2505">
        <f t="shared" si="65"/>
        <v>3000.0455209900092</v>
      </c>
      <c r="AS85" s="2505">
        <f t="shared" si="66"/>
        <v>0</v>
      </c>
      <c r="AT85" s="1132" t="str">
        <f t="shared" si="67"/>
        <v>CI-HVC-PINS-V05-190101</v>
      </c>
      <c r="AU85" s="1132" t="str">
        <f t="shared" si="68"/>
        <v>Nicor Gas PY11-PY14 Adjustable Goals Template_2025-03-01, Tab 4.4.14</v>
      </c>
      <c r="AV85" s="2505">
        <f>'4.4.14'!$T$17</f>
        <v>10.776432713754645</v>
      </c>
      <c r="AW85" s="2505"/>
      <c r="AX85" s="1362">
        <f t="shared" si="69"/>
        <v>3000.0455209900092</v>
      </c>
      <c r="AY85" s="1360">
        <f t="shared" si="70"/>
        <v>0</v>
      </c>
      <c r="AZ85" s="1132" t="str">
        <f t="shared" si="71"/>
        <v>CI-HVC-PINS-V05-190101</v>
      </c>
      <c r="BA85" s="1132" t="str">
        <f t="shared" si="72"/>
        <v>Nicor Gas PY11-PY14 Adjustable Goals Template_2025-03-01, Tab 4.4.14</v>
      </c>
      <c r="BB85" s="2505">
        <f>'4.4.14'!$T$17</f>
        <v>10.776432713754645</v>
      </c>
      <c r="BC85" s="2505"/>
      <c r="BD85" s="1362">
        <f t="shared" si="73"/>
        <v>3000.0455209900092</v>
      </c>
      <c r="BE85" s="1360">
        <f t="shared" si="74"/>
        <v>0</v>
      </c>
      <c r="BF85" s="1132" t="str">
        <f t="shared" si="75"/>
        <v>CI-HVC-PINS-V05-190101</v>
      </c>
      <c r="BG85" s="1132" t="str">
        <f t="shared" si="76"/>
        <v>Nicor Gas PY11-PY14 Adjustable Goals Template_2025-03-01, Tab 4.4.14</v>
      </c>
      <c r="BH85" s="2505">
        <f>'4.4.14'!$T$17</f>
        <v>10.776432713754645</v>
      </c>
      <c r="BI85" s="2505"/>
      <c r="BJ85" s="1362">
        <f t="shared" si="98"/>
        <v>3000.0455209900092</v>
      </c>
      <c r="BK85" s="1360">
        <f t="shared" si="77"/>
        <v>0</v>
      </c>
      <c r="BL85" s="1601">
        <f t="shared" si="78"/>
        <v>3000.0455209900092</v>
      </c>
      <c r="BM85" s="1601">
        <f t="shared" si="79"/>
        <v>3000.0455209900092</v>
      </c>
      <c r="BN85" s="1601">
        <f t="shared" si="80"/>
        <v>3000.0455209900092</v>
      </c>
      <c r="BO85" s="1601">
        <f t="shared" si="81"/>
        <v>3000.0455209900092</v>
      </c>
      <c r="BP85" s="1602">
        <f t="shared" si="82"/>
        <v>12000.182083960037</v>
      </c>
      <c r="BQ85" s="1602"/>
      <c r="BR85" s="1602" t="s">
        <v>336</v>
      </c>
      <c r="BS85" s="1602">
        <v>0</v>
      </c>
      <c r="BT85" s="1602">
        <v>15</v>
      </c>
      <c r="BU85" s="1602">
        <v>15</v>
      </c>
      <c r="BV85" s="1602">
        <v>15</v>
      </c>
      <c r="BW85" s="1602">
        <v>15</v>
      </c>
      <c r="BX85" s="1362">
        <f t="shared" si="99"/>
        <v>45000.682814850137</v>
      </c>
      <c r="BY85" s="1362">
        <f t="shared" si="100"/>
        <v>45000.682814850137</v>
      </c>
      <c r="BZ85" s="1362">
        <f t="shared" si="101"/>
        <v>45000.682814850137</v>
      </c>
      <c r="CA85" s="1362">
        <f t="shared" si="102"/>
        <v>45000.682814850137</v>
      </c>
      <c r="CB85" s="1362">
        <f t="shared" si="103"/>
        <v>180002.73125940055</v>
      </c>
      <c r="CC85" s="1360">
        <v>15</v>
      </c>
      <c r="CD85" s="1360">
        <v>15</v>
      </c>
      <c r="CE85" s="1360">
        <v>15</v>
      </c>
      <c r="CF85" s="1360">
        <v>15</v>
      </c>
      <c r="CG85" s="1604">
        <f t="shared" si="83"/>
        <v>45000.682814850144</v>
      </c>
      <c r="CH85" s="1604">
        <f t="shared" si="84"/>
        <v>45000.682814850144</v>
      </c>
      <c r="CI85" s="1604">
        <f t="shared" si="85"/>
        <v>45000.682814850144</v>
      </c>
      <c r="CJ85" s="1604">
        <f t="shared" si="86"/>
        <v>45000.682814850144</v>
      </c>
      <c r="CK85" s="1521">
        <f t="shared" si="87"/>
        <v>180002.73125940058</v>
      </c>
      <c r="CL85" s="1132">
        <v>78</v>
      </c>
      <c r="CM85" s="1132" t="s">
        <v>337</v>
      </c>
      <c r="CN85" s="1359">
        <v>0</v>
      </c>
      <c r="CO85" s="1360">
        <v>323.70869999999996</v>
      </c>
      <c r="CP85" s="1360">
        <v>323.70869999999996</v>
      </c>
      <c r="CQ85" s="1360">
        <v>323.70869999999996</v>
      </c>
      <c r="CR85" s="1360">
        <v>323.70869999999996</v>
      </c>
      <c r="CS85" s="1362">
        <f t="shared" si="88"/>
        <v>3000.0455209900092</v>
      </c>
      <c r="CT85" s="1362">
        <f t="shared" si="89"/>
        <v>3000.0455209900092</v>
      </c>
      <c r="CU85" s="1362">
        <f t="shared" si="90"/>
        <v>3000.0455209900092</v>
      </c>
      <c r="CV85" s="1362">
        <f t="shared" si="91"/>
        <v>3000.0455209900092</v>
      </c>
      <c r="CW85" s="1362">
        <f t="shared" si="92"/>
        <v>12000.182083960037</v>
      </c>
      <c r="CY85" s="2887"/>
      <c r="DN85" s="1715"/>
    </row>
    <row r="86" spans="1:118" s="1143" customFormat="1" ht="46.5" x14ac:dyDescent="0.35">
      <c r="A86" s="1132" t="s">
        <v>101</v>
      </c>
      <c r="B86" s="1132" t="s">
        <v>424</v>
      </c>
      <c r="C86" s="1132" t="s">
        <v>351</v>
      </c>
      <c r="D86" s="1359" t="s">
        <v>352</v>
      </c>
      <c r="E86" s="1359">
        <v>1</v>
      </c>
      <c r="F86" s="1780" t="s">
        <v>336</v>
      </c>
      <c r="G86" s="1132" t="s">
        <v>337</v>
      </c>
      <c r="H86" s="1360">
        <v>46.244099999999989</v>
      </c>
      <c r="I86" s="1360">
        <v>46.244099999999989</v>
      </c>
      <c r="J86" s="1360">
        <v>46.244099999999989</v>
      </c>
      <c r="K86" s="1360">
        <v>46.244099999999989</v>
      </c>
      <c r="L86" s="1132" t="s">
        <v>338</v>
      </c>
      <c r="M86" s="1132" t="str">
        <f t="shared" si="54"/>
        <v>Nicor Gas PY11-PY14 Adjustable Goals Template_2025-03-01, Tab 4.4.14</v>
      </c>
      <c r="N86" s="1361">
        <v>14.083280297397769</v>
      </c>
      <c r="O86" s="1361">
        <v>14.083280297397769</v>
      </c>
      <c r="P86" s="1361">
        <v>14.083280297397769</v>
      </c>
      <c r="Q86" s="1361">
        <v>14.083280297397769</v>
      </c>
      <c r="R86" s="1781">
        <v>0.86</v>
      </c>
      <c r="S86" s="1781">
        <v>0.86</v>
      </c>
      <c r="T86" s="1781">
        <v>0.86</v>
      </c>
      <c r="U86" s="1781">
        <v>0.86</v>
      </c>
      <c r="V86" s="1781">
        <v>0.86</v>
      </c>
      <c r="W86" s="1781">
        <v>0.86</v>
      </c>
      <c r="X86" s="1781">
        <v>0.86</v>
      </c>
      <c r="Y86" s="1781">
        <v>0.86</v>
      </c>
      <c r="Z86" s="1359">
        <v>1</v>
      </c>
      <c r="AA86" s="1781">
        <f t="shared" si="55"/>
        <v>0.86</v>
      </c>
      <c r="AB86" s="1781">
        <f t="shared" si="56"/>
        <v>0.86</v>
      </c>
      <c r="AC86" s="1781">
        <f t="shared" si="57"/>
        <v>0.86</v>
      </c>
      <c r="AD86" s="1781">
        <f t="shared" si="58"/>
        <v>0.86</v>
      </c>
      <c r="AE86" s="1781">
        <f t="shared" si="59"/>
        <v>0.86</v>
      </c>
      <c r="AF86" s="1781">
        <f t="shared" si="60"/>
        <v>0.86</v>
      </c>
      <c r="AG86" s="1781">
        <f t="shared" si="61"/>
        <v>0.86</v>
      </c>
      <c r="AH86" s="1781">
        <f t="shared" si="62"/>
        <v>0.86</v>
      </c>
      <c r="AI86" s="1362">
        <f t="shared" si="93"/>
        <v>560.09101526476718</v>
      </c>
      <c r="AJ86" s="1362">
        <f t="shared" si="94"/>
        <v>560.09101526476718</v>
      </c>
      <c r="AK86" s="1362">
        <f t="shared" si="95"/>
        <v>560.09101526476718</v>
      </c>
      <c r="AL86" s="1362">
        <f t="shared" si="96"/>
        <v>560.09101526476718</v>
      </c>
      <c r="AM86" s="1362">
        <f t="shared" si="97"/>
        <v>2240.3640610590687</v>
      </c>
      <c r="AN86" s="1132" t="str">
        <f t="shared" si="63"/>
        <v>CI-HVC-PINS-V05-190101</v>
      </c>
      <c r="AO86" s="1132" t="str">
        <f t="shared" si="64"/>
        <v>Nicor Gas PY11-PY14 Adjustable Goals Template_2025-03-01, Tab 4.4.14</v>
      </c>
      <c r="AP86" s="2505">
        <f>'4.4.14'!$T$16</f>
        <v>14.083280297397769</v>
      </c>
      <c r="AQ86" s="2505"/>
      <c r="AR86" s="2505">
        <f t="shared" si="65"/>
        <v>560.09101526476718</v>
      </c>
      <c r="AS86" s="2505">
        <f t="shared" si="66"/>
        <v>0</v>
      </c>
      <c r="AT86" s="1132" t="str">
        <f t="shared" si="67"/>
        <v>CI-HVC-PINS-V05-190101</v>
      </c>
      <c r="AU86" s="1132" t="str">
        <f t="shared" si="68"/>
        <v>Nicor Gas PY11-PY14 Adjustable Goals Template_2025-03-01, Tab 4.4.14</v>
      </c>
      <c r="AV86" s="2505">
        <f>'4.4.14'!$T$16</f>
        <v>14.083280297397769</v>
      </c>
      <c r="AW86" s="2505"/>
      <c r="AX86" s="1362">
        <f t="shared" si="69"/>
        <v>560.09101526476718</v>
      </c>
      <c r="AY86" s="1360">
        <f t="shared" si="70"/>
        <v>0</v>
      </c>
      <c r="AZ86" s="1132" t="str">
        <f t="shared" si="71"/>
        <v>CI-HVC-PINS-V05-190101</v>
      </c>
      <c r="BA86" s="1132" t="str">
        <f t="shared" si="72"/>
        <v>Nicor Gas PY11-PY14 Adjustable Goals Template_2025-03-01, Tab 4.4.14</v>
      </c>
      <c r="BB86" s="2505">
        <f>'4.4.14'!$T$16</f>
        <v>14.083280297397769</v>
      </c>
      <c r="BC86" s="2505"/>
      <c r="BD86" s="1362">
        <f t="shared" si="73"/>
        <v>560.09101526476718</v>
      </c>
      <c r="BE86" s="1360">
        <f t="shared" si="74"/>
        <v>0</v>
      </c>
      <c r="BF86" s="1132" t="str">
        <f t="shared" si="75"/>
        <v>CI-HVC-PINS-V05-190101</v>
      </c>
      <c r="BG86" s="1132" t="str">
        <f t="shared" si="76"/>
        <v>Nicor Gas PY11-PY14 Adjustable Goals Template_2025-03-01, Tab 4.4.14</v>
      </c>
      <c r="BH86" s="2505">
        <f>'4.4.14'!$T$16</f>
        <v>14.083280297397769</v>
      </c>
      <c r="BI86" s="2505"/>
      <c r="BJ86" s="1362">
        <f t="shared" si="98"/>
        <v>560.09101526476718</v>
      </c>
      <c r="BK86" s="1360">
        <f t="shared" si="77"/>
        <v>0</v>
      </c>
      <c r="BL86" s="1601">
        <f t="shared" si="78"/>
        <v>560.09101526476718</v>
      </c>
      <c r="BM86" s="1601">
        <f t="shared" si="79"/>
        <v>560.09101526476718</v>
      </c>
      <c r="BN86" s="1601">
        <f t="shared" si="80"/>
        <v>560.09101526476718</v>
      </c>
      <c r="BO86" s="1601">
        <f t="shared" si="81"/>
        <v>560.09101526476718</v>
      </c>
      <c r="BP86" s="1602">
        <f t="shared" si="82"/>
        <v>2240.3640610590687</v>
      </c>
      <c r="BQ86" s="1602"/>
      <c r="BR86" s="1602" t="s">
        <v>336</v>
      </c>
      <c r="BS86" s="1602">
        <v>0</v>
      </c>
      <c r="BT86" s="1602">
        <v>15</v>
      </c>
      <c r="BU86" s="1602">
        <v>15</v>
      </c>
      <c r="BV86" s="1602">
        <v>15</v>
      </c>
      <c r="BW86" s="1602">
        <v>15</v>
      </c>
      <c r="BX86" s="1362">
        <f t="shared" si="99"/>
        <v>8401.3652289715083</v>
      </c>
      <c r="BY86" s="1362">
        <f t="shared" si="100"/>
        <v>8401.3652289715083</v>
      </c>
      <c r="BZ86" s="1362">
        <f t="shared" si="101"/>
        <v>8401.3652289715083</v>
      </c>
      <c r="CA86" s="1362">
        <f t="shared" si="102"/>
        <v>8401.3652289715083</v>
      </c>
      <c r="CB86" s="1362">
        <f t="shared" si="103"/>
        <v>33605.460915886033</v>
      </c>
      <c r="CC86" s="1360">
        <v>15</v>
      </c>
      <c r="CD86" s="1360">
        <v>15</v>
      </c>
      <c r="CE86" s="1360">
        <v>15</v>
      </c>
      <c r="CF86" s="1360">
        <v>15</v>
      </c>
      <c r="CG86" s="1604">
        <f t="shared" si="83"/>
        <v>8401.3652289715083</v>
      </c>
      <c r="CH86" s="1604">
        <f t="shared" si="84"/>
        <v>8401.3652289715083</v>
      </c>
      <c r="CI86" s="1604">
        <f t="shared" si="85"/>
        <v>8401.3652289715083</v>
      </c>
      <c r="CJ86" s="1604">
        <f t="shared" si="86"/>
        <v>8401.3652289715083</v>
      </c>
      <c r="CK86" s="1521">
        <f t="shared" si="87"/>
        <v>33605.460915886033</v>
      </c>
      <c r="CL86" s="1132">
        <v>79</v>
      </c>
      <c r="CM86" s="1132" t="s">
        <v>337</v>
      </c>
      <c r="CN86" s="1359">
        <v>0</v>
      </c>
      <c r="CO86" s="1360">
        <v>46.244099999999989</v>
      </c>
      <c r="CP86" s="1360">
        <v>46.244099999999989</v>
      </c>
      <c r="CQ86" s="1360">
        <v>46.244099999999989</v>
      </c>
      <c r="CR86" s="1360">
        <v>46.244099999999989</v>
      </c>
      <c r="CS86" s="1362">
        <f t="shared" si="88"/>
        <v>560.09101526476718</v>
      </c>
      <c r="CT86" s="1362">
        <f t="shared" si="89"/>
        <v>560.09101526476718</v>
      </c>
      <c r="CU86" s="1362">
        <f t="shared" si="90"/>
        <v>560.09101526476718</v>
      </c>
      <c r="CV86" s="1362">
        <f t="shared" si="91"/>
        <v>560.09101526476718</v>
      </c>
      <c r="CW86" s="1362">
        <f t="shared" si="92"/>
        <v>2240.3640610590687</v>
      </c>
      <c r="CY86" s="2887"/>
      <c r="DN86" s="1715"/>
    </row>
    <row r="87" spans="1:118" s="1143" customFormat="1" ht="46.5" x14ac:dyDescent="0.35">
      <c r="A87" s="1132" t="s">
        <v>101</v>
      </c>
      <c r="B87" s="1132" t="s">
        <v>424</v>
      </c>
      <c r="C87" s="1132" t="s">
        <v>514</v>
      </c>
      <c r="D87" s="1359" t="s">
        <v>515</v>
      </c>
      <c r="E87" s="1359">
        <v>1</v>
      </c>
      <c r="F87" s="1780" t="s">
        <v>515</v>
      </c>
      <c r="G87" s="1132" t="s">
        <v>337</v>
      </c>
      <c r="H87" s="1360">
        <v>372.38669999999996</v>
      </c>
      <c r="I87" s="1360">
        <v>372.38669999999996</v>
      </c>
      <c r="J87" s="1360">
        <v>372.38669999999996</v>
      </c>
      <c r="K87" s="1360">
        <v>372.38669999999996</v>
      </c>
      <c r="L87" s="1132" t="s">
        <v>516</v>
      </c>
      <c r="M87" s="1132" t="str">
        <f t="shared" si="54"/>
        <v>Nicor Gas PY11-PY14 Adjustable Goals Template_2025-03-01, Tab Customized TRM 4.4.14</v>
      </c>
      <c r="N87" s="1361">
        <v>14.012905292972208</v>
      </c>
      <c r="O87" s="1361">
        <v>14.012905292972208</v>
      </c>
      <c r="P87" s="1361">
        <v>14.012905292972208</v>
      </c>
      <c r="Q87" s="1361">
        <v>14.012905292972208</v>
      </c>
      <c r="R87" s="1781">
        <v>0.86</v>
      </c>
      <c r="S87" s="1781">
        <v>0.86</v>
      </c>
      <c r="T87" s="1781">
        <v>0.86</v>
      </c>
      <c r="U87" s="1781">
        <v>0.86</v>
      </c>
      <c r="V87" s="1781">
        <v>0.86</v>
      </c>
      <c r="W87" s="1781">
        <v>0.86</v>
      </c>
      <c r="X87" s="1781">
        <v>0.86</v>
      </c>
      <c r="Y87" s="1781">
        <v>0.86</v>
      </c>
      <c r="Z87" s="1359">
        <v>1</v>
      </c>
      <c r="AA87" s="1781">
        <f t="shared" si="55"/>
        <v>0.86</v>
      </c>
      <c r="AB87" s="1781">
        <f t="shared" si="56"/>
        <v>0.86</v>
      </c>
      <c r="AC87" s="1781">
        <f t="shared" si="57"/>
        <v>0.86</v>
      </c>
      <c r="AD87" s="1781">
        <f t="shared" si="58"/>
        <v>0.86</v>
      </c>
      <c r="AE87" s="1781">
        <f t="shared" si="59"/>
        <v>0.86</v>
      </c>
      <c r="AF87" s="1781">
        <f t="shared" si="60"/>
        <v>0.86</v>
      </c>
      <c r="AG87" s="1781">
        <f t="shared" si="61"/>
        <v>0.86</v>
      </c>
      <c r="AH87" s="1781">
        <f t="shared" si="62"/>
        <v>0.86</v>
      </c>
      <c r="AI87" s="1362">
        <f t="shared" si="93"/>
        <v>4487.6688211377104</v>
      </c>
      <c r="AJ87" s="1362">
        <f t="shared" si="94"/>
        <v>4487.6688211377104</v>
      </c>
      <c r="AK87" s="1362">
        <f t="shared" si="95"/>
        <v>4487.6688211377104</v>
      </c>
      <c r="AL87" s="1362">
        <f t="shared" si="96"/>
        <v>4487.6688211377104</v>
      </c>
      <c r="AM87" s="1362">
        <f t="shared" si="97"/>
        <v>17950.675284550842</v>
      </c>
      <c r="AN87" s="1132" t="str">
        <f t="shared" si="63"/>
        <v>C144</v>
      </c>
      <c r="AO87" s="1132" t="str">
        <f t="shared" si="64"/>
        <v>Nicor Gas PY11-PY14 Adjustable Goals Template_2025-03-01, Tab Customized TRM 4.4.14</v>
      </c>
      <c r="AP87" s="2505">
        <f>'Customized TRM 4.4.14'!$B$19</f>
        <v>14.012905292972208</v>
      </c>
      <c r="AQ87" s="2505"/>
      <c r="AR87" s="2505">
        <f t="shared" si="65"/>
        <v>4487.6688211377104</v>
      </c>
      <c r="AS87" s="2505">
        <f t="shared" si="66"/>
        <v>0</v>
      </c>
      <c r="AT87" s="1132" t="str">
        <f t="shared" si="67"/>
        <v>C144</v>
      </c>
      <c r="AU87" s="1132" t="str">
        <f t="shared" si="68"/>
        <v>Nicor Gas PY11-PY14 Adjustable Goals Template_2025-03-01, Tab Customized TRM 4.4.14</v>
      </c>
      <c r="AV87" s="2505">
        <f>'Customized TRM 4.4.14'!$B$19</f>
        <v>14.012905292972208</v>
      </c>
      <c r="AW87" s="2505"/>
      <c r="AX87" s="1362">
        <f t="shared" si="69"/>
        <v>4487.6688211377104</v>
      </c>
      <c r="AY87" s="1360">
        <f t="shared" si="70"/>
        <v>0</v>
      </c>
      <c r="AZ87" s="1132" t="str">
        <f t="shared" si="71"/>
        <v>C144</v>
      </c>
      <c r="BA87" s="1132" t="str">
        <f t="shared" si="72"/>
        <v>Nicor Gas PY11-PY14 Adjustable Goals Template_2025-03-01, Tab Customized TRM 4.4.14</v>
      </c>
      <c r="BB87" s="2505">
        <f>'Customized TRM 4.4.14'!$B$19</f>
        <v>14.012905292972208</v>
      </c>
      <c r="BC87" s="2505"/>
      <c r="BD87" s="1362">
        <f t="shared" si="73"/>
        <v>4487.6688211377104</v>
      </c>
      <c r="BE87" s="1360">
        <f t="shared" si="74"/>
        <v>0</v>
      </c>
      <c r="BF87" s="1132" t="str">
        <f t="shared" si="75"/>
        <v>C144</v>
      </c>
      <c r="BG87" s="1132" t="str">
        <f t="shared" si="76"/>
        <v>Nicor Gas PY11-PY14 Adjustable Goals Template_2025-03-01, Tab Customized TRM 4.4.14</v>
      </c>
      <c r="BH87" s="2505">
        <f>'Customized TRM 4.4.14'!$B$19</f>
        <v>14.012905292972208</v>
      </c>
      <c r="BI87" s="2505"/>
      <c r="BJ87" s="1362">
        <f t="shared" si="98"/>
        <v>4487.6688211377104</v>
      </c>
      <c r="BK87" s="1360">
        <f t="shared" si="77"/>
        <v>0</v>
      </c>
      <c r="BL87" s="1601">
        <f t="shared" si="78"/>
        <v>4487.6688211377104</v>
      </c>
      <c r="BM87" s="1601">
        <f t="shared" si="79"/>
        <v>4487.6688211377104</v>
      </c>
      <c r="BN87" s="1601">
        <f t="shared" si="80"/>
        <v>4487.6688211377104</v>
      </c>
      <c r="BO87" s="1601">
        <f t="shared" si="81"/>
        <v>4487.6688211377104</v>
      </c>
      <c r="BP87" s="1602">
        <f t="shared" si="82"/>
        <v>17950.675284550842</v>
      </c>
      <c r="BQ87" s="1602"/>
      <c r="BR87" s="1602" t="s">
        <v>515</v>
      </c>
      <c r="BS87" s="1602">
        <v>0</v>
      </c>
      <c r="BT87" s="1602">
        <v>15</v>
      </c>
      <c r="BU87" s="1602">
        <v>15</v>
      </c>
      <c r="BV87" s="1602">
        <v>15</v>
      </c>
      <c r="BW87" s="1602">
        <v>15</v>
      </c>
      <c r="BX87" s="1362">
        <f t="shared" si="99"/>
        <v>67315.032317065663</v>
      </c>
      <c r="BY87" s="1362">
        <f t="shared" si="100"/>
        <v>67315.032317065663</v>
      </c>
      <c r="BZ87" s="1362">
        <f t="shared" si="101"/>
        <v>67315.032317065663</v>
      </c>
      <c r="CA87" s="1362">
        <f t="shared" si="102"/>
        <v>67315.032317065663</v>
      </c>
      <c r="CB87" s="1362">
        <f t="shared" si="103"/>
        <v>269260.12926826265</v>
      </c>
      <c r="CC87" s="1360">
        <v>15</v>
      </c>
      <c r="CD87" s="1360">
        <v>15</v>
      </c>
      <c r="CE87" s="1360">
        <v>15</v>
      </c>
      <c r="CF87" s="1360">
        <v>15</v>
      </c>
      <c r="CG87" s="1604">
        <f t="shared" si="83"/>
        <v>67315.032317065648</v>
      </c>
      <c r="CH87" s="1604">
        <f t="shared" si="84"/>
        <v>67315.032317065648</v>
      </c>
      <c r="CI87" s="1604">
        <f t="shared" si="85"/>
        <v>67315.032317065648</v>
      </c>
      <c r="CJ87" s="1604">
        <f t="shared" si="86"/>
        <v>67315.032317065648</v>
      </c>
      <c r="CK87" s="1521">
        <f t="shared" si="87"/>
        <v>269260.12926826259</v>
      </c>
      <c r="CL87" s="1132">
        <v>80</v>
      </c>
      <c r="CM87" s="1132" t="s">
        <v>337</v>
      </c>
      <c r="CN87" s="1359">
        <v>0</v>
      </c>
      <c r="CO87" s="1360">
        <v>372.38669999999996</v>
      </c>
      <c r="CP87" s="1360">
        <v>372.38669999999996</v>
      </c>
      <c r="CQ87" s="1360">
        <v>372.38669999999996</v>
      </c>
      <c r="CR87" s="1360">
        <v>372.38669999999996</v>
      </c>
      <c r="CS87" s="1362">
        <f t="shared" si="88"/>
        <v>4487.6688211377104</v>
      </c>
      <c r="CT87" s="1362">
        <f t="shared" si="89"/>
        <v>4487.6688211377104</v>
      </c>
      <c r="CU87" s="1362">
        <f t="shared" si="90"/>
        <v>4487.6688211377104</v>
      </c>
      <c r="CV87" s="1362">
        <f t="shared" si="91"/>
        <v>4487.6688211377104</v>
      </c>
      <c r="CW87" s="1362">
        <f t="shared" si="92"/>
        <v>17950.675284550842</v>
      </c>
      <c r="CY87" s="2887"/>
      <c r="DN87" s="1715"/>
    </row>
    <row r="88" spans="1:118" s="1143" customFormat="1" ht="46.5" x14ac:dyDescent="0.35">
      <c r="A88" s="1132" t="s">
        <v>101</v>
      </c>
      <c r="B88" s="1132" t="s">
        <v>424</v>
      </c>
      <c r="C88" s="1132" t="s">
        <v>517</v>
      </c>
      <c r="D88" s="1359" t="s">
        <v>518</v>
      </c>
      <c r="E88" s="1359">
        <v>1</v>
      </c>
      <c r="F88" s="1780" t="s">
        <v>519</v>
      </c>
      <c r="G88" s="1132" t="s">
        <v>337</v>
      </c>
      <c r="H88" s="1360">
        <v>108.91702500000001</v>
      </c>
      <c r="I88" s="1360">
        <v>108.91702500000001</v>
      </c>
      <c r="J88" s="1360">
        <v>108.91702500000001</v>
      </c>
      <c r="K88" s="1360">
        <v>108.91702500000001</v>
      </c>
      <c r="L88" s="1132" t="s">
        <v>520</v>
      </c>
      <c r="M88" s="1132" t="str">
        <f t="shared" si="54"/>
        <v>Nicor Gas PY11-PY14 Adjustable Goals Template_2025-03-01, Tab 4.4.24</v>
      </c>
      <c r="N88" s="1361">
        <v>0.11928799999999999</v>
      </c>
      <c r="O88" s="1361">
        <v>0.11928799999999999</v>
      </c>
      <c r="P88" s="1361">
        <v>0.11928799999999999</v>
      </c>
      <c r="Q88" s="1361">
        <v>0.11928799999999999</v>
      </c>
      <c r="R88" s="1781">
        <v>0.86</v>
      </c>
      <c r="S88" s="1781">
        <v>0.86</v>
      </c>
      <c r="T88" s="1781">
        <v>0.86</v>
      </c>
      <c r="U88" s="1781">
        <v>0.86</v>
      </c>
      <c r="V88" s="1781">
        <v>0.86</v>
      </c>
      <c r="W88" s="1781">
        <v>0.86</v>
      </c>
      <c r="X88" s="1781">
        <v>0.86</v>
      </c>
      <c r="Y88" s="1781">
        <v>0.86</v>
      </c>
      <c r="Z88" s="1359">
        <v>1</v>
      </c>
      <c r="AA88" s="1781">
        <f t="shared" si="55"/>
        <v>0.86</v>
      </c>
      <c r="AB88" s="1781">
        <f t="shared" si="56"/>
        <v>0.86</v>
      </c>
      <c r="AC88" s="1781">
        <f t="shared" si="57"/>
        <v>0.86</v>
      </c>
      <c r="AD88" s="1781">
        <f t="shared" si="58"/>
        <v>0.86</v>
      </c>
      <c r="AE88" s="1781">
        <f t="shared" si="59"/>
        <v>0.86</v>
      </c>
      <c r="AF88" s="1781">
        <f t="shared" si="60"/>
        <v>0.86</v>
      </c>
      <c r="AG88" s="1781">
        <f t="shared" si="61"/>
        <v>0.86</v>
      </c>
      <c r="AH88" s="1781">
        <f t="shared" si="62"/>
        <v>0.86</v>
      </c>
      <c r="AI88" s="1362">
        <f t="shared" si="93"/>
        <v>11.173544907251999</v>
      </c>
      <c r="AJ88" s="1362">
        <f t="shared" si="94"/>
        <v>11.173544907251999</v>
      </c>
      <c r="AK88" s="1362">
        <f t="shared" si="95"/>
        <v>11.173544907251999</v>
      </c>
      <c r="AL88" s="1362">
        <f t="shared" si="96"/>
        <v>11.173544907251999</v>
      </c>
      <c r="AM88" s="1362">
        <f t="shared" si="97"/>
        <v>44.694179629007998</v>
      </c>
      <c r="AN88" s="1132" t="str">
        <f t="shared" si="63"/>
        <v>CI-HVC-SPIN-V02-160601</v>
      </c>
      <c r="AO88" s="1132" t="str">
        <f t="shared" si="64"/>
        <v>Nicor Gas PY11-PY14 Adjustable Goals Template_2025-03-01, Tab 4.4.24</v>
      </c>
      <c r="AP88" s="2506">
        <f>'4.4.24 '!$R$4</f>
        <v>0.11928799999999999</v>
      </c>
      <c r="AQ88" s="2505"/>
      <c r="AR88" s="2505">
        <f t="shared" si="65"/>
        <v>11.173544907251999</v>
      </c>
      <c r="AS88" s="2505">
        <f t="shared" si="66"/>
        <v>0</v>
      </c>
      <c r="AT88" s="1132" t="str">
        <f t="shared" si="67"/>
        <v>CI-HVC-SPIN-V02-160601</v>
      </c>
      <c r="AU88" s="1132" t="str">
        <f t="shared" si="68"/>
        <v>Nicor Gas PY11-PY14 Adjustable Goals Template_2025-03-01, Tab 4.4.24</v>
      </c>
      <c r="AV88" s="2506">
        <f>'4.4.24 '!$R$4</f>
        <v>0.11928799999999999</v>
      </c>
      <c r="AW88" s="2505"/>
      <c r="AX88" s="1362">
        <f t="shared" si="69"/>
        <v>11.173544907251999</v>
      </c>
      <c r="AY88" s="1360">
        <f t="shared" si="70"/>
        <v>0</v>
      </c>
      <c r="AZ88" s="1132" t="str">
        <f t="shared" si="71"/>
        <v>CI-HVC-SPIN-V02-160601</v>
      </c>
      <c r="BA88" s="1132" t="str">
        <f t="shared" si="72"/>
        <v>Nicor Gas PY11-PY14 Adjustable Goals Template_2025-03-01, Tab 4.4.24</v>
      </c>
      <c r="BB88" s="2506">
        <f>'4.4.24 '!$R$4</f>
        <v>0.11928799999999999</v>
      </c>
      <c r="BC88" s="2505"/>
      <c r="BD88" s="1362">
        <f t="shared" si="73"/>
        <v>11.173544907251999</v>
      </c>
      <c r="BE88" s="1360">
        <f t="shared" si="74"/>
        <v>0</v>
      </c>
      <c r="BF88" s="1132" t="str">
        <f t="shared" si="75"/>
        <v>CI-HVC-SPIN-V02-160601</v>
      </c>
      <c r="BG88" s="1132" t="str">
        <f t="shared" si="76"/>
        <v>Nicor Gas PY11-PY14 Adjustable Goals Template_2025-03-01, Tab 4.4.24</v>
      </c>
      <c r="BH88" s="2506">
        <f>'4.4.24 '!$R$4</f>
        <v>0.11928799999999999</v>
      </c>
      <c r="BI88" s="2505"/>
      <c r="BJ88" s="1362">
        <f t="shared" si="98"/>
        <v>11.173544907251999</v>
      </c>
      <c r="BK88" s="1360">
        <f t="shared" si="77"/>
        <v>0</v>
      </c>
      <c r="BL88" s="1601">
        <f t="shared" si="78"/>
        <v>11.173544907251999</v>
      </c>
      <c r="BM88" s="1601">
        <f t="shared" si="79"/>
        <v>11.173544907251999</v>
      </c>
      <c r="BN88" s="1601">
        <f t="shared" si="80"/>
        <v>11.173544907251999</v>
      </c>
      <c r="BO88" s="1601">
        <f t="shared" si="81"/>
        <v>11.173544907251999</v>
      </c>
      <c r="BP88" s="1602">
        <f t="shared" si="82"/>
        <v>44.694179629007998</v>
      </c>
      <c r="BQ88" s="1602"/>
      <c r="BR88" s="1602" t="s">
        <v>519</v>
      </c>
      <c r="BS88" s="1602">
        <v>0</v>
      </c>
      <c r="BT88" s="1602">
        <v>15</v>
      </c>
      <c r="BU88" s="1602">
        <v>15</v>
      </c>
      <c r="BV88" s="1602">
        <v>15</v>
      </c>
      <c r="BW88" s="1602">
        <v>15</v>
      </c>
      <c r="BX88" s="1362">
        <f t="shared" si="99"/>
        <v>167.60317360878</v>
      </c>
      <c r="BY88" s="1362">
        <f t="shared" si="100"/>
        <v>167.60317360878</v>
      </c>
      <c r="BZ88" s="1362">
        <f t="shared" si="101"/>
        <v>167.60317360878</v>
      </c>
      <c r="CA88" s="1362">
        <f t="shared" si="102"/>
        <v>167.60317360878</v>
      </c>
      <c r="CB88" s="1362">
        <f t="shared" si="103"/>
        <v>670.41269443511999</v>
      </c>
      <c r="CC88" s="1360">
        <v>15</v>
      </c>
      <c r="CD88" s="1360">
        <v>15</v>
      </c>
      <c r="CE88" s="1360">
        <v>15</v>
      </c>
      <c r="CF88" s="1360">
        <v>15</v>
      </c>
      <c r="CG88" s="1604">
        <f t="shared" si="83"/>
        <v>167.60317360878</v>
      </c>
      <c r="CH88" s="1604">
        <f t="shared" si="84"/>
        <v>167.60317360878</v>
      </c>
      <c r="CI88" s="1604">
        <f t="shared" si="85"/>
        <v>167.60317360878</v>
      </c>
      <c r="CJ88" s="1604">
        <f t="shared" si="86"/>
        <v>167.60317360878</v>
      </c>
      <c r="CK88" s="1521">
        <f t="shared" si="87"/>
        <v>670.41269443511999</v>
      </c>
      <c r="CL88" s="1132">
        <v>81</v>
      </c>
      <c r="CM88" s="1132" t="s">
        <v>337</v>
      </c>
      <c r="CN88" s="1359">
        <v>0</v>
      </c>
      <c r="CO88" s="1360">
        <v>108.91702500000001</v>
      </c>
      <c r="CP88" s="1360">
        <v>108.91702500000001</v>
      </c>
      <c r="CQ88" s="1360">
        <v>108.91702500000001</v>
      </c>
      <c r="CR88" s="1360">
        <v>108.91702500000001</v>
      </c>
      <c r="CS88" s="1362">
        <f t="shared" si="88"/>
        <v>11.173544907251999</v>
      </c>
      <c r="CT88" s="1362">
        <f t="shared" si="89"/>
        <v>11.173544907251999</v>
      </c>
      <c r="CU88" s="1362">
        <f t="shared" si="90"/>
        <v>11.173544907251999</v>
      </c>
      <c r="CV88" s="1362">
        <f t="shared" si="91"/>
        <v>11.173544907251999</v>
      </c>
      <c r="CW88" s="1362">
        <f t="shared" si="92"/>
        <v>44.694179629007998</v>
      </c>
      <c r="CY88" s="2887"/>
      <c r="DN88" s="1715"/>
    </row>
    <row r="89" spans="1:118" s="1143" customFormat="1" ht="46.5" x14ac:dyDescent="0.35">
      <c r="A89" s="1132" t="s">
        <v>101</v>
      </c>
      <c r="B89" s="1132" t="s">
        <v>424</v>
      </c>
      <c r="C89" s="1132" t="s">
        <v>521</v>
      </c>
      <c r="D89" s="1359" t="s">
        <v>522</v>
      </c>
      <c r="E89" s="1359">
        <v>1</v>
      </c>
      <c r="F89" s="1780" t="s">
        <v>519</v>
      </c>
      <c r="G89" s="1132" t="s">
        <v>337</v>
      </c>
      <c r="H89" s="1360">
        <v>128.99669999999998</v>
      </c>
      <c r="I89" s="1360">
        <v>128.99669999999998</v>
      </c>
      <c r="J89" s="1360">
        <v>128.99669999999998</v>
      </c>
      <c r="K89" s="1360">
        <v>128.99669999999998</v>
      </c>
      <c r="L89" s="1132" t="s">
        <v>520</v>
      </c>
      <c r="M89" s="1132" t="str">
        <f t="shared" si="54"/>
        <v>Nicor Gas PY11-PY14 Adjustable Goals Template_2025-03-01, Tab 4.4.24</v>
      </c>
      <c r="N89" s="1361">
        <v>0.14470700000000003</v>
      </c>
      <c r="O89" s="1361">
        <v>0.14470700000000003</v>
      </c>
      <c r="P89" s="1361">
        <v>0.14470700000000003</v>
      </c>
      <c r="Q89" s="1361">
        <v>0.14470700000000003</v>
      </c>
      <c r="R89" s="1781">
        <v>0.86</v>
      </c>
      <c r="S89" s="1781">
        <v>0.86</v>
      </c>
      <c r="T89" s="1781">
        <v>0.86</v>
      </c>
      <c r="U89" s="1781">
        <v>0.86</v>
      </c>
      <c r="V89" s="1781">
        <v>0.86</v>
      </c>
      <c r="W89" s="1781">
        <v>0.86</v>
      </c>
      <c r="X89" s="1781">
        <v>0.86</v>
      </c>
      <c r="Y89" s="1781">
        <v>0.86</v>
      </c>
      <c r="Z89" s="1359">
        <v>1</v>
      </c>
      <c r="AA89" s="1781">
        <f t="shared" si="55"/>
        <v>0.86</v>
      </c>
      <c r="AB89" s="1781">
        <f t="shared" si="56"/>
        <v>0.86</v>
      </c>
      <c r="AC89" s="1781">
        <f t="shared" si="57"/>
        <v>0.86</v>
      </c>
      <c r="AD89" s="1781">
        <f t="shared" si="58"/>
        <v>0.86</v>
      </c>
      <c r="AE89" s="1781">
        <f t="shared" si="59"/>
        <v>0.86</v>
      </c>
      <c r="AF89" s="1781">
        <f t="shared" si="60"/>
        <v>0.86</v>
      </c>
      <c r="AG89" s="1781">
        <f t="shared" si="61"/>
        <v>0.86</v>
      </c>
      <c r="AH89" s="1781">
        <f t="shared" si="62"/>
        <v>0.86</v>
      </c>
      <c r="AI89" s="1362">
        <f t="shared" si="93"/>
        <v>16.053383901534001</v>
      </c>
      <c r="AJ89" s="1362">
        <f t="shared" si="94"/>
        <v>16.053383901534001</v>
      </c>
      <c r="AK89" s="1362">
        <f t="shared" si="95"/>
        <v>16.053383901534001</v>
      </c>
      <c r="AL89" s="1362">
        <f t="shared" si="96"/>
        <v>16.053383901534001</v>
      </c>
      <c r="AM89" s="1362">
        <f t="shared" si="97"/>
        <v>64.213535606136006</v>
      </c>
      <c r="AN89" s="1132" t="str">
        <f t="shared" si="63"/>
        <v>CI-HVC-SPIN-V02-160601</v>
      </c>
      <c r="AO89" s="1132" t="str">
        <f t="shared" si="64"/>
        <v>Nicor Gas PY11-PY14 Adjustable Goals Template_2025-03-01, Tab 4.4.24</v>
      </c>
      <c r="AP89" s="2506">
        <f>'4.4.24 '!$R$5</f>
        <v>0.14470700000000003</v>
      </c>
      <c r="AQ89" s="2505"/>
      <c r="AR89" s="2505">
        <f t="shared" si="65"/>
        <v>16.053383901534001</v>
      </c>
      <c r="AS89" s="2505">
        <f t="shared" si="66"/>
        <v>0</v>
      </c>
      <c r="AT89" s="1132" t="str">
        <f t="shared" si="67"/>
        <v>CI-HVC-SPIN-V02-160601</v>
      </c>
      <c r="AU89" s="1132" t="str">
        <f t="shared" si="68"/>
        <v>Nicor Gas PY11-PY14 Adjustable Goals Template_2025-03-01, Tab 4.4.24</v>
      </c>
      <c r="AV89" s="2506">
        <f>'4.4.24 '!$R$5</f>
        <v>0.14470700000000003</v>
      </c>
      <c r="AW89" s="2505"/>
      <c r="AX89" s="1362">
        <f t="shared" si="69"/>
        <v>16.053383901534001</v>
      </c>
      <c r="AY89" s="1360">
        <f t="shared" si="70"/>
        <v>0</v>
      </c>
      <c r="AZ89" s="1132" t="str">
        <f t="shared" si="71"/>
        <v>CI-HVC-SPIN-V02-160601</v>
      </c>
      <c r="BA89" s="1132" t="str">
        <f t="shared" si="72"/>
        <v>Nicor Gas PY11-PY14 Adjustable Goals Template_2025-03-01, Tab 4.4.24</v>
      </c>
      <c r="BB89" s="2506">
        <f>'4.4.24 '!$R$5</f>
        <v>0.14470700000000003</v>
      </c>
      <c r="BC89" s="2505"/>
      <c r="BD89" s="1362">
        <f t="shared" si="73"/>
        <v>16.053383901534001</v>
      </c>
      <c r="BE89" s="1360">
        <f t="shared" si="74"/>
        <v>0</v>
      </c>
      <c r="BF89" s="1132" t="str">
        <f t="shared" si="75"/>
        <v>CI-HVC-SPIN-V02-160601</v>
      </c>
      <c r="BG89" s="1132" t="str">
        <f t="shared" si="76"/>
        <v>Nicor Gas PY11-PY14 Adjustable Goals Template_2025-03-01, Tab 4.4.24</v>
      </c>
      <c r="BH89" s="2506">
        <f>'4.4.24 '!$R$5</f>
        <v>0.14470700000000003</v>
      </c>
      <c r="BI89" s="2505"/>
      <c r="BJ89" s="1362">
        <f t="shared" si="98"/>
        <v>16.053383901534001</v>
      </c>
      <c r="BK89" s="1360">
        <f t="shared" si="77"/>
        <v>0</v>
      </c>
      <c r="BL89" s="1601">
        <f t="shared" si="78"/>
        <v>16.053383901534001</v>
      </c>
      <c r="BM89" s="1601">
        <f t="shared" si="79"/>
        <v>16.053383901534001</v>
      </c>
      <c r="BN89" s="1601">
        <f t="shared" si="80"/>
        <v>16.053383901534001</v>
      </c>
      <c r="BO89" s="1601">
        <f t="shared" si="81"/>
        <v>16.053383901534001</v>
      </c>
      <c r="BP89" s="1602">
        <f t="shared" si="82"/>
        <v>64.213535606136006</v>
      </c>
      <c r="BQ89" s="1602"/>
      <c r="BR89" s="1602" t="s">
        <v>519</v>
      </c>
      <c r="BS89" s="1602">
        <v>0</v>
      </c>
      <c r="BT89" s="1602">
        <v>15</v>
      </c>
      <c r="BU89" s="1602">
        <v>15</v>
      </c>
      <c r="BV89" s="1602">
        <v>15</v>
      </c>
      <c r="BW89" s="1602">
        <v>15</v>
      </c>
      <c r="BX89" s="1362">
        <f t="shared" si="99"/>
        <v>240.80075852301002</v>
      </c>
      <c r="BY89" s="1362">
        <f t="shared" si="100"/>
        <v>240.80075852301002</v>
      </c>
      <c r="BZ89" s="1362">
        <f t="shared" si="101"/>
        <v>240.80075852301002</v>
      </c>
      <c r="CA89" s="1362">
        <f t="shared" si="102"/>
        <v>240.80075852301002</v>
      </c>
      <c r="CB89" s="1362">
        <f t="shared" si="103"/>
        <v>963.20303409204007</v>
      </c>
      <c r="CC89" s="1360">
        <v>15</v>
      </c>
      <c r="CD89" s="1360">
        <v>15</v>
      </c>
      <c r="CE89" s="1360">
        <v>15</v>
      </c>
      <c r="CF89" s="1360">
        <v>15</v>
      </c>
      <c r="CG89" s="1604">
        <f t="shared" si="83"/>
        <v>240.80075852300996</v>
      </c>
      <c r="CH89" s="1604">
        <f t="shared" si="84"/>
        <v>240.80075852300996</v>
      </c>
      <c r="CI89" s="1604">
        <f t="shared" si="85"/>
        <v>240.80075852300996</v>
      </c>
      <c r="CJ89" s="1604">
        <f t="shared" si="86"/>
        <v>240.80075852300996</v>
      </c>
      <c r="CK89" s="1521">
        <f t="shared" si="87"/>
        <v>963.20303409203984</v>
      </c>
      <c r="CL89" s="1132">
        <v>82</v>
      </c>
      <c r="CM89" s="1132" t="s">
        <v>337</v>
      </c>
      <c r="CN89" s="1359">
        <v>0</v>
      </c>
      <c r="CO89" s="1360">
        <v>128.99669999999998</v>
      </c>
      <c r="CP89" s="1360">
        <v>128.99669999999998</v>
      </c>
      <c r="CQ89" s="1360">
        <v>128.99669999999998</v>
      </c>
      <c r="CR89" s="1360">
        <v>128.99669999999998</v>
      </c>
      <c r="CS89" s="1362">
        <f t="shared" si="88"/>
        <v>16.053383901534001</v>
      </c>
      <c r="CT89" s="1362">
        <f t="shared" si="89"/>
        <v>16.053383901534001</v>
      </c>
      <c r="CU89" s="1362">
        <f t="shared" si="90"/>
        <v>16.053383901534001</v>
      </c>
      <c r="CV89" s="1362">
        <f t="shared" si="91"/>
        <v>16.053383901534001</v>
      </c>
      <c r="CW89" s="1362">
        <f t="shared" si="92"/>
        <v>64.213535606136006</v>
      </c>
      <c r="CY89" s="2887"/>
      <c r="DN89" s="1715"/>
    </row>
    <row r="90" spans="1:118" s="1143" customFormat="1" ht="46.5" x14ac:dyDescent="0.35">
      <c r="A90" s="1132" t="s">
        <v>101</v>
      </c>
      <c r="B90" s="1132" t="s">
        <v>424</v>
      </c>
      <c r="C90" s="1132" t="s">
        <v>523</v>
      </c>
      <c r="D90" s="1359" t="s">
        <v>524</v>
      </c>
      <c r="E90" s="1359">
        <v>1</v>
      </c>
      <c r="F90" s="1780" t="s">
        <v>519</v>
      </c>
      <c r="G90" s="1132" t="s">
        <v>337</v>
      </c>
      <c r="H90" s="1360">
        <v>7.3016999999999985</v>
      </c>
      <c r="I90" s="1360">
        <v>7.3016999999999985</v>
      </c>
      <c r="J90" s="1360">
        <v>7.3016999999999985</v>
      </c>
      <c r="K90" s="1360">
        <v>7.3016999999999985</v>
      </c>
      <c r="L90" s="1132" t="s">
        <v>520</v>
      </c>
      <c r="M90" s="1132" t="str">
        <f t="shared" si="54"/>
        <v>Nicor Gas PY11-PY14 Adjustable Goals Template_2025-03-01, Tab 4.4.24</v>
      </c>
      <c r="N90" s="1361">
        <v>0.23165999999999998</v>
      </c>
      <c r="O90" s="1361">
        <v>0.23165999999999998</v>
      </c>
      <c r="P90" s="1361">
        <v>0.23165999999999998</v>
      </c>
      <c r="Q90" s="1361">
        <v>0.23165999999999998</v>
      </c>
      <c r="R90" s="1781">
        <v>0.86</v>
      </c>
      <c r="S90" s="1781">
        <v>0.86</v>
      </c>
      <c r="T90" s="1781">
        <v>0.86</v>
      </c>
      <c r="U90" s="1781">
        <v>0.86</v>
      </c>
      <c r="V90" s="1781">
        <v>0.86</v>
      </c>
      <c r="W90" s="1781">
        <v>0.86</v>
      </c>
      <c r="X90" s="1781">
        <v>0.86</v>
      </c>
      <c r="Y90" s="1781">
        <v>0.86</v>
      </c>
      <c r="Z90" s="1359">
        <v>1</v>
      </c>
      <c r="AA90" s="1781">
        <f t="shared" si="55"/>
        <v>0.86</v>
      </c>
      <c r="AB90" s="1781">
        <f t="shared" si="56"/>
        <v>0.86</v>
      </c>
      <c r="AC90" s="1781">
        <f t="shared" si="57"/>
        <v>0.86</v>
      </c>
      <c r="AD90" s="1781">
        <f t="shared" si="58"/>
        <v>0.86</v>
      </c>
      <c r="AE90" s="1781">
        <f t="shared" si="59"/>
        <v>0.86</v>
      </c>
      <c r="AF90" s="1781">
        <f t="shared" si="60"/>
        <v>0.86</v>
      </c>
      <c r="AG90" s="1781">
        <f t="shared" si="61"/>
        <v>0.86</v>
      </c>
      <c r="AH90" s="1781">
        <f t="shared" si="62"/>
        <v>0.86</v>
      </c>
      <c r="AI90" s="1362">
        <f t="shared" si="93"/>
        <v>1.4547001669199995</v>
      </c>
      <c r="AJ90" s="1362">
        <f t="shared" si="94"/>
        <v>1.4547001669199995</v>
      </c>
      <c r="AK90" s="1362">
        <f t="shared" si="95"/>
        <v>1.4547001669199995</v>
      </c>
      <c r="AL90" s="1362">
        <f t="shared" si="96"/>
        <v>1.4547001669199995</v>
      </c>
      <c r="AM90" s="1362">
        <f t="shared" si="97"/>
        <v>5.8188006676799979</v>
      </c>
      <c r="AN90" s="1132" t="str">
        <f t="shared" si="63"/>
        <v>CI-HVC-SPIN-V02-160601</v>
      </c>
      <c r="AO90" s="1132" t="str">
        <f t="shared" si="64"/>
        <v>Nicor Gas PY11-PY14 Adjustable Goals Template_2025-03-01, Tab 4.4.24</v>
      </c>
      <c r="AP90" s="2506">
        <f>'4.4.24 '!$R$6</f>
        <v>0.23165999999999998</v>
      </c>
      <c r="AQ90" s="2505"/>
      <c r="AR90" s="2505">
        <f t="shared" si="65"/>
        <v>1.4547001669199995</v>
      </c>
      <c r="AS90" s="2505">
        <f t="shared" si="66"/>
        <v>0</v>
      </c>
      <c r="AT90" s="1132" t="str">
        <f t="shared" si="67"/>
        <v>CI-HVC-SPIN-V02-160601</v>
      </c>
      <c r="AU90" s="1132" t="str">
        <f t="shared" si="68"/>
        <v>Nicor Gas PY11-PY14 Adjustable Goals Template_2025-03-01, Tab 4.4.24</v>
      </c>
      <c r="AV90" s="2506">
        <f>'4.4.24 '!$R$6</f>
        <v>0.23165999999999998</v>
      </c>
      <c r="AW90" s="2505"/>
      <c r="AX90" s="1362">
        <f t="shared" si="69"/>
        <v>1.4547001669199995</v>
      </c>
      <c r="AY90" s="1360">
        <f t="shared" si="70"/>
        <v>0</v>
      </c>
      <c r="AZ90" s="1132" t="str">
        <f t="shared" si="71"/>
        <v>CI-HVC-SPIN-V02-160601</v>
      </c>
      <c r="BA90" s="1132" t="str">
        <f t="shared" si="72"/>
        <v>Nicor Gas PY11-PY14 Adjustable Goals Template_2025-03-01, Tab 4.4.24</v>
      </c>
      <c r="BB90" s="2506">
        <f>'4.4.24 '!$R$6</f>
        <v>0.23165999999999998</v>
      </c>
      <c r="BC90" s="2505"/>
      <c r="BD90" s="1362">
        <f t="shared" si="73"/>
        <v>1.4547001669199995</v>
      </c>
      <c r="BE90" s="1360">
        <f t="shared" si="74"/>
        <v>0</v>
      </c>
      <c r="BF90" s="1132" t="str">
        <f t="shared" si="75"/>
        <v>CI-HVC-SPIN-V02-160601</v>
      </c>
      <c r="BG90" s="1132" t="str">
        <f t="shared" si="76"/>
        <v>Nicor Gas PY11-PY14 Adjustable Goals Template_2025-03-01, Tab 4.4.24</v>
      </c>
      <c r="BH90" s="2506">
        <f>'4.4.24 '!$R$6</f>
        <v>0.23165999999999998</v>
      </c>
      <c r="BI90" s="2505"/>
      <c r="BJ90" s="1362">
        <f t="shared" si="98"/>
        <v>1.4547001669199995</v>
      </c>
      <c r="BK90" s="1360">
        <f t="shared" si="77"/>
        <v>0</v>
      </c>
      <c r="BL90" s="1601">
        <f t="shared" si="78"/>
        <v>1.4547001669199995</v>
      </c>
      <c r="BM90" s="1601">
        <f t="shared" si="79"/>
        <v>1.4547001669199995</v>
      </c>
      <c r="BN90" s="1601">
        <f t="shared" si="80"/>
        <v>1.4547001669199995</v>
      </c>
      <c r="BO90" s="1601">
        <f t="shared" si="81"/>
        <v>1.4547001669199995</v>
      </c>
      <c r="BP90" s="1602">
        <f t="shared" si="82"/>
        <v>5.8188006676799979</v>
      </c>
      <c r="BQ90" s="1602"/>
      <c r="BR90" s="1602" t="s">
        <v>519</v>
      </c>
      <c r="BS90" s="1602">
        <v>0</v>
      </c>
      <c r="BT90" s="1602">
        <v>15</v>
      </c>
      <c r="BU90" s="1602">
        <v>15</v>
      </c>
      <c r="BV90" s="1602">
        <v>15</v>
      </c>
      <c r="BW90" s="1602">
        <v>15</v>
      </c>
      <c r="BX90" s="1362">
        <f t="shared" si="99"/>
        <v>21.820502503799993</v>
      </c>
      <c r="BY90" s="1362">
        <f t="shared" si="100"/>
        <v>21.820502503799993</v>
      </c>
      <c r="BZ90" s="1362">
        <f t="shared" si="101"/>
        <v>21.820502503799993</v>
      </c>
      <c r="CA90" s="1362">
        <f t="shared" si="102"/>
        <v>21.820502503799993</v>
      </c>
      <c r="CB90" s="1362">
        <f t="shared" si="103"/>
        <v>87.282010015199972</v>
      </c>
      <c r="CC90" s="1360">
        <v>15</v>
      </c>
      <c r="CD90" s="1360">
        <v>15</v>
      </c>
      <c r="CE90" s="1360">
        <v>15</v>
      </c>
      <c r="CF90" s="1360">
        <v>15</v>
      </c>
      <c r="CG90" s="1604">
        <f t="shared" si="83"/>
        <v>21.820502503799993</v>
      </c>
      <c r="CH90" s="1604">
        <f t="shared" si="84"/>
        <v>21.820502503799993</v>
      </c>
      <c r="CI90" s="1604">
        <f t="shared" si="85"/>
        <v>21.820502503799993</v>
      </c>
      <c r="CJ90" s="1604">
        <f t="shared" si="86"/>
        <v>21.820502503799993</v>
      </c>
      <c r="CK90" s="1521">
        <f t="shared" si="87"/>
        <v>87.282010015199972</v>
      </c>
      <c r="CL90" s="1132">
        <v>83</v>
      </c>
      <c r="CM90" s="1132" t="s">
        <v>337</v>
      </c>
      <c r="CN90" s="1359">
        <v>0</v>
      </c>
      <c r="CO90" s="1360">
        <v>7.3016999999999985</v>
      </c>
      <c r="CP90" s="1360">
        <v>7.3016999999999985</v>
      </c>
      <c r="CQ90" s="1360">
        <v>7.3016999999999985</v>
      </c>
      <c r="CR90" s="1360">
        <v>7.3016999999999985</v>
      </c>
      <c r="CS90" s="1362">
        <f t="shared" si="88"/>
        <v>1.4547001669199995</v>
      </c>
      <c r="CT90" s="1362">
        <f t="shared" si="89"/>
        <v>1.4547001669199995</v>
      </c>
      <c r="CU90" s="1362">
        <f t="shared" si="90"/>
        <v>1.4547001669199995</v>
      </c>
      <c r="CV90" s="1362">
        <f t="shared" si="91"/>
        <v>1.4547001669199995</v>
      </c>
      <c r="CW90" s="1362">
        <f t="shared" si="92"/>
        <v>5.8188006676799979</v>
      </c>
      <c r="CY90" s="2887"/>
      <c r="DN90" s="1715"/>
    </row>
    <row r="91" spans="1:118" s="1143" customFormat="1" ht="46.5" x14ac:dyDescent="0.35">
      <c r="A91" s="1132" t="s">
        <v>101</v>
      </c>
      <c r="B91" s="1132" t="s">
        <v>424</v>
      </c>
      <c r="C91" s="1132" t="s">
        <v>525</v>
      </c>
      <c r="D91" s="1359" t="s">
        <v>526</v>
      </c>
      <c r="E91" s="1359">
        <v>1</v>
      </c>
      <c r="F91" s="1780" t="s">
        <v>519</v>
      </c>
      <c r="G91" s="1132" t="s">
        <v>337</v>
      </c>
      <c r="H91" s="1360">
        <v>79.71022499999998</v>
      </c>
      <c r="I91" s="1360">
        <v>79.71022499999998</v>
      </c>
      <c r="J91" s="1360">
        <v>79.71022499999998</v>
      </c>
      <c r="K91" s="1360">
        <v>79.71022499999998</v>
      </c>
      <c r="L91" s="1132" t="s">
        <v>520</v>
      </c>
      <c r="M91" s="1132" t="str">
        <f t="shared" si="54"/>
        <v>Nicor Gas PY11-PY14 Adjustable Goals Template_2025-03-01, Tab 4.4.24</v>
      </c>
      <c r="N91" s="1361">
        <v>0.28106999999999999</v>
      </c>
      <c r="O91" s="1361">
        <v>0.28106999999999999</v>
      </c>
      <c r="P91" s="1361">
        <v>0.28106999999999999</v>
      </c>
      <c r="Q91" s="1361">
        <v>0.28106999999999999</v>
      </c>
      <c r="R91" s="1781">
        <v>0.86</v>
      </c>
      <c r="S91" s="1781">
        <v>0.86</v>
      </c>
      <c r="T91" s="1781">
        <v>0.86</v>
      </c>
      <c r="U91" s="1781">
        <v>0.86</v>
      </c>
      <c r="V91" s="1781">
        <v>0.86</v>
      </c>
      <c r="W91" s="1781">
        <v>0.86</v>
      </c>
      <c r="X91" s="1781">
        <v>0.86</v>
      </c>
      <c r="Y91" s="1781">
        <v>0.86</v>
      </c>
      <c r="Z91" s="1359">
        <v>1</v>
      </c>
      <c r="AA91" s="1781">
        <f t="shared" si="55"/>
        <v>0.86</v>
      </c>
      <c r="AB91" s="1781">
        <f t="shared" si="56"/>
        <v>0.86</v>
      </c>
      <c r="AC91" s="1781">
        <f t="shared" si="57"/>
        <v>0.86</v>
      </c>
      <c r="AD91" s="1781">
        <f t="shared" si="58"/>
        <v>0.86</v>
      </c>
      <c r="AE91" s="1781">
        <f t="shared" si="59"/>
        <v>0.86</v>
      </c>
      <c r="AF91" s="1781">
        <f t="shared" si="60"/>
        <v>0.86</v>
      </c>
      <c r="AG91" s="1781">
        <f t="shared" si="61"/>
        <v>0.86</v>
      </c>
      <c r="AH91" s="1781">
        <f t="shared" si="62"/>
        <v>0.86</v>
      </c>
      <c r="AI91" s="1362">
        <f t="shared" si="93"/>
        <v>19.267571529044993</v>
      </c>
      <c r="AJ91" s="1362">
        <f t="shared" si="94"/>
        <v>19.267571529044993</v>
      </c>
      <c r="AK91" s="1362">
        <f t="shared" si="95"/>
        <v>19.267571529044993</v>
      </c>
      <c r="AL91" s="1362">
        <f t="shared" si="96"/>
        <v>19.267571529044993</v>
      </c>
      <c r="AM91" s="1362">
        <f t="shared" si="97"/>
        <v>77.070286116179972</v>
      </c>
      <c r="AN91" s="1132" t="str">
        <f t="shared" si="63"/>
        <v>CI-HVC-SPIN-V02-160601</v>
      </c>
      <c r="AO91" s="1132" t="str">
        <f t="shared" si="64"/>
        <v>Nicor Gas PY11-PY14 Adjustable Goals Template_2025-03-01, Tab 4.4.24</v>
      </c>
      <c r="AP91" s="2506">
        <f>'4.4.24 '!$R$7</f>
        <v>0.28106999999999999</v>
      </c>
      <c r="AQ91" s="2505"/>
      <c r="AR91" s="2505">
        <f t="shared" si="65"/>
        <v>19.267571529044993</v>
      </c>
      <c r="AS91" s="2505">
        <f t="shared" si="66"/>
        <v>0</v>
      </c>
      <c r="AT91" s="1132" t="str">
        <f t="shared" si="67"/>
        <v>CI-HVC-SPIN-V02-160601</v>
      </c>
      <c r="AU91" s="1132" t="str">
        <f t="shared" si="68"/>
        <v>Nicor Gas PY11-PY14 Adjustable Goals Template_2025-03-01, Tab 4.4.24</v>
      </c>
      <c r="AV91" s="2506">
        <f>'4.4.24 '!$R$7</f>
        <v>0.28106999999999999</v>
      </c>
      <c r="AW91" s="2505"/>
      <c r="AX91" s="1362">
        <f t="shared" si="69"/>
        <v>19.267571529044993</v>
      </c>
      <c r="AY91" s="1360">
        <f t="shared" si="70"/>
        <v>0</v>
      </c>
      <c r="AZ91" s="1132" t="str">
        <f t="shared" si="71"/>
        <v>CI-HVC-SPIN-V02-160601</v>
      </c>
      <c r="BA91" s="1132" t="str">
        <f t="shared" si="72"/>
        <v>Nicor Gas PY11-PY14 Adjustable Goals Template_2025-03-01, Tab 4.4.24</v>
      </c>
      <c r="BB91" s="2506">
        <f>'4.4.24 '!$R$7</f>
        <v>0.28106999999999999</v>
      </c>
      <c r="BC91" s="2505"/>
      <c r="BD91" s="1362">
        <f t="shared" si="73"/>
        <v>19.267571529044993</v>
      </c>
      <c r="BE91" s="1360">
        <f t="shared" si="74"/>
        <v>0</v>
      </c>
      <c r="BF91" s="1132" t="str">
        <f t="shared" si="75"/>
        <v>CI-HVC-SPIN-V02-160601</v>
      </c>
      <c r="BG91" s="1132" t="str">
        <f t="shared" si="76"/>
        <v>Nicor Gas PY11-PY14 Adjustable Goals Template_2025-03-01, Tab 4.4.24</v>
      </c>
      <c r="BH91" s="2506">
        <f>'4.4.24 '!$R$7</f>
        <v>0.28106999999999999</v>
      </c>
      <c r="BI91" s="2505"/>
      <c r="BJ91" s="1362">
        <f t="shared" si="98"/>
        <v>19.267571529044993</v>
      </c>
      <c r="BK91" s="1360">
        <f t="shared" si="77"/>
        <v>0</v>
      </c>
      <c r="BL91" s="1601">
        <f t="shared" si="78"/>
        <v>19.267571529044993</v>
      </c>
      <c r="BM91" s="1601">
        <f t="shared" si="79"/>
        <v>19.267571529044993</v>
      </c>
      <c r="BN91" s="1601">
        <f t="shared" si="80"/>
        <v>19.267571529044993</v>
      </c>
      <c r="BO91" s="1601">
        <f t="shared" si="81"/>
        <v>19.267571529044993</v>
      </c>
      <c r="BP91" s="1602">
        <f t="shared" si="82"/>
        <v>77.070286116179972</v>
      </c>
      <c r="BQ91" s="1602"/>
      <c r="BR91" s="1602" t="s">
        <v>519</v>
      </c>
      <c r="BS91" s="1602">
        <v>0</v>
      </c>
      <c r="BT91" s="1602">
        <v>15</v>
      </c>
      <c r="BU91" s="1602">
        <v>15</v>
      </c>
      <c r="BV91" s="1602">
        <v>15</v>
      </c>
      <c r="BW91" s="1602">
        <v>15</v>
      </c>
      <c r="BX91" s="1362">
        <f t="shared" si="99"/>
        <v>289.01357293567492</v>
      </c>
      <c r="BY91" s="1362">
        <f t="shared" si="100"/>
        <v>289.01357293567492</v>
      </c>
      <c r="BZ91" s="1362">
        <f t="shared" si="101"/>
        <v>289.01357293567492</v>
      </c>
      <c r="CA91" s="1362">
        <f t="shared" si="102"/>
        <v>289.01357293567492</v>
      </c>
      <c r="CB91" s="1362">
        <f t="shared" si="103"/>
        <v>1156.0542917426997</v>
      </c>
      <c r="CC91" s="1360">
        <v>15</v>
      </c>
      <c r="CD91" s="1360">
        <v>15</v>
      </c>
      <c r="CE91" s="1360">
        <v>15</v>
      </c>
      <c r="CF91" s="1360">
        <v>15</v>
      </c>
      <c r="CG91" s="1604">
        <f t="shared" si="83"/>
        <v>289.01357293567492</v>
      </c>
      <c r="CH91" s="1604">
        <f t="shared" si="84"/>
        <v>289.01357293567492</v>
      </c>
      <c r="CI91" s="1604">
        <f t="shared" si="85"/>
        <v>289.01357293567492</v>
      </c>
      <c r="CJ91" s="1604">
        <f t="shared" si="86"/>
        <v>289.01357293567492</v>
      </c>
      <c r="CK91" s="1521">
        <f t="shared" si="87"/>
        <v>1156.0542917426997</v>
      </c>
      <c r="CL91" s="1132">
        <v>84</v>
      </c>
      <c r="CM91" s="1132" t="s">
        <v>337</v>
      </c>
      <c r="CN91" s="1359">
        <v>0</v>
      </c>
      <c r="CO91" s="1360">
        <v>79.71022499999998</v>
      </c>
      <c r="CP91" s="1360">
        <v>79.71022499999998</v>
      </c>
      <c r="CQ91" s="1360">
        <v>79.71022499999998</v>
      </c>
      <c r="CR91" s="1360">
        <v>79.71022499999998</v>
      </c>
      <c r="CS91" s="1362">
        <f t="shared" si="88"/>
        <v>19.267571529044993</v>
      </c>
      <c r="CT91" s="1362">
        <f t="shared" si="89"/>
        <v>19.267571529044993</v>
      </c>
      <c r="CU91" s="1362">
        <f t="shared" si="90"/>
        <v>19.267571529044993</v>
      </c>
      <c r="CV91" s="1362">
        <f t="shared" si="91"/>
        <v>19.267571529044993</v>
      </c>
      <c r="CW91" s="1362">
        <f t="shared" si="92"/>
        <v>77.070286116179972</v>
      </c>
      <c r="CY91" s="2887"/>
      <c r="DN91" s="1715"/>
    </row>
    <row r="92" spans="1:118" s="1143" customFormat="1" ht="46.5" x14ac:dyDescent="0.35">
      <c r="A92" s="1132" t="s">
        <v>101</v>
      </c>
      <c r="B92" s="1132" t="s">
        <v>424</v>
      </c>
      <c r="C92" s="1132" t="s">
        <v>527</v>
      </c>
      <c r="D92" s="1359" t="s">
        <v>528</v>
      </c>
      <c r="E92" s="1359">
        <v>1</v>
      </c>
      <c r="F92" s="1780" t="s">
        <v>336</v>
      </c>
      <c r="G92" s="1132" t="s">
        <v>337</v>
      </c>
      <c r="H92" s="1360">
        <v>60.239024999999998</v>
      </c>
      <c r="I92" s="1360">
        <v>60.239024999999998</v>
      </c>
      <c r="J92" s="1360">
        <v>60.239024999999998</v>
      </c>
      <c r="K92" s="1360">
        <v>60.239024999999998</v>
      </c>
      <c r="L92" s="1132" t="s">
        <v>338</v>
      </c>
      <c r="M92" s="1132" t="str">
        <f t="shared" si="54"/>
        <v>Nicor Gas PY11-PY14 Adjustable Goals Template_2025-03-01, Tab 4.4.14</v>
      </c>
      <c r="N92" s="1361">
        <v>23.69996336996337</v>
      </c>
      <c r="O92" s="1361">
        <v>23.69996336996337</v>
      </c>
      <c r="P92" s="1361">
        <v>23.69996336996337</v>
      </c>
      <c r="Q92" s="1361">
        <v>23.69996336996337</v>
      </c>
      <c r="R92" s="1781">
        <v>0.86</v>
      </c>
      <c r="S92" s="1781">
        <v>0.86</v>
      </c>
      <c r="T92" s="1781">
        <v>0.86</v>
      </c>
      <c r="U92" s="1781">
        <v>0.86</v>
      </c>
      <c r="V92" s="1781">
        <v>0.86</v>
      </c>
      <c r="W92" s="1781">
        <v>0.86</v>
      </c>
      <c r="X92" s="1781">
        <v>0.86</v>
      </c>
      <c r="Y92" s="1781">
        <v>0.86</v>
      </c>
      <c r="Z92" s="1359">
        <v>1</v>
      </c>
      <c r="AA92" s="1781">
        <f t="shared" si="55"/>
        <v>0.86</v>
      </c>
      <c r="AB92" s="1781">
        <f t="shared" si="56"/>
        <v>0.86</v>
      </c>
      <c r="AC92" s="1781">
        <f t="shared" si="57"/>
        <v>0.86</v>
      </c>
      <c r="AD92" s="1781">
        <f t="shared" si="58"/>
        <v>0.86</v>
      </c>
      <c r="AE92" s="1781">
        <f t="shared" si="59"/>
        <v>0.86</v>
      </c>
      <c r="AF92" s="1781">
        <f t="shared" si="60"/>
        <v>0.86</v>
      </c>
      <c r="AG92" s="1781">
        <f t="shared" si="61"/>
        <v>0.86</v>
      </c>
      <c r="AH92" s="1781">
        <f t="shared" si="62"/>
        <v>0.86</v>
      </c>
      <c r="AI92" s="1362">
        <f t="shared" si="93"/>
        <v>1227.7899099103845</v>
      </c>
      <c r="AJ92" s="1362">
        <f t="shared" si="94"/>
        <v>1227.7899099103845</v>
      </c>
      <c r="AK92" s="1362">
        <f t="shared" si="95"/>
        <v>1227.7899099103845</v>
      </c>
      <c r="AL92" s="1362">
        <f t="shared" si="96"/>
        <v>1227.7899099103845</v>
      </c>
      <c r="AM92" s="1362">
        <f t="shared" si="97"/>
        <v>4911.159639641538</v>
      </c>
      <c r="AN92" s="1132" t="str">
        <f t="shared" si="63"/>
        <v>CI-HVC-PINS-V05-190101</v>
      </c>
      <c r="AO92" s="1132" t="str">
        <f t="shared" si="64"/>
        <v>Nicor Gas PY11-PY14 Adjustable Goals Template_2025-03-01, Tab 4.4.14</v>
      </c>
      <c r="AP92" s="2505">
        <f>'4.4.14'!$T$8</f>
        <v>23.69996336996337</v>
      </c>
      <c r="AQ92" s="2505"/>
      <c r="AR92" s="2505">
        <f t="shared" si="65"/>
        <v>1227.7899099103845</v>
      </c>
      <c r="AS92" s="2505">
        <f t="shared" si="66"/>
        <v>0</v>
      </c>
      <c r="AT92" s="1132" t="str">
        <f t="shared" si="67"/>
        <v>CI-HVC-PINS-V05-190101</v>
      </c>
      <c r="AU92" s="1132" t="str">
        <f t="shared" si="68"/>
        <v>Nicor Gas PY11-PY14 Adjustable Goals Template_2025-03-01, Tab 4.4.14</v>
      </c>
      <c r="AV92" s="2505">
        <f>'4.4.14'!$T$8</f>
        <v>23.69996336996337</v>
      </c>
      <c r="AW92" s="2505"/>
      <c r="AX92" s="1362">
        <f t="shared" si="69"/>
        <v>1227.7899099103845</v>
      </c>
      <c r="AY92" s="1360">
        <f t="shared" si="70"/>
        <v>0</v>
      </c>
      <c r="AZ92" s="1132" t="str">
        <f t="shared" si="71"/>
        <v>CI-HVC-PINS-V05-190101</v>
      </c>
      <c r="BA92" s="1132" t="str">
        <f t="shared" si="72"/>
        <v>Nicor Gas PY11-PY14 Adjustable Goals Template_2025-03-01, Tab 4.4.14</v>
      </c>
      <c r="BB92" s="2505">
        <f>'4.4.14'!$T$8</f>
        <v>23.69996336996337</v>
      </c>
      <c r="BC92" s="2505"/>
      <c r="BD92" s="1362">
        <f t="shared" si="73"/>
        <v>1227.7899099103845</v>
      </c>
      <c r="BE92" s="1360">
        <f t="shared" si="74"/>
        <v>0</v>
      </c>
      <c r="BF92" s="1132" t="str">
        <f t="shared" si="75"/>
        <v>CI-HVC-PINS-V05-190101</v>
      </c>
      <c r="BG92" s="1132" t="str">
        <f t="shared" si="76"/>
        <v>Nicor Gas PY11-PY14 Adjustable Goals Template_2025-03-01, Tab 4.4.14</v>
      </c>
      <c r="BH92" s="2505">
        <f>'4.4.14'!$T$8</f>
        <v>23.69996336996337</v>
      </c>
      <c r="BI92" s="2505"/>
      <c r="BJ92" s="1362">
        <f t="shared" si="98"/>
        <v>1227.7899099103845</v>
      </c>
      <c r="BK92" s="1360">
        <f t="shared" si="77"/>
        <v>0</v>
      </c>
      <c r="BL92" s="1601">
        <f t="shared" si="78"/>
        <v>1227.7899099103845</v>
      </c>
      <c r="BM92" s="1601">
        <f t="shared" si="79"/>
        <v>1227.7899099103845</v>
      </c>
      <c r="BN92" s="1601">
        <f t="shared" si="80"/>
        <v>1227.7899099103845</v>
      </c>
      <c r="BO92" s="1601">
        <f t="shared" si="81"/>
        <v>1227.7899099103845</v>
      </c>
      <c r="BP92" s="1602">
        <f t="shared" si="82"/>
        <v>4911.159639641538</v>
      </c>
      <c r="BQ92" s="1602"/>
      <c r="BR92" s="1602" t="s">
        <v>336</v>
      </c>
      <c r="BS92" s="1602">
        <v>0</v>
      </c>
      <c r="BT92" s="1602">
        <v>15</v>
      </c>
      <c r="BU92" s="1602">
        <v>15</v>
      </c>
      <c r="BV92" s="1602">
        <v>15</v>
      </c>
      <c r="BW92" s="1602">
        <v>15</v>
      </c>
      <c r="BX92" s="1362">
        <f t="shared" si="99"/>
        <v>18416.848648655767</v>
      </c>
      <c r="BY92" s="1362">
        <f t="shared" si="100"/>
        <v>18416.848648655767</v>
      </c>
      <c r="BZ92" s="1362">
        <f t="shared" si="101"/>
        <v>18416.848648655767</v>
      </c>
      <c r="CA92" s="1362">
        <f t="shared" si="102"/>
        <v>18416.848648655767</v>
      </c>
      <c r="CB92" s="1362">
        <f t="shared" si="103"/>
        <v>73667.394594623067</v>
      </c>
      <c r="CC92" s="1360">
        <v>15</v>
      </c>
      <c r="CD92" s="1360">
        <v>15</v>
      </c>
      <c r="CE92" s="1360">
        <v>15</v>
      </c>
      <c r="CF92" s="1360">
        <v>15</v>
      </c>
      <c r="CG92" s="1604">
        <f t="shared" si="83"/>
        <v>18416.848648655767</v>
      </c>
      <c r="CH92" s="1604">
        <f t="shared" si="84"/>
        <v>18416.848648655767</v>
      </c>
      <c r="CI92" s="1604">
        <f t="shared" si="85"/>
        <v>18416.848648655767</v>
      </c>
      <c r="CJ92" s="1604">
        <f t="shared" si="86"/>
        <v>18416.848648655767</v>
      </c>
      <c r="CK92" s="1521">
        <f t="shared" si="87"/>
        <v>73667.394594623067</v>
      </c>
      <c r="CL92" s="1132">
        <v>85</v>
      </c>
      <c r="CM92" s="1132" t="s">
        <v>337</v>
      </c>
      <c r="CN92" s="1359">
        <v>0</v>
      </c>
      <c r="CO92" s="1360">
        <v>60.239024999999998</v>
      </c>
      <c r="CP92" s="1360">
        <v>60.239024999999998</v>
      </c>
      <c r="CQ92" s="1360">
        <v>60.239024999999998</v>
      </c>
      <c r="CR92" s="1360">
        <v>60.239024999999998</v>
      </c>
      <c r="CS92" s="1362">
        <f t="shared" si="88"/>
        <v>1227.7899099103845</v>
      </c>
      <c r="CT92" s="1362">
        <f t="shared" si="89"/>
        <v>1227.7899099103845</v>
      </c>
      <c r="CU92" s="1362">
        <f t="shared" si="90"/>
        <v>1227.7899099103845</v>
      </c>
      <c r="CV92" s="1362">
        <f t="shared" si="91"/>
        <v>1227.7899099103845</v>
      </c>
      <c r="CW92" s="1362">
        <f t="shared" si="92"/>
        <v>4911.159639641538</v>
      </c>
      <c r="CY92" s="2887"/>
      <c r="DN92" s="1715"/>
    </row>
    <row r="93" spans="1:118" s="1143" customFormat="1" ht="46.5" x14ac:dyDescent="0.35">
      <c r="A93" s="1132" t="s">
        <v>101</v>
      </c>
      <c r="B93" s="1132" t="s">
        <v>424</v>
      </c>
      <c r="C93" s="1132" t="s">
        <v>529</v>
      </c>
      <c r="D93" s="1359" t="s">
        <v>530</v>
      </c>
      <c r="E93" s="1359">
        <v>1</v>
      </c>
      <c r="F93" s="1780" t="s">
        <v>336</v>
      </c>
      <c r="G93" s="1132" t="s">
        <v>337</v>
      </c>
      <c r="H93" s="1360">
        <v>55.979699999999994</v>
      </c>
      <c r="I93" s="1360">
        <v>55.979699999999994</v>
      </c>
      <c r="J93" s="1360">
        <v>55.979699999999994</v>
      </c>
      <c r="K93" s="1360">
        <v>55.979699999999994</v>
      </c>
      <c r="L93" s="1132" t="s">
        <v>338</v>
      </c>
      <c r="M93" s="1132" t="str">
        <f t="shared" si="54"/>
        <v>Nicor Gas PY11-PY14 Adjustable Goals Template_2025-03-01, Tab 4.4.14</v>
      </c>
      <c r="N93" s="1361">
        <v>41.494944237918219</v>
      </c>
      <c r="O93" s="1361">
        <v>41.494944237918219</v>
      </c>
      <c r="P93" s="1361">
        <v>41.494944237918219</v>
      </c>
      <c r="Q93" s="1361">
        <v>41.494944237918219</v>
      </c>
      <c r="R93" s="1781">
        <v>0.86</v>
      </c>
      <c r="S93" s="1781">
        <v>0.86</v>
      </c>
      <c r="T93" s="1781">
        <v>0.86</v>
      </c>
      <c r="U93" s="1781">
        <v>0.86</v>
      </c>
      <c r="V93" s="1781">
        <v>0.86</v>
      </c>
      <c r="W93" s="1781">
        <v>0.86</v>
      </c>
      <c r="X93" s="1781">
        <v>0.86</v>
      </c>
      <c r="Y93" s="1781">
        <v>0.86</v>
      </c>
      <c r="Z93" s="1359">
        <v>1</v>
      </c>
      <c r="AA93" s="1781">
        <f t="shared" si="55"/>
        <v>0.86</v>
      </c>
      <c r="AB93" s="1781">
        <f t="shared" si="56"/>
        <v>0.86</v>
      </c>
      <c r="AC93" s="1781">
        <f t="shared" si="57"/>
        <v>0.86</v>
      </c>
      <c r="AD93" s="1781">
        <f t="shared" si="58"/>
        <v>0.86</v>
      </c>
      <c r="AE93" s="1781">
        <f t="shared" si="59"/>
        <v>0.86</v>
      </c>
      <c r="AF93" s="1781">
        <f t="shared" si="60"/>
        <v>0.86</v>
      </c>
      <c r="AG93" s="1781">
        <f t="shared" si="61"/>
        <v>0.86</v>
      </c>
      <c r="AH93" s="1781">
        <f t="shared" si="62"/>
        <v>0.86</v>
      </c>
      <c r="AI93" s="1362">
        <f t="shared" si="93"/>
        <v>1997.6720957616355</v>
      </c>
      <c r="AJ93" s="1362">
        <f t="shared" si="94"/>
        <v>1997.6720957616355</v>
      </c>
      <c r="AK93" s="1362">
        <f t="shared" si="95"/>
        <v>1997.6720957616355</v>
      </c>
      <c r="AL93" s="1362">
        <f t="shared" si="96"/>
        <v>1997.6720957616355</v>
      </c>
      <c r="AM93" s="1362">
        <f t="shared" si="97"/>
        <v>7990.6883830465422</v>
      </c>
      <c r="AN93" s="1132" t="str">
        <f t="shared" si="63"/>
        <v>CI-HVC-PINS-V05-190101</v>
      </c>
      <c r="AO93" s="1132" t="str">
        <f t="shared" si="64"/>
        <v>Nicor Gas PY11-PY14 Adjustable Goals Template_2025-03-01, Tab 4.4.14</v>
      </c>
      <c r="AP93" s="2505">
        <f>'4.4.14'!$T$5</f>
        <v>41.494944237918219</v>
      </c>
      <c r="AQ93" s="2505"/>
      <c r="AR93" s="2505">
        <f t="shared" si="65"/>
        <v>1997.6720957616355</v>
      </c>
      <c r="AS93" s="2505">
        <f t="shared" si="66"/>
        <v>0</v>
      </c>
      <c r="AT93" s="1132" t="str">
        <f t="shared" si="67"/>
        <v>CI-HVC-PINS-V05-190101</v>
      </c>
      <c r="AU93" s="1132" t="str">
        <f t="shared" si="68"/>
        <v>Nicor Gas PY11-PY14 Adjustable Goals Template_2025-03-01, Tab 4.4.14</v>
      </c>
      <c r="AV93" s="2505">
        <f>'4.4.14'!$T$5</f>
        <v>41.494944237918219</v>
      </c>
      <c r="AW93" s="2505"/>
      <c r="AX93" s="1362">
        <f t="shared" si="69"/>
        <v>1997.6720957616355</v>
      </c>
      <c r="AY93" s="1360">
        <f t="shared" si="70"/>
        <v>0</v>
      </c>
      <c r="AZ93" s="1132" t="str">
        <f t="shared" si="71"/>
        <v>CI-HVC-PINS-V05-190101</v>
      </c>
      <c r="BA93" s="1132" t="str">
        <f t="shared" si="72"/>
        <v>Nicor Gas PY11-PY14 Adjustable Goals Template_2025-03-01, Tab 4.4.14</v>
      </c>
      <c r="BB93" s="2505">
        <f>'4.4.14'!$T$5</f>
        <v>41.494944237918219</v>
      </c>
      <c r="BC93" s="2505"/>
      <c r="BD93" s="1362">
        <f t="shared" si="73"/>
        <v>1997.6720957616355</v>
      </c>
      <c r="BE93" s="1360">
        <f t="shared" si="74"/>
        <v>0</v>
      </c>
      <c r="BF93" s="1132" t="str">
        <f t="shared" si="75"/>
        <v>CI-HVC-PINS-V05-190101</v>
      </c>
      <c r="BG93" s="1132" t="str">
        <f t="shared" si="76"/>
        <v>Nicor Gas PY11-PY14 Adjustable Goals Template_2025-03-01, Tab 4.4.14</v>
      </c>
      <c r="BH93" s="2505">
        <f>'4.4.14'!$T$5</f>
        <v>41.494944237918219</v>
      </c>
      <c r="BI93" s="2505"/>
      <c r="BJ93" s="1362">
        <f t="shared" si="98"/>
        <v>1997.6720957616355</v>
      </c>
      <c r="BK93" s="1360">
        <f t="shared" si="77"/>
        <v>0</v>
      </c>
      <c r="BL93" s="1601">
        <f t="shared" si="78"/>
        <v>1997.6720957616355</v>
      </c>
      <c r="BM93" s="1601">
        <f t="shared" si="79"/>
        <v>1997.6720957616355</v>
      </c>
      <c r="BN93" s="1601">
        <f t="shared" si="80"/>
        <v>1997.6720957616355</v>
      </c>
      <c r="BO93" s="1601">
        <f t="shared" si="81"/>
        <v>1997.6720957616355</v>
      </c>
      <c r="BP93" s="1602">
        <f t="shared" si="82"/>
        <v>7990.6883830465422</v>
      </c>
      <c r="BQ93" s="1602"/>
      <c r="BR93" s="1602" t="s">
        <v>336</v>
      </c>
      <c r="BS93" s="1602">
        <v>0</v>
      </c>
      <c r="BT93" s="1602">
        <v>15</v>
      </c>
      <c r="BU93" s="1602">
        <v>15</v>
      </c>
      <c r="BV93" s="1602">
        <v>15</v>
      </c>
      <c r="BW93" s="1602">
        <v>15</v>
      </c>
      <c r="BX93" s="1362">
        <f t="shared" si="99"/>
        <v>29965.081436424534</v>
      </c>
      <c r="BY93" s="1362">
        <f t="shared" si="100"/>
        <v>29965.081436424534</v>
      </c>
      <c r="BZ93" s="1362">
        <f t="shared" si="101"/>
        <v>29965.081436424534</v>
      </c>
      <c r="CA93" s="1362">
        <f t="shared" si="102"/>
        <v>29965.081436424534</v>
      </c>
      <c r="CB93" s="1362">
        <f t="shared" si="103"/>
        <v>119860.32574569814</v>
      </c>
      <c r="CC93" s="1360">
        <v>15</v>
      </c>
      <c r="CD93" s="1360">
        <v>15</v>
      </c>
      <c r="CE93" s="1360">
        <v>15</v>
      </c>
      <c r="CF93" s="1360">
        <v>15</v>
      </c>
      <c r="CG93" s="1604">
        <f t="shared" si="83"/>
        <v>29965.081436424534</v>
      </c>
      <c r="CH93" s="1604">
        <f t="shared" si="84"/>
        <v>29965.081436424534</v>
      </c>
      <c r="CI93" s="1604">
        <f t="shared" si="85"/>
        <v>29965.081436424534</v>
      </c>
      <c r="CJ93" s="1604">
        <f t="shared" si="86"/>
        <v>29965.081436424534</v>
      </c>
      <c r="CK93" s="1521">
        <f t="shared" si="87"/>
        <v>119860.32574569814</v>
      </c>
      <c r="CL93" s="1132">
        <v>86</v>
      </c>
      <c r="CM93" s="1132" t="s">
        <v>337</v>
      </c>
      <c r="CN93" s="1359">
        <v>0</v>
      </c>
      <c r="CO93" s="1360">
        <v>55.979699999999994</v>
      </c>
      <c r="CP93" s="1360">
        <v>55.979699999999994</v>
      </c>
      <c r="CQ93" s="1360">
        <v>55.979699999999994</v>
      </c>
      <c r="CR93" s="1360">
        <v>55.979699999999994</v>
      </c>
      <c r="CS93" s="1362">
        <f t="shared" si="88"/>
        <v>1997.6720957616355</v>
      </c>
      <c r="CT93" s="1362">
        <f t="shared" si="89"/>
        <v>1997.6720957616355</v>
      </c>
      <c r="CU93" s="1362">
        <f t="shared" si="90"/>
        <v>1997.6720957616355</v>
      </c>
      <c r="CV93" s="1362">
        <f t="shared" si="91"/>
        <v>1997.6720957616355</v>
      </c>
      <c r="CW93" s="1362">
        <f t="shared" si="92"/>
        <v>7990.6883830465422</v>
      </c>
      <c r="CY93" s="2887"/>
      <c r="DN93" s="1715"/>
    </row>
    <row r="94" spans="1:118" s="1143" customFormat="1" ht="46.5" x14ac:dyDescent="0.35">
      <c r="A94" s="1132" t="s">
        <v>101</v>
      </c>
      <c r="B94" s="1132" t="s">
        <v>424</v>
      </c>
      <c r="C94" s="1132" t="s">
        <v>531</v>
      </c>
      <c r="D94" s="1359" t="s">
        <v>532</v>
      </c>
      <c r="E94" s="1359">
        <v>1</v>
      </c>
      <c r="F94" s="1780" t="s">
        <v>336</v>
      </c>
      <c r="G94" s="1132" t="s">
        <v>337</v>
      </c>
      <c r="H94" s="1360">
        <v>181.93402499999996</v>
      </c>
      <c r="I94" s="1360">
        <v>181.93402499999996</v>
      </c>
      <c r="J94" s="1360">
        <v>181.93402499999996</v>
      </c>
      <c r="K94" s="1360">
        <v>181.93402499999996</v>
      </c>
      <c r="L94" s="1132" t="s">
        <v>338</v>
      </c>
      <c r="M94" s="1132" t="str">
        <f t="shared" si="54"/>
        <v>Nicor Gas PY11-PY14 Adjustable Goals Template_2025-03-01, Tab 4.4.14</v>
      </c>
      <c r="N94" s="1361">
        <v>52.847912019826516</v>
      </c>
      <c r="O94" s="1361">
        <v>52.847912019826516</v>
      </c>
      <c r="P94" s="1361">
        <v>52.847912019826516</v>
      </c>
      <c r="Q94" s="1361">
        <v>52.847912019826516</v>
      </c>
      <c r="R94" s="1781">
        <v>0.86</v>
      </c>
      <c r="S94" s="1781">
        <v>0.86</v>
      </c>
      <c r="T94" s="1781">
        <v>0.86</v>
      </c>
      <c r="U94" s="1781">
        <v>0.86</v>
      </c>
      <c r="V94" s="1781">
        <v>0.86</v>
      </c>
      <c r="W94" s="1781">
        <v>0.86</v>
      </c>
      <c r="X94" s="1781">
        <v>0.86</v>
      </c>
      <c r="Y94" s="1781">
        <v>0.86</v>
      </c>
      <c r="Z94" s="1359">
        <v>1</v>
      </c>
      <c r="AA94" s="1781">
        <f t="shared" si="55"/>
        <v>0.86</v>
      </c>
      <c r="AB94" s="1781">
        <f t="shared" si="56"/>
        <v>0.86</v>
      </c>
      <c r="AC94" s="1781">
        <f t="shared" si="57"/>
        <v>0.86</v>
      </c>
      <c r="AD94" s="1781">
        <f t="shared" si="58"/>
        <v>0.86</v>
      </c>
      <c r="AE94" s="1781">
        <f t="shared" si="59"/>
        <v>0.86</v>
      </c>
      <c r="AF94" s="1781">
        <f t="shared" si="60"/>
        <v>0.86</v>
      </c>
      <c r="AG94" s="1781">
        <f t="shared" si="61"/>
        <v>0.86</v>
      </c>
      <c r="AH94" s="1781">
        <f t="shared" si="62"/>
        <v>0.86</v>
      </c>
      <c r="AI94" s="1362">
        <f t="shared" si="93"/>
        <v>8268.7566780871075</v>
      </c>
      <c r="AJ94" s="1362">
        <f t="shared" si="94"/>
        <v>8268.7566780871075</v>
      </c>
      <c r="AK94" s="1362">
        <f t="shared" si="95"/>
        <v>8268.7566780871075</v>
      </c>
      <c r="AL94" s="1362">
        <f t="shared" si="96"/>
        <v>8268.7566780871075</v>
      </c>
      <c r="AM94" s="1362">
        <f t="shared" si="97"/>
        <v>33075.02671234843</v>
      </c>
      <c r="AN94" s="1132" t="str">
        <f t="shared" si="63"/>
        <v>CI-HVC-PINS-V05-190101</v>
      </c>
      <c r="AO94" s="1132" t="str">
        <f t="shared" si="64"/>
        <v>Nicor Gas PY11-PY14 Adjustable Goals Template_2025-03-01, Tab 4.4.14</v>
      </c>
      <c r="AP94" s="2505">
        <f>'4.4.14'!$T$11</f>
        <v>52.847912019826516</v>
      </c>
      <c r="AQ94" s="2505"/>
      <c r="AR94" s="2505">
        <f t="shared" si="65"/>
        <v>8268.7566780871075</v>
      </c>
      <c r="AS94" s="2505">
        <f t="shared" si="66"/>
        <v>0</v>
      </c>
      <c r="AT94" s="1132" t="str">
        <f t="shared" si="67"/>
        <v>CI-HVC-PINS-V05-190101</v>
      </c>
      <c r="AU94" s="1132" t="str">
        <f t="shared" si="68"/>
        <v>Nicor Gas PY11-PY14 Adjustable Goals Template_2025-03-01, Tab 4.4.14</v>
      </c>
      <c r="AV94" s="2505">
        <f>'4.4.14'!$T$11</f>
        <v>52.847912019826516</v>
      </c>
      <c r="AW94" s="2505"/>
      <c r="AX94" s="1362">
        <f t="shared" si="69"/>
        <v>8268.7566780871075</v>
      </c>
      <c r="AY94" s="1360">
        <f t="shared" si="70"/>
        <v>0</v>
      </c>
      <c r="AZ94" s="1132" t="str">
        <f t="shared" si="71"/>
        <v>CI-HVC-PINS-V05-190101</v>
      </c>
      <c r="BA94" s="1132" t="str">
        <f t="shared" si="72"/>
        <v>Nicor Gas PY11-PY14 Adjustable Goals Template_2025-03-01, Tab 4.4.14</v>
      </c>
      <c r="BB94" s="2505">
        <f>'4.4.14'!$T$11</f>
        <v>52.847912019826516</v>
      </c>
      <c r="BC94" s="2505"/>
      <c r="BD94" s="1362">
        <f t="shared" si="73"/>
        <v>8268.7566780871075</v>
      </c>
      <c r="BE94" s="1360">
        <f t="shared" si="74"/>
        <v>0</v>
      </c>
      <c r="BF94" s="1132" t="str">
        <f t="shared" si="75"/>
        <v>CI-HVC-PINS-V05-190101</v>
      </c>
      <c r="BG94" s="1132" t="str">
        <f t="shared" si="76"/>
        <v>Nicor Gas PY11-PY14 Adjustable Goals Template_2025-03-01, Tab 4.4.14</v>
      </c>
      <c r="BH94" s="2505">
        <f>'4.4.14'!$T$11</f>
        <v>52.847912019826516</v>
      </c>
      <c r="BI94" s="2505"/>
      <c r="BJ94" s="1362">
        <f t="shared" si="98"/>
        <v>8268.7566780871075</v>
      </c>
      <c r="BK94" s="1360">
        <f t="shared" si="77"/>
        <v>0</v>
      </c>
      <c r="BL94" s="1601">
        <f t="shared" si="78"/>
        <v>8268.7566780871075</v>
      </c>
      <c r="BM94" s="1601">
        <f t="shared" si="79"/>
        <v>8268.7566780871075</v>
      </c>
      <c r="BN94" s="1601">
        <f t="shared" si="80"/>
        <v>8268.7566780871075</v>
      </c>
      <c r="BO94" s="1601">
        <f t="shared" si="81"/>
        <v>8268.7566780871075</v>
      </c>
      <c r="BP94" s="1602">
        <f t="shared" si="82"/>
        <v>33075.02671234843</v>
      </c>
      <c r="BQ94" s="1602"/>
      <c r="BR94" s="1602" t="s">
        <v>336</v>
      </c>
      <c r="BS94" s="1602">
        <v>0</v>
      </c>
      <c r="BT94" s="1602">
        <v>15</v>
      </c>
      <c r="BU94" s="1602">
        <v>15</v>
      </c>
      <c r="BV94" s="1602">
        <v>15</v>
      </c>
      <c r="BW94" s="1602">
        <v>15</v>
      </c>
      <c r="BX94" s="1362">
        <f t="shared" si="99"/>
        <v>124031.35017130661</v>
      </c>
      <c r="BY94" s="1362">
        <f t="shared" si="100"/>
        <v>124031.35017130661</v>
      </c>
      <c r="BZ94" s="1362">
        <f t="shared" si="101"/>
        <v>124031.35017130661</v>
      </c>
      <c r="CA94" s="1362">
        <f t="shared" si="102"/>
        <v>124031.35017130661</v>
      </c>
      <c r="CB94" s="1362">
        <f t="shared" si="103"/>
        <v>496125.40068522643</v>
      </c>
      <c r="CC94" s="1360">
        <v>15</v>
      </c>
      <c r="CD94" s="1360">
        <v>15</v>
      </c>
      <c r="CE94" s="1360">
        <v>15</v>
      </c>
      <c r="CF94" s="1360">
        <v>15</v>
      </c>
      <c r="CG94" s="1604">
        <f t="shared" si="83"/>
        <v>124031.35017130661</v>
      </c>
      <c r="CH94" s="1604">
        <f t="shared" si="84"/>
        <v>124031.35017130661</v>
      </c>
      <c r="CI94" s="1604">
        <f t="shared" si="85"/>
        <v>124031.35017130661</v>
      </c>
      <c r="CJ94" s="1604">
        <f t="shared" si="86"/>
        <v>124031.35017130661</v>
      </c>
      <c r="CK94" s="1521">
        <f t="shared" si="87"/>
        <v>496125.40068522643</v>
      </c>
      <c r="CL94" s="1132">
        <v>87</v>
      </c>
      <c r="CM94" s="1132" t="s">
        <v>337</v>
      </c>
      <c r="CN94" s="1359">
        <v>0</v>
      </c>
      <c r="CO94" s="1360">
        <v>181.93402499999996</v>
      </c>
      <c r="CP94" s="1360">
        <v>181.93402499999996</v>
      </c>
      <c r="CQ94" s="1360">
        <v>181.93402499999996</v>
      </c>
      <c r="CR94" s="1360">
        <v>181.93402499999996</v>
      </c>
      <c r="CS94" s="1362">
        <f t="shared" si="88"/>
        <v>8268.7566780871075</v>
      </c>
      <c r="CT94" s="1362">
        <f t="shared" si="89"/>
        <v>8268.7566780871075</v>
      </c>
      <c r="CU94" s="1362">
        <f t="shared" si="90"/>
        <v>8268.7566780871075</v>
      </c>
      <c r="CV94" s="1362">
        <f t="shared" si="91"/>
        <v>8268.7566780871075</v>
      </c>
      <c r="CW94" s="1362">
        <f t="shared" si="92"/>
        <v>33075.02671234843</v>
      </c>
      <c r="CY94" s="2887"/>
      <c r="DN94" s="1715"/>
    </row>
    <row r="95" spans="1:118" s="1143" customFormat="1" ht="46.5" x14ac:dyDescent="0.35">
      <c r="A95" s="1132" t="s">
        <v>101</v>
      </c>
      <c r="B95" s="1132" t="s">
        <v>424</v>
      </c>
      <c r="C95" s="1132" t="s">
        <v>533</v>
      </c>
      <c r="D95" s="1359" t="s">
        <v>534</v>
      </c>
      <c r="E95" s="1359">
        <v>1</v>
      </c>
      <c r="F95" s="1780" t="s">
        <v>336</v>
      </c>
      <c r="G95" s="1132" t="s">
        <v>337</v>
      </c>
      <c r="H95" s="1360">
        <v>60.239024999999998</v>
      </c>
      <c r="I95" s="1360">
        <v>60.239024999999998</v>
      </c>
      <c r="J95" s="1360">
        <v>60.239024999999998</v>
      </c>
      <c r="K95" s="1360">
        <v>60.239024999999998</v>
      </c>
      <c r="L95" s="1132" t="s">
        <v>338</v>
      </c>
      <c r="M95" s="1132" t="str">
        <f t="shared" si="54"/>
        <v>Nicor Gas PY11-PY14 Adjustable Goals Template_2025-03-01, Tab 4.4.14</v>
      </c>
      <c r="N95" s="1361">
        <v>64.200879801734814</v>
      </c>
      <c r="O95" s="1361">
        <v>64.200879801734814</v>
      </c>
      <c r="P95" s="1361">
        <v>64.200879801734814</v>
      </c>
      <c r="Q95" s="1361">
        <v>64.200879801734814</v>
      </c>
      <c r="R95" s="1781">
        <v>0.86</v>
      </c>
      <c r="S95" s="1781">
        <v>0.86</v>
      </c>
      <c r="T95" s="1781">
        <v>0.86</v>
      </c>
      <c r="U95" s="1781">
        <v>0.86</v>
      </c>
      <c r="V95" s="1781">
        <v>0.86</v>
      </c>
      <c r="W95" s="1781">
        <v>0.86</v>
      </c>
      <c r="X95" s="1781">
        <v>0.86</v>
      </c>
      <c r="Y95" s="1781">
        <v>0.86</v>
      </c>
      <c r="Z95" s="1359">
        <v>1</v>
      </c>
      <c r="AA95" s="1781">
        <f t="shared" si="55"/>
        <v>0.86</v>
      </c>
      <c r="AB95" s="1781">
        <f t="shared" si="56"/>
        <v>0.86</v>
      </c>
      <c r="AC95" s="1781">
        <f t="shared" si="57"/>
        <v>0.86</v>
      </c>
      <c r="AD95" s="1781">
        <f t="shared" si="58"/>
        <v>0.86</v>
      </c>
      <c r="AE95" s="1781">
        <f t="shared" si="59"/>
        <v>0.86</v>
      </c>
      <c r="AF95" s="1781">
        <f t="shared" si="60"/>
        <v>0.86</v>
      </c>
      <c r="AG95" s="1781">
        <f t="shared" si="61"/>
        <v>0.86</v>
      </c>
      <c r="AH95" s="1781">
        <f t="shared" si="62"/>
        <v>0.86</v>
      </c>
      <c r="AI95" s="1362">
        <f t="shared" si="93"/>
        <v>3325.9626269228806</v>
      </c>
      <c r="AJ95" s="1362">
        <f t="shared" si="94"/>
        <v>3325.9626269228806</v>
      </c>
      <c r="AK95" s="1362">
        <f t="shared" si="95"/>
        <v>3325.9626269228806</v>
      </c>
      <c r="AL95" s="1362">
        <f t="shared" si="96"/>
        <v>3325.9626269228806</v>
      </c>
      <c r="AM95" s="1362">
        <f t="shared" si="97"/>
        <v>13303.850507691523</v>
      </c>
      <c r="AN95" s="1132" t="str">
        <f t="shared" si="63"/>
        <v>CI-HVC-PINS-V05-190101</v>
      </c>
      <c r="AO95" s="1132" t="str">
        <f t="shared" si="64"/>
        <v>Nicor Gas PY11-PY14 Adjustable Goals Template_2025-03-01, Tab 4.4.14</v>
      </c>
      <c r="AP95" s="2505">
        <f>'4.4.14'!$T$4</f>
        <v>64.200879801734814</v>
      </c>
      <c r="AQ95" s="2505"/>
      <c r="AR95" s="2505">
        <f t="shared" si="65"/>
        <v>3325.9626269228806</v>
      </c>
      <c r="AS95" s="2505">
        <f t="shared" si="66"/>
        <v>0</v>
      </c>
      <c r="AT95" s="1132" t="str">
        <f t="shared" si="67"/>
        <v>CI-HVC-PINS-V05-190101</v>
      </c>
      <c r="AU95" s="1132" t="str">
        <f t="shared" si="68"/>
        <v>Nicor Gas PY11-PY14 Adjustable Goals Template_2025-03-01, Tab 4.4.14</v>
      </c>
      <c r="AV95" s="2505">
        <f>'4.4.14'!$T$4</f>
        <v>64.200879801734814</v>
      </c>
      <c r="AW95" s="2505"/>
      <c r="AX95" s="1362">
        <f t="shared" si="69"/>
        <v>3325.9626269228806</v>
      </c>
      <c r="AY95" s="1360">
        <f t="shared" si="70"/>
        <v>0</v>
      </c>
      <c r="AZ95" s="1132" t="str">
        <f t="shared" si="71"/>
        <v>CI-HVC-PINS-V05-190101</v>
      </c>
      <c r="BA95" s="1132" t="str">
        <f t="shared" si="72"/>
        <v>Nicor Gas PY11-PY14 Adjustable Goals Template_2025-03-01, Tab 4.4.14</v>
      </c>
      <c r="BB95" s="2505">
        <f>'4.4.14'!$T$4</f>
        <v>64.200879801734814</v>
      </c>
      <c r="BC95" s="2505"/>
      <c r="BD95" s="1362">
        <f t="shared" si="73"/>
        <v>3325.9626269228806</v>
      </c>
      <c r="BE95" s="1360">
        <f t="shared" si="74"/>
        <v>0</v>
      </c>
      <c r="BF95" s="1132" t="str">
        <f t="shared" si="75"/>
        <v>CI-HVC-PINS-V05-190101</v>
      </c>
      <c r="BG95" s="1132" t="str">
        <f t="shared" si="76"/>
        <v>Nicor Gas PY11-PY14 Adjustable Goals Template_2025-03-01, Tab 4.4.14</v>
      </c>
      <c r="BH95" s="2505">
        <f>'4.4.14'!$T$4</f>
        <v>64.200879801734814</v>
      </c>
      <c r="BI95" s="2505"/>
      <c r="BJ95" s="1362">
        <f t="shared" si="98"/>
        <v>3325.9626269228806</v>
      </c>
      <c r="BK95" s="1360">
        <f t="shared" si="77"/>
        <v>0</v>
      </c>
      <c r="BL95" s="1601">
        <f t="shared" si="78"/>
        <v>3325.9626269228806</v>
      </c>
      <c r="BM95" s="1601">
        <f t="shared" si="79"/>
        <v>3325.9626269228806</v>
      </c>
      <c r="BN95" s="1601">
        <f t="shared" si="80"/>
        <v>3325.9626269228806</v>
      </c>
      <c r="BO95" s="1601">
        <f t="shared" si="81"/>
        <v>3325.9626269228806</v>
      </c>
      <c r="BP95" s="1602">
        <f t="shared" si="82"/>
        <v>13303.850507691523</v>
      </c>
      <c r="BQ95" s="1602"/>
      <c r="BR95" s="1602" t="s">
        <v>336</v>
      </c>
      <c r="BS95" s="1602">
        <v>0</v>
      </c>
      <c r="BT95" s="1602">
        <v>15</v>
      </c>
      <c r="BU95" s="1602">
        <v>15</v>
      </c>
      <c r="BV95" s="1602">
        <v>15</v>
      </c>
      <c r="BW95" s="1602">
        <v>15</v>
      </c>
      <c r="BX95" s="1362">
        <f t="shared" si="99"/>
        <v>49889.439403843207</v>
      </c>
      <c r="BY95" s="1362">
        <f t="shared" si="100"/>
        <v>49889.439403843207</v>
      </c>
      <c r="BZ95" s="1362">
        <f t="shared" si="101"/>
        <v>49889.439403843207</v>
      </c>
      <c r="CA95" s="1362">
        <f t="shared" si="102"/>
        <v>49889.439403843207</v>
      </c>
      <c r="CB95" s="1362">
        <f t="shared" si="103"/>
        <v>199557.75761537283</v>
      </c>
      <c r="CC95" s="1360">
        <v>15</v>
      </c>
      <c r="CD95" s="1360">
        <v>15</v>
      </c>
      <c r="CE95" s="1360">
        <v>15</v>
      </c>
      <c r="CF95" s="1360">
        <v>15</v>
      </c>
      <c r="CG95" s="1604">
        <f t="shared" si="83"/>
        <v>49889.439403843207</v>
      </c>
      <c r="CH95" s="1604">
        <f t="shared" si="84"/>
        <v>49889.439403843207</v>
      </c>
      <c r="CI95" s="1604">
        <f t="shared" si="85"/>
        <v>49889.439403843207</v>
      </c>
      <c r="CJ95" s="1604">
        <f t="shared" si="86"/>
        <v>49889.439403843207</v>
      </c>
      <c r="CK95" s="1521">
        <f t="shared" si="87"/>
        <v>199557.75761537283</v>
      </c>
      <c r="CL95" s="1132">
        <v>88</v>
      </c>
      <c r="CM95" s="1132" t="s">
        <v>337</v>
      </c>
      <c r="CN95" s="1359">
        <v>0</v>
      </c>
      <c r="CO95" s="1360">
        <v>60.239024999999998</v>
      </c>
      <c r="CP95" s="1360">
        <v>60.239024999999998</v>
      </c>
      <c r="CQ95" s="1360">
        <v>60.239024999999998</v>
      </c>
      <c r="CR95" s="1360">
        <v>60.239024999999998</v>
      </c>
      <c r="CS95" s="1362">
        <f t="shared" si="88"/>
        <v>3325.9626269228806</v>
      </c>
      <c r="CT95" s="1362">
        <f t="shared" si="89"/>
        <v>3325.9626269228806</v>
      </c>
      <c r="CU95" s="1362">
        <f t="shared" si="90"/>
        <v>3325.9626269228806</v>
      </c>
      <c r="CV95" s="1362">
        <f t="shared" si="91"/>
        <v>3325.9626269228806</v>
      </c>
      <c r="CW95" s="1362">
        <f t="shared" si="92"/>
        <v>13303.850507691523</v>
      </c>
      <c r="CY95" s="2887"/>
      <c r="DN95" s="1715"/>
    </row>
    <row r="96" spans="1:118" s="1143" customFormat="1" ht="46.5" x14ac:dyDescent="0.35">
      <c r="A96" s="1132" t="s">
        <v>101</v>
      </c>
      <c r="B96" s="1132" t="s">
        <v>424</v>
      </c>
      <c r="C96" s="1132" t="s">
        <v>535</v>
      </c>
      <c r="D96" s="1359" t="s">
        <v>536</v>
      </c>
      <c r="E96" s="1359">
        <v>1</v>
      </c>
      <c r="F96" s="2564" t="s">
        <v>336</v>
      </c>
      <c r="G96" s="1132" t="s">
        <v>337</v>
      </c>
      <c r="H96" s="1360">
        <v>118.652625</v>
      </c>
      <c r="I96" s="1360">
        <v>118.652625</v>
      </c>
      <c r="J96" s="1360">
        <v>118.652625</v>
      </c>
      <c r="K96" s="1360">
        <v>118.652625</v>
      </c>
      <c r="L96" s="1132" t="s">
        <v>338</v>
      </c>
      <c r="M96" s="1132" t="str">
        <f t="shared" si="54"/>
        <v>Nicor Gas PY11-PY14 Adjustable Goals Template_2025-03-01, Tab 4.4.14</v>
      </c>
      <c r="N96" s="1361">
        <v>65.128327137546464</v>
      </c>
      <c r="O96" s="1361">
        <v>65.128327137546464</v>
      </c>
      <c r="P96" s="1361">
        <v>65.128327137546464</v>
      </c>
      <c r="Q96" s="1361">
        <v>65.128327137546464</v>
      </c>
      <c r="R96" s="1781">
        <v>0.86</v>
      </c>
      <c r="S96" s="1781">
        <v>0.86</v>
      </c>
      <c r="T96" s="1781">
        <v>0.86</v>
      </c>
      <c r="U96" s="1781">
        <v>0.86</v>
      </c>
      <c r="V96" s="1781">
        <v>0.86</v>
      </c>
      <c r="W96" s="1781">
        <v>0.86</v>
      </c>
      <c r="X96" s="1781">
        <v>0.86</v>
      </c>
      <c r="Y96" s="1781">
        <v>0.86</v>
      </c>
      <c r="Z96" s="1359">
        <v>1</v>
      </c>
      <c r="AA96" s="1781">
        <f t="shared" si="55"/>
        <v>0.86</v>
      </c>
      <c r="AB96" s="1781">
        <f t="shared" si="56"/>
        <v>0.86</v>
      </c>
      <c r="AC96" s="1781">
        <f t="shared" si="57"/>
        <v>0.86</v>
      </c>
      <c r="AD96" s="1781">
        <f t="shared" si="58"/>
        <v>0.86</v>
      </c>
      <c r="AE96" s="1781">
        <f t="shared" si="59"/>
        <v>0.86</v>
      </c>
      <c r="AF96" s="1781">
        <f t="shared" si="60"/>
        <v>0.86</v>
      </c>
      <c r="AG96" s="1781">
        <f t="shared" si="61"/>
        <v>0.86</v>
      </c>
      <c r="AH96" s="1781">
        <f t="shared" si="62"/>
        <v>0.86</v>
      </c>
      <c r="AI96" s="1362">
        <f t="shared" si="93"/>
        <v>6645.7763999866165</v>
      </c>
      <c r="AJ96" s="1362">
        <f t="shared" si="94"/>
        <v>6645.7763999866165</v>
      </c>
      <c r="AK96" s="1362">
        <f t="shared" si="95"/>
        <v>6645.7763999866165</v>
      </c>
      <c r="AL96" s="1362">
        <f t="shared" si="96"/>
        <v>6645.7763999866165</v>
      </c>
      <c r="AM96" s="1362">
        <f t="shared" si="97"/>
        <v>26583.105599946466</v>
      </c>
      <c r="AN96" s="1132" t="str">
        <f t="shared" si="63"/>
        <v>CI-HVC-PINS-V05-190101</v>
      </c>
      <c r="AO96" s="1132" t="str">
        <f t="shared" si="64"/>
        <v>Nicor Gas PY11-PY14 Adjustable Goals Template_2025-03-01, Tab 4.4.14</v>
      </c>
      <c r="AP96" s="2505">
        <f>'4.4.14'!$T$15</f>
        <v>65.128327137546464</v>
      </c>
      <c r="AQ96" s="2505"/>
      <c r="AR96" s="2505">
        <f t="shared" si="65"/>
        <v>6645.7763999866165</v>
      </c>
      <c r="AS96" s="2505">
        <f t="shared" si="66"/>
        <v>0</v>
      </c>
      <c r="AT96" s="1132" t="str">
        <f t="shared" si="67"/>
        <v>CI-HVC-PINS-V05-190101</v>
      </c>
      <c r="AU96" s="1132" t="str">
        <f t="shared" si="68"/>
        <v>Nicor Gas PY11-PY14 Adjustable Goals Template_2025-03-01, Tab 4.4.14</v>
      </c>
      <c r="AV96" s="2505">
        <f>'4.4.14'!$T$15</f>
        <v>65.128327137546464</v>
      </c>
      <c r="AW96" s="2505"/>
      <c r="AX96" s="1362">
        <f t="shared" si="69"/>
        <v>6645.7763999866165</v>
      </c>
      <c r="AY96" s="1360">
        <f t="shared" si="70"/>
        <v>0</v>
      </c>
      <c r="AZ96" s="1132" t="str">
        <f t="shared" si="71"/>
        <v>CI-HVC-PINS-V05-190101</v>
      </c>
      <c r="BA96" s="1132" t="str">
        <f t="shared" si="72"/>
        <v>Nicor Gas PY11-PY14 Adjustable Goals Template_2025-03-01, Tab 4.4.14</v>
      </c>
      <c r="BB96" s="2505">
        <f>'4.4.14'!$T$15</f>
        <v>65.128327137546464</v>
      </c>
      <c r="BC96" s="2505"/>
      <c r="BD96" s="1362">
        <f t="shared" si="73"/>
        <v>6645.7763999866165</v>
      </c>
      <c r="BE96" s="1360">
        <f t="shared" si="74"/>
        <v>0</v>
      </c>
      <c r="BF96" s="1132" t="str">
        <f t="shared" si="75"/>
        <v>CI-HVC-PINS-V05-190101</v>
      </c>
      <c r="BG96" s="1132" t="str">
        <f t="shared" si="76"/>
        <v>Nicor Gas PY11-PY14 Adjustable Goals Template_2025-03-01, Tab 4.4.14</v>
      </c>
      <c r="BH96" s="2505">
        <f>'4.4.14'!$T$15</f>
        <v>65.128327137546464</v>
      </c>
      <c r="BI96" s="2505"/>
      <c r="BJ96" s="1362">
        <f t="shared" si="98"/>
        <v>6645.7763999866165</v>
      </c>
      <c r="BK96" s="1360">
        <f t="shared" si="77"/>
        <v>0</v>
      </c>
      <c r="BL96" s="1601">
        <f t="shared" si="78"/>
        <v>6645.7763999866165</v>
      </c>
      <c r="BM96" s="1601">
        <f t="shared" si="79"/>
        <v>6645.7763999866165</v>
      </c>
      <c r="BN96" s="1601">
        <f t="shared" si="80"/>
        <v>6645.7763999866165</v>
      </c>
      <c r="BO96" s="1601">
        <f t="shared" si="81"/>
        <v>6645.7763999866165</v>
      </c>
      <c r="BP96" s="1602">
        <f t="shared" si="82"/>
        <v>26583.105599946466</v>
      </c>
      <c r="BQ96" s="1602"/>
      <c r="BR96" s="1602" t="s">
        <v>336</v>
      </c>
      <c r="BS96" s="1602">
        <v>0</v>
      </c>
      <c r="BT96" s="1602">
        <v>15</v>
      </c>
      <c r="BU96" s="1602">
        <v>15</v>
      </c>
      <c r="BV96" s="1602">
        <v>15</v>
      </c>
      <c r="BW96" s="1602">
        <v>15</v>
      </c>
      <c r="BX96" s="1362">
        <f t="shared" si="99"/>
        <v>99686.64599979925</v>
      </c>
      <c r="BY96" s="1362">
        <f t="shared" si="100"/>
        <v>99686.64599979925</v>
      </c>
      <c r="BZ96" s="1362">
        <f t="shared" si="101"/>
        <v>99686.64599979925</v>
      </c>
      <c r="CA96" s="1362">
        <f t="shared" si="102"/>
        <v>99686.64599979925</v>
      </c>
      <c r="CB96" s="1362">
        <f t="shared" si="103"/>
        <v>398746.583999197</v>
      </c>
      <c r="CC96" s="1360">
        <v>15</v>
      </c>
      <c r="CD96" s="1360">
        <v>15</v>
      </c>
      <c r="CE96" s="1360">
        <v>15</v>
      </c>
      <c r="CF96" s="1360">
        <v>15</v>
      </c>
      <c r="CG96" s="1604">
        <f t="shared" si="83"/>
        <v>99686.64599979925</v>
      </c>
      <c r="CH96" s="1604">
        <f t="shared" si="84"/>
        <v>99686.64599979925</v>
      </c>
      <c r="CI96" s="1604">
        <f t="shared" si="85"/>
        <v>99686.64599979925</v>
      </c>
      <c r="CJ96" s="1604">
        <f t="shared" si="86"/>
        <v>99686.64599979925</v>
      </c>
      <c r="CK96" s="1521">
        <f t="shared" si="87"/>
        <v>398746.583999197</v>
      </c>
      <c r="CL96" s="1132">
        <v>89</v>
      </c>
      <c r="CM96" s="1132" t="s">
        <v>337</v>
      </c>
      <c r="CN96" s="1359">
        <v>0</v>
      </c>
      <c r="CO96" s="1360">
        <v>118.652625</v>
      </c>
      <c r="CP96" s="1360">
        <v>118.652625</v>
      </c>
      <c r="CQ96" s="1360">
        <v>118.652625</v>
      </c>
      <c r="CR96" s="1360">
        <v>118.652625</v>
      </c>
      <c r="CS96" s="1362">
        <f t="shared" si="88"/>
        <v>6645.7763999866165</v>
      </c>
      <c r="CT96" s="1362">
        <f t="shared" si="89"/>
        <v>6645.7763999866165</v>
      </c>
      <c r="CU96" s="1362">
        <f t="shared" si="90"/>
        <v>6645.7763999866165</v>
      </c>
      <c r="CV96" s="1362">
        <f t="shared" si="91"/>
        <v>6645.7763999866165</v>
      </c>
      <c r="CW96" s="1362">
        <f t="shared" si="92"/>
        <v>26583.105599946466</v>
      </c>
      <c r="CY96" s="2887"/>
      <c r="DN96" s="1715"/>
    </row>
    <row r="97" spans="1:118" s="1143" customFormat="1" ht="46.5" x14ac:dyDescent="0.35">
      <c r="A97" s="1132" t="s">
        <v>101</v>
      </c>
      <c r="B97" s="1132" t="s">
        <v>424</v>
      </c>
      <c r="C97" s="1132" t="s">
        <v>537</v>
      </c>
      <c r="D97" s="1359" t="s">
        <v>538</v>
      </c>
      <c r="E97" s="1359">
        <v>1</v>
      </c>
      <c r="F97" s="2564" t="s">
        <v>336</v>
      </c>
      <c r="G97" s="1132" t="s">
        <v>337</v>
      </c>
      <c r="H97" s="1360">
        <v>52.937325000000008</v>
      </c>
      <c r="I97" s="1360">
        <v>52.937325000000008</v>
      </c>
      <c r="J97" s="1360">
        <v>52.937325000000008</v>
      </c>
      <c r="K97" s="1360">
        <v>52.937325000000008</v>
      </c>
      <c r="L97" s="1132" t="s">
        <v>338</v>
      </c>
      <c r="M97" s="1132" t="str">
        <f t="shared" si="54"/>
        <v>Nicor Gas PY11-PY14 Adjustable Goals Template_2025-03-01, Tab 4.4.14</v>
      </c>
      <c r="N97" s="1361">
        <v>82.947360594795541</v>
      </c>
      <c r="O97" s="1361">
        <v>82.947360594795541</v>
      </c>
      <c r="P97" s="1361">
        <v>82.947360594795541</v>
      </c>
      <c r="Q97" s="1361">
        <v>82.947360594795541</v>
      </c>
      <c r="R97" s="1781">
        <v>0.86</v>
      </c>
      <c r="S97" s="1781">
        <v>0.86</v>
      </c>
      <c r="T97" s="1781">
        <v>0.86</v>
      </c>
      <c r="U97" s="1781">
        <v>0.86</v>
      </c>
      <c r="V97" s="1781">
        <v>0.86</v>
      </c>
      <c r="W97" s="1781">
        <v>0.86</v>
      </c>
      <c r="X97" s="1781">
        <v>0.86</v>
      </c>
      <c r="Y97" s="1781">
        <v>0.86</v>
      </c>
      <c r="Z97" s="1359">
        <v>1</v>
      </c>
      <c r="AA97" s="1781">
        <f t="shared" si="55"/>
        <v>0.86</v>
      </c>
      <c r="AB97" s="1781">
        <f t="shared" si="56"/>
        <v>0.86</v>
      </c>
      <c r="AC97" s="1781">
        <f t="shared" si="57"/>
        <v>0.86</v>
      </c>
      <c r="AD97" s="1781">
        <f t="shared" si="58"/>
        <v>0.86</v>
      </c>
      <c r="AE97" s="1781">
        <f t="shared" si="59"/>
        <v>0.86</v>
      </c>
      <c r="AF97" s="1781">
        <f t="shared" si="60"/>
        <v>0.86</v>
      </c>
      <c r="AG97" s="1781">
        <f t="shared" si="61"/>
        <v>0.86</v>
      </c>
      <c r="AH97" s="1781">
        <f t="shared" si="62"/>
        <v>0.86</v>
      </c>
      <c r="AI97" s="1362">
        <f t="shared" si="93"/>
        <v>3776.2697917010414</v>
      </c>
      <c r="AJ97" s="1362">
        <f t="shared" si="94"/>
        <v>3776.2697917010414</v>
      </c>
      <c r="AK97" s="1362">
        <f t="shared" si="95"/>
        <v>3776.2697917010414</v>
      </c>
      <c r="AL97" s="1362">
        <f t="shared" si="96"/>
        <v>3776.2697917010414</v>
      </c>
      <c r="AM97" s="1362">
        <f t="shared" si="97"/>
        <v>15105.079166804166</v>
      </c>
      <c r="AN97" s="1132" t="str">
        <f t="shared" si="63"/>
        <v>CI-HVC-PINS-V05-190101</v>
      </c>
      <c r="AO97" s="1132" t="str">
        <f t="shared" si="64"/>
        <v>Nicor Gas PY11-PY14 Adjustable Goals Template_2025-03-01, Tab 4.4.14</v>
      </c>
      <c r="AP97" s="2505">
        <f>'4.4.14'!$T$14</f>
        <v>82.947360594795541</v>
      </c>
      <c r="AQ97" s="2505"/>
      <c r="AR97" s="2505">
        <f t="shared" si="65"/>
        <v>3776.2697917010414</v>
      </c>
      <c r="AS97" s="2505">
        <f t="shared" si="66"/>
        <v>0</v>
      </c>
      <c r="AT97" s="1132" t="str">
        <f t="shared" si="67"/>
        <v>CI-HVC-PINS-V05-190101</v>
      </c>
      <c r="AU97" s="1132" t="str">
        <f t="shared" si="68"/>
        <v>Nicor Gas PY11-PY14 Adjustable Goals Template_2025-03-01, Tab 4.4.14</v>
      </c>
      <c r="AV97" s="2505">
        <f>'4.4.14'!$T$14</f>
        <v>82.947360594795541</v>
      </c>
      <c r="AW97" s="2505"/>
      <c r="AX97" s="1362">
        <f t="shared" si="69"/>
        <v>3776.2697917010414</v>
      </c>
      <c r="AY97" s="1360">
        <f t="shared" si="70"/>
        <v>0</v>
      </c>
      <c r="AZ97" s="1132" t="str">
        <f t="shared" si="71"/>
        <v>CI-HVC-PINS-V05-190101</v>
      </c>
      <c r="BA97" s="1132" t="str">
        <f t="shared" si="72"/>
        <v>Nicor Gas PY11-PY14 Adjustable Goals Template_2025-03-01, Tab 4.4.14</v>
      </c>
      <c r="BB97" s="2505">
        <f>'4.4.14'!$T$14</f>
        <v>82.947360594795541</v>
      </c>
      <c r="BC97" s="2505"/>
      <c r="BD97" s="1362">
        <f t="shared" si="73"/>
        <v>3776.2697917010414</v>
      </c>
      <c r="BE97" s="1360">
        <f t="shared" si="74"/>
        <v>0</v>
      </c>
      <c r="BF97" s="1132" t="str">
        <f t="shared" si="75"/>
        <v>CI-HVC-PINS-V05-190101</v>
      </c>
      <c r="BG97" s="1132" t="str">
        <f t="shared" si="76"/>
        <v>Nicor Gas PY11-PY14 Adjustable Goals Template_2025-03-01, Tab 4.4.14</v>
      </c>
      <c r="BH97" s="2505">
        <f>'4.4.14'!$T$14</f>
        <v>82.947360594795541</v>
      </c>
      <c r="BI97" s="2505"/>
      <c r="BJ97" s="1362">
        <f t="shared" si="98"/>
        <v>3776.2697917010414</v>
      </c>
      <c r="BK97" s="1360">
        <f t="shared" si="77"/>
        <v>0</v>
      </c>
      <c r="BL97" s="1601">
        <f t="shared" si="78"/>
        <v>3776.2697917010414</v>
      </c>
      <c r="BM97" s="1601">
        <f t="shared" si="79"/>
        <v>3776.2697917010414</v>
      </c>
      <c r="BN97" s="1601">
        <f t="shared" si="80"/>
        <v>3776.2697917010414</v>
      </c>
      <c r="BO97" s="1601">
        <f t="shared" si="81"/>
        <v>3776.2697917010414</v>
      </c>
      <c r="BP97" s="1602">
        <f t="shared" si="82"/>
        <v>15105.079166804166</v>
      </c>
      <c r="BQ97" s="1602"/>
      <c r="BR97" s="1602" t="s">
        <v>336</v>
      </c>
      <c r="BS97" s="1602">
        <v>0</v>
      </c>
      <c r="BT97" s="1602">
        <v>15</v>
      </c>
      <c r="BU97" s="1602">
        <v>15</v>
      </c>
      <c r="BV97" s="1602">
        <v>15</v>
      </c>
      <c r="BW97" s="1602">
        <v>15</v>
      </c>
      <c r="BX97" s="1362">
        <f t="shared" si="99"/>
        <v>56644.046875515618</v>
      </c>
      <c r="BY97" s="1362">
        <f t="shared" si="100"/>
        <v>56644.046875515618</v>
      </c>
      <c r="BZ97" s="1362">
        <f t="shared" si="101"/>
        <v>56644.046875515618</v>
      </c>
      <c r="CA97" s="1362">
        <f t="shared" si="102"/>
        <v>56644.046875515618</v>
      </c>
      <c r="CB97" s="1362">
        <f t="shared" si="103"/>
        <v>226576.18750206247</v>
      </c>
      <c r="CC97" s="1360">
        <v>15</v>
      </c>
      <c r="CD97" s="1360">
        <v>15</v>
      </c>
      <c r="CE97" s="1360">
        <v>15</v>
      </c>
      <c r="CF97" s="1360">
        <v>15</v>
      </c>
      <c r="CG97" s="1604">
        <f t="shared" si="83"/>
        <v>56644.046875515618</v>
      </c>
      <c r="CH97" s="1604">
        <f t="shared" si="84"/>
        <v>56644.046875515618</v>
      </c>
      <c r="CI97" s="1604">
        <f t="shared" si="85"/>
        <v>56644.046875515618</v>
      </c>
      <c r="CJ97" s="1604">
        <f t="shared" si="86"/>
        <v>56644.046875515618</v>
      </c>
      <c r="CK97" s="1521">
        <f t="shared" si="87"/>
        <v>226576.18750206247</v>
      </c>
      <c r="CL97" s="1132">
        <v>90</v>
      </c>
      <c r="CM97" s="1132" t="s">
        <v>337</v>
      </c>
      <c r="CN97" s="1359">
        <v>0</v>
      </c>
      <c r="CO97" s="1360">
        <v>52.937325000000008</v>
      </c>
      <c r="CP97" s="1360">
        <v>52.937325000000008</v>
      </c>
      <c r="CQ97" s="1360">
        <v>52.937325000000008</v>
      </c>
      <c r="CR97" s="1360">
        <v>52.937325000000008</v>
      </c>
      <c r="CS97" s="1362">
        <f t="shared" si="88"/>
        <v>3776.2697917010414</v>
      </c>
      <c r="CT97" s="1362">
        <f t="shared" si="89"/>
        <v>3776.2697917010414</v>
      </c>
      <c r="CU97" s="1362">
        <f t="shared" si="90"/>
        <v>3776.2697917010414</v>
      </c>
      <c r="CV97" s="1362">
        <f t="shared" si="91"/>
        <v>3776.2697917010414</v>
      </c>
      <c r="CW97" s="1362">
        <f t="shared" si="92"/>
        <v>15105.079166804166</v>
      </c>
      <c r="CY97" s="2887"/>
      <c r="DN97" s="1715"/>
    </row>
    <row r="98" spans="1:118" s="1143" customFormat="1" ht="46.5" x14ac:dyDescent="0.35">
      <c r="A98" s="1132" t="s">
        <v>101</v>
      </c>
      <c r="B98" s="1132" t="s">
        <v>424</v>
      </c>
      <c r="C98" s="1132" t="s">
        <v>539</v>
      </c>
      <c r="D98" s="1359" t="s">
        <v>540</v>
      </c>
      <c r="E98" s="1359">
        <v>1</v>
      </c>
      <c r="F98" s="2564" t="s">
        <v>336</v>
      </c>
      <c r="G98" s="1132" t="s">
        <v>337</v>
      </c>
      <c r="H98" s="1360">
        <v>216.61709999999999</v>
      </c>
      <c r="I98" s="1360">
        <v>216.61709999999999</v>
      </c>
      <c r="J98" s="1360">
        <v>216.61709999999999</v>
      </c>
      <c r="K98" s="1360">
        <v>216.61709999999999</v>
      </c>
      <c r="L98" s="1132" t="s">
        <v>338</v>
      </c>
      <c r="M98" s="1132" t="str">
        <f t="shared" si="54"/>
        <v>Nicor Gas PY11-PY14 Adjustable Goals Template_2025-03-01, Tab 4.4.14</v>
      </c>
      <c r="N98" s="1361">
        <v>100.7663940520446</v>
      </c>
      <c r="O98" s="1361">
        <v>100.7663940520446</v>
      </c>
      <c r="P98" s="1361">
        <v>100.7663940520446</v>
      </c>
      <c r="Q98" s="1361">
        <v>100.7663940520446</v>
      </c>
      <c r="R98" s="1781">
        <v>0.86</v>
      </c>
      <c r="S98" s="1781">
        <v>0.86</v>
      </c>
      <c r="T98" s="1781">
        <v>0.86</v>
      </c>
      <c r="U98" s="1781">
        <v>0.86</v>
      </c>
      <c r="V98" s="1781">
        <v>0.86</v>
      </c>
      <c r="W98" s="1781">
        <v>0.86</v>
      </c>
      <c r="X98" s="1781">
        <v>0.86</v>
      </c>
      <c r="Y98" s="1781">
        <v>0.86</v>
      </c>
      <c r="Z98" s="1359">
        <v>1</v>
      </c>
      <c r="AA98" s="1781">
        <f t="shared" si="55"/>
        <v>0.86</v>
      </c>
      <c r="AB98" s="1781">
        <f t="shared" si="56"/>
        <v>0.86</v>
      </c>
      <c r="AC98" s="1781">
        <f t="shared" si="57"/>
        <v>0.86</v>
      </c>
      <c r="AD98" s="1781">
        <f t="shared" si="58"/>
        <v>0.86</v>
      </c>
      <c r="AE98" s="1781">
        <f t="shared" si="59"/>
        <v>0.86</v>
      </c>
      <c r="AF98" s="1781">
        <f t="shared" si="60"/>
        <v>0.86</v>
      </c>
      <c r="AG98" s="1781">
        <f t="shared" si="61"/>
        <v>0.86</v>
      </c>
      <c r="AH98" s="1781">
        <f t="shared" si="62"/>
        <v>0.86</v>
      </c>
      <c r="AI98" s="1362">
        <f t="shared" si="93"/>
        <v>18771.842689029589</v>
      </c>
      <c r="AJ98" s="1362">
        <f t="shared" si="94"/>
        <v>18771.842689029589</v>
      </c>
      <c r="AK98" s="1362">
        <f t="shared" si="95"/>
        <v>18771.842689029589</v>
      </c>
      <c r="AL98" s="1362">
        <f t="shared" si="96"/>
        <v>18771.842689029589</v>
      </c>
      <c r="AM98" s="1362">
        <f t="shared" si="97"/>
        <v>75087.370756118355</v>
      </c>
      <c r="AN98" s="1132" t="str">
        <f t="shared" si="63"/>
        <v>CI-HVC-PINS-V05-190101</v>
      </c>
      <c r="AO98" s="1132" t="str">
        <f t="shared" si="64"/>
        <v>Nicor Gas PY11-PY14 Adjustable Goals Template_2025-03-01, Tab 4.4.14</v>
      </c>
      <c r="AP98" s="2505">
        <f>'4.4.14'!$T$13</f>
        <v>100.7663940520446</v>
      </c>
      <c r="AQ98" s="2505"/>
      <c r="AR98" s="2505">
        <f t="shared" si="65"/>
        <v>18771.842689029589</v>
      </c>
      <c r="AS98" s="2505">
        <f t="shared" si="66"/>
        <v>0</v>
      </c>
      <c r="AT98" s="1132" t="str">
        <f t="shared" si="67"/>
        <v>CI-HVC-PINS-V05-190101</v>
      </c>
      <c r="AU98" s="1132" t="str">
        <f t="shared" si="68"/>
        <v>Nicor Gas PY11-PY14 Adjustable Goals Template_2025-03-01, Tab 4.4.14</v>
      </c>
      <c r="AV98" s="2505">
        <f>'4.4.14'!$T$13</f>
        <v>100.7663940520446</v>
      </c>
      <c r="AW98" s="2505"/>
      <c r="AX98" s="1362">
        <f t="shared" si="69"/>
        <v>18771.842689029589</v>
      </c>
      <c r="AY98" s="1360">
        <f t="shared" si="70"/>
        <v>0</v>
      </c>
      <c r="AZ98" s="1132" t="str">
        <f t="shared" si="71"/>
        <v>CI-HVC-PINS-V05-190101</v>
      </c>
      <c r="BA98" s="1132" t="str">
        <f t="shared" si="72"/>
        <v>Nicor Gas PY11-PY14 Adjustable Goals Template_2025-03-01, Tab 4.4.14</v>
      </c>
      <c r="BB98" s="2505">
        <f>'4.4.14'!$T$13</f>
        <v>100.7663940520446</v>
      </c>
      <c r="BC98" s="2505"/>
      <c r="BD98" s="1362">
        <f t="shared" si="73"/>
        <v>18771.842689029589</v>
      </c>
      <c r="BE98" s="1360">
        <f t="shared" si="74"/>
        <v>0</v>
      </c>
      <c r="BF98" s="1132" t="str">
        <f t="shared" si="75"/>
        <v>CI-HVC-PINS-V05-190101</v>
      </c>
      <c r="BG98" s="1132" t="str">
        <f t="shared" si="76"/>
        <v>Nicor Gas PY11-PY14 Adjustable Goals Template_2025-03-01, Tab 4.4.14</v>
      </c>
      <c r="BH98" s="2505">
        <f>'4.4.14'!$T$13</f>
        <v>100.7663940520446</v>
      </c>
      <c r="BI98" s="2505"/>
      <c r="BJ98" s="1362">
        <f t="shared" si="98"/>
        <v>18771.842689029589</v>
      </c>
      <c r="BK98" s="1360">
        <f t="shared" si="77"/>
        <v>0</v>
      </c>
      <c r="BL98" s="1601">
        <f t="shared" si="78"/>
        <v>18771.842689029589</v>
      </c>
      <c r="BM98" s="1601">
        <f t="shared" si="79"/>
        <v>18771.842689029589</v>
      </c>
      <c r="BN98" s="1601">
        <f t="shared" si="80"/>
        <v>18771.842689029589</v>
      </c>
      <c r="BO98" s="1601">
        <f t="shared" si="81"/>
        <v>18771.842689029589</v>
      </c>
      <c r="BP98" s="1602">
        <f t="shared" si="82"/>
        <v>75087.370756118355</v>
      </c>
      <c r="BQ98" s="1602"/>
      <c r="BR98" s="1602" t="s">
        <v>336</v>
      </c>
      <c r="BS98" s="1602">
        <v>0</v>
      </c>
      <c r="BT98" s="1602">
        <v>15</v>
      </c>
      <c r="BU98" s="1602">
        <v>15</v>
      </c>
      <c r="BV98" s="1602">
        <v>15</v>
      </c>
      <c r="BW98" s="1602">
        <v>15</v>
      </c>
      <c r="BX98" s="1362">
        <f t="shared" si="99"/>
        <v>281577.64033544384</v>
      </c>
      <c r="BY98" s="1362">
        <f t="shared" si="100"/>
        <v>281577.64033544384</v>
      </c>
      <c r="BZ98" s="1362">
        <f t="shared" si="101"/>
        <v>281577.64033544384</v>
      </c>
      <c r="CA98" s="1362">
        <f t="shared" si="102"/>
        <v>281577.64033544384</v>
      </c>
      <c r="CB98" s="1362">
        <f t="shared" si="103"/>
        <v>1126310.5613417753</v>
      </c>
      <c r="CC98" s="1360">
        <v>15</v>
      </c>
      <c r="CD98" s="1360">
        <v>15</v>
      </c>
      <c r="CE98" s="1360">
        <v>15</v>
      </c>
      <c r="CF98" s="1360">
        <v>15</v>
      </c>
      <c r="CG98" s="1604">
        <f t="shared" si="83"/>
        <v>281577.64033544384</v>
      </c>
      <c r="CH98" s="1604">
        <f t="shared" si="84"/>
        <v>281577.64033544384</v>
      </c>
      <c r="CI98" s="1604">
        <f t="shared" si="85"/>
        <v>281577.64033544384</v>
      </c>
      <c r="CJ98" s="1604">
        <f t="shared" si="86"/>
        <v>281577.64033544384</v>
      </c>
      <c r="CK98" s="1521">
        <f t="shared" si="87"/>
        <v>1126310.5613417753</v>
      </c>
      <c r="CL98" s="1132">
        <v>91</v>
      </c>
      <c r="CM98" s="1132" t="s">
        <v>337</v>
      </c>
      <c r="CN98" s="1359">
        <v>0</v>
      </c>
      <c r="CO98" s="1360">
        <v>216.61709999999999</v>
      </c>
      <c r="CP98" s="1360">
        <v>216.61709999999999</v>
      </c>
      <c r="CQ98" s="1360">
        <v>216.61709999999999</v>
      </c>
      <c r="CR98" s="1360">
        <v>216.61709999999999</v>
      </c>
      <c r="CS98" s="1362">
        <f t="shared" si="88"/>
        <v>18771.842689029589</v>
      </c>
      <c r="CT98" s="1362">
        <f t="shared" si="89"/>
        <v>18771.842689029589</v>
      </c>
      <c r="CU98" s="1362">
        <f t="shared" si="90"/>
        <v>18771.842689029589</v>
      </c>
      <c r="CV98" s="1362">
        <f t="shared" si="91"/>
        <v>18771.842689029589</v>
      </c>
      <c r="CW98" s="1362">
        <f t="shared" si="92"/>
        <v>75087.370756118355</v>
      </c>
      <c r="CY98" s="2887"/>
      <c r="DN98" s="1715"/>
    </row>
    <row r="99" spans="1:118" s="1143" customFormat="1" ht="46.5" x14ac:dyDescent="0.35">
      <c r="A99" s="1132" t="s">
        <v>101</v>
      </c>
      <c r="B99" s="1132" t="s">
        <v>424</v>
      </c>
      <c r="C99" s="1132" t="s">
        <v>353</v>
      </c>
      <c r="D99" s="1359" t="s">
        <v>354</v>
      </c>
      <c r="E99" s="1359">
        <v>1</v>
      </c>
      <c r="F99" s="2564" t="s">
        <v>355</v>
      </c>
      <c r="G99" s="1132" t="s">
        <v>356</v>
      </c>
      <c r="H99" s="1360">
        <v>241.56457499999996</v>
      </c>
      <c r="I99" s="1360">
        <v>241.56457499999996</v>
      </c>
      <c r="J99" s="1360">
        <v>241.56457499999996</v>
      </c>
      <c r="K99" s="1360">
        <v>241.56457499999996</v>
      </c>
      <c r="L99" s="1132" t="s">
        <v>357</v>
      </c>
      <c r="M99" s="1132" t="str">
        <f t="shared" si="54"/>
        <v>Nicor Gas PY11-PY14 Adjustable Goals Template_2025-03-01, Tab 4.4.16</v>
      </c>
      <c r="N99" s="1361">
        <v>102.13709764839483</v>
      </c>
      <c r="O99" s="1361">
        <v>102.13709764839483</v>
      </c>
      <c r="P99" s="1361">
        <v>102.13709764839483</v>
      </c>
      <c r="Q99" s="1361">
        <v>102.13709764839483</v>
      </c>
      <c r="R99" s="1781">
        <v>0.86</v>
      </c>
      <c r="S99" s="1781">
        <v>0.86</v>
      </c>
      <c r="T99" s="1781">
        <v>0.86</v>
      </c>
      <c r="U99" s="1781">
        <v>0.86</v>
      </c>
      <c r="V99" s="1781">
        <v>0.86</v>
      </c>
      <c r="W99" s="1781">
        <v>0.86</v>
      </c>
      <c r="X99" s="1781">
        <v>0.86</v>
      </c>
      <c r="Y99" s="1781">
        <v>0.86</v>
      </c>
      <c r="Z99" s="1359">
        <v>1</v>
      </c>
      <c r="AA99" s="1781">
        <f t="shared" si="55"/>
        <v>0.86</v>
      </c>
      <c r="AB99" s="1781">
        <f t="shared" si="56"/>
        <v>0.86</v>
      </c>
      <c r="AC99" s="1781">
        <f t="shared" si="57"/>
        <v>0.86</v>
      </c>
      <c r="AD99" s="1781">
        <f t="shared" si="58"/>
        <v>0.86</v>
      </c>
      <c r="AE99" s="1781">
        <f t="shared" si="59"/>
        <v>0.86</v>
      </c>
      <c r="AF99" s="1781">
        <f t="shared" si="60"/>
        <v>0.86</v>
      </c>
      <c r="AG99" s="1781">
        <f t="shared" si="61"/>
        <v>0.86</v>
      </c>
      <c r="AH99" s="1781">
        <f t="shared" si="62"/>
        <v>0.86</v>
      </c>
      <c r="AI99" s="1362">
        <f t="shared" si="93"/>
        <v>21218.525943244476</v>
      </c>
      <c r="AJ99" s="1362">
        <f t="shared" si="94"/>
        <v>21218.525943244476</v>
      </c>
      <c r="AK99" s="1362">
        <f t="shared" si="95"/>
        <v>21218.525943244476</v>
      </c>
      <c r="AL99" s="1362">
        <f t="shared" si="96"/>
        <v>21218.525943244476</v>
      </c>
      <c r="AM99" s="1362">
        <f t="shared" si="97"/>
        <v>84874.103772977905</v>
      </c>
      <c r="AN99" s="1132" t="str">
        <f t="shared" si="63"/>
        <v>CI-HVC-STRE-V05-180101</v>
      </c>
      <c r="AO99" s="1132" t="str">
        <f t="shared" si="64"/>
        <v>Nicor Gas PY11-PY14 Adjustable Goals Template_2025-03-01, Tab 4.4.16</v>
      </c>
      <c r="AP99" s="2505">
        <f>'4.4.16'!$O$11</f>
        <v>102.13709764839483</v>
      </c>
      <c r="AQ99" s="2505"/>
      <c r="AR99" s="2505">
        <f t="shared" si="65"/>
        <v>21218.525943244476</v>
      </c>
      <c r="AS99" s="2505">
        <f t="shared" si="66"/>
        <v>0</v>
      </c>
      <c r="AT99" s="1132" t="str">
        <f t="shared" si="67"/>
        <v>CI-HVC-STRE-V05-180101</v>
      </c>
      <c r="AU99" s="1132" t="str">
        <f t="shared" si="68"/>
        <v>Nicor Gas PY11-PY14 Adjustable Goals Template_2025-03-01, Tab 4.4.16</v>
      </c>
      <c r="AV99" s="2505">
        <f>'4.4.16'!$O$11</f>
        <v>102.13709764839483</v>
      </c>
      <c r="AW99" s="2505"/>
      <c r="AX99" s="1362">
        <f t="shared" si="69"/>
        <v>21218.525943244476</v>
      </c>
      <c r="AY99" s="1360">
        <f t="shared" si="70"/>
        <v>0</v>
      </c>
      <c r="AZ99" s="1132" t="str">
        <f t="shared" si="71"/>
        <v>CI-HVC-STRE-V05-180101</v>
      </c>
      <c r="BA99" s="1132" t="str">
        <f t="shared" si="72"/>
        <v>Nicor Gas PY11-PY14 Adjustable Goals Template_2025-03-01, Tab 4.4.16</v>
      </c>
      <c r="BB99" s="2505">
        <f>'4.4.16'!$O$11</f>
        <v>102.13709764839483</v>
      </c>
      <c r="BC99" s="2505"/>
      <c r="BD99" s="1362">
        <f t="shared" si="73"/>
        <v>21218.525943244476</v>
      </c>
      <c r="BE99" s="1360">
        <f t="shared" si="74"/>
        <v>0</v>
      </c>
      <c r="BF99" s="1132" t="str">
        <f t="shared" si="75"/>
        <v>CI-HVC-STRE-V05-180101</v>
      </c>
      <c r="BG99" s="1132" t="str">
        <f t="shared" si="76"/>
        <v>Nicor Gas PY11-PY14 Adjustable Goals Template_2025-03-01, Tab 4.4.16</v>
      </c>
      <c r="BH99" s="2505">
        <f>'4.4.16'!$O$11</f>
        <v>102.13709764839483</v>
      </c>
      <c r="BI99" s="2505"/>
      <c r="BJ99" s="1362">
        <f t="shared" si="98"/>
        <v>21218.525943244476</v>
      </c>
      <c r="BK99" s="1360">
        <f t="shared" si="77"/>
        <v>0</v>
      </c>
      <c r="BL99" s="1601">
        <f t="shared" si="78"/>
        <v>21218.525943244476</v>
      </c>
      <c r="BM99" s="1601">
        <f t="shared" si="79"/>
        <v>21218.525943244476</v>
      </c>
      <c r="BN99" s="1601">
        <f t="shared" si="80"/>
        <v>21218.525943244476</v>
      </c>
      <c r="BO99" s="1601">
        <f t="shared" si="81"/>
        <v>21218.525943244476</v>
      </c>
      <c r="BP99" s="1602">
        <f t="shared" si="82"/>
        <v>84874.103772977905</v>
      </c>
      <c r="BQ99" s="1602"/>
      <c r="BR99" s="1602" t="s">
        <v>355</v>
      </c>
      <c r="BS99" s="1602">
        <v>0</v>
      </c>
      <c r="BT99" s="1602">
        <v>6</v>
      </c>
      <c r="BU99" s="1602">
        <v>6</v>
      </c>
      <c r="BV99" s="1602">
        <v>6</v>
      </c>
      <c r="BW99" s="1602">
        <v>6</v>
      </c>
      <c r="BX99" s="1362">
        <f t="shared" si="99"/>
        <v>127311.15565946687</v>
      </c>
      <c r="BY99" s="1362">
        <f t="shared" si="100"/>
        <v>127311.15565946687</v>
      </c>
      <c r="BZ99" s="1362">
        <f t="shared" si="101"/>
        <v>127311.15565946687</v>
      </c>
      <c r="CA99" s="1362">
        <f t="shared" si="102"/>
        <v>127311.15565946687</v>
      </c>
      <c r="CB99" s="1362">
        <f t="shared" si="103"/>
        <v>509244.62263786746</v>
      </c>
      <c r="CC99" s="1360">
        <v>6</v>
      </c>
      <c r="CD99" s="1360">
        <v>6</v>
      </c>
      <c r="CE99" s="1360">
        <v>6</v>
      </c>
      <c r="CF99" s="1360">
        <v>6</v>
      </c>
      <c r="CG99" s="1604">
        <f t="shared" si="83"/>
        <v>127311.15565946684</v>
      </c>
      <c r="CH99" s="1604">
        <f t="shared" si="84"/>
        <v>127311.15565946684</v>
      </c>
      <c r="CI99" s="1604">
        <f t="shared" si="85"/>
        <v>127311.15565946684</v>
      </c>
      <c r="CJ99" s="1604">
        <f t="shared" si="86"/>
        <v>127311.15565946684</v>
      </c>
      <c r="CK99" s="1521">
        <f t="shared" si="87"/>
        <v>509244.62263786735</v>
      </c>
      <c r="CL99" s="1132">
        <v>92</v>
      </c>
      <c r="CM99" s="1132" t="s">
        <v>356</v>
      </c>
      <c r="CN99" s="1359">
        <v>0</v>
      </c>
      <c r="CO99" s="1360">
        <v>241.56457499999996</v>
      </c>
      <c r="CP99" s="1360">
        <v>241.56457499999996</v>
      </c>
      <c r="CQ99" s="1360">
        <v>241.56457499999996</v>
      </c>
      <c r="CR99" s="1360">
        <v>241.56457499999996</v>
      </c>
      <c r="CS99" s="1362">
        <f t="shared" si="88"/>
        <v>21218.525943244476</v>
      </c>
      <c r="CT99" s="1362">
        <f t="shared" si="89"/>
        <v>21218.525943244476</v>
      </c>
      <c r="CU99" s="1362">
        <f t="shared" si="90"/>
        <v>21218.525943244476</v>
      </c>
      <c r="CV99" s="1362">
        <f t="shared" si="91"/>
        <v>21218.525943244476</v>
      </c>
      <c r="CW99" s="1362">
        <f t="shared" si="92"/>
        <v>84874.103772977905</v>
      </c>
      <c r="CY99" s="2887"/>
      <c r="DN99" s="1715"/>
    </row>
    <row r="100" spans="1:118" s="1143" customFormat="1" ht="46.5" x14ac:dyDescent="0.35">
      <c r="A100" s="1132" t="s">
        <v>101</v>
      </c>
      <c r="B100" s="1132" t="s">
        <v>424</v>
      </c>
      <c r="C100" s="1132" t="s">
        <v>358</v>
      </c>
      <c r="D100" s="1359" t="s">
        <v>359</v>
      </c>
      <c r="E100" s="1359">
        <v>1</v>
      </c>
      <c r="F100" s="2564" t="s">
        <v>355</v>
      </c>
      <c r="G100" s="1132" t="s">
        <v>356</v>
      </c>
      <c r="H100" s="1360">
        <v>100.398375</v>
      </c>
      <c r="I100" s="1360">
        <v>100.398375</v>
      </c>
      <c r="J100" s="1360">
        <v>100.398375</v>
      </c>
      <c r="K100" s="1360">
        <v>100.398375</v>
      </c>
      <c r="L100" s="1132" t="s">
        <v>357</v>
      </c>
      <c r="M100" s="1132" t="str">
        <f t="shared" si="54"/>
        <v>Nicor Gas PY11-PY14 Adjustable Goals Template_2025-03-01, Tab 4.4.16</v>
      </c>
      <c r="N100" s="1361">
        <v>762.90491998307095</v>
      </c>
      <c r="O100" s="1361">
        <v>762.90491998307095</v>
      </c>
      <c r="P100" s="1361">
        <v>762.90491998307095</v>
      </c>
      <c r="Q100" s="1361">
        <v>762.90491998307095</v>
      </c>
      <c r="R100" s="1781">
        <v>0.86</v>
      </c>
      <c r="S100" s="1781">
        <v>0.86</v>
      </c>
      <c r="T100" s="1781">
        <v>0.86</v>
      </c>
      <c r="U100" s="1781">
        <v>0.86</v>
      </c>
      <c r="V100" s="1781">
        <v>0.86</v>
      </c>
      <c r="W100" s="1781">
        <v>0.86</v>
      </c>
      <c r="X100" s="1781">
        <v>0.86</v>
      </c>
      <c r="Y100" s="1781">
        <v>0.86</v>
      </c>
      <c r="Z100" s="1359">
        <v>1</v>
      </c>
      <c r="AA100" s="1781">
        <f t="shared" si="55"/>
        <v>0.86</v>
      </c>
      <c r="AB100" s="1781">
        <f t="shared" si="56"/>
        <v>0.86</v>
      </c>
      <c r="AC100" s="1781">
        <f t="shared" si="57"/>
        <v>0.86</v>
      </c>
      <c r="AD100" s="1781">
        <f t="shared" si="58"/>
        <v>0.86</v>
      </c>
      <c r="AE100" s="1781">
        <f t="shared" si="59"/>
        <v>0.86</v>
      </c>
      <c r="AF100" s="1781">
        <f t="shared" si="60"/>
        <v>0.86</v>
      </c>
      <c r="AG100" s="1781">
        <f t="shared" si="61"/>
        <v>0.86</v>
      </c>
      <c r="AH100" s="1781">
        <f t="shared" si="62"/>
        <v>0.86</v>
      </c>
      <c r="AI100" s="1362">
        <f t="shared" si="93"/>
        <v>65871.196251392597</v>
      </c>
      <c r="AJ100" s="1362">
        <f t="shared" si="94"/>
        <v>65871.196251392597</v>
      </c>
      <c r="AK100" s="1362">
        <f t="shared" si="95"/>
        <v>65871.196251392597</v>
      </c>
      <c r="AL100" s="1362">
        <f t="shared" si="96"/>
        <v>65871.196251392597</v>
      </c>
      <c r="AM100" s="1362">
        <f t="shared" si="97"/>
        <v>263484.78500557039</v>
      </c>
      <c r="AN100" s="1132" t="str">
        <f t="shared" si="63"/>
        <v>CI-HVC-STRE-V05-180101</v>
      </c>
      <c r="AO100" s="1132" t="str">
        <f t="shared" si="64"/>
        <v>Nicor Gas PY11-PY14 Adjustable Goals Template_2025-03-01, Tab 4.4.16</v>
      </c>
      <c r="AP100" s="2505">
        <f>'4.4.16'!$O$5</f>
        <v>762.90491998307095</v>
      </c>
      <c r="AQ100" s="2505"/>
      <c r="AR100" s="2505">
        <f t="shared" si="65"/>
        <v>65871.196251392597</v>
      </c>
      <c r="AS100" s="2505">
        <f t="shared" si="66"/>
        <v>0</v>
      </c>
      <c r="AT100" s="1132" t="str">
        <f t="shared" si="67"/>
        <v>CI-HVC-STRE-V05-180101</v>
      </c>
      <c r="AU100" s="1132" t="str">
        <f t="shared" si="68"/>
        <v>Nicor Gas PY11-PY14 Adjustable Goals Template_2025-03-01, Tab 4.4.16</v>
      </c>
      <c r="AV100" s="2505">
        <f>'4.4.16'!$O$5</f>
        <v>762.90491998307095</v>
      </c>
      <c r="AW100" s="2505"/>
      <c r="AX100" s="1362">
        <f t="shared" si="69"/>
        <v>65871.196251392597</v>
      </c>
      <c r="AY100" s="1360">
        <f t="shared" si="70"/>
        <v>0</v>
      </c>
      <c r="AZ100" s="1132" t="str">
        <f t="shared" si="71"/>
        <v>CI-HVC-STRE-V05-180101</v>
      </c>
      <c r="BA100" s="1132" t="str">
        <f t="shared" si="72"/>
        <v>Nicor Gas PY11-PY14 Adjustable Goals Template_2025-03-01, Tab 4.4.16</v>
      </c>
      <c r="BB100" s="2505">
        <f>'4.4.16'!$O$5</f>
        <v>762.90491998307095</v>
      </c>
      <c r="BC100" s="2505"/>
      <c r="BD100" s="1362">
        <f t="shared" si="73"/>
        <v>65871.196251392597</v>
      </c>
      <c r="BE100" s="1360">
        <f t="shared" si="74"/>
        <v>0</v>
      </c>
      <c r="BF100" s="1132" t="str">
        <f t="shared" si="75"/>
        <v>CI-HVC-STRE-V05-180101</v>
      </c>
      <c r="BG100" s="1132" t="str">
        <f t="shared" si="76"/>
        <v>Nicor Gas PY11-PY14 Adjustable Goals Template_2025-03-01, Tab 4.4.16</v>
      </c>
      <c r="BH100" s="2505">
        <f>'4.4.16'!$O$5</f>
        <v>762.90491998307095</v>
      </c>
      <c r="BI100" s="2505"/>
      <c r="BJ100" s="1362">
        <f t="shared" si="98"/>
        <v>65871.196251392597</v>
      </c>
      <c r="BK100" s="1360">
        <f t="shared" si="77"/>
        <v>0</v>
      </c>
      <c r="BL100" s="1601">
        <f t="shared" si="78"/>
        <v>65871.196251392597</v>
      </c>
      <c r="BM100" s="1601">
        <f t="shared" si="79"/>
        <v>65871.196251392597</v>
      </c>
      <c r="BN100" s="1601">
        <f t="shared" si="80"/>
        <v>65871.196251392597</v>
      </c>
      <c r="BO100" s="1601">
        <f t="shared" si="81"/>
        <v>65871.196251392597</v>
      </c>
      <c r="BP100" s="1602">
        <f t="shared" si="82"/>
        <v>263484.78500557039</v>
      </c>
      <c r="BQ100" s="1602"/>
      <c r="BR100" s="1602" t="s">
        <v>355</v>
      </c>
      <c r="BS100" s="1602">
        <v>0</v>
      </c>
      <c r="BT100" s="1602">
        <v>6</v>
      </c>
      <c r="BU100" s="1602">
        <v>6</v>
      </c>
      <c r="BV100" s="1602">
        <v>6</v>
      </c>
      <c r="BW100" s="1602">
        <v>6</v>
      </c>
      <c r="BX100" s="1362">
        <f t="shared" si="99"/>
        <v>395227.17750835558</v>
      </c>
      <c r="BY100" s="1362">
        <f t="shared" si="100"/>
        <v>395227.17750835558</v>
      </c>
      <c r="BZ100" s="1362">
        <f t="shared" si="101"/>
        <v>395227.17750835558</v>
      </c>
      <c r="CA100" s="1362">
        <f t="shared" si="102"/>
        <v>395227.17750835558</v>
      </c>
      <c r="CB100" s="1362">
        <f t="shared" si="103"/>
        <v>1580908.7100334223</v>
      </c>
      <c r="CC100" s="1360">
        <v>6</v>
      </c>
      <c r="CD100" s="1360">
        <v>6</v>
      </c>
      <c r="CE100" s="1360">
        <v>6</v>
      </c>
      <c r="CF100" s="1360">
        <v>6</v>
      </c>
      <c r="CG100" s="1604">
        <f t="shared" si="83"/>
        <v>395227.17750835558</v>
      </c>
      <c r="CH100" s="1604">
        <f t="shared" si="84"/>
        <v>395227.17750835558</v>
      </c>
      <c r="CI100" s="1604">
        <f t="shared" si="85"/>
        <v>395227.17750835558</v>
      </c>
      <c r="CJ100" s="1604">
        <f t="shared" si="86"/>
        <v>395227.17750835558</v>
      </c>
      <c r="CK100" s="1521">
        <f t="shared" si="87"/>
        <v>1580908.7100334223</v>
      </c>
      <c r="CL100" s="1132">
        <v>93</v>
      </c>
      <c r="CM100" s="1132" t="s">
        <v>356</v>
      </c>
      <c r="CN100" s="1359">
        <v>0</v>
      </c>
      <c r="CO100" s="1360">
        <v>100.398375</v>
      </c>
      <c r="CP100" s="1360">
        <v>100.398375</v>
      </c>
      <c r="CQ100" s="1360">
        <v>100.398375</v>
      </c>
      <c r="CR100" s="1360">
        <v>100.398375</v>
      </c>
      <c r="CS100" s="1362">
        <f t="shared" si="88"/>
        <v>65871.196251392597</v>
      </c>
      <c r="CT100" s="1362">
        <f t="shared" si="89"/>
        <v>65871.196251392597</v>
      </c>
      <c r="CU100" s="1362">
        <f t="shared" si="90"/>
        <v>65871.196251392597</v>
      </c>
      <c r="CV100" s="1362">
        <f t="shared" si="91"/>
        <v>65871.196251392597</v>
      </c>
      <c r="CW100" s="1362">
        <f t="shared" si="92"/>
        <v>263484.78500557039</v>
      </c>
      <c r="CY100" s="2887"/>
      <c r="DN100" s="1715"/>
    </row>
    <row r="101" spans="1:118" s="1143" customFormat="1" ht="46.5" x14ac:dyDescent="0.35">
      <c r="A101" s="1132" t="s">
        <v>101</v>
      </c>
      <c r="B101" s="1132" t="s">
        <v>424</v>
      </c>
      <c r="C101" s="1132" t="s">
        <v>360</v>
      </c>
      <c r="D101" s="1359" t="s">
        <v>361</v>
      </c>
      <c r="E101" s="1359">
        <v>1</v>
      </c>
      <c r="F101" s="2564" t="s">
        <v>355</v>
      </c>
      <c r="G101" s="1132" t="s">
        <v>356</v>
      </c>
      <c r="H101" s="1360">
        <v>20.079674999999995</v>
      </c>
      <c r="I101" s="1360">
        <v>20.079674999999995</v>
      </c>
      <c r="J101" s="1360">
        <v>20.079674999999995</v>
      </c>
      <c r="K101" s="1360">
        <v>20.079674999999995</v>
      </c>
      <c r="L101" s="1132" t="s">
        <v>357</v>
      </c>
      <c r="M101" s="1132" t="str">
        <f t="shared" si="54"/>
        <v>Nicor Gas PY11-PY14 Adjustable Goals Template_2025-03-01, Tab 4.4.16</v>
      </c>
      <c r="N101" s="1361">
        <v>2773.9803407924196</v>
      </c>
      <c r="O101" s="1361">
        <v>2773.9803407924196</v>
      </c>
      <c r="P101" s="1361">
        <v>2773.9803407924196</v>
      </c>
      <c r="Q101" s="1361">
        <v>2773.9803407924196</v>
      </c>
      <c r="R101" s="1781">
        <v>0.86</v>
      </c>
      <c r="S101" s="1781">
        <v>0.86</v>
      </c>
      <c r="T101" s="1781">
        <v>0.86</v>
      </c>
      <c r="U101" s="1781">
        <v>0.86</v>
      </c>
      <c r="V101" s="1781">
        <v>0.86</v>
      </c>
      <c r="W101" s="1781">
        <v>0.86</v>
      </c>
      <c r="X101" s="1781">
        <v>0.86</v>
      </c>
      <c r="Y101" s="1781">
        <v>0.86</v>
      </c>
      <c r="Z101" s="1359">
        <v>1</v>
      </c>
      <c r="AA101" s="1781">
        <f t="shared" si="55"/>
        <v>0.86</v>
      </c>
      <c r="AB101" s="1781">
        <f t="shared" si="56"/>
        <v>0.86</v>
      </c>
      <c r="AC101" s="1781">
        <f t="shared" si="57"/>
        <v>0.86</v>
      </c>
      <c r="AD101" s="1781">
        <f t="shared" si="58"/>
        <v>0.86</v>
      </c>
      <c r="AE101" s="1781">
        <f t="shared" si="59"/>
        <v>0.86</v>
      </c>
      <c r="AF101" s="1781">
        <f t="shared" si="60"/>
        <v>0.86</v>
      </c>
      <c r="AG101" s="1781">
        <f t="shared" si="61"/>
        <v>0.86</v>
      </c>
      <c r="AH101" s="1781">
        <f t="shared" si="62"/>
        <v>0.86</v>
      </c>
      <c r="AI101" s="1362">
        <f t="shared" si="93"/>
        <v>47902.53638157087</v>
      </c>
      <c r="AJ101" s="1362">
        <f t="shared" si="94"/>
        <v>47902.53638157087</v>
      </c>
      <c r="AK101" s="1362">
        <f t="shared" si="95"/>
        <v>47902.53638157087</v>
      </c>
      <c r="AL101" s="1362">
        <f t="shared" si="96"/>
        <v>47902.53638157087</v>
      </c>
      <c r="AM101" s="1362">
        <f t="shared" si="97"/>
        <v>191610.14552628348</v>
      </c>
      <c r="AN101" s="1132" t="str">
        <f t="shared" si="63"/>
        <v>CI-HVC-STRE-V05-180101</v>
      </c>
      <c r="AO101" s="1132" t="str">
        <f t="shared" si="64"/>
        <v>Nicor Gas PY11-PY14 Adjustable Goals Template_2025-03-01, Tab 4.4.16</v>
      </c>
      <c r="AP101" s="2505">
        <f>'4.4.16'!$O$6</f>
        <v>2773.9803407924196</v>
      </c>
      <c r="AQ101" s="2505"/>
      <c r="AR101" s="2505">
        <f t="shared" si="65"/>
        <v>47902.53638157087</v>
      </c>
      <c r="AS101" s="2505">
        <f t="shared" si="66"/>
        <v>0</v>
      </c>
      <c r="AT101" s="1132" t="str">
        <f t="shared" si="67"/>
        <v>CI-HVC-STRE-V05-180101</v>
      </c>
      <c r="AU101" s="1132" t="str">
        <f t="shared" si="68"/>
        <v>Nicor Gas PY11-PY14 Adjustable Goals Template_2025-03-01, Tab 4.4.16</v>
      </c>
      <c r="AV101" s="2505">
        <f>'4.4.16'!$O$6</f>
        <v>2773.9803407924196</v>
      </c>
      <c r="AW101" s="2505"/>
      <c r="AX101" s="1362">
        <f t="shared" si="69"/>
        <v>47902.53638157087</v>
      </c>
      <c r="AY101" s="1360">
        <f t="shared" si="70"/>
        <v>0</v>
      </c>
      <c r="AZ101" s="1132" t="str">
        <f t="shared" si="71"/>
        <v>CI-HVC-STRE-V05-180101</v>
      </c>
      <c r="BA101" s="1132" t="str">
        <f t="shared" si="72"/>
        <v>Nicor Gas PY11-PY14 Adjustable Goals Template_2025-03-01, Tab 4.4.16</v>
      </c>
      <c r="BB101" s="2505">
        <f>'4.4.16'!$O$6</f>
        <v>2773.9803407924196</v>
      </c>
      <c r="BC101" s="2505"/>
      <c r="BD101" s="1362">
        <f t="shared" si="73"/>
        <v>47902.53638157087</v>
      </c>
      <c r="BE101" s="1360">
        <f t="shared" si="74"/>
        <v>0</v>
      </c>
      <c r="BF101" s="1132" t="str">
        <f t="shared" si="75"/>
        <v>CI-HVC-STRE-V05-180101</v>
      </c>
      <c r="BG101" s="1132" t="str">
        <f t="shared" si="76"/>
        <v>Nicor Gas PY11-PY14 Adjustable Goals Template_2025-03-01, Tab 4.4.16</v>
      </c>
      <c r="BH101" s="2505">
        <f>'4.4.16'!$O$6</f>
        <v>2773.9803407924196</v>
      </c>
      <c r="BI101" s="2505"/>
      <c r="BJ101" s="1362">
        <f t="shared" si="98"/>
        <v>47902.53638157087</v>
      </c>
      <c r="BK101" s="1360">
        <f t="shared" si="77"/>
        <v>0</v>
      </c>
      <c r="BL101" s="1601">
        <f t="shared" si="78"/>
        <v>47902.53638157087</v>
      </c>
      <c r="BM101" s="1601">
        <f t="shared" si="79"/>
        <v>47902.53638157087</v>
      </c>
      <c r="BN101" s="1601">
        <f t="shared" si="80"/>
        <v>47902.53638157087</v>
      </c>
      <c r="BO101" s="1601">
        <f t="shared" si="81"/>
        <v>47902.53638157087</v>
      </c>
      <c r="BP101" s="1602">
        <f t="shared" si="82"/>
        <v>191610.14552628348</v>
      </c>
      <c r="BQ101" s="1602"/>
      <c r="BR101" s="1602" t="s">
        <v>355</v>
      </c>
      <c r="BS101" s="1602">
        <v>0</v>
      </c>
      <c r="BT101" s="1602">
        <v>6</v>
      </c>
      <c r="BU101" s="1602">
        <v>6</v>
      </c>
      <c r="BV101" s="1602">
        <v>6</v>
      </c>
      <c r="BW101" s="1602">
        <v>6</v>
      </c>
      <c r="BX101" s="1362">
        <f t="shared" si="99"/>
        <v>287415.21828942525</v>
      </c>
      <c r="BY101" s="1362">
        <f t="shared" si="100"/>
        <v>287415.21828942525</v>
      </c>
      <c r="BZ101" s="1362">
        <f t="shared" si="101"/>
        <v>287415.21828942525</v>
      </c>
      <c r="CA101" s="1362">
        <f t="shared" si="102"/>
        <v>287415.21828942525</v>
      </c>
      <c r="CB101" s="1362">
        <f t="shared" si="103"/>
        <v>1149660.873157701</v>
      </c>
      <c r="CC101" s="1360">
        <v>6</v>
      </c>
      <c r="CD101" s="1360">
        <v>6</v>
      </c>
      <c r="CE101" s="1360">
        <v>6</v>
      </c>
      <c r="CF101" s="1360">
        <v>6</v>
      </c>
      <c r="CG101" s="1604">
        <f t="shared" si="83"/>
        <v>287415.21828942525</v>
      </c>
      <c r="CH101" s="1604">
        <f t="shared" si="84"/>
        <v>287415.21828942525</v>
      </c>
      <c r="CI101" s="1604">
        <f t="shared" si="85"/>
        <v>287415.21828942525</v>
      </c>
      <c r="CJ101" s="1604">
        <f t="shared" si="86"/>
        <v>287415.21828942525</v>
      </c>
      <c r="CK101" s="1521">
        <f t="shared" si="87"/>
        <v>1149660.873157701</v>
      </c>
      <c r="CL101" s="1132">
        <v>94</v>
      </c>
      <c r="CM101" s="1132" t="s">
        <v>356</v>
      </c>
      <c r="CN101" s="1359">
        <v>0</v>
      </c>
      <c r="CO101" s="1360">
        <v>20.079674999999995</v>
      </c>
      <c r="CP101" s="1360">
        <v>20.079674999999995</v>
      </c>
      <c r="CQ101" s="1360">
        <v>20.079674999999995</v>
      </c>
      <c r="CR101" s="1360">
        <v>20.079674999999995</v>
      </c>
      <c r="CS101" s="1362">
        <f t="shared" si="88"/>
        <v>47902.53638157087</v>
      </c>
      <c r="CT101" s="1362">
        <f t="shared" si="89"/>
        <v>47902.53638157087</v>
      </c>
      <c r="CU101" s="1362">
        <f t="shared" si="90"/>
        <v>47902.53638157087</v>
      </c>
      <c r="CV101" s="1362">
        <f t="shared" si="91"/>
        <v>47902.53638157087</v>
      </c>
      <c r="CW101" s="1362">
        <f t="shared" si="92"/>
        <v>191610.14552628348</v>
      </c>
      <c r="CY101" s="2887"/>
      <c r="DN101" s="1715"/>
    </row>
    <row r="102" spans="1:118" s="1143" customFormat="1" ht="46.5" x14ac:dyDescent="0.35">
      <c r="A102" s="1132" t="s">
        <v>101</v>
      </c>
      <c r="B102" s="1132" t="s">
        <v>424</v>
      </c>
      <c r="C102" s="1132" t="s">
        <v>362</v>
      </c>
      <c r="D102" s="1359" t="s">
        <v>363</v>
      </c>
      <c r="E102" s="1359">
        <v>1</v>
      </c>
      <c r="F102" s="2564" t="s">
        <v>355</v>
      </c>
      <c r="G102" s="1132" t="s">
        <v>356</v>
      </c>
      <c r="H102" s="1360">
        <v>80.927174999999991</v>
      </c>
      <c r="I102" s="1360">
        <v>80.927174999999991</v>
      </c>
      <c r="J102" s="1360">
        <v>80.927174999999991</v>
      </c>
      <c r="K102" s="1360">
        <v>80.927174999999991</v>
      </c>
      <c r="L102" s="1132" t="s">
        <v>357</v>
      </c>
      <c r="M102" s="1132" t="str">
        <f t="shared" si="54"/>
        <v>Nicor Gas PY11-PY14 Adjustable Goals Template_2025-03-01, Tab 4.4.16</v>
      </c>
      <c r="N102" s="1361">
        <v>5256.3081214778895</v>
      </c>
      <c r="O102" s="1361">
        <v>5256.3081214778895</v>
      </c>
      <c r="P102" s="1361">
        <v>5256.3081214778895</v>
      </c>
      <c r="Q102" s="1361">
        <v>5256.3081214778895</v>
      </c>
      <c r="R102" s="1781">
        <v>0.86</v>
      </c>
      <c r="S102" s="1781">
        <v>0.86</v>
      </c>
      <c r="T102" s="1781">
        <v>0.86</v>
      </c>
      <c r="U102" s="1781">
        <v>0.86</v>
      </c>
      <c r="V102" s="1781">
        <v>0.86</v>
      </c>
      <c r="W102" s="1781">
        <v>0.86</v>
      </c>
      <c r="X102" s="1781">
        <v>0.86</v>
      </c>
      <c r="Y102" s="1781">
        <v>0.86</v>
      </c>
      <c r="Z102" s="1359">
        <v>1</v>
      </c>
      <c r="AA102" s="1781">
        <f t="shared" si="55"/>
        <v>0.86</v>
      </c>
      <c r="AB102" s="1781">
        <f t="shared" si="56"/>
        <v>0.86</v>
      </c>
      <c r="AC102" s="1781">
        <f t="shared" si="57"/>
        <v>0.86</v>
      </c>
      <c r="AD102" s="1781">
        <f t="shared" si="58"/>
        <v>0.86</v>
      </c>
      <c r="AE102" s="1781">
        <f t="shared" si="59"/>
        <v>0.86</v>
      </c>
      <c r="AF102" s="1781">
        <f t="shared" si="60"/>
        <v>0.86</v>
      </c>
      <c r="AG102" s="1781">
        <f t="shared" si="61"/>
        <v>0.86</v>
      </c>
      <c r="AH102" s="1781">
        <f t="shared" si="62"/>
        <v>0.86</v>
      </c>
      <c r="AI102" s="1362">
        <f t="shared" si="93"/>
        <v>365825.22379265563</v>
      </c>
      <c r="AJ102" s="1362">
        <f t="shared" si="94"/>
        <v>365825.22379265563</v>
      </c>
      <c r="AK102" s="1362">
        <f t="shared" si="95"/>
        <v>365825.22379265563</v>
      </c>
      <c r="AL102" s="1362">
        <f t="shared" si="96"/>
        <v>365825.22379265563</v>
      </c>
      <c r="AM102" s="1362">
        <f t="shared" si="97"/>
        <v>1463300.8951706225</v>
      </c>
      <c r="AN102" s="1132" t="str">
        <f t="shared" si="63"/>
        <v>CI-HVC-STRE-V05-180101</v>
      </c>
      <c r="AO102" s="1132" t="str">
        <f t="shared" si="64"/>
        <v>Nicor Gas PY11-PY14 Adjustable Goals Template_2025-03-01, Tab 4.4.16</v>
      </c>
      <c r="AP102" s="2505">
        <f>'4.4.16'!$O$7</f>
        <v>5256.3081214778895</v>
      </c>
      <c r="AQ102" s="2505"/>
      <c r="AR102" s="2505">
        <f t="shared" si="65"/>
        <v>365825.22379265563</v>
      </c>
      <c r="AS102" s="2505">
        <f t="shared" si="66"/>
        <v>0</v>
      </c>
      <c r="AT102" s="1132" t="str">
        <f t="shared" si="67"/>
        <v>CI-HVC-STRE-V05-180101</v>
      </c>
      <c r="AU102" s="1132" t="str">
        <f t="shared" si="68"/>
        <v>Nicor Gas PY11-PY14 Adjustable Goals Template_2025-03-01, Tab 4.4.16</v>
      </c>
      <c r="AV102" s="2505">
        <f>'4.4.16'!$O$7</f>
        <v>5256.3081214778895</v>
      </c>
      <c r="AW102" s="2505"/>
      <c r="AX102" s="1362">
        <f t="shared" si="69"/>
        <v>365825.22379265563</v>
      </c>
      <c r="AY102" s="1360">
        <f t="shared" si="70"/>
        <v>0</v>
      </c>
      <c r="AZ102" s="1132" t="str">
        <f t="shared" si="71"/>
        <v>CI-HVC-STRE-V05-180101</v>
      </c>
      <c r="BA102" s="1132" t="str">
        <f t="shared" si="72"/>
        <v>Nicor Gas PY11-PY14 Adjustable Goals Template_2025-03-01, Tab 4.4.16</v>
      </c>
      <c r="BB102" s="2505">
        <f>'4.4.16'!$O$7</f>
        <v>5256.3081214778895</v>
      </c>
      <c r="BC102" s="2505"/>
      <c r="BD102" s="1362">
        <f t="shared" si="73"/>
        <v>365825.22379265563</v>
      </c>
      <c r="BE102" s="1360">
        <f t="shared" si="74"/>
        <v>0</v>
      </c>
      <c r="BF102" s="1132" t="str">
        <f t="shared" si="75"/>
        <v>CI-HVC-STRE-V05-180101</v>
      </c>
      <c r="BG102" s="1132" t="str">
        <f t="shared" si="76"/>
        <v>Nicor Gas PY11-PY14 Adjustable Goals Template_2025-03-01, Tab 4.4.16</v>
      </c>
      <c r="BH102" s="2505">
        <f>'4.4.16'!$O$7</f>
        <v>5256.3081214778895</v>
      </c>
      <c r="BI102" s="2505"/>
      <c r="BJ102" s="1362">
        <f t="shared" si="98"/>
        <v>365825.22379265563</v>
      </c>
      <c r="BK102" s="1360">
        <f t="shared" si="77"/>
        <v>0</v>
      </c>
      <c r="BL102" s="1601">
        <f t="shared" si="78"/>
        <v>365825.22379265563</v>
      </c>
      <c r="BM102" s="1601">
        <f t="shared" si="79"/>
        <v>365825.22379265563</v>
      </c>
      <c r="BN102" s="1601">
        <f t="shared" si="80"/>
        <v>365825.22379265563</v>
      </c>
      <c r="BO102" s="1601">
        <f t="shared" si="81"/>
        <v>365825.22379265563</v>
      </c>
      <c r="BP102" s="1602">
        <f t="shared" si="82"/>
        <v>1463300.8951706225</v>
      </c>
      <c r="BQ102" s="1602"/>
      <c r="BR102" s="1602" t="s">
        <v>355</v>
      </c>
      <c r="BS102" s="1602">
        <v>0</v>
      </c>
      <c r="BT102" s="1602">
        <v>6</v>
      </c>
      <c r="BU102" s="1602">
        <v>6</v>
      </c>
      <c r="BV102" s="1602">
        <v>6</v>
      </c>
      <c r="BW102" s="1602">
        <v>6</v>
      </c>
      <c r="BX102" s="1362">
        <f t="shared" si="99"/>
        <v>2194951.3427559338</v>
      </c>
      <c r="BY102" s="1362">
        <f t="shared" si="100"/>
        <v>2194951.3427559338</v>
      </c>
      <c r="BZ102" s="1362">
        <f t="shared" si="101"/>
        <v>2194951.3427559338</v>
      </c>
      <c r="CA102" s="1362">
        <f t="shared" si="102"/>
        <v>2194951.3427559338</v>
      </c>
      <c r="CB102" s="1362">
        <f t="shared" si="103"/>
        <v>8779805.371023735</v>
      </c>
      <c r="CC102" s="1360">
        <v>6</v>
      </c>
      <c r="CD102" s="1360">
        <v>6</v>
      </c>
      <c r="CE102" s="1360">
        <v>6</v>
      </c>
      <c r="CF102" s="1360">
        <v>6</v>
      </c>
      <c r="CG102" s="1604">
        <f t="shared" si="83"/>
        <v>2194951.3427559342</v>
      </c>
      <c r="CH102" s="1604">
        <f t="shared" si="84"/>
        <v>2194951.3427559342</v>
      </c>
      <c r="CI102" s="1604">
        <f t="shared" si="85"/>
        <v>2194951.3427559342</v>
      </c>
      <c r="CJ102" s="1604">
        <f t="shared" si="86"/>
        <v>2194951.3427559342</v>
      </c>
      <c r="CK102" s="1521">
        <f t="shared" si="87"/>
        <v>8779805.3710237369</v>
      </c>
      <c r="CL102" s="1132">
        <v>95</v>
      </c>
      <c r="CM102" s="1132" t="s">
        <v>356</v>
      </c>
      <c r="CN102" s="1359">
        <v>0</v>
      </c>
      <c r="CO102" s="1360">
        <v>80.927174999999991</v>
      </c>
      <c r="CP102" s="1360">
        <v>80.927174999999991</v>
      </c>
      <c r="CQ102" s="1360">
        <v>80.927174999999991</v>
      </c>
      <c r="CR102" s="1360">
        <v>80.927174999999991</v>
      </c>
      <c r="CS102" s="1362">
        <f t="shared" si="88"/>
        <v>365825.22379265563</v>
      </c>
      <c r="CT102" s="1362">
        <f t="shared" si="89"/>
        <v>365825.22379265563</v>
      </c>
      <c r="CU102" s="1362">
        <f t="shared" si="90"/>
        <v>365825.22379265563</v>
      </c>
      <c r="CV102" s="1362">
        <f t="shared" si="91"/>
        <v>365825.22379265563</v>
      </c>
      <c r="CW102" s="1362">
        <f t="shared" si="92"/>
        <v>1463300.8951706225</v>
      </c>
      <c r="CY102" s="2887"/>
    </row>
    <row r="103" spans="1:118" s="1143" customFormat="1" ht="46.5" x14ac:dyDescent="0.35">
      <c r="A103" s="1132" t="s">
        <v>101</v>
      </c>
      <c r="B103" s="1132" t="s">
        <v>424</v>
      </c>
      <c r="C103" s="1132" t="s">
        <v>364</v>
      </c>
      <c r="D103" s="1359" t="s">
        <v>365</v>
      </c>
      <c r="E103" s="1359">
        <v>1</v>
      </c>
      <c r="F103" s="2564" t="s">
        <v>355</v>
      </c>
      <c r="G103" s="1132" t="s">
        <v>356</v>
      </c>
      <c r="H103" s="1360">
        <v>32.857649999999992</v>
      </c>
      <c r="I103" s="1360">
        <v>32.857649999999992</v>
      </c>
      <c r="J103" s="1360">
        <v>32.857649999999992</v>
      </c>
      <c r="K103" s="1360">
        <v>32.857649999999992</v>
      </c>
      <c r="L103" s="1132" t="s">
        <v>357</v>
      </c>
      <c r="M103" s="1132" t="str">
        <f t="shared" si="54"/>
        <v>Nicor Gas PY11-PY14 Adjustable Goals Template_2025-03-01, Tab 4.4.16</v>
      </c>
      <c r="N103" s="1361">
        <v>7330.5589709869309</v>
      </c>
      <c r="O103" s="1361">
        <v>7330.5589709869309</v>
      </c>
      <c r="P103" s="1361">
        <v>7330.5589709869309</v>
      </c>
      <c r="Q103" s="1361">
        <v>7330.5589709869309</v>
      </c>
      <c r="R103" s="1781">
        <v>0.86</v>
      </c>
      <c r="S103" s="1781">
        <v>0.86</v>
      </c>
      <c r="T103" s="1781">
        <v>0.86</v>
      </c>
      <c r="U103" s="1781">
        <v>0.86</v>
      </c>
      <c r="V103" s="1781">
        <v>0.86</v>
      </c>
      <c r="W103" s="1781">
        <v>0.86</v>
      </c>
      <c r="X103" s="1781">
        <v>0.86</v>
      </c>
      <c r="Y103" s="1781">
        <v>0.86</v>
      </c>
      <c r="Z103" s="1359">
        <v>1</v>
      </c>
      <c r="AA103" s="1781">
        <f t="shared" si="55"/>
        <v>0.86</v>
      </c>
      <c r="AB103" s="1781">
        <f t="shared" si="56"/>
        <v>0.86</v>
      </c>
      <c r="AC103" s="1781">
        <f t="shared" si="57"/>
        <v>0.86</v>
      </c>
      <c r="AD103" s="1781">
        <f t="shared" si="58"/>
        <v>0.86</v>
      </c>
      <c r="AE103" s="1781">
        <f t="shared" si="59"/>
        <v>0.86</v>
      </c>
      <c r="AF103" s="1781">
        <f t="shared" si="60"/>
        <v>0.86</v>
      </c>
      <c r="AG103" s="1781">
        <f t="shared" si="61"/>
        <v>0.86</v>
      </c>
      <c r="AH103" s="1781">
        <f t="shared" si="62"/>
        <v>0.86</v>
      </c>
      <c r="AI103" s="1362">
        <f t="shared" si="93"/>
        <v>207143.84923682187</v>
      </c>
      <c r="AJ103" s="1362">
        <f t="shared" si="94"/>
        <v>207143.84923682187</v>
      </c>
      <c r="AK103" s="1362">
        <f t="shared" si="95"/>
        <v>207143.84923682187</v>
      </c>
      <c r="AL103" s="1362">
        <f t="shared" si="96"/>
        <v>207143.84923682187</v>
      </c>
      <c r="AM103" s="1362">
        <f t="shared" si="97"/>
        <v>828575.39694728749</v>
      </c>
      <c r="AN103" s="1132" t="str">
        <f t="shared" si="63"/>
        <v>CI-HVC-STRE-V05-180101</v>
      </c>
      <c r="AO103" s="1132" t="str">
        <f t="shared" si="64"/>
        <v>Nicor Gas PY11-PY14 Adjustable Goals Template_2025-03-01, Tab 4.4.16</v>
      </c>
      <c r="AP103" s="2505">
        <f>'4.4.16'!$O$8</f>
        <v>7330.5589709869309</v>
      </c>
      <c r="AQ103" s="2505"/>
      <c r="AR103" s="2505">
        <f t="shared" si="65"/>
        <v>207143.84923682187</v>
      </c>
      <c r="AS103" s="2505">
        <f t="shared" si="66"/>
        <v>0</v>
      </c>
      <c r="AT103" s="1132" t="str">
        <f t="shared" si="67"/>
        <v>CI-HVC-STRE-V05-180101</v>
      </c>
      <c r="AU103" s="1132" t="str">
        <f t="shared" si="68"/>
        <v>Nicor Gas PY11-PY14 Adjustable Goals Template_2025-03-01, Tab 4.4.16</v>
      </c>
      <c r="AV103" s="2505">
        <f>'4.4.16'!$O$8</f>
        <v>7330.5589709869309</v>
      </c>
      <c r="AW103" s="2505"/>
      <c r="AX103" s="1362">
        <f t="shared" si="69"/>
        <v>207143.84923682187</v>
      </c>
      <c r="AY103" s="1360">
        <f t="shared" si="70"/>
        <v>0</v>
      </c>
      <c r="AZ103" s="1132" t="str">
        <f t="shared" si="71"/>
        <v>CI-HVC-STRE-V05-180101</v>
      </c>
      <c r="BA103" s="1132" t="str">
        <f t="shared" si="72"/>
        <v>Nicor Gas PY11-PY14 Adjustable Goals Template_2025-03-01, Tab 4.4.16</v>
      </c>
      <c r="BB103" s="2505">
        <f>'4.4.16'!$O$8</f>
        <v>7330.5589709869309</v>
      </c>
      <c r="BC103" s="2505"/>
      <c r="BD103" s="1362">
        <f t="shared" si="73"/>
        <v>207143.84923682187</v>
      </c>
      <c r="BE103" s="1360">
        <f t="shared" si="74"/>
        <v>0</v>
      </c>
      <c r="BF103" s="1132" t="str">
        <f t="shared" si="75"/>
        <v>CI-HVC-STRE-V05-180101</v>
      </c>
      <c r="BG103" s="1132" t="str">
        <f t="shared" si="76"/>
        <v>Nicor Gas PY11-PY14 Adjustable Goals Template_2025-03-01, Tab 4.4.16</v>
      </c>
      <c r="BH103" s="2505">
        <f>'4.4.16'!$O$8</f>
        <v>7330.5589709869309</v>
      </c>
      <c r="BI103" s="2505"/>
      <c r="BJ103" s="1362">
        <f t="shared" si="98"/>
        <v>207143.84923682187</v>
      </c>
      <c r="BK103" s="1360">
        <f t="shared" si="77"/>
        <v>0</v>
      </c>
      <c r="BL103" s="1601">
        <f t="shared" si="78"/>
        <v>207143.84923682187</v>
      </c>
      <c r="BM103" s="1601">
        <f t="shared" si="79"/>
        <v>207143.84923682187</v>
      </c>
      <c r="BN103" s="1601">
        <f t="shared" si="80"/>
        <v>207143.84923682187</v>
      </c>
      <c r="BO103" s="1601">
        <f t="shared" si="81"/>
        <v>207143.84923682187</v>
      </c>
      <c r="BP103" s="1602">
        <f t="shared" si="82"/>
        <v>828575.39694728749</v>
      </c>
      <c r="BQ103" s="1602"/>
      <c r="BR103" s="1602" t="s">
        <v>355</v>
      </c>
      <c r="BS103" s="1602">
        <v>0</v>
      </c>
      <c r="BT103" s="1602">
        <v>6</v>
      </c>
      <c r="BU103" s="1602">
        <v>6</v>
      </c>
      <c r="BV103" s="1602">
        <v>6</v>
      </c>
      <c r="BW103" s="1602">
        <v>6</v>
      </c>
      <c r="BX103" s="1362">
        <f t="shared" si="99"/>
        <v>1242863.0954209312</v>
      </c>
      <c r="BY103" s="1362">
        <f t="shared" si="100"/>
        <v>1242863.0954209312</v>
      </c>
      <c r="BZ103" s="1362">
        <f t="shared" si="101"/>
        <v>1242863.0954209312</v>
      </c>
      <c r="CA103" s="1362">
        <f t="shared" si="102"/>
        <v>1242863.0954209312</v>
      </c>
      <c r="CB103" s="1362">
        <f t="shared" si="103"/>
        <v>4971452.3816837249</v>
      </c>
      <c r="CC103" s="1360">
        <v>6</v>
      </c>
      <c r="CD103" s="1360">
        <v>6</v>
      </c>
      <c r="CE103" s="1360">
        <v>6</v>
      </c>
      <c r="CF103" s="1360">
        <v>6</v>
      </c>
      <c r="CG103" s="1604">
        <f t="shared" si="83"/>
        <v>1242863.095420931</v>
      </c>
      <c r="CH103" s="1604">
        <f t="shared" si="84"/>
        <v>1242863.095420931</v>
      </c>
      <c r="CI103" s="1604">
        <f t="shared" si="85"/>
        <v>1242863.095420931</v>
      </c>
      <c r="CJ103" s="1604">
        <f t="shared" si="86"/>
        <v>1242863.095420931</v>
      </c>
      <c r="CK103" s="1521">
        <f t="shared" si="87"/>
        <v>4971452.381683724</v>
      </c>
      <c r="CL103" s="1132">
        <v>96</v>
      </c>
      <c r="CM103" s="1132" t="s">
        <v>356</v>
      </c>
      <c r="CN103" s="1359">
        <v>0</v>
      </c>
      <c r="CO103" s="1360">
        <v>32.857649999999992</v>
      </c>
      <c r="CP103" s="1360">
        <v>32.857649999999992</v>
      </c>
      <c r="CQ103" s="1360">
        <v>32.857649999999992</v>
      </c>
      <c r="CR103" s="1360">
        <v>32.857649999999992</v>
      </c>
      <c r="CS103" s="1362">
        <f t="shared" si="88"/>
        <v>207143.84923682187</v>
      </c>
      <c r="CT103" s="1362">
        <f t="shared" si="89"/>
        <v>207143.84923682187</v>
      </c>
      <c r="CU103" s="1362">
        <f t="shared" si="90"/>
        <v>207143.84923682187</v>
      </c>
      <c r="CV103" s="1362">
        <f t="shared" si="91"/>
        <v>207143.84923682187</v>
      </c>
      <c r="CW103" s="1362">
        <f t="shared" si="92"/>
        <v>828575.39694728749</v>
      </c>
      <c r="CY103" s="2887"/>
    </row>
    <row r="104" spans="1:118" s="1143" customFormat="1" ht="46.5" x14ac:dyDescent="0.35">
      <c r="A104" s="1132" t="s">
        <v>101</v>
      </c>
      <c r="B104" s="1132" t="s">
        <v>424</v>
      </c>
      <c r="C104" s="1132" t="s">
        <v>366</v>
      </c>
      <c r="D104" s="1359" t="s">
        <v>367</v>
      </c>
      <c r="E104" s="1359">
        <v>1</v>
      </c>
      <c r="F104" s="2564" t="s">
        <v>355</v>
      </c>
      <c r="G104" s="1132" t="s">
        <v>356</v>
      </c>
      <c r="H104" s="1360">
        <v>2.4338999999999995</v>
      </c>
      <c r="I104" s="1360">
        <v>2.4338999999999995</v>
      </c>
      <c r="J104" s="1360">
        <v>2.4338999999999995</v>
      </c>
      <c r="K104" s="1360">
        <v>2.4338999999999995</v>
      </c>
      <c r="L104" s="1132" t="s">
        <v>357</v>
      </c>
      <c r="M104" s="1132" t="str">
        <f t="shared" si="54"/>
        <v>Nicor Gas PY11-PY14 Adjustable Goals Template_2025-03-01, Tab 4.4.16</v>
      </c>
      <c r="N104" s="1361">
        <v>9903.4578866889951</v>
      </c>
      <c r="O104" s="1361">
        <v>9903.4578866889951</v>
      </c>
      <c r="P104" s="1361">
        <v>9903.4578866889951</v>
      </c>
      <c r="Q104" s="1361">
        <v>9903.4578866889951</v>
      </c>
      <c r="R104" s="1781">
        <v>0.86</v>
      </c>
      <c r="S104" s="1781">
        <v>0.86</v>
      </c>
      <c r="T104" s="1781">
        <v>0.86</v>
      </c>
      <c r="U104" s="1781">
        <v>0.86</v>
      </c>
      <c r="V104" s="1781">
        <v>0.86</v>
      </c>
      <c r="W104" s="1781">
        <v>0.86</v>
      </c>
      <c r="X104" s="1781">
        <v>0.86</v>
      </c>
      <c r="Y104" s="1781">
        <v>0.86</v>
      </c>
      <c r="Z104" s="1359">
        <v>1</v>
      </c>
      <c r="AA104" s="1781">
        <f t="shared" si="55"/>
        <v>0.86</v>
      </c>
      <c r="AB104" s="1781">
        <f t="shared" si="56"/>
        <v>0.86</v>
      </c>
      <c r="AC104" s="1781">
        <f t="shared" si="57"/>
        <v>0.86</v>
      </c>
      <c r="AD104" s="1781">
        <f t="shared" si="58"/>
        <v>0.86</v>
      </c>
      <c r="AE104" s="1781">
        <f t="shared" si="59"/>
        <v>0.86</v>
      </c>
      <c r="AF104" s="1781">
        <f t="shared" si="60"/>
        <v>0.86</v>
      </c>
      <c r="AG104" s="1781">
        <f t="shared" si="61"/>
        <v>0.86</v>
      </c>
      <c r="AH104" s="1781">
        <f t="shared" si="62"/>
        <v>0.86</v>
      </c>
      <c r="AI104" s="1362">
        <f t="shared" si="93"/>
        <v>20729.462489354613</v>
      </c>
      <c r="AJ104" s="1362">
        <f t="shared" si="94"/>
        <v>20729.462489354613</v>
      </c>
      <c r="AK104" s="1362">
        <f t="shared" si="95"/>
        <v>20729.462489354613</v>
      </c>
      <c r="AL104" s="1362">
        <f t="shared" si="96"/>
        <v>20729.462489354613</v>
      </c>
      <c r="AM104" s="1362">
        <f t="shared" si="97"/>
        <v>82917.849957418453</v>
      </c>
      <c r="AN104" s="1132" t="str">
        <f t="shared" si="63"/>
        <v>CI-HVC-STRE-V05-180101</v>
      </c>
      <c r="AO104" s="1132" t="str">
        <f t="shared" si="64"/>
        <v>Nicor Gas PY11-PY14 Adjustable Goals Template_2025-03-01, Tab 4.4.16</v>
      </c>
      <c r="AP104" s="2505">
        <f>'4.4.16'!$O$9</f>
        <v>9903.4578866889951</v>
      </c>
      <c r="AQ104" s="2505"/>
      <c r="AR104" s="2505">
        <f t="shared" si="65"/>
        <v>20729.462489354613</v>
      </c>
      <c r="AS104" s="2505">
        <f t="shared" si="66"/>
        <v>0</v>
      </c>
      <c r="AT104" s="1132" t="str">
        <f t="shared" si="67"/>
        <v>CI-HVC-STRE-V05-180101</v>
      </c>
      <c r="AU104" s="1132" t="str">
        <f t="shared" si="68"/>
        <v>Nicor Gas PY11-PY14 Adjustable Goals Template_2025-03-01, Tab 4.4.16</v>
      </c>
      <c r="AV104" s="2505">
        <f>'4.4.16'!$O$9</f>
        <v>9903.4578866889951</v>
      </c>
      <c r="AW104" s="2505"/>
      <c r="AX104" s="1362">
        <f t="shared" si="69"/>
        <v>20729.462489354613</v>
      </c>
      <c r="AY104" s="1360">
        <f t="shared" si="70"/>
        <v>0</v>
      </c>
      <c r="AZ104" s="1132" t="str">
        <f t="shared" si="71"/>
        <v>CI-HVC-STRE-V05-180101</v>
      </c>
      <c r="BA104" s="1132" t="str">
        <f t="shared" si="72"/>
        <v>Nicor Gas PY11-PY14 Adjustable Goals Template_2025-03-01, Tab 4.4.16</v>
      </c>
      <c r="BB104" s="2505">
        <f>'4.4.16'!$O$9</f>
        <v>9903.4578866889951</v>
      </c>
      <c r="BC104" s="2505"/>
      <c r="BD104" s="1362">
        <f t="shared" si="73"/>
        <v>20729.462489354613</v>
      </c>
      <c r="BE104" s="1360">
        <f t="shared" si="74"/>
        <v>0</v>
      </c>
      <c r="BF104" s="1132" t="str">
        <f t="shared" si="75"/>
        <v>CI-HVC-STRE-V05-180101</v>
      </c>
      <c r="BG104" s="1132" t="str">
        <f t="shared" si="76"/>
        <v>Nicor Gas PY11-PY14 Adjustable Goals Template_2025-03-01, Tab 4.4.16</v>
      </c>
      <c r="BH104" s="2505">
        <f>'4.4.16'!$O$9</f>
        <v>9903.4578866889951</v>
      </c>
      <c r="BI104" s="2505"/>
      <c r="BJ104" s="1362">
        <f t="shared" si="98"/>
        <v>20729.462489354613</v>
      </c>
      <c r="BK104" s="1360">
        <f t="shared" si="77"/>
        <v>0</v>
      </c>
      <c r="BL104" s="1601">
        <f t="shared" si="78"/>
        <v>20729.462489354613</v>
      </c>
      <c r="BM104" s="1601">
        <f t="shared" si="79"/>
        <v>20729.462489354613</v>
      </c>
      <c r="BN104" s="1601">
        <f t="shared" si="80"/>
        <v>20729.462489354613</v>
      </c>
      <c r="BO104" s="1601">
        <f t="shared" si="81"/>
        <v>20729.462489354613</v>
      </c>
      <c r="BP104" s="1602">
        <f t="shared" si="82"/>
        <v>82917.849957418453</v>
      </c>
      <c r="BQ104" s="1602"/>
      <c r="BR104" s="1602" t="s">
        <v>355</v>
      </c>
      <c r="BS104" s="1602">
        <v>0</v>
      </c>
      <c r="BT104" s="1602">
        <v>6</v>
      </c>
      <c r="BU104" s="1602">
        <v>6</v>
      </c>
      <c r="BV104" s="1602">
        <v>6</v>
      </c>
      <c r="BW104" s="1602">
        <v>6</v>
      </c>
      <c r="BX104" s="1362">
        <f t="shared" si="99"/>
        <v>124376.77493612768</v>
      </c>
      <c r="BY104" s="1362">
        <f t="shared" si="100"/>
        <v>124376.77493612768</v>
      </c>
      <c r="BZ104" s="1362">
        <f t="shared" si="101"/>
        <v>124376.77493612768</v>
      </c>
      <c r="CA104" s="1362">
        <f t="shared" si="102"/>
        <v>124376.77493612768</v>
      </c>
      <c r="CB104" s="1362">
        <f t="shared" si="103"/>
        <v>497507.09974451072</v>
      </c>
      <c r="CC104" s="1360">
        <v>6</v>
      </c>
      <c r="CD104" s="1360">
        <v>6</v>
      </c>
      <c r="CE104" s="1360">
        <v>6</v>
      </c>
      <c r="CF104" s="1360">
        <v>6</v>
      </c>
      <c r="CG104" s="1604">
        <f t="shared" si="83"/>
        <v>124376.77493612768</v>
      </c>
      <c r="CH104" s="1604">
        <f t="shared" si="84"/>
        <v>124376.77493612768</v>
      </c>
      <c r="CI104" s="1604">
        <f t="shared" si="85"/>
        <v>124376.77493612768</v>
      </c>
      <c r="CJ104" s="1604">
        <f t="shared" si="86"/>
        <v>124376.77493612768</v>
      </c>
      <c r="CK104" s="1521">
        <f t="shared" si="87"/>
        <v>497507.09974451072</v>
      </c>
      <c r="CL104" s="1132">
        <v>97</v>
      </c>
      <c r="CM104" s="1132" t="s">
        <v>356</v>
      </c>
      <c r="CN104" s="1359">
        <v>0</v>
      </c>
      <c r="CO104" s="1360">
        <v>2.4338999999999995</v>
      </c>
      <c r="CP104" s="1360">
        <v>2.4338999999999995</v>
      </c>
      <c r="CQ104" s="1360">
        <v>2.4338999999999995</v>
      </c>
      <c r="CR104" s="1360">
        <v>2.4338999999999995</v>
      </c>
      <c r="CS104" s="1362">
        <f t="shared" si="88"/>
        <v>20729.462489354613</v>
      </c>
      <c r="CT104" s="1362">
        <f t="shared" si="89"/>
        <v>20729.462489354613</v>
      </c>
      <c r="CU104" s="1362">
        <f t="shared" si="90"/>
        <v>20729.462489354613</v>
      </c>
      <c r="CV104" s="1362">
        <f t="shared" si="91"/>
        <v>20729.462489354613</v>
      </c>
      <c r="CW104" s="1362">
        <f t="shared" si="92"/>
        <v>82917.849957418453</v>
      </c>
      <c r="CY104" s="2887"/>
    </row>
    <row r="105" spans="1:118" s="1143" customFormat="1" ht="46.5" x14ac:dyDescent="0.35">
      <c r="A105" s="1132" t="s">
        <v>101</v>
      </c>
      <c r="B105" s="1132" t="s">
        <v>424</v>
      </c>
      <c r="C105" s="1132" t="s">
        <v>368</v>
      </c>
      <c r="D105" s="1359" t="s">
        <v>369</v>
      </c>
      <c r="E105" s="1359">
        <v>1</v>
      </c>
      <c r="F105" s="2564" t="s">
        <v>355</v>
      </c>
      <c r="G105" s="1132" t="s">
        <v>356</v>
      </c>
      <c r="H105" s="1360">
        <v>6.0847499999999997</v>
      </c>
      <c r="I105" s="1360">
        <v>6.0847499999999997</v>
      </c>
      <c r="J105" s="1360">
        <v>6.0847499999999997</v>
      </c>
      <c r="K105" s="1360">
        <v>6.0847499999999997</v>
      </c>
      <c r="L105" s="1132" t="s">
        <v>357</v>
      </c>
      <c r="M105" s="1132" t="str">
        <f t="shared" si="54"/>
        <v>Nicor Gas PY11-PY14 Adjustable Goals Template_2025-03-01, Tab 4.4.16</v>
      </c>
      <c r="N105" s="1361">
        <v>12686.870831068883</v>
      </c>
      <c r="O105" s="1361">
        <v>12686.870831068883</v>
      </c>
      <c r="P105" s="1361">
        <v>12686.870831068883</v>
      </c>
      <c r="Q105" s="1361">
        <v>12686.870831068883</v>
      </c>
      <c r="R105" s="1781">
        <v>0.86</v>
      </c>
      <c r="S105" s="1781">
        <v>0.86</v>
      </c>
      <c r="T105" s="1781">
        <v>0.86</v>
      </c>
      <c r="U105" s="1781">
        <v>0.86</v>
      </c>
      <c r="V105" s="1781">
        <v>0.86</v>
      </c>
      <c r="W105" s="1781">
        <v>0.86</v>
      </c>
      <c r="X105" s="1781">
        <v>0.86</v>
      </c>
      <c r="Y105" s="1781">
        <v>0.86</v>
      </c>
      <c r="Z105" s="1359">
        <v>1</v>
      </c>
      <c r="AA105" s="1781">
        <f t="shared" si="55"/>
        <v>0.86</v>
      </c>
      <c r="AB105" s="1781">
        <f t="shared" si="56"/>
        <v>0.86</v>
      </c>
      <c r="AC105" s="1781">
        <f t="shared" si="57"/>
        <v>0.86</v>
      </c>
      <c r="AD105" s="1781">
        <f t="shared" si="58"/>
        <v>0.86</v>
      </c>
      <c r="AE105" s="1781">
        <f t="shared" si="59"/>
        <v>0.86</v>
      </c>
      <c r="AF105" s="1781">
        <f t="shared" si="60"/>
        <v>0.86</v>
      </c>
      <c r="AG105" s="1781">
        <f t="shared" si="61"/>
        <v>0.86</v>
      </c>
      <c r="AH105" s="1781">
        <f t="shared" si="62"/>
        <v>0.86</v>
      </c>
      <c r="AI105" s="1362">
        <f t="shared" si="93"/>
        <v>66388.936068837895</v>
      </c>
      <c r="AJ105" s="1362">
        <f t="shared" si="94"/>
        <v>66388.936068837895</v>
      </c>
      <c r="AK105" s="1362">
        <f t="shared" si="95"/>
        <v>66388.936068837895</v>
      </c>
      <c r="AL105" s="1362">
        <f t="shared" si="96"/>
        <v>66388.936068837895</v>
      </c>
      <c r="AM105" s="1362">
        <f t="shared" si="97"/>
        <v>265555.74427535158</v>
      </c>
      <c r="AN105" s="1132" t="str">
        <f t="shared" si="63"/>
        <v>CI-HVC-STRE-V05-180101</v>
      </c>
      <c r="AO105" s="1132" t="str">
        <f t="shared" si="64"/>
        <v>Nicor Gas PY11-PY14 Adjustable Goals Template_2025-03-01, Tab 4.4.16</v>
      </c>
      <c r="AP105" s="2505">
        <f>'4.4.16'!$O$10</f>
        <v>12686.870831068883</v>
      </c>
      <c r="AQ105" s="2505"/>
      <c r="AR105" s="2505">
        <f t="shared" si="65"/>
        <v>66388.936068837895</v>
      </c>
      <c r="AS105" s="2505">
        <f t="shared" si="66"/>
        <v>0</v>
      </c>
      <c r="AT105" s="1132" t="str">
        <f t="shared" si="67"/>
        <v>CI-HVC-STRE-V05-180101</v>
      </c>
      <c r="AU105" s="1132" t="str">
        <f t="shared" si="68"/>
        <v>Nicor Gas PY11-PY14 Adjustable Goals Template_2025-03-01, Tab 4.4.16</v>
      </c>
      <c r="AV105" s="2505">
        <f>'4.4.16'!$O$10</f>
        <v>12686.870831068883</v>
      </c>
      <c r="AW105" s="2505"/>
      <c r="AX105" s="1362">
        <f t="shared" si="69"/>
        <v>66388.936068837895</v>
      </c>
      <c r="AY105" s="1360">
        <f t="shared" si="70"/>
        <v>0</v>
      </c>
      <c r="AZ105" s="1132" t="str">
        <f t="shared" si="71"/>
        <v>CI-HVC-STRE-V05-180101</v>
      </c>
      <c r="BA105" s="1132" t="str">
        <f t="shared" si="72"/>
        <v>Nicor Gas PY11-PY14 Adjustable Goals Template_2025-03-01, Tab 4.4.16</v>
      </c>
      <c r="BB105" s="2505">
        <f>'4.4.16'!$O$10</f>
        <v>12686.870831068883</v>
      </c>
      <c r="BC105" s="2505"/>
      <c r="BD105" s="1362">
        <f t="shared" si="73"/>
        <v>66388.936068837895</v>
      </c>
      <c r="BE105" s="1360">
        <f t="shared" si="74"/>
        <v>0</v>
      </c>
      <c r="BF105" s="1132" t="str">
        <f t="shared" si="75"/>
        <v>CI-HVC-STRE-V05-180101</v>
      </c>
      <c r="BG105" s="1132" t="str">
        <f t="shared" si="76"/>
        <v>Nicor Gas PY11-PY14 Adjustable Goals Template_2025-03-01, Tab 4.4.16</v>
      </c>
      <c r="BH105" s="2505">
        <f>'4.4.16'!$O$10</f>
        <v>12686.870831068883</v>
      </c>
      <c r="BI105" s="2505"/>
      <c r="BJ105" s="1362">
        <f t="shared" si="98"/>
        <v>66388.936068837895</v>
      </c>
      <c r="BK105" s="1360">
        <f t="shared" si="77"/>
        <v>0</v>
      </c>
      <c r="BL105" s="1601">
        <f t="shared" si="78"/>
        <v>66388.936068837895</v>
      </c>
      <c r="BM105" s="1601">
        <f t="shared" si="79"/>
        <v>66388.936068837895</v>
      </c>
      <c r="BN105" s="1601">
        <f t="shared" si="80"/>
        <v>66388.936068837895</v>
      </c>
      <c r="BO105" s="1601">
        <f t="shared" si="81"/>
        <v>66388.936068837895</v>
      </c>
      <c r="BP105" s="1602">
        <f t="shared" si="82"/>
        <v>265555.74427535158</v>
      </c>
      <c r="BQ105" s="1602"/>
      <c r="BR105" s="1602" t="s">
        <v>355</v>
      </c>
      <c r="BS105" s="1602">
        <v>0</v>
      </c>
      <c r="BT105" s="1602">
        <v>6</v>
      </c>
      <c r="BU105" s="1602">
        <v>6</v>
      </c>
      <c r="BV105" s="1602">
        <v>6</v>
      </c>
      <c r="BW105" s="1602">
        <v>6</v>
      </c>
      <c r="BX105" s="1362">
        <f t="shared" si="99"/>
        <v>398333.6164130274</v>
      </c>
      <c r="BY105" s="1362">
        <f t="shared" si="100"/>
        <v>398333.6164130274</v>
      </c>
      <c r="BZ105" s="1362">
        <f t="shared" si="101"/>
        <v>398333.6164130274</v>
      </c>
      <c r="CA105" s="1362">
        <f t="shared" si="102"/>
        <v>398333.6164130274</v>
      </c>
      <c r="CB105" s="1362">
        <f t="shared" si="103"/>
        <v>1593334.4656521096</v>
      </c>
      <c r="CC105" s="1360">
        <v>6</v>
      </c>
      <c r="CD105" s="1360">
        <v>6</v>
      </c>
      <c r="CE105" s="1360">
        <v>6</v>
      </c>
      <c r="CF105" s="1360">
        <v>6</v>
      </c>
      <c r="CG105" s="1604">
        <f t="shared" si="83"/>
        <v>398333.6164130274</v>
      </c>
      <c r="CH105" s="1604">
        <f t="shared" si="84"/>
        <v>398333.6164130274</v>
      </c>
      <c r="CI105" s="1604">
        <f t="shared" si="85"/>
        <v>398333.6164130274</v>
      </c>
      <c r="CJ105" s="1604">
        <f t="shared" si="86"/>
        <v>398333.6164130274</v>
      </c>
      <c r="CK105" s="1521">
        <f t="shared" si="87"/>
        <v>1593334.4656521096</v>
      </c>
      <c r="CL105" s="1132">
        <v>98</v>
      </c>
      <c r="CM105" s="1132" t="s">
        <v>356</v>
      </c>
      <c r="CN105" s="1359">
        <v>0</v>
      </c>
      <c r="CO105" s="1360">
        <v>6.0847499999999997</v>
      </c>
      <c r="CP105" s="1360">
        <v>6.0847499999999997</v>
      </c>
      <c r="CQ105" s="1360">
        <v>6.0847499999999997</v>
      </c>
      <c r="CR105" s="1360">
        <v>6.0847499999999997</v>
      </c>
      <c r="CS105" s="1362">
        <f t="shared" si="88"/>
        <v>66388.936068837895</v>
      </c>
      <c r="CT105" s="1362">
        <f t="shared" si="89"/>
        <v>66388.936068837895</v>
      </c>
      <c r="CU105" s="1362">
        <f t="shared" si="90"/>
        <v>66388.936068837895</v>
      </c>
      <c r="CV105" s="1362">
        <f t="shared" si="91"/>
        <v>66388.936068837895</v>
      </c>
      <c r="CW105" s="1362">
        <f t="shared" si="92"/>
        <v>265555.74427535158</v>
      </c>
      <c r="CY105" s="2887"/>
    </row>
    <row r="106" spans="1:118" s="1143" customFormat="1" ht="46.5" x14ac:dyDescent="0.35">
      <c r="A106" s="1132" t="s">
        <v>101</v>
      </c>
      <c r="B106" s="1132" t="s">
        <v>424</v>
      </c>
      <c r="C106" s="1132" t="s">
        <v>541</v>
      </c>
      <c r="D106" s="1359" t="s">
        <v>542</v>
      </c>
      <c r="E106" s="1359">
        <v>1</v>
      </c>
      <c r="F106" s="2564" t="s">
        <v>355</v>
      </c>
      <c r="G106" s="1132" t="s">
        <v>356</v>
      </c>
      <c r="H106" s="1360">
        <v>291.45952499999993</v>
      </c>
      <c r="I106" s="1360">
        <v>291.45952499999993</v>
      </c>
      <c r="J106" s="1360">
        <v>291.45952499999993</v>
      </c>
      <c r="K106" s="1360">
        <v>291.45952499999993</v>
      </c>
      <c r="L106" s="1132" t="s">
        <v>357</v>
      </c>
      <c r="M106" s="1132" t="str">
        <f t="shared" si="54"/>
        <v>Nicor Gas PY11-PY14 Adjustable Goals Template_2025-03-01, Tab 4.4.16</v>
      </c>
      <c r="N106" s="1361">
        <v>648.01507774707386</v>
      </c>
      <c r="O106" s="1361">
        <v>648.01507774707386</v>
      </c>
      <c r="P106" s="1361">
        <v>648.01507774707386</v>
      </c>
      <c r="Q106" s="1361">
        <v>648.01507774707386</v>
      </c>
      <c r="R106" s="1781">
        <v>0.86</v>
      </c>
      <c r="S106" s="1781">
        <v>0.86</v>
      </c>
      <c r="T106" s="1781">
        <v>0.86</v>
      </c>
      <c r="U106" s="1781">
        <v>0.86</v>
      </c>
      <c r="V106" s="1781">
        <v>0.86</v>
      </c>
      <c r="W106" s="1781">
        <v>0.86</v>
      </c>
      <c r="X106" s="1781">
        <v>0.86</v>
      </c>
      <c r="Y106" s="1781">
        <v>0.86</v>
      </c>
      <c r="Z106" s="1359">
        <v>1</v>
      </c>
      <c r="AA106" s="1781">
        <f t="shared" si="55"/>
        <v>0.86</v>
      </c>
      <c r="AB106" s="1781">
        <f t="shared" si="56"/>
        <v>0.86</v>
      </c>
      <c r="AC106" s="1781">
        <f t="shared" si="57"/>
        <v>0.86</v>
      </c>
      <c r="AD106" s="1781">
        <f t="shared" si="58"/>
        <v>0.86</v>
      </c>
      <c r="AE106" s="1781">
        <f t="shared" si="59"/>
        <v>0.86</v>
      </c>
      <c r="AF106" s="1781">
        <f t="shared" si="60"/>
        <v>0.86</v>
      </c>
      <c r="AG106" s="1781">
        <f t="shared" si="61"/>
        <v>0.86</v>
      </c>
      <c r="AH106" s="1781">
        <f t="shared" si="62"/>
        <v>0.86</v>
      </c>
      <c r="AI106" s="1362">
        <f t="shared" si="93"/>
        <v>162428.34340758013</v>
      </c>
      <c r="AJ106" s="1362">
        <f t="shared" si="94"/>
        <v>162428.34340758013</v>
      </c>
      <c r="AK106" s="1362">
        <f t="shared" si="95"/>
        <v>162428.34340758013</v>
      </c>
      <c r="AL106" s="1362">
        <f t="shared" si="96"/>
        <v>162428.34340758013</v>
      </c>
      <c r="AM106" s="1362">
        <f t="shared" si="97"/>
        <v>649713.37363032054</v>
      </c>
      <c r="AN106" s="1132" t="str">
        <f t="shared" si="63"/>
        <v>CI-HVC-STRE-V05-180101</v>
      </c>
      <c r="AO106" s="1132" t="str">
        <f t="shared" si="64"/>
        <v>Nicor Gas PY11-PY14 Adjustable Goals Template_2025-03-01, Tab 4.4.16</v>
      </c>
      <c r="AP106" s="2505">
        <f>'4.4.16'!$O$13</f>
        <v>648.01507774707386</v>
      </c>
      <c r="AQ106" s="2505"/>
      <c r="AR106" s="2505">
        <f t="shared" si="65"/>
        <v>162428.34340758013</v>
      </c>
      <c r="AS106" s="2505">
        <f t="shared" si="66"/>
        <v>0</v>
      </c>
      <c r="AT106" s="1132" t="str">
        <f t="shared" si="67"/>
        <v>CI-HVC-STRE-V05-180101</v>
      </c>
      <c r="AU106" s="1132" t="str">
        <f t="shared" si="68"/>
        <v>Nicor Gas PY11-PY14 Adjustable Goals Template_2025-03-01, Tab 4.4.16</v>
      </c>
      <c r="AV106" s="2505">
        <f>'4.4.16'!$O$13</f>
        <v>648.01507774707386</v>
      </c>
      <c r="AW106" s="2505"/>
      <c r="AX106" s="1362">
        <f t="shared" si="69"/>
        <v>162428.34340758013</v>
      </c>
      <c r="AY106" s="1360">
        <f t="shared" si="70"/>
        <v>0</v>
      </c>
      <c r="AZ106" s="1132" t="str">
        <f t="shared" si="71"/>
        <v>CI-HVC-STRE-V05-180101</v>
      </c>
      <c r="BA106" s="1132" t="str">
        <f t="shared" si="72"/>
        <v>Nicor Gas PY11-PY14 Adjustable Goals Template_2025-03-01, Tab 4.4.16</v>
      </c>
      <c r="BB106" s="2505">
        <f>'4.4.16'!$O$13</f>
        <v>648.01507774707386</v>
      </c>
      <c r="BC106" s="2505"/>
      <c r="BD106" s="1362">
        <f t="shared" si="73"/>
        <v>162428.34340758013</v>
      </c>
      <c r="BE106" s="1360">
        <f t="shared" si="74"/>
        <v>0</v>
      </c>
      <c r="BF106" s="1132" t="str">
        <f t="shared" si="75"/>
        <v>CI-HVC-STRE-V05-180101</v>
      </c>
      <c r="BG106" s="1132" t="str">
        <f t="shared" si="76"/>
        <v>Nicor Gas PY11-PY14 Adjustable Goals Template_2025-03-01, Tab 4.4.16</v>
      </c>
      <c r="BH106" s="2505">
        <f>'4.4.16'!$O$13</f>
        <v>648.01507774707386</v>
      </c>
      <c r="BI106" s="2505"/>
      <c r="BJ106" s="1362">
        <f t="shared" si="98"/>
        <v>162428.34340758013</v>
      </c>
      <c r="BK106" s="1360">
        <f t="shared" si="77"/>
        <v>0</v>
      </c>
      <c r="BL106" s="1601">
        <f t="shared" si="78"/>
        <v>162428.34340758013</v>
      </c>
      <c r="BM106" s="1601">
        <f t="shared" si="79"/>
        <v>162428.34340758013</v>
      </c>
      <c r="BN106" s="1601">
        <f t="shared" si="80"/>
        <v>162428.34340758013</v>
      </c>
      <c r="BO106" s="1601">
        <f t="shared" si="81"/>
        <v>162428.34340758013</v>
      </c>
      <c r="BP106" s="1602">
        <f t="shared" si="82"/>
        <v>649713.37363032054</v>
      </c>
      <c r="BQ106" s="1602"/>
      <c r="BR106" s="1602" t="s">
        <v>355</v>
      </c>
      <c r="BS106" s="1602">
        <v>0</v>
      </c>
      <c r="BT106" s="1602">
        <v>6</v>
      </c>
      <c r="BU106" s="1602">
        <v>6</v>
      </c>
      <c r="BV106" s="1602">
        <v>6</v>
      </c>
      <c r="BW106" s="1602">
        <v>6</v>
      </c>
      <c r="BX106" s="1362">
        <f t="shared" si="99"/>
        <v>974570.06044548075</v>
      </c>
      <c r="BY106" s="1362">
        <f t="shared" si="100"/>
        <v>974570.06044548075</v>
      </c>
      <c r="BZ106" s="1362">
        <f t="shared" si="101"/>
        <v>974570.06044548075</v>
      </c>
      <c r="CA106" s="1362">
        <f t="shared" si="102"/>
        <v>974570.06044548075</v>
      </c>
      <c r="CB106" s="1362">
        <f t="shared" si="103"/>
        <v>3898280.241781923</v>
      </c>
      <c r="CC106" s="1360">
        <v>6</v>
      </c>
      <c r="CD106" s="1360">
        <v>6</v>
      </c>
      <c r="CE106" s="1360">
        <v>6</v>
      </c>
      <c r="CF106" s="1360">
        <v>6</v>
      </c>
      <c r="CG106" s="1604">
        <f t="shared" si="83"/>
        <v>974570.06044548098</v>
      </c>
      <c r="CH106" s="1604">
        <f t="shared" si="84"/>
        <v>974570.06044548098</v>
      </c>
      <c r="CI106" s="1604">
        <f t="shared" si="85"/>
        <v>974570.06044548098</v>
      </c>
      <c r="CJ106" s="1604">
        <f t="shared" si="86"/>
        <v>974570.06044548098</v>
      </c>
      <c r="CK106" s="1521">
        <f t="shared" si="87"/>
        <v>3898280.2417819239</v>
      </c>
      <c r="CL106" s="1132">
        <v>99</v>
      </c>
      <c r="CM106" s="1132" t="s">
        <v>356</v>
      </c>
      <c r="CN106" s="1359">
        <v>0</v>
      </c>
      <c r="CO106" s="1360">
        <v>291.45952499999993</v>
      </c>
      <c r="CP106" s="1360">
        <v>291.45952499999993</v>
      </c>
      <c r="CQ106" s="1360">
        <v>291.45952499999993</v>
      </c>
      <c r="CR106" s="1360">
        <v>291.45952499999993</v>
      </c>
      <c r="CS106" s="1362">
        <f t="shared" si="88"/>
        <v>162428.34340758013</v>
      </c>
      <c r="CT106" s="1362">
        <f t="shared" si="89"/>
        <v>162428.34340758013</v>
      </c>
      <c r="CU106" s="1362">
        <f t="shared" si="90"/>
        <v>162428.34340758013</v>
      </c>
      <c r="CV106" s="1362">
        <f t="shared" si="91"/>
        <v>162428.34340758013</v>
      </c>
      <c r="CW106" s="1362">
        <f t="shared" si="92"/>
        <v>649713.37363032054</v>
      </c>
      <c r="CY106" s="2887"/>
    </row>
    <row r="107" spans="1:118" s="1143" customFormat="1" ht="46.5" x14ac:dyDescent="0.35">
      <c r="A107" s="1132" t="s">
        <v>101</v>
      </c>
      <c r="B107" s="1132" t="s">
        <v>424</v>
      </c>
      <c r="C107" s="1132" t="s">
        <v>543</v>
      </c>
      <c r="D107" s="1359" t="s">
        <v>544</v>
      </c>
      <c r="E107" s="1359">
        <v>1</v>
      </c>
      <c r="F107" s="2807" t="s">
        <v>545</v>
      </c>
      <c r="G107" s="1132" t="s">
        <v>356</v>
      </c>
      <c r="H107" s="1360">
        <v>0.60847499999999988</v>
      </c>
      <c r="I107" s="1360">
        <v>0.60847499999999988</v>
      </c>
      <c r="J107" s="1360">
        <v>0.60847499999999988</v>
      </c>
      <c r="K107" s="1360">
        <v>0.60847499999999988</v>
      </c>
      <c r="L107" s="1132" t="s">
        <v>546</v>
      </c>
      <c r="M107" s="1132" t="str">
        <f t="shared" si="54"/>
        <v>Nicor Gas PY11-PY14 Adjustable Goals Template_2025-03-01, Tab 4.2.11</v>
      </c>
      <c r="N107" s="1361">
        <v>241.37191260000003</v>
      </c>
      <c r="O107" s="1361">
        <v>241.37191260000003</v>
      </c>
      <c r="P107" s="1361">
        <v>241.37191260000003</v>
      </c>
      <c r="Q107" s="1361">
        <v>241.37191260000003</v>
      </c>
      <c r="R107" s="1781">
        <v>0.86</v>
      </c>
      <c r="S107" s="1781">
        <v>0.86</v>
      </c>
      <c r="T107" s="1781">
        <v>0.86</v>
      </c>
      <c r="U107" s="1781">
        <v>0.86</v>
      </c>
      <c r="V107" s="1781">
        <v>0.86</v>
      </c>
      <c r="W107" s="1781">
        <v>0.86</v>
      </c>
      <c r="X107" s="1781">
        <v>0.86</v>
      </c>
      <c r="Y107" s="1781">
        <v>0.86</v>
      </c>
      <c r="Z107" s="1359">
        <v>1</v>
      </c>
      <c r="AA107" s="1781">
        <f t="shared" si="55"/>
        <v>0.86</v>
      </c>
      <c r="AB107" s="1781">
        <f t="shared" si="56"/>
        <v>0.86</v>
      </c>
      <c r="AC107" s="1781">
        <f t="shared" si="57"/>
        <v>0.86</v>
      </c>
      <c r="AD107" s="1781">
        <f t="shared" si="58"/>
        <v>0.86</v>
      </c>
      <c r="AE107" s="1781">
        <f t="shared" si="59"/>
        <v>0.86</v>
      </c>
      <c r="AF107" s="1781">
        <f t="shared" si="60"/>
        <v>0.86</v>
      </c>
      <c r="AG107" s="1781">
        <f t="shared" si="61"/>
        <v>0.86</v>
      </c>
      <c r="AH107" s="1781">
        <f t="shared" si="62"/>
        <v>0.86</v>
      </c>
      <c r="AI107" s="1362">
        <f t="shared" si="93"/>
        <v>126.30714608658508</v>
      </c>
      <c r="AJ107" s="1362">
        <f t="shared" si="94"/>
        <v>126.30714608658508</v>
      </c>
      <c r="AK107" s="1362">
        <f t="shared" si="95"/>
        <v>126.30714608658508</v>
      </c>
      <c r="AL107" s="1362">
        <f t="shared" si="96"/>
        <v>126.30714608658508</v>
      </c>
      <c r="AM107" s="1362">
        <f t="shared" si="97"/>
        <v>505.22858434634031</v>
      </c>
      <c r="AN107" s="1132" t="str">
        <f t="shared" si="63"/>
        <v>CI-FSE-SPRY-V05-190101</v>
      </c>
      <c r="AO107" s="1132" t="str">
        <f t="shared" si="64"/>
        <v>Nicor Gas PY11-PY14 Adjustable Goals Template_2025-03-01, Tab 4.2.11</v>
      </c>
      <c r="AP107" s="2568">
        <f>'4.2.11'!$N$9</f>
        <v>241.37191260000003</v>
      </c>
      <c r="AQ107" s="2568" t="s">
        <v>481</v>
      </c>
      <c r="AR107" s="2505">
        <f t="shared" si="65"/>
        <v>126.30714608658508</v>
      </c>
      <c r="AS107" s="2505">
        <f t="shared" si="66"/>
        <v>0</v>
      </c>
      <c r="AT107" s="1132" t="str">
        <f t="shared" si="67"/>
        <v>CI-FSE-SPRY-V05-190101</v>
      </c>
      <c r="AU107" s="1132" t="str">
        <f t="shared" si="68"/>
        <v>Nicor Gas PY11-PY14 Adjustable Goals Template_2025-03-01, Tab 4.2.11</v>
      </c>
      <c r="AV107" s="2505">
        <f>'4.2.11'!$N$9</f>
        <v>241.37191260000003</v>
      </c>
      <c r="AW107" s="2568" t="s">
        <v>481</v>
      </c>
      <c r="AX107" s="1362">
        <f t="shared" si="69"/>
        <v>126.30714608658508</v>
      </c>
      <c r="AY107" s="1360">
        <f t="shared" si="70"/>
        <v>0</v>
      </c>
      <c r="AZ107" s="1132" t="str">
        <f t="shared" si="71"/>
        <v>CI-FSE-SPRY-V05-190101</v>
      </c>
      <c r="BA107" s="1132" t="str">
        <f t="shared" si="72"/>
        <v>Nicor Gas PY11-PY14 Adjustable Goals Template_2025-03-01, Tab 4.2.11</v>
      </c>
      <c r="BB107" s="2505">
        <f>'4.2.11'!$N$9</f>
        <v>241.37191260000003</v>
      </c>
      <c r="BC107" s="2568" t="s">
        <v>481</v>
      </c>
      <c r="BD107" s="1362">
        <f t="shared" si="73"/>
        <v>126.30714608658508</v>
      </c>
      <c r="BE107" s="1360">
        <f t="shared" si="74"/>
        <v>0</v>
      </c>
      <c r="BF107" s="1132" t="str">
        <f t="shared" si="75"/>
        <v>CI-FSE-SPRY-V05-190101</v>
      </c>
      <c r="BG107" s="1132" t="str">
        <f t="shared" si="76"/>
        <v>Nicor Gas PY11-PY14 Adjustable Goals Template_2025-03-01, Tab 4.2.11</v>
      </c>
      <c r="BH107" s="2505">
        <f>'4.2.11'!$N$9</f>
        <v>241.37191260000003</v>
      </c>
      <c r="BI107" s="2568" t="s">
        <v>481</v>
      </c>
      <c r="BJ107" s="1362">
        <f t="shared" si="98"/>
        <v>126.30714608658508</v>
      </c>
      <c r="BK107" s="1360">
        <f t="shared" si="77"/>
        <v>0</v>
      </c>
      <c r="BL107" s="1601">
        <f t="shared" si="78"/>
        <v>126.30714608658508</v>
      </c>
      <c r="BM107" s="1601">
        <f t="shared" si="79"/>
        <v>126.30714608658508</v>
      </c>
      <c r="BN107" s="1601">
        <f t="shared" si="80"/>
        <v>126.30714608658508</v>
      </c>
      <c r="BO107" s="1601">
        <f t="shared" si="81"/>
        <v>126.30714608658508</v>
      </c>
      <c r="BP107" s="1602">
        <f t="shared" si="82"/>
        <v>505.22858434634031</v>
      </c>
      <c r="BQ107" s="1602"/>
      <c r="BR107" s="1602" t="s">
        <v>545</v>
      </c>
      <c r="BS107" s="1602">
        <v>0</v>
      </c>
      <c r="BT107" s="1602">
        <v>5</v>
      </c>
      <c r="BU107" s="1602">
        <v>5</v>
      </c>
      <c r="BV107" s="1602">
        <v>5</v>
      </c>
      <c r="BW107" s="1602">
        <v>5</v>
      </c>
      <c r="BX107" s="1362">
        <f t="shared" si="99"/>
        <v>631.53573043292545</v>
      </c>
      <c r="BY107" s="1362">
        <f t="shared" si="100"/>
        <v>631.53573043292545</v>
      </c>
      <c r="BZ107" s="1362">
        <f t="shared" si="101"/>
        <v>631.53573043292545</v>
      </c>
      <c r="CA107" s="1362">
        <f t="shared" si="102"/>
        <v>631.53573043292545</v>
      </c>
      <c r="CB107" s="1362">
        <f t="shared" si="103"/>
        <v>2526.1429217317018</v>
      </c>
      <c r="CC107" s="1360">
        <v>5</v>
      </c>
      <c r="CD107" s="1360">
        <v>5</v>
      </c>
      <c r="CE107" s="1360">
        <v>5</v>
      </c>
      <c r="CF107" s="1360">
        <v>5</v>
      </c>
      <c r="CG107" s="1604">
        <f t="shared" si="83"/>
        <v>631.53573043292556</v>
      </c>
      <c r="CH107" s="1604">
        <f t="shared" si="84"/>
        <v>631.53573043292556</v>
      </c>
      <c r="CI107" s="1604">
        <f t="shared" si="85"/>
        <v>631.53573043292556</v>
      </c>
      <c r="CJ107" s="1604">
        <f t="shared" si="86"/>
        <v>631.53573043292556</v>
      </c>
      <c r="CK107" s="1521">
        <f t="shared" si="87"/>
        <v>2526.1429217317022</v>
      </c>
      <c r="CL107" s="1132">
        <v>100</v>
      </c>
      <c r="CM107" s="1132" t="s">
        <v>356</v>
      </c>
      <c r="CN107" s="1359">
        <v>0</v>
      </c>
      <c r="CO107" s="1360">
        <v>0.60847499999999988</v>
      </c>
      <c r="CP107" s="1360">
        <v>0.60847499999999988</v>
      </c>
      <c r="CQ107" s="1360">
        <v>0.60847499999999988</v>
      </c>
      <c r="CR107" s="1360">
        <v>0.60847499999999988</v>
      </c>
      <c r="CS107" s="1362">
        <f t="shared" si="88"/>
        <v>126.30714608658508</v>
      </c>
      <c r="CT107" s="1362">
        <f t="shared" si="89"/>
        <v>126.30714608658508</v>
      </c>
      <c r="CU107" s="1362">
        <f t="shared" si="90"/>
        <v>126.30714608658508</v>
      </c>
      <c r="CV107" s="1362">
        <f t="shared" si="91"/>
        <v>126.30714608658508</v>
      </c>
      <c r="CW107" s="1362">
        <f t="shared" si="92"/>
        <v>505.22858434634031</v>
      </c>
      <c r="CY107" s="2887"/>
    </row>
    <row r="108" spans="1:118" s="1143" customFormat="1" ht="60.75" customHeight="1" x14ac:dyDescent="0.35">
      <c r="A108" s="1132" t="s">
        <v>101</v>
      </c>
      <c r="B108" s="1132" t="s">
        <v>424</v>
      </c>
      <c r="C108" s="1132" t="s">
        <v>547</v>
      </c>
      <c r="D108" s="1359" t="s">
        <v>105</v>
      </c>
      <c r="E108" s="1359">
        <f>IF(AI108-AR108=0,0,1)</f>
        <v>0</v>
      </c>
      <c r="F108" s="1132" t="s">
        <v>105</v>
      </c>
      <c r="G108" s="1132" t="s">
        <v>356</v>
      </c>
      <c r="H108" s="1360">
        <v>10.95255</v>
      </c>
      <c r="I108" s="1360">
        <v>10.95255</v>
      </c>
      <c r="J108" s="1360">
        <v>10.95255</v>
      </c>
      <c r="K108" s="1360">
        <v>10.95255</v>
      </c>
      <c r="L108" s="1132" t="s">
        <v>105</v>
      </c>
      <c r="M108" s="1132" t="str">
        <f t="shared" si="54"/>
        <v/>
      </c>
      <c r="N108" s="1361">
        <v>0</v>
      </c>
      <c r="O108" s="1361">
        <v>0</v>
      </c>
      <c r="P108" s="1361">
        <v>0</v>
      </c>
      <c r="Q108" s="1361">
        <v>0</v>
      </c>
      <c r="R108" s="1781">
        <v>0.86</v>
      </c>
      <c r="S108" s="1781">
        <v>0.86</v>
      </c>
      <c r="T108" s="1781">
        <v>0.86</v>
      </c>
      <c r="U108" s="1781">
        <v>0.86</v>
      </c>
      <c r="V108" s="1781">
        <v>0.86</v>
      </c>
      <c r="W108" s="1781">
        <v>0.86</v>
      </c>
      <c r="X108" s="1781">
        <v>0.86</v>
      </c>
      <c r="Y108" s="1781">
        <v>0.86</v>
      </c>
      <c r="Z108" s="1359">
        <v>1</v>
      </c>
      <c r="AA108" s="1781">
        <f t="shared" si="55"/>
        <v>0.86</v>
      </c>
      <c r="AB108" s="1781">
        <f t="shared" si="56"/>
        <v>0.86</v>
      </c>
      <c r="AC108" s="1781">
        <f t="shared" si="57"/>
        <v>0.86</v>
      </c>
      <c r="AD108" s="1781">
        <f t="shared" si="58"/>
        <v>0.86</v>
      </c>
      <c r="AE108" s="1781">
        <f t="shared" si="59"/>
        <v>0.86</v>
      </c>
      <c r="AF108" s="1781">
        <f t="shared" si="60"/>
        <v>0.86</v>
      </c>
      <c r="AG108" s="1781">
        <f t="shared" si="61"/>
        <v>0.86</v>
      </c>
      <c r="AH108" s="1781">
        <f t="shared" si="62"/>
        <v>0.86</v>
      </c>
      <c r="AI108" s="1362">
        <f t="shared" si="93"/>
        <v>0</v>
      </c>
      <c r="AJ108" s="1362">
        <f t="shared" si="94"/>
        <v>0</v>
      </c>
      <c r="AK108" s="1362">
        <f t="shared" si="95"/>
        <v>0</v>
      </c>
      <c r="AL108" s="1362">
        <f t="shared" si="96"/>
        <v>0</v>
      </c>
      <c r="AM108" s="1362">
        <f t="shared" si="97"/>
        <v>0</v>
      </c>
      <c r="AN108" s="1132" t="str">
        <f t="shared" si="63"/>
        <v>Custom</v>
      </c>
      <c r="AO108" s="1132" t="str">
        <f t="shared" si="64"/>
        <v/>
      </c>
      <c r="AP108" s="2505">
        <v>0</v>
      </c>
      <c r="AQ108" s="2505"/>
      <c r="AR108" s="2505">
        <f t="shared" si="65"/>
        <v>0</v>
      </c>
      <c r="AS108" s="2505">
        <f t="shared" si="66"/>
        <v>0</v>
      </c>
      <c r="AT108" s="1132" t="str">
        <f t="shared" si="67"/>
        <v>Custom</v>
      </c>
      <c r="AU108" s="1132" t="str">
        <f t="shared" si="68"/>
        <v/>
      </c>
      <c r="AV108" s="2505">
        <v>0</v>
      </c>
      <c r="AW108" s="2505"/>
      <c r="AX108" s="1362">
        <f t="shared" si="69"/>
        <v>0</v>
      </c>
      <c r="AY108" s="1360">
        <f t="shared" si="70"/>
        <v>0</v>
      </c>
      <c r="AZ108" s="1132" t="str">
        <f t="shared" si="71"/>
        <v>Custom</v>
      </c>
      <c r="BA108" s="1132" t="str">
        <f t="shared" si="72"/>
        <v/>
      </c>
      <c r="BB108" s="2505">
        <v>0</v>
      </c>
      <c r="BC108" s="2505"/>
      <c r="BD108" s="1362">
        <f t="shared" si="73"/>
        <v>0</v>
      </c>
      <c r="BE108" s="1360">
        <f t="shared" si="74"/>
        <v>0</v>
      </c>
      <c r="BF108" s="1132" t="str">
        <f t="shared" si="75"/>
        <v>Custom</v>
      </c>
      <c r="BG108" s="1132" t="str">
        <f t="shared" si="76"/>
        <v/>
      </c>
      <c r="BH108" s="2505">
        <v>0</v>
      </c>
      <c r="BI108" s="2505"/>
      <c r="BJ108" s="1362">
        <f t="shared" si="98"/>
        <v>0</v>
      </c>
      <c r="BK108" s="1360">
        <f t="shared" si="77"/>
        <v>0</v>
      </c>
      <c r="BL108" s="1601">
        <f t="shared" si="78"/>
        <v>0</v>
      </c>
      <c r="BM108" s="1601">
        <f t="shared" si="79"/>
        <v>0</v>
      </c>
      <c r="BN108" s="1601">
        <f t="shared" si="80"/>
        <v>0</v>
      </c>
      <c r="BO108" s="1601">
        <f t="shared" si="81"/>
        <v>0</v>
      </c>
      <c r="BP108" s="1602">
        <f t="shared" si="82"/>
        <v>0</v>
      </c>
      <c r="BQ108" s="1602"/>
      <c r="BR108" s="1602"/>
      <c r="BS108" s="1602">
        <v>0</v>
      </c>
      <c r="BT108" s="1602">
        <v>0</v>
      </c>
      <c r="BU108" s="1602">
        <v>0</v>
      </c>
      <c r="BV108" s="1602">
        <v>0</v>
      </c>
      <c r="BW108" s="1602">
        <v>0</v>
      </c>
      <c r="BX108" s="1362">
        <f t="shared" si="99"/>
        <v>0</v>
      </c>
      <c r="BY108" s="1362">
        <f t="shared" si="100"/>
        <v>0</v>
      </c>
      <c r="BZ108" s="1362">
        <f t="shared" si="101"/>
        <v>0</v>
      </c>
      <c r="CA108" s="1362">
        <f t="shared" si="102"/>
        <v>0</v>
      </c>
      <c r="CB108" s="1362">
        <f t="shared" si="103"/>
        <v>0</v>
      </c>
      <c r="CC108" s="1360">
        <v>0</v>
      </c>
      <c r="CD108" s="1360">
        <v>0</v>
      </c>
      <c r="CE108" s="1360">
        <v>0</v>
      </c>
      <c r="CF108" s="1360">
        <v>0</v>
      </c>
      <c r="CG108" s="1604">
        <f t="shared" si="83"/>
        <v>0</v>
      </c>
      <c r="CH108" s="1604">
        <f t="shared" si="84"/>
        <v>0</v>
      </c>
      <c r="CI108" s="1604">
        <f t="shared" si="85"/>
        <v>0</v>
      </c>
      <c r="CJ108" s="1604">
        <f t="shared" si="86"/>
        <v>0</v>
      </c>
      <c r="CK108" s="1521">
        <f t="shared" si="87"/>
        <v>0</v>
      </c>
      <c r="CL108" s="1132">
        <v>101</v>
      </c>
      <c r="CM108" s="1132" t="s">
        <v>356</v>
      </c>
      <c r="CN108" s="1359">
        <v>0</v>
      </c>
      <c r="CO108" s="1360">
        <v>10.95255</v>
      </c>
      <c r="CP108" s="1360">
        <v>10.95255</v>
      </c>
      <c r="CQ108" s="1360">
        <v>10.95255</v>
      </c>
      <c r="CR108" s="1360">
        <v>10.95255</v>
      </c>
      <c r="CS108" s="1362">
        <f t="shared" si="88"/>
        <v>0</v>
      </c>
      <c r="CT108" s="1362">
        <f t="shared" si="89"/>
        <v>0</v>
      </c>
      <c r="CU108" s="1362">
        <f t="shared" si="90"/>
        <v>0</v>
      </c>
      <c r="CV108" s="1362">
        <f t="shared" si="91"/>
        <v>0</v>
      </c>
      <c r="CW108" s="1362">
        <f t="shared" si="92"/>
        <v>0</v>
      </c>
      <c r="CY108" s="2887"/>
    </row>
    <row r="109" spans="1:118" s="1143" customFormat="1" ht="45.75" customHeight="1" x14ac:dyDescent="0.35">
      <c r="A109" s="1132" t="s">
        <v>101</v>
      </c>
      <c r="B109" s="1132" t="s">
        <v>424</v>
      </c>
      <c r="C109" s="1132" t="s">
        <v>548</v>
      </c>
      <c r="D109" s="1359" t="s">
        <v>105</v>
      </c>
      <c r="E109" s="1359">
        <f>IF(AI109-AR109=0,0,1)</f>
        <v>0</v>
      </c>
      <c r="F109" s="1132" t="s">
        <v>105</v>
      </c>
      <c r="G109" s="1132" t="s">
        <v>356</v>
      </c>
      <c r="H109" s="1360">
        <v>12.169499999999999</v>
      </c>
      <c r="I109" s="1360">
        <v>12.169499999999999</v>
      </c>
      <c r="J109" s="1360">
        <v>12.169499999999999</v>
      </c>
      <c r="K109" s="1360">
        <v>12.169499999999999</v>
      </c>
      <c r="L109" s="1132" t="s">
        <v>105</v>
      </c>
      <c r="M109" s="1132" t="str">
        <f t="shared" si="54"/>
        <v/>
      </c>
      <c r="N109" s="1361">
        <v>0</v>
      </c>
      <c r="O109" s="1361">
        <v>0</v>
      </c>
      <c r="P109" s="1361">
        <v>0</v>
      </c>
      <c r="Q109" s="1361">
        <v>0</v>
      </c>
      <c r="R109" s="1781">
        <v>0.86</v>
      </c>
      <c r="S109" s="1781">
        <v>0.86</v>
      </c>
      <c r="T109" s="1781">
        <v>0.86</v>
      </c>
      <c r="U109" s="1781">
        <v>0.86</v>
      </c>
      <c r="V109" s="1781">
        <v>0.86</v>
      </c>
      <c r="W109" s="1781">
        <v>0.86</v>
      </c>
      <c r="X109" s="1781">
        <v>0.86</v>
      </c>
      <c r="Y109" s="1781">
        <v>0.86</v>
      </c>
      <c r="Z109" s="1359">
        <v>1</v>
      </c>
      <c r="AA109" s="1781">
        <f t="shared" si="55"/>
        <v>0.86</v>
      </c>
      <c r="AB109" s="1781">
        <f t="shared" si="56"/>
        <v>0.86</v>
      </c>
      <c r="AC109" s="1781">
        <f t="shared" si="57"/>
        <v>0.86</v>
      </c>
      <c r="AD109" s="1781">
        <f t="shared" si="58"/>
        <v>0.86</v>
      </c>
      <c r="AE109" s="1781">
        <f t="shared" si="59"/>
        <v>0.86</v>
      </c>
      <c r="AF109" s="1781">
        <f t="shared" si="60"/>
        <v>0.86</v>
      </c>
      <c r="AG109" s="1781">
        <f t="shared" si="61"/>
        <v>0.86</v>
      </c>
      <c r="AH109" s="1781">
        <f t="shared" si="62"/>
        <v>0.86</v>
      </c>
      <c r="AI109" s="1362">
        <f t="shared" si="93"/>
        <v>0</v>
      </c>
      <c r="AJ109" s="1362">
        <f t="shared" si="94"/>
        <v>0</v>
      </c>
      <c r="AK109" s="1362">
        <f t="shared" si="95"/>
        <v>0</v>
      </c>
      <c r="AL109" s="1362">
        <f t="shared" si="96"/>
        <v>0</v>
      </c>
      <c r="AM109" s="1362">
        <f t="shared" si="97"/>
        <v>0</v>
      </c>
      <c r="AN109" s="1132" t="str">
        <f t="shared" si="63"/>
        <v>Custom</v>
      </c>
      <c r="AO109" s="1132" t="str">
        <f t="shared" si="64"/>
        <v/>
      </c>
      <c r="AP109" s="2505">
        <v>0</v>
      </c>
      <c r="AQ109" s="2505"/>
      <c r="AR109" s="2505">
        <f t="shared" si="65"/>
        <v>0</v>
      </c>
      <c r="AS109" s="2505">
        <f t="shared" si="66"/>
        <v>0</v>
      </c>
      <c r="AT109" s="1132" t="str">
        <f t="shared" si="67"/>
        <v>Custom</v>
      </c>
      <c r="AU109" s="1132" t="str">
        <f t="shared" si="68"/>
        <v/>
      </c>
      <c r="AV109" s="2505">
        <v>0</v>
      </c>
      <c r="AW109" s="2505"/>
      <c r="AX109" s="1362">
        <f t="shared" si="69"/>
        <v>0</v>
      </c>
      <c r="AY109" s="1360">
        <f t="shared" si="70"/>
        <v>0</v>
      </c>
      <c r="AZ109" s="1132" t="str">
        <f t="shared" si="71"/>
        <v>Custom</v>
      </c>
      <c r="BA109" s="1132" t="str">
        <f t="shared" si="72"/>
        <v/>
      </c>
      <c r="BB109" s="2505">
        <v>0</v>
      </c>
      <c r="BC109" s="2505"/>
      <c r="BD109" s="1362">
        <f t="shared" si="73"/>
        <v>0</v>
      </c>
      <c r="BE109" s="1360">
        <f t="shared" si="74"/>
        <v>0</v>
      </c>
      <c r="BF109" s="1132" t="str">
        <f t="shared" si="75"/>
        <v>Custom</v>
      </c>
      <c r="BG109" s="1132" t="str">
        <f t="shared" si="76"/>
        <v/>
      </c>
      <c r="BH109" s="2505">
        <v>0</v>
      </c>
      <c r="BI109" s="2505"/>
      <c r="BJ109" s="1362">
        <f t="shared" si="98"/>
        <v>0</v>
      </c>
      <c r="BK109" s="1360">
        <f t="shared" si="77"/>
        <v>0</v>
      </c>
      <c r="BL109" s="1601">
        <f t="shared" si="78"/>
        <v>0</v>
      </c>
      <c r="BM109" s="1601">
        <f t="shared" si="79"/>
        <v>0</v>
      </c>
      <c r="BN109" s="1601">
        <f t="shared" si="80"/>
        <v>0</v>
      </c>
      <c r="BO109" s="1601">
        <f t="shared" si="81"/>
        <v>0</v>
      </c>
      <c r="BP109" s="1602">
        <f t="shared" si="82"/>
        <v>0</v>
      </c>
      <c r="BQ109" s="1602"/>
      <c r="BR109" s="1602"/>
      <c r="BS109" s="1602">
        <v>0</v>
      </c>
      <c r="BT109" s="1602">
        <v>0</v>
      </c>
      <c r="BU109" s="1602">
        <v>0</v>
      </c>
      <c r="BV109" s="1602">
        <v>0</v>
      </c>
      <c r="BW109" s="1602">
        <v>0</v>
      </c>
      <c r="BX109" s="1362">
        <f t="shared" si="99"/>
        <v>0</v>
      </c>
      <c r="BY109" s="1362">
        <f t="shared" si="100"/>
        <v>0</v>
      </c>
      <c r="BZ109" s="1362">
        <f t="shared" si="101"/>
        <v>0</v>
      </c>
      <c r="CA109" s="1362">
        <f t="shared" si="102"/>
        <v>0</v>
      </c>
      <c r="CB109" s="1362">
        <f t="shared" si="103"/>
        <v>0</v>
      </c>
      <c r="CC109" s="1360">
        <v>0</v>
      </c>
      <c r="CD109" s="1360">
        <v>0</v>
      </c>
      <c r="CE109" s="1360">
        <v>0</v>
      </c>
      <c r="CF109" s="1360">
        <v>0</v>
      </c>
      <c r="CG109" s="1604">
        <f t="shared" si="83"/>
        <v>0</v>
      </c>
      <c r="CH109" s="1604">
        <f t="shared" si="84"/>
        <v>0</v>
      </c>
      <c r="CI109" s="1604">
        <f t="shared" si="85"/>
        <v>0</v>
      </c>
      <c r="CJ109" s="1604">
        <f t="shared" si="86"/>
        <v>0</v>
      </c>
      <c r="CK109" s="1521">
        <f t="shared" si="87"/>
        <v>0</v>
      </c>
      <c r="CL109" s="1132">
        <v>102</v>
      </c>
      <c r="CM109" s="1132" t="s">
        <v>356</v>
      </c>
      <c r="CN109" s="1359">
        <v>0</v>
      </c>
      <c r="CO109" s="1360">
        <v>12.169499999999999</v>
      </c>
      <c r="CP109" s="1360">
        <v>12.169499999999999</v>
      </c>
      <c r="CQ109" s="1360">
        <v>12.169499999999999</v>
      </c>
      <c r="CR109" s="1360">
        <v>12.169499999999999</v>
      </c>
      <c r="CS109" s="1362">
        <f t="shared" si="88"/>
        <v>0</v>
      </c>
      <c r="CT109" s="1362">
        <f t="shared" si="89"/>
        <v>0</v>
      </c>
      <c r="CU109" s="1362">
        <f t="shared" si="90"/>
        <v>0</v>
      </c>
      <c r="CV109" s="1362">
        <f t="shared" si="91"/>
        <v>0</v>
      </c>
      <c r="CW109" s="1362">
        <f t="shared" si="92"/>
        <v>0</v>
      </c>
      <c r="CY109" s="2887"/>
    </row>
    <row r="110" spans="1:118" s="1143" customFormat="1" ht="45.75" customHeight="1" x14ac:dyDescent="0.35">
      <c r="A110" s="1132" t="s">
        <v>101</v>
      </c>
      <c r="B110" s="1132" t="s">
        <v>424</v>
      </c>
      <c r="C110" s="1132" t="s">
        <v>548</v>
      </c>
      <c r="D110" s="1359" t="s">
        <v>105</v>
      </c>
      <c r="E110" s="1359">
        <f>IF(AI110-AR110=0,0,1)</f>
        <v>0</v>
      </c>
      <c r="F110" s="1132" t="s">
        <v>105</v>
      </c>
      <c r="G110" s="1132" t="s">
        <v>356</v>
      </c>
      <c r="H110" s="1360">
        <v>10.95255</v>
      </c>
      <c r="I110" s="1360">
        <v>10.95255</v>
      </c>
      <c r="J110" s="1360">
        <v>10.95255</v>
      </c>
      <c r="K110" s="1360">
        <v>10.95255</v>
      </c>
      <c r="L110" s="1132" t="s">
        <v>105</v>
      </c>
      <c r="M110" s="1132" t="str">
        <f t="shared" si="54"/>
        <v/>
      </c>
      <c r="N110" s="1361">
        <v>0</v>
      </c>
      <c r="O110" s="1361">
        <v>0</v>
      </c>
      <c r="P110" s="1361">
        <v>0</v>
      </c>
      <c r="Q110" s="1361">
        <v>0</v>
      </c>
      <c r="R110" s="1781">
        <v>0.86</v>
      </c>
      <c r="S110" s="1781">
        <v>0.86</v>
      </c>
      <c r="T110" s="1781">
        <v>0.86</v>
      </c>
      <c r="U110" s="1781">
        <v>0.86</v>
      </c>
      <c r="V110" s="1781">
        <v>0.86</v>
      </c>
      <c r="W110" s="1781">
        <v>0.86</v>
      </c>
      <c r="X110" s="1781">
        <v>0.86</v>
      </c>
      <c r="Y110" s="1781">
        <v>0.86</v>
      </c>
      <c r="Z110" s="1359">
        <v>1</v>
      </c>
      <c r="AA110" s="1781">
        <f t="shared" si="55"/>
        <v>0.86</v>
      </c>
      <c r="AB110" s="1781">
        <f t="shared" si="56"/>
        <v>0.86</v>
      </c>
      <c r="AC110" s="1781">
        <f t="shared" si="57"/>
        <v>0.86</v>
      </c>
      <c r="AD110" s="1781">
        <f t="shared" si="58"/>
        <v>0.86</v>
      </c>
      <c r="AE110" s="1781">
        <f t="shared" si="59"/>
        <v>0.86</v>
      </c>
      <c r="AF110" s="1781">
        <f t="shared" si="60"/>
        <v>0.86</v>
      </c>
      <c r="AG110" s="1781">
        <f t="shared" si="61"/>
        <v>0.86</v>
      </c>
      <c r="AH110" s="1781">
        <f t="shared" si="62"/>
        <v>0.86</v>
      </c>
      <c r="AI110" s="1362">
        <f t="shared" si="93"/>
        <v>0</v>
      </c>
      <c r="AJ110" s="1362">
        <f t="shared" si="94"/>
        <v>0</v>
      </c>
      <c r="AK110" s="1362">
        <f t="shared" si="95"/>
        <v>0</v>
      </c>
      <c r="AL110" s="1362">
        <f t="shared" si="96"/>
        <v>0</v>
      </c>
      <c r="AM110" s="1362">
        <f t="shared" si="97"/>
        <v>0</v>
      </c>
      <c r="AN110" s="1132" t="str">
        <f t="shared" si="63"/>
        <v>Custom</v>
      </c>
      <c r="AO110" s="1132" t="str">
        <f t="shared" si="64"/>
        <v/>
      </c>
      <c r="AP110" s="2505">
        <v>0</v>
      </c>
      <c r="AQ110" s="2505"/>
      <c r="AR110" s="2505">
        <f t="shared" si="65"/>
        <v>0</v>
      </c>
      <c r="AS110" s="2505">
        <f t="shared" si="66"/>
        <v>0</v>
      </c>
      <c r="AT110" s="1132" t="str">
        <f t="shared" si="67"/>
        <v>Custom</v>
      </c>
      <c r="AU110" s="1132" t="str">
        <f t="shared" si="68"/>
        <v/>
      </c>
      <c r="AV110" s="2505">
        <v>0</v>
      </c>
      <c r="AW110" s="2505"/>
      <c r="AX110" s="1362">
        <f t="shared" si="69"/>
        <v>0</v>
      </c>
      <c r="AY110" s="1360">
        <f t="shared" si="70"/>
        <v>0</v>
      </c>
      <c r="AZ110" s="1132" t="str">
        <f t="shared" si="71"/>
        <v>Custom</v>
      </c>
      <c r="BA110" s="1132" t="str">
        <f t="shared" si="72"/>
        <v/>
      </c>
      <c r="BB110" s="2505">
        <v>0</v>
      </c>
      <c r="BC110" s="2505"/>
      <c r="BD110" s="1362">
        <f t="shared" si="73"/>
        <v>0</v>
      </c>
      <c r="BE110" s="1360">
        <f t="shared" si="74"/>
        <v>0</v>
      </c>
      <c r="BF110" s="1132" t="str">
        <f t="shared" si="75"/>
        <v>Custom</v>
      </c>
      <c r="BG110" s="1132" t="str">
        <f t="shared" si="76"/>
        <v/>
      </c>
      <c r="BH110" s="2505">
        <v>0</v>
      </c>
      <c r="BI110" s="2505"/>
      <c r="BJ110" s="1362">
        <f t="shared" si="98"/>
        <v>0</v>
      </c>
      <c r="BK110" s="1360">
        <f t="shared" si="77"/>
        <v>0</v>
      </c>
      <c r="BL110" s="1601">
        <f t="shared" si="78"/>
        <v>0</v>
      </c>
      <c r="BM110" s="1601">
        <f t="shared" si="79"/>
        <v>0</v>
      </c>
      <c r="BN110" s="1601">
        <f t="shared" si="80"/>
        <v>0</v>
      </c>
      <c r="BO110" s="1601">
        <f t="shared" si="81"/>
        <v>0</v>
      </c>
      <c r="BP110" s="1602">
        <f t="shared" si="82"/>
        <v>0</v>
      </c>
      <c r="BQ110" s="1602"/>
      <c r="BR110" s="1602"/>
      <c r="BS110" s="1602">
        <v>0</v>
      </c>
      <c r="BT110" s="1602">
        <v>0</v>
      </c>
      <c r="BU110" s="1602">
        <v>0</v>
      </c>
      <c r="BV110" s="1602">
        <v>0</v>
      </c>
      <c r="BW110" s="1602">
        <v>0</v>
      </c>
      <c r="BX110" s="1362">
        <f t="shared" si="99"/>
        <v>0</v>
      </c>
      <c r="BY110" s="1362">
        <f t="shared" si="100"/>
        <v>0</v>
      </c>
      <c r="BZ110" s="1362">
        <f t="shared" si="101"/>
        <v>0</v>
      </c>
      <c r="CA110" s="1362">
        <f t="shared" si="102"/>
        <v>0</v>
      </c>
      <c r="CB110" s="1362">
        <f t="shared" si="103"/>
        <v>0</v>
      </c>
      <c r="CC110" s="1360">
        <v>0</v>
      </c>
      <c r="CD110" s="1360">
        <v>0</v>
      </c>
      <c r="CE110" s="1360">
        <v>0</v>
      </c>
      <c r="CF110" s="1360">
        <v>0</v>
      </c>
      <c r="CG110" s="1604">
        <f t="shared" si="83"/>
        <v>0</v>
      </c>
      <c r="CH110" s="1604">
        <f t="shared" si="84"/>
        <v>0</v>
      </c>
      <c r="CI110" s="1604">
        <f t="shared" si="85"/>
        <v>0</v>
      </c>
      <c r="CJ110" s="1604">
        <f t="shared" si="86"/>
        <v>0</v>
      </c>
      <c r="CK110" s="1521">
        <f t="shared" si="87"/>
        <v>0</v>
      </c>
      <c r="CL110" s="1132">
        <v>103</v>
      </c>
      <c r="CM110" s="1132" t="s">
        <v>356</v>
      </c>
      <c r="CN110" s="1359">
        <v>0</v>
      </c>
      <c r="CO110" s="1360">
        <v>10.95255</v>
      </c>
      <c r="CP110" s="1360">
        <v>10.95255</v>
      </c>
      <c r="CQ110" s="1360">
        <v>10.95255</v>
      </c>
      <c r="CR110" s="1360">
        <v>10.95255</v>
      </c>
      <c r="CS110" s="1362">
        <f t="shared" si="88"/>
        <v>0</v>
      </c>
      <c r="CT110" s="1362">
        <f t="shared" si="89"/>
        <v>0</v>
      </c>
      <c r="CU110" s="1362">
        <f t="shared" si="90"/>
        <v>0</v>
      </c>
      <c r="CV110" s="1362">
        <f t="shared" si="91"/>
        <v>0</v>
      </c>
      <c r="CW110" s="1362">
        <f t="shared" si="92"/>
        <v>0</v>
      </c>
      <c r="CY110" s="2887"/>
    </row>
    <row r="111" spans="1:118" s="1143" customFormat="1" ht="46.5" x14ac:dyDescent="0.35">
      <c r="A111" s="1132" t="s">
        <v>101</v>
      </c>
      <c r="B111" s="1132" t="s">
        <v>424</v>
      </c>
      <c r="C111" s="1132" t="s">
        <v>549</v>
      </c>
      <c r="D111" s="1359" t="s">
        <v>550</v>
      </c>
      <c r="E111" s="1359">
        <v>1</v>
      </c>
      <c r="F111" s="2807" t="s">
        <v>545</v>
      </c>
      <c r="G111" s="1132" t="s">
        <v>356</v>
      </c>
      <c r="H111" s="1360">
        <v>0.60847499999999988</v>
      </c>
      <c r="I111" s="1360">
        <v>0.60847499999999988</v>
      </c>
      <c r="J111" s="1360">
        <v>0.60847499999999988</v>
      </c>
      <c r="K111" s="1360">
        <v>0.60847499999999988</v>
      </c>
      <c r="L111" s="1132" t="s">
        <v>546</v>
      </c>
      <c r="M111" s="1132" t="str">
        <f t="shared" si="54"/>
        <v>Nicor Gas PY11-PY14 Adjustable Goals Template_2025-03-01, Tab 4.2.11</v>
      </c>
      <c r="N111" s="1361">
        <v>158.27666400000004</v>
      </c>
      <c r="O111" s="1361">
        <v>158.27666400000004</v>
      </c>
      <c r="P111" s="1361">
        <v>158.27666400000004</v>
      </c>
      <c r="Q111" s="1361">
        <v>158.27666400000004</v>
      </c>
      <c r="R111" s="1781">
        <v>0.86</v>
      </c>
      <c r="S111" s="1781">
        <v>0.86</v>
      </c>
      <c r="T111" s="1781">
        <v>0.86</v>
      </c>
      <c r="U111" s="1781">
        <v>0.86</v>
      </c>
      <c r="V111" s="1781">
        <v>0.86</v>
      </c>
      <c r="W111" s="1781">
        <v>0.86</v>
      </c>
      <c r="X111" s="1781">
        <v>0.86</v>
      </c>
      <c r="Y111" s="1781">
        <v>0.86</v>
      </c>
      <c r="Z111" s="1359">
        <v>1</v>
      </c>
      <c r="AA111" s="1781">
        <f t="shared" si="55"/>
        <v>0.86</v>
      </c>
      <c r="AB111" s="1781">
        <f t="shared" si="56"/>
        <v>0.86</v>
      </c>
      <c r="AC111" s="1781">
        <f t="shared" si="57"/>
        <v>0.86</v>
      </c>
      <c r="AD111" s="1781">
        <f t="shared" si="58"/>
        <v>0.86</v>
      </c>
      <c r="AE111" s="1781">
        <f t="shared" si="59"/>
        <v>0.86</v>
      </c>
      <c r="AF111" s="1781">
        <f t="shared" si="60"/>
        <v>0.86</v>
      </c>
      <c r="AG111" s="1781">
        <f t="shared" si="61"/>
        <v>0.86</v>
      </c>
      <c r="AH111" s="1781">
        <f t="shared" si="62"/>
        <v>0.86</v>
      </c>
      <c r="AI111" s="1362">
        <f t="shared" si="93"/>
        <v>82.824358089564001</v>
      </c>
      <c r="AJ111" s="1362">
        <f t="shared" si="94"/>
        <v>82.824358089564001</v>
      </c>
      <c r="AK111" s="1362">
        <f t="shared" si="95"/>
        <v>82.824358089564001</v>
      </c>
      <c r="AL111" s="1362">
        <f t="shared" si="96"/>
        <v>82.824358089564001</v>
      </c>
      <c r="AM111" s="1362">
        <f t="shared" si="97"/>
        <v>331.297432358256</v>
      </c>
      <c r="AN111" s="1132" t="str">
        <f t="shared" si="63"/>
        <v>CI-FSE-SPRY-V05-190101</v>
      </c>
      <c r="AO111" s="1132" t="str">
        <f t="shared" si="64"/>
        <v>Nicor Gas PY11-PY14 Adjustable Goals Template_2025-03-01, Tab 4.2.11</v>
      </c>
      <c r="AP111" s="2568">
        <f>'4.2.11'!$N$4</f>
        <v>158.27666400000004</v>
      </c>
      <c r="AQ111" s="2568" t="s">
        <v>481</v>
      </c>
      <c r="AR111" s="2505">
        <f t="shared" si="65"/>
        <v>82.824358089564001</v>
      </c>
      <c r="AS111" s="2505">
        <f t="shared" si="66"/>
        <v>0</v>
      </c>
      <c r="AT111" s="1132" t="str">
        <f t="shared" si="67"/>
        <v>CI-FSE-SPRY-V05-190101</v>
      </c>
      <c r="AU111" s="1132" t="str">
        <f t="shared" si="68"/>
        <v>Nicor Gas PY11-PY14 Adjustable Goals Template_2025-03-01, Tab 4.2.11</v>
      </c>
      <c r="AV111" s="2505">
        <f>'4.2.11'!$N$4</f>
        <v>158.27666400000004</v>
      </c>
      <c r="AW111" s="2568" t="s">
        <v>481</v>
      </c>
      <c r="AX111" s="1362">
        <f t="shared" si="69"/>
        <v>82.824358089564001</v>
      </c>
      <c r="AY111" s="1360">
        <f t="shared" si="70"/>
        <v>0</v>
      </c>
      <c r="AZ111" s="1132" t="str">
        <f t="shared" si="71"/>
        <v>CI-FSE-SPRY-V05-190101</v>
      </c>
      <c r="BA111" s="1132" t="str">
        <f t="shared" si="72"/>
        <v>Nicor Gas PY11-PY14 Adjustable Goals Template_2025-03-01, Tab 4.2.11</v>
      </c>
      <c r="BB111" s="2505">
        <f>'4.2.11'!$N$4</f>
        <v>158.27666400000004</v>
      </c>
      <c r="BC111" s="2568" t="s">
        <v>481</v>
      </c>
      <c r="BD111" s="1362">
        <f t="shared" si="73"/>
        <v>82.824358089564001</v>
      </c>
      <c r="BE111" s="1360">
        <f t="shared" si="74"/>
        <v>0</v>
      </c>
      <c r="BF111" s="1132" t="str">
        <f t="shared" si="75"/>
        <v>CI-FSE-SPRY-V05-190101</v>
      </c>
      <c r="BG111" s="1132" t="str">
        <f t="shared" si="76"/>
        <v>Nicor Gas PY11-PY14 Adjustable Goals Template_2025-03-01, Tab 4.2.11</v>
      </c>
      <c r="BH111" s="2505">
        <f>'4.2.11'!$N$4</f>
        <v>158.27666400000004</v>
      </c>
      <c r="BI111" s="2568" t="s">
        <v>481</v>
      </c>
      <c r="BJ111" s="1362">
        <f t="shared" si="98"/>
        <v>82.824358089564001</v>
      </c>
      <c r="BK111" s="1360">
        <f t="shared" si="77"/>
        <v>0</v>
      </c>
      <c r="BL111" s="1601">
        <f t="shared" si="78"/>
        <v>82.824358089564001</v>
      </c>
      <c r="BM111" s="1601">
        <f t="shared" si="79"/>
        <v>82.824358089564001</v>
      </c>
      <c r="BN111" s="1601">
        <f t="shared" si="80"/>
        <v>82.824358089564001</v>
      </c>
      <c r="BO111" s="1601">
        <f t="shared" si="81"/>
        <v>82.824358089564001</v>
      </c>
      <c r="BP111" s="1602">
        <f t="shared" si="82"/>
        <v>331.297432358256</v>
      </c>
      <c r="BQ111" s="1602"/>
      <c r="BR111" s="1602" t="s">
        <v>545</v>
      </c>
      <c r="BS111" s="1602">
        <v>0</v>
      </c>
      <c r="BT111" s="1602">
        <v>5</v>
      </c>
      <c r="BU111" s="1602">
        <v>5</v>
      </c>
      <c r="BV111" s="1602">
        <v>5</v>
      </c>
      <c r="BW111" s="1602">
        <v>5</v>
      </c>
      <c r="BX111" s="1362">
        <f t="shared" si="99"/>
        <v>414.12179044781999</v>
      </c>
      <c r="BY111" s="1362">
        <f t="shared" si="100"/>
        <v>414.12179044781999</v>
      </c>
      <c r="BZ111" s="1362">
        <f t="shared" si="101"/>
        <v>414.12179044781999</v>
      </c>
      <c r="CA111" s="1362">
        <f t="shared" si="102"/>
        <v>414.12179044781999</v>
      </c>
      <c r="CB111" s="1362">
        <f t="shared" si="103"/>
        <v>1656.48716179128</v>
      </c>
      <c r="CC111" s="1360">
        <v>5</v>
      </c>
      <c r="CD111" s="1360">
        <v>5</v>
      </c>
      <c r="CE111" s="1360">
        <v>5</v>
      </c>
      <c r="CF111" s="1360">
        <v>5</v>
      </c>
      <c r="CG111" s="1604">
        <f t="shared" si="83"/>
        <v>414.1217904478201</v>
      </c>
      <c r="CH111" s="1604">
        <f t="shared" si="84"/>
        <v>414.1217904478201</v>
      </c>
      <c r="CI111" s="1604">
        <f t="shared" si="85"/>
        <v>414.1217904478201</v>
      </c>
      <c r="CJ111" s="1604">
        <f t="shared" si="86"/>
        <v>414.1217904478201</v>
      </c>
      <c r="CK111" s="1521">
        <f t="shared" si="87"/>
        <v>1656.4871617912804</v>
      </c>
      <c r="CL111" s="1132">
        <v>104</v>
      </c>
      <c r="CM111" s="1132" t="s">
        <v>356</v>
      </c>
      <c r="CN111" s="1359">
        <v>0</v>
      </c>
      <c r="CO111" s="1360">
        <v>0.60847499999999988</v>
      </c>
      <c r="CP111" s="1360">
        <v>0.60847499999999988</v>
      </c>
      <c r="CQ111" s="1360">
        <v>0.60847499999999988</v>
      </c>
      <c r="CR111" s="1360">
        <v>0.60847499999999988</v>
      </c>
      <c r="CS111" s="1362">
        <f t="shared" si="88"/>
        <v>82.824358089564001</v>
      </c>
      <c r="CT111" s="1362">
        <f t="shared" si="89"/>
        <v>82.824358089564001</v>
      </c>
      <c r="CU111" s="1362">
        <f t="shared" si="90"/>
        <v>82.824358089564001</v>
      </c>
      <c r="CV111" s="1362">
        <f t="shared" si="91"/>
        <v>82.824358089564001</v>
      </c>
      <c r="CW111" s="1362">
        <f t="shared" si="92"/>
        <v>331.297432358256</v>
      </c>
      <c r="CY111" s="2887"/>
    </row>
    <row r="112" spans="1:118" s="1143" customFormat="1" ht="46.5" x14ac:dyDescent="0.35">
      <c r="A112" s="1132" t="s">
        <v>101</v>
      </c>
      <c r="B112" s="1132" t="s">
        <v>424</v>
      </c>
      <c r="C112" s="1132" t="s">
        <v>551</v>
      </c>
      <c r="D112" s="1359" t="s">
        <v>552</v>
      </c>
      <c r="E112" s="1359">
        <v>1</v>
      </c>
      <c r="F112" s="2807" t="s">
        <v>545</v>
      </c>
      <c r="G112" s="1132" t="s">
        <v>356</v>
      </c>
      <c r="H112" s="1360">
        <v>1.2169499999999998</v>
      </c>
      <c r="I112" s="1360">
        <v>1.2169499999999998</v>
      </c>
      <c r="J112" s="1360">
        <v>1.2169499999999998</v>
      </c>
      <c r="K112" s="1360">
        <v>1.2169499999999998</v>
      </c>
      <c r="L112" s="1132" t="s">
        <v>546</v>
      </c>
      <c r="M112" s="1132" t="str">
        <f t="shared" si="54"/>
        <v>Nicor Gas PY11-PY14 Adjustable Goals Template_2025-03-01, Tab 4.2.11</v>
      </c>
      <c r="N112" s="1361">
        <v>237.414996</v>
      </c>
      <c r="O112" s="1361">
        <v>237.414996</v>
      </c>
      <c r="P112" s="1361">
        <v>237.414996</v>
      </c>
      <c r="Q112" s="1361">
        <v>237.414996</v>
      </c>
      <c r="R112" s="1781">
        <v>0.86</v>
      </c>
      <c r="S112" s="1781">
        <v>0.86</v>
      </c>
      <c r="T112" s="1781">
        <v>0.86</v>
      </c>
      <c r="U112" s="1781">
        <v>0.86</v>
      </c>
      <c r="V112" s="1781">
        <v>0.86</v>
      </c>
      <c r="W112" s="1781">
        <v>0.86</v>
      </c>
      <c r="X112" s="1781">
        <v>0.86</v>
      </c>
      <c r="Y112" s="1781">
        <v>0.86</v>
      </c>
      <c r="Z112" s="1359">
        <v>1</v>
      </c>
      <c r="AA112" s="1781">
        <f t="shared" si="55"/>
        <v>0.86</v>
      </c>
      <c r="AB112" s="1781">
        <f t="shared" si="56"/>
        <v>0.86</v>
      </c>
      <c r="AC112" s="1781">
        <f t="shared" si="57"/>
        <v>0.86</v>
      </c>
      <c r="AD112" s="1781">
        <f t="shared" si="58"/>
        <v>0.86</v>
      </c>
      <c r="AE112" s="1781">
        <f t="shared" si="59"/>
        <v>0.86</v>
      </c>
      <c r="AF112" s="1781">
        <f t="shared" si="60"/>
        <v>0.86</v>
      </c>
      <c r="AG112" s="1781">
        <f t="shared" si="61"/>
        <v>0.86</v>
      </c>
      <c r="AH112" s="1781">
        <f t="shared" si="62"/>
        <v>0.86</v>
      </c>
      <c r="AI112" s="1362">
        <f t="shared" si="93"/>
        <v>248.47307426869196</v>
      </c>
      <c r="AJ112" s="1362">
        <f t="shared" si="94"/>
        <v>248.47307426869196</v>
      </c>
      <c r="AK112" s="1362">
        <f t="shared" si="95"/>
        <v>248.47307426869196</v>
      </c>
      <c r="AL112" s="1362">
        <f t="shared" si="96"/>
        <v>248.47307426869196</v>
      </c>
      <c r="AM112" s="1362">
        <f t="shared" si="97"/>
        <v>993.89229707476784</v>
      </c>
      <c r="AN112" s="1132" t="str">
        <f t="shared" si="63"/>
        <v>CI-FSE-SPRY-V05-190101</v>
      </c>
      <c r="AO112" s="1132" t="str">
        <f t="shared" si="64"/>
        <v>Nicor Gas PY11-PY14 Adjustable Goals Template_2025-03-01, Tab 4.2.11</v>
      </c>
      <c r="AP112" s="2568">
        <f>'4.2.11'!$N$3</f>
        <v>237.414996</v>
      </c>
      <c r="AQ112" s="2568" t="s">
        <v>481</v>
      </c>
      <c r="AR112" s="2505">
        <f t="shared" si="65"/>
        <v>248.47307426869196</v>
      </c>
      <c r="AS112" s="2505">
        <f t="shared" si="66"/>
        <v>0</v>
      </c>
      <c r="AT112" s="1132" t="str">
        <f t="shared" si="67"/>
        <v>CI-FSE-SPRY-V05-190101</v>
      </c>
      <c r="AU112" s="1132" t="str">
        <f t="shared" si="68"/>
        <v>Nicor Gas PY11-PY14 Adjustable Goals Template_2025-03-01, Tab 4.2.11</v>
      </c>
      <c r="AV112" s="2505">
        <f>'4.2.11'!$N$3</f>
        <v>237.414996</v>
      </c>
      <c r="AW112" s="2568" t="s">
        <v>481</v>
      </c>
      <c r="AX112" s="1362">
        <f t="shared" si="69"/>
        <v>248.47307426869196</v>
      </c>
      <c r="AY112" s="1360">
        <f t="shared" si="70"/>
        <v>0</v>
      </c>
      <c r="AZ112" s="1132" t="str">
        <f t="shared" si="71"/>
        <v>CI-FSE-SPRY-V05-190101</v>
      </c>
      <c r="BA112" s="1132" t="str">
        <f t="shared" si="72"/>
        <v>Nicor Gas PY11-PY14 Adjustable Goals Template_2025-03-01, Tab 4.2.11</v>
      </c>
      <c r="BB112" s="2505">
        <f>'4.2.11'!$N$3</f>
        <v>237.414996</v>
      </c>
      <c r="BC112" s="2568" t="s">
        <v>481</v>
      </c>
      <c r="BD112" s="1362">
        <f t="shared" si="73"/>
        <v>248.47307426869196</v>
      </c>
      <c r="BE112" s="1360">
        <f t="shared" si="74"/>
        <v>0</v>
      </c>
      <c r="BF112" s="1132" t="str">
        <f t="shared" si="75"/>
        <v>CI-FSE-SPRY-V05-190101</v>
      </c>
      <c r="BG112" s="1132" t="str">
        <f t="shared" si="76"/>
        <v>Nicor Gas PY11-PY14 Adjustable Goals Template_2025-03-01, Tab 4.2.11</v>
      </c>
      <c r="BH112" s="2505">
        <f>'4.2.11'!$N$3</f>
        <v>237.414996</v>
      </c>
      <c r="BI112" s="2568" t="s">
        <v>481</v>
      </c>
      <c r="BJ112" s="1362">
        <f t="shared" si="98"/>
        <v>248.47307426869196</v>
      </c>
      <c r="BK112" s="1360">
        <f t="shared" si="77"/>
        <v>0</v>
      </c>
      <c r="BL112" s="1601">
        <f t="shared" si="78"/>
        <v>248.47307426869196</v>
      </c>
      <c r="BM112" s="1601">
        <f t="shared" si="79"/>
        <v>248.47307426869196</v>
      </c>
      <c r="BN112" s="1601">
        <f t="shared" si="80"/>
        <v>248.47307426869196</v>
      </c>
      <c r="BO112" s="1601">
        <f t="shared" si="81"/>
        <v>248.47307426869196</v>
      </c>
      <c r="BP112" s="1602">
        <f t="shared" si="82"/>
        <v>993.89229707476784</v>
      </c>
      <c r="BQ112" s="1602"/>
      <c r="BR112" s="1602" t="s">
        <v>545</v>
      </c>
      <c r="BS112" s="1602">
        <v>0</v>
      </c>
      <c r="BT112" s="1602">
        <v>5</v>
      </c>
      <c r="BU112" s="1602">
        <v>5</v>
      </c>
      <c r="BV112" s="1602">
        <v>5</v>
      </c>
      <c r="BW112" s="1602">
        <v>5</v>
      </c>
      <c r="BX112" s="1362">
        <f t="shared" si="99"/>
        <v>1242.3653713434599</v>
      </c>
      <c r="BY112" s="1362">
        <f t="shared" si="100"/>
        <v>1242.3653713434599</v>
      </c>
      <c r="BZ112" s="1362">
        <f t="shared" si="101"/>
        <v>1242.3653713434599</v>
      </c>
      <c r="CA112" s="1362">
        <f t="shared" si="102"/>
        <v>1242.3653713434599</v>
      </c>
      <c r="CB112" s="1362">
        <f t="shared" si="103"/>
        <v>4969.4614853738394</v>
      </c>
      <c r="CC112" s="1360">
        <v>5</v>
      </c>
      <c r="CD112" s="1360">
        <v>5</v>
      </c>
      <c r="CE112" s="1360">
        <v>5</v>
      </c>
      <c r="CF112" s="1360">
        <v>5</v>
      </c>
      <c r="CG112" s="1604">
        <f t="shared" si="83"/>
        <v>1242.3653713434599</v>
      </c>
      <c r="CH112" s="1604">
        <f t="shared" si="84"/>
        <v>1242.3653713434599</v>
      </c>
      <c r="CI112" s="1604">
        <f t="shared" si="85"/>
        <v>1242.3653713434599</v>
      </c>
      <c r="CJ112" s="1604">
        <f t="shared" si="86"/>
        <v>1242.3653713434599</v>
      </c>
      <c r="CK112" s="1521">
        <f t="shared" si="87"/>
        <v>4969.4614853738394</v>
      </c>
      <c r="CL112" s="1132">
        <v>105</v>
      </c>
      <c r="CM112" s="1132" t="s">
        <v>356</v>
      </c>
      <c r="CN112" s="1359">
        <v>0</v>
      </c>
      <c r="CO112" s="1360">
        <v>1.2169499999999998</v>
      </c>
      <c r="CP112" s="1360">
        <v>1.2169499999999998</v>
      </c>
      <c r="CQ112" s="1360">
        <v>1.2169499999999998</v>
      </c>
      <c r="CR112" s="1360">
        <v>1.2169499999999998</v>
      </c>
      <c r="CS112" s="1362">
        <f t="shared" si="88"/>
        <v>248.47307426869196</v>
      </c>
      <c r="CT112" s="1362">
        <f t="shared" si="89"/>
        <v>248.47307426869196</v>
      </c>
      <c r="CU112" s="1362">
        <f t="shared" si="90"/>
        <v>248.47307426869196</v>
      </c>
      <c r="CV112" s="1362">
        <f t="shared" si="91"/>
        <v>248.47307426869196</v>
      </c>
      <c r="CW112" s="1362">
        <f t="shared" si="92"/>
        <v>993.89229707476784</v>
      </c>
      <c r="CY112" s="2887"/>
    </row>
    <row r="113" spans="1:118" s="1143" customFormat="1" ht="46.5" x14ac:dyDescent="0.35">
      <c r="A113" s="1132" t="s">
        <v>101</v>
      </c>
      <c r="B113" s="1132" t="s">
        <v>424</v>
      </c>
      <c r="C113" s="1132" t="s">
        <v>543</v>
      </c>
      <c r="D113" s="1359" t="s">
        <v>544</v>
      </c>
      <c r="E113" s="1359">
        <v>1</v>
      </c>
      <c r="F113" s="2807" t="s">
        <v>545</v>
      </c>
      <c r="G113" s="1132" t="s">
        <v>356</v>
      </c>
      <c r="H113" s="1360">
        <v>0.60847499999999988</v>
      </c>
      <c r="I113" s="1360">
        <v>0.60847499999999988</v>
      </c>
      <c r="J113" s="1360">
        <v>0.60847499999999988</v>
      </c>
      <c r="K113" s="1360">
        <v>0.60847499999999988</v>
      </c>
      <c r="L113" s="1132" t="s">
        <v>546</v>
      </c>
      <c r="M113" s="1132" t="str">
        <f t="shared" si="54"/>
        <v>Nicor Gas PY11-PY14 Adjustable Goals Template_2025-03-01, Tab 4.2.11</v>
      </c>
      <c r="N113" s="1361">
        <v>241.37191260000003</v>
      </c>
      <c r="O113" s="1361">
        <v>241.37191260000003</v>
      </c>
      <c r="P113" s="1361">
        <v>241.37191260000003</v>
      </c>
      <c r="Q113" s="1361">
        <v>241.37191260000003</v>
      </c>
      <c r="R113" s="1781">
        <v>0.86</v>
      </c>
      <c r="S113" s="1781">
        <v>0.86</v>
      </c>
      <c r="T113" s="1781">
        <v>0.86</v>
      </c>
      <c r="U113" s="1781">
        <v>0.86</v>
      </c>
      <c r="V113" s="1781">
        <v>0.86</v>
      </c>
      <c r="W113" s="1781">
        <v>0.86</v>
      </c>
      <c r="X113" s="1781">
        <v>0.86</v>
      </c>
      <c r="Y113" s="1781">
        <v>0.86</v>
      </c>
      <c r="Z113" s="1359">
        <v>1</v>
      </c>
      <c r="AA113" s="1781">
        <f t="shared" si="55"/>
        <v>0.86</v>
      </c>
      <c r="AB113" s="1781">
        <f t="shared" si="56"/>
        <v>0.86</v>
      </c>
      <c r="AC113" s="1781">
        <f t="shared" si="57"/>
        <v>0.86</v>
      </c>
      <c r="AD113" s="1781">
        <f t="shared" si="58"/>
        <v>0.86</v>
      </c>
      <c r="AE113" s="1781">
        <f t="shared" si="59"/>
        <v>0.86</v>
      </c>
      <c r="AF113" s="1781">
        <f t="shared" si="60"/>
        <v>0.86</v>
      </c>
      <c r="AG113" s="1781">
        <f t="shared" si="61"/>
        <v>0.86</v>
      </c>
      <c r="AH113" s="1781">
        <f t="shared" si="62"/>
        <v>0.86</v>
      </c>
      <c r="AI113" s="1362">
        <f t="shared" si="93"/>
        <v>126.30714608658508</v>
      </c>
      <c r="AJ113" s="1362">
        <f t="shared" si="94"/>
        <v>126.30714608658508</v>
      </c>
      <c r="AK113" s="1362">
        <f t="shared" si="95"/>
        <v>126.30714608658508</v>
      </c>
      <c r="AL113" s="1362">
        <f t="shared" si="96"/>
        <v>126.30714608658508</v>
      </c>
      <c r="AM113" s="1362">
        <f t="shared" si="97"/>
        <v>505.22858434634031</v>
      </c>
      <c r="AN113" s="1132" t="str">
        <f t="shared" si="63"/>
        <v>CI-FSE-SPRY-V05-190101</v>
      </c>
      <c r="AO113" s="1132" t="str">
        <f t="shared" si="64"/>
        <v>Nicor Gas PY11-PY14 Adjustable Goals Template_2025-03-01, Tab 4.2.11</v>
      </c>
      <c r="AP113" s="2568">
        <f>'4.2.11'!$N$9</f>
        <v>241.37191260000003</v>
      </c>
      <c r="AQ113" s="2568" t="s">
        <v>481</v>
      </c>
      <c r="AR113" s="2505">
        <f t="shared" si="65"/>
        <v>126.30714608658508</v>
      </c>
      <c r="AS113" s="2505">
        <f t="shared" si="66"/>
        <v>0</v>
      </c>
      <c r="AT113" s="1132" t="str">
        <f t="shared" si="67"/>
        <v>CI-FSE-SPRY-V05-190101</v>
      </c>
      <c r="AU113" s="1132" t="str">
        <f t="shared" si="68"/>
        <v>Nicor Gas PY11-PY14 Adjustable Goals Template_2025-03-01, Tab 4.2.11</v>
      </c>
      <c r="AV113" s="2505">
        <f>'4.2.11'!$N$9</f>
        <v>241.37191260000003</v>
      </c>
      <c r="AW113" s="2568" t="s">
        <v>481</v>
      </c>
      <c r="AX113" s="1362">
        <f t="shared" si="69"/>
        <v>126.30714608658508</v>
      </c>
      <c r="AY113" s="1360">
        <f t="shared" si="70"/>
        <v>0</v>
      </c>
      <c r="AZ113" s="1132" t="str">
        <f t="shared" si="71"/>
        <v>CI-FSE-SPRY-V05-190101</v>
      </c>
      <c r="BA113" s="1132" t="str">
        <f t="shared" si="72"/>
        <v>Nicor Gas PY11-PY14 Adjustable Goals Template_2025-03-01, Tab 4.2.11</v>
      </c>
      <c r="BB113" s="2505">
        <f>'4.2.11'!$N$9</f>
        <v>241.37191260000003</v>
      </c>
      <c r="BC113" s="2568" t="s">
        <v>481</v>
      </c>
      <c r="BD113" s="1362">
        <f t="shared" si="73"/>
        <v>126.30714608658508</v>
      </c>
      <c r="BE113" s="1360">
        <f t="shared" si="74"/>
        <v>0</v>
      </c>
      <c r="BF113" s="1132" t="str">
        <f t="shared" si="75"/>
        <v>CI-FSE-SPRY-V05-190101</v>
      </c>
      <c r="BG113" s="1132" t="str">
        <f t="shared" si="76"/>
        <v>Nicor Gas PY11-PY14 Adjustable Goals Template_2025-03-01, Tab 4.2.11</v>
      </c>
      <c r="BH113" s="2505">
        <f>'4.2.11'!$N$9</f>
        <v>241.37191260000003</v>
      </c>
      <c r="BI113" s="2568" t="s">
        <v>481</v>
      </c>
      <c r="BJ113" s="1362">
        <f t="shared" si="98"/>
        <v>126.30714608658508</v>
      </c>
      <c r="BK113" s="1360">
        <f t="shared" si="77"/>
        <v>0</v>
      </c>
      <c r="BL113" s="1601">
        <f t="shared" si="78"/>
        <v>126.30714608658508</v>
      </c>
      <c r="BM113" s="1601">
        <f t="shared" si="79"/>
        <v>126.30714608658508</v>
      </c>
      <c r="BN113" s="1601">
        <f t="shared" si="80"/>
        <v>126.30714608658508</v>
      </c>
      <c r="BO113" s="1601">
        <f t="shared" si="81"/>
        <v>126.30714608658508</v>
      </c>
      <c r="BP113" s="1602">
        <f t="shared" si="82"/>
        <v>505.22858434634031</v>
      </c>
      <c r="BQ113" s="1602"/>
      <c r="BR113" s="1602" t="s">
        <v>545</v>
      </c>
      <c r="BS113" s="1602">
        <v>0</v>
      </c>
      <c r="BT113" s="1602">
        <v>5</v>
      </c>
      <c r="BU113" s="1602">
        <v>5</v>
      </c>
      <c r="BV113" s="1602">
        <v>5</v>
      </c>
      <c r="BW113" s="1602">
        <v>5</v>
      </c>
      <c r="BX113" s="1362">
        <f t="shared" si="99"/>
        <v>631.53573043292545</v>
      </c>
      <c r="BY113" s="1362">
        <f t="shared" si="100"/>
        <v>631.53573043292545</v>
      </c>
      <c r="BZ113" s="1362">
        <f t="shared" si="101"/>
        <v>631.53573043292545</v>
      </c>
      <c r="CA113" s="1362">
        <f t="shared" si="102"/>
        <v>631.53573043292545</v>
      </c>
      <c r="CB113" s="1362">
        <f t="shared" si="103"/>
        <v>2526.1429217317018</v>
      </c>
      <c r="CC113" s="1360">
        <v>5</v>
      </c>
      <c r="CD113" s="1360">
        <v>5</v>
      </c>
      <c r="CE113" s="1360">
        <v>5</v>
      </c>
      <c r="CF113" s="1360">
        <v>5</v>
      </c>
      <c r="CG113" s="1604">
        <f t="shared" si="83"/>
        <v>631.53573043292556</v>
      </c>
      <c r="CH113" s="1604">
        <f t="shared" si="84"/>
        <v>631.53573043292556</v>
      </c>
      <c r="CI113" s="1604">
        <f t="shared" si="85"/>
        <v>631.53573043292556</v>
      </c>
      <c r="CJ113" s="1604">
        <f t="shared" si="86"/>
        <v>631.53573043292556</v>
      </c>
      <c r="CK113" s="1521">
        <f t="shared" si="87"/>
        <v>2526.1429217317022</v>
      </c>
      <c r="CL113" s="1132">
        <v>106</v>
      </c>
      <c r="CM113" s="1132" t="s">
        <v>356</v>
      </c>
      <c r="CN113" s="1359">
        <v>0</v>
      </c>
      <c r="CO113" s="1360">
        <v>0.60847499999999988</v>
      </c>
      <c r="CP113" s="1360">
        <v>0.60847499999999988</v>
      </c>
      <c r="CQ113" s="1360">
        <v>0.60847499999999988</v>
      </c>
      <c r="CR113" s="1360">
        <v>0.60847499999999988</v>
      </c>
      <c r="CS113" s="1362">
        <f t="shared" si="88"/>
        <v>126.30714608658508</v>
      </c>
      <c r="CT113" s="1362">
        <f t="shared" si="89"/>
        <v>126.30714608658508</v>
      </c>
      <c r="CU113" s="1362">
        <f t="shared" si="90"/>
        <v>126.30714608658508</v>
      </c>
      <c r="CV113" s="1362">
        <f t="shared" si="91"/>
        <v>126.30714608658508</v>
      </c>
      <c r="CW113" s="1362">
        <f t="shared" si="92"/>
        <v>505.22858434634031</v>
      </c>
      <c r="CY113" s="2887"/>
      <c r="DN113" s="1715"/>
    </row>
    <row r="114" spans="1:118" s="1143" customFormat="1" ht="46.5" x14ac:dyDescent="0.35">
      <c r="A114" s="1132" t="s">
        <v>101</v>
      </c>
      <c r="B114" s="1132" t="s">
        <v>424</v>
      </c>
      <c r="C114" s="1132" t="s">
        <v>553</v>
      </c>
      <c r="D114" s="1359" t="s">
        <v>554</v>
      </c>
      <c r="E114" s="1359">
        <v>1</v>
      </c>
      <c r="F114" s="2807" t="s">
        <v>555</v>
      </c>
      <c r="G114" s="1132" t="s">
        <v>328</v>
      </c>
      <c r="H114" s="1360">
        <v>4.867799999999999</v>
      </c>
      <c r="I114" s="1360">
        <v>4.867799999999999</v>
      </c>
      <c r="J114" s="1360">
        <v>4.867799999999999</v>
      </c>
      <c r="K114" s="1360">
        <v>4.867799999999999</v>
      </c>
      <c r="L114" s="1132" t="s">
        <v>556</v>
      </c>
      <c r="M114" s="1132" t="str">
        <f t="shared" si="54"/>
        <v>Nicor Gas PY11-PY14 Adjustable Goals Template_2025-03-01, Tab 4.3.2</v>
      </c>
      <c r="N114" s="1361">
        <v>6.5015389208633092</v>
      </c>
      <c r="O114" s="1361">
        <v>6.5015389208633092</v>
      </c>
      <c r="P114" s="1361">
        <v>6.5015389208633092</v>
      </c>
      <c r="Q114" s="1361">
        <v>6.5015389208633092</v>
      </c>
      <c r="R114" s="1781">
        <v>0.86</v>
      </c>
      <c r="S114" s="1781">
        <v>0.86</v>
      </c>
      <c r="T114" s="1781">
        <v>0.86</v>
      </c>
      <c r="U114" s="1781">
        <v>0.86</v>
      </c>
      <c r="V114" s="1781">
        <v>0.86</v>
      </c>
      <c r="W114" s="1781">
        <v>0.86</v>
      </c>
      <c r="X114" s="1781">
        <v>0.86</v>
      </c>
      <c r="Y114" s="1781">
        <v>0.86</v>
      </c>
      <c r="Z114" s="1359">
        <v>1</v>
      </c>
      <c r="AA114" s="1781">
        <f t="shared" si="55"/>
        <v>0.86</v>
      </c>
      <c r="AB114" s="1781">
        <f t="shared" si="56"/>
        <v>0.86</v>
      </c>
      <c r="AC114" s="1781">
        <f t="shared" si="57"/>
        <v>0.86</v>
      </c>
      <c r="AD114" s="1781">
        <f t="shared" si="58"/>
        <v>0.86</v>
      </c>
      <c r="AE114" s="1781">
        <f t="shared" si="59"/>
        <v>0.86</v>
      </c>
      <c r="AF114" s="1781">
        <f t="shared" si="60"/>
        <v>0.86</v>
      </c>
      <c r="AG114" s="1781">
        <f t="shared" si="61"/>
        <v>0.86</v>
      </c>
      <c r="AH114" s="1781">
        <f t="shared" si="62"/>
        <v>0.86</v>
      </c>
      <c r="AI114" s="1362">
        <f t="shared" si="93"/>
        <v>27.217444396721433</v>
      </c>
      <c r="AJ114" s="1362">
        <f t="shared" si="94"/>
        <v>27.217444396721433</v>
      </c>
      <c r="AK114" s="1362">
        <f t="shared" si="95"/>
        <v>27.217444396721433</v>
      </c>
      <c r="AL114" s="1362">
        <f t="shared" si="96"/>
        <v>27.217444396721433</v>
      </c>
      <c r="AM114" s="1362">
        <f t="shared" si="97"/>
        <v>108.86977758688573</v>
      </c>
      <c r="AN114" s="1132" t="str">
        <f t="shared" si="63"/>
        <v>CI-HW_-LFFA-V08-190101</v>
      </c>
      <c r="AO114" s="1132" t="str">
        <f t="shared" si="64"/>
        <v>Nicor Gas PY11-PY14 Adjustable Goals Template_2025-03-01, Tab 4.3.2</v>
      </c>
      <c r="AP114" s="2568">
        <f>'4.3.2'!$N$5</f>
        <v>7.1194537769784167</v>
      </c>
      <c r="AQ114" s="2568" t="s">
        <v>557</v>
      </c>
      <c r="AR114" s="2505">
        <f t="shared" si="65"/>
        <v>29.804226302194959</v>
      </c>
      <c r="AS114" s="2505">
        <f t="shared" si="66"/>
        <v>2.5867819054735257</v>
      </c>
      <c r="AT114" s="1132" t="str">
        <f t="shared" si="67"/>
        <v>CI-HW_-LFFA-V08-190101</v>
      </c>
      <c r="AU114" s="1132" t="str">
        <f t="shared" si="68"/>
        <v>Nicor Gas PY11-PY14 Adjustable Goals Template_2025-03-01, Tab 4.3.2</v>
      </c>
      <c r="AV114" s="2505">
        <f>'4.3.2'!$N$5</f>
        <v>7.1194537769784167</v>
      </c>
      <c r="AW114" s="2568" t="s">
        <v>557</v>
      </c>
      <c r="AX114" s="1362">
        <f t="shared" si="69"/>
        <v>29.804226302194959</v>
      </c>
      <c r="AY114" s="1360">
        <f t="shared" si="70"/>
        <v>2.5867819054735257</v>
      </c>
      <c r="AZ114" s="1132" t="str">
        <f t="shared" si="71"/>
        <v>CI-HW_-LFFA-V08-190101</v>
      </c>
      <c r="BA114" s="1132" t="str">
        <f t="shared" si="72"/>
        <v>Nicor Gas PY11-PY14 Adjustable Goals Template_2025-03-01, Tab 4.3.2</v>
      </c>
      <c r="BB114" s="2505">
        <f>'4.3.2'!$N$5</f>
        <v>7.1194537769784167</v>
      </c>
      <c r="BC114" s="2568" t="s">
        <v>557</v>
      </c>
      <c r="BD114" s="1362">
        <f t="shared" si="73"/>
        <v>29.804226302194959</v>
      </c>
      <c r="BE114" s="1360">
        <f t="shared" si="74"/>
        <v>2.5867819054735257</v>
      </c>
      <c r="BF114" s="1132" t="str">
        <f t="shared" si="75"/>
        <v>CI-HW_-LFFA-V08-190101</v>
      </c>
      <c r="BG114" s="1132" t="str">
        <f t="shared" si="76"/>
        <v>Nicor Gas PY11-PY14 Adjustable Goals Template_2025-03-01, Tab 4.3.2</v>
      </c>
      <c r="BH114" s="2505">
        <f>'4.3.2'!$N$5</f>
        <v>7.1194537769784167</v>
      </c>
      <c r="BI114" s="2568" t="s">
        <v>557</v>
      </c>
      <c r="BJ114" s="1362">
        <f t="shared" si="98"/>
        <v>29.804226302194959</v>
      </c>
      <c r="BK114" s="1360">
        <f t="shared" si="77"/>
        <v>2.5867819054735257</v>
      </c>
      <c r="BL114" s="1601">
        <f t="shared" si="78"/>
        <v>29.804226302194959</v>
      </c>
      <c r="BM114" s="1601">
        <f t="shared" si="79"/>
        <v>29.804226302194959</v>
      </c>
      <c r="BN114" s="1601">
        <f t="shared" si="80"/>
        <v>29.804226302194959</v>
      </c>
      <c r="BO114" s="1601">
        <f t="shared" si="81"/>
        <v>29.804226302194959</v>
      </c>
      <c r="BP114" s="1602">
        <f t="shared" si="82"/>
        <v>119.21690520877983</v>
      </c>
      <c r="BQ114" s="1602"/>
      <c r="BR114" s="1602" t="s">
        <v>555</v>
      </c>
      <c r="BS114" s="1602">
        <v>0</v>
      </c>
      <c r="BT114" s="1602">
        <v>10</v>
      </c>
      <c r="BU114" s="1602">
        <v>10</v>
      </c>
      <c r="BV114" s="1602">
        <v>10</v>
      </c>
      <c r="BW114" s="1602">
        <v>10</v>
      </c>
      <c r="BX114" s="1362">
        <f t="shared" si="99"/>
        <v>272.1744439672143</v>
      </c>
      <c r="BY114" s="1362">
        <f t="shared" si="100"/>
        <v>272.1744439672143</v>
      </c>
      <c r="BZ114" s="1362">
        <f t="shared" si="101"/>
        <v>272.1744439672143</v>
      </c>
      <c r="CA114" s="1362">
        <f t="shared" si="102"/>
        <v>272.1744439672143</v>
      </c>
      <c r="CB114" s="1362">
        <f t="shared" si="103"/>
        <v>1088.6977758688572</v>
      </c>
      <c r="CC114" s="1360">
        <v>10</v>
      </c>
      <c r="CD114" s="1360">
        <v>10</v>
      </c>
      <c r="CE114" s="1360">
        <v>10</v>
      </c>
      <c r="CF114" s="1360">
        <v>10</v>
      </c>
      <c r="CG114" s="1604">
        <f t="shared" si="83"/>
        <v>298.04226302194957</v>
      </c>
      <c r="CH114" s="1604">
        <f t="shared" si="84"/>
        <v>298.04226302194957</v>
      </c>
      <c r="CI114" s="1604">
        <f t="shared" si="85"/>
        <v>298.04226302194957</v>
      </c>
      <c r="CJ114" s="1604">
        <f t="shared" si="86"/>
        <v>298.04226302194957</v>
      </c>
      <c r="CK114" s="1521">
        <f t="shared" si="87"/>
        <v>1192.1690520877983</v>
      </c>
      <c r="CL114" s="1132">
        <v>107</v>
      </c>
      <c r="CM114" s="1132" t="s">
        <v>328</v>
      </c>
      <c r="CN114" s="1359">
        <v>0</v>
      </c>
      <c r="CO114" s="1360">
        <v>4.867799999999999</v>
      </c>
      <c r="CP114" s="1360">
        <v>4.867799999999999</v>
      </c>
      <c r="CQ114" s="1360">
        <v>4.867799999999999</v>
      </c>
      <c r="CR114" s="1360">
        <v>4.867799999999999</v>
      </c>
      <c r="CS114" s="1362">
        <f t="shared" si="88"/>
        <v>29.804226302194959</v>
      </c>
      <c r="CT114" s="1362">
        <f t="shared" si="89"/>
        <v>29.804226302194959</v>
      </c>
      <c r="CU114" s="1362">
        <f t="shared" si="90"/>
        <v>29.804226302194959</v>
      </c>
      <c r="CV114" s="1362">
        <f t="shared" si="91"/>
        <v>29.804226302194959</v>
      </c>
      <c r="CW114" s="1362">
        <f t="shared" si="92"/>
        <v>119.21690520877983</v>
      </c>
      <c r="CY114" s="2887"/>
      <c r="DN114" s="1715"/>
    </row>
    <row r="115" spans="1:118" s="1143" customFormat="1" ht="46.5" x14ac:dyDescent="0.35">
      <c r="A115" s="1132" t="s">
        <v>101</v>
      </c>
      <c r="B115" s="1132" t="s">
        <v>424</v>
      </c>
      <c r="C115" s="1132" t="s">
        <v>558</v>
      </c>
      <c r="D115" s="1359" t="s">
        <v>559</v>
      </c>
      <c r="E115" s="1359">
        <v>1</v>
      </c>
      <c r="F115" s="2807" t="s">
        <v>555</v>
      </c>
      <c r="G115" s="1132" t="s">
        <v>328</v>
      </c>
      <c r="H115" s="1360">
        <v>162.46282499999998</v>
      </c>
      <c r="I115" s="1360">
        <v>162.46282499999998</v>
      </c>
      <c r="J115" s="1360">
        <v>162.46282499999998</v>
      </c>
      <c r="K115" s="1360">
        <v>162.46282499999998</v>
      </c>
      <c r="L115" s="1132" t="s">
        <v>556</v>
      </c>
      <c r="M115" s="1132" t="str">
        <f t="shared" si="54"/>
        <v>Nicor Gas PY11-PY14 Adjustable Goals Template_2025-03-01, Tab 4.3.2</v>
      </c>
      <c r="N115" s="1361">
        <v>5.3328738669064739</v>
      </c>
      <c r="O115" s="1361">
        <v>5.3328738669064739</v>
      </c>
      <c r="P115" s="1361">
        <v>5.3328738669064739</v>
      </c>
      <c r="Q115" s="1361">
        <v>5.3328738669064739</v>
      </c>
      <c r="R115" s="1781">
        <v>0.86</v>
      </c>
      <c r="S115" s="1781">
        <v>0.86</v>
      </c>
      <c r="T115" s="1781">
        <v>0.86</v>
      </c>
      <c r="U115" s="1781">
        <v>0.86</v>
      </c>
      <c r="V115" s="1781">
        <v>0.86</v>
      </c>
      <c r="W115" s="1781">
        <v>0.86</v>
      </c>
      <c r="X115" s="1781">
        <v>0.86</v>
      </c>
      <c r="Y115" s="1781">
        <v>0.86</v>
      </c>
      <c r="Z115" s="1359">
        <v>1</v>
      </c>
      <c r="AA115" s="1781">
        <f t="shared" si="55"/>
        <v>0.86</v>
      </c>
      <c r="AB115" s="1781">
        <f t="shared" si="56"/>
        <v>0.86</v>
      </c>
      <c r="AC115" s="1781">
        <f t="shared" si="57"/>
        <v>0.86</v>
      </c>
      <c r="AD115" s="1781">
        <f t="shared" si="58"/>
        <v>0.86</v>
      </c>
      <c r="AE115" s="1781">
        <f t="shared" si="59"/>
        <v>0.86</v>
      </c>
      <c r="AF115" s="1781">
        <f t="shared" si="60"/>
        <v>0.86</v>
      </c>
      <c r="AG115" s="1781">
        <f t="shared" si="61"/>
        <v>0.86</v>
      </c>
      <c r="AH115" s="1781">
        <f t="shared" si="62"/>
        <v>0.86</v>
      </c>
      <c r="AI115" s="1362">
        <f t="shared" si="93"/>
        <v>745.09862825621769</v>
      </c>
      <c r="AJ115" s="1362">
        <f t="shared" si="94"/>
        <v>745.09862825621769</v>
      </c>
      <c r="AK115" s="1362">
        <f t="shared" si="95"/>
        <v>745.09862825621769</v>
      </c>
      <c r="AL115" s="1362">
        <f t="shared" si="96"/>
        <v>745.09862825621769</v>
      </c>
      <c r="AM115" s="1362">
        <f t="shared" si="97"/>
        <v>2980.3945130248708</v>
      </c>
      <c r="AN115" s="1132" t="str">
        <f t="shared" si="63"/>
        <v>CI-HW_-LFFA-V08-190101</v>
      </c>
      <c r="AO115" s="1132" t="str">
        <f t="shared" si="64"/>
        <v>Nicor Gas PY11-PY14 Adjustable Goals Template_2025-03-01, Tab 4.3.2</v>
      </c>
      <c r="AP115" s="2568">
        <f>'4.3.2'!$N$4</f>
        <v>5.9104899280575545</v>
      </c>
      <c r="AQ115" s="2568" t="s">
        <v>557</v>
      </c>
      <c r="AR115" s="2505">
        <f t="shared" si="65"/>
        <v>825.80200612779811</v>
      </c>
      <c r="AS115" s="2505">
        <f t="shared" si="66"/>
        <v>80.703377871580415</v>
      </c>
      <c r="AT115" s="1132" t="str">
        <f t="shared" si="67"/>
        <v>CI-HW_-LFFA-V08-190101</v>
      </c>
      <c r="AU115" s="1132" t="str">
        <f t="shared" si="68"/>
        <v>Nicor Gas PY11-PY14 Adjustable Goals Template_2025-03-01, Tab 4.3.2</v>
      </c>
      <c r="AV115" s="2505">
        <f>'4.3.2'!$N$4</f>
        <v>5.9104899280575545</v>
      </c>
      <c r="AW115" s="2568" t="s">
        <v>557</v>
      </c>
      <c r="AX115" s="1362">
        <f t="shared" si="69"/>
        <v>825.80200612779811</v>
      </c>
      <c r="AY115" s="1360">
        <f t="shared" si="70"/>
        <v>80.703377871580415</v>
      </c>
      <c r="AZ115" s="1132" t="str">
        <f t="shared" si="71"/>
        <v>CI-HW_-LFFA-V08-190101</v>
      </c>
      <c r="BA115" s="1132" t="str">
        <f t="shared" si="72"/>
        <v>Nicor Gas PY11-PY14 Adjustable Goals Template_2025-03-01, Tab 4.3.2</v>
      </c>
      <c r="BB115" s="2505">
        <f>'4.3.2'!$N$4</f>
        <v>5.9104899280575545</v>
      </c>
      <c r="BC115" s="2568" t="s">
        <v>557</v>
      </c>
      <c r="BD115" s="1362">
        <f t="shared" si="73"/>
        <v>825.80200612779811</v>
      </c>
      <c r="BE115" s="1360">
        <f t="shared" si="74"/>
        <v>80.703377871580415</v>
      </c>
      <c r="BF115" s="1132" t="str">
        <f t="shared" si="75"/>
        <v>CI-HW_-LFFA-V08-190101</v>
      </c>
      <c r="BG115" s="1132" t="str">
        <f t="shared" si="76"/>
        <v>Nicor Gas PY11-PY14 Adjustable Goals Template_2025-03-01, Tab 4.3.2</v>
      </c>
      <c r="BH115" s="2505">
        <f>'4.3.2'!$N$4</f>
        <v>5.9104899280575545</v>
      </c>
      <c r="BI115" s="2568" t="s">
        <v>557</v>
      </c>
      <c r="BJ115" s="1362">
        <f t="shared" si="98"/>
        <v>825.80200612779811</v>
      </c>
      <c r="BK115" s="1360">
        <f t="shared" si="77"/>
        <v>80.703377871580415</v>
      </c>
      <c r="BL115" s="1601">
        <f t="shared" si="78"/>
        <v>825.80200612779811</v>
      </c>
      <c r="BM115" s="1601">
        <f t="shared" si="79"/>
        <v>825.80200612779811</v>
      </c>
      <c r="BN115" s="1601">
        <f t="shared" si="80"/>
        <v>825.80200612779811</v>
      </c>
      <c r="BO115" s="1601">
        <f t="shared" si="81"/>
        <v>825.80200612779811</v>
      </c>
      <c r="BP115" s="1602">
        <f t="shared" si="82"/>
        <v>3303.2080245111924</v>
      </c>
      <c r="BQ115" s="1602"/>
      <c r="BR115" s="1602" t="s">
        <v>555</v>
      </c>
      <c r="BS115" s="1602">
        <v>0</v>
      </c>
      <c r="BT115" s="1602">
        <v>10</v>
      </c>
      <c r="BU115" s="1602">
        <v>10</v>
      </c>
      <c r="BV115" s="1602">
        <v>10</v>
      </c>
      <c r="BW115" s="1602">
        <v>10</v>
      </c>
      <c r="BX115" s="1362">
        <f t="shared" si="99"/>
        <v>7450.9862825621767</v>
      </c>
      <c r="BY115" s="1362">
        <f t="shared" si="100"/>
        <v>7450.9862825621767</v>
      </c>
      <c r="BZ115" s="1362">
        <f t="shared" si="101"/>
        <v>7450.9862825621767</v>
      </c>
      <c r="CA115" s="1362">
        <f t="shared" si="102"/>
        <v>7450.9862825621767</v>
      </c>
      <c r="CB115" s="1362">
        <f t="shared" si="103"/>
        <v>29803.945130248707</v>
      </c>
      <c r="CC115" s="1360">
        <v>10</v>
      </c>
      <c r="CD115" s="1360">
        <v>10</v>
      </c>
      <c r="CE115" s="1360">
        <v>10</v>
      </c>
      <c r="CF115" s="1360">
        <v>10</v>
      </c>
      <c r="CG115" s="1604">
        <f t="shared" si="83"/>
        <v>8258.0200612779809</v>
      </c>
      <c r="CH115" s="1604">
        <f t="shared" si="84"/>
        <v>8258.0200612779809</v>
      </c>
      <c r="CI115" s="1604">
        <f t="shared" si="85"/>
        <v>8258.0200612779809</v>
      </c>
      <c r="CJ115" s="1604">
        <f t="shared" si="86"/>
        <v>8258.0200612779809</v>
      </c>
      <c r="CK115" s="1521">
        <f t="shared" si="87"/>
        <v>33032.080245111923</v>
      </c>
      <c r="CL115" s="1132">
        <v>108</v>
      </c>
      <c r="CM115" s="1132" t="s">
        <v>328</v>
      </c>
      <c r="CN115" s="1359">
        <v>0</v>
      </c>
      <c r="CO115" s="1360">
        <v>162.46282499999998</v>
      </c>
      <c r="CP115" s="1360">
        <v>162.46282499999998</v>
      </c>
      <c r="CQ115" s="1360">
        <v>162.46282499999998</v>
      </c>
      <c r="CR115" s="1360">
        <v>162.46282499999998</v>
      </c>
      <c r="CS115" s="1362">
        <f t="shared" si="88"/>
        <v>825.80200612779811</v>
      </c>
      <c r="CT115" s="1362">
        <f t="shared" si="89"/>
        <v>825.80200612779811</v>
      </c>
      <c r="CU115" s="1362">
        <f t="shared" si="90"/>
        <v>825.80200612779811</v>
      </c>
      <c r="CV115" s="1362">
        <f t="shared" si="91"/>
        <v>825.80200612779811</v>
      </c>
      <c r="CW115" s="1362">
        <f t="shared" si="92"/>
        <v>3303.2080245111924</v>
      </c>
      <c r="CY115" s="2887"/>
      <c r="DN115" s="1715"/>
    </row>
    <row r="116" spans="1:118" s="1143" customFormat="1" ht="46.5" x14ac:dyDescent="0.35">
      <c r="A116" s="1132" t="s">
        <v>101</v>
      </c>
      <c r="B116" s="1132" t="s">
        <v>424</v>
      </c>
      <c r="C116" s="1132" t="s">
        <v>560</v>
      </c>
      <c r="D116" s="1359" t="s">
        <v>561</v>
      </c>
      <c r="E116" s="1359">
        <v>1</v>
      </c>
      <c r="F116" s="2807" t="s">
        <v>555</v>
      </c>
      <c r="G116" s="1132" t="s">
        <v>328</v>
      </c>
      <c r="H116" s="1360">
        <v>465.48337499999997</v>
      </c>
      <c r="I116" s="1360">
        <v>465.48337499999997</v>
      </c>
      <c r="J116" s="1360">
        <v>465.48337499999997</v>
      </c>
      <c r="K116" s="1360">
        <v>465.48337499999997</v>
      </c>
      <c r="L116" s="1132" t="s">
        <v>556</v>
      </c>
      <c r="M116" s="1132" t="str">
        <f t="shared" si="54"/>
        <v>Nicor Gas PY11-PY14 Adjustable Goals Template_2025-03-01, Tab 4.3.2</v>
      </c>
      <c r="N116" s="1361">
        <v>24.761780691313646</v>
      </c>
      <c r="O116" s="1361">
        <v>24.761780691313646</v>
      </c>
      <c r="P116" s="1361">
        <v>24.761780691313646</v>
      </c>
      <c r="Q116" s="1361">
        <v>24.761780691313646</v>
      </c>
      <c r="R116" s="1781">
        <v>0.86</v>
      </c>
      <c r="S116" s="1781">
        <v>0.86</v>
      </c>
      <c r="T116" s="1781">
        <v>0.86</v>
      </c>
      <c r="U116" s="1781">
        <v>0.86</v>
      </c>
      <c r="V116" s="1781">
        <v>0.86</v>
      </c>
      <c r="W116" s="1781">
        <v>0.86</v>
      </c>
      <c r="X116" s="1781">
        <v>0.86</v>
      </c>
      <c r="Y116" s="1781">
        <v>0.86</v>
      </c>
      <c r="Z116" s="1359">
        <v>1</v>
      </c>
      <c r="AA116" s="1781">
        <f t="shared" si="55"/>
        <v>0.86</v>
      </c>
      <c r="AB116" s="1781">
        <f t="shared" si="56"/>
        <v>0.86</v>
      </c>
      <c r="AC116" s="1781">
        <f t="shared" si="57"/>
        <v>0.86</v>
      </c>
      <c r="AD116" s="1781">
        <f t="shared" si="58"/>
        <v>0.86</v>
      </c>
      <c r="AE116" s="1781">
        <f t="shared" si="59"/>
        <v>0.86</v>
      </c>
      <c r="AF116" s="1781">
        <f t="shared" si="60"/>
        <v>0.86</v>
      </c>
      <c r="AG116" s="1781">
        <f t="shared" si="61"/>
        <v>0.86</v>
      </c>
      <c r="AH116" s="1781">
        <f t="shared" si="62"/>
        <v>0.86</v>
      </c>
      <c r="AI116" s="1362">
        <f t="shared" si="93"/>
        <v>9912.5296325941563</v>
      </c>
      <c r="AJ116" s="1362">
        <f t="shared" si="94"/>
        <v>9912.5296325941563</v>
      </c>
      <c r="AK116" s="1362">
        <f t="shared" si="95"/>
        <v>9912.5296325941563</v>
      </c>
      <c r="AL116" s="1362">
        <f t="shared" si="96"/>
        <v>9912.5296325941563</v>
      </c>
      <c r="AM116" s="1362">
        <f t="shared" si="97"/>
        <v>39650.118530376625</v>
      </c>
      <c r="AN116" s="1132" t="str">
        <f t="shared" si="63"/>
        <v>CI-HW_-LFFA-V08-190101</v>
      </c>
      <c r="AO116" s="1132" t="str">
        <f t="shared" si="64"/>
        <v>Nicor Gas PY11-PY14 Adjustable Goals Template_2025-03-01, Tab 4.3.2</v>
      </c>
      <c r="AP116" s="2568">
        <f>'4.3.2'!$N$6</f>
        <v>37.620137903225817</v>
      </c>
      <c r="AQ116" s="2568" t="s">
        <v>557</v>
      </c>
      <c r="AR116" s="2505">
        <f t="shared" si="65"/>
        <v>15059.93193287672</v>
      </c>
      <c r="AS116" s="2505">
        <f t="shared" si="66"/>
        <v>5147.4023002825634</v>
      </c>
      <c r="AT116" s="1132" t="str">
        <f t="shared" si="67"/>
        <v>CI-HW_-LFFA-V08-190101</v>
      </c>
      <c r="AU116" s="1132" t="str">
        <f t="shared" si="68"/>
        <v>Nicor Gas PY11-PY14 Adjustable Goals Template_2025-03-01, Tab 4.3.2</v>
      </c>
      <c r="AV116" s="2505">
        <f>'4.3.2'!$N$6</f>
        <v>37.620137903225817</v>
      </c>
      <c r="AW116" s="2568" t="s">
        <v>557</v>
      </c>
      <c r="AX116" s="1362">
        <f t="shared" si="69"/>
        <v>15059.93193287672</v>
      </c>
      <c r="AY116" s="1360">
        <f t="shared" si="70"/>
        <v>5147.4023002825634</v>
      </c>
      <c r="AZ116" s="1132" t="str">
        <f t="shared" si="71"/>
        <v>CI-HW_-LFFA-V08-190101</v>
      </c>
      <c r="BA116" s="1132" t="str">
        <f t="shared" si="72"/>
        <v>Nicor Gas PY11-PY14 Adjustable Goals Template_2025-03-01, Tab 4.3.2</v>
      </c>
      <c r="BB116" s="2505">
        <f>'4.3.2'!$N$6</f>
        <v>37.620137903225817</v>
      </c>
      <c r="BC116" s="2568" t="s">
        <v>557</v>
      </c>
      <c r="BD116" s="1362">
        <f t="shared" si="73"/>
        <v>15059.93193287672</v>
      </c>
      <c r="BE116" s="1360">
        <f t="shared" si="74"/>
        <v>5147.4023002825634</v>
      </c>
      <c r="BF116" s="1132" t="str">
        <f t="shared" si="75"/>
        <v>CI-HW_-LFFA-V08-190101</v>
      </c>
      <c r="BG116" s="1132" t="str">
        <f t="shared" si="76"/>
        <v>Nicor Gas PY11-PY14 Adjustable Goals Template_2025-03-01, Tab 4.3.2</v>
      </c>
      <c r="BH116" s="2505">
        <f>'4.3.2'!$N$6</f>
        <v>37.620137903225817</v>
      </c>
      <c r="BI116" s="2568" t="s">
        <v>557</v>
      </c>
      <c r="BJ116" s="1362">
        <f t="shared" si="98"/>
        <v>15059.93193287672</v>
      </c>
      <c r="BK116" s="1360">
        <f t="shared" si="77"/>
        <v>5147.4023002825634</v>
      </c>
      <c r="BL116" s="1601">
        <f t="shared" si="78"/>
        <v>15059.93193287672</v>
      </c>
      <c r="BM116" s="1601">
        <f t="shared" si="79"/>
        <v>15059.93193287672</v>
      </c>
      <c r="BN116" s="1601">
        <f t="shared" si="80"/>
        <v>15059.93193287672</v>
      </c>
      <c r="BO116" s="1601">
        <f t="shared" si="81"/>
        <v>15059.93193287672</v>
      </c>
      <c r="BP116" s="1602">
        <f t="shared" si="82"/>
        <v>60239.727731506879</v>
      </c>
      <c r="BQ116" s="1602"/>
      <c r="BR116" s="1602" t="s">
        <v>555</v>
      </c>
      <c r="BS116" s="1602">
        <v>0</v>
      </c>
      <c r="BT116" s="1602">
        <v>10</v>
      </c>
      <c r="BU116" s="1602">
        <v>10</v>
      </c>
      <c r="BV116" s="1602">
        <v>10</v>
      </c>
      <c r="BW116" s="1602">
        <v>10</v>
      </c>
      <c r="BX116" s="1362">
        <f t="shared" si="99"/>
        <v>99125.29632594157</v>
      </c>
      <c r="BY116" s="1362">
        <f t="shared" si="100"/>
        <v>99125.29632594157</v>
      </c>
      <c r="BZ116" s="1362">
        <f t="shared" si="101"/>
        <v>99125.29632594157</v>
      </c>
      <c r="CA116" s="1362">
        <f t="shared" si="102"/>
        <v>99125.29632594157</v>
      </c>
      <c r="CB116" s="1362">
        <f t="shared" si="103"/>
        <v>396501.18530376628</v>
      </c>
      <c r="CC116" s="1360">
        <v>10</v>
      </c>
      <c r="CD116" s="1360">
        <v>10</v>
      </c>
      <c r="CE116" s="1360">
        <v>10</v>
      </c>
      <c r="CF116" s="1360">
        <v>10</v>
      </c>
      <c r="CG116" s="1604">
        <f t="shared" si="83"/>
        <v>150599.31932876719</v>
      </c>
      <c r="CH116" s="1604">
        <f t="shared" si="84"/>
        <v>150599.31932876719</v>
      </c>
      <c r="CI116" s="1604">
        <f t="shared" si="85"/>
        <v>150599.31932876719</v>
      </c>
      <c r="CJ116" s="1604">
        <f t="shared" si="86"/>
        <v>150599.31932876719</v>
      </c>
      <c r="CK116" s="1521">
        <f t="shared" si="87"/>
        <v>602397.27731506876</v>
      </c>
      <c r="CL116" s="1132">
        <v>109</v>
      </c>
      <c r="CM116" s="1132" t="s">
        <v>328</v>
      </c>
      <c r="CN116" s="1359">
        <v>0</v>
      </c>
      <c r="CO116" s="1360">
        <v>465.48337499999997</v>
      </c>
      <c r="CP116" s="1360">
        <v>465.48337499999997</v>
      </c>
      <c r="CQ116" s="1360">
        <v>465.48337499999997</v>
      </c>
      <c r="CR116" s="1360">
        <v>465.48337499999997</v>
      </c>
      <c r="CS116" s="1362">
        <f t="shared" si="88"/>
        <v>15059.93193287672</v>
      </c>
      <c r="CT116" s="1362">
        <f t="shared" si="89"/>
        <v>15059.93193287672</v>
      </c>
      <c r="CU116" s="1362">
        <f t="shared" si="90"/>
        <v>15059.93193287672</v>
      </c>
      <c r="CV116" s="1362">
        <f t="shared" si="91"/>
        <v>15059.93193287672</v>
      </c>
      <c r="CW116" s="1362">
        <f t="shared" si="92"/>
        <v>60239.727731506879</v>
      </c>
      <c r="CY116" s="2887"/>
      <c r="DN116" s="1715"/>
    </row>
    <row r="117" spans="1:118" s="1143" customFormat="1" ht="46.5" x14ac:dyDescent="0.35">
      <c r="A117" s="1132" t="s">
        <v>101</v>
      </c>
      <c r="B117" s="1132" t="s">
        <v>424</v>
      </c>
      <c r="C117" s="1132" t="s">
        <v>562</v>
      </c>
      <c r="D117" s="1359" t="s">
        <v>563</v>
      </c>
      <c r="E117" s="1359">
        <v>1</v>
      </c>
      <c r="F117" s="2807" t="s">
        <v>563</v>
      </c>
      <c r="G117" s="1132" t="s">
        <v>328</v>
      </c>
      <c r="H117" s="1360">
        <v>251.90864999999997</v>
      </c>
      <c r="I117" s="1360">
        <v>251.90864999999997</v>
      </c>
      <c r="J117" s="1360">
        <v>251.90864999999997</v>
      </c>
      <c r="K117" s="1360">
        <v>251.90864999999997</v>
      </c>
      <c r="L117" s="1132" t="s">
        <v>564</v>
      </c>
      <c r="M117" s="1132" t="str">
        <f t="shared" si="54"/>
        <v>Nicor Gas PY11-PY14 Adjustable Goals Template_2025-03-01, Tab 4.3.3</v>
      </c>
      <c r="N117" s="1361">
        <v>19.917921113999995</v>
      </c>
      <c r="O117" s="1361">
        <v>19.917921113999995</v>
      </c>
      <c r="P117" s="1361">
        <v>19.917921113999995</v>
      </c>
      <c r="Q117" s="1361">
        <v>19.917921113999995</v>
      </c>
      <c r="R117" s="1781">
        <v>0.86</v>
      </c>
      <c r="S117" s="1781">
        <v>0.86</v>
      </c>
      <c r="T117" s="1781">
        <v>0.86</v>
      </c>
      <c r="U117" s="1781">
        <v>0.86</v>
      </c>
      <c r="V117" s="1781">
        <v>0.86</v>
      </c>
      <c r="W117" s="1781">
        <v>0.86</v>
      </c>
      <c r="X117" s="1781">
        <v>0.86</v>
      </c>
      <c r="Y117" s="1781">
        <v>0.86</v>
      </c>
      <c r="Z117" s="1359">
        <v>1</v>
      </c>
      <c r="AA117" s="1781">
        <f t="shared" si="55"/>
        <v>0.86</v>
      </c>
      <c r="AB117" s="1781">
        <f t="shared" si="56"/>
        <v>0.86</v>
      </c>
      <c r="AC117" s="1781">
        <f t="shared" si="57"/>
        <v>0.86</v>
      </c>
      <c r="AD117" s="1781">
        <f t="shared" si="58"/>
        <v>0.86</v>
      </c>
      <c r="AE117" s="1781">
        <f t="shared" si="59"/>
        <v>0.86</v>
      </c>
      <c r="AF117" s="1781">
        <f t="shared" si="60"/>
        <v>0.86</v>
      </c>
      <c r="AG117" s="1781">
        <f t="shared" si="61"/>
        <v>0.86</v>
      </c>
      <c r="AH117" s="1781">
        <f t="shared" si="62"/>
        <v>0.86</v>
      </c>
      <c r="AI117" s="1362">
        <f t="shared" si="93"/>
        <v>4315.047092025442</v>
      </c>
      <c r="AJ117" s="1362">
        <f t="shared" si="94"/>
        <v>4315.047092025442</v>
      </c>
      <c r="AK117" s="1362">
        <f t="shared" si="95"/>
        <v>4315.047092025442</v>
      </c>
      <c r="AL117" s="1362">
        <f t="shared" si="96"/>
        <v>4315.047092025442</v>
      </c>
      <c r="AM117" s="1362">
        <f t="shared" si="97"/>
        <v>17260.188368101768</v>
      </c>
      <c r="AN117" s="1132" t="str">
        <f t="shared" si="63"/>
        <v>CI-HW_-HWE-LFSH-V05-190101</v>
      </c>
      <c r="AO117" s="1132" t="str">
        <f t="shared" si="64"/>
        <v>Nicor Gas PY11-PY14 Adjustable Goals Template_2025-03-01, Tab 4.3.3</v>
      </c>
      <c r="AP117" s="2568">
        <f>'4.3.3'!$O$4</f>
        <v>21.634983278999997</v>
      </c>
      <c r="AQ117" s="2568" t="s">
        <v>557</v>
      </c>
      <c r="AR117" s="2505">
        <f t="shared" si="65"/>
        <v>4687.0339103034967</v>
      </c>
      <c r="AS117" s="2505">
        <f t="shared" si="66"/>
        <v>371.98681827805467</v>
      </c>
      <c r="AT117" s="1132" t="str">
        <f t="shared" si="67"/>
        <v>CI-HW_-HWE-LFSH-V05-190101</v>
      </c>
      <c r="AU117" s="1132" t="str">
        <f t="shared" si="68"/>
        <v>Nicor Gas PY11-PY14 Adjustable Goals Template_2025-03-01, Tab 4.3.3</v>
      </c>
      <c r="AV117" s="2505">
        <f>'4.3.3'!$O$4</f>
        <v>21.634983278999997</v>
      </c>
      <c r="AW117" s="2568" t="s">
        <v>557</v>
      </c>
      <c r="AX117" s="1362">
        <f t="shared" si="69"/>
        <v>4687.0339103034967</v>
      </c>
      <c r="AY117" s="1360">
        <f t="shared" si="70"/>
        <v>371.98681827805467</v>
      </c>
      <c r="AZ117" s="1132" t="str">
        <f t="shared" si="71"/>
        <v>CI-HW_-HWE-LFSH-V05-190101</v>
      </c>
      <c r="BA117" s="1132" t="str">
        <f t="shared" si="72"/>
        <v>Nicor Gas PY11-PY14 Adjustable Goals Template_2025-03-01, Tab 4.3.3</v>
      </c>
      <c r="BB117" s="2505">
        <f>'4.3.3'!$O$4</f>
        <v>21.634983278999997</v>
      </c>
      <c r="BC117" s="2568" t="s">
        <v>557</v>
      </c>
      <c r="BD117" s="1362">
        <f t="shared" si="73"/>
        <v>4687.0339103034967</v>
      </c>
      <c r="BE117" s="1360">
        <f t="shared" si="74"/>
        <v>371.98681827805467</v>
      </c>
      <c r="BF117" s="1132" t="str">
        <f t="shared" si="75"/>
        <v>CI-HW_-HWE-LFSH-V05-190101</v>
      </c>
      <c r="BG117" s="1132" t="str">
        <f t="shared" si="76"/>
        <v>Nicor Gas PY11-PY14 Adjustable Goals Template_2025-03-01, Tab 4.3.3</v>
      </c>
      <c r="BH117" s="2505">
        <f>'4.3.3'!$O$4</f>
        <v>21.634983278999997</v>
      </c>
      <c r="BI117" s="2568" t="s">
        <v>557</v>
      </c>
      <c r="BJ117" s="1362">
        <f t="shared" si="98"/>
        <v>4687.0339103034967</v>
      </c>
      <c r="BK117" s="1360">
        <f t="shared" si="77"/>
        <v>371.98681827805467</v>
      </c>
      <c r="BL117" s="1601">
        <f t="shared" si="78"/>
        <v>4687.0339103034967</v>
      </c>
      <c r="BM117" s="1601">
        <f t="shared" si="79"/>
        <v>4687.0339103034967</v>
      </c>
      <c r="BN117" s="1601">
        <f t="shared" si="80"/>
        <v>4687.0339103034967</v>
      </c>
      <c r="BO117" s="1601">
        <f t="shared" si="81"/>
        <v>4687.0339103034967</v>
      </c>
      <c r="BP117" s="1602">
        <f t="shared" si="82"/>
        <v>18748.135641213987</v>
      </c>
      <c r="BQ117" s="1602"/>
      <c r="BR117" s="1602" t="s">
        <v>563</v>
      </c>
      <c r="BS117" s="1602">
        <v>0</v>
      </c>
      <c r="BT117" s="1602">
        <v>10</v>
      </c>
      <c r="BU117" s="1602">
        <v>10</v>
      </c>
      <c r="BV117" s="1602">
        <v>10</v>
      </c>
      <c r="BW117" s="1602">
        <v>10</v>
      </c>
      <c r="BX117" s="1362">
        <f t="shared" si="99"/>
        <v>43150.470920254418</v>
      </c>
      <c r="BY117" s="1362">
        <f t="shared" si="100"/>
        <v>43150.470920254418</v>
      </c>
      <c r="BZ117" s="1362">
        <f t="shared" si="101"/>
        <v>43150.470920254418</v>
      </c>
      <c r="CA117" s="1362">
        <f t="shared" si="102"/>
        <v>43150.470920254418</v>
      </c>
      <c r="CB117" s="1362">
        <f t="shared" si="103"/>
        <v>172601.88368101767</v>
      </c>
      <c r="CC117" s="1360">
        <v>10</v>
      </c>
      <c r="CD117" s="1360">
        <v>10</v>
      </c>
      <c r="CE117" s="1360">
        <v>10</v>
      </c>
      <c r="CF117" s="1360">
        <v>10</v>
      </c>
      <c r="CG117" s="1604">
        <f t="shared" si="83"/>
        <v>46870.339103034967</v>
      </c>
      <c r="CH117" s="1604">
        <f t="shared" si="84"/>
        <v>46870.339103034967</v>
      </c>
      <c r="CI117" s="1604">
        <f t="shared" si="85"/>
        <v>46870.339103034967</v>
      </c>
      <c r="CJ117" s="1604">
        <f t="shared" si="86"/>
        <v>46870.339103034967</v>
      </c>
      <c r="CK117" s="1521">
        <f t="shared" si="87"/>
        <v>187481.35641213987</v>
      </c>
      <c r="CL117" s="1132">
        <v>110</v>
      </c>
      <c r="CM117" s="1132" t="s">
        <v>328</v>
      </c>
      <c r="CN117" s="1359">
        <v>0</v>
      </c>
      <c r="CO117" s="1360">
        <v>251.90864999999997</v>
      </c>
      <c r="CP117" s="1360">
        <v>251.90864999999997</v>
      </c>
      <c r="CQ117" s="1360">
        <v>251.90864999999997</v>
      </c>
      <c r="CR117" s="1360">
        <v>251.90864999999997</v>
      </c>
      <c r="CS117" s="1362">
        <f t="shared" si="88"/>
        <v>4687.0339103034967</v>
      </c>
      <c r="CT117" s="1362">
        <f t="shared" si="89"/>
        <v>4687.0339103034967</v>
      </c>
      <c r="CU117" s="1362">
        <f t="shared" si="90"/>
        <v>4687.0339103034967</v>
      </c>
      <c r="CV117" s="1362">
        <f t="shared" si="91"/>
        <v>4687.0339103034967</v>
      </c>
      <c r="CW117" s="1362">
        <f t="shared" si="92"/>
        <v>18748.135641213987</v>
      </c>
      <c r="CY117" s="2887"/>
      <c r="DN117" s="1715"/>
    </row>
    <row r="118" spans="1:118" s="1143" customFormat="1" ht="46.5" x14ac:dyDescent="0.35">
      <c r="A118" s="1132" t="s">
        <v>101</v>
      </c>
      <c r="B118" s="1132" t="s">
        <v>424</v>
      </c>
      <c r="C118" s="1132" t="s">
        <v>565</v>
      </c>
      <c r="D118" s="1359" t="s">
        <v>566</v>
      </c>
      <c r="E118" s="1359">
        <v>1</v>
      </c>
      <c r="F118" s="2808" t="s">
        <v>567</v>
      </c>
      <c r="G118" s="1132" t="s">
        <v>337</v>
      </c>
      <c r="H118" s="1360">
        <v>24.338999999999999</v>
      </c>
      <c r="I118" s="1360">
        <v>24.338999999999999</v>
      </c>
      <c r="J118" s="1360">
        <v>24.338999999999999</v>
      </c>
      <c r="K118" s="1360">
        <v>24.338999999999999</v>
      </c>
      <c r="L118" s="1132" t="s">
        <v>568</v>
      </c>
      <c r="M118" s="1132" t="str">
        <f t="shared" si="54"/>
        <v>Nicor Gas PY11-PY14 Adjustable Goals Template_2025-03-01, Tab 4.8.16</v>
      </c>
      <c r="N118" s="1361">
        <v>10.32</v>
      </c>
      <c r="O118" s="1361">
        <v>10.32</v>
      </c>
      <c r="P118" s="1361">
        <v>10.32</v>
      </c>
      <c r="Q118" s="1361">
        <v>10.32</v>
      </c>
      <c r="R118" s="1781">
        <v>0.86</v>
      </c>
      <c r="S118" s="1781">
        <v>0.86</v>
      </c>
      <c r="T118" s="1781">
        <v>0.86</v>
      </c>
      <c r="U118" s="1781">
        <v>0.86</v>
      </c>
      <c r="V118" s="1781">
        <v>0.86</v>
      </c>
      <c r="W118" s="1781">
        <v>0.86</v>
      </c>
      <c r="X118" s="1781">
        <v>0.86</v>
      </c>
      <c r="Y118" s="1781">
        <v>0.86</v>
      </c>
      <c r="Z118" s="1359">
        <v>1</v>
      </c>
      <c r="AA118" s="1781">
        <f t="shared" si="55"/>
        <v>0.86</v>
      </c>
      <c r="AB118" s="1781">
        <f t="shared" si="56"/>
        <v>0.86</v>
      </c>
      <c r="AC118" s="1781">
        <f t="shared" si="57"/>
        <v>0.86</v>
      </c>
      <c r="AD118" s="1781">
        <f t="shared" si="58"/>
        <v>0.86</v>
      </c>
      <c r="AE118" s="1781">
        <f t="shared" si="59"/>
        <v>0.86</v>
      </c>
      <c r="AF118" s="1781">
        <f t="shared" si="60"/>
        <v>0.86</v>
      </c>
      <c r="AG118" s="1781">
        <f t="shared" si="61"/>
        <v>0.86</v>
      </c>
      <c r="AH118" s="1781">
        <f t="shared" si="62"/>
        <v>0.86</v>
      </c>
      <c r="AI118" s="1362">
        <f t="shared" si="93"/>
        <v>216.01349279999997</v>
      </c>
      <c r="AJ118" s="1362">
        <f t="shared" si="94"/>
        <v>216.01349279999997</v>
      </c>
      <c r="AK118" s="1362">
        <f t="shared" si="95"/>
        <v>216.01349279999997</v>
      </c>
      <c r="AL118" s="1362">
        <f t="shared" si="96"/>
        <v>216.01349279999997</v>
      </c>
      <c r="AM118" s="1362">
        <f t="shared" si="97"/>
        <v>864.05397119999986</v>
      </c>
      <c r="AN118" s="1132" t="str">
        <f t="shared" si="63"/>
        <v>CI-MSC-WTST-V01-200101</v>
      </c>
      <c r="AO118" s="1132" t="str">
        <f t="shared" si="64"/>
        <v>Nicor Gas PY11-PY14 Adjustable Goals Template_2025-03-01, Tab 4.8.16</v>
      </c>
      <c r="AP118" s="2505">
        <f>'4.8.16'!$J$5</f>
        <v>10.32</v>
      </c>
      <c r="AQ118" s="2505"/>
      <c r="AR118" s="2505">
        <f t="shared" si="65"/>
        <v>216.01349279999997</v>
      </c>
      <c r="AS118" s="2505">
        <f t="shared" si="66"/>
        <v>0</v>
      </c>
      <c r="AT118" s="1132" t="str">
        <f t="shared" si="67"/>
        <v>CI-MSC-WTST-V01-200101</v>
      </c>
      <c r="AU118" s="1132" t="str">
        <f t="shared" si="68"/>
        <v>Nicor Gas PY11-PY14 Adjustable Goals Template_2025-03-01, Tab 4.8.16</v>
      </c>
      <c r="AV118" s="2505">
        <f>'4.8.16'!$J$5</f>
        <v>10.32</v>
      </c>
      <c r="AW118" s="2505"/>
      <c r="AX118" s="1362">
        <f t="shared" si="69"/>
        <v>216.01349279999997</v>
      </c>
      <c r="AY118" s="1360">
        <f t="shared" si="70"/>
        <v>0</v>
      </c>
      <c r="AZ118" s="1132" t="str">
        <f t="shared" si="71"/>
        <v>CI-MSC-WTST-V01-200101</v>
      </c>
      <c r="BA118" s="1132" t="str">
        <f t="shared" si="72"/>
        <v>Nicor Gas PY11-PY14 Adjustable Goals Template_2025-03-01, Tab 4.8.16</v>
      </c>
      <c r="BB118" s="2505">
        <f>'4.8.16'!$J$5</f>
        <v>10.32</v>
      </c>
      <c r="BC118" s="2505"/>
      <c r="BD118" s="1362">
        <f t="shared" si="73"/>
        <v>216.01349279999997</v>
      </c>
      <c r="BE118" s="1360">
        <f t="shared" si="74"/>
        <v>0</v>
      </c>
      <c r="BF118" s="1132" t="str">
        <f t="shared" si="75"/>
        <v>CI-MSC-WTST-V01-200101</v>
      </c>
      <c r="BG118" s="1132" t="str">
        <f t="shared" si="76"/>
        <v>Nicor Gas PY11-PY14 Adjustable Goals Template_2025-03-01, Tab 4.8.16</v>
      </c>
      <c r="BH118" s="2505">
        <f>'4.8.16'!$J$5</f>
        <v>10.32</v>
      </c>
      <c r="BI118" s="2505"/>
      <c r="BJ118" s="1362">
        <f t="shared" si="98"/>
        <v>216.01349279999997</v>
      </c>
      <c r="BK118" s="1360">
        <f t="shared" si="77"/>
        <v>0</v>
      </c>
      <c r="BL118" s="1601">
        <f t="shared" si="78"/>
        <v>216.01349279999997</v>
      </c>
      <c r="BM118" s="1601">
        <f t="shared" si="79"/>
        <v>216.01349279999997</v>
      </c>
      <c r="BN118" s="1601">
        <f t="shared" si="80"/>
        <v>216.01349279999997</v>
      </c>
      <c r="BO118" s="1601">
        <f t="shared" si="81"/>
        <v>216.01349279999997</v>
      </c>
      <c r="BP118" s="1602">
        <f t="shared" si="82"/>
        <v>864.05397119999986</v>
      </c>
      <c r="BQ118" s="1602"/>
      <c r="BR118" s="1602" t="s">
        <v>567</v>
      </c>
      <c r="BS118" s="1602">
        <v>0</v>
      </c>
      <c r="BT118" s="1602">
        <v>10</v>
      </c>
      <c r="BU118" s="1602">
        <v>10</v>
      </c>
      <c r="BV118" s="1602">
        <v>10</v>
      </c>
      <c r="BW118" s="1602">
        <v>10</v>
      </c>
      <c r="BX118" s="1362">
        <f t="shared" si="99"/>
        <v>2160.1349279999995</v>
      </c>
      <c r="BY118" s="1362">
        <f t="shared" si="100"/>
        <v>2160.1349279999995</v>
      </c>
      <c r="BZ118" s="1362">
        <f t="shared" si="101"/>
        <v>2160.1349279999995</v>
      </c>
      <c r="CA118" s="1362">
        <f t="shared" si="102"/>
        <v>2160.1349279999995</v>
      </c>
      <c r="CB118" s="1362">
        <f t="shared" si="103"/>
        <v>8640.539711999998</v>
      </c>
      <c r="CC118" s="1360">
        <v>10</v>
      </c>
      <c r="CD118" s="1360">
        <v>10</v>
      </c>
      <c r="CE118" s="1360">
        <v>10</v>
      </c>
      <c r="CF118" s="1360">
        <v>10</v>
      </c>
      <c r="CG118" s="1604">
        <f t="shared" si="83"/>
        <v>2160.1349279999999</v>
      </c>
      <c r="CH118" s="1604">
        <f t="shared" si="84"/>
        <v>2160.1349279999999</v>
      </c>
      <c r="CI118" s="1604">
        <f t="shared" si="85"/>
        <v>2160.1349279999999</v>
      </c>
      <c r="CJ118" s="1604">
        <f t="shared" si="86"/>
        <v>2160.1349279999999</v>
      </c>
      <c r="CK118" s="1521">
        <f t="shared" si="87"/>
        <v>8640.5397119999998</v>
      </c>
      <c r="CL118" s="1132">
        <v>111</v>
      </c>
      <c r="CM118" s="1132" t="s">
        <v>337</v>
      </c>
      <c r="CN118" s="1359">
        <v>0</v>
      </c>
      <c r="CO118" s="1360">
        <v>24.338999999999999</v>
      </c>
      <c r="CP118" s="1360">
        <v>24.338999999999999</v>
      </c>
      <c r="CQ118" s="1360">
        <v>24.338999999999999</v>
      </c>
      <c r="CR118" s="1360">
        <v>24.338999999999999</v>
      </c>
      <c r="CS118" s="1362">
        <f t="shared" si="88"/>
        <v>216.01349279999997</v>
      </c>
      <c r="CT118" s="1362">
        <f t="shared" si="89"/>
        <v>216.01349279999997</v>
      </c>
      <c r="CU118" s="1362">
        <f t="shared" si="90"/>
        <v>216.01349279999997</v>
      </c>
      <c r="CV118" s="1362">
        <f t="shared" si="91"/>
        <v>216.01349279999997</v>
      </c>
      <c r="CW118" s="1362">
        <f t="shared" si="92"/>
        <v>864.05397119999986</v>
      </c>
      <c r="CY118" s="2887"/>
      <c r="DN118" s="1715"/>
    </row>
    <row r="119" spans="1:118" s="1143" customFormat="1" ht="46.5" x14ac:dyDescent="0.35">
      <c r="A119" s="1132" t="s">
        <v>101</v>
      </c>
      <c r="B119" s="1132" t="s">
        <v>424</v>
      </c>
      <c r="C119" s="1132" t="s">
        <v>569</v>
      </c>
      <c r="D119" s="1359" t="s">
        <v>570</v>
      </c>
      <c r="E119" s="1359">
        <v>1</v>
      </c>
      <c r="F119" s="2564" t="s">
        <v>571</v>
      </c>
      <c r="G119" s="1132" t="s">
        <v>356</v>
      </c>
      <c r="H119" s="1360">
        <v>91.271249999999995</v>
      </c>
      <c r="I119" s="1360">
        <v>91.271249999999995</v>
      </c>
      <c r="J119" s="1360">
        <v>91.271249999999995</v>
      </c>
      <c r="K119" s="1360">
        <v>91.271249999999995</v>
      </c>
      <c r="L119" s="1132" t="s">
        <v>572</v>
      </c>
      <c r="M119" s="1132" t="str">
        <f t="shared" si="54"/>
        <v>Nicor Gas PY11-PY14 Adjustable Goals Template_2025-03-01, Tab 4.4.47</v>
      </c>
      <c r="N119" s="1361">
        <v>55</v>
      </c>
      <c r="O119" s="1361">
        <v>55</v>
      </c>
      <c r="P119" s="1361">
        <v>55</v>
      </c>
      <c r="Q119" s="1361">
        <v>55</v>
      </c>
      <c r="R119" s="1781">
        <v>0.86</v>
      </c>
      <c r="S119" s="1781">
        <v>0.86</v>
      </c>
      <c r="T119" s="1781">
        <v>0.86</v>
      </c>
      <c r="U119" s="1781">
        <v>0.86</v>
      </c>
      <c r="V119" s="1781">
        <v>0.86</v>
      </c>
      <c r="W119" s="1781">
        <v>0.86</v>
      </c>
      <c r="X119" s="1781">
        <v>0.86</v>
      </c>
      <c r="Y119" s="1781">
        <v>0.86</v>
      </c>
      <c r="Z119" s="1359">
        <v>1</v>
      </c>
      <c r="AA119" s="1781">
        <f t="shared" si="55"/>
        <v>0.86</v>
      </c>
      <c r="AB119" s="1781">
        <f t="shared" si="56"/>
        <v>0.86</v>
      </c>
      <c r="AC119" s="1781">
        <f t="shared" si="57"/>
        <v>0.86</v>
      </c>
      <c r="AD119" s="1781">
        <f t="shared" si="58"/>
        <v>0.86</v>
      </c>
      <c r="AE119" s="1781">
        <f t="shared" si="59"/>
        <v>0.86</v>
      </c>
      <c r="AF119" s="1781">
        <f t="shared" si="60"/>
        <v>0.86</v>
      </c>
      <c r="AG119" s="1781">
        <f t="shared" si="61"/>
        <v>0.86</v>
      </c>
      <c r="AH119" s="1781">
        <f t="shared" si="62"/>
        <v>0.86</v>
      </c>
      <c r="AI119" s="1362">
        <f t="shared" si="93"/>
        <v>4317.1301249999997</v>
      </c>
      <c r="AJ119" s="1362">
        <f t="shared" si="94"/>
        <v>4317.1301249999997</v>
      </c>
      <c r="AK119" s="1362">
        <f t="shared" si="95"/>
        <v>4317.1301249999997</v>
      </c>
      <c r="AL119" s="1362">
        <f t="shared" si="96"/>
        <v>4317.1301249999997</v>
      </c>
      <c r="AM119" s="1362">
        <f t="shared" si="97"/>
        <v>17268.520499999999</v>
      </c>
      <c r="AN119" s="1132" t="str">
        <f t="shared" si="63"/>
        <v>CI-HVC-ADUV-V01-200101</v>
      </c>
      <c r="AO119" s="1132" t="str">
        <f t="shared" si="64"/>
        <v>Nicor Gas PY11-PY14 Adjustable Goals Template_2025-03-01, Tab 4.4.47</v>
      </c>
      <c r="AP119" s="2505">
        <f>'4.4.47'!$J$4</f>
        <v>55</v>
      </c>
      <c r="AQ119" s="2505"/>
      <c r="AR119" s="2505">
        <f t="shared" si="65"/>
        <v>4317.1301249999997</v>
      </c>
      <c r="AS119" s="2505">
        <f t="shared" si="66"/>
        <v>0</v>
      </c>
      <c r="AT119" s="1132" t="str">
        <f t="shared" si="67"/>
        <v>CI-HVC-ADUV-V01-200101</v>
      </c>
      <c r="AU119" s="1132" t="str">
        <f t="shared" si="68"/>
        <v>Nicor Gas PY11-PY14 Adjustable Goals Template_2025-03-01, Tab 4.4.47</v>
      </c>
      <c r="AV119" s="2505">
        <f>'4.4.47'!$J$4</f>
        <v>55</v>
      </c>
      <c r="AW119" s="2505"/>
      <c r="AX119" s="1362">
        <f t="shared" si="69"/>
        <v>4317.1301249999997</v>
      </c>
      <c r="AY119" s="1360">
        <f t="shared" si="70"/>
        <v>0</v>
      </c>
      <c r="AZ119" s="1132" t="str">
        <f t="shared" si="71"/>
        <v>CI-HVC-ADUV-V01-200101</v>
      </c>
      <c r="BA119" s="1132" t="str">
        <f t="shared" si="72"/>
        <v>Nicor Gas PY11-PY14 Adjustable Goals Template_2025-03-01, Tab 4.4.47</v>
      </c>
      <c r="BB119" s="2505">
        <f>'4.4.47'!$J$4</f>
        <v>55</v>
      </c>
      <c r="BC119" s="2505"/>
      <c r="BD119" s="1362">
        <f t="shared" si="73"/>
        <v>4317.1301249999997</v>
      </c>
      <c r="BE119" s="1360">
        <f t="shared" si="74"/>
        <v>0</v>
      </c>
      <c r="BF119" s="1132" t="str">
        <f t="shared" si="75"/>
        <v>CI-HVC-ADUV-V01-200101</v>
      </c>
      <c r="BG119" s="1132" t="str">
        <f t="shared" si="76"/>
        <v>Nicor Gas PY11-PY14 Adjustable Goals Template_2025-03-01, Tab 4.4.47</v>
      </c>
      <c r="BH119" s="2505">
        <f>'4.4.47'!$J$4</f>
        <v>55</v>
      </c>
      <c r="BI119" s="2505"/>
      <c r="BJ119" s="1362">
        <f t="shared" si="98"/>
        <v>4317.1301249999997</v>
      </c>
      <c r="BK119" s="1360">
        <f t="shared" si="77"/>
        <v>0</v>
      </c>
      <c r="BL119" s="1601">
        <f t="shared" si="78"/>
        <v>4317.1301249999997</v>
      </c>
      <c r="BM119" s="1601">
        <f t="shared" si="79"/>
        <v>4317.1301249999997</v>
      </c>
      <c r="BN119" s="1601">
        <f t="shared" si="80"/>
        <v>4317.1301249999997</v>
      </c>
      <c r="BO119" s="1601">
        <f t="shared" si="81"/>
        <v>4317.1301249999997</v>
      </c>
      <c r="BP119" s="1602">
        <f t="shared" si="82"/>
        <v>17268.520499999999</v>
      </c>
      <c r="BQ119" s="1602"/>
      <c r="BR119" s="1602" t="s">
        <v>571</v>
      </c>
      <c r="BS119" s="1602">
        <v>0</v>
      </c>
      <c r="BT119" s="1602">
        <v>20</v>
      </c>
      <c r="BU119" s="1602">
        <v>20</v>
      </c>
      <c r="BV119" s="1602">
        <v>20</v>
      </c>
      <c r="BW119" s="1602">
        <v>20</v>
      </c>
      <c r="BX119" s="1362">
        <f t="shared" si="99"/>
        <v>86342.602499999994</v>
      </c>
      <c r="BY119" s="1362">
        <f t="shared" si="100"/>
        <v>86342.602499999994</v>
      </c>
      <c r="BZ119" s="1362">
        <f t="shared" si="101"/>
        <v>86342.602499999994</v>
      </c>
      <c r="CA119" s="1362">
        <f t="shared" si="102"/>
        <v>86342.602499999994</v>
      </c>
      <c r="CB119" s="1362">
        <f t="shared" si="103"/>
        <v>345370.41</v>
      </c>
      <c r="CC119" s="1360">
        <v>20</v>
      </c>
      <c r="CD119" s="1360">
        <v>20</v>
      </c>
      <c r="CE119" s="1360">
        <v>20</v>
      </c>
      <c r="CF119" s="1360">
        <v>20</v>
      </c>
      <c r="CG119" s="1604">
        <f t="shared" si="83"/>
        <v>86342.602499999994</v>
      </c>
      <c r="CH119" s="1604">
        <f t="shared" si="84"/>
        <v>86342.602499999994</v>
      </c>
      <c r="CI119" s="1604">
        <f t="shared" si="85"/>
        <v>86342.602499999994</v>
      </c>
      <c r="CJ119" s="1604">
        <f t="shared" si="86"/>
        <v>86342.602499999994</v>
      </c>
      <c r="CK119" s="1521">
        <f t="shared" si="87"/>
        <v>345370.41</v>
      </c>
      <c r="CL119" s="1132">
        <v>112</v>
      </c>
      <c r="CM119" s="1132" t="s">
        <v>356</v>
      </c>
      <c r="CN119" s="1359">
        <v>0</v>
      </c>
      <c r="CO119" s="1360">
        <v>91.271249999999995</v>
      </c>
      <c r="CP119" s="1360">
        <v>91.271249999999995</v>
      </c>
      <c r="CQ119" s="1360">
        <v>91.271249999999995</v>
      </c>
      <c r="CR119" s="1360">
        <v>91.271249999999995</v>
      </c>
      <c r="CS119" s="1362">
        <f t="shared" si="88"/>
        <v>4317.1301249999997</v>
      </c>
      <c r="CT119" s="1362">
        <f t="shared" si="89"/>
        <v>4317.1301249999997</v>
      </c>
      <c r="CU119" s="1362">
        <f t="shared" si="90"/>
        <v>4317.1301249999997</v>
      </c>
      <c r="CV119" s="1362">
        <f t="shared" si="91"/>
        <v>4317.1301249999997</v>
      </c>
      <c r="CW119" s="1362">
        <f t="shared" si="92"/>
        <v>17268.520499999999</v>
      </c>
      <c r="CY119" s="2887"/>
      <c r="DN119" s="1715"/>
    </row>
    <row r="120" spans="1:118" s="1143" customFormat="1" ht="46.5" x14ac:dyDescent="0.35">
      <c r="A120" s="1132" t="s">
        <v>101</v>
      </c>
      <c r="B120" s="1132" t="s">
        <v>424</v>
      </c>
      <c r="C120" s="1132" t="s">
        <v>569</v>
      </c>
      <c r="D120" s="1359" t="s">
        <v>570</v>
      </c>
      <c r="E120" s="1359">
        <v>1</v>
      </c>
      <c r="F120" s="2564" t="s">
        <v>571</v>
      </c>
      <c r="G120" s="1132" t="s">
        <v>356</v>
      </c>
      <c r="H120" s="1360">
        <v>30.423749999999998</v>
      </c>
      <c r="I120" s="1360">
        <v>30.423749999999998</v>
      </c>
      <c r="J120" s="1360">
        <v>30.423749999999998</v>
      </c>
      <c r="K120" s="1360">
        <v>30.423749999999998</v>
      </c>
      <c r="L120" s="1132" t="s">
        <v>572</v>
      </c>
      <c r="M120" s="1132" t="str">
        <f t="shared" si="54"/>
        <v>Nicor Gas PY11-PY14 Adjustable Goals Template_2025-03-01, Tab 4.4.47</v>
      </c>
      <c r="N120" s="1361">
        <v>55</v>
      </c>
      <c r="O120" s="1361">
        <v>55</v>
      </c>
      <c r="P120" s="1361">
        <v>55</v>
      </c>
      <c r="Q120" s="1361">
        <v>55</v>
      </c>
      <c r="R120" s="1781">
        <v>0.86</v>
      </c>
      <c r="S120" s="1781">
        <v>0.86</v>
      </c>
      <c r="T120" s="1781">
        <v>0.86</v>
      </c>
      <c r="U120" s="1781">
        <v>0.86</v>
      </c>
      <c r="V120" s="1781">
        <v>0.86</v>
      </c>
      <c r="W120" s="1781">
        <v>0.86</v>
      </c>
      <c r="X120" s="1781">
        <v>0.86</v>
      </c>
      <c r="Y120" s="1781">
        <v>0.86</v>
      </c>
      <c r="Z120" s="1359">
        <v>1</v>
      </c>
      <c r="AA120" s="1781">
        <f t="shared" si="55"/>
        <v>0.86</v>
      </c>
      <c r="AB120" s="1781">
        <f t="shared" si="56"/>
        <v>0.86</v>
      </c>
      <c r="AC120" s="1781">
        <f t="shared" si="57"/>
        <v>0.86</v>
      </c>
      <c r="AD120" s="1781">
        <f t="shared" si="58"/>
        <v>0.86</v>
      </c>
      <c r="AE120" s="1781">
        <f t="shared" si="59"/>
        <v>0.86</v>
      </c>
      <c r="AF120" s="1781">
        <f t="shared" si="60"/>
        <v>0.86</v>
      </c>
      <c r="AG120" s="1781">
        <f t="shared" si="61"/>
        <v>0.86</v>
      </c>
      <c r="AH120" s="1781">
        <f t="shared" si="62"/>
        <v>0.86</v>
      </c>
      <c r="AI120" s="1362">
        <f t="shared" si="93"/>
        <v>1439.043375</v>
      </c>
      <c r="AJ120" s="1362">
        <f t="shared" si="94"/>
        <v>1439.043375</v>
      </c>
      <c r="AK120" s="1362">
        <f t="shared" si="95"/>
        <v>1439.043375</v>
      </c>
      <c r="AL120" s="1362">
        <f t="shared" si="96"/>
        <v>1439.043375</v>
      </c>
      <c r="AM120" s="1362">
        <f t="shared" si="97"/>
        <v>5756.1734999999999</v>
      </c>
      <c r="AN120" s="1132" t="str">
        <f t="shared" si="63"/>
        <v>CI-HVC-ADUV-V01-200101</v>
      </c>
      <c r="AO120" s="1132" t="str">
        <f t="shared" si="64"/>
        <v>Nicor Gas PY11-PY14 Adjustable Goals Template_2025-03-01, Tab 4.4.47</v>
      </c>
      <c r="AP120" s="2505">
        <f>'4.4.47'!$J$4</f>
        <v>55</v>
      </c>
      <c r="AQ120" s="2505"/>
      <c r="AR120" s="2505">
        <f t="shared" si="65"/>
        <v>1439.043375</v>
      </c>
      <c r="AS120" s="2505">
        <f t="shared" si="66"/>
        <v>0</v>
      </c>
      <c r="AT120" s="1132" t="str">
        <f t="shared" si="67"/>
        <v>CI-HVC-ADUV-V01-200101</v>
      </c>
      <c r="AU120" s="1132" t="str">
        <f t="shared" si="68"/>
        <v>Nicor Gas PY11-PY14 Adjustable Goals Template_2025-03-01, Tab 4.4.47</v>
      </c>
      <c r="AV120" s="2505">
        <f>'4.4.47'!$J$4</f>
        <v>55</v>
      </c>
      <c r="AW120" s="2505"/>
      <c r="AX120" s="1362">
        <f t="shared" si="69"/>
        <v>1439.043375</v>
      </c>
      <c r="AY120" s="1360">
        <f t="shared" si="70"/>
        <v>0</v>
      </c>
      <c r="AZ120" s="1132" t="str">
        <f t="shared" si="71"/>
        <v>CI-HVC-ADUV-V01-200101</v>
      </c>
      <c r="BA120" s="1132" t="str">
        <f t="shared" si="72"/>
        <v>Nicor Gas PY11-PY14 Adjustable Goals Template_2025-03-01, Tab 4.4.47</v>
      </c>
      <c r="BB120" s="2505">
        <f>'4.4.47'!$J$4</f>
        <v>55</v>
      </c>
      <c r="BC120" s="2505"/>
      <c r="BD120" s="1362">
        <f t="shared" si="73"/>
        <v>1439.043375</v>
      </c>
      <c r="BE120" s="1360">
        <f t="shared" si="74"/>
        <v>0</v>
      </c>
      <c r="BF120" s="1132" t="str">
        <f t="shared" si="75"/>
        <v>CI-HVC-ADUV-V01-200101</v>
      </c>
      <c r="BG120" s="1132" t="str">
        <f t="shared" si="76"/>
        <v>Nicor Gas PY11-PY14 Adjustable Goals Template_2025-03-01, Tab 4.4.47</v>
      </c>
      <c r="BH120" s="2505">
        <f>'4.4.47'!$J$4</f>
        <v>55</v>
      </c>
      <c r="BI120" s="2505"/>
      <c r="BJ120" s="1362">
        <f t="shared" si="98"/>
        <v>1439.043375</v>
      </c>
      <c r="BK120" s="1360">
        <f t="shared" si="77"/>
        <v>0</v>
      </c>
      <c r="BL120" s="1601">
        <f t="shared" si="78"/>
        <v>1439.043375</v>
      </c>
      <c r="BM120" s="1601">
        <f t="shared" si="79"/>
        <v>1439.043375</v>
      </c>
      <c r="BN120" s="1601">
        <f t="shared" si="80"/>
        <v>1439.043375</v>
      </c>
      <c r="BO120" s="1601">
        <f t="shared" si="81"/>
        <v>1439.043375</v>
      </c>
      <c r="BP120" s="1602">
        <f t="shared" si="82"/>
        <v>5756.1734999999999</v>
      </c>
      <c r="BQ120" s="1602"/>
      <c r="BR120" s="1602" t="s">
        <v>571</v>
      </c>
      <c r="BS120" s="1602">
        <v>0</v>
      </c>
      <c r="BT120" s="1602">
        <v>20</v>
      </c>
      <c r="BU120" s="1602">
        <v>20</v>
      </c>
      <c r="BV120" s="1602">
        <v>20</v>
      </c>
      <c r="BW120" s="1602">
        <v>20</v>
      </c>
      <c r="BX120" s="1362">
        <f t="shared" si="99"/>
        <v>28780.8675</v>
      </c>
      <c r="BY120" s="1362">
        <f t="shared" si="100"/>
        <v>28780.8675</v>
      </c>
      <c r="BZ120" s="1362">
        <f t="shared" si="101"/>
        <v>28780.8675</v>
      </c>
      <c r="CA120" s="1362">
        <f t="shared" si="102"/>
        <v>28780.8675</v>
      </c>
      <c r="CB120" s="1362">
        <f t="shared" si="103"/>
        <v>115123.47</v>
      </c>
      <c r="CC120" s="1360">
        <v>20</v>
      </c>
      <c r="CD120" s="1360">
        <v>20</v>
      </c>
      <c r="CE120" s="1360">
        <v>20</v>
      </c>
      <c r="CF120" s="1360">
        <v>20</v>
      </c>
      <c r="CG120" s="1604">
        <f t="shared" si="83"/>
        <v>28780.8675</v>
      </c>
      <c r="CH120" s="1604">
        <f t="shared" si="84"/>
        <v>28780.8675</v>
      </c>
      <c r="CI120" s="1604">
        <f t="shared" si="85"/>
        <v>28780.8675</v>
      </c>
      <c r="CJ120" s="1604">
        <f t="shared" si="86"/>
        <v>28780.8675</v>
      </c>
      <c r="CK120" s="1521">
        <f t="shared" si="87"/>
        <v>115123.47</v>
      </c>
      <c r="CL120" s="1132">
        <v>113</v>
      </c>
      <c r="CM120" s="1132" t="s">
        <v>356</v>
      </c>
      <c r="CN120" s="1359">
        <v>0</v>
      </c>
      <c r="CO120" s="1360">
        <v>30.423749999999998</v>
      </c>
      <c r="CP120" s="1360">
        <v>30.423749999999998</v>
      </c>
      <c r="CQ120" s="1360">
        <v>30.423749999999998</v>
      </c>
      <c r="CR120" s="1360">
        <v>30.423749999999998</v>
      </c>
      <c r="CS120" s="1362">
        <f t="shared" si="88"/>
        <v>1439.043375</v>
      </c>
      <c r="CT120" s="1362">
        <f t="shared" si="89"/>
        <v>1439.043375</v>
      </c>
      <c r="CU120" s="1362">
        <f t="shared" si="90"/>
        <v>1439.043375</v>
      </c>
      <c r="CV120" s="1362">
        <f t="shared" si="91"/>
        <v>1439.043375</v>
      </c>
      <c r="CW120" s="1362">
        <f t="shared" si="92"/>
        <v>5756.1734999999999</v>
      </c>
      <c r="CY120" s="2887"/>
      <c r="DN120" s="1715"/>
    </row>
    <row r="121" spans="1:118" s="1143" customFormat="1" ht="46.5" x14ac:dyDescent="0.35">
      <c r="A121" s="1132" t="s">
        <v>101</v>
      </c>
      <c r="B121" s="1132" t="s">
        <v>424</v>
      </c>
      <c r="C121" s="1132" t="s">
        <v>573</v>
      </c>
      <c r="D121" s="1359" t="s">
        <v>574</v>
      </c>
      <c r="E121" s="1359">
        <v>1</v>
      </c>
      <c r="F121" s="2564" t="s">
        <v>575</v>
      </c>
      <c r="G121" s="1132" t="s">
        <v>356</v>
      </c>
      <c r="H121" s="1360">
        <v>60.847499999999997</v>
      </c>
      <c r="I121" s="1360">
        <v>60.847499999999997</v>
      </c>
      <c r="J121" s="1360">
        <v>60.847499999999997</v>
      </c>
      <c r="K121" s="1360">
        <v>60.847499999999997</v>
      </c>
      <c r="L121" s="1132" t="s">
        <v>576</v>
      </c>
      <c r="M121" s="1132" t="str">
        <f t="shared" si="54"/>
        <v>Nicor Gas PY11-PY14 Adjustable Goals Template_2025-03-01, Tab 4.8.12</v>
      </c>
      <c r="N121" s="1361">
        <v>48.53</v>
      </c>
      <c r="O121" s="1361">
        <v>48.53</v>
      </c>
      <c r="P121" s="1361">
        <v>48.53</v>
      </c>
      <c r="Q121" s="1361">
        <v>48.53</v>
      </c>
      <c r="R121" s="1781">
        <v>0.86</v>
      </c>
      <c r="S121" s="1781">
        <v>0.86</v>
      </c>
      <c r="T121" s="1781">
        <v>0.86</v>
      </c>
      <c r="U121" s="1781">
        <v>0.86</v>
      </c>
      <c r="V121" s="1781">
        <v>0.86</v>
      </c>
      <c r="W121" s="1781">
        <v>0.86</v>
      </c>
      <c r="X121" s="1781">
        <v>0.86</v>
      </c>
      <c r="Y121" s="1781">
        <v>0.86</v>
      </c>
      <c r="Z121" s="1359">
        <v>1</v>
      </c>
      <c r="AA121" s="1781">
        <f t="shared" si="55"/>
        <v>0.86</v>
      </c>
      <c r="AB121" s="1781">
        <f t="shared" si="56"/>
        <v>0.86</v>
      </c>
      <c r="AC121" s="1781">
        <f t="shared" si="57"/>
        <v>0.86</v>
      </c>
      <c r="AD121" s="1781">
        <f t="shared" si="58"/>
        <v>0.86</v>
      </c>
      <c r="AE121" s="1781">
        <f t="shared" si="59"/>
        <v>0.86</v>
      </c>
      <c r="AF121" s="1781">
        <f t="shared" si="60"/>
        <v>0.86</v>
      </c>
      <c r="AG121" s="1781">
        <f t="shared" si="61"/>
        <v>0.86</v>
      </c>
      <c r="AH121" s="1781">
        <f t="shared" si="62"/>
        <v>0.86</v>
      </c>
      <c r="AI121" s="1362">
        <f t="shared" si="93"/>
        <v>2539.5190904999999</v>
      </c>
      <c r="AJ121" s="1362">
        <f t="shared" si="94"/>
        <v>2539.5190904999999</v>
      </c>
      <c r="AK121" s="1362">
        <f t="shared" si="95"/>
        <v>2539.5190904999999</v>
      </c>
      <c r="AL121" s="1362">
        <f t="shared" si="96"/>
        <v>2539.5190904999999</v>
      </c>
      <c r="AM121" s="1362">
        <f t="shared" si="97"/>
        <v>10158.076362</v>
      </c>
      <c r="AN121" s="1132" t="str">
        <f t="shared" si="63"/>
        <v>CI-MSC-SLDH-V01-200101</v>
      </c>
      <c r="AO121" s="1132" t="str">
        <f t="shared" si="64"/>
        <v>Nicor Gas PY11-PY14 Adjustable Goals Template_2025-03-01, Tab 4.8.12</v>
      </c>
      <c r="AP121" s="2505">
        <f>'4.8.12'!$K$4</f>
        <v>48.53</v>
      </c>
      <c r="AQ121" s="2505"/>
      <c r="AR121" s="2505">
        <f t="shared" si="65"/>
        <v>2539.5190904999999</v>
      </c>
      <c r="AS121" s="2505">
        <f t="shared" si="66"/>
        <v>0</v>
      </c>
      <c r="AT121" s="1132" t="str">
        <f t="shared" si="67"/>
        <v>CI-MSC-SLDH-V01-200101</v>
      </c>
      <c r="AU121" s="1132" t="str">
        <f t="shared" si="68"/>
        <v>Nicor Gas PY11-PY14 Adjustable Goals Template_2025-03-01, Tab 4.8.12</v>
      </c>
      <c r="AV121" s="2505">
        <f>'4.8.12'!$K$4</f>
        <v>48.53</v>
      </c>
      <c r="AW121" s="2505"/>
      <c r="AX121" s="1362">
        <f t="shared" si="69"/>
        <v>2539.5190904999999</v>
      </c>
      <c r="AY121" s="1360">
        <f t="shared" si="70"/>
        <v>0</v>
      </c>
      <c r="AZ121" s="1132" t="str">
        <f t="shared" si="71"/>
        <v>CI-MSC-SLDH-V01-200101</v>
      </c>
      <c r="BA121" s="1132" t="str">
        <f t="shared" si="72"/>
        <v>Nicor Gas PY11-PY14 Adjustable Goals Template_2025-03-01, Tab 4.8.12</v>
      </c>
      <c r="BB121" s="2505">
        <f>'4.8.12'!$K$4</f>
        <v>48.53</v>
      </c>
      <c r="BC121" s="2505"/>
      <c r="BD121" s="1362">
        <f t="shared" si="73"/>
        <v>2539.5190904999999</v>
      </c>
      <c r="BE121" s="1360">
        <f t="shared" si="74"/>
        <v>0</v>
      </c>
      <c r="BF121" s="1132" t="str">
        <f t="shared" si="75"/>
        <v>CI-MSC-SLDH-V01-200101</v>
      </c>
      <c r="BG121" s="1132" t="str">
        <f t="shared" si="76"/>
        <v>Nicor Gas PY11-PY14 Adjustable Goals Template_2025-03-01, Tab 4.8.12</v>
      </c>
      <c r="BH121" s="2505">
        <f>'4.8.12'!$K$4</f>
        <v>48.53</v>
      </c>
      <c r="BI121" s="2505"/>
      <c r="BJ121" s="1362">
        <f t="shared" si="98"/>
        <v>2539.5190904999999</v>
      </c>
      <c r="BK121" s="1360">
        <f t="shared" si="77"/>
        <v>0</v>
      </c>
      <c r="BL121" s="1601">
        <f t="shared" si="78"/>
        <v>2539.5190904999999</v>
      </c>
      <c r="BM121" s="1601">
        <f t="shared" si="79"/>
        <v>2539.5190904999999</v>
      </c>
      <c r="BN121" s="1601">
        <f t="shared" si="80"/>
        <v>2539.5190904999999</v>
      </c>
      <c r="BO121" s="1601">
        <f t="shared" si="81"/>
        <v>2539.5190904999999</v>
      </c>
      <c r="BP121" s="1602">
        <f t="shared" si="82"/>
        <v>10158.076362</v>
      </c>
      <c r="BQ121" s="1602"/>
      <c r="BR121" s="1602" t="s">
        <v>575</v>
      </c>
      <c r="BS121" s="1602">
        <v>0</v>
      </c>
      <c r="BT121" s="1602">
        <v>20</v>
      </c>
      <c r="BU121" s="1602">
        <v>20</v>
      </c>
      <c r="BV121" s="1602">
        <v>20</v>
      </c>
      <c r="BW121" s="1602">
        <v>20</v>
      </c>
      <c r="BX121" s="1362">
        <f t="shared" si="99"/>
        <v>50790.381809999999</v>
      </c>
      <c r="BY121" s="1362">
        <f t="shared" si="100"/>
        <v>50790.381809999999</v>
      </c>
      <c r="BZ121" s="1362">
        <f t="shared" si="101"/>
        <v>50790.381809999999</v>
      </c>
      <c r="CA121" s="1362">
        <f t="shared" si="102"/>
        <v>50790.381809999999</v>
      </c>
      <c r="CB121" s="1362">
        <f t="shared" si="103"/>
        <v>203161.52724</v>
      </c>
      <c r="CC121" s="1360">
        <v>20</v>
      </c>
      <c r="CD121" s="1360">
        <v>20</v>
      </c>
      <c r="CE121" s="1360">
        <v>20</v>
      </c>
      <c r="CF121" s="1360">
        <v>20</v>
      </c>
      <c r="CG121" s="1604">
        <f t="shared" si="83"/>
        <v>50790.381809999999</v>
      </c>
      <c r="CH121" s="1604">
        <f t="shared" si="84"/>
        <v>50790.381809999999</v>
      </c>
      <c r="CI121" s="1604">
        <f t="shared" si="85"/>
        <v>50790.381809999999</v>
      </c>
      <c r="CJ121" s="1604">
        <f t="shared" si="86"/>
        <v>50790.381809999999</v>
      </c>
      <c r="CK121" s="1521">
        <f t="shared" si="87"/>
        <v>203161.52724</v>
      </c>
      <c r="CL121" s="1132">
        <v>114</v>
      </c>
      <c r="CM121" s="1132" t="s">
        <v>356</v>
      </c>
      <c r="CN121" s="1359">
        <v>0</v>
      </c>
      <c r="CO121" s="1360">
        <v>60.847499999999997</v>
      </c>
      <c r="CP121" s="1360">
        <v>60.847499999999997</v>
      </c>
      <c r="CQ121" s="1360">
        <v>60.847499999999997</v>
      </c>
      <c r="CR121" s="1360">
        <v>60.847499999999997</v>
      </c>
      <c r="CS121" s="1362">
        <f t="shared" si="88"/>
        <v>2539.5190904999999</v>
      </c>
      <c r="CT121" s="1362">
        <f t="shared" si="89"/>
        <v>2539.5190904999999</v>
      </c>
      <c r="CU121" s="1362">
        <f t="shared" si="90"/>
        <v>2539.5190904999999</v>
      </c>
      <c r="CV121" s="1362">
        <f t="shared" si="91"/>
        <v>2539.5190904999999</v>
      </c>
      <c r="CW121" s="1362">
        <f t="shared" si="92"/>
        <v>10158.076362</v>
      </c>
      <c r="CY121" s="2887"/>
      <c r="DN121" s="1715"/>
    </row>
    <row r="122" spans="1:118" s="1143" customFormat="1" ht="46.5" x14ac:dyDescent="0.35">
      <c r="A122" s="1132" t="s">
        <v>101</v>
      </c>
      <c r="B122" s="1132" t="s">
        <v>424</v>
      </c>
      <c r="C122" s="1132" t="s">
        <v>573</v>
      </c>
      <c r="D122" s="1359" t="s">
        <v>574</v>
      </c>
      <c r="E122" s="1359">
        <v>1</v>
      </c>
      <c r="F122" s="2564" t="s">
        <v>575</v>
      </c>
      <c r="G122" s="1132" t="s">
        <v>356</v>
      </c>
      <c r="H122" s="1360">
        <v>30.423749999999998</v>
      </c>
      <c r="I122" s="1360">
        <v>30.423749999999998</v>
      </c>
      <c r="J122" s="1360">
        <v>30.423749999999998</v>
      </c>
      <c r="K122" s="1360">
        <v>30.423749999999998</v>
      </c>
      <c r="L122" s="1132" t="s">
        <v>576</v>
      </c>
      <c r="M122" s="1132" t="str">
        <f t="shared" si="54"/>
        <v>Nicor Gas PY11-PY14 Adjustable Goals Template_2025-03-01, Tab 4.8.12</v>
      </c>
      <c r="N122" s="1361">
        <v>48.53</v>
      </c>
      <c r="O122" s="1361">
        <v>48.53</v>
      </c>
      <c r="P122" s="1361">
        <v>48.53</v>
      </c>
      <c r="Q122" s="1361">
        <v>48.53</v>
      </c>
      <c r="R122" s="1781">
        <v>0.86</v>
      </c>
      <c r="S122" s="1781">
        <v>0.86</v>
      </c>
      <c r="T122" s="1781">
        <v>0.86</v>
      </c>
      <c r="U122" s="1781">
        <v>0.86</v>
      </c>
      <c r="V122" s="1781">
        <v>0.86</v>
      </c>
      <c r="W122" s="1781">
        <v>0.86</v>
      </c>
      <c r="X122" s="1781">
        <v>0.86</v>
      </c>
      <c r="Y122" s="1781">
        <v>0.86</v>
      </c>
      <c r="Z122" s="1359">
        <v>1</v>
      </c>
      <c r="AA122" s="1781">
        <f t="shared" si="55"/>
        <v>0.86</v>
      </c>
      <c r="AB122" s="1781">
        <f t="shared" si="56"/>
        <v>0.86</v>
      </c>
      <c r="AC122" s="1781">
        <f t="shared" si="57"/>
        <v>0.86</v>
      </c>
      <c r="AD122" s="1781">
        <f t="shared" si="58"/>
        <v>0.86</v>
      </c>
      <c r="AE122" s="1781">
        <f t="shared" si="59"/>
        <v>0.86</v>
      </c>
      <c r="AF122" s="1781">
        <f t="shared" si="60"/>
        <v>0.86</v>
      </c>
      <c r="AG122" s="1781">
        <f t="shared" si="61"/>
        <v>0.86</v>
      </c>
      <c r="AH122" s="1781">
        <f t="shared" si="62"/>
        <v>0.86</v>
      </c>
      <c r="AI122" s="1362">
        <f t="shared" si="93"/>
        <v>1269.75954525</v>
      </c>
      <c r="AJ122" s="1362">
        <f t="shared" si="94"/>
        <v>1269.75954525</v>
      </c>
      <c r="AK122" s="1362">
        <f t="shared" si="95"/>
        <v>1269.75954525</v>
      </c>
      <c r="AL122" s="1362">
        <f t="shared" si="96"/>
        <v>1269.75954525</v>
      </c>
      <c r="AM122" s="1362">
        <f t="shared" si="97"/>
        <v>5079.0381809999999</v>
      </c>
      <c r="AN122" s="1132" t="str">
        <f t="shared" si="63"/>
        <v>CI-MSC-SLDH-V01-200101</v>
      </c>
      <c r="AO122" s="1132" t="str">
        <f t="shared" si="64"/>
        <v>Nicor Gas PY11-PY14 Adjustable Goals Template_2025-03-01, Tab 4.8.12</v>
      </c>
      <c r="AP122" s="2505">
        <f>'4.8.12'!$K$4</f>
        <v>48.53</v>
      </c>
      <c r="AQ122" s="2505"/>
      <c r="AR122" s="2505">
        <f t="shared" si="65"/>
        <v>1269.75954525</v>
      </c>
      <c r="AS122" s="2505">
        <f t="shared" si="66"/>
        <v>0</v>
      </c>
      <c r="AT122" s="1132" t="str">
        <f t="shared" si="67"/>
        <v>CI-MSC-SLDH-V01-200101</v>
      </c>
      <c r="AU122" s="1132" t="str">
        <f t="shared" si="68"/>
        <v>Nicor Gas PY11-PY14 Adjustable Goals Template_2025-03-01, Tab 4.8.12</v>
      </c>
      <c r="AV122" s="2505">
        <f>'4.8.12'!$K$4</f>
        <v>48.53</v>
      </c>
      <c r="AW122" s="2505"/>
      <c r="AX122" s="1362">
        <f t="shared" si="69"/>
        <v>1269.75954525</v>
      </c>
      <c r="AY122" s="1360">
        <f t="shared" si="70"/>
        <v>0</v>
      </c>
      <c r="AZ122" s="1132" t="str">
        <f t="shared" si="71"/>
        <v>CI-MSC-SLDH-V01-200101</v>
      </c>
      <c r="BA122" s="1132" t="str">
        <f t="shared" si="72"/>
        <v>Nicor Gas PY11-PY14 Adjustable Goals Template_2025-03-01, Tab 4.8.12</v>
      </c>
      <c r="BB122" s="2505">
        <f>'4.8.12'!$K$4</f>
        <v>48.53</v>
      </c>
      <c r="BC122" s="2505"/>
      <c r="BD122" s="1362">
        <f t="shared" si="73"/>
        <v>1269.75954525</v>
      </c>
      <c r="BE122" s="1360">
        <f t="shared" si="74"/>
        <v>0</v>
      </c>
      <c r="BF122" s="1132" t="str">
        <f t="shared" si="75"/>
        <v>CI-MSC-SLDH-V01-200101</v>
      </c>
      <c r="BG122" s="1132" t="str">
        <f t="shared" si="76"/>
        <v>Nicor Gas PY11-PY14 Adjustable Goals Template_2025-03-01, Tab 4.8.12</v>
      </c>
      <c r="BH122" s="2505">
        <f>'4.8.12'!$K$4</f>
        <v>48.53</v>
      </c>
      <c r="BI122" s="2505"/>
      <c r="BJ122" s="1362">
        <f t="shared" si="98"/>
        <v>1269.75954525</v>
      </c>
      <c r="BK122" s="1360">
        <f t="shared" si="77"/>
        <v>0</v>
      </c>
      <c r="BL122" s="1601">
        <f t="shared" si="78"/>
        <v>1269.75954525</v>
      </c>
      <c r="BM122" s="1601">
        <f t="shared" si="79"/>
        <v>1269.75954525</v>
      </c>
      <c r="BN122" s="1601">
        <f t="shared" si="80"/>
        <v>1269.75954525</v>
      </c>
      <c r="BO122" s="1601">
        <f t="shared" si="81"/>
        <v>1269.75954525</v>
      </c>
      <c r="BP122" s="1602">
        <f t="shared" si="82"/>
        <v>5079.0381809999999</v>
      </c>
      <c r="BQ122" s="1602"/>
      <c r="BR122" s="1602" t="s">
        <v>575</v>
      </c>
      <c r="BS122" s="1602">
        <v>0</v>
      </c>
      <c r="BT122" s="1602">
        <v>20</v>
      </c>
      <c r="BU122" s="1602">
        <v>20</v>
      </c>
      <c r="BV122" s="1602">
        <v>20</v>
      </c>
      <c r="BW122" s="1602">
        <v>20</v>
      </c>
      <c r="BX122" s="1362">
        <f t="shared" si="99"/>
        <v>25395.190904999999</v>
      </c>
      <c r="BY122" s="1362">
        <f t="shared" si="100"/>
        <v>25395.190904999999</v>
      </c>
      <c r="BZ122" s="1362">
        <f t="shared" si="101"/>
        <v>25395.190904999999</v>
      </c>
      <c r="CA122" s="1362">
        <f t="shared" si="102"/>
        <v>25395.190904999999</v>
      </c>
      <c r="CB122" s="1362">
        <f t="shared" si="103"/>
        <v>101580.76362</v>
      </c>
      <c r="CC122" s="1360">
        <v>20</v>
      </c>
      <c r="CD122" s="1360">
        <v>20</v>
      </c>
      <c r="CE122" s="1360">
        <v>20</v>
      </c>
      <c r="CF122" s="1360">
        <v>20</v>
      </c>
      <c r="CG122" s="1604">
        <f t="shared" si="83"/>
        <v>25395.190904999999</v>
      </c>
      <c r="CH122" s="1604">
        <f t="shared" si="84"/>
        <v>25395.190904999999</v>
      </c>
      <c r="CI122" s="1604">
        <f t="shared" si="85"/>
        <v>25395.190904999999</v>
      </c>
      <c r="CJ122" s="1604">
        <f t="shared" si="86"/>
        <v>25395.190904999999</v>
      </c>
      <c r="CK122" s="1521">
        <f t="shared" si="87"/>
        <v>101580.76362</v>
      </c>
      <c r="CL122" s="1132">
        <v>115</v>
      </c>
      <c r="CM122" s="1132" t="s">
        <v>356</v>
      </c>
      <c r="CN122" s="1359">
        <v>0</v>
      </c>
      <c r="CO122" s="1360">
        <v>30.423749999999998</v>
      </c>
      <c r="CP122" s="1360">
        <v>30.423749999999998</v>
      </c>
      <c r="CQ122" s="1360">
        <v>30.423749999999998</v>
      </c>
      <c r="CR122" s="1360">
        <v>30.423749999999998</v>
      </c>
      <c r="CS122" s="1362">
        <f t="shared" si="88"/>
        <v>1269.75954525</v>
      </c>
      <c r="CT122" s="1362">
        <f t="shared" si="89"/>
        <v>1269.75954525</v>
      </c>
      <c r="CU122" s="1362">
        <f t="shared" si="90"/>
        <v>1269.75954525</v>
      </c>
      <c r="CV122" s="1362">
        <f t="shared" si="91"/>
        <v>1269.75954525</v>
      </c>
      <c r="CW122" s="1362">
        <f t="shared" si="92"/>
        <v>5079.0381809999999</v>
      </c>
      <c r="CY122" s="2887"/>
      <c r="DN122" s="1715"/>
    </row>
    <row r="123" spans="1:118" s="1143" customFormat="1" ht="46.5" x14ac:dyDescent="0.35">
      <c r="A123" s="1132" t="s">
        <v>101</v>
      </c>
      <c r="B123" s="1132" t="s">
        <v>424</v>
      </c>
      <c r="C123" s="1132" t="s">
        <v>577</v>
      </c>
      <c r="D123" s="1359" t="s">
        <v>578</v>
      </c>
      <c r="E123" s="1359">
        <v>1</v>
      </c>
      <c r="F123" s="2564" t="s">
        <v>579</v>
      </c>
      <c r="G123" s="1132" t="s">
        <v>328</v>
      </c>
      <c r="H123" s="1360">
        <v>26.772899999999996</v>
      </c>
      <c r="I123" s="1360">
        <v>26.772899999999996</v>
      </c>
      <c r="J123" s="1360">
        <v>26.772899999999996</v>
      </c>
      <c r="K123" s="1360">
        <v>26.772899999999996</v>
      </c>
      <c r="L123" s="1132" t="s">
        <v>580</v>
      </c>
      <c r="M123" s="1132" t="str">
        <f t="shared" si="54"/>
        <v>Nicor Gas PY11-PY14 Adjustable Goals Template_2025-03-01, Tab 4.4.52</v>
      </c>
      <c r="N123" s="1361">
        <v>28.084000000000003</v>
      </c>
      <c r="O123" s="1361">
        <v>28.084000000000003</v>
      </c>
      <c r="P123" s="1361">
        <v>28.084000000000003</v>
      </c>
      <c r="Q123" s="1361">
        <v>28.084000000000003</v>
      </c>
      <c r="R123" s="1781">
        <v>0.86</v>
      </c>
      <c r="S123" s="1781">
        <v>0.86</v>
      </c>
      <c r="T123" s="1781">
        <v>0.86</v>
      </c>
      <c r="U123" s="1781">
        <v>0.86</v>
      </c>
      <c r="V123" s="1781">
        <v>0.86</v>
      </c>
      <c r="W123" s="1781">
        <v>0.86</v>
      </c>
      <c r="X123" s="1781">
        <v>0.86</v>
      </c>
      <c r="Y123" s="1781">
        <v>0.86</v>
      </c>
      <c r="Z123" s="1359">
        <v>1</v>
      </c>
      <c r="AA123" s="1781">
        <f t="shared" si="55"/>
        <v>0.86</v>
      </c>
      <c r="AB123" s="1781">
        <f t="shared" si="56"/>
        <v>0.86</v>
      </c>
      <c r="AC123" s="1781">
        <f t="shared" si="57"/>
        <v>0.86</v>
      </c>
      <c r="AD123" s="1781">
        <f t="shared" si="58"/>
        <v>0.86</v>
      </c>
      <c r="AE123" s="1781">
        <f t="shared" si="59"/>
        <v>0.86</v>
      </c>
      <c r="AF123" s="1781">
        <f t="shared" si="60"/>
        <v>0.86</v>
      </c>
      <c r="AG123" s="1781">
        <f t="shared" si="61"/>
        <v>0.86</v>
      </c>
      <c r="AH123" s="1781">
        <f t="shared" si="62"/>
        <v>0.86</v>
      </c>
      <c r="AI123" s="1362">
        <f t="shared" si="93"/>
        <v>646.62550629600003</v>
      </c>
      <c r="AJ123" s="1362">
        <f t="shared" si="94"/>
        <v>646.62550629600003</v>
      </c>
      <c r="AK123" s="1362">
        <f t="shared" si="95"/>
        <v>646.62550629600003</v>
      </c>
      <c r="AL123" s="1362">
        <f t="shared" si="96"/>
        <v>646.62550629600003</v>
      </c>
      <c r="AM123" s="1362">
        <f t="shared" si="97"/>
        <v>2586.5020251840001</v>
      </c>
      <c r="AN123" s="1132" t="str">
        <f t="shared" si="63"/>
        <v>CI-HVC-HHRR-V01-210101</v>
      </c>
      <c r="AO123" s="1132" t="str">
        <f t="shared" si="64"/>
        <v>Nicor Gas PY11-PY14 Adjustable Goals Template_2025-03-01, Tab 4.4.52</v>
      </c>
      <c r="AP123" s="2505">
        <f>'4.4.52'!$N$4</f>
        <v>28.084000000000003</v>
      </c>
      <c r="AQ123" s="2505"/>
      <c r="AR123" s="2505">
        <f t="shared" si="65"/>
        <v>646.62550629600003</v>
      </c>
      <c r="AS123" s="2505">
        <f t="shared" si="66"/>
        <v>0</v>
      </c>
      <c r="AT123" s="1132" t="str">
        <f t="shared" si="67"/>
        <v>CI-HVC-HHRR-V01-210101</v>
      </c>
      <c r="AU123" s="1132" t="str">
        <f t="shared" si="68"/>
        <v>Nicor Gas PY11-PY14 Adjustable Goals Template_2025-03-01, Tab 4.4.52</v>
      </c>
      <c r="AV123" s="2505">
        <f>'4.4.52'!$N$4</f>
        <v>28.084000000000003</v>
      </c>
      <c r="AW123" s="2505"/>
      <c r="AX123" s="1362">
        <f t="shared" si="69"/>
        <v>646.62550629600003</v>
      </c>
      <c r="AY123" s="1360">
        <f t="shared" si="70"/>
        <v>0</v>
      </c>
      <c r="AZ123" s="1132" t="str">
        <f t="shared" si="71"/>
        <v>CI-HVC-HHRR-V01-210101</v>
      </c>
      <c r="BA123" s="1132" t="str">
        <f t="shared" si="72"/>
        <v>Nicor Gas PY11-PY14 Adjustable Goals Template_2025-03-01, Tab 4.4.52</v>
      </c>
      <c r="BB123" s="2505">
        <f>'4.4.52'!$N$4</f>
        <v>28.084000000000003</v>
      </c>
      <c r="BC123" s="2505"/>
      <c r="BD123" s="1362">
        <f t="shared" si="73"/>
        <v>646.62550629600003</v>
      </c>
      <c r="BE123" s="1360">
        <f t="shared" si="74"/>
        <v>0</v>
      </c>
      <c r="BF123" s="1132" t="str">
        <f t="shared" si="75"/>
        <v>CI-HVC-HHRR-V01-210101</v>
      </c>
      <c r="BG123" s="1132" t="str">
        <f t="shared" si="76"/>
        <v>Nicor Gas PY11-PY14 Adjustable Goals Template_2025-03-01, Tab 4.4.52</v>
      </c>
      <c r="BH123" s="2505">
        <f>'4.4.52'!$N$4</f>
        <v>28.084000000000003</v>
      </c>
      <c r="BI123" s="2505"/>
      <c r="BJ123" s="1362">
        <f t="shared" si="98"/>
        <v>646.62550629600003</v>
      </c>
      <c r="BK123" s="1360">
        <f t="shared" si="77"/>
        <v>0</v>
      </c>
      <c r="BL123" s="1601">
        <f t="shared" si="78"/>
        <v>646.62550629600003</v>
      </c>
      <c r="BM123" s="1601">
        <f t="shared" si="79"/>
        <v>646.62550629600003</v>
      </c>
      <c r="BN123" s="1601">
        <f t="shared" si="80"/>
        <v>646.62550629600003</v>
      </c>
      <c r="BO123" s="1601">
        <f t="shared" si="81"/>
        <v>646.62550629600003</v>
      </c>
      <c r="BP123" s="1602">
        <f t="shared" si="82"/>
        <v>2586.5020251840001</v>
      </c>
      <c r="BQ123" s="1602"/>
      <c r="BR123" s="1602" t="s">
        <v>579</v>
      </c>
      <c r="BS123" s="1602">
        <v>0</v>
      </c>
      <c r="BT123" s="1602">
        <v>25</v>
      </c>
      <c r="BU123" s="1602">
        <v>25</v>
      </c>
      <c r="BV123" s="1602">
        <v>25</v>
      </c>
      <c r="BW123" s="1602">
        <v>25</v>
      </c>
      <c r="BX123" s="1362">
        <f t="shared" si="99"/>
        <v>16165.637657400001</v>
      </c>
      <c r="BY123" s="1362">
        <f t="shared" si="100"/>
        <v>16165.637657400001</v>
      </c>
      <c r="BZ123" s="1362">
        <f t="shared" si="101"/>
        <v>16165.637657400001</v>
      </c>
      <c r="CA123" s="1362">
        <f t="shared" si="102"/>
        <v>16165.637657400001</v>
      </c>
      <c r="CB123" s="1362">
        <f t="shared" si="103"/>
        <v>64662.550629600002</v>
      </c>
      <c r="CC123" s="1360">
        <v>25</v>
      </c>
      <c r="CD123" s="1360">
        <v>25</v>
      </c>
      <c r="CE123" s="1360">
        <v>25</v>
      </c>
      <c r="CF123" s="1360">
        <v>25</v>
      </c>
      <c r="CG123" s="1604">
        <f t="shared" si="83"/>
        <v>16165.637657400001</v>
      </c>
      <c r="CH123" s="1604">
        <f t="shared" si="84"/>
        <v>16165.637657400001</v>
      </c>
      <c r="CI123" s="1604">
        <f t="shared" si="85"/>
        <v>16165.637657400001</v>
      </c>
      <c r="CJ123" s="1604">
        <f t="shared" si="86"/>
        <v>16165.637657400001</v>
      </c>
      <c r="CK123" s="1521">
        <f t="shared" si="87"/>
        <v>64662.550629600002</v>
      </c>
      <c r="CL123" s="1132">
        <v>116</v>
      </c>
      <c r="CM123" s="1132" t="s">
        <v>328</v>
      </c>
      <c r="CN123" s="1359">
        <v>0</v>
      </c>
      <c r="CO123" s="1360">
        <v>26.772899999999996</v>
      </c>
      <c r="CP123" s="1360">
        <v>26.772899999999996</v>
      </c>
      <c r="CQ123" s="1360">
        <v>26.772899999999996</v>
      </c>
      <c r="CR123" s="1360">
        <v>26.772899999999996</v>
      </c>
      <c r="CS123" s="1362">
        <f t="shared" si="88"/>
        <v>646.62550629600003</v>
      </c>
      <c r="CT123" s="1362">
        <f t="shared" si="89"/>
        <v>646.62550629600003</v>
      </c>
      <c r="CU123" s="1362">
        <f t="shared" si="90"/>
        <v>646.62550629600003</v>
      </c>
      <c r="CV123" s="1362">
        <f t="shared" si="91"/>
        <v>646.62550629600003</v>
      </c>
      <c r="CW123" s="1362">
        <f t="shared" si="92"/>
        <v>2586.5020251840001</v>
      </c>
      <c r="CY123" s="2887"/>
    </row>
    <row r="124" spans="1:118" s="1143" customFormat="1" ht="46.5" x14ac:dyDescent="0.35">
      <c r="A124" s="1132" t="s">
        <v>101</v>
      </c>
      <c r="B124" s="1132" t="s">
        <v>424</v>
      </c>
      <c r="C124" s="1132" t="s">
        <v>581</v>
      </c>
      <c r="D124" s="1359" t="s">
        <v>582</v>
      </c>
      <c r="E124" s="1359">
        <v>1</v>
      </c>
      <c r="F124" s="2564" t="s">
        <v>583</v>
      </c>
      <c r="G124" s="1132" t="s">
        <v>328</v>
      </c>
      <c r="H124" s="1360">
        <v>6.0847499999999997</v>
      </c>
      <c r="I124" s="1360">
        <v>6.0847499999999997</v>
      </c>
      <c r="J124" s="1360">
        <v>6.0847499999999997</v>
      </c>
      <c r="K124" s="1360">
        <v>6.0847499999999997</v>
      </c>
      <c r="L124" s="1132" t="s">
        <v>584</v>
      </c>
      <c r="M124" s="1132" t="str">
        <f t="shared" si="54"/>
        <v>Nicor Gas PY11-PY14 Adjustable Goals Template_2025-03-01, Tab 4.4.49</v>
      </c>
      <c r="N124" s="1361">
        <v>288.1875</v>
      </c>
      <c r="O124" s="1361">
        <v>288.1875</v>
      </c>
      <c r="P124" s="1361">
        <v>288.1875</v>
      </c>
      <c r="Q124" s="1361">
        <v>288.1875</v>
      </c>
      <c r="R124" s="1781">
        <v>0.86</v>
      </c>
      <c r="S124" s="1781">
        <v>0.86</v>
      </c>
      <c r="T124" s="1781">
        <v>0.86</v>
      </c>
      <c r="U124" s="1781">
        <v>0.86</v>
      </c>
      <c r="V124" s="1781">
        <v>0.86</v>
      </c>
      <c r="W124" s="1781">
        <v>0.86</v>
      </c>
      <c r="X124" s="1781">
        <v>0.86</v>
      </c>
      <c r="Y124" s="1781">
        <v>0.86</v>
      </c>
      <c r="Z124" s="1359">
        <v>1</v>
      </c>
      <c r="AA124" s="1781">
        <f t="shared" si="55"/>
        <v>0.86</v>
      </c>
      <c r="AB124" s="1781">
        <f t="shared" si="56"/>
        <v>0.86</v>
      </c>
      <c r="AC124" s="1781">
        <f t="shared" si="57"/>
        <v>0.86</v>
      </c>
      <c r="AD124" s="1781">
        <f t="shared" si="58"/>
        <v>0.86</v>
      </c>
      <c r="AE124" s="1781">
        <f t="shared" si="59"/>
        <v>0.86</v>
      </c>
      <c r="AF124" s="1781">
        <f t="shared" si="60"/>
        <v>0.86</v>
      </c>
      <c r="AG124" s="1781">
        <f t="shared" si="61"/>
        <v>0.86</v>
      </c>
      <c r="AH124" s="1781">
        <f t="shared" si="62"/>
        <v>0.86</v>
      </c>
      <c r="AI124" s="1362">
        <f t="shared" si="93"/>
        <v>1508.0520459375</v>
      </c>
      <c r="AJ124" s="1362">
        <f t="shared" si="94"/>
        <v>1508.0520459375</v>
      </c>
      <c r="AK124" s="1362">
        <f t="shared" si="95"/>
        <v>1508.0520459375</v>
      </c>
      <c r="AL124" s="1362">
        <f t="shared" si="96"/>
        <v>1508.0520459375</v>
      </c>
      <c r="AM124" s="1362">
        <f t="shared" si="97"/>
        <v>6032.20818375</v>
      </c>
      <c r="AN124" s="1132" t="str">
        <f t="shared" si="63"/>
        <v>CI-HVC-BCHD-V01-210101</v>
      </c>
      <c r="AO124" s="1132" t="str">
        <f t="shared" si="64"/>
        <v>Nicor Gas PY11-PY14 Adjustable Goals Template_2025-03-01, Tab 4.4.49</v>
      </c>
      <c r="AP124" s="2505">
        <f>'4.4.49'!$Q$4</f>
        <v>288.1875</v>
      </c>
      <c r="AQ124" s="2505"/>
      <c r="AR124" s="2505">
        <f t="shared" si="65"/>
        <v>1508.0520459375</v>
      </c>
      <c r="AS124" s="2505">
        <f t="shared" si="66"/>
        <v>0</v>
      </c>
      <c r="AT124" s="1132" t="str">
        <f t="shared" si="67"/>
        <v>CI-HVC-BCHD-V01-210101</v>
      </c>
      <c r="AU124" s="1132" t="str">
        <f t="shared" si="68"/>
        <v>Nicor Gas PY11-PY14 Adjustable Goals Template_2025-03-01, Tab 4.4.49</v>
      </c>
      <c r="AV124" s="2505">
        <f>'4.4.49'!$Q$4</f>
        <v>288.1875</v>
      </c>
      <c r="AW124" s="2505"/>
      <c r="AX124" s="1362">
        <f t="shared" si="69"/>
        <v>1508.0520459375</v>
      </c>
      <c r="AY124" s="1360">
        <f t="shared" si="70"/>
        <v>0</v>
      </c>
      <c r="AZ124" s="1132" t="str">
        <f t="shared" si="71"/>
        <v>CI-HVC-BCHD-V01-210101</v>
      </c>
      <c r="BA124" s="1132" t="str">
        <f t="shared" si="72"/>
        <v>Nicor Gas PY11-PY14 Adjustable Goals Template_2025-03-01, Tab 4.4.49</v>
      </c>
      <c r="BB124" s="2505">
        <f>'4.4.49'!$Q$4</f>
        <v>288.1875</v>
      </c>
      <c r="BC124" s="2505"/>
      <c r="BD124" s="1362">
        <f t="shared" si="73"/>
        <v>1508.0520459375</v>
      </c>
      <c r="BE124" s="1360">
        <f t="shared" si="74"/>
        <v>0</v>
      </c>
      <c r="BF124" s="1132" t="str">
        <f t="shared" si="75"/>
        <v>CI-HVC-BCHD-V01-210101</v>
      </c>
      <c r="BG124" s="1132" t="str">
        <f t="shared" si="76"/>
        <v>Nicor Gas PY11-PY14 Adjustable Goals Template_2025-03-01, Tab 4.4.49</v>
      </c>
      <c r="BH124" s="2505">
        <f>'4.4.49'!$Q$4</f>
        <v>288.1875</v>
      </c>
      <c r="BI124" s="2505"/>
      <c r="BJ124" s="1362">
        <f t="shared" si="98"/>
        <v>1508.0520459375</v>
      </c>
      <c r="BK124" s="1360">
        <f t="shared" si="77"/>
        <v>0</v>
      </c>
      <c r="BL124" s="1601">
        <f t="shared" si="78"/>
        <v>1508.0520459375</v>
      </c>
      <c r="BM124" s="1601">
        <f t="shared" si="79"/>
        <v>1508.0520459375</v>
      </c>
      <c r="BN124" s="1601">
        <f t="shared" si="80"/>
        <v>1508.0520459375</v>
      </c>
      <c r="BO124" s="1601">
        <f t="shared" si="81"/>
        <v>1508.0520459375</v>
      </c>
      <c r="BP124" s="1602">
        <f t="shared" si="82"/>
        <v>6032.20818375</v>
      </c>
      <c r="BQ124" s="1602"/>
      <c r="BR124" s="1602" t="s">
        <v>583</v>
      </c>
      <c r="BS124" s="1602">
        <v>0</v>
      </c>
      <c r="BT124" s="1602">
        <v>2</v>
      </c>
      <c r="BU124" s="1602">
        <v>2</v>
      </c>
      <c r="BV124" s="1602">
        <v>2</v>
      </c>
      <c r="BW124" s="1602">
        <v>2</v>
      </c>
      <c r="BX124" s="1362">
        <f t="shared" si="99"/>
        <v>3016.104091875</v>
      </c>
      <c r="BY124" s="1362">
        <f t="shared" si="100"/>
        <v>3016.104091875</v>
      </c>
      <c r="BZ124" s="1362">
        <f t="shared" si="101"/>
        <v>3016.104091875</v>
      </c>
      <c r="CA124" s="1362">
        <f t="shared" si="102"/>
        <v>3016.104091875</v>
      </c>
      <c r="CB124" s="1362">
        <f t="shared" si="103"/>
        <v>12064.4163675</v>
      </c>
      <c r="CC124" s="1360">
        <v>2</v>
      </c>
      <c r="CD124" s="1360">
        <v>2</v>
      </c>
      <c r="CE124" s="1360">
        <v>2</v>
      </c>
      <c r="CF124" s="1360">
        <v>2</v>
      </c>
      <c r="CG124" s="1604">
        <f t="shared" si="83"/>
        <v>3016.1040918749995</v>
      </c>
      <c r="CH124" s="1604">
        <f t="shared" si="84"/>
        <v>3016.1040918749995</v>
      </c>
      <c r="CI124" s="1604">
        <f t="shared" si="85"/>
        <v>3016.1040918749995</v>
      </c>
      <c r="CJ124" s="1604">
        <f t="shared" si="86"/>
        <v>3016.1040918749995</v>
      </c>
      <c r="CK124" s="1521">
        <f t="shared" si="87"/>
        <v>12064.416367499998</v>
      </c>
      <c r="CL124" s="1132">
        <v>117</v>
      </c>
      <c r="CM124" s="1132" t="s">
        <v>328</v>
      </c>
      <c r="CN124" s="1359">
        <v>0</v>
      </c>
      <c r="CO124" s="1360">
        <v>6.0847499999999997</v>
      </c>
      <c r="CP124" s="1360">
        <v>6.0847499999999997</v>
      </c>
      <c r="CQ124" s="1360">
        <v>6.0847499999999997</v>
      </c>
      <c r="CR124" s="1360">
        <v>6.0847499999999997</v>
      </c>
      <c r="CS124" s="1362">
        <f t="shared" si="88"/>
        <v>1508.0520459375</v>
      </c>
      <c r="CT124" s="1362">
        <f t="shared" si="89"/>
        <v>1508.0520459375</v>
      </c>
      <c r="CU124" s="1362">
        <f t="shared" si="90"/>
        <v>1508.0520459375</v>
      </c>
      <c r="CV124" s="1362">
        <f t="shared" si="91"/>
        <v>1508.0520459375</v>
      </c>
      <c r="CW124" s="1362">
        <f t="shared" si="92"/>
        <v>6032.20818375</v>
      </c>
      <c r="CY124" s="2887"/>
    </row>
    <row r="125" spans="1:118" s="1143" customFormat="1" ht="46.5" x14ac:dyDescent="0.35">
      <c r="A125" s="1132" t="s">
        <v>101</v>
      </c>
      <c r="B125" s="1132" t="s">
        <v>424</v>
      </c>
      <c r="C125" s="1132" t="s">
        <v>585</v>
      </c>
      <c r="D125" s="1359" t="s">
        <v>586</v>
      </c>
      <c r="E125" s="1359">
        <v>1</v>
      </c>
      <c r="F125" s="2564" t="s">
        <v>355</v>
      </c>
      <c r="G125" s="1132" t="s">
        <v>356</v>
      </c>
      <c r="H125" s="1360">
        <v>10.95255</v>
      </c>
      <c r="I125" s="1360">
        <v>10.95255</v>
      </c>
      <c r="J125" s="1360">
        <v>10.95255</v>
      </c>
      <c r="K125" s="1360">
        <v>10.95255</v>
      </c>
      <c r="L125" s="1132" t="s">
        <v>357</v>
      </c>
      <c r="M125" s="1132" t="str">
        <f t="shared" si="54"/>
        <v>Nicor Gas PY11-PY14 Adjustable Goals Template_2025-03-01, Tab 4.4.16</v>
      </c>
      <c r="N125" s="1361">
        <v>102.13709764839483</v>
      </c>
      <c r="O125" s="1361">
        <v>102.13709764839483</v>
      </c>
      <c r="P125" s="1361">
        <v>102.13709764839483</v>
      </c>
      <c r="Q125" s="1361">
        <v>102.13709764839483</v>
      </c>
      <c r="R125" s="1781">
        <v>0.86</v>
      </c>
      <c r="S125" s="1781">
        <v>0.86</v>
      </c>
      <c r="T125" s="1781">
        <v>0.86</v>
      </c>
      <c r="U125" s="1781">
        <v>0.86</v>
      </c>
      <c r="V125" s="1781">
        <v>0.86</v>
      </c>
      <c r="W125" s="1781">
        <v>0.86</v>
      </c>
      <c r="X125" s="1781">
        <v>0.86</v>
      </c>
      <c r="Y125" s="1781">
        <v>0.86</v>
      </c>
      <c r="Z125" s="1359">
        <v>1</v>
      </c>
      <c r="AA125" s="1781">
        <f t="shared" si="55"/>
        <v>0.86</v>
      </c>
      <c r="AB125" s="1781">
        <f t="shared" si="56"/>
        <v>0.86</v>
      </c>
      <c r="AC125" s="1781">
        <f t="shared" si="57"/>
        <v>0.86</v>
      </c>
      <c r="AD125" s="1781">
        <f t="shared" si="58"/>
        <v>0.86</v>
      </c>
      <c r="AE125" s="1781">
        <f t="shared" si="59"/>
        <v>0.86</v>
      </c>
      <c r="AF125" s="1781">
        <f t="shared" si="60"/>
        <v>0.86</v>
      </c>
      <c r="AG125" s="1781">
        <f t="shared" si="61"/>
        <v>0.86</v>
      </c>
      <c r="AH125" s="1781">
        <f t="shared" si="62"/>
        <v>0.86</v>
      </c>
      <c r="AI125" s="1362">
        <f t="shared" si="93"/>
        <v>962.04903521007714</v>
      </c>
      <c r="AJ125" s="1362">
        <f t="shared" si="94"/>
        <v>962.04903521007714</v>
      </c>
      <c r="AK125" s="1362">
        <f t="shared" si="95"/>
        <v>962.04903521007714</v>
      </c>
      <c r="AL125" s="1362">
        <f t="shared" si="96"/>
        <v>962.04903521007714</v>
      </c>
      <c r="AM125" s="1362">
        <f t="shared" si="97"/>
        <v>3848.1961408403085</v>
      </c>
      <c r="AN125" s="1132" t="str">
        <f t="shared" si="63"/>
        <v>CI-HVC-STRE-V05-180101</v>
      </c>
      <c r="AO125" s="1132" t="str">
        <f t="shared" si="64"/>
        <v>Nicor Gas PY11-PY14 Adjustable Goals Template_2025-03-01, Tab 4.4.16</v>
      </c>
      <c r="AP125" s="2505">
        <f>'4.4.16'!$O$21</f>
        <v>102.13709764839483</v>
      </c>
      <c r="AQ125" s="2505"/>
      <c r="AR125" s="2505">
        <f t="shared" si="65"/>
        <v>962.04903521007714</v>
      </c>
      <c r="AS125" s="2505">
        <f t="shared" si="66"/>
        <v>0</v>
      </c>
      <c r="AT125" s="1132" t="str">
        <f t="shared" si="67"/>
        <v>CI-HVC-STRE-V05-180101</v>
      </c>
      <c r="AU125" s="1132" t="str">
        <f t="shared" si="68"/>
        <v>Nicor Gas PY11-PY14 Adjustable Goals Template_2025-03-01, Tab 4.4.16</v>
      </c>
      <c r="AV125" s="2505">
        <f>'4.4.16'!$O$21</f>
        <v>102.13709764839483</v>
      </c>
      <c r="AW125" s="2505"/>
      <c r="AX125" s="1362">
        <f t="shared" si="69"/>
        <v>962.04903521007714</v>
      </c>
      <c r="AY125" s="1360">
        <f t="shared" si="70"/>
        <v>0</v>
      </c>
      <c r="AZ125" s="1132" t="str">
        <f t="shared" si="71"/>
        <v>CI-HVC-STRE-V05-180101</v>
      </c>
      <c r="BA125" s="1132" t="str">
        <f t="shared" si="72"/>
        <v>Nicor Gas PY11-PY14 Adjustable Goals Template_2025-03-01, Tab 4.4.16</v>
      </c>
      <c r="BB125" s="2505">
        <f>'4.4.16'!$O$21</f>
        <v>102.13709764839483</v>
      </c>
      <c r="BC125" s="2505"/>
      <c r="BD125" s="1362">
        <f t="shared" si="73"/>
        <v>962.04903521007714</v>
      </c>
      <c r="BE125" s="1360">
        <f t="shared" si="74"/>
        <v>0</v>
      </c>
      <c r="BF125" s="1132" t="str">
        <f t="shared" si="75"/>
        <v>CI-HVC-STRE-V05-180101</v>
      </c>
      <c r="BG125" s="1132" t="str">
        <f t="shared" si="76"/>
        <v>Nicor Gas PY11-PY14 Adjustable Goals Template_2025-03-01, Tab 4.4.16</v>
      </c>
      <c r="BH125" s="2505">
        <f>'4.4.16'!$O$21</f>
        <v>102.13709764839483</v>
      </c>
      <c r="BI125" s="2505"/>
      <c r="BJ125" s="1362">
        <f t="shared" si="98"/>
        <v>962.04903521007714</v>
      </c>
      <c r="BK125" s="1360">
        <f t="shared" si="77"/>
        <v>0</v>
      </c>
      <c r="BL125" s="1601">
        <f t="shared" si="78"/>
        <v>962.04903521007714</v>
      </c>
      <c r="BM125" s="1601">
        <f t="shared" si="79"/>
        <v>962.04903521007714</v>
      </c>
      <c r="BN125" s="1601">
        <f t="shared" si="80"/>
        <v>962.04903521007714</v>
      </c>
      <c r="BO125" s="1601">
        <f t="shared" si="81"/>
        <v>962.04903521007714</v>
      </c>
      <c r="BP125" s="1602">
        <f t="shared" si="82"/>
        <v>3848.1961408403085</v>
      </c>
      <c r="BQ125" s="1602"/>
      <c r="BR125" s="1602" t="s">
        <v>355</v>
      </c>
      <c r="BS125" s="1602">
        <v>0</v>
      </c>
      <c r="BT125" s="1602">
        <v>20</v>
      </c>
      <c r="BU125" s="1602">
        <v>20</v>
      </c>
      <c r="BV125" s="1602">
        <v>20</v>
      </c>
      <c r="BW125" s="1602">
        <v>20</v>
      </c>
      <c r="BX125" s="1362">
        <f t="shared" si="99"/>
        <v>19240.980704201542</v>
      </c>
      <c r="BY125" s="1362">
        <f t="shared" si="100"/>
        <v>19240.980704201542</v>
      </c>
      <c r="BZ125" s="1362">
        <f t="shared" si="101"/>
        <v>19240.980704201542</v>
      </c>
      <c r="CA125" s="1362">
        <f t="shared" si="102"/>
        <v>19240.980704201542</v>
      </c>
      <c r="CB125" s="1362">
        <f t="shared" si="103"/>
        <v>76963.922816806167</v>
      </c>
      <c r="CC125" s="1360">
        <v>20</v>
      </c>
      <c r="CD125" s="1360">
        <v>20</v>
      </c>
      <c r="CE125" s="1360">
        <v>20</v>
      </c>
      <c r="CF125" s="1360">
        <v>20</v>
      </c>
      <c r="CG125" s="1604">
        <f t="shared" si="83"/>
        <v>19240.980704201542</v>
      </c>
      <c r="CH125" s="1604">
        <f t="shared" si="84"/>
        <v>19240.980704201542</v>
      </c>
      <c r="CI125" s="1604">
        <f t="shared" si="85"/>
        <v>19240.980704201542</v>
      </c>
      <c r="CJ125" s="1604">
        <f t="shared" si="86"/>
        <v>19240.980704201542</v>
      </c>
      <c r="CK125" s="1521">
        <f t="shared" si="87"/>
        <v>76963.922816806167</v>
      </c>
      <c r="CL125" s="1132">
        <v>118</v>
      </c>
      <c r="CM125" s="1132" t="s">
        <v>356</v>
      </c>
      <c r="CN125" s="1359">
        <v>0</v>
      </c>
      <c r="CO125" s="1360">
        <v>10.95255</v>
      </c>
      <c r="CP125" s="1360">
        <v>10.95255</v>
      </c>
      <c r="CQ125" s="1360">
        <v>10.95255</v>
      </c>
      <c r="CR125" s="1360">
        <v>10.95255</v>
      </c>
      <c r="CS125" s="1362">
        <f t="shared" si="88"/>
        <v>962.04903521007714</v>
      </c>
      <c r="CT125" s="1362">
        <f t="shared" si="89"/>
        <v>962.04903521007714</v>
      </c>
      <c r="CU125" s="1362">
        <f t="shared" si="90"/>
        <v>962.04903521007714</v>
      </c>
      <c r="CV125" s="1362">
        <f t="shared" si="91"/>
        <v>962.04903521007714</v>
      </c>
      <c r="CW125" s="1362">
        <f t="shared" si="92"/>
        <v>3848.1961408403085</v>
      </c>
      <c r="CY125" s="2887"/>
    </row>
    <row r="126" spans="1:118" s="1143" customFormat="1" ht="46.5" x14ac:dyDescent="0.35">
      <c r="A126" s="1132" t="s">
        <v>101</v>
      </c>
      <c r="B126" s="1132" t="s">
        <v>424</v>
      </c>
      <c r="C126" s="1132" t="s">
        <v>587</v>
      </c>
      <c r="D126" s="1359" t="s">
        <v>588</v>
      </c>
      <c r="E126" s="1359">
        <v>1</v>
      </c>
      <c r="F126" s="2564" t="s">
        <v>355</v>
      </c>
      <c r="G126" s="1132" t="s">
        <v>356</v>
      </c>
      <c r="H126" s="1360">
        <v>15.211874999999999</v>
      </c>
      <c r="I126" s="1360">
        <v>15.211874999999999</v>
      </c>
      <c r="J126" s="1360">
        <v>15.211874999999999</v>
      </c>
      <c r="K126" s="1360">
        <v>15.211874999999999</v>
      </c>
      <c r="L126" s="1132" t="s">
        <v>357</v>
      </c>
      <c r="M126" s="1132" t="str">
        <f t="shared" si="54"/>
        <v>Nicor Gas PY11-PY14 Adjustable Goals Template_2025-03-01, Tab 4.4.16</v>
      </c>
      <c r="N126" s="1361">
        <v>762.90491998307095</v>
      </c>
      <c r="O126" s="1361">
        <v>762.90491998307095</v>
      </c>
      <c r="P126" s="1361">
        <v>762.90491998307095</v>
      </c>
      <c r="Q126" s="1361">
        <v>762.90491998307095</v>
      </c>
      <c r="R126" s="1781">
        <v>0.86</v>
      </c>
      <c r="S126" s="1781">
        <v>0.86</v>
      </c>
      <c r="T126" s="1781">
        <v>0.86</v>
      </c>
      <c r="U126" s="1781">
        <v>0.86</v>
      </c>
      <c r="V126" s="1781">
        <v>0.86</v>
      </c>
      <c r="W126" s="1781">
        <v>0.86</v>
      </c>
      <c r="X126" s="1781">
        <v>0.86</v>
      </c>
      <c r="Y126" s="1781">
        <v>0.86</v>
      </c>
      <c r="Z126" s="1359">
        <v>1</v>
      </c>
      <c r="AA126" s="1781">
        <f t="shared" si="55"/>
        <v>0.86</v>
      </c>
      <c r="AB126" s="1781">
        <f t="shared" si="56"/>
        <v>0.86</v>
      </c>
      <c r="AC126" s="1781">
        <f t="shared" si="57"/>
        <v>0.86</v>
      </c>
      <c r="AD126" s="1781">
        <f t="shared" si="58"/>
        <v>0.86</v>
      </c>
      <c r="AE126" s="1781">
        <f t="shared" si="59"/>
        <v>0.86</v>
      </c>
      <c r="AF126" s="1781">
        <f t="shared" si="60"/>
        <v>0.86</v>
      </c>
      <c r="AG126" s="1781">
        <f t="shared" si="61"/>
        <v>0.86</v>
      </c>
      <c r="AH126" s="1781">
        <f t="shared" si="62"/>
        <v>0.86</v>
      </c>
      <c r="AI126" s="1362">
        <f t="shared" si="93"/>
        <v>9980.4842805140288</v>
      </c>
      <c r="AJ126" s="1362">
        <f t="shared" si="94"/>
        <v>9980.4842805140288</v>
      </c>
      <c r="AK126" s="1362">
        <f t="shared" si="95"/>
        <v>9980.4842805140288</v>
      </c>
      <c r="AL126" s="1362">
        <f t="shared" si="96"/>
        <v>9980.4842805140288</v>
      </c>
      <c r="AM126" s="1362">
        <f t="shared" si="97"/>
        <v>39921.937122056115</v>
      </c>
      <c r="AN126" s="1132" t="str">
        <f t="shared" si="63"/>
        <v>CI-HVC-STRE-V05-180101</v>
      </c>
      <c r="AO126" s="1132" t="str">
        <f t="shared" si="64"/>
        <v>Nicor Gas PY11-PY14 Adjustable Goals Template_2025-03-01, Tab 4.4.16</v>
      </c>
      <c r="AP126" s="2505">
        <f>'4.4.16'!$O$15</f>
        <v>762.90491998307095</v>
      </c>
      <c r="AQ126" s="2505"/>
      <c r="AR126" s="2505">
        <f t="shared" si="65"/>
        <v>9980.4842805140288</v>
      </c>
      <c r="AS126" s="2505">
        <f t="shared" si="66"/>
        <v>0</v>
      </c>
      <c r="AT126" s="1132" t="str">
        <f t="shared" si="67"/>
        <v>CI-HVC-STRE-V05-180101</v>
      </c>
      <c r="AU126" s="1132" t="str">
        <f t="shared" si="68"/>
        <v>Nicor Gas PY11-PY14 Adjustable Goals Template_2025-03-01, Tab 4.4.16</v>
      </c>
      <c r="AV126" s="2505">
        <f>'4.4.16'!$O$15</f>
        <v>762.90491998307095</v>
      </c>
      <c r="AW126" s="2505"/>
      <c r="AX126" s="1362">
        <f t="shared" si="69"/>
        <v>9980.4842805140288</v>
      </c>
      <c r="AY126" s="1360">
        <f t="shared" si="70"/>
        <v>0</v>
      </c>
      <c r="AZ126" s="1132" t="str">
        <f t="shared" si="71"/>
        <v>CI-HVC-STRE-V05-180101</v>
      </c>
      <c r="BA126" s="1132" t="str">
        <f t="shared" si="72"/>
        <v>Nicor Gas PY11-PY14 Adjustable Goals Template_2025-03-01, Tab 4.4.16</v>
      </c>
      <c r="BB126" s="2505">
        <f>'4.4.16'!$O$15</f>
        <v>762.90491998307095</v>
      </c>
      <c r="BC126" s="2505"/>
      <c r="BD126" s="1362">
        <f t="shared" si="73"/>
        <v>9980.4842805140288</v>
      </c>
      <c r="BE126" s="1360">
        <f t="shared" si="74"/>
        <v>0</v>
      </c>
      <c r="BF126" s="1132" t="str">
        <f t="shared" si="75"/>
        <v>CI-HVC-STRE-V05-180101</v>
      </c>
      <c r="BG126" s="1132" t="str">
        <f t="shared" si="76"/>
        <v>Nicor Gas PY11-PY14 Adjustable Goals Template_2025-03-01, Tab 4.4.16</v>
      </c>
      <c r="BH126" s="2505">
        <f>'4.4.16'!$O$15</f>
        <v>762.90491998307095</v>
      </c>
      <c r="BI126" s="2505"/>
      <c r="BJ126" s="1362">
        <f t="shared" si="98"/>
        <v>9980.4842805140288</v>
      </c>
      <c r="BK126" s="1360">
        <f t="shared" si="77"/>
        <v>0</v>
      </c>
      <c r="BL126" s="1601">
        <f t="shared" si="78"/>
        <v>9980.4842805140288</v>
      </c>
      <c r="BM126" s="1601">
        <f t="shared" si="79"/>
        <v>9980.4842805140288</v>
      </c>
      <c r="BN126" s="1601">
        <f t="shared" si="80"/>
        <v>9980.4842805140288</v>
      </c>
      <c r="BO126" s="1601">
        <f t="shared" si="81"/>
        <v>9980.4842805140288</v>
      </c>
      <c r="BP126" s="1602">
        <f t="shared" si="82"/>
        <v>39921.937122056115</v>
      </c>
      <c r="BQ126" s="1602"/>
      <c r="BR126" s="1602" t="s">
        <v>355</v>
      </c>
      <c r="BS126" s="1602">
        <v>0</v>
      </c>
      <c r="BT126" s="1602">
        <v>20</v>
      </c>
      <c r="BU126" s="1602">
        <v>20</v>
      </c>
      <c r="BV126" s="1602">
        <v>20</v>
      </c>
      <c r="BW126" s="1602">
        <v>20</v>
      </c>
      <c r="BX126" s="1362">
        <f t="shared" si="99"/>
        <v>199609.68561028058</v>
      </c>
      <c r="BY126" s="1362">
        <f t="shared" si="100"/>
        <v>199609.68561028058</v>
      </c>
      <c r="BZ126" s="1362">
        <f t="shared" si="101"/>
        <v>199609.68561028058</v>
      </c>
      <c r="CA126" s="1362">
        <f t="shared" si="102"/>
        <v>199609.68561028058</v>
      </c>
      <c r="CB126" s="1362">
        <f t="shared" si="103"/>
        <v>798438.7424411223</v>
      </c>
      <c r="CC126" s="1360">
        <v>20</v>
      </c>
      <c r="CD126" s="1360">
        <v>20</v>
      </c>
      <c r="CE126" s="1360">
        <v>20</v>
      </c>
      <c r="CF126" s="1360">
        <v>20</v>
      </c>
      <c r="CG126" s="1604">
        <f t="shared" si="83"/>
        <v>199609.68561028061</v>
      </c>
      <c r="CH126" s="1604">
        <f t="shared" si="84"/>
        <v>199609.68561028061</v>
      </c>
      <c r="CI126" s="1604">
        <f t="shared" si="85"/>
        <v>199609.68561028061</v>
      </c>
      <c r="CJ126" s="1604">
        <f t="shared" si="86"/>
        <v>199609.68561028061</v>
      </c>
      <c r="CK126" s="1521">
        <f t="shared" si="87"/>
        <v>798438.74244112242</v>
      </c>
      <c r="CL126" s="1132">
        <v>119</v>
      </c>
      <c r="CM126" s="1132" t="s">
        <v>356</v>
      </c>
      <c r="CN126" s="1359">
        <v>0</v>
      </c>
      <c r="CO126" s="1360">
        <v>15.211874999999999</v>
      </c>
      <c r="CP126" s="1360">
        <v>15.211874999999999</v>
      </c>
      <c r="CQ126" s="1360">
        <v>15.211874999999999</v>
      </c>
      <c r="CR126" s="1360">
        <v>15.211874999999999</v>
      </c>
      <c r="CS126" s="1362">
        <f t="shared" si="88"/>
        <v>9980.4842805140288</v>
      </c>
      <c r="CT126" s="1362">
        <f t="shared" si="89"/>
        <v>9980.4842805140288</v>
      </c>
      <c r="CU126" s="1362">
        <f t="shared" si="90"/>
        <v>9980.4842805140288</v>
      </c>
      <c r="CV126" s="1362">
        <f t="shared" si="91"/>
        <v>9980.4842805140288</v>
      </c>
      <c r="CW126" s="1362">
        <f t="shared" si="92"/>
        <v>39921.937122056115</v>
      </c>
      <c r="CY126" s="2887"/>
    </row>
    <row r="127" spans="1:118" s="1143" customFormat="1" ht="46.5" x14ac:dyDescent="0.35">
      <c r="A127" s="1132" t="s">
        <v>101</v>
      </c>
      <c r="B127" s="1132" t="s">
        <v>424</v>
      </c>
      <c r="C127" s="1132" t="s">
        <v>589</v>
      </c>
      <c r="D127" s="1359" t="s">
        <v>590</v>
      </c>
      <c r="E127" s="1359">
        <v>1</v>
      </c>
      <c r="F127" s="2564" t="s">
        <v>355</v>
      </c>
      <c r="G127" s="1132" t="s">
        <v>356</v>
      </c>
      <c r="H127" s="1360">
        <v>8.5186499999999974</v>
      </c>
      <c r="I127" s="1360">
        <v>8.5186499999999974</v>
      </c>
      <c r="J127" s="1360">
        <v>8.5186499999999974</v>
      </c>
      <c r="K127" s="1360">
        <v>8.5186499999999974</v>
      </c>
      <c r="L127" s="1132" t="s">
        <v>357</v>
      </c>
      <c r="M127" s="1132" t="str">
        <f t="shared" si="54"/>
        <v>Nicor Gas PY11-PY14 Adjustable Goals Template_2025-03-01, Tab 4.4.16</v>
      </c>
      <c r="N127" s="1361">
        <v>2773.9803407924196</v>
      </c>
      <c r="O127" s="1361">
        <v>2773.9803407924196</v>
      </c>
      <c r="P127" s="1361">
        <v>2773.9803407924196</v>
      </c>
      <c r="Q127" s="1361">
        <v>2773.9803407924196</v>
      </c>
      <c r="R127" s="1781">
        <v>0.86</v>
      </c>
      <c r="S127" s="1781">
        <v>0.86</v>
      </c>
      <c r="T127" s="1781">
        <v>0.86</v>
      </c>
      <c r="U127" s="1781">
        <v>0.86</v>
      </c>
      <c r="V127" s="1781">
        <v>0.86</v>
      </c>
      <c r="W127" s="1781">
        <v>0.86</v>
      </c>
      <c r="X127" s="1781">
        <v>0.86</v>
      </c>
      <c r="Y127" s="1781">
        <v>0.86</v>
      </c>
      <c r="Z127" s="1359">
        <v>1</v>
      </c>
      <c r="AA127" s="1781">
        <f t="shared" si="55"/>
        <v>0.86</v>
      </c>
      <c r="AB127" s="1781">
        <f t="shared" si="56"/>
        <v>0.86</v>
      </c>
      <c r="AC127" s="1781">
        <f t="shared" si="57"/>
        <v>0.86</v>
      </c>
      <c r="AD127" s="1781">
        <f t="shared" si="58"/>
        <v>0.86</v>
      </c>
      <c r="AE127" s="1781">
        <f t="shared" si="59"/>
        <v>0.86</v>
      </c>
      <c r="AF127" s="1781">
        <f t="shared" si="60"/>
        <v>0.86</v>
      </c>
      <c r="AG127" s="1781">
        <f t="shared" si="61"/>
        <v>0.86</v>
      </c>
      <c r="AH127" s="1781">
        <f t="shared" si="62"/>
        <v>0.86</v>
      </c>
      <c r="AI127" s="1362">
        <f t="shared" si="93"/>
        <v>20322.28816187855</v>
      </c>
      <c r="AJ127" s="1362">
        <f t="shared" si="94"/>
        <v>20322.28816187855</v>
      </c>
      <c r="AK127" s="1362">
        <f t="shared" si="95"/>
        <v>20322.28816187855</v>
      </c>
      <c r="AL127" s="1362">
        <f t="shared" si="96"/>
        <v>20322.28816187855</v>
      </c>
      <c r="AM127" s="1362">
        <f t="shared" si="97"/>
        <v>81289.152647514202</v>
      </c>
      <c r="AN127" s="1132" t="str">
        <f t="shared" si="63"/>
        <v>CI-HVC-STRE-V05-180101</v>
      </c>
      <c r="AO127" s="1132" t="str">
        <f t="shared" si="64"/>
        <v>Nicor Gas PY11-PY14 Adjustable Goals Template_2025-03-01, Tab 4.4.16</v>
      </c>
      <c r="AP127" s="2505">
        <f>'4.4.16'!$O$16</f>
        <v>2773.9803407924196</v>
      </c>
      <c r="AQ127" s="2505"/>
      <c r="AR127" s="2505">
        <f t="shared" si="65"/>
        <v>20322.28816187855</v>
      </c>
      <c r="AS127" s="2505">
        <f t="shared" si="66"/>
        <v>0</v>
      </c>
      <c r="AT127" s="1132" t="str">
        <f t="shared" si="67"/>
        <v>CI-HVC-STRE-V05-180101</v>
      </c>
      <c r="AU127" s="1132" t="str">
        <f t="shared" si="68"/>
        <v>Nicor Gas PY11-PY14 Adjustable Goals Template_2025-03-01, Tab 4.4.16</v>
      </c>
      <c r="AV127" s="2505">
        <f>'4.4.16'!$O$16</f>
        <v>2773.9803407924196</v>
      </c>
      <c r="AW127" s="2505"/>
      <c r="AX127" s="1362">
        <f t="shared" si="69"/>
        <v>20322.28816187855</v>
      </c>
      <c r="AY127" s="1360">
        <f t="shared" si="70"/>
        <v>0</v>
      </c>
      <c r="AZ127" s="1132" t="str">
        <f t="shared" si="71"/>
        <v>CI-HVC-STRE-V05-180101</v>
      </c>
      <c r="BA127" s="1132" t="str">
        <f t="shared" si="72"/>
        <v>Nicor Gas PY11-PY14 Adjustable Goals Template_2025-03-01, Tab 4.4.16</v>
      </c>
      <c r="BB127" s="2505">
        <f>'4.4.16'!$O$16</f>
        <v>2773.9803407924196</v>
      </c>
      <c r="BC127" s="2505"/>
      <c r="BD127" s="1362">
        <f t="shared" si="73"/>
        <v>20322.28816187855</v>
      </c>
      <c r="BE127" s="1360">
        <f t="shared" si="74"/>
        <v>0</v>
      </c>
      <c r="BF127" s="1132" t="str">
        <f t="shared" si="75"/>
        <v>CI-HVC-STRE-V05-180101</v>
      </c>
      <c r="BG127" s="1132" t="str">
        <f t="shared" si="76"/>
        <v>Nicor Gas PY11-PY14 Adjustable Goals Template_2025-03-01, Tab 4.4.16</v>
      </c>
      <c r="BH127" s="2505">
        <f>'4.4.16'!$O$16</f>
        <v>2773.9803407924196</v>
      </c>
      <c r="BI127" s="2505"/>
      <c r="BJ127" s="1362">
        <f t="shared" si="98"/>
        <v>20322.28816187855</v>
      </c>
      <c r="BK127" s="1360">
        <f t="shared" si="77"/>
        <v>0</v>
      </c>
      <c r="BL127" s="1601">
        <f t="shared" si="78"/>
        <v>20322.28816187855</v>
      </c>
      <c r="BM127" s="1601">
        <f t="shared" si="79"/>
        <v>20322.28816187855</v>
      </c>
      <c r="BN127" s="1601">
        <f t="shared" si="80"/>
        <v>20322.28816187855</v>
      </c>
      <c r="BO127" s="1601">
        <f t="shared" si="81"/>
        <v>20322.28816187855</v>
      </c>
      <c r="BP127" s="1602">
        <f t="shared" si="82"/>
        <v>81289.152647514202</v>
      </c>
      <c r="BQ127" s="1602"/>
      <c r="BR127" s="1602" t="s">
        <v>355</v>
      </c>
      <c r="BS127" s="1602">
        <v>0</v>
      </c>
      <c r="BT127" s="1602">
        <v>20</v>
      </c>
      <c r="BU127" s="1602">
        <v>20</v>
      </c>
      <c r="BV127" s="1602">
        <v>20</v>
      </c>
      <c r="BW127" s="1602">
        <v>20</v>
      </c>
      <c r="BX127" s="1362">
        <f t="shared" si="99"/>
        <v>406445.76323757099</v>
      </c>
      <c r="BY127" s="1362">
        <f t="shared" si="100"/>
        <v>406445.76323757099</v>
      </c>
      <c r="BZ127" s="1362">
        <f t="shared" si="101"/>
        <v>406445.76323757099</v>
      </c>
      <c r="CA127" s="1362">
        <f t="shared" si="102"/>
        <v>406445.76323757099</v>
      </c>
      <c r="CB127" s="1362">
        <f t="shared" si="103"/>
        <v>1625783.052950284</v>
      </c>
      <c r="CC127" s="1360">
        <v>20</v>
      </c>
      <c r="CD127" s="1360">
        <v>20</v>
      </c>
      <c r="CE127" s="1360">
        <v>20</v>
      </c>
      <c r="CF127" s="1360">
        <v>20</v>
      </c>
      <c r="CG127" s="1604">
        <f t="shared" si="83"/>
        <v>406445.76323757099</v>
      </c>
      <c r="CH127" s="1604">
        <f t="shared" si="84"/>
        <v>406445.76323757099</v>
      </c>
      <c r="CI127" s="1604">
        <f t="shared" si="85"/>
        <v>406445.76323757099</v>
      </c>
      <c r="CJ127" s="1604">
        <f t="shared" si="86"/>
        <v>406445.76323757099</v>
      </c>
      <c r="CK127" s="1521">
        <f t="shared" si="87"/>
        <v>1625783.052950284</v>
      </c>
      <c r="CL127" s="1132">
        <v>120</v>
      </c>
      <c r="CM127" s="1132" t="s">
        <v>356</v>
      </c>
      <c r="CN127" s="1359">
        <v>0</v>
      </c>
      <c r="CO127" s="1360">
        <v>8.5186499999999974</v>
      </c>
      <c r="CP127" s="1360">
        <v>8.5186499999999974</v>
      </c>
      <c r="CQ127" s="1360">
        <v>8.5186499999999974</v>
      </c>
      <c r="CR127" s="1360">
        <v>8.5186499999999974</v>
      </c>
      <c r="CS127" s="1362">
        <f t="shared" si="88"/>
        <v>20322.28816187855</v>
      </c>
      <c r="CT127" s="1362">
        <f t="shared" si="89"/>
        <v>20322.28816187855</v>
      </c>
      <c r="CU127" s="1362">
        <f t="shared" si="90"/>
        <v>20322.28816187855</v>
      </c>
      <c r="CV127" s="1362">
        <f t="shared" si="91"/>
        <v>20322.28816187855</v>
      </c>
      <c r="CW127" s="1362">
        <f t="shared" si="92"/>
        <v>81289.152647514202</v>
      </c>
      <c r="CY127" s="2887"/>
    </row>
    <row r="128" spans="1:118" s="1143" customFormat="1" ht="46.5" x14ac:dyDescent="0.35">
      <c r="A128" s="1132" t="s">
        <v>101</v>
      </c>
      <c r="B128" s="1132" t="s">
        <v>424</v>
      </c>
      <c r="C128" s="1132" t="s">
        <v>591</v>
      </c>
      <c r="D128" s="1359" t="s">
        <v>592</v>
      </c>
      <c r="E128" s="1359">
        <v>1</v>
      </c>
      <c r="F128" s="2564" t="s">
        <v>355</v>
      </c>
      <c r="G128" s="1132" t="s">
        <v>356</v>
      </c>
      <c r="H128" s="1360">
        <v>9.1271249999999995</v>
      </c>
      <c r="I128" s="1360">
        <v>9.1271249999999995</v>
      </c>
      <c r="J128" s="1360">
        <v>9.1271249999999995</v>
      </c>
      <c r="K128" s="1360">
        <v>9.1271249999999995</v>
      </c>
      <c r="L128" s="1132" t="s">
        <v>357</v>
      </c>
      <c r="M128" s="1132" t="str">
        <f t="shared" si="54"/>
        <v>Nicor Gas PY11-PY14 Adjustable Goals Template_2025-03-01, Tab 4.4.16</v>
      </c>
      <c r="N128" s="1361">
        <v>5256.3081214778895</v>
      </c>
      <c r="O128" s="1361">
        <v>5256.3081214778895</v>
      </c>
      <c r="P128" s="1361">
        <v>5256.3081214778895</v>
      </c>
      <c r="Q128" s="1361">
        <v>5256.3081214778895</v>
      </c>
      <c r="R128" s="1781">
        <v>0.86</v>
      </c>
      <c r="S128" s="1781">
        <v>0.86</v>
      </c>
      <c r="T128" s="1781">
        <v>0.86</v>
      </c>
      <c r="U128" s="1781">
        <v>0.86</v>
      </c>
      <c r="V128" s="1781">
        <v>0.86</v>
      </c>
      <c r="W128" s="1781">
        <v>0.86</v>
      </c>
      <c r="X128" s="1781">
        <v>0.86</v>
      </c>
      <c r="Y128" s="1781">
        <v>0.86</v>
      </c>
      <c r="Z128" s="1359">
        <v>1</v>
      </c>
      <c r="AA128" s="1781">
        <f t="shared" si="55"/>
        <v>0.86</v>
      </c>
      <c r="AB128" s="1781">
        <f t="shared" si="56"/>
        <v>0.86</v>
      </c>
      <c r="AC128" s="1781">
        <f t="shared" si="57"/>
        <v>0.86</v>
      </c>
      <c r="AD128" s="1781">
        <f t="shared" si="58"/>
        <v>0.86</v>
      </c>
      <c r="AE128" s="1781">
        <f t="shared" si="59"/>
        <v>0.86</v>
      </c>
      <c r="AF128" s="1781">
        <f t="shared" si="60"/>
        <v>0.86</v>
      </c>
      <c r="AG128" s="1781">
        <f t="shared" si="61"/>
        <v>0.86</v>
      </c>
      <c r="AH128" s="1781">
        <f t="shared" si="62"/>
        <v>0.86</v>
      </c>
      <c r="AI128" s="1362">
        <f t="shared" si="93"/>
        <v>41258.483886389731</v>
      </c>
      <c r="AJ128" s="1362">
        <f t="shared" si="94"/>
        <v>41258.483886389731</v>
      </c>
      <c r="AK128" s="1362">
        <f t="shared" si="95"/>
        <v>41258.483886389731</v>
      </c>
      <c r="AL128" s="1362">
        <f t="shared" si="96"/>
        <v>41258.483886389731</v>
      </c>
      <c r="AM128" s="1362">
        <f t="shared" si="97"/>
        <v>165033.93554555892</v>
      </c>
      <c r="AN128" s="1132" t="str">
        <f t="shared" si="63"/>
        <v>CI-HVC-STRE-V05-180101</v>
      </c>
      <c r="AO128" s="1132" t="str">
        <f t="shared" si="64"/>
        <v>Nicor Gas PY11-PY14 Adjustable Goals Template_2025-03-01, Tab 4.4.16</v>
      </c>
      <c r="AP128" s="2505">
        <f>'4.4.16'!$O$17</f>
        <v>5256.3081214778895</v>
      </c>
      <c r="AQ128" s="2505"/>
      <c r="AR128" s="2505">
        <f t="shared" si="65"/>
        <v>41258.483886389731</v>
      </c>
      <c r="AS128" s="2505">
        <f t="shared" si="66"/>
        <v>0</v>
      </c>
      <c r="AT128" s="1132" t="str">
        <f t="shared" si="67"/>
        <v>CI-HVC-STRE-V05-180101</v>
      </c>
      <c r="AU128" s="1132" t="str">
        <f t="shared" si="68"/>
        <v>Nicor Gas PY11-PY14 Adjustable Goals Template_2025-03-01, Tab 4.4.16</v>
      </c>
      <c r="AV128" s="2505">
        <f>'4.4.16'!$O$17</f>
        <v>5256.3081214778895</v>
      </c>
      <c r="AW128" s="2505"/>
      <c r="AX128" s="1362">
        <f t="shared" si="69"/>
        <v>41258.483886389731</v>
      </c>
      <c r="AY128" s="1360">
        <f t="shared" si="70"/>
        <v>0</v>
      </c>
      <c r="AZ128" s="1132" t="str">
        <f t="shared" si="71"/>
        <v>CI-HVC-STRE-V05-180101</v>
      </c>
      <c r="BA128" s="1132" t="str">
        <f t="shared" si="72"/>
        <v>Nicor Gas PY11-PY14 Adjustable Goals Template_2025-03-01, Tab 4.4.16</v>
      </c>
      <c r="BB128" s="2505">
        <f>'4.4.16'!$O$17</f>
        <v>5256.3081214778895</v>
      </c>
      <c r="BC128" s="2505"/>
      <c r="BD128" s="1362">
        <f t="shared" si="73"/>
        <v>41258.483886389731</v>
      </c>
      <c r="BE128" s="1360">
        <f t="shared" si="74"/>
        <v>0</v>
      </c>
      <c r="BF128" s="1132" t="str">
        <f t="shared" si="75"/>
        <v>CI-HVC-STRE-V05-180101</v>
      </c>
      <c r="BG128" s="1132" t="str">
        <f t="shared" si="76"/>
        <v>Nicor Gas PY11-PY14 Adjustable Goals Template_2025-03-01, Tab 4.4.16</v>
      </c>
      <c r="BH128" s="2505">
        <f>'4.4.16'!$O$17</f>
        <v>5256.3081214778895</v>
      </c>
      <c r="BI128" s="2505"/>
      <c r="BJ128" s="1362">
        <f t="shared" si="98"/>
        <v>41258.483886389731</v>
      </c>
      <c r="BK128" s="1360">
        <f t="shared" si="77"/>
        <v>0</v>
      </c>
      <c r="BL128" s="1601">
        <f t="shared" si="78"/>
        <v>41258.483886389731</v>
      </c>
      <c r="BM128" s="1601">
        <f t="shared" si="79"/>
        <v>41258.483886389731</v>
      </c>
      <c r="BN128" s="1601">
        <f t="shared" si="80"/>
        <v>41258.483886389731</v>
      </c>
      <c r="BO128" s="1601">
        <f t="shared" si="81"/>
        <v>41258.483886389731</v>
      </c>
      <c r="BP128" s="1602">
        <f t="shared" si="82"/>
        <v>165033.93554555892</v>
      </c>
      <c r="BQ128" s="1602"/>
      <c r="BR128" s="1602" t="s">
        <v>355</v>
      </c>
      <c r="BS128" s="1602">
        <v>0</v>
      </c>
      <c r="BT128" s="1602">
        <v>20</v>
      </c>
      <c r="BU128" s="1602">
        <v>20</v>
      </c>
      <c r="BV128" s="1602">
        <v>20</v>
      </c>
      <c r="BW128" s="1602">
        <v>20</v>
      </c>
      <c r="BX128" s="1362">
        <f t="shared" si="99"/>
        <v>825169.67772779462</v>
      </c>
      <c r="BY128" s="1362">
        <f t="shared" si="100"/>
        <v>825169.67772779462</v>
      </c>
      <c r="BZ128" s="1362">
        <f t="shared" si="101"/>
        <v>825169.67772779462</v>
      </c>
      <c r="CA128" s="1362">
        <f t="shared" si="102"/>
        <v>825169.67772779462</v>
      </c>
      <c r="CB128" s="1362">
        <f t="shared" si="103"/>
        <v>3300678.7109111785</v>
      </c>
      <c r="CC128" s="1360">
        <v>20</v>
      </c>
      <c r="CD128" s="1360">
        <v>20</v>
      </c>
      <c r="CE128" s="1360">
        <v>20</v>
      </c>
      <c r="CF128" s="1360">
        <v>20</v>
      </c>
      <c r="CG128" s="1604">
        <f t="shared" si="83"/>
        <v>825169.67772779474</v>
      </c>
      <c r="CH128" s="1604">
        <f t="shared" si="84"/>
        <v>825169.67772779474</v>
      </c>
      <c r="CI128" s="1604">
        <f t="shared" si="85"/>
        <v>825169.67772779474</v>
      </c>
      <c r="CJ128" s="1604">
        <f t="shared" si="86"/>
        <v>825169.67772779474</v>
      </c>
      <c r="CK128" s="1521">
        <f t="shared" si="87"/>
        <v>3300678.710911179</v>
      </c>
      <c r="CL128" s="1132">
        <v>121</v>
      </c>
      <c r="CM128" s="1132" t="s">
        <v>356</v>
      </c>
      <c r="CN128" s="1359">
        <v>0</v>
      </c>
      <c r="CO128" s="1360">
        <v>9.1271249999999995</v>
      </c>
      <c r="CP128" s="1360">
        <v>9.1271249999999995</v>
      </c>
      <c r="CQ128" s="1360">
        <v>9.1271249999999995</v>
      </c>
      <c r="CR128" s="1360">
        <v>9.1271249999999995</v>
      </c>
      <c r="CS128" s="1362">
        <f t="shared" si="88"/>
        <v>41258.483886389731</v>
      </c>
      <c r="CT128" s="1362">
        <f t="shared" si="89"/>
        <v>41258.483886389731</v>
      </c>
      <c r="CU128" s="1362">
        <f t="shared" si="90"/>
        <v>41258.483886389731</v>
      </c>
      <c r="CV128" s="1362">
        <f t="shared" si="91"/>
        <v>41258.483886389731</v>
      </c>
      <c r="CW128" s="1362">
        <f t="shared" si="92"/>
        <v>165033.93554555892</v>
      </c>
      <c r="CY128" s="2887"/>
    </row>
    <row r="129" spans="1:118" s="1143" customFormat="1" ht="46.5" x14ac:dyDescent="0.35">
      <c r="A129" s="1132" t="s">
        <v>101</v>
      </c>
      <c r="B129" s="1132" t="s">
        <v>424</v>
      </c>
      <c r="C129" s="1132" t="s">
        <v>593</v>
      </c>
      <c r="D129" s="1359" t="s">
        <v>594</v>
      </c>
      <c r="E129" s="1359">
        <v>1</v>
      </c>
      <c r="F129" s="2564" t="s">
        <v>355</v>
      </c>
      <c r="G129" s="1132" t="s">
        <v>356</v>
      </c>
      <c r="H129" s="1360">
        <v>6.6932249999999991</v>
      </c>
      <c r="I129" s="1360">
        <v>6.6932249999999991</v>
      </c>
      <c r="J129" s="1360">
        <v>6.6932249999999991</v>
      </c>
      <c r="K129" s="1360">
        <v>6.6932249999999991</v>
      </c>
      <c r="L129" s="1132" t="s">
        <v>357</v>
      </c>
      <c r="M129" s="1132" t="str">
        <f t="shared" si="54"/>
        <v>Nicor Gas PY11-PY14 Adjustable Goals Template_2025-03-01, Tab 4.4.16</v>
      </c>
      <c r="N129" s="1361">
        <v>7330.5589709869309</v>
      </c>
      <c r="O129" s="1361">
        <v>7330.5589709869309</v>
      </c>
      <c r="P129" s="1361">
        <v>7330.5589709869309</v>
      </c>
      <c r="Q129" s="1361">
        <v>7330.5589709869309</v>
      </c>
      <c r="R129" s="1781">
        <v>0.86</v>
      </c>
      <c r="S129" s="1781">
        <v>0.86</v>
      </c>
      <c r="T129" s="1781">
        <v>0.86</v>
      </c>
      <c r="U129" s="1781">
        <v>0.86</v>
      </c>
      <c r="V129" s="1781">
        <v>0.86</v>
      </c>
      <c r="W129" s="1781">
        <v>0.86</v>
      </c>
      <c r="X129" s="1781">
        <v>0.86</v>
      </c>
      <c r="Y129" s="1781">
        <v>0.86</v>
      </c>
      <c r="Z129" s="1359">
        <v>1</v>
      </c>
      <c r="AA129" s="1781">
        <f t="shared" si="55"/>
        <v>0.86</v>
      </c>
      <c r="AB129" s="1781">
        <f t="shared" si="56"/>
        <v>0.86</v>
      </c>
      <c r="AC129" s="1781">
        <f t="shared" si="57"/>
        <v>0.86</v>
      </c>
      <c r="AD129" s="1781">
        <f t="shared" si="58"/>
        <v>0.86</v>
      </c>
      <c r="AE129" s="1781">
        <f t="shared" si="59"/>
        <v>0.86</v>
      </c>
      <c r="AF129" s="1781">
        <f t="shared" si="60"/>
        <v>0.86</v>
      </c>
      <c r="AG129" s="1781">
        <f t="shared" si="61"/>
        <v>0.86</v>
      </c>
      <c r="AH129" s="1781">
        <f t="shared" si="62"/>
        <v>0.86</v>
      </c>
      <c r="AI129" s="1362">
        <f t="shared" si="93"/>
        <v>42195.969288982233</v>
      </c>
      <c r="AJ129" s="1362">
        <f t="shared" si="94"/>
        <v>42195.969288982233</v>
      </c>
      <c r="AK129" s="1362">
        <f t="shared" si="95"/>
        <v>42195.969288982233</v>
      </c>
      <c r="AL129" s="1362">
        <f t="shared" si="96"/>
        <v>42195.969288982233</v>
      </c>
      <c r="AM129" s="1362">
        <f t="shared" si="97"/>
        <v>168783.87715592893</v>
      </c>
      <c r="AN129" s="1132" t="str">
        <f t="shared" si="63"/>
        <v>CI-HVC-STRE-V05-180101</v>
      </c>
      <c r="AO129" s="1132" t="str">
        <f t="shared" si="64"/>
        <v>Nicor Gas PY11-PY14 Adjustable Goals Template_2025-03-01, Tab 4.4.16</v>
      </c>
      <c r="AP129" s="2505">
        <f>'4.4.16'!$O$18</f>
        <v>7330.5589709869309</v>
      </c>
      <c r="AQ129" s="2505"/>
      <c r="AR129" s="2505">
        <f t="shared" si="65"/>
        <v>42195.969288982233</v>
      </c>
      <c r="AS129" s="2505">
        <f t="shared" si="66"/>
        <v>0</v>
      </c>
      <c r="AT129" s="1132" t="str">
        <f t="shared" si="67"/>
        <v>CI-HVC-STRE-V05-180101</v>
      </c>
      <c r="AU129" s="1132" t="str">
        <f t="shared" si="68"/>
        <v>Nicor Gas PY11-PY14 Adjustable Goals Template_2025-03-01, Tab 4.4.16</v>
      </c>
      <c r="AV129" s="2505">
        <f>'4.4.16'!$O$18</f>
        <v>7330.5589709869309</v>
      </c>
      <c r="AW129" s="2505"/>
      <c r="AX129" s="1362">
        <f t="shared" si="69"/>
        <v>42195.969288982233</v>
      </c>
      <c r="AY129" s="1360">
        <f t="shared" si="70"/>
        <v>0</v>
      </c>
      <c r="AZ129" s="1132" t="str">
        <f t="shared" si="71"/>
        <v>CI-HVC-STRE-V05-180101</v>
      </c>
      <c r="BA129" s="1132" t="str">
        <f t="shared" si="72"/>
        <v>Nicor Gas PY11-PY14 Adjustable Goals Template_2025-03-01, Tab 4.4.16</v>
      </c>
      <c r="BB129" s="2505">
        <f>'4.4.16'!$O$18</f>
        <v>7330.5589709869309</v>
      </c>
      <c r="BC129" s="2505"/>
      <c r="BD129" s="1362">
        <f t="shared" si="73"/>
        <v>42195.969288982233</v>
      </c>
      <c r="BE129" s="1360">
        <f t="shared" si="74"/>
        <v>0</v>
      </c>
      <c r="BF129" s="1132" t="str">
        <f t="shared" si="75"/>
        <v>CI-HVC-STRE-V05-180101</v>
      </c>
      <c r="BG129" s="1132" t="str">
        <f t="shared" si="76"/>
        <v>Nicor Gas PY11-PY14 Adjustable Goals Template_2025-03-01, Tab 4.4.16</v>
      </c>
      <c r="BH129" s="2505">
        <f>'4.4.16'!$O$18</f>
        <v>7330.5589709869309</v>
      </c>
      <c r="BI129" s="2505"/>
      <c r="BJ129" s="1362">
        <f t="shared" si="98"/>
        <v>42195.969288982233</v>
      </c>
      <c r="BK129" s="1360">
        <f t="shared" si="77"/>
        <v>0</v>
      </c>
      <c r="BL129" s="1601">
        <f t="shared" si="78"/>
        <v>42195.969288982233</v>
      </c>
      <c r="BM129" s="1601">
        <f t="shared" si="79"/>
        <v>42195.969288982233</v>
      </c>
      <c r="BN129" s="1601">
        <f t="shared" si="80"/>
        <v>42195.969288982233</v>
      </c>
      <c r="BO129" s="1601">
        <f t="shared" si="81"/>
        <v>42195.969288982233</v>
      </c>
      <c r="BP129" s="1602">
        <f t="shared" si="82"/>
        <v>168783.87715592893</v>
      </c>
      <c r="BQ129" s="1602"/>
      <c r="BR129" s="1602" t="s">
        <v>355</v>
      </c>
      <c r="BS129" s="1602">
        <v>0</v>
      </c>
      <c r="BT129" s="1602">
        <v>20</v>
      </c>
      <c r="BU129" s="1602">
        <v>20</v>
      </c>
      <c r="BV129" s="1602">
        <v>20</v>
      </c>
      <c r="BW129" s="1602">
        <v>20</v>
      </c>
      <c r="BX129" s="1362">
        <f t="shared" si="99"/>
        <v>843919.3857796446</v>
      </c>
      <c r="BY129" s="1362">
        <f t="shared" si="100"/>
        <v>843919.3857796446</v>
      </c>
      <c r="BZ129" s="1362">
        <f t="shared" si="101"/>
        <v>843919.3857796446</v>
      </c>
      <c r="CA129" s="1362">
        <f t="shared" si="102"/>
        <v>843919.3857796446</v>
      </c>
      <c r="CB129" s="1362">
        <f t="shared" si="103"/>
        <v>3375677.5431185784</v>
      </c>
      <c r="CC129" s="1360">
        <v>20</v>
      </c>
      <c r="CD129" s="1360">
        <v>20</v>
      </c>
      <c r="CE129" s="1360">
        <v>20</v>
      </c>
      <c r="CF129" s="1360">
        <v>20</v>
      </c>
      <c r="CG129" s="1604">
        <f t="shared" si="83"/>
        <v>843919.3857796446</v>
      </c>
      <c r="CH129" s="1604">
        <f t="shared" si="84"/>
        <v>843919.3857796446</v>
      </c>
      <c r="CI129" s="1604">
        <f t="shared" si="85"/>
        <v>843919.3857796446</v>
      </c>
      <c r="CJ129" s="1604">
        <f t="shared" si="86"/>
        <v>843919.3857796446</v>
      </c>
      <c r="CK129" s="1521">
        <f t="shared" si="87"/>
        <v>3375677.5431185784</v>
      </c>
      <c r="CL129" s="1132">
        <v>122</v>
      </c>
      <c r="CM129" s="1132" t="s">
        <v>356</v>
      </c>
      <c r="CN129" s="1359">
        <v>0</v>
      </c>
      <c r="CO129" s="1360">
        <v>6.6932249999999991</v>
      </c>
      <c r="CP129" s="1360">
        <v>6.6932249999999991</v>
      </c>
      <c r="CQ129" s="1360">
        <v>6.6932249999999991</v>
      </c>
      <c r="CR129" s="1360">
        <v>6.6932249999999991</v>
      </c>
      <c r="CS129" s="1362">
        <f t="shared" si="88"/>
        <v>42195.969288982233</v>
      </c>
      <c r="CT129" s="1362">
        <f t="shared" si="89"/>
        <v>42195.969288982233</v>
      </c>
      <c r="CU129" s="1362">
        <f t="shared" si="90"/>
        <v>42195.969288982233</v>
      </c>
      <c r="CV129" s="1362">
        <f t="shared" si="91"/>
        <v>42195.969288982233</v>
      </c>
      <c r="CW129" s="1362">
        <f t="shared" si="92"/>
        <v>168783.87715592893</v>
      </c>
      <c r="CY129" s="2887"/>
    </row>
    <row r="130" spans="1:118" s="1143" customFormat="1" ht="46.5" x14ac:dyDescent="0.35">
      <c r="A130" s="1132" t="s">
        <v>101</v>
      </c>
      <c r="B130" s="1132" t="s">
        <v>424</v>
      </c>
      <c r="C130" s="1132" t="s">
        <v>595</v>
      </c>
      <c r="D130" s="1359" t="s">
        <v>596</v>
      </c>
      <c r="E130" s="1359">
        <v>1</v>
      </c>
      <c r="F130" s="2564" t="s">
        <v>355</v>
      </c>
      <c r="G130" s="1132" t="s">
        <v>356</v>
      </c>
      <c r="H130" s="1360">
        <v>12.169499999999999</v>
      </c>
      <c r="I130" s="1360">
        <v>12.169499999999999</v>
      </c>
      <c r="J130" s="1360">
        <v>12.169499999999999</v>
      </c>
      <c r="K130" s="1360">
        <v>12.169499999999999</v>
      </c>
      <c r="L130" s="1132" t="s">
        <v>357</v>
      </c>
      <c r="M130" s="1132" t="str">
        <f t="shared" si="54"/>
        <v>Nicor Gas PY11-PY14 Adjustable Goals Template_2025-03-01, Tab 4.4.16</v>
      </c>
      <c r="N130" s="1361">
        <v>9903.4578866889951</v>
      </c>
      <c r="O130" s="1361">
        <v>9903.4578866889951</v>
      </c>
      <c r="P130" s="1361">
        <v>9903.4578866889951</v>
      </c>
      <c r="Q130" s="1361">
        <v>9903.4578866889951</v>
      </c>
      <c r="R130" s="1781">
        <v>0.86</v>
      </c>
      <c r="S130" s="1781">
        <v>0.86</v>
      </c>
      <c r="T130" s="1781">
        <v>0.86</v>
      </c>
      <c r="U130" s="1781">
        <v>0.86</v>
      </c>
      <c r="V130" s="1781">
        <v>0.86</v>
      </c>
      <c r="W130" s="1781">
        <v>0.86</v>
      </c>
      <c r="X130" s="1781">
        <v>0.86</v>
      </c>
      <c r="Y130" s="1781">
        <v>0.86</v>
      </c>
      <c r="Z130" s="1359">
        <v>1</v>
      </c>
      <c r="AA130" s="1781">
        <f t="shared" si="55"/>
        <v>0.86</v>
      </c>
      <c r="AB130" s="1781">
        <f t="shared" si="56"/>
        <v>0.86</v>
      </c>
      <c r="AC130" s="1781">
        <f t="shared" si="57"/>
        <v>0.86</v>
      </c>
      <c r="AD130" s="1781">
        <f t="shared" si="58"/>
        <v>0.86</v>
      </c>
      <c r="AE130" s="1781">
        <f t="shared" si="59"/>
        <v>0.86</v>
      </c>
      <c r="AF130" s="1781">
        <f t="shared" si="60"/>
        <v>0.86</v>
      </c>
      <c r="AG130" s="1781">
        <f t="shared" si="61"/>
        <v>0.86</v>
      </c>
      <c r="AH130" s="1781">
        <f t="shared" si="62"/>
        <v>0.86</v>
      </c>
      <c r="AI130" s="1362">
        <f t="shared" si="93"/>
        <v>103647.31244677308</v>
      </c>
      <c r="AJ130" s="1362">
        <f t="shared" si="94"/>
        <v>103647.31244677308</v>
      </c>
      <c r="AK130" s="1362">
        <f t="shared" si="95"/>
        <v>103647.31244677308</v>
      </c>
      <c r="AL130" s="1362">
        <f t="shared" si="96"/>
        <v>103647.31244677308</v>
      </c>
      <c r="AM130" s="1362">
        <f t="shared" si="97"/>
        <v>414589.24978709233</v>
      </c>
      <c r="AN130" s="1132" t="str">
        <f t="shared" si="63"/>
        <v>CI-HVC-STRE-V05-180101</v>
      </c>
      <c r="AO130" s="1132" t="str">
        <f t="shared" si="64"/>
        <v>Nicor Gas PY11-PY14 Adjustable Goals Template_2025-03-01, Tab 4.4.16</v>
      </c>
      <c r="AP130" s="2505">
        <f>'4.4.16'!$O$19</f>
        <v>9903.4578866889951</v>
      </c>
      <c r="AQ130" s="2505"/>
      <c r="AR130" s="2505">
        <f t="shared" si="65"/>
        <v>103647.31244677308</v>
      </c>
      <c r="AS130" s="2505">
        <f t="shared" si="66"/>
        <v>0</v>
      </c>
      <c r="AT130" s="1132" t="str">
        <f t="shared" si="67"/>
        <v>CI-HVC-STRE-V05-180101</v>
      </c>
      <c r="AU130" s="1132" t="str">
        <f t="shared" si="68"/>
        <v>Nicor Gas PY11-PY14 Adjustable Goals Template_2025-03-01, Tab 4.4.16</v>
      </c>
      <c r="AV130" s="2505">
        <f>'4.4.16'!$O$19</f>
        <v>9903.4578866889951</v>
      </c>
      <c r="AW130" s="2505"/>
      <c r="AX130" s="1362">
        <f t="shared" si="69"/>
        <v>103647.31244677308</v>
      </c>
      <c r="AY130" s="1360">
        <f t="shared" si="70"/>
        <v>0</v>
      </c>
      <c r="AZ130" s="1132" t="str">
        <f t="shared" si="71"/>
        <v>CI-HVC-STRE-V05-180101</v>
      </c>
      <c r="BA130" s="1132" t="str">
        <f t="shared" si="72"/>
        <v>Nicor Gas PY11-PY14 Adjustable Goals Template_2025-03-01, Tab 4.4.16</v>
      </c>
      <c r="BB130" s="2505">
        <f>'4.4.16'!$O$19</f>
        <v>9903.4578866889951</v>
      </c>
      <c r="BC130" s="2505"/>
      <c r="BD130" s="1362">
        <f t="shared" si="73"/>
        <v>103647.31244677308</v>
      </c>
      <c r="BE130" s="1360">
        <f t="shared" si="74"/>
        <v>0</v>
      </c>
      <c r="BF130" s="1132" t="str">
        <f t="shared" si="75"/>
        <v>CI-HVC-STRE-V05-180101</v>
      </c>
      <c r="BG130" s="1132" t="str">
        <f t="shared" si="76"/>
        <v>Nicor Gas PY11-PY14 Adjustable Goals Template_2025-03-01, Tab 4.4.16</v>
      </c>
      <c r="BH130" s="2505">
        <f>'4.4.16'!$O$19</f>
        <v>9903.4578866889951</v>
      </c>
      <c r="BI130" s="2505"/>
      <c r="BJ130" s="1362">
        <f t="shared" si="98"/>
        <v>103647.31244677308</v>
      </c>
      <c r="BK130" s="1360">
        <f t="shared" si="77"/>
        <v>0</v>
      </c>
      <c r="BL130" s="1601">
        <f t="shared" si="78"/>
        <v>103647.31244677308</v>
      </c>
      <c r="BM130" s="1601">
        <f t="shared" si="79"/>
        <v>103647.31244677308</v>
      </c>
      <c r="BN130" s="1601">
        <f t="shared" si="80"/>
        <v>103647.31244677308</v>
      </c>
      <c r="BO130" s="1601">
        <f t="shared" si="81"/>
        <v>103647.31244677308</v>
      </c>
      <c r="BP130" s="1602">
        <f t="shared" si="82"/>
        <v>414589.24978709233</v>
      </c>
      <c r="BQ130" s="1602"/>
      <c r="BR130" s="1602" t="s">
        <v>355</v>
      </c>
      <c r="BS130" s="1602">
        <v>0</v>
      </c>
      <c r="BT130" s="1602">
        <v>20</v>
      </c>
      <c r="BU130" s="1602">
        <v>20</v>
      </c>
      <c r="BV130" s="1602">
        <v>20</v>
      </c>
      <c r="BW130" s="1602">
        <v>20</v>
      </c>
      <c r="BX130" s="1362">
        <f t="shared" si="99"/>
        <v>2072946.2489354615</v>
      </c>
      <c r="BY130" s="1362">
        <f t="shared" si="100"/>
        <v>2072946.2489354615</v>
      </c>
      <c r="BZ130" s="1362">
        <f t="shared" si="101"/>
        <v>2072946.2489354615</v>
      </c>
      <c r="CA130" s="1362">
        <f t="shared" si="102"/>
        <v>2072946.2489354615</v>
      </c>
      <c r="CB130" s="1362">
        <f t="shared" si="103"/>
        <v>8291784.995741846</v>
      </c>
      <c r="CC130" s="1360">
        <v>20</v>
      </c>
      <c r="CD130" s="1360">
        <v>20</v>
      </c>
      <c r="CE130" s="1360">
        <v>20</v>
      </c>
      <c r="CF130" s="1360">
        <v>20</v>
      </c>
      <c r="CG130" s="1604">
        <f t="shared" si="83"/>
        <v>2072946.2489354615</v>
      </c>
      <c r="CH130" s="1604">
        <f t="shared" si="84"/>
        <v>2072946.2489354615</v>
      </c>
      <c r="CI130" s="1604">
        <f t="shared" si="85"/>
        <v>2072946.2489354615</v>
      </c>
      <c r="CJ130" s="1604">
        <f t="shared" si="86"/>
        <v>2072946.2489354615</v>
      </c>
      <c r="CK130" s="1521">
        <f t="shared" si="87"/>
        <v>8291784.995741846</v>
      </c>
      <c r="CL130" s="1132">
        <v>123</v>
      </c>
      <c r="CM130" s="1132" t="s">
        <v>356</v>
      </c>
      <c r="CN130" s="1359">
        <v>0</v>
      </c>
      <c r="CO130" s="1360">
        <v>12.169499999999999</v>
      </c>
      <c r="CP130" s="1360">
        <v>12.169499999999999</v>
      </c>
      <c r="CQ130" s="1360">
        <v>12.169499999999999</v>
      </c>
      <c r="CR130" s="1360">
        <v>12.169499999999999</v>
      </c>
      <c r="CS130" s="1362">
        <f t="shared" si="88"/>
        <v>103647.31244677308</v>
      </c>
      <c r="CT130" s="1362">
        <f t="shared" si="89"/>
        <v>103647.31244677308</v>
      </c>
      <c r="CU130" s="1362">
        <f t="shared" si="90"/>
        <v>103647.31244677308</v>
      </c>
      <c r="CV130" s="1362">
        <f t="shared" si="91"/>
        <v>103647.31244677308</v>
      </c>
      <c r="CW130" s="1362">
        <f t="shared" si="92"/>
        <v>414589.24978709233</v>
      </c>
      <c r="CY130" s="2887"/>
    </row>
    <row r="131" spans="1:118" s="1143" customFormat="1" ht="46.5" x14ac:dyDescent="0.35">
      <c r="A131" s="1132" t="s">
        <v>101</v>
      </c>
      <c r="B131" s="1132" t="s">
        <v>424</v>
      </c>
      <c r="C131" s="1132" t="s">
        <v>597</v>
      </c>
      <c r="D131" s="1359" t="s">
        <v>598</v>
      </c>
      <c r="E131" s="1359">
        <v>1</v>
      </c>
      <c r="F131" s="2564" t="s">
        <v>355</v>
      </c>
      <c r="G131" s="1132" t="s">
        <v>356</v>
      </c>
      <c r="H131" s="1360">
        <v>6.0847499999999997</v>
      </c>
      <c r="I131" s="1360">
        <v>6.0847499999999997</v>
      </c>
      <c r="J131" s="1360">
        <v>6.0847499999999997</v>
      </c>
      <c r="K131" s="1360">
        <v>6.0847499999999997</v>
      </c>
      <c r="L131" s="1132" t="s">
        <v>357</v>
      </c>
      <c r="M131" s="1132" t="str">
        <f t="shared" si="54"/>
        <v>Nicor Gas PY11-PY14 Adjustable Goals Template_2025-03-01, Tab 4.4.16</v>
      </c>
      <c r="N131" s="1361">
        <v>12686.870831068883</v>
      </c>
      <c r="O131" s="1361">
        <v>12686.870831068883</v>
      </c>
      <c r="P131" s="1361">
        <v>12686.870831068883</v>
      </c>
      <c r="Q131" s="1361">
        <v>12686.870831068883</v>
      </c>
      <c r="R131" s="1781">
        <v>0.86</v>
      </c>
      <c r="S131" s="1781">
        <v>0.86</v>
      </c>
      <c r="T131" s="1781">
        <v>0.86</v>
      </c>
      <c r="U131" s="1781">
        <v>0.86</v>
      </c>
      <c r="V131" s="1781">
        <v>0.86</v>
      </c>
      <c r="W131" s="1781">
        <v>0.86</v>
      </c>
      <c r="X131" s="1781">
        <v>0.86</v>
      </c>
      <c r="Y131" s="1781">
        <v>0.86</v>
      </c>
      <c r="Z131" s="1359">
        <v>1</v>
      </c>
      <c r="AA131" s="1781">
        <f t="shared" si="55"/>
        <v>0.86</v>
      </c>
      <c r="AB131" s="1781">
        <f t="shared" si="56"/>
        <v>0.86</v>
      </c>
      <c r="AC131" s="1781">
        <f t="shared" si="57"/>
        <v>0.86</v>
      </c>
      <c r="AD131" s="1781">
        <f t="shared" si="58"/>
        <v>0.86</v>
      </c>
      <c r="AE131" s="1781">
        <f t="shared" si="59"/>
        <v>0.86</v>
      </c>
      <c r="AF131" s="1781">
        <f t="shared" si="60"/>
        <v>0.86</v>
      </c>
      <c r="AG131" s="1781">
        <f t="shared" si="61"/>
        <v>0.86</v>
      </c>
      <c r="AH131" s="1781">
        <f t="shared" si="62"/>
        <v>0.86</v>
      </c>
      <c r="AI131" s="1362">
        <f t="shared" si="93"/>
        <v>66388.936068837895</v>
      </c>
      <c r="AJ131" s="1362">
        <f t="shared" si="94"/>
        <v>66388.936068837895</v>
      </c>
      <c r="AK131" s="1362">
        <f t="shared" si="95"/>
        <v>66388.936068837895</v>
      </c>
      <c r="AL131" s="1362">
        <f t="shared" si="96"/>
        <v>66388.936068837895</v>
      </c>
      <c r="AM131" s="1362">
        <f t="shared" si="97"/>
        <v>265555.74427535158</v>
      </c>
      <c r="AN131" s="1132" t="str">
        <f t="shared" si="63"/>
        <v>CI-HVC-STRE-V05-180101</v>
      </c>
      <c r="AO131" s="1132" t="str">
        <f t="shared" si="64"/>
        <v>Nicor Gas PY11-PY14 Adjustable Goals Template_2025-03-01, Tab 4.4.16</v>
      </c>
      <c r="AP131" s="2505">
        <f>'4.4.16'!$O$20</f>
        <v>12686.870831068883</v>
      </c>
      <c r="AQ131" s="2505"/>
      <c r="AR131" s="2505">
        <f t="shared" si="65"/>
        <v>66388.936068837895</v>
      </c>
      <c r="AS131" s="2505">
        <f t="shared" si="66"/>
        <v>0</v>
      </c>
      <c r="AT131" s="1132" t="str">
        <f t="shared" si="67"/>
        <v>CI-HVC-STRE-V05-180101</v>
      </c>
      <c r="AU131" s="1132" t="str">
        <f t="shared" si="68"/>
        <v>Nicor Gas PY11-PY14 Adjustable Goals Template_2025-03-01, Tab 4.4.16</v>
      </c>
      <c r="AV131" s="2505">
        <f>'4.4.16'!$O$20</f>
        <v>12686.870831068883</v>
      </c>
      <c r="AW131" s="2505"/>
      <c r="AX131" s="1362">
        <f t="shared" si="69"/>
        <v>66388.936068837895</v>
      </c>
      <c r="AY131" s="1360">
        <f t="shared" si="70"/>
        <v>0</v>
      </c>
      <c r="AZ131" s="1132" t="str">
        <f t="shared" si="71"/>
        <v>CI-HVC-STRE-V05-180101</v>
      </c>
      <c r="BA131" s="1132" t="str">
        <f t="shared" si="72"/>
        <v>Nicor Gas PY11-PY14 Adjustable Goals Template_2025-03-01, Tab 4.4.16</v>
      </c>
      <c r="BB131" s="2505">
        <f>'4.4.16'!$O$20</f>
        <v>12686.870831068883</v>
      </c>
      <c r="BC131" s="2505"/>
      <c r="BD131" s="1362">
        <f t="shared" si="73"/>
        <v>66388.936068837895</v>
      </c>
      <c r="BE131" s="1360">
        <f t="shared" si="74"/>
        <v>0</v>
      </c>
      <c r="BF131" s="1132" t="str">
        <f t="shared" si="75"/>
        <v>CI-HVC-STRE-V05-180101</v>
      </c>
      <c r="BG131" s="1132" t="str">
        <f t="shared" si="76"/>
        <v>Nicor Gas PY11-PY14 Adjustable Goals Template_2025-03-01, Tab 4.4.16</v>
      </c>
      <c r="BH131" s="2505">
        <f>'4.4.16'!$O$20</f>
        <v>12686.870831068883</v>
      </c>
      <c r="BI131" s="2505"/>
      <c r="BJ131" s="1362">
        <f t="shared" si="98"/>
        <v>66388.936068837895</v>
      </c>
      <c r="BK131" s="1360">
        <f t="shared" si="77"/>
        <v>0</v>
      </c>
      <c r="BL131" s="1601">
        <f t="shared" si="78"/>
        <v>66388.936068837895</v>
      </c>
      <c r="BM131" s="1601">
        <f t="shared" si="79"/>
        <v>66388.936068837895</v>
      </c>
      <c r="BN131" s="1601">
        <f t="shared" si="80"/>
        <v>66388.936068837895</v>
      </c>
      <c r="BO131" s="1601">
        <f t="shared" si="81"/>
        <v>66388.936068837895</v>
      </c>
      <c r="BP131" s="1602">
        <f t="shared" si="82"/>
        <v>265555.74427535158</v>
      </c>
      <c r="BQ131" s="1602"/>
      <c r="BR131" s="1602" t="s">
        <v>355</v>
      </c>
      <c r="BS131" s="1602">
        <v>0</v>
      </c>
      <c r="BT131" s="1602">
        <v>20</v>
      </c>
      <c r="BU131" s="1602">
        <v>20</v>
      </c>
      <c r="BV131" s="1602">
        <v>20</v>
      </c>
      <c r="BW131" s="1602">
        <v>20</v>
      </c>
      <c r="BX131" s="1362">
        <f t="shared" si="99"/>
        <v>1327778.7213767578</v>
      </c>
      <c r="BY131" s="1362">
        <f t="shared" si="100"/>
        <v>1327778.7213767578</v>
      </c>
      <c r="BZ131" s="1362">
        <f t="shared" si="101"/>
        <v>1327778.7213767578</v>
      </c>
      <c r="CA131" s="1362">
        <f t="shared" si="102"/>
        <v>1327778.7213767578</v>
      </c>
      <c r="CB131" s="1362">
        <f t="shared" si="103"/>
        <v>5311114.8855070313</v>
      </c>
      <c r="CC131" s="1360">
        <v>20</v>
      </c>
      <c r="CD131" s="1360">
        <v>20</v>
      </c>
      <c r="CE131" s="1360">
        <v>20</v>
      </c>
      <c r="CF131" s="1360">
        <v>20</v>
      </c>
      <c r="CG131" s="1604">
        <f t="shared" si="83"/>
        <v>1327778.7213767578</v>
      </c>
      <c r="CH131" s="1604">
        <f t="shared" si="84"/>
        <v>1327778.7213767578</v>
      </c>
      <c r="CI131" s="1604">
        <f t="shared" si="85"/>
        <v>1327778.7213767578</v>
      </c>
      <c r="CJ131" s="1604">
        <f t="shared" si="86"/>
        <v>1327778.7213767578</v>
      </c>
      <c r="CK131" s="1521">
        <f t="shared" si="87"/>
        <v>5311114.8855070313</v>
      </c>
      <c r="CL131" s="1132">
        <v>124</v>
      </c>
      <c r="CM131" s="1132" t="s">
        <v>356</v>
      </c>
      <c r="CN131" s="1359">
        <v>0</v>
      </c>
      <c r="CO131" s="1360">
        <v>6.0847499999999997</v>
      </c>
      <c r="CP131" s="1360">
        <v>6.0847499999999997</v>
      </c>
      <c r="CQ131" s="1360">
        <v>6.0847499999999997</v>
      </c>
      <c r="CR131" s="1360">
        <v>6.0847499999999997</v>
      </c>
      <c r="CS131" s="1362">
        <f t="shared" si="88"/>
        <v>66388.936068837895</v>
      </c>
      <c r="CT131" s="1362">
        <f t="shared" si="89"/>
        <v>66388.936068837895</v>
      </c>
      <c r="CU131" s="1362">
        <f t="shared" si="90"/>
        <v>66388.936068837895</v>
      </c>
      <c r="CV131" s="1362">
        <f t="shared" si="91"/>
        <v>66388.936068837895</v>
      </c>
      <c r="CW131" s="1362">
        <f t="shared" si="92"/>
        <v>265555.74427535158</v>
      </c>
      <c r="CY131" s="2887"/>
      <c r="DN131" s="1715"/>
    </row>
    <row r="132" spans="1:118" s="1143" customFormat="1" ht="46.5" x14ac:dyDescent="0.35">
      <c r="A132" s="1132" t="s">
        <v>101</v>
      </c>
      <c r="B132" s="1132" t="s">
        <v>424</v>
      </c>
      <c r="C132" s="1132" t="s">
        <v>599</v>
      </c>
      <c r="D132" s="1359" t="s">
        <v>600</v>
      </c>
      <c r="E132" s="1359">
        <v>1</v>
      </c>
      <c r="F132" s="2564" t="s">
        <v>355</v>
      </c>
      <c r="G132" s="1132" t="s">
        <v>356</v>
      </c>
      <c r="H132" s="1360">
        <v>9.1271249999999995</v>
      </c>
      <c r="I132" s="1360">
        <v>9.1271249999999995</v>
      </c>
      <c r="J132" s="1360">
        <v>9.1271249999999995</v>
      </c>
      <c r="K132" s="1360">
        <v>9.1271249999999995</v>
      </c>
      <c r="L132" s="1132" t="s">
        <v>357</v>
      </c>
      <c r="M132" s="1132" t="str">
        <f t="shared" si="54"/>
        <v>Nicor Gas PY11-PY14 Adjustable Goals Template_2025-03-01, Tab 4.4.16</v>
      </c>
      <c r="N132" s="1361">
        <v>648.01507774707386</v>
      </c>
      <c r="O132" s="1361">
        <v>648.01507774707386</v>
      </c>
      <c r="P132" s="1361">
        <v>648.01507774707386</v>
      </c>
      <c r="Q132" s="1361">
        <v>648.01507774707386</v>
      </c>
      <c r="R132" s="1781">
        <v>0.86</v>
      </c>
      <c r="S132" s="1781">
        <v>0.86</v>
      </c>
      <c r="T132" s="1781">
        <v>0.86</v>
      </c>
      <c r="U132" s="1781">
        <v>0.86</v>
      </c>
      <c r="V132" s="1781">
        <v>0.86</v>
      </c>
      <c r="W132" s="1781">
        <v>0.86</v>
      </c>
      <c r="X132" s="1781">
        <v>0.86</v>
      </c>
      <c r="Y132" s="1781">
        <v>0.86</v>
      </c>
      <c r="Z132" s="1359">
        <v>1</v>
      </c>
      <c r="AA132" s="1781">
        <f t="shared" si="55"/>
        <v>0.86</v>
      </c>
      <c r="AB132" s="1781">
        <f t="shared" si="56"/>
        <v>0.86</v>
      </c>
      <c r="AC132" s="1781">
        <f t="shared" si="57"/>
        <v>0.86</v>
      </c>
      <c r="AD132" s="1781">
        <f t="shared" si="58"/>
        <v>0.86</v>
      </c>
      <c r="AE132" s="1781">
        <f t="shared" si="59"/>
        <v>0.86</v>
      </c>
      <c r="AF132" s="1781">
        <f t="shared" si="60"/>
        <v>0.86</v>
      </c>
      <c r="AG132" s="1781">
        <f t="shared" si="61"/>
        <v>0.86</v>
      </c>
      <c r="AH132" s="1781">
        <f t="shared" si="62"/>
        <v>0.86</v>
      </c>
      <c r="AI132" s="1362">
        <f t="shared" si="93"/>
        <v>5086.4825701747441</v>
      </c>
      <c r="AJ132" s="1362">
        <f t="shared" si="94"/>
        <v>5086.4825701747441</v>
      </c>
      <c r="AK132" s="1362">
        <f t="shared" si="95"/>
        <v>5086.4825701747441</v>
      </c>
      <c r="AL132" s="1362">
        <f t="shared" si="96"/>
        <v>5086.4825701747441</v>
      </c>
      <c r="AM132" s="1362">
        <f t="shared" si="97"/>
        <v>20345.930280698976</v>
      </c>
      <c r="AN132" s="1132" t="str">
        <f t="shared" si="63"/>
        <v>CI-HVC-STRE-V05-180101</v>
      </c>
      <c r="AO132" s="1132" t="str">
        <f t="shared" si="64"/>
        <v>Nicor Gas PY11-PY14 Adjustable Goals Template_2025-03-01, Tab 4.4.16</v>
      </c>
      <c r="AP132" s="2505">
        <f>'4.4.16'!$O$23</f>
        <v>648.01507774707386</v>
      </c>
      <c r="AQ132" s="2505"/>
      <c r="AR132" s="2505">
        <f t="shared" si="65"/>
        <v>5086.4825701747441</v>
      </c>
      <c r="AS132" s="2505">
        <f t="shared" si="66"/>
        <v>0</v>
      </c>
      <c r="AT132" s="1132" t="str">
        <f t="shared" si="67"/>
        <v>CI-HVC-STRE-V05-180101</v>
      </c>
      <c r="AU132" s="1132" t="str">
        <f t="shared" si="68"/>
        <v>Nicor Gas PY11-PY14 Adjustable Goals Template_2025-03-01, Tab 4.4.16</v>
      </c>
      <c r="AV132" s="2505">
        <f>'4.4.16'!$O$23</f>
        <v>648.01507774707386</v>
      </c>
      <c r="AW132" s="2505"/>
      <c r="AX132" s="1362">
        <f t="shared" si="69"/>
        <v>5086.4825701747441</v>
      </c>
      <c r="AY132" s="1360">
        <f t="shared" si="70"/>
        <v>0</v>
      </c>
      <c r="AZ132" s="1132" t="str">
        <f t="shared" si="71"/>
        <v>CI-HVC-STRE-V05-180101</v>
      </c>
      <c r="BA132" s="1132" t="str">
        <f t="shared" si="72"/>
        <v>Nicor Gas PY11-PY14 Adjustable Goals Template_2025-03-01, Tab 4.4.16</v>
      </c>
      <c r="BB132" s="2505">
        <f>'4.4.16'!$O$23</f>
        <v>648.01507774707386</v>
      </c>
      <c r="BC132" s="2505"/>
      <c r="BD132" s="1362">
        <f t="shared" si="73"/>
        <v>5086.4825701747441</v>
      </c>
      <c r="BE132" s="1360">
        <f t="shared" si="74"/>
        <v>0</v>
      </c>
      <c r="BF132" s="1132" t="str">
        <f t="shared" si="75"/>
        <v>CI-HVC-STRE-V05-180101</v>
      </c>
      <c r="BG132" s="1132" t="str">
        <f t="shared" si="76"/>
        <v>Nicor Gas PY11-PY14 Adjustable Goals Template_2025-03-01, Tab 4.4.16</v>
      </c>
      <c r="BH132" s="2505">
        <f>'4.4.16'!$O$23</f>
        <v>648.01507774707386</v>
      </c>
      <c r="BI132" s="2505"/>
      <c r="BJ132" s="1362">
        <f t="shared" si="98"/>
        <v>5086.4825701747441</v>
      </c>
      <c r="BK132" s="1360">
        <f t="shared" si="77"/>
        <v>0</v>
      </c>
      <c r="BL132" s="1601">
        <f t="shared" si="78"/>
        <v>5086.4825701747441</v>
      </c>
      <c r="BM132" s="1601">
        <f t="shared" si="79"/>
        <v>5086.4825701747441</v>
      </c>
      <c r="BN132" s="1601">
        <f t="shared" si="80"/>
        <v>5086.4825701747441</v>
      </c>
      <c r="BO132" s="1601">
        <f t="shared" si="81"/>
        <v>5086.4825701747441</v>
      </c>
      <c r="BP132" s="1602">
        <f t="shared" si="82"/>
        <v>20345.930280698976</v>
      </c>
      <c r="BQ132" s="1602"/>
      <c r="BR132" s="1602" t="s">
        <v>355</v>
      </c>
      <c r="BS132" s="1602">
        <v>0</v>
      </c>
      <c r="BT132" s="1602">
        <v>20</v>
      </c>
      <c r="BU132" s="1602">
        <v>20</v>
      </c>
      <c r="BV132" s="1602">
        <v>20</v>
      </c>
      <c r="BW132" s="1602">
        <v>20</v>
      </c>
      <c r="BX132" s="1362">
        <f t="shared" si="99"/>
        <v>101729.65140349488</v>
      </c>
      <c r="BY132" s="1362">
        <f t="shared" si="100"/>
        <v>101729.65140349488</v>
      </c>
      <c r="BZ132" s="1362">
        <f t="shared" si="101"/>
        <v>101729.65140349488</v>
      </c>
      <c r="CA132" s="1362">
        <f t="shared" si="102"/>
        <v>101729.65140349488</v>
      </c>
      <c r="CB132" s="1362">
        <f t="shared" si="103"/>
        <v>406918.60561397951</v>
      </c>
      <c r="CC132" s="1360">
        <v>20</v>
      </c>
      <c r="CD132" s="1360">
        <v>20</v>
      </c>
      <c r="CE132" s="1360">
        <v>20</v>
      </c>
      <c r="CF132" s="1360">
        <v>20</v>
      </c>
      <c r="CG132" s="1604">
        <f t="shared" si="83"/>
        <v>101729.65140349488</v>
      </c>
      <c r="CH132" s="1604">
        <f t="shared" si="84"/>
        <v>101729.65140349488</v>
      </c>
      <c r="CI132" s="1604">
        <f t="shared" si="85"/>
        <v>101729.65140349488</v>
      </c>
      <c r="CJ132" s="1604">
        <f t="shared" si="86"/>
        <v>101729.65140349488</v>
      </c>
      <c r="CK132" s="1521">
        <f t="shared" si="87"/>
        <v>406918.60561397951</v>
      </c>
      <c r="CL132" s="1132">
        <v>125</v>
      </c>
      <c r="CM132" s="1132" t="s">
        <v>356</v>
      </c>
      <c r="CN132" s="1359">
        <v>0</v>
      </c>
      <c r="CO132" s="1360">
        <v>9.1271249999999995</v>
      </c>
      <c r="CP132" s="1360">
        <v>9.1271249999999995</v>
      </c>
      <c r="CQ132" s="1360">
        <v>9.1271249999999995</v>
      </c>
      <c r="CR132" s="1360">
        <v>9.1271249999999995</v>
      </c>
      <c r="CS132" s="1362">
        <f t="shared" si="88"/>
        <v>5086.4825701747441</v>
      </c>
      <c r="CT132" s="1362">
        <f t="shared" si="89"/>
        <v>5086.4825701747441</v>
      </c>
      <c r="CU132" s="1362">
        <f t="shared" si="90"/>
        <v>5086.4825701747441</v>
      </c>
      <c r="CV132" s="1362">
        <f t="shared" si="91"/>
        <v>5086.4825701747441</v>
      </c>
      <c r="CW132" s="1362">
        <f t="shared" si="92"/>
        <v>20345.930280698976</v>
      </c>
      <c r="CY132" s="2887"/>
    </row>
    <row r="133" spans="1:118" s="1143" customFormat="1" ht="46.5" x14ac:dyDescent="0.35">
      <c r="A133" s="1132" t="s">
        <v>101</v>
      </c>
      <c r="B133" s="1132" t="s">
        <v>424</v>
      </c>
      <c r="C133" s="1132" t="s">
        <v>477</v>
      </c>
      <c r="D133" s="1359" t="s">
        <v>478</v>
      </c>
      <c r="E133" s="1359">
        <v>1</v>
      </c>
      <c r="F133" s="2807" t="s">
        <v>479</v>
      </c>
      <c r="G133" s="1132" t="s">
        <v>356</v>
      </c>
      <c r="H133" s="1360">
        <v>11.408906249999999</v>
      </c>
      <c r="I133" s="1360">
        <v>11.408906249999999</v>
      </c>
      <c r="J133" s="1360">
        <v>11.408906249999999</v>
      </c>
      <c r="K133" s="1360">
        <v>11.408906249999999</v>
      </c>
      <c r="L133" s="1132" t="s">
        <v>480</v>
      </c>
      <c r="M133" s="1132" t="str">
        <f t="shared" si="54"/>
        <v>Nicor Gas PY11-PY14 Adjustable Goals Template_2025-03-01, Tab 4.3.1</v>
      </c>
      <c r="N133" s="1361">
        <v>48.22116686119378</v>
      </c>
      <c r="O133" s="1361">
        <v>48.22116686119378</v>
      </c>
      <c r="P133" s="1361">
        <v>48.22116686119378</v>
      </c>
      <c r="Q133" s="1361">
        <v>48.22116686119378</v>
      </c>
      <c r="R133" s="1781">
        <v>0.86</v>
      </c>
      <c r="S133" s="1781">
        <v>0.86</v>
      </c>
      <c r="T133" s="1781">
        <v>0.86</v>
      </c>
      <c r="U133" s="1781">
        <v>0.86</v>
      </c>
      <c r="V133" s="1781">
        <v>0.86</v>
      </c>
      <c r="W133" s="1781">
        <v>0.86</v>
      </c>
      <c r="X133" s="1781">
        <v>0.86</v>
      </c>
      <c r="Y133" s="1781">
        <v>0.86</v>
      </c>
      <c r="Z133" s="1359">
        <v>1</v>
      </c>
      <c r="AA133" s="1781">
        <f t="shared" si="55"/>
        <v>0.86</v>
      </c>
      <c r="AB133" s="1781">
        <f t="shared" si="56"/>
        <v>0.86</v>
      </c>
      <c r="AC133" s="1781">
        <f t="shared" si="57"/>
        <v>0.86</v>
      </c>
      <c r="AD133" s="1781">
        <f t="shared" si="58"/>
        <v>0.86</v>
      </c>
      <c r="AE133" s="1781">
        <f t="shared" si="59"/>
        <v>0.86</v>
      </c>
      <c r="AF133" s="1781">
        <f t="shared" si="60"/>
        <v>0.86</v>
      </c>
      <c r="AG133" s="1781">
        <f t="shared" si="61"/>
        <v>0.86</v>
      </c>
      <c r="AH133" s="1781">
        <f t="shared" si="62"/>
        <v>0.86</v>
      </c>
      <c r="AI133" s="1362">
        <f t="shared" si="93"/>
        <v>473.12966390707123</v>
      </c>
      <c r="AJ133" s="1362">
        <f t="shared" si="94"/>
        <v>473.12966390707123</v>
      </c>
      <c r="AK133" s="1362">
        <f t="shared" si="95"/>
        <v>473.12966390707123</v>
      </c>
      <c r="AL133" s="1362">
        <f t="shared" si="96"/>
        <v>473.12966390707123</v>
      </c>
      <c r="AM133" s="1362">
        <f t="shared" si="97"/>
        <v>1892.5186556282849</v>
      </c>
      <c r="AN133" s="1132" t="str">
        <f t="shared" si="63"/>
        <v>CI-HW_-HWE-V03-190101</v>
      </c>
      <c r="AO133" s="1132" t="str">
        <f t="shared" si="64"/>
        <v>Nicor Gas PY11-PY14 Adjustable Goals Template_2025-03-01, Tab 4.3.1</v>
      </c>
      <c r="AP133" s="2568">
        <f>'4.3.1'!$Q$4</f>
        <v>50.462432363192917</v>
      </c>
      <c r="AQ133" s="2568" t="s">
        <v>481</v>
      </c>
      <c r="AR133" s="2505">
        <f t="shared" si="65"/>
        <v>495.12019758162512</v>
      </c>
      <c r="AS133" s="2505">
        <f t="shared" si="66"/>
        <v>21.990533674553888</v>
      </c>
      <c r="AT133" s="1132" t="str">
        <f t="shared" si="67"/>
        <v>CI-HW_-HWE-V03-190101</v>
      </c>
      <c r="AU133" s="1132" t="str">
        <f t="shared" si="68"/>
        <v>Nicor Gas PY11-PY14 Adjustable Goals Template_2025-03-01, Tab 4.3.1</v>
      </c>
      <c r="AV133" s="2505">
        <f>'4.3.1'!$Q$4</f>
        <v>50.462432363192917</v>
      </c>
      <c r="AW133" s="2568" t="s">
        <v>481</v>
      </c>
      <c r="AX133" s="1362">
        <f t="shared" si="69"/>
        <v>495.12019758162512</v>
      </c>
      <c r="AY133" s="1360">
        <f t="shared" si="70"/>
        <v>21.990533674553888</v>
      </c>
      <c r="AZ133" s="1132" t="str">
        <f t="shared" si="71"/>
        <v>CI-HW_-HWE-V03-190101</v>
      </c>
      <c r="BA133" s="1132" t="str">
        <f t="shared" si="72"/>
        <v>Nicor Gas PY11-PY14 Adjustable Goals Template_2025-03-01, Tab 4.3.1</v>
      </c>
      <c r="BB133" s="2505">
        <f>'4.3.1'!$Q$4</f>
        <v>50.462432363192917</v>
      </c>
      <c r="BC133" s="2568" t="s">
        <v>481</v>
      </c>
      <c r="BD133" s="1362">
        <f t="shared" si="73"/>
        <v>495.12019758162512</v>
      </c>
      <c r="BE133" s="1360">
        <f t="shared" si="74"/>
        <v>21.990533674553888</v>
      </c>
      <c r="BF133" s="1132" t="str">
        <f t="shared" si="75"/>
        <v>CI-HW_-HWE-V03-190101</v>
      </c>
      <c r="BG133" s="1132" t="str">
        <f t="shared" si="76"/>
        <v>Nicor Gas PY11-PY14 Adjustable Goals Template_2025-03-01, Tab 4.3.1</v>
      </c>
      <c r="BH133" s="2505">
        <f>'4.3.1'!$Q$4</f>
        <v>50.462432363192917</v>
      </c>
      <c r="BI133" s="2568" t="s">
        <v>481</v>
      </c>
      <c r="BJ133" s="1362">
        <f t="shared" si="98"/>
        <v>495.12019758162512</v>
      </c>
      <c r="BK133" s="1360">
        <f t="shared" si="77"/>
        <v>21.990533674553888</v>
      </c>
      <c r="BL133" s="1601">
        <f t="shared" si="78"/>
        <v>495.12019758162512</v>
      </c>
      <c r="BM133" s="1601">
        <f t="shared" si="79"/>
        <v>495.12019758162512</v>
      </c>
      <c r="BN133" s="1601">
        <f t="shared" si="80"/>
        <v>495.12019758162512</v>
      </c>
      <c r="BO133" s="1601">
        <f t="shared" si="81"/>
        <v>495.12019758162512</v>
      </c>
      <c r="BP133" s="1602">
        <f t="shared" si="82"/>
        <v>1980.4807903265005</v>
      </c>
      <c r="BQ133" s="1602"/>
      <c r="BR133" s="1602" t="s">
        <v>479</v>
      </c>
      <c r="BS133" s="1602">
        <v>0</v>
      </c>
      <c r="BT133" s="1602">
        <v>15</v>
      </c>
      <c r="BU133" s="1602">
        <v>15</v>
      </c>
      <c r="BV133" s="1602">
        <v>15</v>
      </c>
      <c r="BW133" s="1602">
        <v>15</v>
      </c>
      <c r="BX133" s="1362">
        <f t="shared" si="99"/>
        <v>7096.9449586060682</v>
      </c>
      <c r="BY133" s="1362">
        <f t="shared" si="100"/>
        <v>7096.9449586060682</v>
      </c>
      <c r="BZ133" s="1362">
        <f t="shared" si="101"/>
        <v>7096.9449586060682</v>
      </c>
      <c r="CA133" s="1362">
        <f t="shared" si="102"/>
        <v>7096.9449586060682</v>
      </c>
      <c r="CB133" s="1362">
        <f t="shared" si="103"/>
        <v>28387.779834424273</v>
      </c>
      <c r="CC133" s="1360">
        <v>15</v>
      </c>
      <c r="CD133" s="1360">
        <v>15</v>
      </c>
      <c r="CE133" s="1360">
        <v>15</v>
      </c>
      <c r="CF133" s="1360">
        <v>15</v>
      </c>
      <c r="CG133" s="1604">
        <f t="shared" si="83"/>
        <v>7426.8029637243781</v>
      </c>
      <c r="CH133" s="1604">
        <f t="shared" si="84"/>
        <v>7426.8029637243781</v>
      </c>
      <c r="CI133" s="1604">
        <f t="shared" si="85"/>
        <v>7426.8029637243781</v>
      </c>
      <c r="CJ133" s="1604">
        <f t="shared" si="86"/>
        <v>7426.8029637243781</v>
      </c>
      <c r="CK133" s="1521">
        <f t="shared" si="87"/>
        <v>29707.211854897512</v>
      </c>
      <c r="CL133" s="1132">
        <v>126</v>
      </c>
      <c r="CM133" s="1132" t="s">
        <v>356</v>
      </c>
      <c r="CN133" s="1359">
        <v>0</v>
      </c>
      <c r="CO133" s="1360">
        <v>11.408906249999999</v>
      </c>
      <c r="CP133" s="1360">
        <v>11.408906249999999</v>
      </c>
      <c r="CQ133" s="1360">
        <v>11.408906249999999</v>
      </c>
      <c r="CR133" s="1360">
        <v>11.408906249999999</v>
      </c>
      <c r="CS133" s="1362">
        <f t="shared" si="88"/>
        <v>495.12019758162512</v>
      </c>
      <c r="CT133" s="1362">
        <f t="shared" si="89"/>
        <v>495.12019758162512</v>
      </c>
      <c r="CU133" s="1362">
        <f t="shared" si="90"/>
        <v>495.12019758162512</v>
      </c>
      <c r="CV133" s="1362">
        <f t="shared" si="91"/>
        <v>495.12019758162512</v>
      </c>
      <c r="CW133" s="1362">
        <f t="shared" si="92"/>
        <v>1980.4807903265005</v>
      </c>
      <c r="CY133" s="2887"/>
      <c r="DN133" s="1715"/>
    </row>
    <row r="134" spans="1:118" s="1143" customFormat="1" ht="46.5" x14ac:dyDescent="0.35">
      <c r="A134" s="1132" t="s">
        <v>101</v>
      </c>
      <c r="B134" s="1132" t="s">
        <v>424</v>
      </c>
      <c r="C134" s="1132" t="s">
        <v>482</v>
      </c>
      <c r="D134" s="1359" t="s">
        <v>483</v>
      </c>
      <c r="E134" s="1359">
        <v>1</v>
      </c>
      <c r="F134" s="2807" t="s">
        <v>479</v>
      </c>
      <c r="G134" s="1132" t="s">
        <v>356</v>
      </c>
      <c r="H134" s="1360">
        <v>11.408906249999999</v>
      </c>
      <c r="I134" s="1360">
        <v>11.408906249999999</v>
      </c>
      <c r="J134" s="1360">
        <v>11.408906249999999</v>
      </c>
      <c r="K134" s="1360">
        <v>11.408906249999999</v>
      </c>
      <c r="L134" s="1132" t="s">
        <v>480</v>
      </c>
      <c r="M134" s="1132" t="str">
        <f t="shared" si="54"/>
        <v>Nicor Gas PY11-PY14 Adjustable Goals Template_2025-03-01, Tab 4.3.1</v>
      </c>
      <c r="N134" s="1361">
        <v>336.19206214763915</v>
      </c>
      <c r="O134" s="1361">
        <v>336.19206214763915</v>
      </c>
      <c r="P134" s="1361">
        <v>336.19206214763915</v>
      </c>
      <c r="Q134" s="1361">
        <v>336.19206214763915</v>
      </c>
      <c r="R134" s="1781">
        <v>0.86</v>
      </c>
      <c r="S134" s="1781">
        <v>0.86</v>
      </c>
      <c r="T134" s="1781">
        <v>0.86</v>
      </c>
      <c r="U134" s="1781">
        <v>0.86</v>
      </c>
      <c r="V134" s="1781">
        <v>0.86</v>
      </c>
      <c r="W134" s="1781">
        <v>0.86</v>
      </c>
      <c r="X134" s="1781">
        <v>0.86</v>
      </c>
      <c r="Y134" s="1781">
        <v>0.86</v>
      </c>
      <c r="Z134" s="1359">
        <v>1</v>
      </c>
      <c r="AA134" s="1781">
        <f t="shared" si="55"/>
        <v>0.86</v>
      </c>
      <c r="AB134" s="1781">
        <f t="shared" si="56"/>
        <v>0.86</v>
      </c>
      <c r="AC134" s="1781">
        <f t="shared" si="57"/>
        <v>0.86</v>
      </c>
      <c r="AD134" s="1781">
        <f t="shared" si="58"/>
        <v>0.86</v>
      </c>
      <c r="AE134" s="1781">
        <f t="shared" si="59"/>
        <v>0.86</v>
      </c>
      <c r="AF134" s="1781">
        <f t="shared" si="60"/>
        <v>0.86</v>
      </c>
      <c r="AG134" s="1781">
        <f t="shared" si="61"/>
        <v>0.86</v>
      </c>
      <c r="AH134" s="1781">
        <f t="shared" si="62"/>
        <v>0.86</v>
      </c>
      <c r="AI134" s="1362">
        <f t="shared" si="93"/>
        <v>3298.6019983714664</v>
      </c>
      <c r="AJ134" s="1362">
        <f t="shared" si="94"/>
        <v>3298.6019983714664</v>
      </c>
      <c r="AK134" s="1362">
        <f t="shared" si="95"/>
        <v>3298.6019983714664</v>
      </c>
      <c r="AL134" s="1362">
        <f t="shared" si="96"/>
        <v>3298.6019983714664</v>
      </c>
      <c r="AM134" s="1362">
        <f t="shared" si="97"/>
        <v>13194.407993485866</v>
      </c>
      <c r="AN134" s="1132" t="str">
        <f t="shared" si="63"/>
        <v>CI-HW_-HWE-V03-190101</v>
      </c>
      <c r="AO134" s="1132" t="str">
        <f t="shared" si="64"/>
        <v>Nicor Gas PY11-PY14 Adjustable Goals Template_2025-03-01, Tab 4.3.1</v>
      </c>
      <c r="AP134" s="2568">
        <f>'4.3.1'!$Q$5</f>
        <v>350.51919514182515</v>
      </c>
      <c r="AQ134" s="2568" t="s">
        <v>481</v>
      </c>
      <c r="AR134" s="2505">
        <f t="shared" si="65"/>
        <v>3439.174947130743</v>
      </c>
      <c r="AS134" s="2505">
        <f t="shared" si="66"/>
        <v>140.57294875927664</v>
      </c>
      <c r="AT134" s="1132" t="str">
        <f t="shared" si="67"/>
        <v>CI-HW_-HWE-V03-190101</v>
      </c>
      <c r="AU134" s="1132" t="str">
        <f t="shared" si="68"/>
        <v>Nicor Gas PY11-PY14 Adjustable Goals Template_2025-03-01, Tab 4.3.1</v>
      </c>
      <c r="AV134" s="2505">
        <f>'4.3.1'!$Q$5</f>
        <v>350.51919514182515</v>
      </c>
      <c r="AW134" s="2568" t="s">
        <v>481</v>
      </c>
      <c r="AX134" s="1362">
        <f t="shared" si="69"/>
        <v>3439.174947130743</v>
      </c>
      <c r="AY134" s="1360">
        <f t="shared" si="70"/>
        <v>140.57294875927664</v>
      </c>
      <c r="AZ134" s="1132" t="str">
        <f t="shared" si="71"/>
        <v>CI-HW_-HWE-V03-190101</v>
      </c>
      <c r="BA134" s="1132" t="str">
        <f t="shared" si="72"/>
        <v>Nicor Gas PY11-PY14 Adjustable Goals Template_2025-03-01, Tab 4.3.1</v>
      </c>
      <c r="BB134" s="2505">
        <f>'4.3.1'!$Q$5</f>
        <v>350.51919514182515</v>
      </c>
      <c r="BC134" s="2568" t="s">
        <v>481</v>
      </c>
      <c r="BD134" s="1362">
        <f t="shared" si="73"/>
        <v>3439.174947130743</v>
      </c>
      <c r="BE134" s="1360">
        <f t="shared" si="74"/>
        <v>140.57294875927664</v>
      </c>
      <c r="BF134" s="1132" t="str">
        <f t="shared" si="75"/>
        <v>CI-HW_-HWE-V03-190101</v>
      </c>
      <c r="BG134" s="1132" t="str">
        <f t="shared" si="76"/>
        <v>Nicor Gas PY11-PY14 Adjustable Goals Template_2025-03-01, Tab 4.3.1</v>
      </c>
      <c r="BH134" s="2505">
        <f>'4.3.1'!$Q$5</f>
        <v>350.51919514182515</v>
      </c>
      <c r="BI134" s="2568" t="s">
        <v>481</v>
      </c>
      <c r="BJ134" s="1362">
        <f t="shared" si="98"/>
        <v>3439.174947130743</v>
      </c>
      <c r="BK134" s="1360">
        <f t="shared" si="77"/>
        <v>140.57294875927664</v>
      </c>
      <c r="BL134" s="1601">
        <f t="shared" si="78"/>
        <v>3439.174947130743</v>
      </c>
      <c r="BM134" s="1601">
        <f t="shared" si="79"/>
        <v>3439.174947130743</v>
      </c>
      <c r="BN134" s="1601">
        <f t="shared" si="80"/>
        <v>3439.174947130743</v>
      </c>
      <c r="BO134" s="1601">
        <f t="shared" si="81"/>
        <v>3439.174947130743</v>
      </c>
      <c r="BP134" s="1602">
        <f t="shared" si="82"/>
        <v>13756.699788522972</v>
      </c>
      <c r="BQ134" s="1602"/>
      <c r="BR134" s="1602" t="s">
        <v>479</v>
      </c>
      <c r="BS134" s="1602">
        <v>0</v>
      </c>
      <c r="BT134" s="1602">
        <v>15</v>
      </c>
      <c r="BU134" s="1602">
        <v>15</v>
      </c>
      <c r="BV134" s="1602">
        <v>15</v>
      </c>
      <c r="BW134" s="1602">
        <v>15</v>
      </c>
      <c r="BX134" s="1362">
        <f t="shared" si="99"/>
        <v>49479.029975571997</v>
      </c>
      <c r="BY134" s="1362">
        <f t="shared" si="100"/>
        <v>49479.029975571997</v>
      </c>
      <c r="BZ134" s="1362">
        <f t="shared" si="101"/>
        <v>49479.029975571997</v>
      </c>
      <c r="CA134" s="1362">
        <f t="shared" si="102"/>
        <v>49479.029975571997</v>
      </c>
      <c r="CB134" s="1362">
        <f t="shared" si="103"/>
        <v>197916.11990228799</v>
      </c>
      <c r="CC134" s="1360">
        <v>15</v>
      </c>
      <c r="CD134" s="1360">
        <v>15</v>
      </c>
      <c r="CE134" s="1360">
        <v>15</v>
      </c>
      <c r="CF134" s="1360">
        <v>15</v>
      </c>
      <c r="CG134" s="1604">
        <f t="shared" si="83"/>
        <v>51587.624206961147</v>
      </c>
      <c r="CH134" s="1604">
        <f t="shared" si="84"/>
        <v>51587.624206961147</v>
      </c>
      <c r="CI134" s="1604">
        <f t="shared" si="85"/>
        <v>51587.624206961147</v>
      </c>
      <c r="CJ134" s="1604">
        <f t="shared" si="86"/>
        <v>51587.624206961147</v>
      </c>
      <c r="CK134" s="1521">
        <f t="shared" si="87"/>
        <v>206350.49682784459</v>
      </c>
      <c r="CL134" s="1132">
        <v>127</v>
      </c>
      <c r="CM134" s="1132" t="s">
        <v>356</v>
      </c>
      <c r="CN134" s="1359">
        <v>0</v>
      </c>
      <c r="CO134" s="1360">
        <v>11.408906249999999</v>
      </c>
      <c r="CP134" s="1360">
        <v>11.408906249999999</v>
      </c>
      <c r="CQ134" s="1360">
        <v>11.408906249999999</v>
      </c>
      <c r="CR134" s="1360">
        <v>11.408906249999999</v>
      </c>
      <c r="CS134" s="1362">
        <f t="shared" si="88"/>
        <v>3439.174947130743</v>
      </c>
      <c r="CT134" s="1362">
        <f t="shared" si="89"/>
        <v>3439.174947130743</v>
      </c>
      <c r="CU134" s="1362">
        <f t="shared" si="90"/>
        <v>3439.174947130743</v>
      </c>
      <c r="CV134" s="1362">
        <f t="shared" si="91"/>
        <v>3439.174947130743</v>
      </c>
      <c r="CW134" s="1362">
        <f t="shared" si="92"/>
        <v>13756.699788522972</v>
      </c>
      <c r="CY134" s="2887"/>
      <c r="DN134" s="1715"/>
    </row>
    <row r="135" spans="1:118" s="1143" customFormat="1" ht="45.75" customHeight="1" x14ac:dyDescent="0.35">
      <c r="A135" s="1132" t="s">
        <v>101</v>
      </c>
      <c r="B135" s="1132" t="s">
        <v>601</v>
      </c>
      <c r="C135" s="1132" t="s">
        <v>425</v>
      </c>
      <c r="D135" s="1359" t="s">
        <v>105</v>
      </c>
      <c r="E135" s="1359">
        <f>IF(AI135-AR135=0,0,1)</f>
        <v>0</v>
      </c>
      <c r="F135" s="1132" t="s">
        <v>105</v>
      </c>
      <c r="G135" s="1132" t="s">
        <v>356</v>
      </c>
      <c r="H135" s="1360">
        <v>40.32</v>
      </c>
      <c r="I135" s="1360">
        <v>40.32</v>
      </c>
      <c r="J135" s="1360">
        <v>40.32</v>
      </c>
      <c r="K135" s="1360">
        <v>40.32</v>
      </c>
      <c r="L135" s="1132" t="s">
        <v>105</v>
      </c>
      <c r="M135" s="1132" t="str">
        <f t="shared" si="54"/>
        <v/>
      </c>
      <c r="N135" s="1361">
        <v>0</v>
      </c>
      <c r="O135" s="1361">
        <v>0</v>
      </c>
      <c r="P135" s="1361">
        <v>0</v>
      </c>
      <c r="Q135" s="1361">
        <v>0</v>
      </c>
      <c r="R135" s="1781">
        <v>0.86</v>
      </c>
      <c r="S135" s="1781">
        <v>0.86</v>
      </c>
      <c r="T135" s="1781">
        <v>0.86</v>
      </c>
      <c r="U135" s="1781">
        <v>0.86</v>
      </c>
      <c r="V135" s="1781">
        <v>0.86</v>
      </c>
      <c r="W135" s="1781">
        <v>0.86</v>
      </c>
      <c r="X135" s="1781">
        <v>0.86</v>
      </c>
      <c r="Y135" s="1781">
        <v>0.86</v>
      </c>
      <c r="Z135" s="1359">
        <v>1</v>
      </c>
      <c r="AA135" s="1781">
        <f t="shared" si="55"/>
        <v>0.86</v>
      </c>
      <c r="AB135" s="1781">
        <f t="shared" si="56"/>
        <v>0.86</v>
      </c>
      <c r="AC135" s="1781">
        <f t="shared" si="57"/>
        <v>0.86</v>
      </c>
      <c r="AD135" s="1781">
        <f t="shared" si="58"/>
        <v>0.86</v>
      </c>
      <c r="AE135" s="1781">
        <f t="shared" si="59"/>
        <v>0.86</v>
      </c>
      <c r="AF135" s="1781">
        <f t="shared" si="60"/>
        <v>0.86</v>
      </c>
      <c r="AG135" s="1781">
        <f t="shared" si="61"/>
        <v>0.86</v>
      </c>
      <c r="AH135" s="1781">
        <f t="shared" si="62"/>
        <v>0.86</v>
      </c>
      <c r="AI135" s="1362">
        <f t="shared" si="93"/>
        <v>0</v>
      </c>
      <c r="AJ135" s="1362">
        <f t="shared" si="94"/>
        <v>0</v>
      </c>
      <c r="AK135" s="1362">
        <f t="shared" si="95"/>
        <v>0</v>
      </c>
      <c r="AL135" s="1362">
        <f t="shared" si="96"/>
        <v>0</v>
      </c>
      <c r="AM135" s="1362">
        <f t="shared" si="97"/>
        <v>0</v>
      </c>
      <c r="AN135" s="1132" t="str">
        <f t="shared" si="63"/>
        <v>Custom</v>
      </c>
      <c r="AO135" s="1132" t="str">
        <f t="shared" si="64"/>
        <v/>
      </c>
      <c r="AP135" s="2505">
        <v>0</v>
      </c>
      <c r="AQ135" s="2505"/>
      <c r="AR135" s="2505">
        <f t="shared" si="65"/>
        <v>0</v>
      </c>
      <c r="AS135" s="2505">
        <f t="shared" si="66"/>
        <v>0</v>
      </c>
      <c r="AT135" s="1132" t="str">
        <f t="shared" si="67"/>
        <v>Custom</v>
      </c>
      <c r="AU135" s="1132" t="str">
        <f t="shared" si="68"/>
        <v/>
      </c>
      <c r="AV135" s="2505">
        <v>0</v>
      </c>
      <c r="AW135" s="2505"/>
      <c r="AX135" s="1362">
        <f t="shared" si="69"/>
        <v>0</v>
      </c>
      <c r="AY135" s="1360">
        <f t="shared" si="70"/>
        <v>0</v>
      </c>
      <c r="AZ135" s="1132" t="str">
        <f t="shared" si="71"/>
        <v>Custom</v>
      </c>
      <c r="BA135" s="1132" t="str">
        <f t="shared" si="72"/>
        <v/>
      </c>
      <c r="BB135" s="2505">
        <v>0</v>
      </c>
      <c r="BC135" s="2505"/>
      <c r="BD135" s="1362">
        <f t="shared" si="73"/>
        <v>0</v>
      </c>
      <c r="BE135" s="1360">
        <f t="shared" si="74"/>
        <v>0</v>
      </c>
      <c r="BF135" s="1132" t="str">
        <f t="shared" si="75"/>
        <v>Custom</v>
      </c>
      <c r="BG135" s="1132" t="str">
        <f t="shared" si="76"/>
        <v/>
      </c>
      <c r="BH135" s="2505">
        <v>0</v>
      </c>
      <c r="BI135" s="2505"/>
      <c r="BJ135" s="1362">
        <f t="shared" si="98"/>
        <v>0</v>
      </c>
      <c r="BK135" s="1360">
        <f t="shared" si="77"/>
        <v>0</v>
      </c>
      <c r="BL135" s="1601">
        <f t="shared" si="78"/>
        <v>0</v>
      </c>
      <c r="BM135" s="1601">
        <f t="shared" si="79"/>
        <v>0</v>
      </c>
      <c r="BN135" s="1601">
        <f t="shared" si="80"/>
        <v>0</v>
      </c>
      <c r="BO135" s="1601">
        <f t="shared" si="81"/>
        <v>0</v>
      </c>
      <c r="BP135" s="1602">
        <f t="shared" si="82"/>
        <v>0</v>
      </c>
      <c r="BQ135" s="1602"/>
      <c r="BR135" s="1602"/>
      <c r="BS135" s="1602">
        <v>0</v>
      </c>
      <c r="BT135" s="1602">
        <v>1</v>
      </c>
      <c r="BU135" s="1602">
        <v>1</v>
      </c>
      <c r="BV135" s="1602">
        <v>1</v>
      </c>
      <c r="BW135" s="1602">
        <v>1</v>
      </c>
      <c r="BX135" s="1362">
        <f t="shared" si="99"/>
        <v>0</v>
      </c>
      <c r="BY135" s="1362">
        <f t="shared" si="100"/>
        <v>0</v>
      </c>
      <c r="BZ135" s="1362">
        <f t="shared" si="101"/>
        <v>0</v>
      </c>
      <c r="CA135" s="1362">
        <f t="shared" si="102"/>
        <v>0</v>
      </c>
      <c r="CB135" s="1362">
        <f t="shared" si="103"/>
        <v>0</v>
      </c>
      <c r="CC135" s="1360">
        <v>1</v>
      </c>
      <c r="CD135" s="1360">
        <v>1</v>
      </c>
      <c r="CE135" s="1360">
        <v>1</v>
      </c>
      <c r="CF135" s="1360">
        <v>1</v>
      </c>
      <c r="CG135" s="1604">
        <f t="shared" si="83"/>
        <v>0</v>
      </c>
      <c r="CH135" s="1604">
        <f t="shared" si="84"/>
        <v>0</v>
      </c>
      <c r="CI135" s="1604">
        <f t="shared" si="85"/>
        <v>0</v>
      </c>
      <c r="CJ135" s="1604">
        <f t="shared" si="86"/>
        <v>0</v>
      </c>
      <c r="CK135" s="1521">
        <f t="shared" si="87"/>
        <v>0</v>
      </c>
      <c r="CL135" s="1132">
        <v>128</v>
      </c>
      <c r="CM135" s="1132" t="s">
        <v>356</v>
      </c>
      <c r="CN135" s="1359">
        <v>0</v>
      </c>
      <c r="CO135" s="1360">
        <v>40.32</v>
      </c>
      <c r="CP135" s="1360">
        <v>40.32</v>
      </c>
      <c r="CQ135" s="1360">
        <v>40.32</v>
      </c>
      <c r="CR135" s="1360">
        <v>40.32</v>
      </c>
      <c r="CS135" s="1362">
        <f t="shared" si="88"/>
        <v>0</v>
      </c>
      <c r="CT135" s="1362">
        <f t="shared" si="89"/>
        <v>0</v>
      </c>
      <c r="CU135" s="1362">
        <f t="shared" si="90"/>
        <v>0</v>
      </c>
      <c r="CV135" s="1362">
        <f t="shared" si="91"/>
        <v>0</v>
      </c>
      <c r="CW135" s="1362">
        <f t="shared" si="92"/>
        <v>0</v>
      </c>
      <c r="CY135" s="2887"/>
      <c r="DN135" s="1715"/>
    </row>
    <row r="136" spans="1:118" s="1143" customFormat="1" ht="45" customHeight="1" x14ac:dyDescent="0.35">
      <c r="A136" s="1132" t="s">
        <v>101</v>
      </c>
      <c r="B136" s="1132" t="s">
        <v>601</v>
      </c>
      <c r="C136" s="1132" t="s">
        <v>426</v>
      </c>
      <c r="D136" s="1359" t="s">
        <v>427</v>
      </c>
      <c r="E136" s="1359">
        <v>1</v>
      </c>
      <c r="F136" s="1780" t="s">
        <v>428</v>
      </c>
      <c r="G136" s="1132" t="s">
        <v>328</v>
      </c>
      <c r="H136" s="1360">
        <v>1.3440000000000001</v>
      </c>
      <c r="I136" s="1360">
        <v>1.3440000000000001</v>
      </c>
      <c r="J136" s="1360">
        <v>1.3440000000000001</v>
      </c>
      <c r="K136" s="1360">
        <v>1.3440000000000001</v>
      </c>
      <c r="L136" s="1132" t="s">
        <v>429</v>
      </c>
      <c r="M136" s="1132" t="str">
        <f t="shared" ref="M136:M199" si="104">IF(F136&lt;&gt;"Custom",CONCATENATE($I$1,", ",$J$1," ",F136),"")</f>
        <v>Nicor Gas PY11-PY14 Adjustable Goals Template_2025-03-01, Tab 4.4.4</v>
      </c>
      <c r="N136" s="1361">
        <v>400.87199999999996</v>
      </c>
      <c r="O136" s="1361">
        <v>400.87199999999996</v>
      </c>
      <c r="P136" s="1361">
        <v>400.87199999999996</v>
      </c>
      <c r="Q136" s="1361">
        <v>400.87199999999996</v>
      </c>
      <c r="R136" s="1781">
        <v>0.86</v>
      </c>
      <c r="S136" s="1781">
        <v>0.86</v>
      </c>
      <c r="T136" s="1781">
        <v>0.86</v>
      </c>
      <c r="U136" s="1781">
        <v>0.86</v>
      </c>
      <c r="V136" s="1781">
        <v>0.86</v>
      </c>
      <c r="W136" s="1781">
        <v>0.86</v>
      </c>
      <c r="X136" s="1781">
        <v>0.86</v>
      </c>
      <c r="Y136" s="1781">
        <v>0.86</v>
      </c>
      <c r="Z136" s="1359">
        <v>1</v>
      </c>
      <c r="AA136" s="1781">
        <f t="shared" ref="AA136:AA199" si="105">V136</f>
        <v>0.86</v>
      </c>
      <c r="AB136" s="1781">
        <f t="shared" ref="AB136:AB199" si="106">W136</f>
        <v>0.86</v>
      </c>
      <c r="AC136" s="1781">
        <f t="shared" ref="AC136:AC199" si="107">X136</f>
        <v>0.86</v>
      </c>
      <c r="AD136" s="1781">
        <f t="shared" ref="AD136:AD199" si="108">Y136</f>
        <v>0.86</v>
      </c>
      <c r="AE136" s="1781">
        <f t="shared" ref="AE136:AE199" si="109">V136</f>
        <v>0.86</v>
      </c>
      <c r="AF136" s="1781">
        <f t="shared" ref="AF136:AF199" si="110">W136</f>
        <v>0.86</v>
      </c>
      <c r="AG136" s="1781">
        <f t="shared" ref="AG136:AG199" si="111">X136</f>
        <v>0.86</v>
      </c>
      <c r="AH136" s="1781">
        <f t="shared" ref="AH136:AH199" si="112">Y136</f>
        <v>0.86</v>
      </c>
      <c r="AI136" s="1362">
        <f t="shared" si="93"/>
        <v>463.34389248000002</v>
      </c>
      <c r="AJ136" s="1362">
        <f t="shared" si="94"/>
        <v>463.34389248000002</v>
      </c>
      <c r="AK136" s="1362">
        <f t="shared" si="95"/>
        <v>463.34389248000002</v>
      </c>
      <c r="AL136" s="1362">
        <f t="shared" si="96"/>
        <v>463.34389248000002</v>
      </c>
      <c r="AM136" s="1362">
        <f t="shared" si="97"/>
        <v>1853.3755699200001</v>
      </c>
      <c r="AN136" s="1132" t="str">
        <f t="shared" ref="AN136:AN199" si="113">L136</f>
        <v>CI-HVC-BLRC-V03-150601</v>
      </c>
      <c r="AO136" s="1132" t="str">
        <f t="shared" ref="AO136:AO199" si="114">M136</f>
        <v>Nicor Gas PY11-PY14 Adjustable Goals Template_2025-03-01, Tab 4.4.4</v>
      </c>
      <c r="AP136" s="2505">
        <f>'4.4.4'!$N$4</f>
        <v>400.87199999999996</v>
      </c>
      <c r="AQ136" s="2505"/>
      <c r="AR136" s="2505">
        <f t="shared" ref="AR136:AR199" si="115">H136*AP136*V136</f>
        <v>463.34389248000002</v>
      </c>
      <c r="AS136" s="2505">
        <f t="shared" ref="AS136:AS199" si="116">AR136-AI136</f>
        <v>0</v>
      </c>
      <c r="AT136" s="1132" t="str">
        <f t="shared" ref="AT136:AT199" si="117">L136</f>
        <v>CI-HVC-BLRC-V03-150601</v>
      </c>
      <c r="AU136" s="1132" t="str">
        <f t="shared" ref="AU136:AU199" si="118">M136</f>
        <v>Nicor Gas PY11-PY14 Adjustable Goals Template_2025-03-01, Tab 4.4.4</v>
      </c>
      <c r="AV136" s="2505">
        <f>'4.4.4'!$N$4</f>
        <v>400.87199999999996</v>
      </c>
      <c r="AW136" s="2505"/>
      <c r="AX136" s="1362">
        <f t="shared" ref="AX136:AX199" si="119">I136*AV136*W136</f>
        <v>463.34389248000002</v>
      </c>
      <c r="AY136" s="1360">
        <f t="shared" ref="AY136:AY199" si="120">AX136-AJ136</f>
        <v>0</v>
      </c>
      <c r="AZ136" s="1132" t="str">
        <f t="shared" ref="AZ136:AZ199" si="121">L136</f>
        <v>CI-HVC-BLRC-V03-150601</v>
      </c>
      <c r="BA136" s="1132" t="str">
        <f t="shared" ref="BA136:BA199" si="122">M136</f>
        <v>Nicor Gas PY11-PY14 Adjustable Goals Template_2025-03-01, Tab 4.4.4</v>
      </c>
      <c r="BB136" s="2505">
        <f>'4.4.4'!$N$4</f>
        <v>400.87199999999996</v>
      </c>
      <c r="BC136" s="2505"/>
      <c r="BD136" s="1362">
        <f t="shared" ref="BD136:BD199" si="123">J136*BB136*X136</f>
        <v>463.34389248000002</v>
      </c>
      <c r="BE136" s="1360">
        <f t="shared" ref="BE136:BE199" si="124">BD136-AK136</f>
        <v>0</v>
      </c>
      <c r="BF136" s="1132" t="str">
        <f t="shared" ref="BF136:BF199" si="125">L136</f>
        <v>CI-HVC-BLRC-V03-150601</v>
      </c>
      <c r="BG136" s="1132" t="str">
        <f t="shared" ref="BG136:BG199" si="126">M136</f>
        <v>Nicor Gas PY11-PY14 Adjustable Goals Template_2025-03-01, Tab 4.4.4</v>
      </c>
      <c r="BH136" s="2505">
        <f>'4.4.4'!$N$4</f>
        <v>400.87199999999996</v>
      </c>
      <c r="BI136" s="2505"/>
      <c r="BJ136" s="1362">
        <f t="shared" si="98"/>
        <v>463.34389248000002</v>
      </c>
      <c r="BK136" s="1360">
        <f t="shared" ref="BK136:BK199" si="127">BJ136-AL136</f>
        <v>0</v>
      </c>
      <c r="BL136" s="1601">
        <f t="shared" ref="BL136:BL199" si="128">IF($BL$2=2022,IF($E136=1,AR136,AR136),IF($E136=1,AR136,AI136))</f>
        <v>463.34389248000002</v>
      </c>
      <c r="BM136" s="1601">
        <f t="shared" ref="BM136:BM199" si="129">IF($BL$2=2022,IF($E136=1,AX136,AX136),IF($E136=1,AX136,AJ136))</f>
        <v>463.34389248000002</v>
      </c>
      <c r="BN136" s="1601">
        <f t="shared" ref="BN136:BN199" si="130">IF($BL$2=2022,IF($E136=1,BD136,BD136),IF($E136=1,BD136,AK136))</f>
        <v>463.34389248000002</v>
      </c>
      <c r="BO136" s="1601">
        <f t="shared" ref="BO136:BO199" si="131">IF($BL$2=2022,IF($E136=1,BJ136,BJ136),IF($E136=1,BJ136,AL136))</f>
        <v>463.34389248000002</v>
      </c>
      <c r="BP136" s="1602">
        <f t="shared" ref="BP136:BP199" si="132">SUM(BL136:BO136)</f>
        <v>1853.3755699200001</v>
      </c>
      <c r="BQ136" s="1602"/>
      <c r="BR136" s="1602" t="s">
        <v>428</v>
      </c>
      <c r="BS136" s="1602">
        <v>0</v>
      </c>
      <c r="BT136" s="1602">
        <v>16</v>
      </c>
      <c r="BU136" s="1602">
        <v>16</v>
      </c>
      <c r="BV136" s="1602">
        <v>16</v>
      </c>
      <c r="BW136" s="1602">
        <v>16</v>
      </c>
      <c r="BX136" s="1362">
        <f t="shared" si="99"/>
        <v>7413.5022796800004</v>
      </c>
      <c r="BY136" s="1362">
        <f t="shared" si="100"/>
        <v>7413.5022796800004</v>
      </c>
      <c r="BZ136" s="1362">
        <f t="shared" si="101"/>
        <v>7413.5022796800004</v>
      </c>
      <c r="CA136" s="1362">
        <f t="shared" si="102"/>
        <v>7413.5022796800004</v>
      </c>
      <c r="CB136" s="1362">
        <f t="shared" si="103"/>
        <v>29654.009118720001</v>
      </c>
      <c r="CC136" s="1360">
        <v>16</v>
      </c>
      <c r="CD136" s="1360">
        <v>16</v>
      </c>
      <c r="CE136" s="1360">
        <v>16</v>
      </c>
      <c r="CF136" s="1360">
        <v>16</v>
      </c>
      <c r="CG136" s="1604">
        <f t="shared" ref="CG136:CG199" si="133">H136*V136*AP136*CC136</f>
        <v>7413.5022796799994</v>
      </c>
      <c r="CH136" s="1604">
        <f t="shared" ref="CH136:CH199" si="134">I136*W136*AV136*CD136</f>
        <v>7413.5022796799994</v>
      </c>
      <c r="CI136" s="1604">
        <f t="shared" ref="CI136:CI199" si="135">J136*X136*BB136*CE136</f>
        <v>7413.5022796799994</v>
      </c>
      <c r="CJ136" s="1604">
        <f t="shared" ref="CJ136:CJ199" si="136">K136*Y136*BH136*CF136</f>
        <v>7413.5022796799994</v>
      </c>
      <c r="CK136" s="1521">
        <f t="shared" ref="CK136:CK199" si="137">SUM(CG136:CJ136)</f>
        <v>29654.009118719998</v>
      </c>
      <c r="CL136" s="1132">
        <v>129</v>
      </c>
      <c r="CM136" s="1132" t="s">
        <v>328</v>
      </c>
      <c r="CN136" s="1359">
        <v>0</v>
      </c>
      <c r="CO136" s="1360">
        <v>1.3440000000000001</v>
      </c>
      <c r="CP136" s="1360">
        <v>1.3440000000000001</v>
      </c>
      <c r="CQ136" s="1360">
        <v>1.3440000000000001</v>
      </c>
      <c r="CR136" s="1360">
        <v>1.3440000000000001</v>
      </c>
      <c r="CS136" s="1362">
        <f t="shared" ref="CS136:CS199" si="138">IF($CN136=1,CO136*N136*AE136,BL136)</f>
        <v>463.34389248000002</v>
      </c>
      <c r="CT136" s="1362">
        <f t="shared" ref="CT136:CT199" si="139">IF($CN136=1,CP136*O136*AF136,BM136)</f>
        <v>463.34389248000002</v>
      </c>
      <c r="CU136" s="1362">
        <f t="shared" ref="CU136:CU199" si="140">IF($CN136=1,CQ136*P136*AG136,BN136)</f>
        <v>463.34389248000002</v>
      </c>
      <c r="CV136" s="1362">
        <f t="shared" ref="CV136:CV199" si="141">IF($CN136=1,CR136*Q136*AH136,BO136)</f>
        <v>463.34389248000002</v>
      </c>
      <c r="CW136" s="1362">
        <f t="shared" ref="CW136:CW199" si="142">+SUM(CS136:CV136)</f>
        <v>1853.3755699200001</v>
      </c>
      <c r="CY136" s="2887"/>
    </row>
    <row r="137" spans="1:118" s="1143" customFormat="1" ht="46.5" x14ac:dyDescent="0.35">
      <c r="A137" s="1132" t="s">
        <v>101</v>
      </c>
      <c r="B137" s="1132" t="s">
        <v>601</v>
      </c>
      <c r="C137" s="1132" t="s">
        <v>430</v>
      </c>
      <c r="D137" s="1359" t="s">
        <v>431</v>
      </c>
      <c r="E137" s="1359">
        <v>1</v>
      </c>
      <c r="F137" s="2807" t="s">
        <v>332</v>
      </c>
      <c r="G137" s="1132" t="s">
        <v>328</v>
      </c>
      <c r="H137" s="1360">
        <v>21.504000000000001</v>
      </c>
      <c r="I137" s="1360">
        <v>21.504000000000001</v>
      </c>
      <c r="J137" s="1360">
        <v>21.504000000000001</v>
      </c>
      <c r="K137" s="1360">
        <v>21.504000000000001</v>
      </c>
      <c r="L137" s="1132" t="s">
        <v>333</v>
      </c>
      <c r="M137" s="1132" t="str">
        <f t="shared" si="104"/>
        <v>Nicor Gas PY11-PY14 Adjustable Goals Template_2025-03-01, Tab 4.4.2</v>
      </c>
      <c r="N137" s="1361">
        <v>178.19138451334805</v>
      </c>
      <c r="O137" s="1361">
        <v>178.19138451334805</v>
      </c>
      <c r="P137" s="1361">
        <v>178.19138451334805</v>
      </c>
      <c r="Q137" s="1361">
        <v>178.19138451334805</v>
      </c>
      <c r="R137" s="1781">
        <v>0.86</v>
      </c>
      <c r="S137" s="1781">
        <v>0.86</v>
      </c>
      <c r="T137" s="1781">
        <v>0.86</v>
      </c>
      <c r="U137" s="1781">
        <v>0.86</v>
      </c>
      <c r="V137" s="1781">
        <v>0.86</v>
      </c>
      <c r="W137" s="1781">
        <v>0.86</v>
      </c>
      <c r="X137" s="1781">
        <v>0.86</v>
      </c>
      <c r="Y137" s="1781">
        <v>0.86</v>
      </c>
      <c r="Z137" s="1359">
        <v>1</v>
      </c>
      <c r="AA137" s="1781">
        <f t="shared" si="105"/>
        <v>0.86</v>
      </c>
      <c r="AB137" s="1781">
        <f t="shared" si="106"/>
        <v>0.86</v>
      </c>
      <c r="AC137" s="1781">
        <f t="shared" si="107"/>
        <v>0.86</v>
      </c>
      <c r="AD137" s="1781">
        <f t="shared" si="108"/>
        <v>0.86</v>
      </c>
      <c r="AE137" s="1781">
        <f t="shared" si="109"/>
        <v>0.86</v>
      </c>
      <c r="AF137" s="1781">
        <f t="shared" si="110"/>
        <v>0.86</v>
      </c>
      <c r="AG137" s="1781">
        <f t="shared" si="111"/>
        <v>0.86</v>
      </c>
      <c r="AH137" s="1781">
        <f t="shared" si="112"/>
        <v>0.86</v>
      </c>
      <c r="AI137" s="1362">
        <f t="shared" ref="AI137:AI200" si="143">H137*N137*R137</f>
        <v>3295.3716780145319</v>
      </c>
      <c r="AJ137" s="1362">
        <f t="shared" ref="AJ137:AJ200" si="144">I137*O137*S137</f>
        <v>3295.3716780145319</v>
      </c>
      <c r="AK137" s="1362">
        <f t="shared" ref="AK137:AK200" si="145">J137*P137*T137</f>
        <v>3295.3716780145319</v>
      </c>
      <c r="AL137" s="1362">
        <f t="shared" ref="AL137:AL200" si="146">K137*Q137*U137</f>
        <v>3295.3716780145319</v>
      </c>
      <c r="AM137" s="1362">
        <f t="shared" ref="AM137:AM200" si="147">SUM(AI137:AL137)</f>
        <v>13181.486712058128</v>
      </c>
      <c r="AN137" s="1132" t="str">
        <f t="shared" si="113"/>
        <v>CI-HVC-BLRT-V06-160601</v>
      </c>
      <c r="AO137" s="1132" t="str">
        <f t="shared" si="114"/>
        <v>Nicor Gas PY11-PY14 Adjustable Goals Template_2025-03-01, Tab 4.4.2</v>
      </c>
      <c r="AP137" s="2568">
        <f>'4.4.2'!$O$4</f>
        <v>174.54860553805378</v>
      </c>
      <c r="AQ137" s="2568" t="s">
        <v>432</v>
      </c>
      <c r="AR137" s="2505">
        <f t="shared" si="115"/>
        <v>3228.0041636016654</v>
      </c>
      <c r="AS137" s="2505">
        <f t="shared" si="116"/>
        <v>-67.367514412866512</v>
      </c>
      <c r="AT137" s="1132" t="str">
        <f t="shared" si="117"/>
        <v>CI-HVC-BLRT-V06-160601</v>
      </c>
      <c r="AU137" s="1132" t="str">
        <f t="shared" si="118"/>
        <v>Nicor Gas PY11-PY14 Adjustable Goals Template_2025-03-01, Tab 4.4.2</v>
      </c>
      <c r="AV137" s="2505">
        <f>'4.4.2'!$O$4</f>
        <v>174.54860553805378</v>
      </c>
      <c r="AW137" s="2568" t="s">
        <v>432</v>
      </c>
      <c r="AX137" s="1362">
        <f t="shared" si="119"/>
        <v>3228.0041636016654</v>
      </c>
      <c r="AY137" s="1360">
        <f t="shared" si="120"/>
        <v>-67.367514412866512</v>
      </c>
      <c r="AZ137" s="1132" t="str">
        <f t="shared" si="121"/>
        <v>CI-HVC-BLRT-V06-160601</v>
      </c>
      <c r="BA137" s="1132" t="str">
        <f t="shared" si="122"/>
        <v>Nicor Gas PY11-PY14 Adjustable Goals Template_2025-03-01, Tab 4.4.2</v>
      </c>
      <c r="BB137" s="2505">
        <f>'4.4.2'!$O$4</f>
        <v>174.54860553805378</v>
      </c>
      <c r="BC137" s="2568" t="s">
        <v>432</v>
      </c>
      <c r="BD137" s="1362">
        <f t="shared" si="123"/>
        <v>3228.0041636016654</v>
      </c>
      <c r="BE137" s="1360">
        <f t="shared" si="124"/>
        <v>-67.367514412866512</v>
      </c>
      <c r="BF137" s="1132" t="str">
        <f t="shared" si="125"/>
        <v>CI-HVC-BLRT-V06-160601</v>
      </c>
      <c r="BG137" s="1132" t="str">
        <f t="shared" si="126"/>
        <v>Nicor Gas PY11-PY14 Adjustable Goals Template_2025-03-01, Tab 4.4.2</v>
      </c>
      <c r="BH137" s="2505">
        <f>'4.4.2'!$O$4</f>
        <v>174.54860553805378</v>
      </c>
      <c r="BI137" s="2568" t="s">
        <v>432</v>
      </c>
      <c r="BJ137" s="1362">
        <f t="shared" ref="BJ137:BJ200" si="148">K137*BH137*Y137</f>
        <v>3228.0041636016654</v>
      </c>
      <c r="BK137" s="1360">
        <f t="shared" si="127"/>
        <v>-67.367514412866512</v>
      </c>
      <c r="BL137" s="1601">
        <f t="shared" si="128"/>
        <v>3228.0041636016654</v>
      </c>
      <c r="BM137" s="1601">
        <f t="shared" si="129"/>
        <v>3228.0041636016654</v>
      </c>
      <c r="BN137" s="1601">
        <f t="shared" si="130"/>
        <v>3228.0041636016654</v>
      </c>
      <c r="BO137" s="1601">
        <f t="shared" si="131"/>
        <v>3228.0041636016654</v>
      </c>
      <c r="BP137" s="1602">
        <f t="shared" si="132"/>
        <v>12912.016654406661</v>
      </c>
      <c r="BQ137" s="1602"/>
      <c r="BR137" s="1602" t="s">
        <v>332</v>
      </c>
      <c r="BS137" s="1602">
        <v>0</v>
      </c>
      <c r="BT137" s="1602">
        <v>3</v>
      </c>
      <c r="BU137" s="1602">
        <v>3</v>
      </c>
      <c r="BV137" s="1602">
        <v>3</v>
      </c>
      <c r="BW137" s="1602">
        <v>3</v>
      </c>
      <c r="BX137" s="1362">
        <f t="shared" ref="BX137:BX200" si="149">H137*N137*R137*BT137</f>
        <v>9886.1150340435961</v>
      </c>
      <c r="BY137" s="1362">
        <f t="shared" ref="BY137:BY200" si="150">I137*O137*S137*BU137</f>
        <v>9886.1150340435961</v>
      </c>
      <c r="BZ137" s="1362">
        <f t="shared" ref="BZ137:BZ200" si="151">J137*P137*T137*BV137</f>
        <v>9886.1150340435961</v>
      </c>
      <c r="CA137" s="1362">
        <f t="shared" ref="CA137:CA200" si="152">K137*Q137*U137*BW137</f>
        <v>9886.1150340435961</v>
      </c>
      <c r="CB137" s="1362">
        <f t="shared" ref="CB137:CB200" si="153">SUM(BX137:CA137)</f>
        <v>39544.460136174384</v>
      </c>
      <c r="CC137" s="1360">
        <v>3</v>
      </c>
      <c r="CD137" s="1360">
        <v>3</v>
      </c>
      <c r="CE137" s="1360">
        <v>3</v>
      </c>
      <c r="CF137" s="1360">
        <v>3</v>
      </c>
      <c r="CG137" s="1604">
        <f t="shared" si="133"/>
        <v>9684.0124908049966</v>
      </c>
      <c r="CH137" s="1604">
        <f t="shared" si="134"/>
        <v>9684.0124908049966</v>
      </c>
      <c r="CI137" s="1604">
        <f t="shared" si="135"/>
        <v>9684.0124908049966</v>
      </c>
      <c r="CJ137" s="1604">
        <f t="shared" si="136"/>
        <v>9684.0124908049966</v>
      </c>
      <c r="CK137" s="1521">
        <f t="shared" si="137"/>
        <v>38736.049963219986</v>
      </c>
      <c r="CL137" s="1132">
        <v>130</v>
      </c>
      <c r="CM137" s="1132" t="s">
        <v>328</v>
      </c>
      <c r="CN137" s="1359">
        <v>0</v>
      </c>
      <c r="CO137" s="1360">
        <v>21.504000000000001</v>
      </c>
      <c r="CP137" s="1360">
        <v>21.504000000000001</v>
      </c>
      <c r="CQ137" s="1360">
        <v>21.504000000000001</v>
      </c>
      <c r="CR137" s="1360">
        <v>21.504000000000001</v>
      </c>
      <c r="CS137" s="1362">
        <f t="shared" si="138"/>
        <v>3228.0041636016654</v>
      </c>
      <c r="CT137" s="1362">
        <f t="shared" si="139"/>
        <v>3228.0041636016654</v>
      </c>
      <c r="CU137" s="1362">
        <f t="shared" si="140"/>
        <v>3228.0041636016654</v>
      </c>
      <c r="CV137" s="1362">
        <f t="shared" si="141"/>
        <v>3228.0041636016654</v>
      </c>
      <c r="CW137" s="1362">
        <f t="shared" si="142"/>
        <v>12912.016654406661</v>
      </c>
      <c r="CY137" s="2887"/>
    </row>
    <row r="138" spans="1:118" s="1143" customFormat="1" ht="46.5" x14ac:dyDescent="0.35">
      <c r="A138" s="1132" t="s">
        <v>101</v>
      </c>
      <c r="B138" s="1132" t="s">
        <v>601</v>
      </c>
      <c r="C138" s="1132" t="s">
        <v>326</v>
      </c>
      <c r="D138" s="1359" t="s">
        <v>327</v>
      </c>
      <c r="E138" s="1359">
        <v>1</v>
      </c>
      <c r="F138" s="2564" t="s">
        <v>327</v>
      </c>
      <c r="G138" s="1132" t="s">
        <v>328</v>
      </c>
      <c r="H138" s="1360">
        <v>0.67200000000000004</v>
      </c>
      <c r="I138" s="1360">
        <v>0.67200000000000004</v>
      </c>
      <c r="J138" s="1360">
        <v>0.67200000000000004</v>
      </c>
      <c r="K138" s="1360">
        <v>0.67200000000000004</v>
      </c>
      <c r="L138" s="1132" t="s">
        <v>329</v>
      </c>
      <c r="M138" s="1132" t="str">
        <f t="shared" si="104"/>
        <v>Nicor Gas PY11-PY14 Adjustable Goals Template_2025-03-01, Tab 4.4.3</v>
      </c>
      <c r="N138" s="1361">
        <v>818.18830024212616</v>
      </c>
      <c r="O138" s="1361">
        <v>818.18830024212616</v>
      </c>
      <c r="P138" s="1361">
        <v>818.18830024212616</v>
      </c>
      <c r="Q138" s="1361">
        <v>818.18830024212616</v>
      </c>
      <c r="R138" s="1781">
        <v>0.86</v>
      </c>
      <c r="S138" s="1781">
        <v>0.86</v>
      </c>
      <c r="T138" s="1781">
        <v>0.86</v>
      </c>
      <c r="U138" s="1781">
        <v>0.86</v>
      </c>
      <c r="V138" s="1781">
        <v>0.86</v>
      </c>
      <c r="W138" s="1781">
        <v>0.86</v>
      </c>
      <c r="X138" s="1781">
        <v>0.86</v>
      </c>
      <c r="Y138" s="1781">
        <v>0.86</v>
      </c>
      <c r="Z138" s="1359">
        <v>1</v>
      </c>
      <c r="AA138" s="1781">
        <f t="shared" si="105"/>
        <v>0.86</v>
      </c>
      <c r="AB138" s="1781">
        <f t="shared" si="106"/>
        <v>0.86</v>
      </c>
      <c r="AC138" s="1781">
        <f t="shared" si="107"/>
        <v>0.86</v>
      </c>
      <c r="AD138" s="1781">
        <f t="shared" si="108"/>
        <v>0.86</v>
      </c>
      <c r="AE138" s="1781">
        <f t="shared" si="109"/>
        <v>0.86</v>
      </c>
      <c r="AF138" s="1781">
        <f t="shared" si="110"/>
        <v>0.86</v>
      </c>
      <c r="AG138" s="1781">
        <f t="shared" si="111"/>
        <v>0.86</v>
      </c>
      <c r="AH138" s="1781">
        <f t="shared" si="112"/>
        <v>0.86</v>
      </c>
      <c r="AI138" s="1362">
        <f t="shared" si="143"/>
        <v>472.84738247592963</v>
      </c>
      <c r="AJ138" s="1362">
        <f t="shared" si="144"/>
        <v>472.84738247592963</v>
      </c>
      <c r="AK138" s="1362">
        <f t="shared" si="145"/>
        <v>472.84738247592963</v>
      </c>
      <c r="AL138" s="1362">
        <f t="shared" si="146"/>
        <v>472.84738247592963</v>
      </c>
      <c r="AM138" s="1362">
        <f t="shared" si="147"/>
        <v>1891.3895299037185</v>
      </c>
      <c r="AN138" s="1132" t="str">
        <f t="shared" si="113"/>
        <v>CI-HVC-PBTU-V05-160601</v>
      </c>
      <c r="AO138" s="1132" t="str">
        <f t="shared" si="114"/>
        <v>Nicor Gas PY11-PY14 Adjustable Goals Template_2025-03-01, Tab 4.4.3</v>
      </c>
      <c r="AP138" s="2505">
        <f>'4.4.3'!$L$4</f>
        <v>818.18830024212616</v>
      </c>
      <c r="AQ138" s="2505"/>
      <c r="AR138" s="2505">
        <f t="shared" si="115"/>
        <v>472.84738247592963</v>
      </c>
      <c r="AS138" s="2505">
        <f t="shared" si="116"/>
        <v>0</v>
      </c>
      <c r="AT138" s="1132" t="str">
        <f t="shared" si="117"/>
        <v>CI-HVC-PBTU-V05-160601</v>
      </c>
      <c r="AU138" s="1132" t="str">
        <f t="shared" si="118"/>
        <v>Nicor Gas PY11-PY14 Adjustable Goals Template_2025-03-01, Tab 4.4.3</v>
      </c>
      <c r="AV138" s="2505">
        <f>'4.4.3'!$L$4</f>
        <v>818.18830024212616</v>
      </c>
      <c r="AW138" s="2505"/>
      <c r="AX138" s="1362">
        <f t="shared" si="119"/>
        <v>472.84738247592963</v>
      </c>
      <c r="AY138" s="1360">
        <f t="shared" si="120"/>
        <v>0</v>
      </c>
      <c r="AZ138" s="1132" t="str">
        <f t="shared" si="121"/>
        <v>CI-HVC-PBTU-V05-160601</v>
      </c>
      <c r="BA138" s="1132" t="str">
        <f t="shared" si="122"/>
        <v>Nicor Gas PY11-PY14 Adjustable Goals Template_2025-03-01, Tab 4.4.3</v>
      </c>
      <c r="BB138" s="2505">
        <f>'4.4.3'!$L$4</f>
        <v>818.18830024212616</v>
      </c>
      <c r="BC138" s="2505"/>
      <c r="BD138" s="1362">
        <f t="shared" si="123"/>
        <v>472.84738247592963</v>
      </c>
      <c r="BE138" s="1360">
        <f t="shared" si="124"/>
        <v>0</v>
      </c>
      <c r="BF138" s="1132" t="str">
        <f t="shared" si="125"/>
        <v>CI-HVC-PBTU-V05-160601</v>
      </c>
      <c r="BG138" s="1132" t="str">
        <f t="shared" si="126"/>
        <v>Nicor Gas PY11-PY14 Adjustable Goals Template_2025-03-01, Tab 4.4.3</v>
      </c>
      <c r="BH138" s="2505">
        <f>'4.4.3'!$L$4</f>
        <v>818.18830024212616</v>
      </c>
      <c r="BI138" s="2505"/>
      <c r="BJ138" s="1362">
        <f t="shared" si="148"/>
        <v>472.84738247592963</v>
      </c>
      <c r="BK138" s="1360">
        <f t="shared" si="127"/>
        <v>0</v>
      </c>
      <c r="BL138" s="1601">
        <f t="shared" si="128"/>
        <v>472.84738247592963</v>
      </c>
      <c r="BM138" s="1601">
        <f t="shared" si="129"/>
        <v>472.84738247592963</v>
      </c>
      <c r="BN138" s="1601">
        <f t="shared" si="130"/>
        <v>472.84738247592963</v>
      </c>
      <c r="BO138" s="1601">
        <f t="shared" si="131"/>
        <v>472.84738247592963</v>
      </c>
      <c r="BP138" s="1602">
        <f t="shared" si="132"/>
        <v>1891.3895299037185</v>
      </c>
      <c r="BQ138" s="1602"/>
      <c r="BR138" s="1602" t="s">
        <v>327</v>
      </c>
      <c r="BS138" s="1602">
        <v>0</v>
      </c>
      <c r="BT138" s="1602">
        <v>3</v>
      </c>
      <c r="BU138" s="1602">
        <v>3</v>
      </c>
      <c r="BV138" s="1602">
        <v>3</v>
      </c>
      <c r="BW138" s="1602">
        <v>3</v>
      </c>
      <c r="BX138" s="1362">
        <f t="shared" si="149"/>
        <v>1418.5421474277889</v>
      </c>
      <c r="BY138" s="1362">
        <f t="shared" si="150"/>
        <v>1418.5421474277889</v>
      </c>
      <c r="BZ138" s="1362">
        <f t="shared" si="151"/>
        <v>1418.5421474277889</v>
      </c>
      <c r="CA138" s="1362">
        <f t="shared" si="152"/>
        <v>1418.5421474277889</v>
      </c>
      <c r="CB138" s="1362">
        <f t="shared" si="153"/>
        <v>5674.1685897111556</v>
      </c>
      <c r="CC138" s="1360">
        <v>3</v>
      </c>
      <c r="CD138" s="1360">
        <v>3</v>
      </c>
      <c r="CE138" s="1360">
        <v>3</v>
      </c>
      <c r="CF138" s="1360">
        <v>3</v>
      </c>
      <c r="CG138" s="1604">
        <f t="shared" si="133"/>
        <v>1418.5421474277887</v>
      </c>
      <c r="CH138" s="1604">
        <f t="shared" si="134"/>
        <v>1418.5421474277887</v>
      </c>
      <c r="CI138" s="1604">
        <f t="shared" si="135"/>
        <v>1418.5421474277887</v>
      </c>
      <c r="CJ138" s="1604">
        <f t="shared" si="136"/>
        <v>1418.5421474277887</v>
      </c>
      <c r="CK138" s="1521">
        <f t="shared" si="137"/>
        <v>5674.1685897111547</v>
      </c>
      <c r="CL138" s="1132">
        <v>131</v>
      </c>
      <c r="CM138" s="1132" t="s">
        <v>328</v>
      </c>
      <c r="CN138" s="1359">
        <v>0</v>
      </c>
      <c r="CO138" s="1360">
        <v>0.67200000000000004</v>
      </c>
      <c r="CP138" s="1360">
        <v>0.67200000000000004</v>
      </c>
      <c r="CQ138" s="1360">
        <v>0.67200000000000004</v>
      </c>
      <c r="CR138" s="1360">
        <v>0.67200000000000004</v>
      </c>
      <c r="CS138" s="1362">
        <f t="shared" si="138"/>
        <v>472.84738247592963</v>
      </c>
      <c r="CT138" s="1362">
        <f t="shared" si="139"/>
        <v>472.84738247592963</v>
      </c>
      <c r="CU138" s="1362">
        <f t="shared" si="140"/>
        <v>472.84738247592963</v>
      </c>
      <c r="CV138" s="1362">
        <f t="shared" si="141"/>
        <v>472.84738247592963</v>
      </c>
      <c r="CW138" s="1362">
        <f t="shared" si="142"/>
        <v>1891.3895299037185</v>
      </c>
      <c r="CY138" s="2887"/>
    </row>
    <row r="139" spans="1:118" s="1143" customFormat="1" ht="42" customHeight="1" x14ac:dyDescent="0.35">
      <c r="A139" s="1132" t="s">
        <v>101</v>
      </c>
      <c r="B139" s="1132" t="s">
        <v>601</v>
      </c>
      <c r="C139" s="1132" t="s">
        <v>433</v>
      </c>
      <c r="D139" s="1359" t="s">
        <v>434</v>
      </c>
      <c r="E139" s="1359">
        <v>1</v>
      </c>
      <c r="F139" s="2807" t="s">
        <v>435</v>
      </c>
      <c r="G139" s="1132" t="s">
        <v>356</v>
      </c>
      <c r="H139" s="1360">
        <v>1.6800000000000002</v>
      </c>
      <c r="I139" s="1360">
        <v>1.6800000000000002</v>
      </c>
      <c r="J139" s="1360">
        <v>1.6800000000000002</v>
      </c>
      <c r="K139" s="1360">
        <v>1.6800000000000002</v>
      </c>
      <c r="L139" s="1132" t="s">
        <v>436</v>
      </c>
      <c r="M139" s="1132" t="str">
        <f t="shared" si="104"/>
        <v>Nicor Gas PY11-PY14 Adjustable Goals Template_2025-03-01, Tab 4.4.10</v>
      </c>
      <c r="N139" s="1361">
        <v>238.91364739575309</v>
      </c>
      <c r="O139" s="1361">
        <v>238.91364739575309</v>
      </c>
      <c r="P139" s="1361">
        <v>238.91364739575309</v>
      </c>
      <c r="Q139" s="1361">
        <v>238.91364739575309</v>
      </c>
      <c r="R139" s="1781">
        <v>0.86</v>
      </c>
      <c r="S139" s="1781">
        <v>0.86</v>
      </c>
      <c r="T139" s="1781">
        <v>0.86</v>
      </c>
      <c r="U139" s="1781">
        <v>0.86</v>
      </c>
      <c r="V139" s="1781">
        <v>0.86</v>
      </c>
      <c r="W139" s="1781">
        <v>0.86</v>
      </c>
      <c r="X139" s="1781">
        <v>0.86</v>
      </c>
      <c r="Y139" s="1781">
        <v>0.86</v>
      </c>
      <c r="Z139" s="1359">
        <v>1</v>
      </c>
      <c r="AA139" s="1781">
        <f t="shared" si="105"/>
        <v>0.86</v>
      </c>
      <c r="AB139" s="1781">
        <f t="shared" si="106"/>
        <v>0.86</v>
      </c>
      <c r="AC139" s="1781">
        <f t="shared" si="107"/>
        <v>0.86</v>
      </c>
      <c r="AD139" s="1781">
        <f t="shared" si="108"/>
        <v>0.86</v>
      </c>
      <c r="AE139" s="1781">
        <f t="shared" si="109"/>
        <v>0.86</v>
      </c>
      <c r="AF139" s="1781">
        <f t="shared" si="110"/>
        <v>0.86</v>
      </c>
      <c r="AG139" s="1781">
        <f t="shared" si="111"/>
        <v>0.86</v>
      </c>
      <c r="AH139" s="1781">
        <f t="shared" si="112"/>
        <v>0.86</v>
      </c>
      <c r="AI139" s="1362">
        <f t="shared" si="143"/>
        <v>345.18243775738409</v>
      </c>
      <c r="AJ139" s="1362">
        <f t="shared" si="144"/>
        <v>345.18243775738409</v>
      </c>
      <c r="AK139" s="1362">
        <f t="shared" si="145"/>
        <v>345.18243775738409</v>
      </c>
      <c r="AL139" s="1362">
        <f t="shared" si="146"/>
        <v>345.18243775738409</v>
      </c>
      <c r="AM139" s="1362">
        <f t="shared" si="147"/>
        <v>1380.7297510295364</v>
      </c>
      <c r="AN139" s="1132" t="str">
        <f t="shared" si="113"/>
        <v>CI-HVC-BOIL-V06-190101</v>
      </c>
      <c r="AO139" s="1132" t="str">
        <f t="shared" si="114"/>
        <v>Nicor Gas PY11-PY14 Adjustable Goals Template_2025-03-01, Tab 4.4.10</v>
      </c>
      <c r="AP139" s="2568">
        <f>'4.4.10'!$Q$4</f>
        <v>234.02951894015465</v>
      </c>
      <c r="AQ139" s="2568" t="s">
        <v>432</v>
      </c>
      <c r="AR139" s="2505">
        <f t="shared" si="115"/>
        <v>338.1258489647355</v>
      </c>
      <c r="AS139" s="2505">
        <f t="shared" si="116"/>
        <v>-7.0565887926485971</v>
      </c>
      <c r="AT139" s="1132" t="str">
        <f t="shared" si="117"/>
        <v>CI-HVC-BOIL-V06-190101</v>
      </c>
      <c r="AU139" s="1132" t="str">
        <f t="shared" si="118"/>
        <v>Nicor Gas PY11-PY14 Adjustable Goals Template_2025-03-01, Tab 4.4.10</v>
      </c>
      <c r="AV139" s="2505">
        <f>'4.4.10'!$Q$4</f>
        <v>234.02951894015465</v>
      </c>
      <c r="AW139" s="2568" t="s">
        <v>432</v>
      </c>
      <c r="AX139" s="1362">
        <f t="shared" si="119"/>
        <v>338.1258489647355</v>
      </c>
      <c r="AY139" s="1360">
        <f t="shared" si="120"/>
        <v>-7.0565887926485971</v>
      </c>
      <c r="AZ139" s="1132" t="str">
        <f t="shared" si="121"/>
        <v>CI-HVC-BOIL-V06-190101</v>
      </c>
      <c r="BA139" s="1132" t="str">
        <f t="shared" si="122"/>
        <v>Nicor Gas PY11-PY14 Adjustable Goals Template_2025-03-01, Tab 4.4.10</v>
      </c>
      <c r="BB139" s="2505">
        <f>'4.4.10'!$Q$4</f>
        <v>234.02951894015465</v>
      </c>
      <c r="BC139" s="2568" t="s">
        <v>432</v>
      </c>
      <c r="BD139" s="1362">
        <f t="shared" si="123"/>
        <v>338.1258489647355</v>
      </c>
      <c r="BE139" s="1360">
        <f t="shared" si="124"/>
        <v>-7.0565887926485971</v>
      </c>
      <c r="BF139" s="1132" t="str">
        <f t="shared" si="125"/>
        <v>CI-HVC-BOIL-V06-190101</v>
      </c>
      <c r="BG139" s="1132" t="str">
        <f t="shared" si="126"/>
        <v>Nicor Gas PY11-PY14 Adjustable Goals Template_2025-03-01, Tab 4.4.10</v>
      </c>
      <c r="BH139" s="2505">
        <f>'4.4.10'!$Q$4</f>
        <v>234.02951894015465</v>
      </c>
      <c r="BI139" s="2568" t="s">
        <v>432</v>
      </c>
      <c r="BJ139" s="1362">
        <f t="shared" si="148"/>
        <v>338.1258489647355</v>
      </c>
      <c r="BK139" s="1360">
        <f t="shared" si="127"/>
        <v>-7.0565887926485971</v>
      </c>
      <c r="BL139" s="1601">
        <f t="shared" si="128"/>
        <v>338.1258489647355</v>
      </c>
      <c r="BM139" s="1601">
        <f t="shared" si="129"/>
        <v>338.1258489647355</v>
      </c>
      <c r="BN139" s="1601">
        <f t="shared" si="130"/>
        <v>338.1258489647355</v>
      </c>
      <c r="BO139" s="1601">
        <f t="shared" si="131"/>
        <v>338.1258489647355</v>
      </c>
      <c r="BP139" s="1602">
        <f t="shared" si="132"/>
        <v>1352.503395858942</v>
      </c>
      <c r="BQ139" s="1602"/>
      <c r="BR139" s="1602" t="s">
        <v>435</v>
      </c>
      <c r="BS139" s="1602">
        <v>0</v>
      </c>
      <c r="BT139" s="1602">
        <v>25</v>
      </c>
      <c r="BU139" s="1602">
        <v>25</v>
      </c>
      <c r="BV139" s="1602">
        <v>25</v>
      </c>
      <c r="BW139" s="1602">
        <v>25</v>
      </c>
      <c r="BX139" s="1362">
        <f t="shared" si="149"/>
        <v>8629.5609439346026</v>
      </c>
      <c r="BY139" s="1362">
        <f t="shared" si="150"/>
        <v>8629.5609439346026</v>
      </c>
      <c r="BZ139" s="1362">
        <f t="shared" si="151"/>
        <v>8629.5609439346026</v>
      </c>
      <c r="CA139" s="1362">
        <f t="shared" si="152"/>
        <v>8629.5609439346026</v>
      </c>
      <c r="CB139" s="1362">
        <f t="shared" si="153"/>
        <v>34518.24377573841</v>
      </c>
      <c r="CC139" s="1360">
        <v>25</v>
      </c>
      <c r="CD139" s="1360">
        <v>25</v>
      </c>
      <c r="CE139" s="1360">
        <v>25</v>
      </c>
      <c r="CF139" s="1360">
        <v>25</v>
      </c>
      <c r="CG139" s="1604">
        <f t="shared" si="133"/>
        <v>8453.1462241183854</v>
      </c>
      <c r="CH139" s="1604">
        <f t="shared" si="134"/>
        <v>8453.1462241183854</v>
      </c>
      <c r="CI139" s="1604">
        <f t="shared" si="135"/>
        <v>8453.1462241183854</v>
      </c>
      <c r="CJ139" s="1604">
        <f t="shared" si="136"/>
        <v>8453.1462241183854</v>
      </c>
      <c r="CK139" s="1521">
        <f t="shared" si="137"/>
        <v>33812.584896473541</v>
      </c>
      <c r="CL139" s="1132">
        <v>132</v>
      </c>
      <c r="CM139" s="1132" t="s">
        <v>356</v>
      </c>
      <c r="CN139" s="1359">
        <v>0</v>
      </c>
      <c r="CO139" s="1360">
        <v>1.6800000000000002</v>
      </c>
      <c r="CP139" s="1360">
        <v>1.6800000000000002</v>
      </c>
      <c r="CQ139" s="1360">
        <v>1.6800000000000002</v>
      </c>
      <c r="CR139" s="1360">
        <v>1.6800000000000002</v>
      </c>
      <c r="CS139" s="1362">
        <f t="shared" si="138"/>
        <v>338.1258489647355</v>
      </c>
      <c r="CT139" s="1362">
        <f t="shared" si="139"/>
        <v>338.1258489647355</v>
      </c>
      <c r="CU139" s="1362">
        <f t="shared" si="140"/>
        <v>338.1258489647355</v>
      </c>
      <c r="CV139" s="1362">
        <f t="shared" si="141"/>
        <v>338.1258489647355</v>
      </c>
      <c r="CW139" s="1362">
        <f t="shared" si="142"/>
        <v>1352.503395858942</v>
      </c>
      <c r="CY139" s="2887"/>
    </row>
    <row r="140" spans="1:118" s="1143" customFormat="1" ht="46.5" x14ac:dyDescent="0.35">
      <c r="A140" s="1132" t="s">
        <v>101</v>
      </c>
      <c r="B140" s="1132" t="s">
        <v>601</v>
      </c>
      <c r="C140" s="1132" t="s">
        <v>437</v>
      </c>
      <c r="D140" s="1359" t="s">
        <v>438</v>
      </c>
      <c r="E140" s="1359">
        <v>1</v>
      </c>
      <c r="F140" s="2807" t="s">
        <v>435</v>
      </c>
      <c r="G140" s="1132" t="s">
        <v>356</v>
      </c>
      <c r="H140" s="1360">
        <v>0.33600000000000002</v>
      </c>
      <c r="I140" s="1360">
        <v>0.33600000000000002</v>
      </c>
      <c r="J140" s="1360">
        <v>0.33600000000000002</v>
      </c>
      <c r="K140" s="1360">
        <v>0.33600000000000002</v>
      </c>
      <c r="L140" s="1132" t="s">
        <v>436</v>
      </c>
      <c r="M140" s="1132" t="str">
        <f t="shared" si="104"/>
        <v>Nicor Gas PY11-PY14 Adjustable Goals Template_2025-03-01, Tab 4.4.10</v>
      </c>
      <c r="N140" s="1361">
        <v>447.71432736486514</v>
      </c>
      <c r="O140" s="1361">
        <v>447.71432736486514</v>
      </c>
      <c r="P140" s="1361">
        <v>447.71432736486514</v>
      </c>
      <c r="Q140" s="1361">
        <v>447.71432736486514</v>
      </c>
      <c r="R140" s="1781">
        <v>0.86</v>
      </c>
      <c r="S140" s="1781">
        <v>0.86</v>
      </c>
      <c r="T140" s="1781">
        <v>0.86</v>
      </c>
      <c r="U140" s="1781">
        <v>0.86</v>
      </c>
      <c r="V140" s="1781">
        <v>0.86</v>
      </c>
      <c r="W140" s="1781">
        <v>0.86</v>
      </c>
      <c r="X140" s="1781">
        <v>0.86</v>
      </c>
      <c r="Y140" s="1781">
        <v>0.86</v>
      </c>
      <c r="Z140" s="1359">
        <v>1</v>
      </c>
      <c r="AA140" s="1781">
        <f t="shared" si="105"/>
        <v>0.86</v>
      </c>
      <c r="AB140" s="1781">
        <f t="shared" si="106"/>
        <v>0.86</v>
      </c>
      <c r="AC140" s="1781">
        <f t="shared" si="107"/>
        <v>0.86</v>
      </c>
      <c r="AD140" s="1781">
        <f t="shared" si="108"/>
        <v>0.86</v>
      </c>
      <c r="AE140" s="1781">
        <f t="shared" si="109"/>
        <v>0.86</v>
      </c>
      <c r="AF140" s="1781">
        <f t="shared" si="110"/>
        <v>0.86</v>
      </c>
      <c r="AG140" s="1781">
        <f t="shared" si="111"/>
        <v>0.86</v>
      </c>
      <c r="AH140" s="1781">
        <f t="shared" si="112"/>
        <v>0.86</v>
      </c>
      <c r="AI140" s="1362">
        <f t="shared" si="143"/>
        <v>129.37153203535144</v>
      </c>
      <c r="AJ140" s="1362">
        <f t="shared" si="144"/>
        <v>129.37153203535144</v>
      </c>
      <c r="AK140" s="1362">
        <f t="shared" si="145"/>
        <v>129.37153203535144</v>
      </c>
      <c r="AL140" s="1362">
        <f t="shared" si="146"/>
        <v>129.37153203535144</v>
      </c>
      <c r="AM140" s="1362">
        <f t="shared" si="147"/>
        <v>517.48612814140574</v>
      </c>
      <c r="AN140" s="1132" t="str">
        <f t="shared" si="113"/>
        <v>CI-HVC-BOIL-V06-190101</v>
      </c>
      <c r="AO140" s="1132" t="str">
        <f t="shared" si="114"/>
        <v>Nicor Gas PY11-PY14 Adjustable Goals Template_2025-03-01, Tab 4.4.10</v>
      </c>
      <c r="AP140" s="2568">
        <f>'4.4.10'!$Q$5</f>
        <v>438.56167195946</v>
      </c>
      <c r="AQ140" s="2568" t="s">
        <v>432</v>
      </c>
      <c r="AR140" s="2505">
        <f t="shared" si="115"/>
        <v>126.72678072940556</v>
      </c>
      <c r="AS140" s="2505">
        <f t="shared" si="116"/>
        <v>-2.6447513059458743</v>
      </c>
      <c r="AT140" s="1132" t="str">
        <f t="shared" si="117"/>
        <v>CI-HVC-BOIL-V06-190101</v>
      </c>
      <c r="AU140" s="1132" t="str">
        <f t="shared" si="118"/>
        <v>Nicor Gas PY11-PY14 Adjustable Goals Template_2025-03-01, Tab 4.4.10</v>
      </c>
      <c r="AV140" s="2505">
        <f>'4.4.10'!$Q$5</f>
        <v>438.56167195946</v>
      </c>
      <c r="AW140" s="2568" t="s">
        <v>432</v>
      </c>
      <c r="AX140" s="1362">
        <f t="shared" si="119"/>
        <v>126.72678072940556</v>
      </c>
      <c r="AY140" s="1360">
        <f t="shared" si="120"/>
        <v>-2.6447513059458743</v>
      </c>
      <c r="AZ140" s="1132" t="str">
        <f t="shared" si="121"/>
        <v>CI-HVC-BOIL-V06-190101</v>
      </c>
      <c r="BA140" s="1132" t="str">
        <f t="shared" si="122"/>
        <v>Nicor Gas PY11-PY14 Adjustable Goals Template_2025-03-01, Tab 4.4.10</v>
      </c>
      <c r="BB140" s="2505">
        <f>'4.4.10'!$Q$5</f>
        <v>438.56167195946</v>
      </c>
      <c r="BC140" s="2568" t="s">
        <v>432</v>
      </c>
      <c r="BD140" s="1362">
        <f t="shared" si="123"/>
        <v>126.72678072940556</v>
      </c>
      <c r="BE140" s="1360">
        <f t="shared" si="124"/>
        <v>-2.6447513059458743</v>
      </c>
      <c r="BF140" s="1132" t="str">
        <f t="shared" si="125"/>
        <v>CI-HVC-BOIL-V06-190101</v>
      </c>
      <c r="BG140" s="1132" t="str">
        <f t="shared" si="126"/>
        <v>Nicor Gas PY11-PY14 Adjustable Goals Template_2025-03-01, Tab 4.4.10</v>
      </c>
      <c r="BH140" s="2505">
        <f>'4.4.10'!$Q$5</f>
        <v>438.56167195946</v>
      </c>
      <c r="BI140" s="2568" t="s">
        <v>432</v>
      </c>
      <c r="BJ140" s="1362">
        <f t="shared" si="148"/>
        <v>126.72678072940556</v>
      </c>
      <c r="BK140" s="1360">
        <f t="shared" si="127"/>
        <v>-2.6447513059458743</v>
      </c>
      <c r="BL140" s="1601">
        <f t="shared" si="128"/>
        <v>126.72678072940556</v>
      </c>
      <c r="BM140" s="1601">
        <f t="shared" si="129"/>
        <v>126.72678072940556</v>
      </c>
      <c r="BN140" s="1601">
        <f t="shared" si="130"/>
        <v>126.72678072940556</v>
      </c>
      <c r="BO140" s="1601">
        <f t="shared" si="131"/>
        <v>126.72678072940556</v>
      </c>
      <c r="BP140" s="1602">
        <f t="shared" si="132"/>
        <v>506.90712291762225</v>
      </c>
      <c r="BQ140" s="1602"/>
      <c r="BR140" s="1602" t="s">
        <v>435</v>
      </c>
      <c r="BS140" s="1602">
        <v>0</v>
      </c>
      <c r="BT140" s="1602">
        <v>25</v>
      </c>
      <c r="BU140" s="1602">
        <v>25</v>
      </c>
      <c r="BV140" s="1602">
        <v>25</v>
      </c>
      <c r="BW140" s="1602">
        <v>25</v>
      </c>
      <c r="BX140" s="1362">
        <f t="shared" si="149"/>
        <v>3234.2883008837857</v>
      </c>
      <c r="BY140" s="1362">
        <f t="shared" si="150"/>
        <v>3234.2883008837857</v>
      </c>
      <c r="BZ140" s="1362">
        <f t="shared" si="151"/>
        <v>3234.2883008837857</v>
      </c>
      <c r="CA140" s="1362">
        <f t="shared" si="152"/>
        <v>3234.2883008837857</v>
      </c>
      <c r="CB140" s="1362">
        <f t="shared" si="153"/>
        <v>12937.153203535143</v>
      </c>
      <c r="CC140" s="1360">
        <v>25</v>
      </c>
      <c r="CD140" s="1360">
        <v>25</v>
      </c>
      <c r="CE140" s="1360">
        <v>25</v>
      </c>
      <c r="CF140" s="1360">
        <v>25</v>
      </c>
      <c r="CG140" s="1604">
        <f t="shared" si="133"/>
        <v>3168.1695182351391</v>
      </c>
      <c r="CH140" s="1604">
        <f t="shared" si="134"/>
        <v>3168.1695182351391</v>
      </c>
      <c r="CI140" s="1604">
        <f t="shared" si="135"/>
        <v>3168.1695182351391</v>
      </c>
      <c r="CJ140" s="1604">
        <f t="shared" si="136"/>
        <v>3168.1695182351391</v>
      </c>
      <c r="CK140" s="1521">
        <f t="shared" si="137"/>
        <v>12672.678072940556</v>
      </c>
      <c r="CL140" s="1132">
        <v>133</v>
      </c>
      <c r="CM140" s="1132" t="s">
        <v>356</v>
      </c>
      <c r="CN140" s="1359">
        <v>0</v>
      </c>
      <c r="CO140" s="1360">
        <v>0.33600000000000002</v>
      </c>
      <c r="CP140" s="1360">
        <v>0.33600000000000002</v>
      </c>
      <c r="CQ140" s="1360">
        <v>0.33600000000000002</v>
      </c>
      <c r="CR140" s="1360">
        <v>0.33600000000000002</v>
      </c>
      <c r="CS140" s="1362">
        <f t="shared" si="138"/>
        <v>126.72678072940556</v>
      </c>
      <c r="CT140" s="1362">
        <f t="shared" si="139"/>
        <v>126.72678072940556</v>
      </c>
      <c r="CU140" s="1362">
        <f t="shared" si="140"/>
        <v>126.72678072940556</v>
      </c>
      <c r="CV140" s="1362">
        <f t="shared" si="141"/>
        <v>126.72678072940556</v>
      </c>
      <c r="CW140" s="1362">
        <f t="shared" si="142"/>
        <v>506.90712291762225</v>
      </c>
      <c r="CY140" s="2887"/>
    </row>
    <row r="141" spans="1:118" s="1143" customFormat="1" ht="15" customHeight="1" x14ac:dyDescent="0.35">
      <c r="A141" s="1132" t="s">
        <v>101</v>
      </c>
      <c r="B141" s="1132" t="s">
        <v>601</v>
      </c>
      <c r="C141" s="1132" t="s">
        <v>439</v>
      </c>
      <c r="D141" s="1359" t="s">
        <v>440</v>
      </c>
      <c r="E141" s="1359">
        <v>1</v>
      </c>
      <c r="F141" s="2807" t="s">
        <v>435</v>
      </c>
      <c r="G141" s="1132" t="s">
        <v>356</v>
      </c>
      <c r="H141" s="1360">
        <v>1.008</v>
      </c>
      <c r="I141" s="1360">
        <v>1.008</v>
      </c>
      <c r="J141" s="1360">
        <v>1.008</v>
      </c>
      <c r="K141" s="1360">
        <v>1.008</v>
      </c>
      <c r="L141" s="1132" t="s">
        <v>436</v>
      </c>
      <c r="M141" s="1132" t="str">
        <f t="shared" si="104"/>
        <v>Nicor Gas PY11-PY14 Adjustable Goals Template_2025-03-01, Tab 4.4.10</v>
      </c>
      <c r="N141" s="1361">
        <v>744.8581799420856</v>
      </c>
      <c r="O141" s="1361">
        <v>744.8581799420856</v>
      </c>
      <c r="P141" s="1361">
        <v>744.8581799420856</v>
      </c>
      <c r="Q141" s="1361">
        <v>744.8581799420856</v>
      </c>
      <c r="R141" s="1781">
        <v>0.86</v>
      </c>
      <c r="S141" s="1781">
        <v>0.86</v>
      </c>
      <c r="T141" s="1781">
        <v>0.86</v>
      </c>
      <c r="U141" s="1781">
        <v>0.86</v>
      </c>
      <c r="V141" s="1781">
        <v>0.86</v>
      </c>
      <c r="W141" s="1781">
        <v>0.86</v>
      </c>
      <c r="X141" s="1781">
        <v>0.86</v>
      </c>
      <c r="Y141" s="1781">
        <v>0.86</v>
      </c>
      <c r="Z141" s="1359">
        <v>1</v>
      </c>
      <c r="AA141" s="1781">
        <f t="shared" si="105"/>
        <v>0.86</v>
      </c>
      <c r="AB141" s="1781">
        <f t="shared" si="106"/>
        <v>0.86</v>
      </c>
      <c r="AC141" s="1781">
        <f t="shared" si="107"/>
        <v>0.86</v>
      </c>
      <c r="AD141" s="1781">
        <f t="shared" si="108"/>
        <v>0.86</v>
      </c>
      <c r="AE141" s="1781">
        <f t="shared" si="109"/>
        <v>0.86</v>
      </c>
      <c r="AF141" s="1781">
        <f t="shared" si="110"/>
        <v>0.86</v>
      </c>
      <c r="AG141" s="1781">
        <f t="shared" si="111"/>
        <v>0.86</v>
      </c>
      <c r="AH141" s="1781">
        <f t="shared" si="112"/>
        <v>0.86</v>
      </c>
      <c r="AI141" s="1362">
        <f t="shared" si="143"/>
        <v>645.70265902819517</v>
      </c>
      <c r="AJ141" s="1362">
        <f t="shared" si="144"/>
        <v>645.70265902819517</v>
      </c>
      <c r="AK141" s="1362">
        <f t="shared" si="145"/>
        <v>645.70265902819517</v>
      </c>
      <c r="AL141" s="1362">
        <f t="shared" si="146"/>
        <v>645.70265902819517</v>
      </c>
      <c r="AM141" s="1362">
        <f t="shared" si="147"/>
        <v>2582.8106361127807</v>
      </c>
      <c r="AN141" s="1132" t="str">
        <f t="shared" si="113"/>
        <v>CI-HVC-BOIL-V06-190101</v>
      </c>
      <c r="AO141" s="1132" t="str">
        <f t="shared" si="114"/>
        <v>Nicor Gas PY11-PY14 Adjustable Goals Template_2025-03-01, Tab 4.4.10</v>
      </c>
      <c r="AP141" s="2568">
        <f>'4.4.10'!$Q$6</f>
        <v>729.63099191119761</v>
      </c>
      <c r="AQ141" s="2568" t="s">
        <v>432</v>
      </c>
      <c r="AR141" s="2505">
        <f t="shared" si="115"/>
        <v>632.502514267979</v>
      </c>
      <c r="AS141" s="2505">
        <f t="shared" si="116"/>
        <v>-13.200144760216176</v>
      </c>
      <c r="AT141" s="1132" t="str">
        <f t="shared" si="117"/>
        <v>CI-HVC-BOIL-V06-190101</v>
      </c>
      <c r="AU141" s="1132" t="str">
        <f t="shared" si="118"/>
        <v>Nicor Gas PY11-PY14 Adjustable Goals Template_2025-03-01, Tab 4.4.10</v>
      </c>
      <c r="AV141" s="2505">
        <f>'4.4.10'!$Q$6</f>
        <v>729.63099191119761</v>
      </c>
      <c r="AW141" s="2568" t="s">
        <v>432</v>
      </c>
      <c r="AX141" s="1362">
        <f t="shared" si="119"/>
        <v>632.502514267979</v>
      </c>
      <c r="AY141" s="1360">
        <f t="shared" si="120"/>
        <v>-13.200144760216176</v>
      </c>
      <c r="AZ141" s="1132" t="str">
        <f t="shared" si="121"/>
        <v>CI-HVC-BOIL-V06-190101</v>
      </c>
      <c r="BA141" s="1132" t="str">
        <f t="shared" si="122"/>
        <v>Nicor Gas PY11-PY14 Adjustable Goals Template_2025-03-01, Tab 4.4.10</v>
      </c>
      <c r="BB141" s="2505">
        <f>'4.4.10'!$Q$6</f>
        <v>729.63099191119761</v>
      </c>
      <c r="BC141" s="2568" t="s">
        <v>432</v>
      </c>
      <c r="BD141" s="1362">
        <f t="shared" si="123"/>
        <v>632.502514267979</v>
      </c>
      <c r="BE141" s="1360">
        <f t="shared" si="124"/>
        <v>-13.200144760216176</v>
      </c>
      <c r="BF141" s="1132" t="str">
        <f t="shared" si="125"/>
        <v>CI-HVC-BOIL-V06-190101</v>
      </c>
      <c r="BG141" s="1132" t="str">
        <f t="shared" si="126"/>
        <v>Nicor Gas PY11-PY14 Adjustable Goals Template_2025-03-01, Tab 4.4.10</v>
      </c>
      <c r="BH141" s="2505">
        <f>'4.4.10'!$Q$6</f>
        <v>729.63099191119761</v>
      </c>
      <c r="BI141" s="2568" t="s">
        <v>432</v>
      </c>
      <c r="BJ141" s="1362">
        <f t="shared" si="148"/>
        <v>632.502514267979</v>
      </c>
      <c r="BK141" s="1360">
        <f t="shared" si="127"/>
        <v>-13.200144760216176</v>
      </c>
      <c r="BL141" s="1601">
        <f t="shared" si="128"/>
        <v>632.502514267979</v>
      </c>
      <c r="BM141" s="1601">
        <f t="shared" si="129"/>
        <v>632.502514267979</v>
      </c>
      <c r="BN141" s="1601">
        <f t="shared" si="130"/>
        <v>632.502514267979</v>
      </c>
      <c r="BO141" s="1601">
        <f t="shared" si="131"/>
        <v>632.502514267979</v>
      </c>
      <c r="BP141" s="1602">
        <f t="shared" si="132"/>
        <v>2530.010057071916</v>
      </c>
      <c r="BQ141" s="1602"/>
      <c r="BR141" s="1602" t="s">
        <v>435</v>
      </c>
      <c r="BS141" s="1602">
        <v>0</v>
      </c>
      <c r="BT141" s="1602">
        <v>25</v>
      </c>
      <c r="BU141" s="1602">
        <v>25</v>
      </c>
      <c r="BV141" s="1602">
        <v>25</v>
      </c>
      <c r="BW141" s="1602">
        <v>25</v>
      </c>
      <c r="BX141" s="1362">
        <f t="shared" si="149"/>
        <v>16142.56647570488</v>
      </c>
      <c r="BY141" s="1362">
        <f t="shared" si="150"/>
        <v>16142.56647570488</v>
      </c>
      <c r="BZ141" s="1362">
        <f t="shared" si="151"/>
        <v>16142.56647570488</v>
      </c>
      <c r="CA141" s="1362">
        <f t="shared" si="152"/>
        <v>16142.56647570488</v>
      </c>
      <c r="CB141" s="1362">
        <f t="shared" si="153"/>
        <v>64570.265902819519</v>
      </c>
      <c r="CC141" s="1360">
        <v>25</v>
      </c>
      <c r="CD141" s="1360">
        <v>25</v>
      </c>
      <c r="CE141" s="1360">
        <v>25</v>
      </c>
      <c r="CF141" s="1360">
        <v>25</v>
      </c>
      <c r="CG141" s="1604">
        <f t="shared" si="133"/>
        <v>15812.562856699475</v>
      </c>
      <c r="CH141" s="1604">
        <f t="shared" si="134"/>
        <v>15812.562856699475</v>
      </c>
      <c r="CI141" s="1604">
        <f t="shared" si="135"/>
        <v>15812.562856699475</v>
      </c>
      <c r="CJ141" s="1604">
        <f t="shared" si="136"/>
        <v>15812.562856699475</v>
      </c>
      <c r="CK141" s="1521">
        <f t="shared" si="137"/>
        <v>63250.251426797899</v>
      </c>
      <c r="CL141" s="1132">
        <v>134</v>
      </c>
      <c r="CM141" s="1132" t="s">
        <v>356</v>
      </c>
      <c r="CN141" s="1359">
        <v>0</v>
      </c>
      <c r="CO141" s="1360">
        <v>1.008</v>
      </c>
      <c r="CP141" s="1360">
        <v>1.008</v>
      </c>
      <c r="CQ141" s="1360">
        <v>1.008</v>
      </c>
      <c r="CR141" s="1360">
        <v>1.008</v>
      </c>
      <c r="CS141" s="1362">
        <f t="shared" si="138"/>
        <v>632.502514267979</v>
      </c>
      <c r="CT141" s="1362">
        <f t="shared" si="139"/>
        <v>632.502514267979</v>
      </c>
      <c r="CU141" s="1362">
        <f t="shared" si="140"/>
        <v>632.502514267979</v>
      </c>
      <c r="CV141" s="1362">
        <f t="shared" si="141"/>
        <v>632.502514267979</v>
      </c>
      <c r="CW141" s="1362">
        <f t="shared" si="142"/>
        <v>2530.010057071916</v>
      </c>
      <c r="CY141" s="2887"/>
    </row>
    <row r="142" spans="1:118" s="1143" customFormat="1" ht="45" customHeight="1" x14ac:dyDescent="0.35">
      <c r="A142" s="1132" t="s">
        <v>101</v>
      </c>
      <c r="B142" s="1132" t="s">
        <v>601</v>
      </c>
      <c r="C142" s="1132" t="s">
        <v>441</v>
      </c>
      <c r="D142" s="1359" t="s">
        <v>442</v>
      </c>
      <c r="E142" s="1359">
        <v>1</v>
      </c>
      <c r="F142" s="2807" t="s">
        <v>435</v>
      </c>
      <c r="G142" s="1132" t="s">
        <v>356</v>
      </c>
      <c r="H142" s="1360">
        <v>0.33600000000000002</v>
      </c>
      <c r="I142" s="1360">
        <v>0.33600000000000002</v>
      </c>
      <c r="J142" s="1360">
        <v>0.33600000000000002</v>
      </c>
      <c r="K142" s="1360">
        <v>0.33600000000000002</v>
      </c>
      <c r="L142" s="1132" t="s">
        <v>436</v>
      </c>
      <c r="M142" s="1132" t="str">
        <f t="shared" si="104"/>
        <v>Nicor Gas PY11-PY14 Adjustable Goals Template_2025-03-01, Tab 4.4.10</v>
      </c>
      <c r="N142" s="1361">
        <v>1409.4136100386113</v>
      </c>
      <c r="O142" s="1361">
        <v>1409.4136100386113</v>
      </c>
      <c r="P142" s="1361">
        <v>1409.4136100386113</v>
      </c>
      <c r="Q142" s="1361">
        <v>1409.4136100386113</v>
      </c>
      <c r="R142" s="1781">
        <v>0.86</v>
      </c>
      <c r="S142" s="1781">
        <v>0.86</v>
      </c>
      <c r="T142" s="1781">
        <v>0.86</v>
      </c>
      <c r="U142" s="1781">
        <v>0.86</v>
      </c>
      <c r="V142" s="1781">
        <v>0.86</v>
      </c>
      <c r="W142" s="1781">
        <v>0.86</v>
      </c>
      <c r="X142" s="1781">
        <v>0.86</v>
      </c>
      <c r="Y142" s="1781">
        <v>0.86</v>
      </c>
      <c r="Z142" s="1359">
        <v>1</v>
      </c>
      <c r="AA142" s="1781">
        <f t="shared" si="105"/>
        <v>0.86</v>
      </c>
      <c r="AB142" s="1781">
        <f t="shared" si="106"/>
        <v>0.86</v>
      </c>
      <c r="AC142" s="1781">
        <f t="shared" si="107"/>
        <v>0.86</v>
      </c>
      <c r="AD142" s="1781">
        <f t="shared" si="108"/>
        <v>0.86</v>
      </c>
      <c r="AE142" s="1781">
        <f t="shared" si="109"/>
        <v>0.86</v>
      </c>
      <c r="AF142" s="1781">
        <f t="shared" si="110"/>
        <v>0.86</v>
      </c>
      <c r="AG142" s="1781">
        <f t="shared" si="111"/>
        <v>0.86</v>
      </c>
      <c r="AH142" s="1781">
        <f t="shared" si="112"/>
        <v>0.86</v>
      </c>
      <c r="AI142" s="1362">
        <f t="shared" si="143"/>
        <v>407.26415675675713</v>
      </c>
      <c r="AJ142" s="1362">
        <f t="shared" si="144"/>
        <v>407.26415675675713</v>
      </c>
      <c r="AK142" s="1362">
        <f t="shared" si="145"/>
        <v>407.26415675675713</v>
      </c>
      <c r="AL142" s="1362">
        <f t="shared" si="146"/>
        <v>407.26415675675713</v>
      </c>
      <c r="AM142" s="1362">
        <f t="shared" si="147"/>
        <v>1629.0566270270285</v>
      </c>
      <c r="AN142" s="1132" t="str">
        <f t="shared" si="113"/>
        <v>CI-HVC-BOIL-V06-190101</v>
      </c>
      <c r="AO142" s="1132" t="str">
        <f t="shared" si="114"/>
        <v>Nicor Gas PY11-PY14 Adjustable Goals Template_2025-03-01, Tab 4.4.10</v>
      </c>
      <c r="AP142" s="2568">
        <f>'4.4.10'!$Q$7</f>
        <v>1380.60086872587</v>
      </c>
      <c r="AQ142" s="2568" t="s">
        <v>432</v>
      </c>
      <c r="AR142" s="2505">
        <f t="shared" si="115"/>
        <v>398.93842702702739</v>
      </c>
      <c r="AS142" s="2505">
        <f t="shared" si="116"/>
        <v>-8.3257297297297441</v>
      </c>
      <c r="AT142" s="1132" t="str">
        <f t="shared" si="117"/>
        <v>CI-HVC-BOIL-V06-190101</v>
      </c>
      <c r="AU142" s="1132" t="str">
        <f t="shared" si="118"/>
        <v>Nicor Gas PY11-PY14 Adjustable Goals Template_2025-03-01, Tab 4.4.10</v>
      </c>
      <c r="AV142" s="2505">
        <f>'4.4.10'!$Q$7</f>
        <v>1380.60086872587</v>
      </c>
      <c r="AW142" s="2568" t="s">
        <v>432</v>
      </c>
      <c r="AX142" s="1362">
        <f t="shared" si="119"/>
        <v>398.93842702702739</v>
      </c>
      <c r="AY142" s="1360">
        <f t="shared" si="120"/>
        <v>-8.3257297297297441</v>
      </c>
      <c r="AZ142" s="1132" t="str">
        <f t="shared" si="121"/>
        <v>CI-HVC-BOIL-V06-190101</v>
      </c>
      <c r="BA142" s="1132" t="str">
        <f t="shared" si="122"/>
        <v>Nicor Gas PY11-PY14 Adjustable Goals Template_2025-03-01, Tab 4.4.10</v>
      </c>
      <c r="BB142" s="2505">
        <f>'4.4.10'!$Q$7</f>
        <v>1380.60086872587</v>
      </c>
      <c r="BC142" s="2568" t="s">
        <v>432</v>
      </c>
      <c r="BD142" s="1362">
        <f t="shared" si="123"/>
        <v>398.93842702702739</v>
      </c>
      <c r="BE142" s="1360">
        <f t="shared" si="124"/>
        <v>-8.3257297297297441</v>
      </c>
      <c r="BF142" s="1132" t="str">
        <f t="shared" si="125"/>
        <v>CI-HVC-BOIL-V06-190101</v>
      </c>
      <c r="BG142" s="1132" t="str">
        <f t="shared" si="126"/>
        <v>Nicor Gas PY11-PY14 Adjustable Goals Template_2025-03-01, Tab 4.4.10</v>
      </c>
      <c r="BH142" s="2505">
        <f>'4.4.10'!$Q$7</f>
        <v>1380.60086872587</v>
      </c>
      <c r="BI142" s="2568" t="s">
        <v>432</v>
      </c>
      <c r="BJ142" s="1362">
        <f t="shared" si="148"/>
        <v>398.93842702702739</v>
      </c>
      <c r="BK142" s="1360">
        <f t="shared" si="127"/>
        <v>-8.3257297297297441</v>
      </c>
      <c r="BL142" s="1601">
        <f t="shared" si="128"/>
        <v>398.93842702702739</v>
      </c>
      <c r="BM142" s="1601">
        <f t="shared" si="129"/>
        <v>398.93842702702739</v>
      </c>
      <c r="BN142" s="1601">
        <f t="shared" si="130"/>
        <v>398.93842702702739</v>
      </c>
      <c r="BO142" s="1601">
        <f t="shared" si="131"/>
        <v>398.93842702702739</v>
      </c>
      <c r="BP142" s="1602">
        <f t="shared" si="132"/>
        <v>1595.7537081081095</v>
      </c>
      <c r="BQ142" s="1602"/>
      <c r="BR142" s="1602" t="s">
        <v>435</v>
      </c>
      <c r="BS142" s="1602">
        <v>0</v>
      </c>
      <c r="BT142" s="1602">
        <v>25</v>
      </c>
      <c r="BU142" s="1602">
        <v>25</v>
      </c>
      <c r="BV142" s="1602">
        <v>25</v>
      </c>
      <c r="BW142" s="1602">
        <v>25</v>
      </c>
      <c r="BX142" s="1362">
        <f t="shared" si="149"/>
        <v>10181.603918918929</v>
      </c>
      <c r="BY142" s="1362">
        <f t="shared" si="150"/>
        <v>10181.603918918929</v>
      </c>
      <c r="BZ142" s="1362">
        <f t="shared" si="151"/>
        <v>10181.603918918929</v>
      </c>
      <c r="CA142" s="1362">
        <f t="shared" si="152"/>
        <v>10181.603918918929</v>
      </c>
      <c r="CB142" s="1362">
        <f t="shared" si="153"/>
        <v>40726.415675675715</v>
      </c>
      <c r="CC142" s="1360">
        <v>25</v>
      </c>
      <c r="CD142" s="1360">
        <v>25</v>
      </c>
      <c r="CE142" s="1360">
        <v>25</v>
      </c>
      <c r="CF142" s="1360">
        <v>25</v>
      </c>
      <c r="CG142" s="1604">
        <f t="shared" si="133"/>
        <v>9973.4606756756839</v>
      </c>
      <c r="CH142" s="1604">
        <f t="shared" si="134"/>
        <v>9973.4606756756839</v>
      </c>
      <c r="CI142" s="1604">
        <f t="shared" si="135"/>
        <v>9973.4606756756839</v>
      </c>
      <c r="CJ142" s="1604">
        <f t="shared" si="136"/>
        <v>9973.4606756756839</v>
      </c>
      <c r="CK142" s="1521">
        <f t="shared" si="137"/>
        <v>39893.842702702736</v>
      </c>
      <c r="CL142" s="1132">
        <v>135</v>
      </c>
      <c r="CM142" s="1132" t="s">
        <v>356</v>
      </c>
      <c r="CN142" s="1359">
        <v>0</v>
      </c>
      <c r="CO142" s="1360">
        <v>0.33600000000000002</v>
      </c>
      <c r="CP142" s="1360">
        <v>0.33600000000000002</v>
      </c>
      <c r="CQ142" s="1360">
        <v>0.33600000000000002</v>
      </c>
      <c r="CR142" s="1360">
        <v>0.33600000000000002</v>
      </c>
      <c r="CS142" s="1362">
        <f t="shared" si="138"/>
        <v>398.93842702702739</v>
      </c>
      <c r="CT142" s="1362">
        <f t="shared" si="139"/>
        <v>398.93842702702739</v>
      </c>
      <c r="CU142" s="1362">
        <f t="shared" si="140"/>
        <v>398.93842702702739</v>
      </c>
      <c r="CV142" s="1362">
        <f t="shared" si="141"/>
        <v>398.93842702702739</v>
      </c>
      <c r="CW142" s="1362">
        <f t="shared" si="142"/>
        <v>1595.7537081081095</v>
      </c>
      <c r="CY142" s="2887"/>
    </row>
    <row r="143" spans="1:118" s="1143" customFormat="1" ht="44.15" customHeight="1" x14ac:dyDescent="0.35">
      <c r="A143" s="1132" t="s">
        <v>101</v>
      </c>
      <c r="B143" s="1132" t="s">
        <v>601</v>
      </c>
      <c r="C143" s="1132" t="s">
        <v>443</v>
      </c>
      <c r="D143" s="1359" t="s">
        <v>444</v>
      </c>
      <c r="E143" s="1359">
        <v>1</v>
      </c>
      <c r="F143" s="2807" t="s">
        <v>435</v>
      </c>
      <c r="G143" s="1132" t="s">
        <v>356</v>
      </c>
      <c r="H143" s="1360">
        <v>0.67200000000000004</v>
      </c>
      <c r="I143" s="1360">
        <v>0.67200000000000004</v>
      </c>
      <c r="J143" s="1360">
        <v>0.67200000000000004</v>
      </c>
      <c r="K143" s="1360">
        <v>0.67200000000000004</v>
      </c>
      <c r="L143" s="1132" t="s">
        <v>436</v>
      </c>
      <c r="M143" s="1132" t="str">
        <f t="shared" si="104"/>
        <v>Nicor Gas PY11-PY14 Adjustable Goals Template_2025-03-01, Tab 4.4.10</v>
      </c>
      <c r="N143" s="1361">
        <v>2213.0736533223958</v>
      </c>
      <c r="O143" s="1361">
        <v>2213.0736533223958</v>
      </c>
      <c r="P143" s="1361">
        <v>2213.0736533223958</v>
      </c>
      <c r="Q143" s="1361">
        <v>2213.0736533223958</v>
      </c>
      <c r="R143" s="1781">
        <v>0.86</v>
      </c>
      <c r="S143" s="1781">
        <v>0.86</v>
      </c>
      <c r="T143" s="1781">
        <v>0.86</v>
      </c>
      <c r="U143" s="1781">
        <v>0.86</v>
      </c>
      <c r="V143" s="1781">
        <v>0.86</v>
      </c>
      <c r="W143" s="1781">
        <v>0.86</v>
      </c>
      <c r="X143" s="1781">
        <v>0.86</v>
      </c>
      <c r="Y143" s="1781">
        <v>0.86</v>
      </c>
      <c r="Z143" s="1359">
        <v>1</v>
      </c>
      <c r="AA143" s="1781">
        <f t="shared" si="105"/>
        <v>0.86</v>
      </c>
      <c r="AB143" s="1781">
        <f t="shared" si="106"/>
        <v>0.86</v>
      </c>
      <c r="AC143" s="1781">
        <f t="shared" si="107"/>
        <v>0.86</v>
      </c>
      <c r="AD143" s="1781">
        <f t="shared" si="108"/>
        <v>0.86</v>
      </c>
      <c r="AE143" s="1781">
        <f t="shared" si="109"/>
        <v>0.86</v>
      </c>
      <c r="AF143" s="1781">
        <f t="shared" si="110"/>
        <v>0.86</v>
      </c>
      <c r="AG143" s="1781">
        <f t="shared" si="111"/>
        <v>0.86</v>
      </c>
      <c r="AH143" s="1781">
        <f t="shared" si="112"/>
        <v>0.86</v>
      </c>
      <c r="AI143" s="1362">
        <f t="shared" si="143"/>
        <v>1278.9795257280791</v>
      </c>
      <c r="AJ143" s="1362">
        <f t="shared" si="144"/>
        <v>1278.9795257280791</v>
      </c>
      <c r="AK143" s="1362">
        <f t="shared" si="145"/>
        <v>1278.9795257280791</v>
      </c>
      <c r="AL143" s="1362">
        <f t="shared" si="146"/>
        <v>1278.9795257280791</v>
      </c>
      <c r="AM143" s="1362">
        <f t="shared" si="147"/>
        <v>5115.9181029123165</v>
      </c>
      <c r="AN143" s="1132" t="str">
        <f t="shared" si="113"/>
        <v>CI-HVC-BOIL-V06-190101</v>
      </c>
      <c r="AO143" s="1132" t="str">
        <f t="shared" si="114"/>
        <v>Nicor Gas PY11-PY14 Adjustable Goals Template_2025-03-01, Tab 4.4.10</v>
      </c>
      <c r="AP143" s="2568">
        <f>'4.4.10'!$Q$8</f>
        <v>2167.831633361006</v>
      </c>
      <c r="AQ143" s="2568" t="s">
        <v>432</v>
      </c>
      <c r="AR143" s="2505">
        <f t="shared" si="115"/>
        <v>1252.8332575519926</v>
      </c>
      <c r="AS143" s="2505">
        <f t="shared" si="116"/>
        <v>-26.146268176086551</v>
      </c>
      <c r="AT143" s="1132" t="str">
        <f t="shared" si="117"/>
        <v>CI-HVC-BOIL-V06-190101</v>
      </c>
      <c r="AU143" s="1132" t="str">
        <f t="shared" si="118"/>
        <v>Nicor Gas PY11-PY14 Adjustable Goals Template_2025-03-01, Tab 4.4.10</v>
      </c>
      <c r="AV143" s="2505">
        <f>'4.4.10'!$Q$8</f>
        <v>2167.831633361006</v>
      </c>
      <c r="AW143" s="2568" t="s">
        <v>432</v>
      </c>
      <c r="AX143" s="1362">
        <f t="shared" si="119"/>
        <v>1252.8332575519926</v>
      </c>
      <c r="AY143" s="1360">
        <f t="shared" si="120"/>
        <v>-26.146268176086551</v>
      </c>
      <c r="AZ143" s="1132" t="str">
        <f t="shared" si="121"/>
        <v>CI-HVC-BOIL-V06-190101</v>
      </c>
      <c r="BA143" s="1132" t="str">
        <f t="shared" si="122"/>
        <v>Nicor Gas PY11-PY14 Adjustable Goals Template_2025-03-01, Tab 4.4.10</v>
      </c>
      <c r="BB143" s="2505">
        <f>'4.4.10'!$Q$8</f>
        <v>2167.831633361006</v>
      </c>
      <c r="BC143" s="2568" t="s">
        <v>432</v>
      </c>
      <c r="BD143" s="1362">
        <f t="shared" si="123"/>
        <v>1252.8332575519926</v>
      </c>
      <c r="BE143" s="1360">
        <f t="shared" si="124"/>
        <v>-26.146268176086551</v>
      </c>
      <c r="BF143" s="1132" t="str">
        <f t="shared" si="125"/>
        <v>CI-HVC-BOIL-V06-190101</v>
      </c>
      <c r="BG143" s="1132" t="str">
        <f t="shared" si="126"/>
        <v>Nicor Gas PY11-PY14 Adjustable Goals Template_2025-03-01, Tab 4.4.10</v>
      </c>
      <c r="BH143" s="2505">
        <f>'4.4.10'!$Q$8</f>
        <v>2167.831633361006</v>
      </c>
      <c r="BI143" s="2568" t="s">
        <v>432</v>
      </c>
      <c r="BJ143" s="1362">
        <f t="shared" si="148"/>
        <v>1252.8332575519926</v>
      </c>
      <c r="BK143" s="1360">
        <f t="shared" si="127"/>
        <v>-26.146268176086551</v>
      </c>
      <c r="BL143" s="1601">
        <f t="shared" si="128"/>
        <v>1252.8332575519926</v>
      </c>
      <c r="BM143" s="1601">
        <f t="shared" si="129"/>
        <v>1252.8332575519926</v>
      </c>
      <c r="BN143" s="1601">
        <f t="shared" si="130"/>
        <v>1252.8332575519926</v>
      </c>
      <c r="BO143" s="1601">
        <f t="shared" si="131"/>
        <v>1252.8332575519926</v>
      </c>
      <c r="BP143" s="1602">
        <f t="shared" si="132"/>
        <v>5011.3330302079703</v>
      </c>
      <c r="BQ143" s="1602"/>
      <c r="BR143" s="1602" t="s">
        <v>435</v>
      </c>
      <c r="BS143" s="1602">
        <v>0</v>
      </c>
      <c r="BT143" s="1602">
        <v>25</v>
      </c>
      <c r="BU143" s="1602">
        <v>25</v>
      </c>
      <c r="BV143" s="1602">
        <v>25</v>
      </c>
      <c r="BW143" s="1602">
        <v>25</v>
      </c>
      <c r="BX143" s="1362">
        <f t="shared" si="149"/>
        <v>31974.488143201979</v>
      </c>
      <c r="BY143" s="1362">
        <f t="shared" si="150"/>
        <v>31974.488143201979</v>
      </c>
      <c r="BZ143" s="1362">
        <f t="shared" si="151"/>
        <v>31974.488143201979</v>
      </c>
      <c r="CA143" s="1362">
        <f t="shared" si="152"/>
        <v>31974.488143201979</v>
      </c>
      <c r="CB143" s="1362">
        <f t="shared" si="153"/>
        <v>127897.95257280792</v>
      </c>
      <c r="CC143" s="1360">
        <v>25</v>
      </c>
      <c r="CD143" s="1360">
        <v>25</v>
      </c>
      <c r="CE143" s="1360">
        <v>25</v>
      </c>
      <c r="CF143" s="1360">
        <v>25</v>
      </c>
      <c r="CG143" s="1604">
        <f t="shared" si="133"/>
        <v>31320.831438799814</v>
      </c>
      <c r="CH143" s="1604">
        <f t="shared" si="134"/>
        <v>31320.831438799814</v>
      </c>
      <c r="CI143" s="1604">
        <f t="shared" si="135"/>
        <v>31320.831438799814</v>
      </c>
      <c r="CJ143" s="1604">
        <f t="shared" si="136"/>
        <v>31320.831438799814</v>
      </c>
      <c r="CK143" s="1521">
        <f t="shared" si="137"/>
        <v>125283.32575519926</v>
      </c>
      <c r="CL143" s="1132">
        <v>136</v>
      </c>
      <c r="CM143" s="1132" t="s">
        <v>356</v>
      </c>
      <c r="CN143" s="1359">
        <v>0</v>
      </c>
      <c r="CO143" s="1360">
        <v>0.67200000000000004</v>
      </c>
      <c r="CP143" s="1360">
        <v>0.67200000000000004</v>
      </c>
      <c r="CQ143" s="1360">
        <v>0.67200000000000004</v>
      </c>
      <c r="CR143" s="1360">
        <v>0.67200000000000004</v>
      </c>
      <c r="CS143" s="1362">
        <f t="shared" si="138"/>
        <v>1252.8332575519926</v>
      </c>
      <c r="CT143" s="1362">
        <f t="shared" si="139"/>
        <v>1252.8332575519926</v>
      </c>
      <c r="CU143" s="1362">
        <f t="shared" si="140"/>
        <v>1252.8332575519926</v>
      </c>
      <c r="CV143" s="1362">
        <f t="shared" si="141"/>
        <v>1252.8332575519926</v>
      </c>
      <c r="CW143" s="1362">
        <f t="shared" si="142"/>
        <v>5011.3330302079703</v>
      </c>
      <c r="CY143" s="2887"/>
    </row>
    <row r="144" spans="1:118" s="1143" customFormat="1" ht="43.5" customHeight="1" x14ac:dyDescent="0.35">
      <c r="A144" s="1132" t="s">
        <v>101</v>
      </c>
      <c r="B144" s="1132" t="s">
        <v>601</v>
      </c>
      <c r="C144" s="1132" t="s">
        <v>445</v>
      </c>
      <c r="D144" s="1359" t="s">
        <v>446</v>
      </c>
      <c r="E144" s="1359">
        <v>1</v>
      </c>
      <c r="F144" s="2807" t="s">
        <v>435</v>
      </c>
      <c r="G144" s="1132" t="s">
        <v>356</v>
      </c>
      <c r="H144" s="1360">
        <v>0.33600000000000002</v>
      </c>
      <c r="I144" s="1360">
        <v>0.33600000000000002</v>
      </c>
      <c r="J144" s="1360">
        <v>0.33600000000000002</v>
      </c>
      <c r="K144" s="1360">
        <v>0.33600000000000002</v>
      </c>
      <c r="L144" s="1132" t="s">
        <v>436</v>
      </c>
      <c r="M144" s="1132" t="str">
        <f t="shared" si="104"/>
        <v>Nicor Gas PY11-PY14 Adjustable Goals Template_2025-03-01, Tab 4.4.10</v>
      </c>
      <c r="N144" s="1361">
        <v>32.416513030888062</v>
      </c>
      <c r="O144" s="1361">
        <v>32.416513030888062</v>
      </c>
      <c r="P144" s="1361">
        <v>32.416513030888062</v>
      </c>
      <c r="Q144" s="1361">
        <v>32.416513030888062</v>
      </c>
      <c r="R144" s="1781">
        <v>0.86</v>
      </c>
      <c r="S144" s="1781">
        <v>0.86</v>
      </c>
      <c r="T144" s="1781">
        <v>0.86</v>
      </c>
      <c r="U144" s="1781">
        <v>0.86</v>
      </c>
      <c r="V144" s="1781">
        <v>0.86</v>
      </c>
      <c r="W144" s="1781">
        <v>0.86</v>
      </c>
      <c r="X144" s="1781">
        <v>0.86</v>
      </c>
      <c r="Y144" s="1781">
        <v>0.86</v>
      </c>
      <c r="Z144" s="1359">
        <v>1</v>
      </c>
      <c r="AA144" s="1781">
        <f t="shared" si="105"/>
        <v>0.86</v>
      </c>
      <c r="AB144" s="1781">
        <f t="shared" si="106"/>
        <v>0.86</v>
      </c>
      <c r="AC144" s="1781">
        <f t="shared" si="107"/>
        <v>0.86</v>
      </c>
      <c r="AD144" s="1781">
        <f t="shared" si="108"/>
        <v>0.86</v>
      </c>
      <c r="AE144" s="1781">
        <f t="shared" si="109"/>
        <v>0.86</v>
      </c>
      <c r="AF144" s="1781">
        <f t="shared" si="110"/>
        <v>0.86</v>
      </c>
      <c r="AG144" s="1781">
        <f t="shared" si="111"/>
        <v>0.86</v>
      </c>
      <c r="AH144" s="1781">
        <f t="shared" si="112"/>
        <v>0.86</v>
      </c>
      <c r="AI144" s="1362">
        <f t="shared" si="143"/>
        <v>9.3670756054054145</v>
      </c>
      <c r="AJ144" s="1362">
        <f t="shared" si="144"/>
        <v>9.3670756054054145</v>
      </c>
      <c r="AK144" s="1362">
        <f t="shared" si="145"/>
        <v>9.3670756054054145</v>
      </c>
      <c r="AL144" s="1362">
        <f t="shared" si="146"/>
        <v>9.3670756054054145</v>
      </c>
      <c r="AM144" s="1362">
        <f t="shared" si="147"/>
        <v>37.468302421621658</v>
      </c>
      <c r="AN144" s="1132" t="str">
        <f t="shared" si="113"/>
        <v>CI-HVC-BOIL-V06-190101</v>
      </c>
      <c r="AO144" s="1132" t="str">
        <f t="shared" si="114"/>
        <v>Nicor Gas PY11-PY14 Adjustable Goals Template_2025-03-01, Tab 4.4.10</v>
      </c>
      <c r="AP144" s="2568">
        <f>'4.4.10'!$Q$9</f>
        <v>31.753819980695013</v>
      </c>
      <c r="AQ144" s="2568" t="s">
        <v>432</v>
      </c>
      <c r="AR144" s="2505">
        <f t="shared" si="115"/>
        <v>9.1755838216216308</v>
      </c>
      <c r="AS144" s="2247">
        <f t="shared" si="116"/>
        <v>-0.19149178378378373</v>
      </c>
      <c r="AT144" s="1132" t="str">
        <f t="shared" si="117"/>
        <v>CI-HVC-BOIL-V06-190101</v>
      </c>
      <c r="AU144" s="1132" t="str">
        <f t="shared" si="118"/>
        <v>Nicor Gas PY11-PY14 Adjustable Goals Template_2025-03-01, Tab 4.4.10</v>
      </c>
      <c r="AV144" s="2505">
        <f>'4.4.10'!$Q$9</f>
        <v>31.753819980695013</v>
      </c>
      <c r="AW144" s="2568" t="s">
        <v>432</v>
      </c>
      <c r="AX144" s="1362">
        <f t="shared" si="119"/>
        <v>9.1755838216216308</v>
      </c>
      <c r="AY144" s="1360">
        <f t="shared" si="120"/>
        <v>-0.19149178378378373</v>
      </c>
      <c r="AZ144" s="1132" t="str">
        <f t="shared" si="121"/>
        <v>CI-HVC-BOIL-V06-190101</v>
      </c>
      <c r="BA144" s="1132" t="str">
        <f t="shared" si="122"/>
        <v>Nicor Gas PY11-PY14 Adjustable Goals Template_2025-03-01, Tab 4.4.10</v>
      </c>
      <c r="BB144" s="2505">
        <f>'4.4.10'!$Q$9</f>
        <v>31.753819980695013</v>
      </c>
      <c r="BC144" s="2568" t="s">
        <v>432</v>
      </c>
      <c r="BD144" s="1362">
        <f t="shared" si="123"/>
        <v>9.1755838216216308</v>
      </c>
      <c r="BE144" s="1360">
        <f t="shared" si="124"/>
        <v>-0.19149178378378373</v>
      </c>
      <c r="BF144" s="1132" t="str">
        <f t="shared" si="125"/>
        <v>CI-HVC-BOIL-V06-190101</v>
      </c>
      <c r="BG144" s="1132" t="str">
        <f t="shared" si="126"/>
        <v>Nicor Gas PY11-PY14 Adjustable Goals Template_2025-03-01, Tab 4.4.10</v>
      </c>
      <c r="BH144" s="2505">
        <f>'4.4.10'!$Q$9</f>
        <v>31.753819980695013</v>
      </c>
      <c r="BI144" s="2568" t="s">
        <v>432</v>
      </c>
      <c r="BJ144" s="1362">
        <f t="shared" si="148"/>
        <v>9.1755838216216308</v>
      </c>
      <c r="BK144" s="1360">
        <f t="shared" si="127"/>
        <v>-0.19149178378378373</v>
      </c>
      <c r="BL144" s="1601">
        <f t="shared" si="128"/>
        <v>9.1755838216216308</v>
      </c>
      <c r="BM144" s="1601">
        <f t="shared" si="129"/>
        <v>9.1755838216216308</v>
      </c>
      <c r="BN144" s="1601">
        <f t="shared" si="130"/>
        <v>9.1755838216216308</v>
      </c>
      <c r="BO144" s="1601">
        <f t="shared" si="131"/>
        <v>9.1755838216216308</v>
      </c>
      <c r="BP144" s="1602">
        <f t="shared" si="132"/>
        <v>36.702335286486523</v>
      </c>
      <c r="BQ144" s="1602"/>
      <c r="BR144" s="1602" t="s">
        <v>435</v>
      </c>
      <c r="BS144" s="1602">
        <v>0</v>
      </c>
      <c r="BT144" s="1602">
        <v>25</v>
      </c>
      <c r="BU144" s="1602">
        <v>25</v>
      </c>
      <c r="BV144" s="1602">
        <v>25</v>
      </c>
      <c r="BW144" s="1602">
        <v>25</v>
      </c>
      <c r="BX144" s="1362">
        <f t="shared" si="149"/>
        <v>234.17689013513535</v>
      </c>
      <c r="BY144" s="1362">
        <f t="shared" si="150"/>
        <v>234.17689013513535</v>
      </c>
      <c r="BZ144" s="1362">
        <f t="shared" si="151"/>
        <v>234.17689013513535</v>
      </c>
      <c r="CA144" s="1362">
        <f t="shared" si="152"/>
        <v>234.17689013513535</v>
      </c>
      <c r="CB144" s="1362">
        <f t="shared" si="153"/>
        <v>936.70756054054141</v>
      </c>
      <c r="CC144" s="1360">
        <v>25</v>
      </c>
      <c r="CD144" s="1360">
        <v>25</v>
      </c>
      <c r="CE144" s="1360">
        <v>25</v>
      </c>
      <c r="CF144" s="1360">
        <v>25</v>
      </c>
      <c r="CG144" s="1604">
        <f t="shared" si="133"/>
        <v>229.38959554054077</v>
      </c>
      <c r="CH144" s="1604">
        <f t="shared" si="134"/>
        <v>229.38959554054077</v>
      </c>
      <c r="CI144" s="1604">
        <f t="shared" si="135"/>
        <v>229.38959554054077</v>
      </c>
      <c r="CJ144" s="1604">
        <f t="shared" si="136"/>
        <v>229.38959554054077</v>
      </c>
      <c r="CK144" s="1521">
        <f t="shared" si="137"/>
        <v>917.55838216216307</v>
      </c>
      <c r="CL144" s="1132">
        <v>137</v>
      </c>
      <c r="CM144" s="1132" t="s">
        <v>356</v>
      </c>
      <c r="CN144" s="1359">
        <v>0</v>
      </c>
      <c r="CO144" s="1360">
        <v>0.33600000000000002</v>
      </c>
      <c r="CP144" s="1360">
        <v>0.33600000000000002</v>
      </c>
      <c r="CQ144" s="1360">
        <v>0.33600000000000002</v>
      </c>
      <c r="CR144" s="1360">
        <v>0.33600000000000002</v>
      </c>
      <c r="CS144" s="1362">
        <f t="shared" si="138"/>
        <v>9.1755838216216308</v>
      </c>
      <c r="CT144" s="1362">
        <f t="shared" si="139"/>
        <v>9.1755838216216308</v>
      </c>
      <c r="CU144" s="1362">
        <f t="shared" si="140"/>
        <v>9.1755838216216308</v>
      </c>
      <c r="CV144" s="1362">
        <f t="shared" si="141"/>
        <v>9.1755838216216308</v>
      </c>
      <c r="CW144" s="1362">
        <f t="shared" si="142"/>
        <v>36.702335286486523</v>
      </c>
      <c r="CY144" s="2887"/>
    </row>
    <row r="145" spans="1:118" s="1143" customFormat="1" ht="45.65" customHeight="1" x14ac:dyDescent="0.35">
      <c r="A145" s="1132" t="s">
        <v>101</v>
      </c>
      <c r="B145" s="1132" t="s">
        <v>601</v>
      </c>
      <c r="C145" s="1132" t="s">
        <v>449</v>
      </c>
      <c r="D145" s="1359" t="s">
        <v>450</v>
      </c>
      <c r="E145" s="1359">
        <v>1</v>
      </c>
      <c r="F145" s="2807" t="s">
        <v>435</v>
      </c>
      <c r="G145" s="1132" t="s">
        <v>356</v>
      </c>
      <c r="H145" s="1360">
        <v>0.33600000000000002</v>
      </c>
      <c r="I145" s="1360">
        <v>0.33600000000000002</v>
      </c>
      <c r="J145" s="1360">
        <v>0.33600000000000002</v>
      </c>
      <c r="K145" s="1360">
        <v>0.33600000000000002</v>
      </c>
      <c r="L145" s="1132" t="s">
        <v>436</v>
      </c>
      <c r="M145" s="1132" t="str">
        <f t="shared" si="104"/>
        <v>Nicor Gas PY11-PY14 Adjustable Goals Template_2025-03-01, Tab 4.4.10</v>
      </c>
      <c r="N145" s="1361">
        <v>134.22992131467194</v>
      </c>
      <c r="O145" s="1361">
        <v>134.22992131467194</v>
      </c>
      <c r="P145" s="1361">
        <v>134.22992131467194</v>
      </c>
      <c r="Q145" s="1361">
        <v>134.22992131467194</v>
      </c>
      <c r="R145" s="1781">
        <v>0.86</v>
      </c>
      <c r="S145" s="1781">
        <v>0.86</v>
      </c>
      <c r="T145" s="1781">
        <v>0.86</v>
      </c>
      <c r="U145" s="1781">
        <v>0.86</v>
      </c>
      <c r="V145" s="1781">
        <v>0.86</v>
      </c>
      <c r="W145" s="1781">
        <v>0.86</v>
      </c>
      <c r="X145" s="1781">
        <v>0.86</v>
      </c>
      <c r="Y145" s="1781">
        <v>0.86</v>
      </c>
      <c r="Z145" s="1359">
        <v>1</v>
      </c>
      <c r="AA145" s="1781">
        <f t="shared" si="105"/>
        <v>0.86</v>
      </c>
      <c r="AB145" s="1781">
        <f t="shared" si="106"/>
        <v>0.86</v>
      </c>
      <c r="AC145" s="1781">
        <f t="shared" si="107"/>
        <v>0.86</v>
      </c>
      <c r="AD145" s="1781">
        <f t="shared" si="108"/>
        <v>0.86</v>
      </c>
      <c r="AE145" s="1781">
        <f t="shared" si="109"/>
        <v>0.86</v>
      </c>
      <c r="AF145" s="1781">
        <f t="shared" si="110"/>
        <v>0.86</v>
      </c>
      <c r="AG145" s="1781">
        <f t="shared" si="111"/>
        <v>0.86</v>
      </c>
      <c r="AH145" s="1781">
        <f t="shared" si="112"/>
        <v>0.86</v>
      </c>
      <c r="AI145" s="1362">
        <f t="shared" si="143"/>
        <v>38.787078063087606</v>
      </c>
      <c r="AJ145" s="1362">
        <f t="shared" si="144"/>
        <v>38.787078063087606</v>
      </c>
      <c r="AK145" s="1362">
        <f t="shared" si="145"/>
        <v>38.787078063087606</v>
      </c>
      <c r="AL145" s="1362">
        <f t="shared" si="146"/>
        <v>38.787078063087606</v>
      </c>
      <c r="AM145" s="1362">
        <f t="shared" si="147"/>
        <v>155.14831225235042</v>
      </c>
      <c r="AN145" s="1132" t="str">
        <f t="shared" si="113"/>
        <v>CI-HVC-BOIL-V06-190101</v>
      </c>
      <c r="AO145" s="1132" t="str">
        <f t="shared" si="114"/>
        <v>Nicor Gas PY11-PY14 Adjustable Goals Template_2025-03-01, Tab 4.4.10</v>
      </c>
      <c r="AP145" s="2568">
        <f>'4.4.10'!$Q$11</f>
        <v>131.48584961583023</v>
      </c>
      <c r="AQ145" s="2568" t="s">
        <v>432</v>
      </c>
      <c r="AR145" s="2505">
        <f t="shared" si="115"/>
        <v>37.994151104990308</v>
      </c>
      <c r="AS145" s="2247">
        <f t="shared" si="116"/>
        <v>-0.79292695809729707</v>
      </c>
      <c r="AT145" s="1132" t="str">
        <f t="shared" si="117"/>
        <v>CI-HVC-BOIL-V06-190101</v>
      </c>
      <c r="AU145" s="1132" t="str">
        <f t="shared" si="118"/>
        <v>Nicor Gas PY11-PY14 Adjustable Goals Template_2025-03-01, Tab 4.4.10</v>
      </c>
      <c r="AV145" s="2505">
        <f>'4.4.10'!$Q$11</f>
        <v>131.48584961583023</v>
      </c>
      <c r="AW145" s="2568" t="s">
        <v>432</v>
      </c>
      <c r="AX145" s="1362">
        <f t="shared" si="119"/>
        <v>37.994151104990308</v>
      </c>
      <c r="AY145" s="1360">
        <f t="shared" si="120"/>
        <v>-0.79292695809729707</v>
      </c>
      <c r="AZ145" s="1132" t="str">
        <f t="shared" si="121"/>
        <v>CI-HVC-BOIL-V06-190101</v>
      </c>
      <c r="BA145" s="1132" t="str">
        <f t="shared" si="122"/>
        <v>Nicor Gas PY11-PY14 Adjustable Goals Template_2025-03-01, Tab 4.4.10</v>
      </c>
      <c r="BB145" s="2505">
        <f>'4.4.10'!$Q$11</f>
        <v>131.48584961583023</v>
      </c>
      <c r="BC145" s="2568" t="s">
        <v>432</v>
      </c>
      <c r="BD145" s="1362">
        <f t="shared" si="123"/>
        <v>37.994151104990308</v>
      </c>
      <c r="BE145" s="1360">
        <f t="shared" si="124"/>
        <v>-0.79292695809729707</v>
      </c>
      <c r="BF145" s="1132" t="str">
        <f t="shared" si="125"/>
        <v>CI-HVC-BOIL-V06-190101</v>
      </c>
      <c r="BG145" s="1132" t="str">
        <f t="shared" si="126"/>
        <v>Nicor Gas PY11-PY14 Adjustable Goals Template_2025-03-01, Tab 4.4.10</v>
      </c>
      <c r="BH145" s="2505">
        <f>'4.4.10'!$Q$11</f>
        <v>131.48584961583023</v>
      </c>
      <c r="BI145" s="2568" t="s">
        <v>432</v>
      </c>
      <c r="BJ145" s="1362">
        <f t="shared" si="148"/>
        <v>37.994151104990308</v>
      </c>
      <c r="BK145" s="1360">
        <f t="shared" si="127"/>
        <v>-0.79292695809729707</v>
      </c>
      <c r="BL145" s="1601">
        <f t="shared" si="128"/>
        <v>37.994151104990308</v>
      </c>
      <c r="BM145" s="1601">
        <f t="shared" si="129"/>
        <v>37.994151104990308</v>
      </c>
      <c r="BN145" s="1601">
        <f t="shared" si="130"/>
        <v>37.994151104990308</v>
      </c>
      <c r="BO145" s="1601">
        <f t="shared" si="131"/>
        <v>37.994151104990308</v>
      </c>
      <c r="BP145" s="1602">
        <f t="shared" si="132"/>
        <v>151.97660441996123</v>
      </c>
      <c r="BQ145" s="1602"/>
      <c r="BR145" s="1602" t="s">
        <v>435</v>
      </c>
      <c r="BS145" s="1602">
        <v>0</v>
      </c>
      <c r="BT145" s="1602">
        <v>25</v>
      </c>
      <c r="BU145" s="1602">
        <v>25</v>
      </c>
      <c r="BV145" s="1602">
        <v>25</v>
      </c>
      <c r="BW145" s="1602">
        <v>25</v>
      </c>
      <c r="BX145" s="1362">
        <f t="shared" si="149"/>
        <v>969.67695157719015</v>
      </c>
      <c r="BY145" s="1362">
        <f t="shared" si="150"/>
        <v>969.67695157719015</v>
      </c>
      <c r="BZ145" s="1362">
        <f t="shared" si="151"/>
        <v>969.67695157719015</v>
      </c>
      <c r="CA145" s="1362">
        <f t="shared" si="152"/>
        <v>969.67695157719015</v>
      </c>
      <c r="CB145" s="1362">
        <f t="shared" si="153"/>
        <v>3878.7078063087606</v>
      </c>
      <c r="CC145" s="1360">
        <v>25</v>
      </c>
      <c r="CD145" s="1360">
        <v>25</v>
      </c>
      <c r="CE145" s="1360">
        <v>25</v>
      </c>
      <c r="CF145" s="1360">
        <v>25</v>
      </c>
      <c r="CG145" s="1604">
        <f t="shared" si="133"/>
        <v>949.85377762475753</v>
      </c>
      <c r="CH145" s="1604">
        <f t="shared" si="134"/>
        <v>949.85377762475753</v>
      </c>
      <c r="CI145" s="1604">
        <f t="shared" si="135"/>
        <v>949.85377762475753</v>
      </c>
      <c r="CJ145" s="1604">
        <f t="shared" si="136"/>
        <v>949.85377762475753</v>
      </c>
      <c r="CK145" s="1521">
        <f t="shared" si="137"/>
        <v>3799.4151104990301</v>
      </c>
      <c r="CL145" s="1132">
        <v>138</v>
      </c>
      <c r="CM145" s="1132" t="s">
        <v>356</v>
      </c>
      <c r="CN145" s="1359">
        <v>0</v>
      </c>
      <c r="CO145" s="1360">
        <v>0.33600000000000002</v>
      </c>
      <c r="CP145" s="1360">
        <v>0.33600000000000002</v>
      </c>
      <c r="CQ145" s="1360">
        <v>0.33600000000000002</v>
      </c>
      <c r="CR145" s="1360">
        <v>0.33600000000000002</v>
      </c>
      <c r="CS145" s="1362">
        <f t="shared" si="138"/>
        <v>37.994151104990308</v>
      </c>
      <c r="CT145" s="1362">
        <f t="shared" si="139"/>
        <v>37.994151104990308</v>
      </c>
      <c r="CU145" s="1362">
        <f t="shared" si="140"/>
        <v>37.994151104990308</v>
      </c>
      <c r="CV145" s="1362">
        <f t="shared" si="141"/>
        <v>37.994151104990308</v>
      </c>
      <c r="CW145" s="1362">
        <f t="shared" si="142"/>
        <v>151.97660441996123</v>
      </c>
      <c r="CY145" s="2887"/>
    </row>
    <row r="146" spans="1:118" s="1143" customFormat="1" ht="40" customHeight="1" x14ac:dyDescent="0.35">
      <c r="A146" s="1132" t="s">
        <v>101</v>
      </c>
      <c r="B146" s="1132" t="s">
        <v>601</v>
      </c>
      <c r="C146" s="1132" t="s">
        <v>453</v>
      </c>
      <c r="D146" s="1359" t="s">
        <v>454</v>
      </c>
      <c r="E146" s="1359">
        <v>1</v>
      </c>
      <c r="F146" s="2807" t="s">
        <v>435</v>
      </c>
      <c r="G146" s="1132" t="s">
        <v>356</v>
      </c>
      <c r="H146" s="1360">
        <v>0.33600000000000002</v>
      </c>
      <c r="I146" s="1360">
        <v>0.33600000000000002</v>
      </c>
      <c r="J146" s="1360">
        <v>0.33600000000000002</v>
      </c>
      <c r="K146" s="1360">
        <v>0.33600000000000002</v>
      </c>
      <c r="L146" s="1132" t="s">
        <v>436</v>
      </c>
      <c r="M146" s="1132" t="str">
        <f t="shared" si="104"/>
        <v>Nicor Gas PY11-PY14 Adjustable Goals Template_2025-03-01, Tab 4.4.10</v>
      </c>
      <c r="N146" s="1361">
        <v>358.75984509362968</v>
      </c>
      <c r="O146" s="1361">
        <v>358.75984509362968</v>
      </c>
      <c r="P146" s="1361">
        <v>358.75984509362968</v>
      </c>
      <c r="Q146" s="1361">
        <v>358.75984509362968</v>
      </c>
      <c r="R146" s="1781">
        <v>0.86</v>
      </c>
      <c r="S146" s="1781">
        <v>0.86</v>
      </c>
      <c r="T146" s="1781">
        <v>0.86</v>
      </c>
      <c r="U146" s="1781">
        <v>0.86</v>
      </c>
      <c r="V146" s="1781">
        <v>0.86</v>
      </c>
      <c r="W146" s="1781">
        <v>0.86</v>
      </c>
      <c r="X146" s="1781">
        <v>0.86</v>
      </c>
      <c r="Y146" s="1781">
        <v>0.86</v>
      </c>
      <c r="Z146" s="1359">
        <v>1</v>
      </c>
      <c r="AA146" s="1781">
        <f t="shared" si="105"/>
        <v>0.86</v>
      </c>
      <c r="AB146" s="1781">
        <f t="shared" si="106"/>
        <v>0.86</v>
      </c>
      <c r="AC146" s="1781">
        <f t="shared" si="107"/>
        <v>0.86</v>
      </c>
      <c r="AD146" s="1781">
        <f t="shared" si="108"/>
        <v>0.86</v>
      </c>
      <c r="AE146" s="1781">
        <f t="shared" si="109"/>
        <v>0.86</v>
      </c>
      <c r="AF146" s="1781">
        <f t="shared" si="110"/>
        <v>0.86</v>
      </c>
      <c r="AG146" s="1781">
        <f t="shared" si="111"/>
        <v>0.86</v>
      </c>
      <c r="AH146" s="1781">
        <f t="shared" si="112"/>
        <v>0.86</v>
      </c>
      <c r="AI146" s="1362">
        <f t="shared" si="143"/>
        <v>103.66724483825524</v>
      </c>
      <c r="AJ146" s="1362">
        <f t="shared" si="144"/>
        <v>103.66724483825524</v>
      </c>
      <c r="AK146" s="1362">
        <f t="shared" si="145"/>
        <v>103.66724483825524</v>
      </c>
      <c r="AL146" s="1362">
        <f t="shared" si="146"/>
        <v>103.66724483825524</v>
      </c>
      <c r="AM146" s="1362">
        <f t="shared" si="147"/>
        <v>414.66897935302097</v>
      </c>
      <c r="AN146" s="1132" t="str">
        <f t="shared" si="113"/>
        <v>CI-HVC-BOIL-V06-190101</v>
      </c>
      <c r="AO146" s="1132" t="str">
        <f t="shared" si="114"/>
        <v>Nicor Gas PY11-PY14 Adjustable Goals Template_2025-03-01, Tab 4.4.10</v>
      </c>
      <c r="AP146" s="2568">
        <f>'4.4.10'!$Q$13</f>
        <v>351.42569241023205</v>
      </c>
      <c r="AQ146" s="2568" t="s">
        <v>432</v>
      </c>
      <c r="AR146" s="2505">
        <f t="shared" si="115"/>
        <v>101.54796807886065</v>
      </c>
      <c r="AS146" s="2505">
        <f t="shared" si="116"/>
        <v>-2.1192767593945945</v>
      </c>
      <c r="AT146" s="1132" t="str">
        <f t="shared" si="117"/>
        <v>CI-HVC-BOIL-V06-190101</v>
      </c>
      <c r="AU146" s="1132" t="str">
        <f t="shared" si="118"/>
        <v>Nicor Gas PY11-PY14 Adjustable Goals Template_2025-03-01, Tab 4.4.10</v>
      </c>
      <c r="AV146" s="2505">
        <f>'4.4.10'!$Q$13</f>
        <v>351.42569241023205</v>
      </c>
      <c r="AW146" s="2568" t="s">
        <v>432</v>
      </c>
      <c r="AX146" s="1362">
        <f t="shared" si="119"/>
        <v>101.54796807886065</v>
      </c>
      <c r="AY146" s="1360">
        <f t="shared" si="120"/>
        <v>-2.1192767593945945</v>
      </c>
      <c r="AZ146" s="1132" t="str">
        <f t="shared" si="121"/>
        <v>CI-HVC-BOIL-V06-190101</v>
      </c>
      <c r="BA146" s="1132" t="str">
        <f t="shared" si="122"/>
        <v>Nicor Gas PY11-PY14 Adjustable Goals Template_2025-03-01, Tab 4.4.10</v>
      </c>
      <c r="BB146" s="2505">
        <f>'4.4.10'!$Q$13</f>
        <v>351.42569241023205</v>
      </c>
      <c r="BC146" s="2568" t="s">
        <v>432</v>
      </c>
      <c r="BD146" s="1362">
        <f t="shared" si="123"/>
        <v>101.54796807886065</v>
      </c>
      <c r="BE146" s="1360">
        <f t="shared" si="124"/>
        <v>-2.1192767593945945</v>
      </c>
      <c r="BF146" s="1132" t="str">
        <f t="shared" si="125"/>
        <v>CI-HVC-BOIL-V06-190101</v>
      </c>
      <c r="BG146" s="1132" t="str">
        <f t="shared" si="126"/>
        <v>Nicor Gas PY11-PY14 Adjustable Goals Template_2025-03-01, Tab 4.4.10</v>
      </c>
      <c r="BH146" s="2505">
        <f>'4.4.10'!$Q$13</f>
        <v>351.42569241023205</v>
      </c>
      <c r="BI146" s="2568" t="s">
        <v>432</v>
      </c>
      <c r="BJ146" s="1362">
        <f t="shared" si="148"/>
        <v>101.54796807886065</v>
      </c>
      <c r="BK146" s="1360">
        <f t="shared" si="127"/>
        <v>-2.1192767593945945</v>
      </c>
      <c r="BL146" s="1601">
        <f t="shared" si="128"/>
        <v>101.54796807886065</v>
      </c>
      <c r="BM146" s="1601">
        <f t="shared" si="129"/>
        <v>101.54796807886065</v>
      </c>
      <c r="BN146" s="1601">
        <f t="shared" si="130"/>
        <v>101.54796807886065</v>
      </c>
      <c r="BO146" s="1601">
        <f t="shared" si="131"/>
        <v>101.54796807886065</v>
      </c>
      <c r="BP146" s="1602">
        <f t="shared" si="132"/>
        <v>406.19187231544259</v>
      </c>
      <c r="BQ146" s="1602"/>
      <c r="BR146" s="1602" t="s">
        <v>435</v>
      </c>
      <c r="BS146" s="1602">
        <v>0</v>
      </c>
      <c r="BT146" s="1602">
        <v>25</v>
      </c>
      <c r="BU146" s="1602">
        <v>25</v>
      </c>
      <c r="BV146" s="1602">
        <v>25</v>
      </c>
      <c r="BW146" s="1602">
        <v>25</v>
      </c>
      <c r="BX146" s="1362">
        <f t="shared" si="149"/>
        <v>2591.6811209563812</v>
      </c>
      <c r="BY146" s="1362">
        <f t="shared" si="150"/>
        <v>2591.6811209563812</v>
      </c>
      <c r="BZ146" s="1362">
        <f t="shared" si="151"/>
        <v>2591.6811209563812</v>
      </c>
      <c r="CA146" s="1362">
        <f t="shared" si="152"/>
        <v>2591.6811209563812</v>
      </c>
      <c r="CB146" s="1362">
        <f t="shared" si="153"/>
        <v>10366.724483825525</v>
      </c>
      <c r="CC146" s="1360">
        <v>25</v>
      </c>
      <c r="CD146" s="1360">
        <v>25</v>
      </c>
      <c r="CE146" s="1360">
        <v>25</v>
      </c>
      <c r="CF146" s="1360">
        <v>25</v>
      </c>
      <c r="CG146" s="1604">
        <f t="shared" si="133"/>
        <v>2538.6992019715162</v>
      </c>
      <c r="CH146" s="1604">
        <f t="shared" si="134"/>
        <v>2538.6992019715162</v>
      </c>
      <c r="CI146" s="1604">
        <f t="shared" si="135"/>
        <v>2538.6992019715162</v>
      </c>
      <c r="CJ146" s="1604">
        <f t="shared" si="136"/>
        <v>2538.6992019715162</v>
      </c>
      <c r="CK146" s="1521">
        <f t="shared" si="137"/>
        <v>10154.796807886065</v>
      </c>
      <c r="CL146" s="1132">
        <v>139</v>
      </c>
      <c r="CM146" s="1132" t="s">
        <v>356</v>
      </c>
      <c r="CN146" s="1359">
        <v>0</v>
      </c>
      <c r="CO146" s="1360">
        <v>0.33600000000000002</v>
      </c>
      <c r="CP146" s="1360">
        <v>0.33600000000000002</v>
      </c>
      <c r="CQ146" s="1360">
        <v>0.33600000000000002</v>
      </c>
      <c r="CR146" s="1360">
        <v>0.33600000000000002</v>
      </c>
      <c r="CS146" s="1362">
        <f t="shared" si="138"/>
        <v>101.54796807886065</v>
      </c>
      <c r="CT146" s="1362">
        <f t="shared" si="139"/>
        <v>101.54796807886065</v>
      </c>
      <c r="CU146" s="1362">
        <f t="shared" si="140"/>
        <v>101.54796807886065</v>
      </c>
      <c r="CV146" s="1362">
        <f t="shared" si="141"/>
        <v>101.54796807886065</v>
      </c>
      <c r="CW146" s="1362">
        <f t="shared" si="142"/>
        <v>406.19187231544259</v>
      </c>
      <c r="CY146" s="2887"/>
      <c r="DN146" s="1715"/>
    </row>
    <row r="147" spans="1:118" s="1143" customFormat="1" ht="43.5" customHeight="1" x14ac:dyDescent="0.35">
      <c r="A147" s="1132" t="s">
        <v>101</v>
      </c>
      <c r="B147" s="1132" t="s">
        <v>601</v>
      </c>
      <c r="C147" s="1132" t="s">
        <v>459</v>
      </c>
      <c r="D147" s="1359" t="s">
        <v>460</v>
      </c>
      <c r="E147" s="1359">
        <v>1</v>
      </c>
      <c r="F147" s="2564" t="s">
        <v>457</v>
      </c>
      <c r="G147" s="1132" t="s">
        <v>356</v>
      </c>
      <c r="H147" s="1360">
        <v>3.3600000000000003</v>
      </c>
      <c r="I147" s="1360">
        <v>3.3600000000000003</v>
      </c>
      <c r="J147" s="1360">
        <v>3.3600000000000003</v>
      </c>
      <c r="K147" s="1360">
        <v>3.3600000000000003</v>
      </c>
      <c r="L147" s="1132" t="s">
        <v>458</v>
      </c>
      <c r="M147" s="1132" t="str">
        <f t="shared" si="104"/>
        <v>Nicor Gas PY11-PY14 Adjustable Goals Template_2025-03-01, Tab 4.4.11</v>
      </c>
      <c r="N147" s="1361">
        <v>309.75045379999989</v>
      </c>
      <c r="O147" s="1361">
        <v>309.75045379999989</v>
      </c>
      <c r="P147" s="1361">
        <v>309.75045379999989</v>
      </c>
      <c r="Q147" s="1361">
        <v>309.75045379999989</v>
      </c>
      <c r="R147" s="1781">
        <v>0.86</v>
      </c>
      <c r="S147" s="1781">
        <v>0.86</v>
      </c>
      <c r="T147" s="1781">
        <v>0.86</v>
      </c>
      <c r="U147" s="1781">
        <v>0.86</v>
      </c>
      <c r="V147" s="1781">
        <v>0.86</v>
      </c>
      <c r="W147" s="1781">
        <v>0.86</v>
      </c>
      <c r="X147" s="1781">
        <v>0.86</v>
      </c>
      <c r="Y147" s="1781">
        <v>0.86</v>
      </c>
      <c r="Z147" s="1359">
        <v>1</v>
      </c>
      <c r="AA147" s="1781">
        <f t="shared" si="105"/>
        <v>0.86</v>
      </c>
      <c r="AB147" s="1781">
        <f t="shared" si="106"/>
        <v>0.86</v>
      </c>
      <c r="AC147" s="1781">
        <f t="shared" si="107"/>
        <v>0.86</v>
      </c>
      <c r="AD147" s="1781">
        <f t="shared" si="108"/>
        <v>0.86</v>
      </c>
      <c r="AE147" s="1781">
        <f t="shared" si="109"/>
        <v>0.86</v>
      </c>
      <c r="AF147" s="1781">
        <f t="shared" si="110"/>
        <v>0.86</v>
      </c>
      <c r="AG147" s="1781">
        <f t="shared" si="111"/>
        <v>0.86</v>
      </c>
      <c r="AH147" s="1781">
        <f t="shared" si="112"/>
        <v>0.86</v>
      </c>
      <c r="AI147" s="1362">
        <f t="shared" si="143"/>
        <v>895.0549113004796</v>
      </c>
      <c r="AJ147" s="1362">
        <f t="shared" si="144"/>
        <v>895.0549113004796</v>
      </c>
      <c r="AK147" s="1362">
        <f t="shared" si="145"/>
        <v>895.0549113004796</v>
      </c>
      <c r="AL147" s="1362">
        <f t="shared" si="146"/>
        <v>895.0549113004796</v>
      </c>
      <c r="AM147" s="1362">
        <f t="shared" si="147"/>
        <v>3580.2196452019184</v>
      </c>
      <c r="AN147" s="1132" t="str">
        <f t="shared" si="113"/>
        <v>CI-HVC-FRNC-V08-190101</v>
      </c>
      <c r="AO147" s="1132" t="str">
        <f t="shared" si="114"/>
        <v>Nicor Gas PY11-PY14 Adjustable Goals Template_2025-03-01, Tab 4.4.11</v>
      </c>
      <c r="AP147" s="2505">
        <f>'4.4.11'!$R$5</f>
        <v>309.75045379999989</v>
      </c>
      <c r="AQ147" s="2505"/>
      <c r="AR147" s="2505">
        <f t="shared" si="115"/>
        <v>895.0549113004796</v>
      </c>
      <c r="AS147" s="2505">
        <f t="shared" si="116"/>
        <v>0</v>
      </c>
      <c r="AT147" s="1132" t="str">
        <f t="shared" si="117"/>
        <v>CI-HVC-FRNC-V08-190101</v>
      </c>
      <c r="AU147" s="1132" t="str">
        <f t="shared" si="118"/>
        <v>Nicor Gas PY11-PY14 Adjustable Goals Template_2025-03-01, Tab 4.4.11</v>
      </c>
      <c r="AV147" s="2505">
        <f>'4.4.11'!$R$5</f>
        <v>309.75045379999989</v>
      </c>
      <c r="AW147" s="2505"/>
      <c r="AX147" s="1362">
        <f t="shared" si="119"/>
        <v>895.0549113004796</v>
      </c>
      <c r="AY147" s="1360">
        <f t="shared" si="120"/>
        <v>0</v>
      </c>
      <c r="AZ147" s="1132" t="str">
        <f t="shared" si="121"/>
        <v>CI-HVC-FRNC-V08-190101</v>
      </c>
      <c r="BA147" s="1132" t="str">
        <f t="shared" si="122"/>
        <v>Nicor Gas PY11-PY14 Adjustable Goals Template_2025-03-01, Tab 4.4.11</v>
      </c>
      <c r="BB147" s="2505">
        <f>'4.4.11'!$R$5</f>
        <v>309.75045379999989</v>
      </c>
      <c r="BC147" s="2505"/>
      <c r="BD147" s="1362">
        <f t="shared" si="123"/>
        <v>895.0549113004796</v>
      </c>
      <c r="BE147" s="1360">
        <f t="shared" si="124"/>
        <v>0</v>
      </c>
      <c r="BF147" s="1132" t="str">
        <f t="shared" si="125"/>
        <v>CI-HVC-FRNC-V08-190101</v>
      </c>
      <c r="BG147" s="1132" t="str">
        <f t="shared" si="126"/>
        <v>Nicor Gas PY11-PY14 Adjustable Goals Template_2025-03-01, Tab 4.4.11</v>
      </c>
      <c r="BH147" s="2505">
        <f>'4.4.11'!$R$5</f>
        <v>309.75045379999989</v>
      </c>
      <c r="BI147" s="2505"/>
      <c r="BJ147" s="1362">
        <f t="shared" si="148"/>
        <v>895.0549113004796</v>
      </c>
      <c r="BK147" s="1360">
        <f t="shared" si="127"/>
        <v>0</v>
      </c>
      <c r="BL147" s="1601">
        <f t="shared" si="128"/>
        <v>895.0549113004796</v>
      </c>
      <c r="BM147" s="1601">
        <f t="shared" si="129"/>
        <v>895.0549113004796</v>
      </c>
      <c r="BN147" s="1601">
        <f t="shared" si="130"/>
        <v>895.0549113004796</v>
      </c>
      <c r="BO147" s="1601">
        <f t="shared" si="131"/>
        <v>895.0549113004796</v>
      </c>
      <c r="BP147" s="1602">
        <f t="shared" si="132"/>
        <v>3580.2196452019184</v>
      </c>
      <c r="BQ147" s="1602"/>
      <c r="BR147" s="1602" t="s">
        <v>457</v>
      </c>
      <c r="BS147" s="1602">
        <v>0</v>
      </c>
      <c r="BT147" s="1602">
        <v>16.5</v>
      </c>
      <c r="BU147" s="1602">
        <v>16.5</v>
      </c>
      <c r="BV147" s="1602">
        <v>16.5</v>
      </c>
      <c r="BW147" s="1602">
        <v>16.5</v>
      </c>
      <c r="BX147" s="1362">
        <f t="shared" si="149"/>
        <v>14768.406036457913</v>
      </c>
      <c r="BY147" s="1362">
        <f t="shared" si="150"/>
        <v>14768.406036457913</v>
      </c>
      <c r="BZ147" s="1362">
        <f t="shared" si="151"/>
        <v>14768.406036457913</v>
      </c>
      <c r="CA147" s="1362">
        <f t="shared" si="152"/>
        <v>14768.406036457913</v>
      </c>
      <c r="CB147" s="1362">
        <f t="shared" si="153"/>
        <v>59073.624145831651</v>
      </c>
      <c r="CC147" s="1360">
        <v>16.5</v>
      </c>
      <c r="CD147" s="1360">
        <v>16.5</v>
      </c>
      <c r="CE147" s="1360">
        <v>16.5</v>
      </c>
      <c r="CF147" s="1360">
        <v>16.5</v>
      </c>
      <c r="CG147" s="1604">
        <f t="shared" si="133"/>
        <v>14768.406036457915</v>
      </c>
      <c r="CH147" s="1604">
        <f t="shared" si="134"/>
        <v>14768.406036457915</v>
      </c>
      <c r="CI147" s="1604">
        <f t="shared" si="135"/>
        <v>14768.406036457915</v>
      </c>
      <c r="CJ147" s="1604">
        <f t="shared" si="136"/>
        <v>14768.406036457915</v>
      </c>
      <c r="CK147" s="1521">
        <f t="shared" si="137"/>
        <v>59073.624145831658</v>
      </c>
      <c r="CL147" s="1132">
        <v>140</v>
      </c>
      <c r="CM147" s="1132" t="s">
        <v>356</v>
      </c>
      <c r="CN147" s="1359">
        <v>0</v>
      </c>
      <c r="CO147" s="1360">
        <v>3.3600000000000003</v>
      </c>
      <c r="CP147" s="1360">
        <v>3.3600000000000003</v>
      </c>
      <c r="CQ147" s="1360">
        <v>3.3600000000000003</v>
      </c>
      <c r="CR147" s="1360">
        <v>3.3600000000000003</v>
      </c>
      <c r="CS147" s="1362">
        <f t="shared" si="138"/>
        <v>895.0549113004796</v>
      </c>
      <c r="CT147" s="1362">
        <f t="shared" si="139"/>
        <v>895.0549113004796</v>
      </c>
      <c r="CU147" s="1362">
        <f t="shared" si="140"/>
        <v>895.0549113004796</v>
      </c>
      <c r="CV147" s="1362">
        <f t="shared" si="141"/>
        <v>895.0549113004796</v>
      </c>
      <c r="CW147" s="1362">
        <f t="shared" si="142"/>
        <v>3580.2196452019184</v>
      </c>
      <c r="CY147" s="2887"/>
      <c r="DN147" s="1715"/>
    </row>
    <row r="148" spans="1:118" s="1143" customFormat="1" ht="115.5" customHeight="1" x14ac:dyDescent="0.35">
      <c r="A148" s="1132" t="s">
        <v>101</v>
      </c>
      <c r="B148" s="1132" t="s">
        <v>601</v>
      </c>
      <c r="C148" s="1132" t="s">
        <v>468</v>
      </c>
      <c r="D148" s="1359" t="s">
        <v>469</v>
      </c>
      <c r="E148" s="1359">
        <v>1</v>
      </c>
      <c r="F148" s="1780" t="s">
        <v>469</v>
      </c>
      <c r="G148" s="1132" t="s">
        <v>356</v>
      </c>
      <c r="H148" s="1360">
        <v>0.33600000000000002</v>
      </c>
      <c r="I148" s="1360">
        <v>0.33600000000000002</v>
      </c>
      <c r="J148" s="1360">
        <v>0.33600000000000002</v>
      </c>
      <c r="K148" s="1360">
        <v>0.33600000000000002</v>
      </c>
      <c r="L148" s="1132" t="s">
        <v>470</v>
      </c>
      <c r="M148" s="1132" t="str">
        <f t="shared" si="104"/>
        <v>Nicor Gas PY11-PY14 Adjustable Goals Template_2025-03-01, Tab 4.4.12</v>
      </c>
      <c r="N148" s="1361">
        <v>281.27205882352951</v>
      </c>
      <c r="O148" s="1361">
        <v>281.27205882352951</v>
      </c>
      <c r="P148" s="1361">
        <v>281.27205882352951</v>
      </c>
      <c r="Q148" s="1361">
        <v>281.27205882352951</v>
      </c>
      <c r="R148" s="1781">
        <v>0.86</v>
      </c>
      <c r="S148" s="1781">
        <v>0.86</v>
      </c>
      <c r="T148" s="1781">
        <v>0.86</v>
      </c>
      <c r="U148" s="1781">
        <v>0.86</v>
      </c>
      <c r="V148" s="1781">
        <v>0.86</v>
      </c>
      <c r="W148" s="1781">
        <v>0.86</v>
      </c>
      <c r="X148" s="1781">
        <v>0.86</v>
      </c>
      <c r="Y148" s="1781">
        <v>0.86</v>
      </c>
      <c r="Z148" s="1359">
        <v>1</v>
      </c>
      <c r="AA148" s="1781">
        <f t="shared" si="105"/>
        <v>0.86</v>
      </c>
      <c r="AB148" s="1781">
        <f t="shared" si="106"/>
        <v>0.86</v>
      </c>
      <c r="AC148" s="1781">
        <f t="shared" si="107"/>
        <v>0.86</v>
      </c>
      <c r="AD148" s="1781">
        <f t="shared" si="108"/>
        <v>0.86</v>
      </c>
      <c r="AE148" s="1781">
        <f t="shared" si="109"/>
        <v>0.86</v>
      </c>
      <c r="AF148" s="1781">
        <f t="shared" si="110"/>
        <v>0.86</v>
      </c>
      <c r="AG148" s="1781">
        <f t="shared" si="111"/>
        <v>0.86</v>
      </c>
      <c r="AH148" s="1781">
        <f t="shared" si="112"/>
        <v>0.86</v>
      </c>
      <c r="AI148" s="1362">
        <f t="shared" si="143"/>
        <v>81.276374117647094</v>
      </c>
      <c r="AJ148" s="1362">
        <f t="shared" si="144"/>
        <v>81.276374117647094</v>
      </c>
      <c r="AK148" s="1362">
        <f t="shared" si="145"/>
        <v>81.276374117647094</v>
      </c>
      <c r="AL148" s="1362">
        <f t="shared" si="146"/>
        <v>81.276374117647094</v>
      </c>
      <c r="AM148" s="1362">
        <f t="shared" si="147"/>
        <v>325.10549647058838</v>
      </c>
      <c r="AN148" s="1132" t="str">
        <f t="shared" si="113"/>
        <v>CI-HVC-IRHT-V01-190101</v>
      </c>
      <c r="AO148" s="1132" t="str">
        <f t="shared" si="114"/>
        <v>Nicor Gas PY11-PY14 Adjustable Goals Template_2025-03-01, Tab 4.4.12</v>
      </c>
      <c r="AP148" s="2505">
        <f>'4.4.12'!$K$4</f>
        <v>281.27205882352951</v>
      </c>
      <c r="AQ148" s="2505"/>
      <c r="AR148" s="2505">
        <f t="shared" si="115"/>
        <v>81.276374117647094</v>
      </c>
      <c r="AS148" s="2505">
        <f t="shared" si="116"/>
        <v>0</v>
      </c>
      <c r="AT148" s="1132" t="str">
        <f t="shared" si="117"/>
        <v>CI-HVC-IRHT-V01-190101</v>
      </c>
      <c r="AU148" s="1132" t="str">
        <f t="shared" si="118"/>
        <v>Nicor Gas PY11-PY14 Adjustable Goals Template_2025-03-01, Tab 4.4.12</v>
      </c>
      <c r="AV148" s="2505">
        <f>'4.4.12'!$K$4</f>
        <v>281.27205882352951</v>
      </c>
      <c r="AW148" s="2505"/>
      <c r="AX148" s="1362">
        <f t="shared" si="119"/>
        <v>81.276374117647094</v>
      </c>
      <c r="AY148" s="1360">
        <f t="shared" si="120"/>
        <v>0</v>
      </c>
      <c r="AZ148" s="1132" t="str">
        <f t="shared" si="121"/>
        <v>CI-HVC-IRHT-V01-190101</v>
      </c>
      <c r="BA148" s="1132" t="str">
        <f t="shared" si="122"/>
        <v>Nicor Gas PY11-PY14 Adjustable Goals Template_2025-03-01, Tab 4.4.12</v>
      </c>
      <c r="BB148" s="2505">
        <f>'4.4.12'!$K$4</f>
        <v>281.27205882352951</v>
      </c>
      <c r="BC148" s="2505"/>
      <c r="BD148" s="1362">
        <f t="shared" si="123"/>
        <v>81.276374117647094</v>
      </c>
      <c r="BE148" s="1360">
        <f t="shared" si="124"/>
        <v>0</v>
      </c>
      <c r="BF148" s="1132" t="str">
        <f t="shared" si="125"/>
        <v>CI-HVC-IRHT-V01-190101</v>
      </c>
      <c r="BG148" s="1132" t="str">
        <f t="shared" si="126"/>
        <v>Nicor Gas PY11-PY14 Adjustable Goals Template_2025-03-01, Tab 4.4.12</v>
      </c>
      <c r="BH148" s="2505">
        <f>'4.4.12'!$K$4</f>
        <v>281.27205882352951</v>
      </c>
      <c r="BI148" s="2505"/>
      <c r="BJ148" s="1362">
        <f t="shared" si="148"/>
        <v>81.276374117647094</v>
      </c>
      <c r="BK148" s="1360">
        <f t="shared" si="127"/>
        <v>0</v>
      </c>
      <c r="BL148" s="1601">
        <f t="shared" si="128"/>
        <v>81.276374117647094</v>
      </c>
      <c r="BM148" s="1601">
        <f t="shared" si="129"/>
        <v>81.276374117647094</v>
      </c>
      <c r="BN148" s="1601">
        <f t="shared" si="130"/>
        <v>81.276374117647094</v>
      </c>
      <c r="BO148" s="1601">
        <f t="shared" si="131"/>
        <v>81.276374117647094</v>
      </c>
      <c r="BP148" s="1602">
        <f t="shared" si="132"/>
        <v>325.10549647058838</v>
      </c>
      <c r="BQ148" s="1602"/>
      <c r="BR148" s="1602" t="s">
        <v>469</v>
      </c>
      <c r="BS148" s="1602">
        <v>0</v>
      </c>
      <c r="BT148" s="1602">
        <v>15</v>
      </c>
      <c r="BU148" s="1602">
        <v>15</v>
      </c>
      <c r="BV148" s="1602">
        <v>15</v>
      </c>
      <c r="BW148" s="1602">
        <v>15</v>
      </c>
      <c r="BX148" s="1362">
        <f t="shared" si="149"/>
        <v>1219.1456117647065</v>
      </c>
      <c r="BY148" s="1362">
        <f t="shared" si="150"/>
        <v>1219.1456117647065</v>
      </c>
      <c r="BZ148" s="1362">
        <f t="shared" si="151"/>
        <v>1219.1456117647065</v>
      </c>
      <c r="CA148" s="1362">
        <f t="shared" si="152"/>
        <v>1219.1456117647065</v>
      </c>
      <c r="CB148" s="1362">
        <f t="shared" si="153"/>
        <v>4876.5824470588259</v>
      </c>
      <c r="CC148" s="1360">
        <v>15</v>
      </c>
      <c r="CD148" s="1360">
        <v>15</v>
      </c>
      <c r="CE148" s="1360">
        <v>15</v>
      </c>
      <c r="CF148" s="1360">
        <v>15</v>
      </c>
      <c r="CG148" s="1604">
        <f t="shared" si="133"/>
        <v>1219.1456117647062</v>
      </c>
      <c r="CH148" s="1604">
        <f t="shared" si="134"/>
        <v>1219.1456117647062</v>
      </c>
      <c r="CI148" s="1604">
        <f t="shared" si="135"/>
        <v>1219.1456117647062</v>
      </c>
      <c r="CJ148" s="1604">
        <f t="shared" si="136"/>
        <v>1219.1456117647062</v>
      </c>
      <c r="CK148" s="1521">
        <f t="shared" si="137"/>
        <v>4876.582447058825</v>
      </c>
      <c r="CL148" s="1132">
        <v>141</v>
      </c>
      <c r="CM148" s="1132" t="s">
        <v>356</v>
      </c>
      <c r="CN148" s="1359">
        <v>0</v>
      </c>
      <c r="CO148" s="1360">
        <v>0.33600000000000002</v>
      </c>
      <c r="CP148" s="1360">
        <v>0.33600000000000002</v>
      </c>
      <c r="CQ148" s="1360">
        <v>0.33600000000000002</v>
      </c>
      <c r="CR148" s="1360">
        <v>0.33600000000000002</v>
      </c>
      <c r="CS148" s="1362">
        <f t="shared" si="138"/>
        <v>81.276374117647094</v>
      </c>
      <c r="CT148" s="1362">
        <f t="shared" si="139"/>
        <v>81.276374117647094</v>
      </c>
      <c r="CU148" s="1362">
        <f t="shared" si="140"/>
        <v>81.276374117647094</v>
      </c>
      <c r="CV148" s="1362">
        <f t="shared" si="141"/>
        <v>81.276374117647094</v>
      </c>
      <c r="CW148" s="1362">
        <f t="shared" si="142"/>
        <v>325.10549647058838</v>
      </c>
      <c r="CY148" s="2887"/>
      <c r="DN148" s="1715"/>
    </row>
    <row r="149" spans="1:118" s="1143" customFormat="1" ht="46.5" x14ac:dyDescent="0.35">
      <c r="A149" s="1132" t="s">
        <v>101</v>
      </c>
      <c r="B149" s="1132" t="s">
        <v>601</v>
      </c>
      <c r="C149" s="1132" t="s">
        <v>510</v>
      </c>
      <c r="D149" s="1359" t="s">
        <v>511</v>
      </c>
      <c r="E149" s="1359">
        <v>1</v>
      </c>
      <c r="F149" s="2564" t="s">
        <v>512</v>
      </c>
      <c r="G149" s="1132" t="s">
        <v>356</v>
      </c>
      <c r="H149" s="1360">
        <v>0.33600000000000002</v>
      </c>
      <c r="I149" s="1360">
        <v>0.33600000000000002</v>
      </c>
      <c r="J149" s="1360">
        <v>0.33600000000000002</v>
      </c>
      <c r="K149" s="1360">
        <v>0.33600000000000002</v>
      </c>
      <c r="L149" s="1132" t="s">
        <v>513</v>
      </c>
      <c r="M149" s="1132" t="str">
        <f t="shared" si="104"/>
        <v>Nicor Gas PY11-PY14 Adjustable Goals Template_2025-03-01, Tab 4.4.19</v>
      </c>
      <c r="N149" s="1361">
        <v>11212.849999999997</v>
      </c>
      <c r="O149" s="1361">
        <v>11212.849999999997</v>
      </c>
      <c r="P149" s="1361">
        <v>11212.849999999997</v>
      </c>
      <c r="Q149" s="1361">
        <v>11212.849999999997</v>
      </c>
      <c r="R149" s="1781">
        <v>0.86</v>
      </c>
      <c r="S149" s="1781">
        <v>0.86</v>
      </c>
      <c r="T149" s="1781">
        <v>0.86</v>
      </c>
      <c r="U149" s="1781">
        <v>0.86</v>
      </c>
      <c r="V149" s="1781">
        <v>0.86</v>
      </c>
      <c r="W149" s="1781">
        <v>0.86</v>
      </c>
      <c r="X149" s="1781">
        <v>0.86</v>
      </c>
      <c r="Y149" s="1781">
        <v>0.86</v>
      </c>
      <c r="Z149" s="1359">
        <v>1</v>
      </c>
      <c r="AA149" s="1781">
        <f t="shared" si="105"/>
        <v>0.86</v>
      </c>
      <c r="AB149" s="1781">
        <f t="shared" si="106"/>
        <v>0.86</v>
      </c>
      <c r="AC149" s="1781">
        <f t="shared" si="107"/>
        <v>0.86</v>
      </c>
      <c r="AD149" s="1781">
        <f t="shared" si="108"/>
        <v>0.86</v>
      </c>
      <c r="AE149" s="1781">
        <f t="shared" si="109"/>
        <v>0.86</v>
      </c>
      <c r="AF149" s="1781">
        <f t="shared" si="110"/>
        <v>0.86</v>
      </c>
      <c r="AG149" s="1781">
        <f t="shared" si="111"/>
        <v>0.86</v>
      </c>
      <c r="AH149" s="1781">
        <f t="shared" si="112"/>
        <v>0.86</v>
      </c>
      <c r="AI149" s="1362">
        <f t="shared" si="143"/>
        <v>3240.0651359999993</v>
      </c>
      <c r="AJ149" s="1362">
        <f t="shared" si="144"/>
        <v>3240.0651359999993</v>
      </c>
      <c r="AK149" s="1362">
        <f t="shared" si="145"/>
        <v>3240.0651359999993</v>
      </c>
      <c r="AL149" s="1362">
        <f t="shared" si="146"/>
        <v>3240.0651359999993</v>
      </c>
      <c r="AM149" s="1362">
        <f t="shared" si="147"/>
        <v>12960.260543999997</v>
      </c>
      <c r="AN149" s="1132" t="str">
        <f t="shared" si="113"/>
        <v>CI-HVC-DCV-V05-190101</v>
      </c>
      <c r="AO149" s="1132" t="str">
        <f t="shared" si="114"/>
        <v>Nicor Gas PY11-PY14 Adjustable Goals Template_2025-03-01, Tab 4.4.19</v>
      </c>
      <c r="AP149" s="2505">
        <f>'4.4.19'!$P$4</f>
        <v>11212.849999999997</v>
      </c>
      <c r="AQ149" s="2505"/>
      <c r="AR149" s="2505">
        <f t="shared" si="115"/>
        <v>3240.0651359999993</v>
      </c>
      <c r="AS149" s="2505">
        <f t="shared" si="116"/>
        <v>0</v>
      </c>
      <c r="AT149" s="1132" t="str">
        <f t="shared" si="117"/>
        <v>CI-HVC-DCV-V05-190101</v>
      </c>
      <c r="AU149" s="1132" t="str">
        <f t="shared" si="118"/>
        <v>Nicor Gas PY11-PY14 Adjustable Goals Template_2025-03-01, Tab 4.4.19</v>
      </c>
      <c r="AV149" s="2505">
        <f>'4.4.19'!$P$4</f>
        <v>11212.849999999997</v>
      </c>
      <c r="AW149" s="2505"/>
      <c r="AX149" s="1362">
        <f t="shared" si="119"/>
        <v>3240.0651359999993</v>
      </c>
      <c r="AY149" s="1360">
        <f t="shared" si="120"/>
        <v>0</v>
      </c>
      <c r="AZ149" s="1132" t="str">
        <f t="shared" si="121"/>
        <v>CI-HVC-DCV-V05-190101</v>
      </c>
      <c r="BA149" s="1132" t="str">
        <f t="shared" si="122"/>
        <v>Nicor Gas PY11-PY14 Adjustable Goals Template_2025-03-01, Tab 4.4.19</v>
      </c>
      <c r="BB149" s="2505">
        <f>'4.4.19'!$P$4</f>
        <v>11212.849999999997</v>
      </c>
      <c r="BC149" s="2505"/>
      <c r="BD149" s="1362">
        <f t="shared" si="123"/>
        <v>3240.0651359999993</v>
      </c>
      <c r="BE149" s="1360">
        <f t="shared" si="124"/>
        <v>0</v>
      </c>
      <c r="BF149" s="1132" t="str">
        <f t="shared" si="125"/>
        <v>CI-HVC-DCV-V05-190101</v>
      </c>
      <c r="BG149" s="1132" t="str">
        <f t="shared" si="126"/>
        <v>Nicor Gas PY11-PY14 Adjustable Goals Template_2025-03-01, Tab 4.4.19</v>
      </c>
      <c r="BH149" s="2505">
        <f>'4.4.19'!$P$4</f>
        <v>11212.849999999997</v>
      </c>
      <c r="BI149" s="2505"/>
      <c r="BJ149" s="1362">
        <f t="shared" si="148"/>
        <v>3240.0651359999993</v>
      </c>
      <c r="BK149" s="1360">
        <f t="shared" si="127"/>
        <v>0</v>
      </c>
      <c r="BL149" s="1601">
        <f t="shared" si="128"/>
        <v>3240.0651359999993</v>
      </c>
      <c r="BM149" s="1601">
        <f t="shared" si="129"/>
        <v>3240.0651359999993</v>
      </c>
      <c r="BN149" s="1601">
        <f t="shared" si="130"/>
        <v>3240.0651359999993</v>
      </c>
      <c r="BO149" s="1601">
        <f t="shared" si="131"/>
        <v>3240.0651359999993</v>
      </c>
      <c r="BP149" s="1602">
        <f t="shared" si="132"/>
        <v>12960.260543999997</v>
      </c>
      <c r="BQ149" s="1602"/>
      <c r="BR149" s="1602" t="s">
        <v>512</v>
      </c>
      <c r="BS149" s="1602">
        <v>0</v>
      </c>
      <c r="BT149" s="1602">
        <v>10</v>
      </c>
      <c r="BU149" s="1602">
        <v>10</v>
      </c>
      <c r="BV149" s="1602">
        <v>10</v>
      </c>
      <c r="BW149" s="1602">
        <v>10</v>
      </c>
      <c r="BX149" s="1362">
        <f t="shared" si="149"/>
        <v>32400.651359999993</v>
      </c>
      <c r="BY149" s="1362">
        <f t="shared" si="150"/>
        <v>32400.651359999993</v>
      </c>
      <c r="BZ149" s="1362">
        <f t="shared" si="151"/>
        <v>32400.651359999993</v>
      </c>
      <c r="CA149" s="1362">
        <f t="shared" si="152"/>
        <v>32400.651359999993</v>
      </c>
      <c r="CB149" s="1362">
        <f t="shared" si="153"/>
        <v>129602.60543999997</v>
      </c>
      <c r="CC149" s="1360">
        <v>10</v>
      </c>
      <c r="CD149" s="1360">
        <v>10</v>
      </c>
      <c r="CE149" s="1360">
        <v>10</v>
      </c>
      <c r="CF149" s="1360">
        <v>10</v>
      </c>
      <c r="CG149" s="1604">
        <f t="shared" si="133"/>
        <v>32400.651359999989</v>
      </c>
      <c r="CH149" s="1604">
        <f t="shared" si="134"/>
        <v>32400.651359999989</v>
      </c>
      <c r="CI149" s="1604">
        <f t="shared" si="135"/>
        <v>32400.651359999989</v>
      </c>
      <c r="CJ149" s="1604">
        <f t="shared" si="136"/>
        <v>32400.651359999989</v>
      </c>
      <c r="CK149" s="1521">
        <f t="shared" si="137"/>
        <v>129602.60543999996</v>
      </c>
      <c r="CL149" s="1132">
        <v>142</v>
      </c>
      <c r="CM149" s="1132" t="s">
        <v>356</v>
      </c>
      <c r="CN149" s="1359">
        <v>0</v>
      </c>
      <c r="CO149" s="1360">
        <v>0.33600000000000002</v>
      </c>
      <c r="CP149" s="1360">
        <v>0.33600000000000002</v>
      </c>
      <c r="CQ149" s="1360">
        <v>0.33600000000000002</v>
      </c>
      <c r="CR149" s="1360">
        <v>0.33600000000000002</v>
      </c>
      <c r="CS149" s="1362">
        <f t="shared" si="138"/>
        <v>3240.0651359999993</v>
      </c>
      <c r="CT149" s="1362">
        <f t="shared" si="139"/>
        <v>3240.0651359999993</v>
      </c>
      <c r="CU149" s="1362">
        <f t="shared" si="140"/>
        <v>3240.0651359999993</v>
      </c>
      <c r="CV149" s="1362">
        <f t="shared" si="141"/>
        <v>3240.0651359999993</v>
      </c>
      <c r="CW149" s="1362">
        <f t="shared" si="142"/>
        <v>12960.260543999997</v>
      </c>
      <c r="CY149" s="2887"/>
      <c r="DN149" s="1715"/>
    </row>
    <row r="150" spans="1:118" s="1143" customFormat="1" ht="46.5" x14ac:dyDescent="0.35">
      <c r="A150" s="1132" t="s">
        <v>101</v>
      </c>
      <c r="B150" s="1132" t="s">
        <v>601</v>
      </c>
      <c r="C150" s="1132" t="s">
        <v>334</v>
      </c>
      <c r="D150" s="1359" t="s">
        <v>335</v>
      </c>
      <c r="E150" s="1359">
        <v>1</v>
      </c>
      <c r="F150" s="2564" t="s">
        <v>336</v>
      </c>
      <c r="G150" s="1132" t="s">
        <v>337</v>
      </c>
      <c r="H150" s="1360">
        <v>91.728000000000009</v>
      </c>
      <c r="I150" s="1360">
        <v>91.728000000000009</v>
      </c>
      <c r="J150" s="1360">
        <v>91.728000000000009</v>
      </c>
      <c r="K150" s="1360">
        <v>91.728000000000009</v>
      </c>
      <c r="L150" s="1132" t="s">
        <v>338</v>
      </c>
      <c r="M150" s="1132" t="str">
        <f t="shared" si="104"/>
        <v>Nicor Gas PY11-PY14 Adjustable Goals Template_2025-03-01, Tab 4.4.14</v>
      </c>
      <c r="N150" s="1361">
        <v>1.6846271672771671</v>
      </c>
      <c r="O150" s="1361">
        <v>1.6846271672771671</v>
      </c>
      <c r="P150" s="1361">
        <v>1.6846271672771671</v>
      </c>
      <c r="Q150" s="1361">
        <v>1.6846271672771671</v>
      </c>
      <c r="R150" s="1781">
        <v>0.86</v>
      </c>
      <c r="S150" s="1781">
        <v>0.86</v>
      </c>
      <c r="T150" s="1781">
        <v>0.86</v>
      </c>
      <c r="U150" s="1781">
        <v>0.86</v>
      </c>
      <c r="V150" s="1781">
        <v>0.86</v>
      </c>
      <c r="W150" s="1781">
        <v>0.86</v>
      </c>
      <c r="X150" s="1781">
        <v>0.86</v>
      </c>
      <c r="Y150" s="1781">
        <v>0.86</v>
      </c>
      <c r="Z150" s="1359">
        <v>1</v>
      </c>
      <c r="AA150" s="1781">
        <f t="shared" si="105"/>
        <v>0.86</v>
      </c>
      <c r="AB150" s="1781">
        <f t="shared" si="106"/>
        <v>0.86</v>
      </c>
      <c r="AC150" s="1781">
        <f t="shared" si="107"/>
        <v>0.86</v>
      </c>
      <c r="AD150" s="1781">
        <f t="shared" si="108"/>
        <v>0.86</v>
      </c>
      <c r="AE150" s="1781">
        <f t="shared" si="109"/>
        <v>0.86</v>
      </c>
      <c r="AF150" s="1781">
        <f t="shared" si="110"/>
        <v>0.86</v>
      </c>
      <c r="AG150" s="1781">
        <f t="shared" si="111"/>
        <v>0.86</v>
      </c>
      <c r="AH150" s="1781">
        <f t="shared" si="112"/>
        <v>0.86</v>
      </c>
      <c r="AI150" s="1362">
        <f t="shared" si="143"/>
        <v>132.89363348800001</v>
      </c>
      <c r="AJ150" s="1362">
        <f t="shared" si="144"/>
        <v>132.89363348800001</v>
      </c>
      <c r="AK150" s="1362">
        <f t="shared" si="145"/>
        <v>132.89363348800001</v>
      </c>
      <c r="AL150" s="1362">
        <f t="shared" si="146"/>
        <v>132.89363348800001</v>
      </c>
      <c r="AM150" s="1362">
        <f t="shared" si="147"/>
        <v>531.57453395200002</v>
      </c>
      <c r="AN150" s="1132" t="str">
        <f t="shared" si="113"/>
        <v>CI-HVC-PINS-V05-190101</v>
      </c>
      <c r="AO150" s="1132" t="str">
        <f t="shared" si="114"/>
        <v>Nicor Gas PY11-PY14 Adjustable Goals Template_2025-03-01, Tab 4.4.14</v>
      </c>
      <c r="AP150" s="2505">
        <f>'4.4.14'!$T$10</f>
        <v>1.6846271672771671</v>
      </c>
      <c r="AQ150" s="2505"/>
      <c r="AR150" s="2505">
        <f t="shared" si="115"/>
        <v>132.89363348800001</v>
      </c>
      <c r="AS150" s="2505">
        <f t="shared" si="116"/>
        <v>0</v>
      </c>
      <c r="AT150" s="1132" t="str">
        <f t="shared" si="117"/>
        <v>CI-HVC-PINS-V05-190101</v>
      </c>
      <c r="AU150" s="1132" t="str">
        <f t="shared" si="118"/>
        <v>Nicor Gas PY11-PY14 Adjustable Goals Template_2025-03-01, Tab 4.4.14</v>
      </c>
      <c r="AV150" s="2505">
        <f>'4.4.14'!$T$10</f>
        <v>1.6846271672771671</v>
      </c>
      <c r="AW150" s="2505"/>
      <c r="AX150" s="1362">
        <f t="shared" si="119"/>
        <v>132.89363348800001</v>
      </c>
      <c r="AY150" s="1360">
        <f t="shared" si="120"/>
        <v>0</v>
      </c>
      <c r="AZ150" s="1132" t="str">
        <f t="shared" si="121"/>
        <v>CI-HVC-PINS-V05-190101</v>
      </c>
      <c r="BA150" s="1132" t="str">
        <f t="shared" si="122"/>
        <v>Nicor Gas PY11-PY14 Adjustable Goals Template_2025-03-01, Tab 4.4.14</v>
      </c>
      <c r="BB150" s="2505">
        <f>'4.4.14'!$T$10</f>
        <v>1.6846271672771671</v>
      </c>
      <c r="BC150" s="2505"/>
      <c r="BD150" s="1362">
        <f t="shared" si="123"/>
        <v>132.89363348800001</v>
      </c>
      <c r="BE150" s="1360">
        <f t="shared" si="124"/>
        <v>0</v>
      </c>
      <c r="BF150" s="1132" t="str">
        <f t="shared" si="125"/>
        <v>CI-HVC-PINS-V05-190101</v>
      </c>
      <c r="BG150" s="1132" t="str">
        <f t="shared" si="126"/>
        <v>Nicor Gas PY11-PY14 Adjustable Goals Template_2025-03-01, Tab 4.4.14</v>
      </c>
      <c r="BH150" s="2505">
        <f>'4.4.14'!$T$10</f>
        <v>1.6846271672771671</v>
      </c>
      <c r="BI150" s="2505"/>
      <c r="BJ150" s="1362">
        <f t="shared" si="148"/>
        <v>132.89363348800001</v>
      </c>
      <c r="BK150" s="1360">
        <f t="shared" si="127"/>
        <v>0</v>
      </c>
      <c r="BL150" s="1601">
        <f t="shared" si="128"/>
        <v>132.89363348800001</v>
      </c>
      <c r="BM150" s="1601">
        <f t="shared" si="129"/>
        <v>132.89363348800001</v>
      </c>
      <c r="BN150" s="1601">
        <f t="shared" si="130"/>
        <v>132.89363348800001</v>
      </c>
      <c r="BO150" s="1601">
        <f t="shared" si="131"/>
        <v>132.89363348800001</v>
      </c>
      <c r="BP150" s="1602">
        <f t="shared" si="132"/>
        <v>531.57453395200002</v>
      </c>
      <c r="BQ150" s="1602"/>
      <c r="BR150" s="1602" t="s">
        <v>336</v>
      </c>
      <c r="BS150" s="1602">
        <v>0</v>
      </c>
      <c r="BT150" s="1602">
        <v>15</v>
      </c>
      <c r="BU150" s="1602">
        <v>15</v>
      </c>
      <c r="BV150" s="1602">
        <v>15</v>
      </c>
      <c r="BW150" s="1602">
        <v>15</v>
      </c>
      <c r="BX150" s="1362">
        <f t="shared" si="149"/>
        <v>1993.4045023200001</v>
      </c>
      <c r="BY150" s="1362">
        <f t="shared" si="150"/>
        <v>1993.4045023200001</v>
      </c>
      <c r="BZ150" s="1362">
        <f t="shared" si="151"/>
        <v>1993.4045023200001</v>
      </c>
      <c r="CA150" s="1362">
        <f t="shared" si="152"/>
        <v>1993.4045023200001</v>
      </c>
      <c r="CB150" s="1362">
        <f t="shared" si="153"/>
        <v>7973.6180092800005</v>
      </c>
      <c r="CC150" s="1360">
        <v>15</v>
      </c>
      <c r="CD150" s="1360">
        <v>15</v>
      </c>
      <c r="CE150" s="1360">
        <v>15</v>
      </c>
      <c r="CF150" s="1360">
        <v>15</v>
      </c>
      <c r="CG150" s="1604">
        <f t="shared" si="133"/>
        <v>1993.4045023200001</v>
      </c>
      <c r="CH150" s="1604">
        <f t="shared" si="134"/>
        <v>1993.4045023200001</v>
      </c>
      <c r="CI150" s="1604">
        <f t="shared" si="135"/>
        <v>1993.4045023200001</v>
      </c>
      <c r="CJ150" s="1604">
        <f t="shared" si="136"/>
        <v>1993.4045023200001</v>
      </c>
      <c r="CK150" s="1521">
        <f t="shared" si="137"/>
        <v>7973.6180092800005</v>
      </c>
      <c r="CL150" s="1132">
        <v>143</v>
      </c>
      <c r="CM150" s="1132" t="s">
        <v>337</v>
      </c>
      <c r="CN150" s="1359">
        <v>0</v>
      </c>
      <c r="CO150" s="1360">
        <v>91.728000000000009</v>
      </c>
      <c r="CP150" s="1360">
        <v>91.728000000000009</v>
      </c>
      <c r="CQ150" s="1360">
        <v>91.728000000000009</v>
      </c>
      <c r="CR150" s="1360">
        <v>91.728000000000009</v>
      </c>
      <c r="CS150" s="1362">
        <f t="shared" si="138"/>
        <v>132.89363348800001</v>
      </c>
      <c r="CT150" s="1362">
        <f t="shared" si="139"/>
        <v>132.89363348800001</v>
      </c>
      <c r="CU150" s="1362">
        <f t="shared" si="140"/>
        <v>132.89363348800001</v>
      </c>
      <c r="CV150" s="1362">
        <f t="shared" si="141"/>
        <v>132.89363348800001</v>
      </c>
      <c r="CW150" s="1362">
        <f t="shared" si="142"/>
        <v>531.57453395200002</v>
      </c>
      <c r="CY150" s="2887"/>
    </row>
    <row r="151" spans="1:118" s="1143" customFormat="1" ht="46.5" x14ac:dyDescent="0.35">
      <c r="A151" s="1132" t="s">
        <v>101</v>
      </c>
      <c r="B151" s="1132" t="s">
        <v>601</v>
      </c>
      <c r="C151" s="1132" t="s">
        <v>339</v>
      </c>
      <c r="D151" s="1359" t="s">
        <v>340</v>
      </c>
      <c r="E151" s="1359">
        <v>1</v>
      </c>
      <c r="F151" s="2564" t="s">
        <v>336</v>
      </c>
      <c r="G151" s="1132" t="s">
        <v>337</v>
      </c>
      <c r="H151" s="1360">
        <v>144.14400000000001</v>
      </c>
      <c r="I151" s="1360">
        <v>144.14400000000001</v>
      </c>
      <c r="J151" s="1360">
        <v>144.14400000000001</v>
      </c>
      <c r="K151" s="1360">
        <v>144.14400000000001</v>
      </c>
      <c r="L151" s="1132" t="s">
        <v>338</v>
      </c>
      <c r="M151" s="1132" t="str">
        <f t="shared" si="104"/>
        <v>Nicor Gas PY11-PY14 Adjustable Goals Template_2025-03-01, Tab 4.4.14</v>
      </c>
      <c r="N151" s="1361">
        <v>4.3477888475836428</v>
      </c>
      <c r="O151" s="1361">
        <v>4.3477888475836428</v>
      </c>
      <c r="P151" s="1361">
        <v>4.3477888475836428</v>
      </c>
      <c r="Q151" s="1361">
        <v>4.3477888475836428</v>
      </c>
      <c r="R151" s="1781">
        <v>0.86</v>
      </c>
      <c r="S151" s="1781">
        <v>0.86</v>
      </c>
      <c r="T151" s="1781">
        <v>0.86</v>
      </c>
      <c r="U151" s="1781">
        <v>0.86</v>
      </c>
      <c r="V151" s="1781">
        <v>0.86</v>
      </c>
      <c r="W151" s="1781">
        <v>0.86</v>
      </c>
      <c r="X151" s="1781">
        <v>0.86</v>
      </c>
      <c r="Y151" s="1781">
        <v>0.86</v>
      </c>
      <c r="Z151" s="1359">
        <v>1</v>
      </c>
      <c r="AA151" s="1781">
        <f t="shared" si="105"/>
        <v>0.86</v>
      </c>
      <c r="AB151" s="1781">
        <f t="shared" si="106"/>
        <v>0.86</v>
      </c>
      <c r="AC151" s="1781">
        <f t="shared" si="107"/>
        <v>0.86</v>
      </c>
      <c r="AD151" s="1781">
        <f t="shared" si="108"/>
        <v>0.86</v>
      </c>
      <c r="AE151" s="1781">
        <f t="shared" si="109"/>
        <v>0.86</v>
      </c>
      <c r="AF151" s="1781">
        <f t="shared" si="110"/>
        <v>0.86</v>
      </c>
      <c r="AG151" s="1781">
        <f t="shared" si="111"/>
        <v>0.86</v>
      </c>
      <c r="AH151" s="1781">
        <f t="shared" si="112"/>
        <v>0.86</v>
      </c>
      <c r="AI151" s="1362">
        <f t="shared" si="143"/>
        <v>538.96860105564303</v>
      </c>
      <c r="AJ151" s="1362">
        <f t="shared" si="144"/>
        <v>538.96860105564303</v>
      </c>
      <c r="AK151" s="1362">
        <f t="shared" si="145"/>
        <v>538.96860105564303</v>
      </c>
      <c r="AL151" s="1362">
        <f t="shared" si="146"/>
        <v>538.96860105564303</v>
      </c>
      <c r="AM151" s="1362">
        <f t="shared" si="147"/>
        <v>2155.8744042225721</v>
      </c>
      <c r="AN151" s="1132" t="str">
        <f t="shared" si="113"/>
        <v>CI-HVC-PINS-V05-190101</v>
      </c>
      <c r="AO151" s="1132" t="str">
        <f t="shared" si="114"/>
        <v>Nicor Gas PY11-PY14 Adjustable Goals Template_2025-03-01, Tab 4.4.14</v>
      </c>
      <c r="AP151" s="2505">
        <f>'4.4.14'!$T$7</f>
        <v>4.3477888475836428</v>
      </c>
      <c r="AQ151" s="2505"/>
      <c r="AR151" s="2505">
        <f t="shared" si="115"/>
        <v>538.96860105564303</v>
      </c>
      <c r="AS151" s="2505">
        <f t="shared" si="116"/>
        <v>0</v>
      </c>
      <c r="AT151" s="1132" t="str">
        <f t="shared" si="117"/>
        <v>CI-HVC-PINS-V05-190101</v>
      </c>
      <c r="AU151" s="1132" t="str">
        <f t="shared" si="118"/>
        <v>Nicor Gas PY11-PY14 Adjustable Goals Template_2025-03-01, Tab 4.4.14</v>
      </c>
      <c r="AV151" s="2505">
        <f>'4.4.14'!$T$7</f>
        <v>4.3477888475836428</v>
      </c>
      <c r="AW151" s="2505"/>
      <c r="AX151" s="1362">
        <f t="shared" si="119"/>
        <v>538.96860105564303</v>
      </c>
      <c r="AY151" s="1360">
        <f t="shared" si="120"/>
        <v>0</v>
      </c>
      <c r="AZ151" s="1132" t="str">
        <f t="shared" si="121"/>
        <v>CI-HVC-PINS-V05-190101</v>
      </c>
      <c r="BA151" s="1132" t="str">
        <f t="shared" si="122"/>
        <v>Nicor Gas PY11-PY14 Adjustable Goals Template_2025-03-01, Tab 4.4.14</v>
      </c>
      <c r="BB151" s="2505">
        <f>'4.4.14'!$T$7</f>
        <v>4.3477888475836428</v>
      </c>
      <c r="BC151" s="2505"/>
      <c r="BD151" s="1362">
        <f t="shared" si="123"/>
        <v>538.96860105564303</v>
      </c>
      <c r="BE151" s="1360">
        <f t="shared" si="124"/>
        <v>0</v>
      </c>
      <c r="BF151" s="1132" t="str">
        <f t="shared" si="125"/>
        <v>CI-HVC-PINS-V05-190101</v>
      </c>
      <c r="BG151" s="1132" t="str">
        <f t="shared" si="126"/>
        <v>Nicor Gas PY11-PY14 Adjustable Goals Template_2025-03-01, Tab 4.4.14</v>
      </c>
      <c r="BH151" s="2505">
        <f>'4.4.14'!$T$7</f>
        <v>4.3477888475836428</v>
      </c>
      <c r="BI151" s="2505"/>
      <c r="BJ151" s="1362">
        <f t="shared" si="148"/>
        <v>538.96860105564303</v>
      </c>
      <c r="BK151" s="1360">
        <f t="shared" si="127"/>
        <v>0</v>
      </c>
      <c r="BL151" s="1601">
        <f t="shared" si="128"/>
        <v>538.96860105564303</v>
      </c>
      <c r="BM151" s="1601">
        <f t="shared" si="129"/>
        <v>538.96860105564303</v>
      </c>
      <c r="BN151" s="1601">
        <f t="shared" si="130"/>
        <v>538.96860105564303</v>
      </c>
      <c r="BO151" s="1601">
        <f t="shared" si="131"/>
        <v>538.96860105564303</v>
      </c>
      <c r="BP151" s="1602">
        <f t="shared" si="132"/>
        <v>2155.8744042225721</v>
      </c>
      <c r="BQ151" s="1602"/>
      <c r="BR151" s="1602" t="s">
        <v>336</v>
      </c>
      <c r="BS151" s="1602">
        <v>0</v>
      </c>
      <c r="BT151" s="1602">
        <v>15</v>
      </c>
      <c r="BU151" s="1602">
        <v>15</v>
      </c>
      <c r="BV151" s="1602">
        <v>15</v>
      </c>
      <c r="BW151" s="1602">
        <v>15</v>
      </c>
      <c r="BX151" s="1362">
        <f t="shared" si="149"/>
        <v>8084.5290158346452</v>
      </c>
      <c r="BY151" s="1362">
        <f t="shared" si="150"/>
        <v>8084.5290158346452</v>
      </c>
      <c r="BZ151" s="1362">
        <f t="shared" si="151"/>
        <v>8084.5290158346452</v>
      </c>
      <c r="CA151" s="1362">
        <f t="shared" si="152"/>
        <v>8084.5290158346452</v>
      </c>
      <c r="CB151" s="1362">
        <f t="shared" si="153"/>
        <v>32338.116063338581</v>
      </c>
      <c r="CC151" s="1360">
        <v>15</v>
      </c>
      <c r="CD151" s="1360">
        <v>15</v>
      </c>
      <c r="CE151" s="1360">
        <v>15</v>
      </c>
      <c r="CF151" s="1360">
        <v>15</v>
      </c>
      <c r="CG151" s="1604">
        <f t="shared" si="133"/>
        <v>8084.529015834647</v>
      </c>
      <c r="CH151" s="1604">
        <f t="shared" si="134"/>
        <v>8084.529015834647</v>
      </c>
      <c r="CI151" s="1604">
        <f t="shared" si="135"/>
        <v>8084.529015834647</v>
      </c>
      <c r="CJ151" s="1604">
        <f t="shared" si="136"/>
        <v>8084.529015834647</v>
      </c>
      <c r="CK151" s="1521">
        <f t="shared" si="137"/>
        <v>32338.116063338588</v>
      </c>
      <c r="CL151" s="1132">
        <v>144</v>
      </c>
      <c r="CM151" s="1132" t="s">
        <v>337</v>
      </c>
      <c r="CN151" s="1359">
        <v>0</v>
      </c>
      <c r="CO151" s="1360">
        <v>144.14400000000001</v>
      </c>
      <c r="CP151" s="1360">
        <v>144.14400000000001</v>
      </c>
      <c r="CQ151" s="1360">
        <v>144.14400000000001</v>
      </c>
      <c r="CR151" s="1360">
        <v>144.14400000000001</v>
      </c>
      <c r="CS151" s="1362">
        <f t="shared" si="138"/>
        <v>538.96860105564303</v>
      </c>
      <c r="CT151" s="1362">
        <f t="shared" si="139"/>
        <v>538.96860105564303</v>
      </c>
      <c r="CU151" s="1362">
        <f t="shared" si="140"/>
        <v>538.96860105564303</v>
      </c>
      <c r="CV151" s="1362">
        <f t="shared" si="141"/>
        <v>538.96860105564303</v>
      </c>
      <c r="CW151" s="1362">
        <f t="shared" si="142"/>
        <v>2155.8744042225721</v>
      </c>
      <c r="CY151" s="2887"/>
    </row>
    <row r="152" spans="1:118" s="1143" customFormat="1" ht="45" customHeight="1" x14ac:dyDescent="0.35">
      <c r="A152" s="1132" t="s">
        <v>101</v>
      </c>
      <c r="B152" s="1132" t="s">
        <v>601</v>
      </c>
      <c r="C152" s="1132" t="s">
        <v>341</v>
      </c>
      <c r="D152" s="1359" t="s">
        <v>342</v>
      </c>
      <c r="E152" s="1359">
        <v>1</v>
      </c>
      <c r="F152" s="2564" t="s">
        <v>336</v>
      </c>
      <c r="G152" s="1132" t="s">
        <v>337</v>
      </c>
      <c r="H152" s="1360">
        <v>17.472000000000001</v>
      </c>
      <c r="I152" s="1360">
        <v>17.472000000000001</v>
      </c>
      <c r="J152" s="1360">
        <v>17.472000000000001</v>
      </c>
      <c r="K152" s="1360">
        <v>17.472000000000001</v>
      </c>
      <c r="L152" s="1132" t="s">
        <v>338</v>
      </c>
      <c r="M152" s="1132" t="str">
        <f t="shared" si="104"/>
        <v>Nicor Gas PY11-PY14 Adjustable Goals Template_2025-03-01, Tab 4.4.14</v>
      </c>
      <c r="N152" s="1361">
        <v>6.2725912019826513</v>
      </c>
      <c r="O152" s="1361">
        <v>6.2725912019826513</v>
      </c>
      <c r="P152" s="1361">
        <v>6.2725912019826513</v>
      </c>
      <c r="Q152" s="1361">
        <v>6.2725912019826513</v>
      </c>
      <c r="R152" s="1781">
        <v>0.86</v>
      </c>
      <c r="S152" s="1781">
        <v>0.86</v>
      </c>
      <c r="T152" s="1781">
        <v>0.86</v>
      </c>
      <c r="U152" s="1781">
        <v>0.86</v>
      </c>
      <c r="V152" s="1781">
        <v>0.86</v>
      </c>
      <c r="W152" s="1781">
        <v>0.86</v>
      </c>
      <c r="X152" s="1781">
        <v>0.86</v>
      </c>
      <c r="Y152" s="1781">
        <v>0.86</v>
      </c>
      <c r="Z152" s="1359">
        <v>1</v>
      </c>
      <c r="AA152" s="1781">
        <f t="shared" si="105"/>
        <v>0.86</v>
      </c>
      <c r="AB152" s="1781">
        <f t="shared" si="106"/>
        <v>0.86</v>
      </c>
      <c r="AC152" s="1781">
        <f t="shared" si="107"/>
        <v>0.86</v>
      </c>
      <c r="AD152" s="1781">
        <f t="shared" si="108"/>
        <v>0.86</v>
      </c>
      <c r="AE152" s="1781">
        <f t="shared" si="109"/>
        <v>0.86</v>
      </c>
      <c r="AF152" s="1781">
        <f t="shared" si="110"/>
        <v>0.86</v>
      </c>
      <c r="AG152" s="1781">
        <f t="shared" si="111"/>
        <v>0.86</v>
      </c>
      <c r="AH152" s="1781">
        <f t="shared" si="112"/>
        <v>0.86</v>
      </c>
      <c r="AI152" s="1362">
        <f t="shared" si="143"/>
        <v>94.251453593695175</v>
      </c>
      <c r="AJ152" s="1362">
        <f t="shared" si="144"/>
        <v>94.251453593695175</v>
      </c>
      <c r="AK152" s="1362">
        <f t="shared" si="145"/>
        <v>94.251453593695175</v>
      </c>
      <c r="AL152" s="1362">
        <f t="shared" si="146"/>
        <v>94.251453593695175</v>
      </c>
      <c r="AM152" s="1362">
        <f t="shared" si="147"/>
        <v>377.0058143747807</v>
      </c>
      <c r="AN152" s="1132" t="str">
        <f t="shared" si="113"/>
        <v>CI-HVC-PINS-V05-190101</v>
      </c>
      <c r="AO152" s="1132" t="str">
        <f t="shared" si="114"/>
        <v>Nicor Gas PY11-PY14 Adjustable Goals Template_2025-03-01, Tab 4.4.14</v>
      </c>
      <c r="AP152" s="2505">
        <f>'4.4.14'!$T$12</f>
        <v>6.2725912019826513</v>
      </c>
      <c r="AQ152" s="2505"/>
      <c r="AR152" s="2505">
        <f t="shared" si="115"/>
        <v>94.251453593695175</v>
      </c>
      <c r="AS152" s="2505">
        <f t="shared" si="116"/>
        <v>0</v>
      </c>
      <c r="AT152" s="1132" t="str">
        <f t="shared" si="117"/>
        <v>CI-HVC-PINS-V05-190101</v>
      </c>
      <c r="AU152" s="1132" t="str">
        <f t="shared" si="118"/>
        <v>Nicor Gas PY11-PY14 Adjustable Goals Template_2025-03-01, Tab 4.4.14</v>
      </c>
      <c r="AV152" s="2505">
        <f>'4.4.14'!$T$12</f>
        <v>6.2725912019826513</v>
      </c>
      <c r="AW152" s="2505"/>
      <c r="AX152" s="1362">
        <f t="shared" si="119"/>
        <v>94.251453593695175</v>
      </c>
      <c r="AY152" s="1360">
        <f t="shared" si="120"/>
        <v>0</v>
      </c>
      <c r="AZ152" s="1132" t="str">
        <f t="shared" si="121"/>
        <v>CI-HVC-PINS-V05-190101</v>
      </c>
      <c r="BA152" s="1132" t="str">
        <f t="shared" si="122"/>
        <v>Nicor Gas PY11-PY14 Adjustable Goals Template_2025-03-01, Tab 4.4.14</v>
      </c>
      <c r="BB152" s="2505">
        <f>'4.4.14'!$T$12</f>
        <v>6.2725912019826513</v>
      </c>
      <c r="BC152" s="2505"/>
      <c r="BD152" s="1362">
        <f t="shared" si="123"/>
        <v>94.251453593695175</v>
      </c>
      <c r="BE152" s="1360">
        <f t="shared" si="124"/>
        <v>0</v>
      </c>
      <c r="BF152" s="1132" t="str">
        <f t="shared" si="125"/>
        <v>CI-HVC-PINS-V05-190101</v>
      </c>
      <c r="BG152" s="1132" t="str">
        <f t="shared" si="126"/>
        <v>Nicor Gas PY11-PY14 Adjustable Goals Template_2025-03-01, Tab 4.4.14</v>
      </c>
      <c r="BH152" s="2505">
        <f>'4.4.14'!$T$12</f>
        <v>6.2725912019826513</v>
      </c>
      <c r="BI152" s="2505"/>
      <c r="BJ152" s="1362">
        <f t="shared" si="148"/>
        <v>94.251453593695175</v>
      </c>
      <c r="BK152" s="1360">
        <f t="shared" si="127"/>
        <v>0</v>
      </c>
      <c r="BL152" s="1601">
        <f t="shared" si="128"/>
        <v>94.251453593695175</v>
      </c>
      <c r="BM152" s="1601">
        <f t="shared" si="129"/>
        <v>94.251453593695175</v>
      </c>
      <c r="BN152" s="1601">
        <f t="shared" si="130"/>
        <v>94.251453593695175</v>
      </c>
      <c r="BO152" s="1601">
        <f t="shared" si="131"/>
        <v>94.251453593695175</v>
      </c>
      <c r="BP152" s="1602">
        <f t="shared" si="132"/>
        <v>377.0058143747807</v>
      </c>
      <c r="BQ152" s="1602"/>
      <c r="BR152" s="1602" t="s">
        <v>336</v>
      </c>
      <c r="BS152" s="1602">
        <v>0</v>
      </c>
      <c r="BT152" s="1602">
        <v>15</v>
      </c>
      <c r="BU152" s="1602">
        <v>15</v>
      </c>
      <c r="BV152" s="1602">
        <v>15</v>
      </c>
      <c r="BW152" s="1602">
        <v>15</v>
      </c>
      <c r="BX152" s="1362">
        <f t="shared" si="149"/>
        <v>1413.7718039054275</v>
      </c>
      <c r="BY152" s="1362">
        <f t="shared" si="150"/>
        <v>1413.7718039054275</v>
      </c>
      <c r="BZ152" s="1362">
        <f t="shared" si="151"/>
        <v>1413.7718039054275</v>
      </c>
      <c r="CA152" s="1362">
        <f t="shared" si="152"/>
        <v>1413.7718039054275</v>
      </c>
      <c r="CB152" s="1362">
        <f t="shared" si="153"/>
        <v>5655.0872156217101</v>
      </c>
      <c r="CC152" s="1360">
        <v>15</v>
      </c>
      <c r="CD152" s="1360">
        <v>15</v>
      </c>
      <c r="CE152" s="1360">
        <v>15</v>
      </c>
      <c r="CF152" s="1360">
        <v>15</v>
      </c>
      <c r="CG152" s="1604">
        <f t="shared" si="133"/>
        <v>1413.7718039054273</v>
      </c>
      <c r="CH152" s="1604">
        <f t="shared" si="134"/>
        <v>1413.7718039054273</v>
      </c>
      <c r="CI152" s="1604">
        <f t="shared" si="135"/>
        <v>1413.7718039054273</v>
      </c>
      <c r="CJ152" s="1604">
        <f t="shared" si="136"/>
        <v>1413.7718039054273</v>
      </c>
      <c r="CK152" s="1521">
        <f t="shared" si="137"/>
        <v>5655.0872156217092</v>
      </c>
      <c r="CL152" s="1132">
        <v>145</v>
      </c>
      <c r="CM152" s="1132" t="s">
        <v>337</v>
      </c>
      <c r="CN152" s="1359">
        <v>0</v>
      </c>
      <c r="CO152" s="1360">
        <v>17.472000000000001</v>
      </c>
      <c r="CP152" s="1360">
        <v>17.472000000000001</v>
      </c>
      <c r="CQ152" s="1360">
        <v>17.472000000000001</v>
      </c>
      <c r="CR152" s="1360">
        <v>17.472000000000001</v>
      </c>
      <c r="CS152" s="1362">
        <f t="shared" si="138"/>
        <v>94.251453593695175</v>
      </c>
      <c r="CT152" s="1362">
        <f t="shared" si="139"/>
        <v>94.251453593695175</v>
      </c>
      <c r="CU152" s="1362">
        <f t="shared" si="140"/>
        <v>94.251453593695175</v>
      </c>
      <c r="CV152" s="1362">
        <f t="shared" si="141"/>
        <v>94.251453593695175</v>
      </c>
      <c r="CW152" s="1362">
        <f t="shared" si="142"/>
        <v>377.0058143747807</v>
      </c>
      <c r="CY152" s="2887"/>
    </row>
    <row r="153" spans="1:118" s="1143" customFormat="1" ht="45" customHeight="1" x14ac:dyDescent="0.35">
      <c r="A153" s="1132" t="s">
        <v>101</v>
      </c>
      <c r="B153" s="1132" t="s">
        <v>601</v>
      </c>
      <c r="C153" s="1132" t="s">
        <v>343</v>
      </c>
      <c r="D153" s="1359" t="s">
        <v>344</v>
      </c>
      <c r="E153" s="1359">
        <v>1</v>
      </c>
      <c r="F153" s="2564" t="s">
        <v>336</v>
      </c>
      <c r="G153" s="1132" t="s">
        <v>337</v>
      </c>
      <c r="H153" s="1360">
        <v>914.928</v>
      </c>
      <c r="I153" s="1360">
        <v>914.928</v>
      </c>
      <c r="J153" s="1360">
        <v>914.928</v>
      </c>
      <c r="K153" s="1360">
        <v>914.928</v>
      </c>
      <c r="L153" s="1132" t="s">
        <v>338</v>
      </c>
      <c r="M153" s="1132" t="str">
        <f t="shared" si="104"/>
        <v>Nicor Gas PY11-PY14 Adjustable Goals Template_2025-03-01, Tab 4.4.14</v>
      </c>
      <c r="N153" s="1361">
        <v>8.1973935563816607</v>
      </c>
      <c r="O153" s="1361">
        <v>8.1973935563816607</v>
      </c>
      <c r="P153" s="1361">
        <v>8.1973935563816607</v>
      </c>
      <c r="Q153" s="1361">
        <v>8.1973935563816607</v>
      </c>
      <c r="R153" s="1781">
        <v>0.86</v>
      </c>
      <c r="S153" s="1781">
        <v>0.86</v>
      </c>
      <c r="T153" s="1781">
        <v>0.86</v>
      </c>
      <c r="U153" s="1781">
        <v>0.86</v>
      </c>
      <c r="V153" s="1781">
        <v>0.86</v>
      </c>
      <c r="W153" s="1781">
        <v>0.86</v>
      </c>
      <c r="X153" s="1781">
        <v>0.86</v>
      </c>
      <c r="Y153" s="1781">
        <v>0.86</v>
      </c>
      <c r="Z153" s="1359">
        <v>1</v>
      </c>
      <c r="AA153" s="1781">
        <f t="shared" si="105"/>
        <v>0.86</v>
      </c>
      <c r="AB153" s="1781">
        <f t="shared" si="106"/>
        <v>0.86</v>
      </c>
      <c r="AC153" s="1781">
        <f t="shared" si="107"/>
        <v>0.86</v>
      </c>
      <c r="AD153" s="1781">
        <f t="shared" si="108"/>
        <v>0.86</v>
      </c>
      <c r="AE153" s="1781">
        <f t="shared" si="109"/>
        <v>0.86</v>
      </c>
      <c r="AF153" s="1781">
        <f t="shared" si="110"/>
        <v>0.86</v>
      </c>
      <c r="AG153" s="1781">
        <f t="shared" si="111"/>
        <v>0.86</v>
      </c>
      <c r="AH153" s="1781">
        <f t="shared" si="112"/>
        <v>0.86</v>
      </c>
      <c r="AI153" s="1362">
        <f t="shared" si="143"/>
        <v>6450.0214069077174</v>
      </c>
      <c r="AJ153" s="1362">
        <f t="shared" si="144"/>
        <v>6450.0214069077174</v>
      </c>
      <c r="AK153" s="1362">
        <f t="shared" si="145"/>
        <v>6450.0214069077174</v>
      </c>
      <c r="AL153" s="1362">
        <f t="shared" si="146"/>
        <v>6450.0214069077174</v>
      </c>
      <c r="AM153" s="1362">
        <f t="shared" si="147"/>
        <v>25800.08562763087</v>
      </c>
      <c r="AN153" s="1132" t="str">
        <f t="shared" si="113"/>
        <v>CI-HVC-PINS-V05-190101</v>
      </c>
      <c r="AO153" s="1132" t="str">
        <f t="shared" si="114"/>
        <v>Nicor Gas PY11-PY14 Adjustable Goals Template_2025-03-01, Tab 4.4.14</v>
      </c>
      <c r="AP153" s="2505">
        <f>'4.4.14'!$T$6</f>
        <v>8.1973935563816607</v>
      </c>
      <c r="AQ153" s="2505"/>
      <c r="AR153" s="2505">
        <f t="shared" si="115"/>
        <v>6450.0214069077174</v>
      </c>
      <c r="AS153" s="2505">
        <f t="shared" si="116"/>
        <v>0</v>
      </c>
      <c r="AT153" s="1132" t="str">
        <f t="shared" si="117"/>
        <v>CI-HVC-PINS-V05-190101</v>
      </c>
      <c r="AU153" s="1132" t="str">
        <f t="shared" si="118"/>
        <v>Nicor Gas PY11-PY14 Adjustable Goals Template_2025-03-01, Tab 4.4.14</v>
      </c>
      <c r="AV153" s="2505">
        <f>'4.4.14'!$T$6</f>
        <v>8.1973935563816607</v>
      </c>
      <c r="AW153" s="2505"/>
      <c r="AX153" s="1362">
        <f t="shared" si="119"/>
        <v>6450.0214069077174</v>
      </c>
      <c r="AY153" s="1360">
        <f t="shared" si="120"/>
        <v>0</v>
      </c>
      <c r="AZ153" s="1132" t="str">
        <f t="shared" si="121"/>
        <v>CI-HVC-PINS-V05-190101</v>
      </c>
      <c r="BA153" s="1132" t="str">
        <f t="shared" si="122"/>
        <v>Nicor Gas PY11-PY14 Adjustable Goals Template_2025-03-01, Tab 4.4.14</v>
      </c>
      <c r="BB153" s="2505">
        <f>'4.4.14'!$T$6</f>
        <v>8.1973935563816607</v>
      </c>
      <c r="BC153" s="2505"/>
      <c r="BD153" s="1362">
        <f t="shared" si="123"/>
        <v>6450.0214069077174</v>
      </c>
      <c r="BE153" s="1360">
        <f t="shared" si="124"/>
        <v>0</v>
      </c>
      <c r="BF153" s="1132" t="str">
        <f t="shared" si="125"/>
        <v>CI-HVC-PINS-V05-190101</v>
      </c>
      <c r="BG153" s="1132" t="str">
        <f t="shared" si="126"/>
        <v>Nicor Gas PY11-PY14 Adjustable Goals Template_2025-03-01, Tab 4.4.14</v>
      </c>
      <c r="BH153" s="2505">
        <f>'4.4.14'!$T$6</f>
        <v>8.1973935563816607</v>
      </c>
      <c r="BI153" s="2505"/>
      <c r="BJ153" s="1362">
        <f t="shared" si="148"/>
        <v>6450.0214069077174</v>
      </c>
      <c r="BK153" s="1360">
        <f t="shared" si="127"/>
        <v>0</v>
      </c>
      <c r="BL153" s="1601">
        <f t="shared" si="128"/>
        <v>6450.0214069077174</v>
      </c>
      <c r="BM153" s="1601">
        <f t="shared" si="129"/>
        <v>6450.0214069077174</v>
      </c>
      <c r="BN153" s="1601">
        <f t="shared" si="130"/>
        <v>6450.0214069077174</v>
      </c>
      <c r="BO153" s="1601">
        <f t="shared" si="131"/>
        <v>6450.0214069077174</v>
      </c>
      <c r="BP153" s="1602">
        <f t="shared" si="132"/>
        <v>25800.08562763087</v>
      </c>
      <c r="BQ153" s="1602"/>
      <c r="BR153" s="1602" t="s">
        <v>336</v>
      </c>
      <c r="BS153" s="1602">
        <v>0</v>
      </c>
      <c r="BT153" s="1602">
        <v>15</v>
      </c>
      <c r="BU153" s="1602">
        <v>15</v>
      </c>
      <c r="BV153" s="1602">
        <v>15</v>
      </c>
      <c r="BW153" s="1602">
        <v>15</v>
      </c>
      <c r="BX153" s="1362">
        <f t="shared" si="149"/>
        <v>96750.321103615759</v>
      </c>
      <c r="BY153" s="1362">
        <f t="shared" si="150"/>
        <v>96750.321103615759</v>
      </c>
      <c r="BZ153" s="1362">
        <f t="shared" si="151"/>
        <v>96750.321103615759</v>
      </c>
      <c r="CA153" s="1362">
        <f t="shared" si="152"/>
        <v>96750.321103615759</v>
      </c>
      <c r="CB153" s="1362">
        <f t="shared" si="153"/>
        <v>387001.28441446304</v>
      </c>
      <c r="CC153" s="1360">
        <v>15</v>
      </c>
      <c r="CD153" s="1360">
        <v>15</v>
      </c>
      <c r="CE153" s="1360">
        <v>15</v>
      </c>
      <c r="CF153" s="1360">
        <v>15</v>
      </c>
      <c r="CG153" s="1604">
        <f t="shared" si="133"/>
        <v>96750.321103615759</v>
      </c>
      <c r="CH153" s="1604">
        <f t="shared" si="134"/>
        <v>96750.321103615759</v>
      </c>
      <c r="CI153" s="1604">
        <f t="shared" si="135"/>
        <v>96750.321103615759</v>
      </c>
      <c r="CJ153" s="1604">
        <f t="shared" si="136"/>
        <v>96750.321103615759</v>
      </c>
      <c r="CK153" s="1521">
        <f t="shared" si="137"/>
        <v>387001.28441446304</v>
      </c>
      <c r="CL153" s="1132">
        <v>146</v>
      </c>
      <c r="CM153" s="1132" t="s">
        <v>337</v>
      </c>
      <c r="CN153" s="1359">
        <v>0</v>
      </c>
      <c r="CO153" s="1360">
        <v>914.928</v>
      </c>
      <c r="CP153" s="1360">
        <v>914.928</v>
      </c>
      <c r="CQ153" s="1360">
        <v>914.928</v>
      </c>
      <c r="CR153" s="1360">
        <v>914.928</v>
      </c>
      <c r="CS153" s="1362">
        <f t="shared" si="138"/>
        <v>6450.0214069077174</v>
      </c>
      <c r="CT153" s="1362">
        <f t="shared" si="139"/>
        <v>6450.0214069077174</v>
      </c>
      <c r="CU153" s="1362">
        <f t="shared" si="140"/>
        <v>6450.0214069077174</v>
      </c>
      <c r="CV153" s="1362">
        <f t="shared" si="141"/>
        <v>6450.0214069077174</v>
      </c>
      <c r="CW153" s="1362">
        <f t="shared" si="142"/>
        <v>25800.08562763087</v>
      </c>
      <c r="CY153" s="2887"/>
      <c r="DN153" s="1715"/>
    </row>
    <row r="154" spans="1:118" s="1143" customFormat="1" ht="38.5" customHeight="1" x14ac:dyDescent="0.35">
      <c r="A154" s="1132" t="s">
        <v>101</v>
      </c>
      <c r="B154" s="1132" t="s">
        <v>601</v>
      </c>
      <c r="C154" s="1132" t="s">
        <v>349</v>
      </c>
      <c r="D154" s="1359" t="s">
        <v>350</v>
      </c>
      <c r="E154" s="1359">
        <v>1</v>
      </c>
      <c r="F154" s="2564" t="s">
        <v>336</v>
      </c>
      <c r="G154" s="1132" t="s">
        <v>337</v>
      </c>
      <c r="H154" s="1360">
        <v>73.920000000000016</v>
      </c>
      <c r="I154" s="1360">
        <v>73.920000000000016</v>
      </c>
      <c r="J154" s="1360">
        <v>73.920000000000016</v>
      </c>
      <c r="K154" s="1360">
        <v>73.920000000000016</v>
      </c>
      <c r="L154" s="1132" t="s">
        <v>338</v>
      </c>
      <c r="M154" s="1132" t="str">
        <f t="shared" si="104"/>
        <v>Nicor Gas PY11-PY14 Adjustable Goals Template_2025-03-01, Tab 4.4.14</v>
      </c>
      <c r="N154" s="1361">
        <v>10.776432713754645</v>
      </c>
      <c r="O154" s="1361">
        <v>10.776432713754645</v>
      </c>
      <c r="P154" s="1361">
        <v>10.776432713754645</v>
      </c>
      <c r="Q154" s="1361">
        <v>10.776432713754645</v>
      </c>
      <c r="R154" s="1781">
        <v>0.86</v>
      </c>
      <c r="S154" s="1781">
        <v>0.86</v>
      </c>
      <c r="T154" s="1781">
        <v>0.86</v>
      </c>
      <c r="U154" s="1781">
        <v>0.86</v>
      </c>
      <c r="V154" s="1781">
        <v>0.86</v>
      </c>
      <c r="W154" s="1781">
        <v>0.86</v>
      </c>
      <c r="X154" s="1781">
        <v>0.86</v>
      </c>
      <c r="Y154" s="1781">
        <v>0.86</v>
      </c>
      <c r="Z154" s="1359">
        <v>1</v>
      </c>
      <c r="AA154" s="1781">
        <f t="shared" si="105"/>
        <v>0.86</v>
      </c>
      <c r="AB154" s="1781">
        <f t="shared" si="106"/>
        <v>0.86</v>
      </c>
      <c r="AC154" s="1781">
        <f t="shared" si="107"/>
        <v>0.86</v>
      </c>
      <c r="AD154" s="1781">
        <f t="shared" si="108"/>
        <v>0.86</v>
      </c>
      <c r="AE154" s="1781">
        <f t="shared" si="109"/>
        <v>0.86</v>
      </c>
      <c r="AF154" s="1781">
        <f t="shared" si="110"/>
        <v>0.86</v>
      </c>
      <c r="AG154" s="1781">
        <f t="shared" si="111"/>
        <v>0.86</v>
      </c>
      <c r="AH154" s="1781">
        <f t="shared" si="112"/>
        <v>0.86</v>
      </c>
      <c r="AI154" s="1362">
        <f t="shared" si="143"/>
        <v>685.07075933263945</v>
      </c>
      <c r="AJ154" s="1362">
        <f t="shared" si="144"/>
        <v>685.07075933263945</v>
      </c>
      <c r="AK154" s="1362">
        <f t="shared" si="145"/>
        <v>685.07075933263945</v>
      </c>
      <c r="AL154" s="1362">
        <f t="shared" si="146"/>
        <v>685.07075933263945</v>
      </c>
      <c r="AM154" s="1362">
        <f t="shared" si="147"/>
        <v>2740.2830373305578</v>
      </c>
      <c r="AN154" s="1132" t="str">
        <f t="shared" si="113"/>
        <v>CI-HVC-PINS-V05-190101</v>
      </c>
      <c r="AO154" s="1132" t="str">
        <f t="shared" si="114"/>
        <v>Nicor Gas PY11-PY14 Adjustable Goals Template_2025-03-01, Tab 4.4.14</v>
      </c>
      <c r="AP154" s="2505">
        <f>'4.4.14'!$T$17</f>
        <v>10.776432713754645</v>
      </c>
      <c r="AQ154" s="2505"/>
      <c r="AR154" s="2505">
        <f t="shared" si="115"/>
        <v>685.07075933263945</v>
      </c>
      <c r="AS154" s="2505">
        <f t="shared" si="116"/>
        <v>0</v>
      </c>
      <c r="AT154" s="1132" t="str">
        <f t="shared" si="117"/>
        <v>CI-HVC-PINS-V05-190101</v>
      </c>
      <c r="AU154" s="1132" t="str">
        <f t="shared" si="118"/>
        <v>Nicor Gas PY11-PY14 Adjustable Goals Template_2025-03-01, Tab 4.4.14</v>
      </c>
      <c r="AV154" s="2505">
        <f>'4.4.14'!$T$17</f>
        <v>10.776432713754645</v>
      </c>
      <c r="AW154" s="2505"/>
      <c r="AX154" s="1362">
        <f t="shared" si="119"/>
        <v>685.07075933263945</v>
      </c>
      <c r="AY154" s="1360">
        <f t="shared" si="120"/>
        <v>0</v>
      </c>
      <c r="AZ154" s="1132" t="str">
        <f t="shared" si="121"/>
        <v>CI-HVC-PINS-V05-190101</v>
      </c>
      <c r="BA154" s="1132" t="str">
        <f t="shared" si="122"/>
        <v>Nicor Gas PY11-PY14 Adjustable Goals Template_2025-03-01, Tab 4.4.14</v>
      </c>
      <c r="BB154" s="2505">
        <f>'4.4.14'!$T$17</f>
        <v>10.776432713754645</v>
      </c>
      <c r="BC154" s="2505"/>
      <c r="BD154" s="1362">
        <f t="shared" si="123"/>
        <v>685.07075933263945</v>
      </c>
      <c r="BE154" s="1360">
        <f t="shared" si="124"/>
        <v>0</v>
      </c>
      <c r="BF154" s="1132" t="str">
        <f t="shared" si="125"/>
        <v>CI-HVC-PINS-V05-190101</v>
      </c>
      <c r="BG154" s="1132" t="str">
        <f t="shared" si="126"/>
        <v>Nicor Gas PY11-PY14 Adjustable Goals Template_2025-03-01, Tab 4.4.14</v>
      </c>
      <c r="BH154" s="2505">
        <f>'4.4.14'!$T$17</f>
        <v>10.776432713754645</v>
      </c>
      <c r="BI154" s="2505"/>
      <c r="BJ154" s="1362">
        <f t="shared" si="148"/>
        <v>685.07075933263945</v>
      </c>
      <c r="BK154" s="1360">
        <f t="shared" si="127"/>
        <v>0</v>
      </c>
      <c r="BL154" s="1601">
        <f t="shared" si="128"/>
        <v>685.07075933263945</v>
      </c>
      <c r="BM154" s="1601">
        <f t="shared" si="129"/>
        <v>685.07075933263945</v>
      </c>
      <c r="BN154" s="1601">
        <f t="shared" si="130"/>
        <v>685.07075933263945</v>
      </c>
      <c r="BO154" s="1601">
        <f t="shared" si="131"/>
        <v>685.07075933263945</v>
      </c>
      <c r="BP154" s="1602">
        <f t="shared" si="132"/>
        <v>2740.2830373305578</v>
      </c>
      <c r="BQ154" s="1602"/>
      <c r="BR154" s="1602" t="s">
        <v>336</v>
      </c>
      <c r="BS154" s="1602">
        <v>0</v>
      </c>
      <c r="BT154" s="1602">
        <v>15</v>
      </c>
      <c r="BU154" s="1602">
        <v>15</v>
      </c>
      <c r="BV154" s="1602">
        <v>15</v>
      </c>
      <c r="BW154" s="1602">
        <v>15</v>
      </c>
      <c r="BX154" s="1362">
        <f t="shared" si="149"/>
        <v>10276.061389989592</v>
      </c>
      <c r="BY154" s="1362">
        <f t="shared" si="150"/>
        <v>10276.061389989592</v>
      </c>
      <c r="BZ154" s="1362">
        <f t="shared" si="151"/>
        <v>10276.061389989592</v>
      </c>
      <c r="CA154" s="1362">
        <f t="shared" si="152"/>
        <v>10276.061389989592</v>
      </c>
      <c r="CB154" s="1362">
        <f t="shared" si="153"/>
        <v>41104.24555995837</v>
      </c>
      <c r="CC154" s="1360">
        <v>15</v>
      </c>
      <c r="CD154" s="1360">
        <v>15</v>
      </c>
      <c r="CE154" s="1360">
        <v>15</v>
      </c>
      <c r="CF154" s="1360">
        <v>15</v>
      </c>
      <c r="CG154" s="1604">
        <f t="shared" si="133"/>
        <v>10276.061389989591</v>
      </c>
      <c r="CH154" s="1604">
        <f t="shared" si="134"/>
        <v>10276.061389989591</v>
      </c>
      <c r="CI154" s="1604">
        <f t="shared" si="135"/>
        <v>10276.061389989591</v>
      </c>
      <c r="CJ154" s="1604">
        <f t="shared" si="136"/>
        <v>10276.061389989591</v>
      </c>
      <c r="CK154" s="1521">
        <f t="shared" si="137"/>
        <v>41104.245559958363</v>
      </c>
      <c r="CL154" s="1132">
        <v>147</v>
      </c>
      <c r="CM154" s="1132" t="s">
        <v>337</v>
      </c>
      <c r="CN154" s="1359">
        <v>0</v>
      </c>
      <c r="CO154" s="1360">
        <v>73.920000000000016</v>
      </c>
      <c r="CP154" s="1360">
        <v>73.920000000000016</v>
      </c>
      <c r="CQ154" s="1360">
        <v>73.920000000000016</v>
      </c>
      <c r="CR154" s="1360">
        <v>73.920000000000016</v>
      </c>
      <c r="CS154" s="1362">
        <f t="shared" si="138"/>
        <v>685.07075933263945</v>
      </c>
      <c r="CT154" s="1362">
        <f t="shared" si="139"/>
        <v>685.07075933263945</v>
      </c>
      <c r="CU154" s="1362">
        <f t="shared" si="140"/>
        <v>685.07075933263945</v>
      </c>
      <c r="CV154" s="1362">
        <f t="shared" si="141"/>
        <v>685.07075933263945</v>
      </c>
      <c r="CW154" s="1362">
        <f t="shared" si="142"/>
        <v>2740.2830373305578</v>
      </c>
      <c r="CY154" s="2887"/>
      <c r="DN154" s="1715"/>
    </row>
    <row r="155" spans="1:118" s="1143" customFormat="1" ht="43.5" customHeight="1" x14ac:dyDescent="0.35">
      <c r="A155" s="1132" t="s">
        <v>101</v>
      </c>
      <c r="B155" s="1132" t="s">
        <v>601</v>
      </c>
      <c r="C155" s="1132" t="s">
        <v>351</v>
      </c>
      <c r="D155" s="1359" t="s">
        <v>352</v>
      </c>
      <c r="E155" s="1359">
        <v>1</v>
      </c>
      <c r="F155" s="2564" t="s">
        <v>336</v>
      </c>
      <c r="G155" s="1132" t="s">
        <v>337</v>
      </c>
      <c r="H155" s="1360">
        <v>0.67200000000000004</v>
      </c>
      <c r="I155" s="1360">
        <v>0.67200000000000004</v>
      </c>
      <c r="J155" s="1360">
        <v>0.67200000000000004</v>
      </c>
      <c r="K155" s="1360">
        <v>0.67200000000000004</v>
      </c>
      <c r="L155" s="1132" t="s">
        <v>338</v>
      </c>
      <c r="M155" s="1132" t="str">
        <f t="shared" si="104"/>
        <v>Nicor Gas PY11-PY14 Adjustable Goals Template_2025-03-01, Tab 4.4.14</v>
      </c>
      <c r="N155" s="1361">
        <v>14.083280297397769</v>
      </c>
      <c r="O155" s="1361">
        <v>14.083280297397769</v>
      </c>
      <c r="P155" s="1361">
        <v>14.083280297397769</v>
      </c>
      <c r="Q155" s="1361">
        <v>14.083280297397769</v>
      </c>
      <c r="R155" s="1781">
        <v>0.86</v>
      </c>
      <c r="S155" s="1781">
        <v>0.86</v>
      </c>
      <c r="T155" s="1781">
        <v>0.86</v>
      </c>
      <c r="U155" s="1781">
        <v>0.86</v>
      </c>
      <c r="V155" s="1781">
        <v>0.86</v>
      </c>
      <c r="W155" s="1781">
        <v>0.86</v>
      </c>
      <c r="X155" s="1781">
        <v>0.86</v>
      </c>
      <c r="Y155" s="1781">
        <v>0.86</v>
      </c>
      <c r="Z155" s="1359">
        <v>1</v>
      </c>
      <c r="AA155" s="1781">
        <f t="shared" si="105"/>
        <v>0.86</v>
      </c>
      <c r="AB155" s="1781">
        <f t="shared" si="106"/>
        <v>0.86</v>
      </c>
      <c r="AC155" s="1781">
        <f t="shared" si="107"/>
        <v>0.86</v>
      </c>
      <c r="AD155" s="1781">
        <f t="shared" si="108"/>
        <v>0.86</v>
      </c>
      <c r="AE155" s="1781">
        <f t="shared" si="109"/>
        <v>0.86</v>
      </c>
      <c r="AF155" s="1781">
        <f t="shared" si="110"/>
        <v>0.86</v>
      </c>
      <c r="AG155" s="1781">
        <f t="shared" si="111"/>
        <v>0.86</v>
      </c>
      <c r="AH155" s="1781">
        <f t="shared" si="112"/>
        <v>0.86</v>
      </c>
      <c r="AI155" s="1362">
        <f t="shared" si="143"/>
        <v>8.1390093494721185</v>
      </c>
      <c r="AJ155" s="1362">
        <f t="shared" si="144"/>
        <v>8.1390093494721185</v>
      </c>
      <c r="AK155" s="1362">
        <f t="shared" si="145"/>
        <v>8.1390093494721185</v>
      </c>
      <c r="AL155" s="1362">
        <f t="shared" si="146"/>
        <v>8.1390093494721185</v>
      </c>
      <c r="AM155" s="1362">
        <f t="shared" si="147"/>
        <v>32.556037397888474</v>
      </c>
      <c r="AN155" s="1132" t="str">
        <f t="shared" si="113"/>
        <v>CI-HVC-PINS-V05-190101</v>
      </c>
      <c r="AO155" s="1132" t="str">
        <f t="shared" si="114"/>
        <v>Nicor Gas PY11-PY14 Adjustable Goals Template_2025-03-01, Tab 4.4.14</v>
      </c>
      <c r="AP155" s="2505">
        <f>'4.4.14'!$T$16</f>
        <v>14.083280297397769</v>
      </c>
      <c r="AQ155" s="2505"/>
      <c r="AR155" s="2505">
        <f t="shared" si="115"/>
        <v>8.1390093494721185</v>
      </c>
      <c r="AS155" s="2505">
        <f t="shared" si="116"/>
        <v>0</v>
      </c>
      <c r="AT155" s="1132" t="str">
        <f t="shared" si="117"/>
        <v>CI-HVC-PINS-V05-190101</v>
      </c>
      <c r="AU155" s="1132" t="str">
        <f t="shared" si="118"/>
        <v>Nicor Gas PY11-PY14 Adjustable Goals Template_2025-03-01, Tab 4.4.14</v>
      </c>
      <c r="AV155" s="2505">
        <f>'4.4.14'!$T$16</f>
        <v>14.083280297397769</v>
      </c>
      <c r="AW155" s="2505"/>
      <c r="AX155" s="1362">
        <f t="shared" si="119"/>
        <v>8.1390093494721185</v>
      </c>
      <c r="AY155" s="1360">
        <f t="shared" si="120"/>
        <v>0</v>
      </c>
      <c r="AZ155" s="1132" t="str">
        <f t="shared" si="121"/>
        <v>CI-HVC-PINS-V05-190101</v>
      </c>
      <c r="BA155" s="1132" t="str">
        <f t="shared" si="122"/>
        <v>Nicor Gas PY11-PY14 Adjustable Goals Template_2025-03-01, Tab 4.4.14</v>
      </c>
      <c r="BB155" s="2505">
        <f>'4.4.14'!$T$16</f>
        <v>14.083280297397769</v>
      </c>
      <c r="BC155" s="2505"/>
      <c r="BD155" s="1362">
        <f t="shared" si="123"/>
        <v>8.1390093494721185</v>
      </c>
      <c r="BE155" s="1360">
        <f t="shared" si="124"/>
        <v>0</v>
      </c>
      <c r="BF155" s="1132" t="str">
        <f t="shared" si="125"/>
        <v>CI-HVC-PINS-V05-190101</v>
      </c>
      <c r="BG155" s="1132" t="str">
        <f t="shared" si="126"/>
        <v>Nicor Gas PY11-PY14 Adjustable Goals Template_2025-03-01, Tab 4.4.14</v>
      </c>
      <c r="BH155" s="2505">
        <f>'4.4.14'!$T$16</f>
        <v>14.083280297397769</v>
      </c>
      <c r="BI155" s="2505"/>
      <c r="BJ155" s="1362">
        <f t="shared" si="148"/>
        <v>8.1390093494721185</v>
      </c>
      <c r="BK155" s="1360">
        <f t="shared" si="127"/>
        <v>0</v>
      </c>
      <c r="BL155" s="1601">
        <f t="shared" si="128"/>
        <v>8.1390093494721185</v>
      </c>
      <c r="BM155" s="1601">
        <f t="shared" si="129"/>
        <v>8.1390093494721185</v>
      </c>
      <c r="BN155" s="1601">
        <f t="shared" si="130"/>
        <v>8.1390093494721185</v>
      </c>
      <c r="BO155" s="1601">
        <f t="shared" si="131"/>
        <v>8.1390093494721185</v>
      </c>
      <c r="BP155" s="1602">
        <f t="shared" si="132"/>
        <v>32.556037397888474</v>
      </c>
      <c r="BQ155" s="1602"/>
      <c r="BR155" s="1602" t="s">
        <v>336</v>
      </c>
      <c r="BS155" s="1602">
        <v>0</v>
      </c>
      <c r="BT155" s="1602">
        <v>15</v>
      </c>
      <c r="BU155" s="1602">
        <v>15</v>
      </c>
      <c r="BV155" s="1602">
        <v>15</v>
      </c>
      <c r="BW155" s="1602">
        <v>15</v>
      </c>
      <c r="BX155" s="1362">
        <f t="shared" si="149"/>
        <v>122.08514024208178</v>
      </c>
      <c r="BY155" s="1362">
        <f t="shared" si="150"/>
        <v>122.08514024208178</v>
      </c>
      <c r="BZ155" s="1362">
        <f t="shared" si="151"/>
        <v>122.08514024208178</v>
      </c>
      <c r="CA155" s="1362">
        <f t="shared" si="152"/>
        <v>122.08514024208178</v>
      </c>
      <c r="CB155" s="1362">
        <f t="shared" si="153"/>
        <v>488.34056096832711</v>
      </c>
      <c r="CC155" s="1360">
        <v>15</v>
      </c>
      <c r="CD155" s="1360">
        <v>15</v>
      </c>
      <c r="CE155" s="1360">
        <v>15</v>
      </c>
      <c r="CF155" s="1360">
        <v>15</v>
      </c>
      <c r="CG155" s="1604">
        <f t="shared" si="133"/>
        <v>122.08514024208178</v>
      </c>
      <c r="CH155" s="1604">
        <f t="shared" si="134"/>
        <v>122.08514024208178</v>
      </c>
      <c r="CI155" s="1604">
        <f t="shared" si="135"/>
        <v>122.08514024208178</v>
      </c>
      <c r="CJ155" s="1604">
        <f t="shared" si="136"/>
        <v>122.08514024208178</v>
      </c>
      <c r="CK155" s="1521">
        <f t="shared" si="137"/>
        <v>488.34056096832711</v>
      </c>
      <c r="CL155" s="1132">
        <v>148</v>
      </c>
      <c r="CM155" s="1132" t="s">
        <v>337</v>
      </c>
      <c r="CN155" s="1359">
        <v>0</v>
      </c>
      <c r="CO155" s="1360">
        <v>0.67200000000000004</v>
      </c>
      <c r="CP155" s="1360">
        <v>0.67200000000000004</v>
      </c>
      <c r="CQ155" s="1360">
        <v>0.67200000000000004</v>
      </c>
      <c r="CR155" s="1360">
        <v>0.67200000000000004</v>
      </c>
      <c r="CS155" s="1362">
        <f t="shared" si="138"/>
        <v>8.1390093494721185</v>
      </c>
      <c r="CT155" s="1362">
        <f t="shared" si="139"/>
        <v>8.1390093494721185</v>
      </c>
      <c r="CU155" s="1362">
        <f t="shared" si="140"/>
        <v>8.1390093494721185</v>
      </c>
      <c r="CV155" s="1362">
        <f t="shared" si="141"/>
        <v>8.1390093494721185</v>
      </c>
      <c r="CW155" s="1362">
        <f t="shared" si="142"/>
        <v>32.556037397888474</v>
      </c>
      <c r="CY155" s="2887"/>
    </row>
    <row r="156" spans="1:118" s="1143" customFormat="1" ht="40.5" customHeight="1" x14ac:dyDescent="0.35">
      <c r="A156" s="1132" t="s">
        <v>101</v>
      </c>
      <c r="B156" s="1132" t="s">
        <v>601</v>
      </c>
      <c r="C156" s="1132" t="s">
        <v>535</v>
      </c>
      <c r="D156" s="1359" t="s">
        <v>536</v>
      </c>
      <c r="E156" s="1359">
        <v>1</v>
      </c>
      <c r="F156" s="2564" t="s">
        <v>336</v>
      </c>
      <c r="G156" s="1132" t="s">
        <v>337</v>
      </c>
      <c r="H156" s="1360">
        <v>0.33600000000000002</v>
      </c>
      <c r="I156" s="1360">
        <v>0.33600000000000002</v>
      </c>
      <c r="J156" s="1360">
        <v>0.33600000000000002</v>
      </c>
      <c r="K156" s="1360">
        <v>0.33600000000000002</v>
      </c>
      <c r="L156" s="1132" t="s">
        <v>338</v>
      </c>
      <c r="M156" s="1132" t="str">
        <f t="shared" si="104"/>
        <v>Nicor Gas PY11-PY14 Adjustable Goals Template_2025-03-01, Tab 4.4.14</v>
      </c>
      <c r="N156" s="1361">
        <v>65.128327137546464</v>
      </c>
      <c r="O156" s="1361">
        <v>65.128327137546464</v>
      </c>
      <c r="P156" s="1361">
        <v>65.128327137546464</v>
      </c>
      <c r="Q156" s="1361">
        <v>65.128327137546464</v>
      </c>
      <c r="R156" s="1781">
        <v>0.86</v>
      </c>
      <c r="S156" s="1781">
        <v>0.86</v>
      </c>
      <c r="T156" s="1781">
        <v>0.86</v>
      </c>
      <c r="U156" s="1781">
        <v>0.86</v>
      </c>
      <c r="V156" s="1781">
        <v>0.86</v>
      </c>
      <c r="W156" s="1781">
        <v>0.86</v>
      </c>
      <c r="X156" s="1781">
        <v>0.86</v>
      </c>
      <c r="Y156" s="1781">
        <v>0.86</v>
      </c>
      <c r="Z156" s="1359">
        <v>1</v>
      </c>
      <c r="AA156" s="1781">
        <f t="shared" si="105"/>
        <v>0.86</v>
      </c>
      <c r="AB156" s="1781">
        <f t="shared" si="106"/>
        <v>0.86</v>
      </c>
      <c r="AC156" s="1781">
        <f t="shared" si="107"/>
        <v>0.86</v>
      </c>
      <c r="AD156" s="1781">
        <f t="shared" si="108"/>
        <v>0.86</v>
      </c>
      <c r="AE156" s="1781">
        <f t="shared" si="109"/>
        <v>0.86</v>
      </c>
      <c r="AF156" s="1781">
        <f t="shared" si="110"/>
        <v>0.86</v>
      </c>
      <c r="AG156" s="1781">
        <f t="shared" si="111"/>
        <v>0.86</v>
      </c>
      <c r="AH156" s="1781">
        <f t="shared" si="112"/>
        <v>0.86</v>
      </c>
      <c r="AI156" s="1362">
        <f t="shared" si="143"/>
        <v>18.819481409665428</v>
      </c>
      <c r="AJ156" s="1362">
        <f t="shared" si="144"/>
        <v>18.819481409665428</v>
      </c>
      <c r="AK156" s="1362">
        <f t="shared" si="145"/>
        <v>18.819481409665428</v>
      </c>
      <c r="AL156" s="1362">
        <f t="shared" si="146"/>
        <v>18.819481409665428</v>
      </c>
      <c r="AM156" s="1362">
        <f t="shared" si="147"/>
        <v>75.277925638661713</v>
      </c>
      <c r="AN156" s="1132" t="str">
        <f t="shared" si="113"/>
        <v>CI-HVC-PINS-V05-190101</v>
      </c>
      <c r="AO156" s="1132" t="str">
        <f t="shared" si="114"/>
        <v>Nicor Gas PY11-PY14 Adjustable Goals Template_2025-03-01, Tab 4.4.14</v>
      </c>
      <c r="AP156" s="2505">
        <f>'4.4.14'!$T$15</f>
        <v>65.128327137546464</v>
      </c>
      <c r="AQ156" s="2505"/>
      <c r="AR156" s="2505">
        <f t="shared" si="115"/>
        <v>18.819481409665428</v>
      </c>
      <c r="AS156" s="2505">
        <f t="shared" si="116"/>
        <v>0</v>
      </c>
      <c r="AT156" s="1132" t="str">
        <f t="shared" si="117"/>
        <v>CI-HVC-PINS-V05-190101</v>
      </c>
      <c r="AU156" s="1132" t="str">
        <f t="shared" si="118"/>
        <v>Nicor Gas PY11-PY14 Adjustable Goals Template_2025-03-01, Tab 4.4.14</v>
      </c>
      <c r="AV156" s="2505">
        <f>'4.4.14'!$T$15</f>
        <v>65.128327137546464</v>
      </c>
      <c r="AW156" s="2505"/>
      <c r="AX156" s="1362">
        <f t="shared" si="119"/>
        <v>18.819481409665428</v>
      </c>
      <c r="AY156" s="1360">
        <f t="shared" si="120"/>
        <v>0</v>
      </c>
      <c r="AZ156" s="1132" t="str">
        <f t="shared" si="121"/>
        <v>CI-HVC-PINS-V05-190101</v>
      </c>
      <c r="BA156" s="1132" t="str">
        <f t="shared" si="122"/>
        <v>Nicor Gas PY11-PY14 Adjustable Goals Template_2025-03-01, Tab 4.4.14</v>
      </c>
      <c r="BB156" s="2505">
        <f>'4.4.14'!$T$15</f>
        <v>65.128327137546464</v>
      </c>
      <c r="BC156" s="2505"/>
      <c r="BD156" s="1362">
        <f t="shared" si="123"/>
        <v>18.819481409665428</v>
      </c>
      <c r="BE156" s="1360">
        <f t="shared" si="124"/>
        <v>0</v>
      </c>
      <c r="BF156" s="1132" t="str">
        <f t="shared" si="125"/>
        <v>CI-HVC-PINS-V05-190101</v>
      </c>
      <c r="BG156" s="1132" t="str">
        <f t="shared" si="126"/>
        <v>Nicor Gas PY11-PY14 Adjustable Goals Template_2025-03-01, Tab 4.4.14</v>
      </c>
      <c r="BH156" s="2505">
        <f>'4.4.14'!$T$15</f>
        <v>65.128327137546464</v>
      </c>
      <c r="BI156" s="2505"/>
      <c r="BJ156" s="1362">
        <f t="shared" si="148"/>
        <v>18.819481409665428</v>
      </c>
      <c r="BK156" s="1360">
        <f t="shared" si="127"/>
        <v>0</v>
      </c>
      <c r="BL156" s="1601">
        <f t="shared" si="128"/>
        <v>18.819481409665428</v>
      </c>
      <c r="BM156" s="1601">
        <f t="shared" si="129"/>
        <v>18.819481409665428</v>
      </c>
      <c r="BN156" s="1601">
        <f t="shared" si="130"/>
        <v>18.819481409665428</v>
      </c>
      <c r="BO156" s="1601">
        <f t="shared" si="131"/>
        <v>18.819481409665428</v>
      </c>
      <c r="BP156" s="1602">
        <f t="shared" si="132"/>
        <v>75.277925638661713</v>
      </c>
      <c r="BQ156" s="1602"/>
      <c r="BR156" s="1602" t="s">
        <v>336</v>
      </c>
      <c r="BS156" s="1602">
        <v>0</v>
      </c>
      <c r="BT156" s="1602">
        <v>15</v>
      </c>
      <c r="BU156" s="1602">
        <v>15</v>
      </c>
      <c r="BV156" s="1602">
        <v>15</v>
      </c>
      <c r="BW156" s="1602">
        <v>15</v>
      </c>
      <c r="BX156" s="1362">
        <f t="shared" si="149"/>
        <v>282.29222114498145</v>
      </c>
      <c r="BY156" s="1362">
        <f t="shared" si="150"/>
        <v>282.29222114498145</v>
      </c>
      <c r="BZ156" s="1362">
        <f t="shared" si="151"/>
        <v>282.29222114498145</v>
      </c>
      <c r="CA156" s="1362">
        <f t="shared" si="152"/>
        <v>282.29222114498145</v>
      </c>
      <c r="CB156" s="1362">
        <f t="shared" si="153"/>
        <v>1129.1688845799258</v>
      </c>
      <c r="CC156" s="1360">
        <v>15</v>
      </c>
      <c r="CD156" s="1360">
        <v>15</v>
      </c>
      <c r="CE156" s="1360">
        <v>15</v>
      </c>
      <c r="CF156" s="1360">
        <v>15</v>
      </c>
      <c r="CG156" s="1604">
        <f t="shared" si="133"/>
        <v>282.2922211449814</v>
      </c>
      <c r="CH156" s="1604">
        <f t="shared" si="134"/>
        <v>282.2922211449814</v>
      </c>
      <c r="CI156" s="1604">
        <f t="shared" si="135"/>
        <v>282.2922211449814</v>
      </c>
      <c r="CJ156" s="1604">
        <f t="shared" si="136"/>
        <v>282.2922211449814</v>
      </c>
      <c r="CK156" s="1521">
        <f t="shared" si="137"/>
        <v>1129.1688845799256</v>
      </c>
      <c r="CL156" s="1132">
        <v>149</v>
      </c>
      <c r="CM156" s="1132" t="s">
        <v>337</v>
      </c>
      <c r="CN156" s="1359">
        <v>0</v>
      </c>
      <c r="CO156" s="1360">
        <v>0.33600000000000002</v>
      </c>
      <c r="CP156" s="1360">
        <v>0.33600000000000002</v>
      </c>
      <c r="CQ156" s="1360">
        <v>0.33600000000000002</v>
      </c>
      <c r="CR156" s="1360">
        <v>0.33600000000000002</v>
      </c>
      <c r="CS156" s="1362">
        <f t="shared" si="138"/>
        <v>18.819481409665428</v>
      </c>
      <c r="CT156" s="1362">
        <f t="shared" si="139"/>
        <v>18.819481409665428</v>
      </c>
      <c r="CU156" s="1362">
        <f t="shared" si="140"/>
        <v>18.819481409665428</v>
      </c>
      <c r="CV156" s="1362">
        <f t="shared" si="141"/>
        <v>18.819481409665428</v>
      </c>
      <c r="CW156" s="1362">
        <f t="shared" si="142"/>
        <v>75.277925638661713</v>
      </c>
      <c r="CY156" s="2887"/>
      <c r="DN156" s="1715"/>
    </row>
    <row r="157" spans="1:118" s="1143" customFormat="1" ht="45" customHeight="1" x14ac:dyDescent="0.35">
      <c r="A157" s="1132" t="s">
        <v>101</v>
      </c>
      <c r="B157" s="1132" t="s">
        <v>601</v>
      </c>
      <c r="C157" s="1132" t="s">
        <v>353</v>
      </c>
      <c r="D157" s="1359" t="s">
        <v>354</v>
      </c>
      <c r="E157" s="1359">
        <v>1</v>
      </c>
      <c r="F157" s="2564" t="s">
        <v>355</v>
      </c>
      <c r="G157" s="1132" t="s">
        <v>356</v>
      </c>
      <c r="H157" s="1360">
        <v>99.792000000000016</v>
      </c>
      <c r="I157" s="1360">
        <v>99.792000000000016</v>
      </c>
      <c r="J157" s="1360">
        <v>99.792000000000016</v>
      </c>
      <c r="K157" s="1360">
        <v>99.792000000000016</v>
      </c>
      <c r="L157" s="1132" t="s">
        <v>357</v>
      </c>
      <c r="M157" s="1132" t="str">
        <f t="shared" si="104"/>
        <v>Nicor Gas PY11-PY14 Adjustable Goals Template_2025-03-01, Tab 4.4.16</v>
      </c>
      <c r="N157" s="1361">
        <v>102.13709764839483</v>
      </c>
      <c r="O157" s="1361">
        <v>102.13709764839483</v>
      </c>
      <c r="P157" s="1361">
        <v>102.13709764839483</v>
      </c>
      <c r="Q157" s="1361">
        <v>102.13709764839483</v>
      </c>
      <c r="R157" s="1781">
        <v>0.86</v>
      </c>
      <c r="S157" s="1781">
        <v>0.86</v>
      </c>
      <c r="T157" s="1781">
        <v>0.86</v>
      </c>
      <c r="U157" s="1781">
        <v>0.86</v>
      </c>
      <c r="V157" s="1781">
        <v>0.86</v>
      </c>
      <c r="W157" s="1781">
        <v>0.86</v>
      </c>
      <c r="X157" s="1781">
        <v>0.86</v>
      </c>
      <c r="Y157" s="1781">
        <v>0.86</v>
      </c>
      <c r="Z157" s="1359">
        <v>1</v>
      </c>
      <c r="AA157" s="1781">
        <f t="shared" si="105"/>
        <v>0.86</v>
      </c>
      <c r="AB157" s="1781">
        <f t="shared" si="106"/>
        <v>0.86</v>
      </c>
      <c r="AC157" s="1781">
        <f t="shared" si="107"/>
        <v>0.86</v>
      </c>
      <c r="AD157" s="1781">
        <f t="shared" si="108"/>
        <v>0.86</v>
      </c>
      <c r="AE157" s="1781">
        <f t="shared" si="109"/>
        <v>0.86</v>
      </c>
      <c r="AF157" s="1781">
        <f t="shared" si="110"/>
        <v>0.86</v>
      </c>
      <c r="AG157" s="1781">
        <f t="shared" si="111"/>
        <v>0.86</v>
      </c>
      <c r="AH157" s="1781">
        <f t="shared" si="112"/>
        <v>0.86</v>
      </c>
      <c r="AI157" s="1362">
        <f t="shared" si="143"/>
        <v>8765.5201137346121</v>
      </c>
      <c r="AJ157" s="1362">
        <f t="shared" si="144"/>
        <v>8765.5201137346121</v>
      </c>
      <c r="AK157" s="1362">
        <f t="shared" si="145"/>
        <v>8765.5201137346121</v>
      </c>
      <c r="AL157" s="1362">
        <f t="shared" si="146"/>
        <v>8765.5201137346121</v>
      </c>
      <c r="AM157" s="1362">
        <f t="shared" si="147"/>
        <v>35062.080454938448</v>
      </c>
      <c r="AN157" s="1132" t="str">
        <f t="shared" si="113"/>
        <v>CI-HVC-STRE-V05-180101</v>
      </c>
      <c r="AO157" s="1132" t="str">
        <f t="shared" si="114"/>
        <v>Nicor Gas PY11-PY14 Adjustable Goals Template_2025-03-01, Tab 4.4.16</v>
      </c>
      <c r="AP157" s="2505">
        <f>'4.4.16'!$O$11</f>
        <v>102.13709764839483</v>
      </c>
      <c r="AQ157" s="2505"/>
      <c r="AR157" s="2505">
        <f t="shared" si="115"/>
        <v>8765.5201137346121</v>
      </c>
      <c r="AS157" s="2505">
        <f t="shared" si="116"/>
        <v>0</v>
      </c>
      <c r="AT157" s="1132" t="str">
        <f t="shared" si="117"/>
        <v>CI-HVC-STRE-V05-180101</v>
      </c>
      <c r="AU157" s="1132" t="str">
        <f t="shared" si="118"/>
        <v>Nicor Gas PY11-PY14 Adjustable Goals Template_2025-03-01, Tab 4.4.16</v>
      </c>
      <c r="AV157" s="2505">
        <f>'4.4.16'!$O$11</f>
        <v>102.13709764839483</v>
      </c>
      <c r="AW157" s="2505"/>
      <c r="AX157" s="1362">
        <f t="shared" si="119"/>
        <v>8765.5201137346121</v>
      </c>
      <c r="AY157" s="1360">
        <f t="shared" si="120"/>
        <v>0</v>
      </c>
      <c r="AZ157" s="1132" t="str">
        <f t="shared" si="121"/>
        <v>CI-HVC-STRE-V05-180101</v>
      </c>
      <c r="BA157" s="1132" t="str">
        <f t="shared" si="122"/>
        <v>Nicor Gas PY11-PY14 Adjustable Goals Template_2025-03-01, Tab 4.4.16</v>
      </c>
      <c r="BB157" s="2505">
        <f>'4.4.16'!$O$11</f>
        <v>102.13709764839483</v>
      </c>
      <c r="BC157" s="2505"/>
      <c r="BD157" s="1362">
        <f t="shared" si="123"/>
        <v>8765.5201137346121</v>
      </c>
      <c r="BE157" s="1360">
        <f t="shared" si="124"/>
        <v>0</v>
      </c>
      <c r="BF157" s="1132" t="str">
        <f t="shared" si="125"/>
        <v>CI-HVC-STRE-V05-180101</v>
      </c>
      <c r="BG157" s="1132" t="str">
        <f t="shared" si="126"/>
        <v>Nicor Gas PY11-PY14 Adjustable Goals Template_2025-03-01, Tab 4.4.16</v>
      </c>
      <c r="BH157" s="2505">
        <f>'4.4.16'!$O$11</f>
        <v>102.13709764839483</v>
      </c>
      <c r="BI157" s="2505"/>
      <c r="BJ157" s="1362">
        <f t="shared" si="148"/>
        <v>8765.5201137346121</v>
      </c>
      <c r="BK157" s="1360">
        <f t="shared" si="127"/>
        <v>0</v>
      </c>
      <c r="BL157" s="1601">
        <f t="shared" si="128"/>
        <v>8765.5201137346121</v>
      </c>
      <c r="BM157" s="1601">
        <f t="shared" si="129"/>
        <v>8765.5201137346121</v>
      </c>
      <c r="BN157" s="1601">
        <f t="shared" si="130"/>
        <v>8765.5201137346121</v>
      </c>
      <c r="BO157" s="1601">
        <f t="shared" si="131"/>
        <v>8765.5201137346121</v>
      </c>
      <c r="BP157" s="1602">
        <f t="shared" si="132"/>
        <v>35062.080454938448</v>
      </c>
      <c r="BQ157" s="1602"/>
      <c r="BR157" s="1602" t="s">
        <v>355</v>
      </c>
      <c r="BS157" s="1602">
        <v>0</v>
      </c>
      <c r="BT157" s="1602">
        <v>6</v>
      </c>
      <c r="BU157" s="1602">
        <v>6</v>
      </c>
      <c r="BV157" s="1602">
        <v>6</v>
      </c>
      <c r="BW157" s="1602">
        <v>6</v>
      </c>
      <c r="BX157" s="1362">
        <f t="shared" si="149"/>
        <v>52593.120682407673</v>
      </c>
      <c r="BY157" s="1362">
        <f t="shared" si="150"/>
        <v>52593.120682407673</v>
      </c>
      <c r="BZ157" s="1362">
        <f t="shared" si="151"/>
        <v>52593.120682407673</v>
      </c>
      <c r="CA157" s="1362">
        <f t="shared" si="152"/>
        <v>52593.120682407673</v>
      </c>
      <c r="CB157" s="1362">
        <f t="shared" si="153"/>
        <v>210372.48272963069</v>
      </c>
      <c r="CC157" s="1360">
        <v>6</v>
      </c>
      <c r="CD157" s="1360">
        <v>6</v>
      </c>
      <c r="CE157" s="1360">
        <v>6</v>
      </c>
      <c r="CF157" s="1360">
        <v>6</v>
      </c>
      <c r="CG157" s="1604">
        <f t="shared" si="133"/>
        <v>52593.120682407665</v>
      </c>
      <c r="CH157" s="1604">
        <f t="shared" si="134"/>
        <v>52593.120682407665</v>
      </c>
      <c r="CI157" s="1604">
        <f t="shared" si="135"/>
        <v>52593.120682407665</v>
      </c>
      <c r="CJ157" s="1604">
        <f t="shared" si="136"/>
        <v>52593.120682407665</v>
      </c>
      <c r="CK157" s="1521">
        <f t="shared" si="137"/>
        <v>210372.48272963066</v>
      </c>
      <c r="CL157" s="1132">
        <v>150</v>
      </c>
      <c r="CM157" s="1132" t="s">
        <v>356</v>
      </c>
      <c r="CN157" s="1359">
        <v>0</v>
      </c>
      <c r="CO157" s="1360">
        <v>99.792000000000016</v>
      </c>
      <c r="CP157" s="1360">
        <v>99.792000000000016</v>
      </c>
      <c r="CQ157" s="1360">
        <v>99.792000000000016</v>
      </c>
      <c r="CR157" s="1360">
        <v>99.792000000000016</v>
      </c>
      <c r="CS157" s="1362">
        <f t="shared" si="138"/>
        <v>8765.5201137346121</v>
      </c>
      <c r="CT157" s="1362">
        <f t="shared" si="139"/>
        <v>8765.5201137346121</v>
      </c>
      <c r="CU157" s="1362">
        <f t="shared" si="140"/>
        <v>8765.5201137346121</v>
      </c>
      <c r="CV157" s="1362">
        <f t="shared" si="141"/>
        <v>8765.5201137346121</v>
      </c>
      <c r="CW157" s="1362">
        <f t="shared" si="142"/>
        <v>35062.080454938448</v>
      </c>
      <c r="CY157" s="2887"/>
      <c r="DN157" s="1715"/>
    </row>
    <row r="158" spans="1:118" s="1143" customFormat="1" ht="46.5" x14ac:dyDescent="0.35">
      <c r="A158" s="1132" t="s">
        <v>101</v>
      </c>
      <c r="B158" s="1132" t="s">
        <v>601</v>
      </c>
      <c r="C158" s="1132" t="s">
        <v>358</v>
      </c>
      <c r="D158" s="1359" t="s">
        <v>359</v>
      </c>
      <c r="E158" s="1359">
        <v>1</v>
      </c>
      <c r="F158" s="2564" t="s">
        <v>355</v>
      </c>
      <c r="G158" s="1132" t="s">
        <v>356</v>
      </c>
      <c r="H158" s="1360">
        <v>2.3520000000000003</v>
      </c>
      <c r="I158" s="1360">
        <v>2.3520000000000003</v>
      </c>
      <c r="J158" s="1360">
        <v>2.3520000000000003</v>
      </c>
      <c r="K158" s="1360">
        <v>2.3520000000000003</v>
      </c>
      <c r="L158" s="1132" t="s">
        <v>357</v>
      </c>
      <c r="M158" s="1132" t="str">
        <f t="shared" si="104"/>
        <v>Nicor Gas PY11-PY14 Adjustable Goals Template_2025-03-01, Tab 4.4.16</v>
      </c>
      <c r="N158" s="1361">
        <v>762.90491998307095</v>
      </c>
      <c r="O158" s="1361">
        <v>762.90491998307095</v>
      </c>
      <c r="P158" s="1361">
        <v>762.90491998307095</v>
      </c>
      <c r="Q158" s="1361">
        <v>762.90491998307095</v>
      </c>
      <c r="R158" s="1781">
        <v>0.86</v>
      </c>
      <c r="S158" s="1781">
        <v>0.86</v>
      </c>
      <c r="T158" s="1781">
        <v>0.86</v>
      </c>
      <c r="U158" s="1781">
        <v>0.86</v>
      </c>
      <c r="V158" s="1781">
        <v>0.86</v>
      </c>
      <c r="W158" s="1781">
        <v>0.86</v>
      </c>
      <c r="X158" s="1781">
        <v>0.86</v>
      </c>
      <c r="Y158" s="1781">
        <v>0.86</v>
      </c>
      <c r="Z158" s="1359">
        <v>1</v>
      </c>
      <c r="AA158" s="1781">
        <f t="shared" si="105"/>
        <v>0.86</v>
      </c>
      <c r="AB158" s="1781">
        <f t="shared" si="106"/>
        <v>0.86</v>
      </c>
      <c r="AC158" s="1781">
        <f t="shared" si="107"/>
        <v>0.86</v>
      </c>
      <c r="AD158" s="1781">
        <f t="shared" si="108"/>
        <v>0.86</v>
      </c>
      <c r="AE158" s="1781">
        <f t="shared" si="109"/>
        <v>0.86</v>
      </c>
      <c r="AF158" s="1781">
        <f t="shared" si="110"/>
        <v>0.86</v>
      </c>
      <c r="AG158" s="1781">
        <f t="shared" si="111"/>
        <v>0.86</v>
      </c>
      <c r="AH158" s="1781">
        <f t="shared" si="112"/>
        <v>0.86</v>
      </c>
      <c r="AI158" s="1362">
        <f t="shared" si="143"/>
        <v>1543.1430397481574</v>
      </c>
      <c r="AJ158" s="1362">
        <f t="shared" si="144"/>
        <v>1543.1430397481574</v>
      </c>
      <c r="AK158" s="1362">
        <f t="shared" si="145"/>
        <v>1543.1430397481574</v>
      </c>
      <c r="AL158" s="1362">
        <f t="shared" si="146"/>
        <v>1543.1430397481574</v>
      </c>
      <c r="AM158" s="1362">
        <f t="shared" si="147"/>
        <v>6172.5721589926297</v>
      </c>
      <c r="AN158" s="1132" t="str">
        <f t="shared" si="113"/>
        <v>CI-HVC-STRE-V05-180101</v>
      </c>
      <c r="AO158" s="1132" t="str">
        <f t="shared" si="114"/>
        <v>Nicor Gas PY11-PY14 Adjustable Goals Template_2025-03-01, Tab 4.4.16</v>
      </c>
      <c r="AP158" s="2505">
        <f>'4.4.16'!$O$5</f>
        <v>762.90491998307095</v>
      </c>
      <c r="AQ158" s="2505"/>
      <c r="AR158" s="2505">
        <f t="shared" si="115"/>
        <v>1543.1430397481574</v>
      </c>
      <c r="AS158" s="2505">
        <f t="shared" si="116"/>
        <v>0</v>
      </c>
      <c r="AT158" s="1132" t="str">
        <f t="shared" si="117"/>
        <v>CI-HVC-STRE-V05-180101</v>
      </c>
      <c r="AU158" s="1132" t="str">
        <f t="shared" si="118"/>
        <v>Nicor Gas PY11-PY14 Adjustable Goals Template_2025-03-01, Tab 4.4.16</v>
      </c>
      <c r="AV158" s="2505">
        <f>'4.4.16'!$O$5</f>
        <v>762.90491998307095</v>
      </c>
      <c r="AW158" s="2505"/>
      <c r="AX158" s="1362">
        <f t="shared" si="119"/>
        <v>1543.1430397481574</v>
      </c>
      <c r="AY158" s="1360">
        <f t="shared" si="120"/>
        <v>0</v>
      </c>
      <c r="AZ158" s="1132" t="str">
        <f t="shared" si="121"/>
        <v>CI-HVC-STRE-V05-180101</v>
      </c>
      <c r="BA158" s="1132" t="str">
        <f t="shared" si="122"/>
        <v>Nicor Gas PY11-PY14 Adjustable Goals Template_2025-03-01, Tab 4.4.16</v>
      </c>
      <c r="BB158" s="2505">
        <f>'4.4.16'!$O$5</f>
        <v>762.90491998307095</v>
      </c>
      <c r="BC158" s="2505"/>
      <c r="BD158" s="1362">
        <f t="shared" si="123"/>
        <v>1543.1430397481574</v>
      </c>
      <c r="BE158" s="1360">
        <f t="shared" si="124"/>
        <v>0</v>
      </c>
      <c r="BF158" s="1132" t="str">
        <f t="shared" si="125"/>
        <v>CI-HVC-STRE-V05-180101</v>
      </c>
      <c r="BG158" s="1132" t="str">
        <f t="shared" si="126"/>
        <v>Nicor Gas PY11-PY14 Adjustable Goals Template_2025-03-01, Tab 4.4.16</v>
      </c>
      <c r="BH158" s="2505">
        <f>'4.4.16'!$O$5</f>
        <v>762.90491998307095</v>
      </c>
      <c r="BI158" s="2505"/>
      <c r="BJ158" s="1362">
        <f t="shared" si="148"/>
        <v>1543.1430397481574</v>
      </c>
      <c r="BK158" s="1360">
        <f t="shared" si="127"/>
        <v>0</v>
      </c>
      <c r="BL158" s="1601">
        <f t="shared" si="128"/>
        <v>1543.1430397481574</v>
      </c>
      <c r="BM158" s="1601">
        <f t="shared" si="129"/>
        <v>1543.1430397481574</v>
      </c>
      <c r="BN158" s="1601">
        <f t="shared" si="130"/>
        <v>1543.1430397481574</v>
      </c>
      <c r="BO158" s="1601">
        <f t="shared" si="131"/>
        <v>1543.1430397481574</v>
      </c>
      <c r="BP158" s="1602">
        <f t="shared" si="132"/>
        <v>6172.5721589926297</v>
      </c>
      <c r="BQ158" s="1602"/>
      <c r="BR158" s="1602" t="s">
        <v>355</v>
      </c>
      <c r="BS158" s="1602">
        <v>0</v>
      </c>
      <c r="BT158" s="1602">
        <v>6</v>
      </c>
      <c r="BU158" s="1602">
        <v>6</v>
      </c>
      <c r="BV158" s="1602">
        <v>6</v>
      </c>
      <c r="BW158" s="1602">
        <v>6</v>
      </c>
      <c r="BX158" s="1362">
        <f t="shared" si="149"/>
        <v>9258.8582384889451</v>
      </c>
      <c r="BY158" s="1362">
        <f t="shared" si="150"/>
        <v>9258.8582384889451</v>
      </c>
      <c r="BZ158" s="1362">
        <f t="shared" si="151"/>
        <v>9258.8582384889451</v>
      </c>
      <c r="CA158" s="1362">
        <f t="shared" si="152"/>
        <v>9258.8582384889451</v>
      </c>
      <c r="CB158" s="1362">
        <f t="shared" si="153"/>
        <v>37035.43295395578</v>
      </c>
      <c r="CC158" s="1360">
        <v>6</v>
      </c>
      <c r="CD158" s="1360">
        <v>6</v>
      </c>
      <c r="CE158" s="1360">
        <v>6</v>
      </c>
      <c r="CF158" s="1360">
        <v>6</v>
      </c>
      <c r="CG158" s="1604">
        <f t="shared" si="133"/>
        <v>9258.8582384889451</v>
      </c>
      <c r="CH158" s="1604">
        <f t="shared" si="134"/>
        <v>9258.8582384889451</v>
      </c>
      <c r="CI158" s="1604">
        <f t="shared" si="135"/>
        <v>9258.8582384889451</v>
      </c>
      <c r="CJ158" s="1604">
        <f t="shared" si="136"/>
        <v>9258.8582384889451</v>
      </c>
      <c r="CK158" s="1521">
        <f t="shared" si="137"/>
        <v>37035.43295395578</v>
      </c>
      <c r="CL158" s="1132">
        <v>151</v>
      </c>
      <c r="CM158" s="1132" t="s">
        <v>356</v>
      </c>
      <c r="CN158" s="1359">
        <v>0</v>
      </c>
      <c r="CO158" s="1360">
        <v>2.3520000000000003</v>
      </c>
      <c r="CP158" s="1360">
        <v>2.3520000000000003</v>
      </c>
      <c r="CQ158" s="1360">
        <v>2.3520000000000003</v>
      </c>
      <c r="CR158" s="1360">
        <v>2.3520000000000003</v>
      </c>
      <c r="CS158" s="1362">
        <f t="shared" si="138"/>
        <v>1543.1430397481574</v>
      </c>
      <c r="CT158" s="1362">
        <f t="shared" si="139"/>
        <v>1543.1430397481574</v>
      </c>
      <c r="CU158" s="1362">
        <f t="shared" si="140"/>
        <v>1543.1430397481574</v>
      </c>
      <c r="CV158" s="1362">
        <f t="shared" si="141"/>
        <v>1543.1430397481574</v>
      </c>
      <c r="CW158" s="1362">
        <f t="shared" si="142"/>
        <v>6172.5721589926297</v>
      </c>
      <c r="CY158" s="2887"/>
    </row>
    <row r="159" spans="1:118" s="1143" customFormat="1" ht="46.5" x14ac:dyDescent="0.35">
      <c r="A159" s="1132" t="s">
        <v>101</v>
      </c>
      <c r="B159" s="1132" t="s">
        <v>601</v>
      </c>
      <c r="C159" s="1132" t="s">
        <v>360</v>
      </c>
      <c r="D159" s="1359" t="s">
        <v>361</v>
      </c>
      <c r="E159" s="1359">
        <v>1</v>
      </c>
      <c r="F159" s="2564" t="s">
        <v>355</v>
      </c>
      <c r="G159" s="1132" t="s">
        <v>356</v>
      </c>
      <c r="H159" s="1360">
        <v>1.3440000000000001</v>
      </c>
      <c r="I159" s="1360">
        <v>1.3440000000000001</v>
      </c>
      <c r="J159" s="1360">
        <v>1.3440000000000001</v>
      </c>
      <c r="K159" s="1360">
        <v>1.3440000000000001</v>
      </c>
      <c r="L159" s="1132" t="s">
        <v>357</v>
      </c>
      <c r="M159" s="1132" t="str">
        <f t="shared" si="104"/>
        <v>Nicor Gas PY11-PY14 Adjustable Goals Template_2025-03-01, Tab 4.4.16</v>
      </c>
      <c r="N159" s="1361">
        <v>2773.9803407924196</v>
      </c>
      <c r="O159" s="1361">
        <v>2773.9803407924196</v>
      </c>
      <c r="P159" s="1361">
        <v>2773.9803407924196</v>
      </c>
      <c r="Q159" s="1361">
        <v>2773.9803407924196</v>
      </c>
      <c r="R159" s="1781">
        <v>0.86</v>
      </c>
      <c r="S159" s="1781">
        <v>0.86</v>
      </c>
      <c r="T159" s="1781">
        <v>0.86</v>
      </c>
      <c r="U159" s="1781">
        <v>0.86</v>
      </c>
      <c r="V159" s="1781">
        <v>0.86</v>
      </c>
      <c r="W159" s="1781">
        <v>0.86</v>
      </c>
      <c r="X159" s="1781">
        <v>0.86</v>
      </c>
      <c r="Y159" s="1781">
        <v>0.86</v>
      </c>
      <c r="Z159" s="1359">
        <v>1</v>
      </c>
      <c r="AA159" s="1781">
        <f t="shared" si="105"/>
        <v>0.86</v>
      </c>
      <c r="AB159" s="1781">
        <f t="shared" si="106"/>
        <v>0.86</v>
      </c>
      <c r="AC159" s="1781">
        <f t="shared" si="107"/>
        <v>0.86</v>
      </c>
      <c r="AD159" s="1781">
        <f t="shared" si="108"/>
        <v>0.86</v>
      </c>
      <c r="AE159" s="1781">
        <f t="shared" si="109"/>
        <v>0.86</v>
      </c>
      <c r="AF159" s="1781">
        <f t="shared" si="110"/>
        <v>0.86</v>
      </c>
      <c r="AG159" s="1781">
        <f t="shared" si="111"/>
        <v>0.86</v>
      </c>
      <c r="AH159" s="1781">
        <f t="shared" si="112"/>
        <v>0.86</v>
      </c>
      <c r="AI159" s="1362">
        <f t="shared" si="143"/>
        <v>3206.2774371015107</v>
      </c>
      <c r="AJ159" s="1362">
        <f t="shared" si="144"/>
        <v>3206.2774371015107</v>
      </c>
      <c r="AK159" s="1362">
        <f t="shared" si="145"/>
        <v>3206.2774371015107</v>
      </c>
      <c r="AL159" s="1362">
        <f t="shared" si="146"/>
        <v>3206.2774371015107</v>
      </c>
      <c r="AM159" s="1362">
        <f t="shared" si="147"/>
        <v>12825.109748406043</v>
      </c>
      <c r="AN159" s="1132" t="str">
        <f t="shared" si="113"/>
        <v>CI-HVC-STRE-V05-180101</v>
      </c>
      <c r="AO159" s="1132" t="str">
        <f t="shared" si="114"/>
        <v>Nicor Gas PY11-PY14 Adjustable Goals Template_2025-03-01, Tab 4.4.16</v>
      </c>
      <c r="AP159" s="2505">
        <f>'4.4.16'!$O$6</f>
        <v>2773.9803407924196</v>
      </c>
      <c r="AQ159" s="2505"/>
      <c r="AR159" s="2505">
        <f t="shared" si="115"/>
        <v>3206.2774371015107</v>
      </c>
      <c r="AS159" s="2505">
        <f t="shared" si="116"/>
        <v>0</v>
      </c>
      <c r="AT159" s="1132" t="str">
        <f t="shared" si="117"/>
        <v>CI-HVC-STRE-V05-180101</v>
      </c>
      <c r="AU159" s="1132" t="str">
        <f t="shared" si="118"/>
        <v>Nicor Gas PY11-PY14 Adjustable Goals Template_2025-03-01, Tab 4.4.16</v>
      </c>
      <c r="AV159" s="2505">
        <f>'4.4.16'!$O$6</f>
        <v>2773.9803407924196</v>
      </c>
      <c r="AW159" s="2505"/>
      <c r="AX159" s="1362">
        <f t="shared" si="119"/>
        <v>3206.2774371015107</v>
      </c>
      <c r="AY159" s="1360">
        <f t="shared" si="120"/>
        <v>0</v>
      </c>
      <c r="AZ159" s="1132" t="str">
        <f t="shared" si="121"/>
        <v>CI-HVC-STRE-V05-180101</v>
      </c>
      <c r="BA159" s="1132" t="str">
        <f t="shared" si="122"/>
        <v>Nicor Gas PY11-PY14 Adjustable Goals Template_2025-03-01, Tab 4.4.16</v>
      </c>
      <c r="BB159" s="2505">
        <f>'4.4.16'!$O$6</f>
        <v>2773.9803407924196</v>
      </c>
      <c r="BC159" s="2505"/>
      <c r="BD159" s="1362">
        <f t="shared" si="123"/>
        <v>3206.2774371015107</v>
      </c>
      <c r="BE159" s="1360">
        <f t="shared" si="124"/>
        <v>0</v>
      </c>
      <c r="BF159" s="1132" t="str">
        <f t="shared" si="125"/>
        <v>CI-HVC-STRE-V05-180101</v>
      </c>
      <c r="BG159" s="1132" t="str">
        <f t="shared" si="126"/>
        <v>Nicor Gas PY11-PY14 Adjustable Goals Template_2025-03-01, Tab 4.4.16</v>
      </c>
      <c r="BH159" s="2505">
        <f>'4.4.16'!$O$6</f>
        <v>2773.9803407924196</v>
      </c>
      <c r="BI159" s="2505"/>
      <c r="BJ159" s="1362">
        <f t="shared" si="148"/>
        <v>3206.2774371015107</v>
      </c>
      <c r="BK159" s="1360">
        <f t="shared" si="127"/>
        <v>0</v>
      </c>
      <c r="BL159" s="1601">
        <f t="shared" si="128"/>
        <v>3206.2774371015107</v>
      </c>
      <c r="BM159" s="1601">
        <f t="shared" si="129"/>
        <v>3206.2774371015107</v>
      </c>
      <c r="BN159" s="1601">
        <f t="shared" si="130"/>
        <v>3206.2774371015107</v>
      </c>
      <c r="BO159" s="1601">
        <f t="shared" si="131"/>
        <v>3206.2774371015107</v>
      </c>
      <c r="BP159" s="1602">
        <f t="shared" si="132"/>
        <v>12825.109748406043</v>
      </c>
      <c r="BQ159" s="1602"/>
      <c r="BR159" s="1602" t="s">
        <v>355</v>
      </c>
      <c r="BS159" s="1602">
        <v>0</v>
      </c>
      <c r="BT159" s="1602">
        <v>6</v>
      </c>
      <c r="BU159" s="1602">
        <v>6</v>
      </c>
      <c r="BV159" s="1602">
        <v>6</v>
      </c>
      <c r="BW159" s="1602">
        <v>6</v>
      </c>
      <c r="BX159" s="1362">
        <f t="shared" si="149"/>
        <v>19237.664622609063</v>
      </c>
      <c r="BY159" s="1362">
        <f t="shared" si="150"/>
        <v>19237.664622609063</v>
      </c>
      <c r="BZ159" s="1362">
        <f t="shared" si="151"/>
        <v>19237.664622609063</v>
      </c>
      <c r="CA159" s="1362">
        <f t="shared" si="152"/>
        <v>19237.664622609063</v>
      </c>
      <c r="CB159" s="1362">
        <f t="shared" si="153"/>
        <v>76950.658490436253</v>
      </c>
      <c r="CC159" s="1360">
        <v>6</v>
      </c>
      <c r="CD159" s="1360">
        <v>6</v>
      </c>
      <c r="CE159" s="1360">
        <v>6</v>
      </c>
      <c r="CF159" s="1360">
        <v>6</v>
      </c>
      <c r="CG159" s="1604">
        <f t="shared" si="133"/>
        <v>19237.66462260906</v>
      </c>
      <c r="CH159" s="1604">
        <f t="shared" si="134"/>
        <v>19237.66462260906</v>
      </c>
      <c r="CI159" s="1604">
        <f t="shared" si="135"/>
        <v>19237.66462260906</v>
      </c>
      <c r="CJ159" s="1604">
        <f t="shared" si="136"/>
        <v>19237.66462260906</v>
      </c>
      <c r="CK159" s="1521">
        <f t="shared" si="137"/>
        <v>76950.658490436239</v>
      </c>
      <c r="CL159" s="1132">
        <v>152</v>
      </c>
      <c r="CM159" s="1132" t="s">
        <v>356</v>
      </c>
      <c r="CN159" s="1359">
        <v>0</v>
      </c>
      <c r="CO159" s="1360">
        <v>1.3440000000000001</v>
      </c>
      <c r="CP159" s="1360">
        <v>1.3440000000000001</v>
      </c>
      <c r="CQ159" s="1360">
        <v>1.3440000000000001</v>
      </c>
      <c r="CR159" s="1360">
        <v>1.3440000000000001</v>
      </c>
      <c r="CS159" s="1362">
        <f t="shared" si="138"/>
        <v>3206.2774371015107</v>
      </c>
      <c r="CT159" s="1362">
        <f t="shared" si="139"/>
        <v>3206.2774371015107</v>
      </c>
      <c r="CU159" s="1362">
        <f t="shared" si="140"/>
        <v>3206.2774371015107</v>
      </c>
      <c r="CV159" s="1362">
        <f t="shared" si="141"/>
        <v>3206.2774371015107</v>
      </c>
      <c r="CW159" s="1362">
        <f t="shared" si="142"/>
        <v>12825.109748406043</v>
      </c>
      <c r="CY159" s="2887"/>
    </row>
    <row r="160" spans="1:118" s="1143" customFormat="1" ht="46.5" x14ac:dyDescent="0.35">
      <c r="A160" s="1132" t="s">
        <v>101</v>
      </c>
      <c r="B160" s="1132" t="s">
        <v>601</v>
      </c>
      <c r="C160" s="1132" t="s">
        <v>362</v>
      </c>
      <c r="D160" s="1359" t="s">
        <v>363</v>
      </c>
      <c r="E160" s="1359">
        <v>1</v>
      </c>
      <c r="F160" s="2564" t="s">
        <v>355</v>
      </c>
      <c r="G160" s="1132" t="s">
        <v>356</v>
      </c>
      <c r="H160" s="1360">
        <v>0.67200000000000004</v>
      </c>
      <c r="I160" s="1360">
        <v>0.67200000000000004</v>
      </c>
      <c r="J160" s="1360">
        <v>0.67200000000000004</v>
      </c>
      <c r="K160" s="1360">
        <v>0.67200000000000004</v>
      </c>
      <c r="L160" s="1132" t="s">
        <v>357</v>
      </c>
      <c r="M160" s="1132" t="str">
        <f t="shared" si="104"/>
        <v>Nicor Gas PY11-PY14 Adjustable Goals Template_2025-03-01, Tab 4.4.16</v>
      </c>
      <c r="N160" s="1361">
        <v>5256.3081214778895</v>
      </c>
      <c r="O160" s="1361">
        <v>5256.3081214778895</v>
      </c>
      <c r="P160" s="1361">
        <v>5256.3081214778895</v>
      </c>
      <c r="Q160" s="1361">
        <v>5256.3081214778895</v>
      </c>
      <c r="R160" s="1781">
        <v>0.86</v>
      </c>
      <c r="S160" s="1781">
        <v>0.86</v>
      </c>
      <c r="T160" s="1781">
        <v>0.86</v>
      </c>
      <c r="U160" s="1781">
        <v>0.86</v>
      </c>
      <c r="V160" s="1781">
        <v>0.86</v>
      </c>
      <c r="W160" s="1781">
        <v>0.86</v>
      </c>
      <c r="X160" s="1781">
        <v>0.86</v>
      </c>
      <c r="Y160" s="1781">
        <v>0.86</v>
      </c>
      <c r="Z160" s="1359">
        <v>1</v>
      </c>
      <c r="AA160" s="1781">
        <f t="shared" si="105"/>
        <v>0.86</v>
      </c>
      <c r="AB160" s="1781">
        <f t="shared" si="106"/>
        <v>0.86</v>
      </c>
      <c r="AC160" s="1781">
        <f t="shared" si="107"/>
        <v>0.86</v>
      </c>
      <c r="AD160" s="1781">
        <f t="shared" si="108"/>
        <v>0.86</v>
      </c>
      <c r="AE160" s="1781">
        <f t="shared" si="109"/>
        <v>0.86</v>
      </c>
      <c r="AF160" s="1781">
        <f t="shared" si="110"/>
        <v>0.86</v>
      </c>
      <c r="AG160" s="1781">
        <f t="shared" si="111"/>
        <v>0.86</v>
      </c>
      <c r="AH160" s="1781">
        <f t="shared" si="112"/>
        <v>0.86</v>
      </c>
      <c r="AI160" s="1362">
        <f t="shared" si="143"/>
        <v>3037.7255895645017</v>
      </c>
      <c r="AJ160" s="1362">
        <f t="shared" si="144"/>
        <v>3037.7255895645017</v>
      </c>
      <c r="AK160" s="1362">
        <f t="shared" si="145"/>
        <v>3037.7255895645017</v>
      </c>
      <c r="AL160" s="1362">
        <f t="shared" si="146"/>
        <v>3037.7255895645017</v>
      </c>
      <c r="AM160" s="1362">
        <f t="shared" si="147"/>
        <v>12150.902358258007</v>
      </c>
      <c r="AN160" s="1132" t="str">
        <f t="shared" si="113"/>
        <v>CI-HVC-STRE-V05-180101</v>
      </c>
      <c r="AO160" s="1132" t="str">
        <f t="shared" si="114"/>
        <v>Nicor Gas PY11-PY14 Adjustable Goals Template_2025-03-01, Tab 4.4.16</v>
      </c>
      <c r="AP160" s="2505">
        <f>'4.4.16'!$O$7</f>
        <v>5256.3081214778895</v>
      </c>
      <c r="AQ160" s="2505"/>
      <c r="AR160" s="2505">
        <f t="shared" si="115"/>
        <v>3037.7255895645017</v>
      </c>
      <c r="AS160" s="2505">
        <f t="shared" si="116"/>
        <v>0</v>
      </c>
      <c r="AT160" s="1132" t="str">
        <f t="shared" si="117"/>
        <v>CI-HVC-STRE-V05-180101</v>
      </c>
      <c r="AU160" s="1132" t="str">
        <f t="shared" si="118"/>
        <v>Nicor Gas PY11-PY14 Adjustable Goals Template_2025-03-01, Tab 4.4.16</v>
      </c>
      <c r="AV160" s="2505">
        <f>'4.4.16'!$O$7</f>
        <v>5256.3081214778895</v>
      </c>
      <c r="AW160" s="2505"/>
      <c r="AX160" s="1362">
        <f t="shared" si="119"/>
        <v>3037.7255895645017</v>
      </c>
      <c r="AY160" s="1360">
        <f t="shared" si="120"/>
        <v>0</v>
      </c>
      <c r="AZ160" s="1132" t="str">
        <f t="shared" si="121"/>
        <v>CI-HVC-STRE-V05-180101</v>
      </c>
      <c r="BA160" s="1132" t="str">
        <f t="shared" si="122"/>
        <v>Nicor Gas PY11-PY14 Adjustable Goals Template_2025-03-01, Tab 4.4.16</v>
      </c>
      <c r="BB160" s="2505">
        <f>'4.4.16'!$O$7</f>
        <v>5256.3081214778895</v>
      </c>
      <c r="BC160" s="2505"/>
      <c r="BD160" s="1362">
        <f t="shared" si="123"/>
        <v>3037.7255895645017</v>
      </c>
      <c r="BE160" s="1360">
        <f t="shared" si="124"/>
        <v>0</v>
      </c>
      <c r="BF160" s="1132" t="str">
        <f t="shared" si="125"/>
        <v>CI-HVC-STRE-V05-180101</v>
      </c>
      <c r="BG160" s="1132" t="str">
        <f t="shared" si="126"/>
        <v>Nicor Gas PY11-PY14 Adjustable Goals Template_2025-03-01, Tab 4.4.16</v>
      </c>
      <c r="BH160" s="2505">
        <f>'4.4.16'!$O$7</f>
        <v>5256.3081214778895</v>
      </c>
      <c r="BI160" s="2505"/>
      <c r="BJ160" s="1362">
        <f t="shared" si="148"/>
        <v>3037.7255895645017</v>
      </c>
      <c r="BK160" s="1360">
        <f t="shared" si="127"/>
        <v>0</v>
      </c>
      <c r="BL160" s="1601">
        <f t="shared" si="128"/>
        <v>3037.7255895645017</v>
      </c>
      <c r="BM160" s="1601">
        <f t="shared" si="129"/>
        <v>3037.7255895645017</v>
      </c>
      <c r="BN160" s="1601">
        <f t="shared" si="130"/>
        <v>3037.7255895645017</v>
      </c>
      <c r="BO160" s="1601">
        <f t="shared" si="131"/>
        <v>3037.7255895645017</v>
      </c>
      <c r="BP160" s="1602">
        <f t="shared" si="132"/>
        <v>12150.902358258007</v>
      </c>
      <c r="BQ160" s="1602"/>
      <c r="BR160" s="1602" t="s">
        <v>355</v>
      </c>
      <c r="BS160" s="1602">
        <v>0</v>
      </c>
      <c r="BT160" s="1602">
        <v>6</v>
      </c>
      <c r="BU160" s="1602">
        <v>6</v>
      </c>
      <c r="BV160" s="1602">
        <v>6</v>
      </c>
      <c r="BW160" s="1602">
        <v>6</v>
      </c>
      <c r="BX160" s="1362">
        <f t="shared" si="149"/>
        <v>18226.353537387011</v>
      </c>
      <c r="BY160" s="1362">
        <f t="shared" si="150"/>
        <v>18226.353537387011</v>
      </c>
      <c r="BZ160" s="1362">
        <f t="shared" si="151"/>
        <v>18226.353537387011</v>
      </c>
      <c r="CA160" s="1362">
        <f t="shared" si="152"/>
        <v>18226.353537387011</v>
      </c>
      <c r="CB160" s="1362">
        <f t="shared" si="153"/>
        <v>72905.414149548043</v>
      </c>
      <c r="CC160" s="1360">
        <v>6</v>
      </c>
      <c r="CD160" s="1360">
        <v>6</v>
      </c>
      <c r="CE160" s="1360">
        <v>6</v>
      </c>
      <c r="CF160" s="1360">
        <v>6</v>
      </c>
      <c r="CG160" s="1604">
        <f t="shared" si="133"/>
        <v>18226.353537387011</v>
      </c>
      <c r="CH160" s="1604">
        <f t="shared" si="134"/>
        <v>18226.353537387011</v>
      </c>
      <c r="CI160" s="1604">
        <f t="shared" si="135"/>
        <v>18226.353537387011</v>
      </c>
      <c r="CJ160" s="1604">
        <f t="shared" si="136"/>
        <v>18226.353537387011</v>
      </c>
      <c r="CK160" s="1521">
        <f t="shared" si="137"/>
        <v>72905.414149548043</v>
      </c>
      <c r="CL160" s="1132">
        <v>153</v>
      </c>
      <c r="CM160" s="1132" t="s">
        <v>356</v>
      </c>
      <c r="CN160" s="1359">
        <v>0</v>
      </c>
      <c r="CO160" s="1360">
        <v>0.67200000000000004</v>
      </c>
      <c r="CP160" s="1360">
        <v>0.67200000000000004</v>
      </c>
      <c r="CQ160" s="1360">
        <v>0.67200000000000004</v>
      </c>
      <c r="CR160" s="1360">
        <v>0.67200000000000004</v>
      </c>
      <c r="CS160" s="1362">
        <f t="shared" si="138"/>
        <v>3037.7255895645017</v>
      </c>
      <c r="CT160" s="1362">
        <f t="shared" si="139"/>
        <v>3037.7255895645017</v>
      </c>
      <c r="CU160" s="1362">
        <f t="shared" si="140"/>
        <v>3037.7255895645017</v>
      </c>
      <c r="CV160" s="1362">
        <f t="shared" si="141"/>
        <v>3037.7255895645017</v>
      </c>
      <c r="CW160" s="1362">
        <f t="shared" si="142"/>
        <v>12150.902358258007</v>
      </c>
      <c r="CY160" s="2887"/>
    </row>
    <row r="161" spans="1:103" s="1143" customFormat="1" ht="15" customHeight="1" x14ac:dyDescent="0.35">
      <c r="A161" s="1132" t="s">
        <v>101</v>
      </c>
      <c r="B161" s="1132" t="s">
        <v>601</v>
      </c>
      <c r="C161" s="1132" t="s">
        <v>364</v>
      </c>
      <c r="D161" s="1359" t="s">
        <v>365</v>
      </c>
      <c r="E161" s="1359">
        <v>1</v>
      </c>
      <c r="F161" s="2564" t="s">
        <v>355</v>
      </c>
      <c r="G161" s="1132" t="s">
        <v>356</v>
      </c>
      <c r="H161" s="1360">
        <v>3.6960000000000002</v>
      </c>
      <c r="I161" s="1360">
        <v>3.6960000000000002</v>
      </c>
      <c r="J161" s="1360">
        <v>3.6960000000000002</v>
      </c>
      <c r="K161" s="1360">
        <v>3.6960000000000002</v>
      </c>
      <c r="L161" s="1132" t="s">
        <v>357</v>
      </c>
      <c r="M161" s="1132" t="str">
        <f t="shared" si="104"/>
        <v>Nicor Gas PY11-PY14 Adjustable Goals Template_2025-03-01, Tab 4.4.16</v>
      </c>
      <c r="N161" s="1361">
        <v>7330.5589709869309</v>
      </c>
      <c r="O161" s="1361">
        <v>7330.5589709869309</v>
      </c>
      <c r="P161" s="1361">
        <v>7330.5589709869309</v>
      </c>
      <c r="Q161" s="1361">
        <v>7330.5589709869309</v>
      </c>
      <c r="R161" s="1781">
        <v>0.86</v>
      </c>
      <c r="S161" s="1781">
        <v>0.86</v>
      </c>
      <c r="T161" s="1781">
        <v>0.86</v>
      </c>
      <c r="U161" s="1781">
        <v>0.86</v>
      </c>
      <c r="V161" s="1781">
        <v>0.86</v>
      </c>
      <c r="W161" s="1781">
        <v>0.86</v>
      </c>
      <c r="X161" s="1781">
        <v>0.86</v>
      </c>
      <c r="Y161" s="1781">
        <v>0.86</v>
      </c>
      <c r="Z161" s="1359">
        <v>1</v>
      </c>
      <c r="AA161" s="1781">
        <f t="shared" si="105"/>
        <v>0.86</v>
      </c>
      <c r="AB161" s="1781">
        <f t="shared" si="106"/>
        <v>0.86</v>
      </c>
      <c r="AC161" s="1781">
        <f t="shared" si="107"/>
        <v>0.86</v>
      </c>
      <c r="AD161" s="1781">
        <f t="shared" si="108"/>
        <v>0.86</v>
      </c>
      <c r="AE161" s="1781">
        <f t="shared" si="109"/>
        <v>0.86</v>
      </c>
      <c r="AF161" s="1781">
        <f t="shared" si="110"/>
        <v>0.86</v>
      </c>
      <c r="AG161" s="1781">
        <f t="shared" si="111"/>
        <v>0.86</v>
      </c>
      <c r="AH161" s="1781">
        <f t="shared" si="112"/>
        <v>0.86</v>
      </c>
      <c r="AI161" s="1362">
        <f t="shared" si="143"/>
        <v>23300.62152282022</v>
      </c>
      <c r="AJ161" s="1362">
        <f t="shared" si="144"/>
        <v>23300.62152282022</v>
      </c>
      <c r="AK161" s="1362">
        <f t="shared" si="145"/>
        <v>23300.62152282022</v>
      </c>
      <c r="AL161" s="1362">
        <f t="shared" si="146"/>
        <v>23300.62152282022</v>
      </c>
      <c r="AM161" s="1362">
        <f t="shared" si="147"/>
        <v>93202.48609128088</v>
      </c>
      <c r="AN161" s="1132" t="str">
        <f t="shared" si="113"/>
        <v>CI-HVC-STRE-V05-180101</v>
      </c>
      <c r="AO161" s="1132" t="str">
        <f t="shared" si="114"/>
        <v>Nicor Gas PY11-PY14 Adjustable Goals Template_2025-03-01, Tab 4.4.16</v>
      </c>
      <c r="AP161" s="2505">
        <f>'4.4.16'!$O$8</f>
        <v>7330.5589709869309</v>
      </c>
      <c r="AQ161" s="2505"/>
      <c r="AR161" s="2505">
        <f t="shared" si="115"/>
        <v>23300.62152282022</v>
      </c>
      <c r="AS161" s="2505">
        <f t="shared" si="116"/>
        <v>0</v>
      </c>
      <c r="AT161" s="1132" t="str">
        <f t="shared" si="117"/>
        <v>CI-HVC-STRE-V05-180101</v>
      </c>
      <c r="AU161" s="1132" t="str">
        <f t="shared" si="118"/>
        <v>Nicor Gas PY11-PY14 Adjustable Goals Template_2025-03-01, Tab 4.4.16</v>
      </c>
      <c r="AV161" s="2505">
        <f>'4.4.16'!$O$8</f>
        <v>7330.5589709869309</v>
      </c>
      <c r="AW161" s="2505"/>
      <c r="AX161" s="1362">
        <f t="shared" si="119"/>
        <v>23300.62152282022</v>
      </c>
      <c r="AY161" s="1360">
        <f t="shared" si="120"/>
        <v>0</v>
      </c>
      <c r="AZ161" s="1132" t="str">
        <f t="shared" si="121"/>
        <v>CI-HVC-STRE-V05-180101</v>
      </c>
      <c r="BA161" s="1132" t="str">
        <f t="shared" si="122"/>
        <v>Nicor Gas PY11-PY14 Adjustable Goals Template_2025-03-01, Tab 4.4.16</v>
      </c>
      <c r="BB161" s="2505">
        <f>'4.4.16'!$O$8</f>
        <v>7330.5589709869309</v>
      </c>
      <c r="BC161" s="2505"/>
      <c r="BD161" s="1362">
        <f t="shared" si="123"/>
        <v>23300.62152282022</v>
      </c>
      <c r="BE161" s="1360">
        <f t="shared" si="124"/>
        <v>0</v>
      </c>
      <c r="BF161" s="1132" t="str">
        <f t="shared" si="125"/>
        <v>CI-HVC-STRE-V05-180101</v>
      </c>
      <c r="BG161" s="1132" t="str">
        <f t="shared" si="126"/>
        <v>Nicor Gas PY11-PY14 Adjustable Goals Template_2025-03-01, Tab 4.4.16</v>
      </c>
      <c r="BH161" s="2505">
        <f>'4.4.16'!$O$8</f>
        <v>7330.5589709869309</v>
      </c>
      <c r="BI161" s="2505"/>
      <c r="BJ161" s="1362">
        <f t="shared" si="148"/>
        <v>23300.62152282022</v>
      </c>
      <c r="BK161" s="1360">
        <f t="shared" si="127"/>
        <v>0</v>
      </c>
      <c r="BL161" s="1601">
        <f t="shared" si="128"/>
        <v>23300.62152282022</v>
      </c>
      <c r="BM161" s="1601">
        <f t="shared" si="129"/>
        <v>23300.62152282022</v>
      </c>
      <c r="BN161" s="1601">
        <f t="shared" si="130"/>
        <v>23300.62152282022</v>
      </c>
      <c r="BO161" s="1601">
        <f t="shared" si="131"/>
        <v>23300.62152282022</v>
      </c>
      <c r="BP161" s="1602">
        <f t="shared" si="132"/>
        <v>93202.48609128088</v>
      </c>
      <c r="BQ161" s="1602"/>
      <c r="BR161" s="1602" t="s">
        <v>355</v>
      </c>
      <c r="BS161" s="1602">
        <v>0</v>
      </c>
      <c r="BT161" s="1602">
        <v>6</v>
      </c>
      <c r="BU161" s="1602">
        <v>6</v>
      </c>
      <c r="BV161" s="1602">
        <v>6</v>
      </c>
      <c r="BW161" s="1602">
        <v>6</v>
      </c>
      <c r="BX161" s="1362">
        <f t="shared" si="149"/>
        <v>139803.72913692132</v>
      </c>
      <c r="BY161" s="1362">
        <f t="shared" si="150"/>
        <v>139803.72913692132</v>
      </c>
      <c r="BZ161" s="1362">
        <f t="shared" si="151"/>
        <v>139803.72913692132</v>
      </c>
      <c r="CA161" s="1362">
        <f t="shared" si="152"/>
        <v>139803.72913692132</v>
      </c>
      <c r="CB161" s="1362">
        <f t="shared" si="153"/>
        <v>559214.91654768528</v>
      </c>
      <c r="CC161" s="1360">
        <v>6</v>
      </c>
      <c r="CD161" s="1360">
        <v>6</v>
      </c>
      <c r="CE161" s="1360">
        <v>6</v>
      </c>
      <c r="CF161" s="1360">
        <v>6</v>
      </c>
      <c r="CG161" s="1604">
        <f t="shared" si="133"/>
        <v>139803.72913692132</v>
      </c>
      <c r="CH161" s="1604">
        <f t="shared" si="134"/>
        <v>139803.72913692132</v>
      </c>
      <c r="CI161" s="1604">
        <f t="shared" si="135"/>
        <v>139803.72913692132</v>
      </c>
      <c r="CJ161" s="1604">
        <f t="shared" si="136"/>
        <v>139803.72913692132</v>
      </c>
      <c r="CK161" s="1521">
        <f t="shared" si="137"/>
        <v>559214.91654768528</v>
      </c>
      <c r="CL161" s="1132">
        <v>154</v>
      </c>
      <c r="CM161" s="1132" t="s">
        <v>356</v>
      </c>
      <c r="CN161" s="1359">
        <v>0</v>
      </c>
      <c r="CO161" s="1360">
        <v>3.6960000000000002</v>
      </c>
      <c r="CP161" s="1360">
        <v>3.6960000000000002</v>
      </c>
      <c r="CQ161" s="1360">
        <v>3.6960000000000002</v>
      </c>
      <c r="CR161" s="1360">
        <v>3.6960000000000002</v>
      </c>
      <c r="CS161" s="1362">
        <f t="shared" si="138"/>
        <v>23300.62152282022</v>
      </c>
      <c r="CT161" s="1362">
        <f t="shared" si="139"/>
        <v>23300.62152282022</v>
      </c>
      <c r="CU161" s="1362">
        <f t="shared" si="140"/>
        <v>23300.62152282022</v>
      </c>
      <c r="CV161" s="1362">
        <f t="shared" si="141"/>
        <v>23300.62152282022</v>
      </c>
      <c r="CW161" s="1362">
        <f t="shared" si="142"/>
        <v>93202.48609128088</v>
      </c>
      <c r="CY161" s="2887"/>
    </row>
    <row r="162" spans="1:103" s="1143" customFormat="1" ht="15.5" x14ac:dyDescent="0.35">
      <c r="A162" s="1132" t="s">
        <v>101</v>
      </c>
      <c r="B162" s="1132" t="s">
        <v>601</v>
      </c>
      <c r="C162" s="1132" t="s">
        <v>547</v>
      </c>
      <c r="D162" s="1359" t="s">
        <v>105</v>
      </c>
      <c r="E162" s="1359">
        <f>IF(AI162-AR162=0,0,1)</f>
        <v>0</v>
      </c>
      <c r="F162" s="1132" t="s">
        <v>105</v>
      </c>
      <c r="G162" s="1132" t="s">
        <v>356</v>
      </c>
      <c r="H162" s="1360">
        <v>13.104000000000001</v>
      </c>
      <c r="I162" s="1360">
        <v>13.104000000000001</v>
      </c>
      <c r="J162" s="1360">
        <v>13.104000000000001</v>
      </c>
      <c r="K162" s="1360">
        <v>13.104000000000001</v>
      </c>
      <c r="L162" s="1132" t="s">
        <v>105</v>
      </c>
      <c r="M162" s="1132" t="str">
        <f t="shared" si="104"/>
        <v/>
      </c>
      <c r="N162" s="1361">
        <v>0</v>
      </c>
      <c r="O162" s="1361">
        <v>0</v>
      </c>
      <c r="P162" s="1361">
        <v>0</v>
      </c>
      <c r="Q162" s="1361">
        <v>0</v>
      </c>
      <c r="R162" s="1781">
        <v>0.86</v>
      </c>
      <c r="S162" s="1781">
        <v>0.86</v>
      </c>
      <c r="T162" s="1781">
        <v>0.86</v>
      </c>
      <c r="U162" s="1781">
        <v>0.86</v>
      </c>
      <c r="V162" s="1781">
        <v>0.86</v>
      </c>
      <c r="W162" s="1781">
        <v>0.86</v>
      </c>
      <c r="X162" s="1781">
        <v>0.86</v>
      </c>
      <c r="Y162" s="1781">
        <v>0.86</v>
      </c>
      <c r="Z162" s="1359">
        <v>1</v>
      </c>
      <c r="AA162" s="1781">
        <f t="shared" si="105"/>
        <v>0.86</v>
      </c>
      <c r="AB162" s="1781">
        <f t="shared" si="106"/>
        <v>0.86</v>
      </c>
      <c r="AC162" s="1781">
        <f t="shared" si="107"/>
        <v>0.86</v>
      </c>
      <c r="AD162" s="1781">
        <f t="shared" si="108"/>
        <v>0.86</v>
      </c>
      <c r="AE162" s="1781">
        <f t="shared" si="109"/>
        <v>0.86</v>
      </c>
      <c r="AF162" s="1781">
        <f t="shared" si="110"/>
        <v>0.86</v>
      </c>
      <c r="AG162" s="1781">
        <f t="shared" si="111"/>
        <v>0.86</v>
      </c>
      <c r="AH162" s="1781">
        <f t="shared" si="112"/>
        <v>0.86</v>
      </c>
      <c r="AI162" s="1362">
        <f t="shared" si="143"/>
        <v>0</v>
      </c>
      <c r="AJ162" s="1362">
        <f t="shared" si="144"/>
        <v>0</v>
      </c>
      <c r="AK162" s="1362">
        <f t="shared" si="145"/>
        <v>0</v>
      </c>
      <c r="AL162" s="1362">
        <f t="shared" si="146"/>
        <v>0</v>
      </c>
      <c r="AM162" s="1362">
        <f t="shared" si="147"/>
        <v>0</v>
      </c>
      <c r="AN162" s="1132" t="str">
        <f t="shared" si="113"/>
        <v>Custom</v>
      </c>
      <c r="AO162" s="1132" t="str">
        <f t="shared" si="114"/>
        <v/>
      </c>
      <c r="AP162" s="2505">
        <v>0</v>
      </c>
      <c r="AQ162" s="2505"/>
      <c r="AR162" s="2505">
        <f t="shared" si="115"/>
        <v>0</v>
      </c>
      <c r="AS162" s="2505">
        <f t="shared" si="116"/>
        <v>0</v>
      </c>
      <c r="AT162" s="1132" t="str">
        <f t="shared" si="117"/>
        <v>Custom</v>
      </c>
      <c r="AU162" s="1132" t="str">
        <f t="shared" si="118"/>
        <v/>
      </c>
      <c r="AV162" s="2505">
        <v>0</v>
      </c>
      <c r="AW162" s="2505"/>
      <c r="AX162" s="1362">
        <f t="shared" si="119"/>
        <v>0</v>
      </c>
      <c r="AY162" s="1360">
        <f t="shared" si="120"/>
        <v>0</v>
      </c>
      <c r="AZ162" s="1132" t="str">
        <f t="shared" si="121"/>
        <v>Custom</v>
      </c>
      <c r="BA162" s="1132" t="str">
        <f t="shared" si="122"/>
        <v/>
      </c>
      <c r="BB162" s="2505">
        <v>0</v>
      </c>
      <c r="BC162" s="2505"/>
      <c r="BD162" s="1362">
        <f t="shared" si="123"/>
        <v>0</v>
      </c>
      <c r="BE162" s="1360">
        <f t="shared" si="124"/>
        <v>0</v>
      </c>
      <c r="BF162" s="1132" t="str">
        <f t="shared" si="125"/>
        <v>Custom</v>
      </c>
      <c r="BG162" s="1132" t="str">
        <f t="shared" si="126"/>
        <v/>
      </c>
      <c r="BH162" s="2505">
        <v>0</v>
      </c>
      <c r="BI162" s="2505"/>
      <c r="BJ162" s="1362">
        <f t="shared" si="148"/>
        <v>0</v>
      </c>
      <c r="BK162" s="1360">
        <f t="shared" si="127"/>
        <v>0</v>
      </c>
      <c r="BL162" s="1601">
        <f t="shared" si="128"/>
        <v>0</v>
      </c>
      <c r="BM162" s="1601">
        <f t="shared" si="129"/>
        <v>0</v>
      </c>
      <c r="BN162" s="1601">
        <f t="shared" si="130"/>
        <v>0</v>
      </c>
      <c r="BO162" s="1601">
        <f t="shared" si="131"/>
        <v>0</v>
      </c>
      <c r="BP162" s="1602">
        <f t="shared" si="132"/>
        <v>0</v>
      </c>
      <c r="BQ162" s="1602"/>
      <c r="BR162" s="1602"/>
      <c r="BS162" s="1602">
        <v>0</v>
      </c>
      <c r="BT162" s="1602">
        <v>0</v>
      </c>
      <c r="BU162" s="1602">
        <v>0</v>
      </c>
      <c r="BV162" s="1602">
        <v>0</v>
      </c>
      <c r="BW162" s="1602">
        <v>0</v>
      </c>
      <c r="BX162" s="1362">
        <f t="shared" si="149"/>
        <v>0</v>
      </c>
      <c r="BY162" s="1362">
        <f t="shared" si="150"/>
        <v>0</v>
      </c>
      <c r="BZ162" s="1362">
        <f t="shared" si="151"/>
        <v>0</v>
      </c>
      <c r="CA162" s="1362">
        <f t="shared" si="152"/>
        <v>0</v>
      </c>
      <c r="CB162" s="1362">
        <f t="shared" si="153"/>
        <v>0</v>
      </c>
      <c r="CC162" s="1360">
        <v>0</v>
      </c>
      <c r="CD162" s="1360">
        <v>0</v>
      </c>
      <c r="CE162" s="1360">
        <v>0</v>
      </c>
      <c r="CF162" s="1360">
        <v>0</v>
      </c>
      <c r="CG162" s="1604">
        <f t="shared" si="133"/>
        <v>0</v>
      </c>
      <c r="CH162" s="1604">
        <f t="shared" si="134"/>
        <v>0</v>
      </c>
      <c r="CI162" s="1604">
        <f t="shared" si="135"/>
        <v>0</v>
      </c>
      <c r="CJ162" s="1604">
        <f t="shared" si="136"/>
        <v>0</v>
      </c>
      <c r="CK162" s="1521">
        <f t="shared" si="137"/>
        <v>0</v>
      </c>
      <c r="CL162" s="1132">
        <v>155</v>
      </c>
      <c r="CM162" s="1132" t="s">
        <v>356</v>
      </c>
      <c r="CN162" s="1359">
        <v>0</v>
      </c>
      <c r="CO162" s="1360">
        <v>13.104000000000001</v>
      </c>
      <c r="CP162" s="1360">
        <v>13.104000000000001</v>
      </c>
      <c r="CQ162" s="1360">
        <v>13.104000000000001</v>
      </c>
      <c r="CR162" s="1360">
        <v>13.104000000000001</v>
      </c>
      <c r="CS162" s="1362">
        <f t="shared" si="138"/>
        <v>0</v>
      </c>
      <c r="CT162" s="1362">
        <f t="shared" si="139"/>
        <v>0</v>
      </c>
      <c r="CU162" s="1362">
        <f t="shared" si="140"/>
        <v>0</v>
      </c>
      <c r="CV162" s="1362">
        <f t="shared" si="141"/>
        <v>0</v>
      </c>
      <c r="CW162" s="1362">
        <f t="shared" si="142"/>
        <v>0</v>
      </c>
      <c r="CY162" s="2887"/>
    </row>
    <row r="163" spans="1:103" s="1143" customFormat="1" ht="15.5" x14ac:dyDescent="0.35">
      <c r="A163" s="1132" t="s">
        <v>101</v>
      </c>
      <c r="B163" s="1132" t="s">
        <v>601</v>
      </c>
      <c r="C163" s="1132" t="s">
        <v>548</v>
      </c>
      <c r="D163" s="1359" t="s">
        <v>105</v>
      </c>
      <c r="E163" s="1359">
        <f>IF(AI163-AR163=0,0,1)</f>
        <v>0</v>
      </c>
      <c r="F163" s="1132" t="s">
        <v>105</v>
      </c>
      <c r="G163" s="1132" t="s">
        <v>356</v>
      </c>
      <c r="H163" s="1360">
        <v>15.120000000000001</v>
      </c>
      <c r="I163" s="1360">
        <v>15.120000000000001</v>
      </c>
      <c r="J163" s="1360">
        <v>15.120000000000001</v>
      </c>
      <c r="K163" s="1360">
        <v>15.120000000000001</v>
      </c>
      <c r="L163" s="1132" t="s">
        <v>105</v>
      </c>
      <c r="M163" s="1132" t="str">
        <f t="shared" si="104"/>
        <v/>
      </c>
      <c r="N163" s="1361">
        <v>0</v>
      </c>
      <c r="O163" s="1361">
        <v>0</v>
      </c>
      <c r="P163" s="1361">
        <v>0</v>
      </c>
      <c r="Q163" s="1361">
        <v>0</v>
      </c>
      <c r="R163" s="1781">
        <v>0.86</v>
      </c>
      <c r="S163" s="1781">
        <v>0.86</v>
      </c>
      <c r="T163" s="1781">
        <v>0.86</v>
      </c>
      <c r="U163" s="1781">
        <v>0.86</v>
      </c>
      <c r="V163" s="1781">
        <v>0.86</v>
      </c>
      <c r="W163" s="1781">
        <v>0.86</v>
      </c>
      <c r="X163" s="1781">
        <v>0.86</v>
      </c>
      <c r="Y163" s="1781">
        <v>0.86</v>
      </c>
      <c r="Z163" s="1359">
        <v>1</v>
      </c>
      <c r="AA163" s="1781">
        <f t="shared" si="105"/>
        <v>0.86</v>
      </c>
      <c r="AB163" s="1781">
        <f t="shared" si="106"/>
        <v>0.86</v>
      </c>
      <c r="AC163" s="1781">
        <f t="shared" si="107"/>
        <v>0.86</v>
      </c>
      <c r="AD163" s="1781">
        <f t="shared" si="108"/>
        <v>0.86</v>
      </c>
      <c r="AE163" s="1781">
        <f t="shared" si="109"/>
        <v>0.86</v>
      </c>
      <c r="AF163" s="1781">
        <f t="shared" si="110"/>
        <v>0.86</v>
      </c>
      <c r="AG163" s="1781">
        <f t="shared" si="111"/>
        <v>0.86</v>
      </c>
      <c r="AH163" s="1781">
        <f t="shared" si="112"/>
        <v>0.86</v>
      </c>
      <c r="AI163" s="1362">
        <f t="shared" si="143"/>
        <v>0</v>
      </c>
      <c r="AJ163" s="1362">
        <f t="shared" si="144"/>
        <v>0</v>
      </c>
      <c r="AK163" s="1362">
        <f t="shared" si="145"/>
        <v>0</v>
      </c>
      <c r="AL163" s="1362">
        <f t="shared" si="146"/>
        <v>0</v>
      </c>
      <c r="AM163" s="1362">
        <f t="shared" si="147"/>
        <v>0</v>
      </c>
      <c r="AN163" s="1132" t="str">
        <f t="shared" si="113"/>
        <v>Custom</v>
      </c>
      <c r="AO163" s="1132" t="str">
        <f t="shared" si="114"/>
        <v/>
      </c>
      <c r="AP163" s="2505">
        <v>0</v>
      </c>
      <c r="AQ163" s="2505"/>
      <c r="AR163" s="2505">
        <f t="shared" si="115"/>
        <v>0</v>
      </c>
      <c r="AS163" s="2505">
        <f t="shared" si="116"/>
        <v>0</v>
      </c>
      <c r="AT163" s="1132" t="str">
        <f t="shared" si="117"/>
        <v>Custom</v>
      </c>
      <c r="AU163" s="1132" t="str">
        <f t="shared" si="118"/>
        <v/>
      </c>
      <c r="AV163" s="2505">
        <v>0</v>
      </c>
      <c r="AW163" s="2505"/>
      <c r="AX163" s="1362">
        <f t="shared" si="119"/>
        <v>0</v>
      </c>
      <c r="AY163" s="1360">
        <f t="shared" si="120"/>
        <v>0</v>
      </c>
      <c r="AZ163" s="1132" t="str">
        <f t="shared" si="121"/>
        <v>Custom</v>
      </c>
      <c r="BA163" s="1132" t="str">
        <f t="shared" si="122"/>
        <v/>
      </c>
      <c r="BB163" s="2505">
        <v>0</v>
      </c>
      <c r="BC163" s="2505"/>
      <c r="BD163" s="1362">
        <f t="shared" si="123"/>
        <v>0</v>
      </c>
      <c r="BE163" s="1360">
        <f t="shared" si="124"/>
        <v>0</v>
      </c>
      <c r="BF163" s="1132" t="str">
        <f t="shared" si="125"/>
        <v>Custom</v>
      </c>
      <c r="BG163" s="1132" t="str">
        <f t="shared" si="126"/>
        <v/>
      </c>
      <c r="BH163" s="2505">
        <v>0</v>
      </c>
      <c r="BI163" s="2505"/>
      <c r="BJ163" s="1362">
        <f t="shared" si="148"/>
        <v>0</v>
      </c>
      <c r="BK163" s="1360">
        <f t="shared" si="127"/>
        <v>0</v>
      </c>
      <c r="BL163" s="1601">
        <f t="shared" si="128"/>
        <v>0</v>
      </c>
      <c r="BM163" s="1601">
        <f t="shared" si="129"/>
        <v>0</v>
      </c>
      <c r="BN163" s="1601">
        <f t="shared" si="130"/>
        <v>0</v>
      </c>
      <c r="BO163" s="1601">
        <f t="shared" si="131"/>
        <v>0</v>
      </c>
      <c r="BP163" s="1602">
        <f t="shared" si="132"/>
        <v>0</v>
      </c>
      <c r="BQ163" s="1602"/>
      <c r="BR163" s="1602"/>
      <c r="BS163" s="1602">
        <v>0</v>
      </c>
      <c r="BT163" s="1602">
        <v>0</v>
      </c>
      <c r="BU163" s="1602">
        <v>0</v>
      </c>
      <c r="BV163" s="1602">
        <v>0</v>
      </c>
      <c r="BW163" s="1602">
        <v>0</v>
      </c>
      <c r="BX163" s="1362">
        <f t="shared" si="149"/>
        <v>0</v>
      </c>
      <c r="BY163" s="1362">
        <f t="shared" si="150"/>
        <v>0</v>
      </c>
      <c r="BZ163" s="1362">
        <f t="shared" si="151"/>
        <v>0</v>
      </c>
      <c r="CA163" s="1362">
        <f t="shared" si="152"/>
        <v>0</v>
      </c>
      <c r="CB163" s="1362">
        <f t="shared" si="153"/>
        <v>0</v>
      </c>
      <c r="CC163" s="1360">
        <v>0</v>
      </c>
      <c r="CD163" s="1360">
        <v>0</v>
      </c>
      <c r="CE163" s="1360">
        <v>0</v>
      </c>
      <c r="CF163" s="1360">
        <v>0</v>
      </c>
      <c r="CG163" s="1604">
        <f t="shared" si="133"/>
        <v>0</v>
      </c>
      <c r="CH163" s="1604">
        <f t="shared" si="134"/>
        <v>0</v>
      </c>
      <c r="CI163" s="1604">
        <f t="shared" si="135"/>
        <v>0</v>
      </c>
      <c r="CJ163" s="1604">
        <f t="shared" si="136"/>
        <v>0</v>
      </c>
      <c r="CK163" s="1521">
        <f t="shared" si="137"/>
        <v>0</v>
      </c>
      <c r="CL163" s="1132">
        <v>156</v>
      </c>
      <c r="CM163" s="1132" t="s">
        <v>356</v>
      </c>
      <c r="CN163" s="1359">
        <v>0</v>
      </c>
      <c r="CO163" s="1360">
        <v>15.120000000000001</v>
      </c>
      <c r="CP163" s="1360">
        <v>15.120000000000001</v>
      </c>
      <c r="CQ163" s="1360">
        <v>15.120000000000001</v>
      </c>
      <c r="CR163" s="1360">
        <v>15.120000000000001</v>
      </c>
      <c r="CS163" s="1362">
        <f t="shared" si="138"/>
        <v>0</v>
      </c>
      <c r="CT163" s="1362">
        <f t="shared" si="139"/>
        <v>0</v>
      </c>
      <c r="CU163" s="1362">
        <f t="shared" si="140"/>
        <v>0</v>
      </c>
      <c r="CV163" s="1362">
        <f t="shared" si="141"/>
        <v>0</v>
      </c>
      <c r="CW163" s="1362">
        <f t="shared" si="142"/>
        <v>0</v>
      </c>
      <c r="CY163" s="2887"/>
    </row>
    <row r="164" spans="1:103" s="1143" customFormat="1" ht="45.75" customHeight="1" x14ac:dyDescent="0.35">
      <c r="A164" s="1132" t="s">
        <v>101</v>
      </c>
      <c r="B164" s="1132" t="s">
        <v>601</v>
      </c>
      <c r="C164" s="1132" t="s">
        <v>548</v>
      </c>
      <c r="D164" s="1359" t="s">
        <v>105</v>
      </c>
      <c r="E164" s="1359">
        <f>IF(AI164-AR164=0,0,1)</f>
        <v>0</v>
      </c>
      <c r="F164" s="1132" t="s">
        <v>105</v>
      </c>
      <c r="G164" s="1132" t="s">
        <v>356</v>
      </c>
      <c r="H164" s="1360">
        <v>13.104000000000001</v>
      </c>
      <c r="I164" s="1360">
        <v>13.104000000000001</v>
      </c>
      <c r="J164" s="1360">
        <v>13.104000000000001</v>
      </c>
      <c r="K164" s="1360">
        <v>13.104000000000001</v>
      </c>
      <c r="L164" s="1132" t="s">
        <v>105</v>
      </c>
      <c r="M164" s="1132" t="str">
        <f t="shared" si="104"/>
        <v/>
      </c>
      <c r="N164" s="1361">
        <v>0</v>
      </c>
      <c r="O164" s="1361">
        <v>0</v>
      </c>
      <c r="P164" s="1361">
        <v>0</v>
      </c>
      <c r="Q164" s="1361">
        <v>0</v>
      </c>
      <c r="R164" s="1781">
        <v>0.86</v>
      </c>
      <c r="S164" s="1781">
        <v>0.86</v>
      </c>
      <c r="T164" s="1781">
        <v>0.86</v>
      </c>
      <c r="U164" s="1781">
        <v>0.86</v>
      </c>
      <c r="V164" s="1781">
        <v>0.86</v>
      </c>
      <c r="W164" s="1781">
        <v>0.86</v>
      </c>
      <c r="X164" s="1781">
        <v>0.86</v>
      </c>
      <c r="Y164" s="1781">
        <v>0.86</v>
      </c>
      <c r="Z164" s="1359">
        <v>1</v>
      </c>
      <c r="AA164" s="1781">
        <f t="shared" si="105"/>
        <v>0.86</v>
      </c>
      <c r="AB164" s="1781">
        <f t="shared" si="106"/>
        <v>0.86</v>
      </c>
      <c r="AC164" s="1781">
        <f t="shared" si="107"/>
        <v>0.86</v>
      </c>
      <c r="AD164" s="1781">
        <f t="shared" si="108"/>
        <v>0.86</v>
      </c>
      <c r="AE164" s="1781">
        <f t="shared" si="109"/>
        <v>0.86</v>
      </c>
      <c r="AF164" s="1781">
        <f t="shared" si="110"/>
        <v>0.86</v>
      </c>
      <c r="AG164" s="1781">
        <f t="shared" si="111"/>
        <v>0.86</v>
      </c>
      <c r="AH164" s="1781">
        <f t="shared" si="112"/>
        <v>0.86</v>
      </c>
      <c r="AI164" s="1362">
        <f t="shared" si="143"/>
        <v>0</v>
      </c>
      <c r="AJ164" s="1362">
        <f t="shared" si="144"/>
        <v>0</v>
      </c>
      <c r="AK164" s="1362">
        <f t="shared" si="145"/>
        <v>0</v>
      </c>
      <c r="AL164" s="1362">
        <f t="shared" si="146"/>
        <v>0</v>
      </c>
      <c r="AM164" s="1362">
        <f t="shared" si="147"/>
        <v>0</v>
      </c>
      <c r="AN164" s="1132" t="str">
        <f t="shared" si="113"/>
        <v>Custom</v>
      </c>
      <c r="AO164" s="1132" t="str">
        <f t="shared" si="114"/>
        <v/>
      </c>
      <c r="AP164" s="2505">
        <v>0</v>
      </c>
      <c r="AQ164" s="2505"/>
      <c r="AR164" s="2505">
        <f t="shared" si="115"/>
        <v>0</v>
      </c>
      <c r="AS164" s="2505">
        <f t="shared" si="116"/>
        <v>0</v>
      </c>
      <c r="AT164" s="1132" t="str">
        <f t="shared" si="117"/>
        <v>Custom</v>
      </c>
      <c r="AU164" s="1132" t="str">
        <f t="shared" si="118"/>
        <v/>
      </c>
      <c r="AV164" s="2505">
        <v>0</v>
      </c>
      <c r="AW164" s="2505"/>
      <c r="AX164" s="1362">
        <f t="shared" si="119"/>
        <v>0</v>
      </c>
      <c r="AY164" s="1360">
        <f t="shared" si="120"/>
        <v>0</v>
      </c>
      <c r="AZ164" s="1132" t="str">
        <f t="shared" si="121"/>
        <v>Custom</v>
      </c>
      <c r="BA164" s="1132" t="str">
        <f t="shared" si="122"/>
        <v/>
      </c>
      <c r="BB164" s="2505">
        <v>0</v>
      </c>
      <c r="BC164" s="2505"/>
      <c r="BD164" s="1362">
        <f t="shared" si="123"/>
        <v>0</v>
      </c>
      <c r="BE164" s="1360">
        <f t="shared" si="124"/>
        <v>0</v>
      </c>
      <c r="BF164" s="1132" t="str">
        <f t="shared" si="125"/>
        <v>Custom</v>
      </c>
      <c r="BG164" s="1132" t="str">
        <f t="shared" si="126"/>
        <v/>
      </c>
      <c r="BH164" s="2505">
        <v>0</v>
      </c>
      <c r="BI164" s="2505"/>
      <c r="BJ164" s="1362">
        <f t="shared" si="148"/>
        <v>0</v>
      </c>
      <c r="BK164" s="1360">
        <f t="shared" si="127"/>
        <v>0</v>
      </c>
      <c r="BL164" s="1601">
        <f t="shared" si="128"/>
        <v>0</v>
      </c>
      <c r="BM164" s="1601">
        <f t="shared" si="129"/>
        <v>0</v>
      </c>
      <c r="BN164" s="1601">
        <f t="shared" si="130"/>
        <v>0</v>
      </c>
      <c r="BO164" s="1601">
        <f t="shared" si="131"/>
        <v>0</v>
      </c>
      <c r="BP164" s="1602">
        <f t="shared" si="132"/>
        <v>0</v>
      </c>
      <c r="BQ164" s="1602"/>
      <c r="BR164" s="1602"/>
      <c r="BS164" s="1602">
        <v>0</v>
      </c>
      <c r="BT164" s="1602">
        <v>0</v>
      </c>
      <c r="BU164" s="1602">
        <v>0</v>
      </c>
      <c r="BV164" s="1602">
        <v>0</v>
      </c>
      <c r="BW164" s="1602">
        <v>0</v>
      </c>
      <c r="BX164" s="1362">
        <f t="shared" si="149"/>
        <v>0</v>
      </c>
      <c r="BY164" s="1362">
        <f t="shared" si="150"/>
        <v>0</v>
      </c>
      <c r="BZ164" s="1362">
        <f t="shared" si="151"/>
        <v>0</v>
      </c>
      <c r="CA164" s="1362">
        <f t="shared" si="152"/>
        <v>0</v>
      </c>
      <c r="CB164" s="1362">
        <f t="shared" si="153"/>
        <v>0</v>
      </c>
      <c r="CC164" s="1360">
        <v>0</v>
      </c>
      <c r="CD164" s="1360">
        <v>0</v>
      </c>
      <c r="CE164" s="1360">
        <v>0</v>
      </c>
      <c r="CF164" s="1360">
        <v>0</v>
      </c>
      <c r="CG164" s="1604">
        <f t="shared" si="133"/>
        <v>0</v>
      </c>
      <c r="CH164" s="1604">
        <f t="shared" si="134"/>
        <v>0</v>
      </c>
      <c r="CI164" s="1604">
        <f t="shared" si="135"/>
        <v>0</v>
      </c>
      <c r="CJ164" s="1604">
        <f t="shared" si="136"/>
        <v>0</v>
      </c>
      <c r="CK164" s="1521">
        <f t="shared" si="137"/>
        <v>0</v>
      </c>
      <c r="CL164" s="1132">
        <v>157</v>
      </c>
      <c r="CM164" s="1132" t="s">
        <v>356</v>
      </c>
      <c r="CN164" s="1359">
        <v>0</v>
      </c>
      <c r="CO164" s="1360">
        <v>13.104000000000001</v>
      </c>
      <c r="CP164" s="1360">
        <v>13.104000000000001</v>
      </c>
      <c r="CQ164" s="1360">
        <v>13.104000000000001</v>
      </c>
      <c r="CR164" s="1360">
        <v>13.104000000000001</v>
      </c>
      <c r="CS164" s="1362">
        <f t="shared" si="138"/>
        <v>0</v>
      </c>
      <c r="CT164" s="1362">
        <f t="shared" si="139"/>
        <v>0</v>
      </c>
      <c r="CU164" s="1362">
        <f t="shared" si="140"/>
        <v>0</v>
      </c>
      <c r="CV164" s="1362">
        <f t="shared" si="141"/>
        <v>0</v>
      </c>
      <c r="CW164" s="1362">
        <f t="shared" si="142"/>
        <v>0</v>
      </c>
      <c r="CY164" s="2887"/>
    </row>
    <row r="165" spans="1:103" s="1143" customFormat="1" ht="46.5" x14ac:dyDescent="0.35">
      <c r="A165" s="1132" t="s">
        <v>101</v>
      </c>
      <c r="B165" s="1132" t="s">
        <v>601</v>
      </c>
      <c r="C165" s="1132" t="s">
        <v>549</v>
      </c>
      <c r="D165" s="1359" t="s">
        <v>550</v>
      </c>
      <c r="E165" s="1359">
        <v>1</v>
      </c>
      <c r="F165" s="2807" t="s">
        <v>545</v>
      </c>
      <c r="G165" s="1132" t="s">
        <v>356</v>
      </c>
      <c r="H165" s="1360">
        <v>0.33600000000000002</v>
      </c>
      <c r="I165" s="1360">
        <v>0.33600000000000002</v>
      </c>
      <c r="J165" s="1360">
        <v>0.33600000000000002</v>
      </c>
      <c r="K165" s="1360">
        <v>0.33600000000000002</v>
      </c>
      <c r="L165" s="1132" t="s">
        <v>546</v>
      </c>
      <c r="M165" s="1132" t="str">
        <f t="shared" si="104"/>
        <v>Nicor Gas PY11-PY14 Adjustable Goals Template_2025-03-01, Tab 4.2.11</v>
      </c>
      <c r="N165" s="1361">
        <v>158.27666400000004</v>
      </c>
      <c r="O165" s="1361">
        <v>158.27666400000004</v>
      </c>
      <c r="P165" s="1361">
        <v>158.27666400000004</v>
      </c>
      <c r="Q165" s="1361">
        <v>158.27666400000004</v>
      </c>
      <c r="R165" s="1781">
        <v>0.86</v>
      </c>
      <c r="S165" s="1781">
        <v>0.86</v>
      </c>
      <c r="T165" s="1781">
        <v>0.86</v>
      </c>
      <c r="U165" s="1781">
        <v>0.86</v>
      </c>
      <c r="V165" s="1781">
        <v>0.86</v>
      </c>
      <c r="W165" s="1781">
        <v>0.86</v>
      </c>
      <c r="X165" s="1781">
        <v>0.86</v>
      </c>
      <c r="Y165" s="1781">
        <v>0.86</v>
      </c>
      <c r="Z165" s="1359">
        <v>1</v>
      </c>
      <c r="AA165" s="1781">
        <f t="shared" si="105"/>
        <v>0.86</v>
      </c>
      <c r="AB165" s="1781">
        <f t="shared" si="106"/>
        <v>0.86</v>
      </c>
      <c r="AC165" s="1781">
        <f t="shared" si="107"/>
        <v>0.86</v>
      </c>
      <c r="AD165" s="1781">
        <f t="shared" si="108"/>
        <v>0.86</v>
      </c>
      <c r="AE165" s="1781">
        <f t="shared" si="109"/>
        <v>0.86</v>
      </c>
      <c r="AF165" s="1781">
        <f t="shared" si="110"/>
        <v>0.86</v>
      </c>
      <c r="AG165" s="1781">
        <f t="shared" si="111"/>
        <v>0.86</v>
      </c>
      <c r="AH165" s="1781">
        <f t="shared" si="112"/>
        <v>0.86</v>
      </c>
      <c r="AI165" s="1362">
        <f t="shared" si="143"/>
        <v>45.735624829440013</v>
      </c>
      <c r="AJ165" s="1362">
        <f t="shared" si="144"/>
        <v>45.735624829440013</v>
      </c>
      <c r="AK165" s="1362">
        <f t="shared" si="145"/>
        <v>45.735624829440013</v>
      </c>
      <c r="AL165" s="1362">
        <f t="shared" si="146"/>
        <v>45.735624829440013</v>
      </c>
      <c r="AM165" s="1362">
        <f t="shared" si="147"/>
        <v>182.94249931776005</v>
      </c>
      <c r="AN165" s="1132" t="str">
        <f t="shared" si="113"/>
        <v>CI-FSE-SPRY-V05-190101</v>
      </c>
      <c r="AO165" s="1132" t="str">
        <f t="shared" si="114"/>
        <v>Nicor Gas PY11-PY14 Adjustable Goals Template_2025-03-01, Tab 4.2.11</v>
      </c>
      <c r="AP165" s="2568">
        <f>'4.2.11'!$N$4</f>
        <v>158.27666400000004</v>
      </c>
      <c r="AQ165" s="2568" t="s">
        <v>481</v>
      </c>
      <c r="AR165" s="2505">
        <f t="shared" si="115"/>
        <v>45.735624829440013</v>
      </c>
      <c r="AS165" s="2505">
        <f t="shared" si="116"/>
        <v>0</v>
      </c>
      <c r="AT165" s="1132" t="str">
        <f t="shared" si="117"/>
        <v>CI-FSE-SPRY-V05-190101</v>
      </c>
      <c r="AU165" s="1132" t="str">
        <f t="shared" si="118"/>
        <v>Nicor Gas PY11-PY14 Adjustable Goals Template_2025-03-01, Tab 4.2.11</v>
      </c>
      <c r="AV165" s="2505">
        <f>'4.2.11'!$N$4</f>
        <v>158.27666400000004</v>
      </c>
      <c r="AW165" s="2568" t="s">
        <v>481</v>
      </c>
      <c r="AX165" s="1362">
        <f t="shared" si="119"/>
        <v>45.735624829440013</v>
      </c>
      <c r="AY165" s="1360">
        <f t="shared" si="120"/>
        <v>0</v>
      </c>
      <c r="AZ165" s="1132" t="str">
        <f t="shared" si="121"/>
        <v>CI-FSE-SPRY-V05-190101</v>
      </c>
      <c r="BA165" s="1132" t="str">
        <f t="shared" si="122"/>
        <v>Nicor Gas PY11-PY14 Adjustable Goals Template_2025-03-01, Tab 4.2.11</v>
      </c>
      <c r="BB165" s="2505">
        <f>'4.2.11'!$N$4</f>
        <v>158.27666400000004</v>
      </c>
      <c r="BC165" s="2568" t="s">
        <v>481</v>
      </c>
      <c r="BD165" s="1362">
        <f t="shared" si="123"/>
        <v>45.735624829440013</v>
      </c>
      <c r="BE165" s="1360">
        <f t="shared" si="124"/>
        <v>0</v>
      </c>
      <c r="BF165" s="1132" t="str">
        <f t="shared" si="125"/>
        <v>CI-FSE-SPRY-V05-190101</v>
      </c>
      <c r="BG165" s="1132" t="str">
        <f t="shared" si="126"/>
        <v>Nicor Gas PY11-PY14 Adjustable Goals Template_2025-03-01, Tab 4.2.11</v>
      </c>
      <c r="BH165" s="2505">
        <f>'4.2.11'!$N$4</f>
        <v>158.27666400000004</v>
      </c>
      <c r="BI165" s="2568" t="s">
        <v>481</v>
      </c>
      <c r="BJ165" s="1362">
        <f t="shared" si="148"/>
        <v>45.735624829440013</v>
      </c>
      <c r="BK165" s="1360">
        <f t="shared" si="127"/>
        <v>0</v>
      </c>
      <c r="BL165" s="1601">
        <f t="shared" si="128"/>
        <v>45.735624829440013</v>
      </c>
      <c r="BM165" s="1601">
        <f t="shared" si="129"/>
        <v>45.735624829440013</v>
      </c>
      <c r="BN165" s="1601">
        <f t="shared" si="130"/>
        <v>45.735624829440013</v>
      </c>
      <c r="BO165" s="1601">
        <f t="shared" si="131"/>
        <v>45.735624829440013</v>
      </c>
      <c r="BP165" s="1602">
        <f t="shared" si="132"/>
        <v>182.94249931776005</v>
      </c>
      <c r="BQ165" s="1602"/>
      <c r="BR165" s="1602" t="s">
        <v>545</v>
      </c>
      <c r="BS165" s="1602">
        <v>0</v>
      </c>
      <c r="BT165" s="1602">
        <v>5</v>
      </c>
      <c r="BU165" s="1602">
        <v>5</v>
      </c>
      <c r="BV165" s="1602">
        <v>5</v>
      </c>
      <c r="BW165" s="1602">
        <v>5</v>
      </c>
      <c r="BX165" s="1362">
        <f t="shared" si="149"/>
        <v>228.67812414720007</v>
      </c>
      <c r="BY165" s="1362">
        <f t="shared" si="150"/>
        <v>228.67812414720007</v>
      </c>
      <c r="BZ165" s="1362">
        <f t="shared" si="151"/>
        <v>228.67812414720007</v>
      </c>
      <c r="CA165" s="1362">
        <f t="shared" si="152"/>
        <v>228.67812414720007</v>
      </c>
      <c r="CB165" s="1362">
        <f t="shared" si="153"/>
        <v>914.71249658880026</v>
      </c>
      <c r="CC165" s="1360">
        <v>5</v>
      </c>
      <c r="CD165" s="1360">
        <v>5</v>
      </c>
      <c r="CE165" s="1360">
        <v>5</v>
      </c>
      <c r="CF165" s="1360">
        <v>5</v>
      </c>
      <c r="CG165" s="1604">
        <f t="shared" si="133"/>
        <v>228.67812414720007</v>
      </c>
      <c r="CH165" s="1604">
        <f t="shared" si="134"/>
        <v>228.67812414720007</v>
      </c>
      <c r="CI165" s="1604">
        <f t="shared" si="135"/>
        <v>228.67812414720007</v>
      </c>
      <c r="CJ165" s="1604">
        <f t="shared" si="136"/>
        <v>228.67812414720007</v>
      </c>
      <c r="CK165" s="1521">
        <f t="shared" si="137"/>
        <v>914.71249658880026</v>
      </c>
      <c r="CL165" s="1132">
        <v>158</v>
      </c>
      <c r="CM165" s="1132" t="s">
        <v>356</v>
      </c>
      <c r="CN165" s="1359">
        <v>0</v>
      </c>
      <c r="CO165" s="1360">
        <v>0.33600000000000002</v>
      </c>
      <c r="CP165" s="1360">
        <v>0.33600000000000002</v>
      </c>
      <c r="CQ165" s="1360">
        <v>0.33600000000000002</v>
      </c>
      <c r="CR165" s="1360">
        <v>0.33600000000000002</v>
      </c>
      <c r="CS165" s="1362">
        <f t="shared" si="138"/>
        <v>45.735624829440013</v>
      </c>
      <c r="CT165" s="1362">
        <f t="shared" si="139"/>
        <v>45.735624829440013</v>
      </c>
      <c r="CU165" s="1362">
        <f t="shared" si="140"/>
        <v>45.735624829440013</v>
      </c>
      <c r="CV165" s="1362">
        <f t="shared" si="141"/>
        <v>45.735624829440013</v>
      </c>
      <c r="CW165" s="1362">
        <f t="shared" si="142"/>
        <v>182.94249931776005</v>
      </c>
      <c r="CY165" s="2887"/>
    </row>
    <row r="166" spans="1:103" s="1143" customFormat="1" ht="46.5" x14ac:dyDescent="0.35">
      <c r="A166" s="1132" t="s">
        <v>101</v>
      </c>
      <c r="B166" s="1132" t="s">
        <v>601</v>
      </c>
      <c r="C166" s="1132" t="s">
        <v>551</v>
      </c>
      <c r="D166" s="1359" t="s">
        <v>552</v>
      </c>
      <c r="E166" s="1359">
        <v>1</v>
      </c>
      <c r="F166" s="2807" t="s">
        <v>545</v>
      </c>
      <c r="G166" s="1132" t="s">
        <v>356</v>
      </c>
      <c r="H166" s="1360">
        <v>2.3520000000000003</v>
      </c>
      <c r="I166" s="1360">
        <v>2.3520000000000003</v>
      </c>
      <c r="J166" s="1360">
        <v>2.3520000000000003</v>
      </c>
      <c r="K166" s="1360">
        <v>2.3520000000000003</v>
      </c>
      <c r="L166" s="1132" t="s">
        <v>546</v>
      </c>
      <c r="M166" s="1132" t="str">
        <f t="shared" si="104"/>
        <v>Nicor Gas PY11-PY14 Adjustable Goals Template_2025-03-01, Tab 4.2.11</v>
      </c>
      <c r="N166" s="1361">
        <v>237.414996</v>
      </c>
      <c r="O166" s="1361">
        <v>237.414996</v>
      </c>
      <c r="P166" s="1361">
        <v>237.414996</v>
      </c>
      <c r="Q166" s="1361">
        <v>237.414996</v>
      </c>
      <c r="R166" s="1781">
        <v>0.86</v>
      </c>
      <c r="S166" s="1781">
        <v>0.86</v>
      </c>
      <c r="T166" s="1781">
        <v>0.86</v>
      </c>
      <c r="U166" s="1781">
        <v>0.86</v>
      </c>
      <c r="V166" s="1781">
        <v>0.86</v>
      </c>
      <c r="W166" s="1781">
        <v>0.86</v>
      </c>
      <c r="X166" s="1781">
        <v>0.86</v>
      </c>
      <c r="Y166" s="1781">
        <v>0.86</v>
      </c>
      <c r="Z166" s="1359">
        <v>1</v>
      </c>
      <c r="AA166" s="1781">
        <f t="shared" si="105"/>
        <v>0.86</v>
      </c>
      <c r="AB166" s="1781">
        <f t="shared" si="106"/>
        <v>0.86</v>
      </c>
      <c r="AC166" s="1781">
        <f t="shared" si="107"/>
        <v>0.86</v>
      </c>
      <c r="AD166" s="1781">
        <f t="shared" si="108"/>
        <v>0.86</v>
      </c>
      <c r="AE166" s="1781">
        <f t="shared" si="109"/>
        <v>0.86</v>
      </c>
      <c r="AF166" s="1781">
        <f t="shared" si="110"/>
        <v>0.86</v>
      </c>
      <c r="AG166" s="1781">
        <f t="shared" si="111"/>
        <v>0.86</v>
      </c>
      <c r="AH166" s="1781">
        <f t="shared" si="112"/>
        <v>0.86</v>
      </c>
      <c r="AI166" s="1362">
        <f t="shared" si="143"/>
        <v>480.22406070912012</v>
      </c>
      <c r="AJ166" s="1362">
        <f t="shared" si="144"/>
        <v>480.22406070912012</v>
      </c>
      <c r="AK166" s="1362">
        <f t="shared" si="145"/>
        <v>480.22406070912012</v>
      </c>
      <c r="AL166" s="1362">
        <f t="shared" si="146"/>
        <v>480.22406070912012</v>
      </c>
      <c r="AM166" s="1362">
        <f t="shared" si="147"/>
        <v>1920.8962428364805</v>
      </c>
      <c r="AN166" s="1132" t="str">
        <f t="shared" si="113"/>
        <v>CI-FSE-SPRY-V05-190101</v>
      </c>
      <c r="AO166" s="1132" t="str">
        <f t="shared" si="114"/>
        <v>Nicor Gas PY11-PY14 Adjustable Goals Template_2025-03-01, Tab 4.2.11</v>
      </c>
      <c r="AP166" s="2568">
        <f>'4.2.11'!$N$3</f>
        <v>237.414996</v>
      </c>
      <c r="AQ166" s="2568" t="s">
        <v>481</v>
      </c>
      <c r="AR166" s="2505">
        <f t="shared" si="115"/>
        <v>480.22406070912012</v>
      </c>
      <c r="AS166" s="2505">
        <f t="shared" si="116"/>
        <v>0</v>
      </c>
      <c r="AT166" s="1132" t="str">
        <f t="shared" si="117"/>
        <v>CI-FSE-SPRY-V05-190101</v>
      </c>
      <c r="AU166" s="1132" t="str">
        <f t="shared" si="118"/>
        <v>Nicor Gas PY11-PY14 Adjustable Goals Template_2025-03-01, Tab 4.2.11</v>
      </c>
      <c r="AV166" s="2505">
        <f>'4.2.11'!$N$3</f>
        <v>237.414996</v>
      </c>
      <c r="AW166" s="2568" t="s">
        <v>481</v>
      </c>
      <c r="AX166" s="1362">
        <f t="shared" si="119"/>
        <v>480.22406070912012</v>
      </c>
      <c r="AY166" s="1360">
        <f t="shared" si="120"/>
        <v>0</v>
      </c>
      <c r="AZ166" s="1132" t="str">
        <f t="shared" si="121"/>
        <v>CI-FSE-SPRY-V05-190101</v>
      </c>
      <c r="BA166" s="1132" t="str">
        <f t="shared" si="122"/>
        <v>Nicor Gas PY11-PY14 Adjustable Goals Template_2025-03-01, Tab 4.2.11</v>
      </c>
      <c r="BB166" s="2505">
        <f>'4.2.11'!$N$3</f>
        <v>237.414996</v>
      </c>
      <c r="BC166" s="2568" t="s">
        <v>481</v>
      </c>
      <c r="BD166" s="1362">
        <f t="shared" si="123"/>
        <v>480.22406070912012</v>
      </c>
      <c r="BE166" s="1360">
        <f t="shared" si="124"/>
        <v>0</v>
      </c>
      <c r="BF166" s="1132" t="str">
        <f t="shared" si="125"/>
        <v>CI-FSE-SPRY-V05-190101</v>
      </c>
      <c r="BG166" s="1132" t="str">
        <f t="shared" si="126"/>
        <v>Nicor Gas PY11-PY14 Adjustable Goals Template_2025-03-01, Tab 4.2.11</v>
      </c>
      <c r="BH166" s="2505">
        <f>'4.2.11'!$N$3</f>
        <v>237.414996</v>
      </c>
      <c r="BI166" s="2568" t="s">
        <v>481</v>
      </c>
      <c r="BJ166" s="1362">
        <f t="shared" si="148"/>
        <v>480.22406070912012</v>
      </c>
      <c r="BK166" s="1360">
        <f t="shared" si="127"/>
        <v>0</v>
      </c>
      <c r="BL166" s="1601">
        <f t="shared" si="128"/>
        <v>480.22406070912012</v>
      </c>
      <c r="BM166" s="1601">
        <f t="shared" si="129"/>
        <v>480.22406070912012</v>
      </c>
      <c r="BN166" s="1601">
        <f t="shared" si="130"/>
        <v>480.22406070912012</v>
      </c>
      <c r="BO166" s="1601">
        <f t="shared" si="131"/>
        <v>480.22406070912012</v>
      </c>
      <c r="BP166" s="1602">
        <f t="shared" si="132"/>
        <v>1920.8962428364805</v>
      </c>
      <c r="BQ166" s="1602"/>
      <c r="BR166" s="1602" t="s">
        <v>545</v>
      </c>
      <c r="BS166" s="1602">
        <v>0</v>
      </c>
      <c r="BT166" s="1602">
        <v>5</v>
      </c>
      <c r="BU166" s="1602">
        <v>5</v>
      </c>
      <c r="BV166" s="1602">
        <v>5</v>
      </c>
      <c r="BW166" s="1602">
        <v>5</v>
      </c>
      <c r="BX166" s="1362">
        <f t="shared" si="149"/>
        <v>2401.1203035456006</v>
      </c>
      <c r="BY166" s="1362">
        <f t="shared" si="150"/>
        <v>2401.1203035456006</v>
      </c>
      <c r="BZ166" s="1362">
        <f t="shared" si="151"/>
        <v>2401.1203035456006</v>
      </c>
      <c r="CA166" s="1362">
        <f t="shared" si="152"/>
        <v>2401.1203035456006</v>
      </c>
      <c r="CB166" s="1362">
        <f t="shared" si="153"/>
        <v>9604.4812141824023</v>
      </c>
      <c r="CC166" s="1360">
        <v>5</v>
      </c>
      <c r="CD166" s="1360">
        <v>5</v>
      </c>
      <c r="CE166" s="1360">
        <v>5</v>
      </c>
      <c r="CF166" s="1360">
        <v>5</v>
      </c>
      <c r="CG166" s="1604">
        <f t="shared" si="133"/>
        <v>2401.1203035456001</v>
      </c>
      <c r="CH166" s="1604">
        <f t="shared" si="134"/>
        <v>2401.1203035456001</v>
      </c>
      <c r="CI166" s="1604">
        <f t="shared" si="135"/>
        <v>2401.1203035456001</v>
      </c>
      <c r="CJ166" s="1604">
        <f t="shared" si="136"/>
        <v>2401.1203035456001</v>
      </c>
      <c r="CK166" s="1521">
        <f t="shared" si="137"/>
        <v>9604.4812141824004</v>
      </c>
      <c r="CL166" s="1132">
        <v>159</v>
      </c>
      <c r="CM166" s="1132" t="s">
        <v>356</v>
      </c>
      <c r="CN166" s="1359">
        <v>0</v>
      </c>
      <c r="CO166" s="1360">
        <v>2.3520000000000003</v>
      </c>
      <c r="CP166" s="1360">
        <v>2.3520000000000003</v>
      </c>
      <c r="CQ166" s="1360">
        <v>2.3520000000000003</v>
      </c>
      <c r="CR166" s="1360">
        <v>2.3520000000000003</v>
      </c>
      <c r="CS166" s="1362">
        <f t="shared" si="138"/>
        <v>480.22406070912012</v>
      </c>
      <c r="CT166" s="1362">
        <f t="shared" si="139"/>
        <v>480.22406070912012</v>
      </c>
      <c r="CU166" s="1362">
        <f t="shared" si="140"/>
        <v>480.22406070912012</v>
      </c>
      <c r="CV166" s="1362">
        <f t="shared" si="141"/>
        <v>480.22406070912012</v>
      </c>
      <c r="CW166" s="1362">
        <f t="shared" si="142"/>
        <v>1920.8962428364805</v>
      </c>
      <c r="CY166" s="2887"/>
    </row>
    <row r="167" spans="1:103" s="1143" customFormat="1" ht="46.5" x14ac:dyDescent="0.35">
      <c r="A167" s="1132" t="s">
        <v>101</v>
      </c>
      <c r="B167" s="1132" t="s">
        <v>601</v>
      </c>
      <c r="C167" s="1132" t="s">
        <v>543</v>
      </c>
      <c r="D167" s="1359" t="s">
        <v>544</v>
      </c>
      <c r="E167" s="1359">
        <v>1</v>
      </c>
      <c r="F167" s="2564" t="s">
        <v>545</v>
      </c>
      <c r="G167" s="1132" t="s">
        <v>356</v>
      </c>
      <c r="H167" s="1360">
        <v>0</v>
      </c>
      <c r="I167" s="1360">
        <v>0</v>
      </c>
      <c r="J167" s="1360">
        <v>0</v>
      </c>
      <c r="K167" s="1360">
        <v>0</v>
      </c>
      <c r="L167" s="1132" t="s">
        <v>546</v>
      </c>
      <c r="M167" s="1132" t="str">
        <f t="shared" si="104"/>
        <v>Nicor Gas PY11-PY14 Adjustable Goals Template_2025-03-01, Tab 4.2.11</v>
      </c>
      <c r="N167" s="1361">
        <v>241.37191260000003</v>
      </c>
      <c r="O167" s="1361">
        <v>241.37191260000003</v>
      </c>
      <c r="P167" s="1361">
        <v>241.37191260000003</v>
      </c>
      <c r="Q167" s="1361">
        <v>241.37191260000003</v>
      </c>
      <c r="R167" s="1781">
        <v>0.86</v>
      </c>
      <c r="S167" s="1781">
        <v>0.86</v>
      </c>
      <c r="T167" s="1781">
        <v>0.86</v>
      </c>
      <c r="U167" s="1781">
        <v>0.86</v>
      </c>
      <c r="V167" s="1781">
        <v>0.86</v>
      </c>
      <c r="W167" s="1781">
        <v>0.86</v>
      </c>
      <c r="X167" s="1781">
        <v>0.86</v>
      </c>
      <c r="Y167" s="1781">
        <v>0.86</v>
      </c>
      <c r="Z167" s="1359">
        <v>1</v>
      </c>
      <c r="AA167" s="1781">
        <f t="shared" si="105"/>
        <v>0.86</v>
      </c>
      <c r="AB167" s="1781">
        <f t="shared" si="106"/>
        <v>0.86</v>
      </c>
      <c r="AC167" s="1781">
        <f t="shared" si="107"/>
        <v>0.86</v>
      </c>
      <c r="AD167" s="1781">
        <f t="shared" si="108"/>
        <v>0.86</v>
      </c>
      <c r="AE167" s="1781">
        <f t="shared" si="109"/>
        <v>0.86</v>
      </c>
      <c r="AF167" s="1781">
        <f t="shared" si="110"/>
        <v>0.86</v>
      </c>
      <c r="AG167" s="1781">
        <f t="shared" si="111"/>
        <v>0.86</v>
      </c>
      <c r="AH167" s="1781">
        <f t="shared" si="112"/>
        <v>0.86</v>
      </c>
      <c r="AI167" s="1362">
        <f t="shared" si="143"/>
        <v>0</v>
      </c>
      <c r="AJ167" s="1362">
        <f t="shared" si="144"/>
        <v>0</v>
      </c>
      <c r="AK167" s="1362">
        <f t="shared" si="145"/>
        <v>0</v>
      </c>
      <c r="AL167" s="1362">
        <f t="shared" si="146"/>
        <v>0</v>
      </c>
      <c r="AM167" s="1362">
        <f t="shared" si="147"/>
        <v>0</v>
      </c>
      <c r="AN167" s="1132" t="str">
        <f t="shared" si="113"/>
        <v>CI-FSE-SPRY-V05-190101</v>
      </c>
      <c r="AO167" s="1132" t="str">
        <f t="shared" si="114"/>
        <v>Nicor Gas PY11-PY14 Adjustable Goals Template_2025-03-01, Tab 4.2.11</v>
      </c>
      <c r="AP167" s="2505">
        <f>'4.2.11'!$N$9</f>
        <v>241.37191260000003</v>
      </c>
      <c r="AQ167" s="2505"/>
      <c r="AR167" s="2505">
        <f t="shared" si="115"/>
        <v>0</v>
      </c>
      <c r="AS167" s="2505">
        <f t="shared" si="116"/>
        <v>0</v>
      </c>
      <c r="AT167" s="1132" t="str">
        <f t="shared" si="117"/>
        <v>CI-FSE-SPRY-V05-190101</v>
      </c>
      <c r="AU167" s="1132" t="str">
        <f t="shared" si="118"/>
        <v>Nicor Gas PY11-PY14 Adjustable Goals Template_2025-03-01, Tab 4.2.11</v>
      </c>
      <c r="AV167" s="2505">
        <f>'4.2.11'!$N$9</f>
        <v>241.37191260000003</v>
      </c>
      <c r="AW167" s="2505"/>
      <c r="AX167" s="1362">
        <f t="shared" si="119"/>
        <v>0</v>
      </c>
      <c r="AY167" s="1360">
        <f t="shared" si="120"/>
        <v>0</v>
      </c>
      <c r="AZ167" s="1132" t="str">
        <f t="shared" si="121"/>
        <v>CI-FSE-SPRY-V05-190101</v>
      </c>
      <c r="BA167" s="1132" t="str">
        <f t="shared" si="122"/>
        <v>Nicor Gas PY11-PY14 Adjustable Goals Template_2025-03-01, Tab 4.2.11</v>
      </c>
      <c r="BB167" s="2505">
        <f>'4.2.11'!$N$9</f>
        <v>241.37191260000003</v>
      </c>
      <c r="BC167" s="2505"/>
      <c r="BD167" s="1362">
        <f t="shared" si="123"/>
        <v>0</v>
      </c>
      <c r="BE167" s="1360">
        <f t="shared" si="124"/>
        <v>0</v>
      </c>
      <c r="BF167" s="1132" t="str">
        <f t="shared" si="125"/>
        <v>CI-FSE-SPRY-V05-190101</v>
      </c>
      <c r="BG167" s="1132" t="str">
        <f t="shared" si="126"/>
        <v>Nicor Gas PY11-PY14 Adjustable Goals Template_2025-03-01, Tab 4.2.11</v>
      </c>
      <c r="BH167" s="2505">
        <f>'4.2.11'!$N$9</f>
        <v>241.37191260000003</v>
      </c>
      <c r="BI167" s="2505"/>
      <c r="BJ167" s="1362">
        <f t="shared" si="148"/>
        <v>0</v>
      </c>
      <c r="BK167" s="1360">
        <f t="shared" si="127"/>
        <v>0</v>
      </c>
      <c r="BL167" s="1601">
        <f t="shared" si="128"/>
        <v>0</v>
      </c>
      <c r="BM167" s="1601">
        <f t="shared" si="129"/>
        <v>0</v>
      </c>
      <c r="BN167" s="1601">
        <f t="shared" si="130"/>
        <v>0</v>
      </c>
      <c r="BO167" s="1601">
        <f t="shared" si="131"/>
        <v>0</v>
      </c>
      <c r="BP167" s="1602">
        <f t="shared" si="132"/>
        <v>0</v>
      </c>
      <c r="BQ167" s="1602"/>
      <c r="BR167" s="1602" t="s">
        <v>545</v>
      </c>
      <c r="BS167" s="1602">
        <v>0</v>
      </c>
      <c r="BT167" s="1602">
        <v>5</v>
      </c>
      <c r="BU167" s="1602">
        <v>5</v>
      </c>
      <c r="BV167" s="1602">
        <v>5</v>
      </c>
      <c r="BW167" s="1602">
        <v>5</v>
      </c>
      <c r="BX167" s="1362">
        <f t="shared" si="149"/>
        <v>0</v>
      </c>
      <c r="BY167" s="1362">
        <f t="shared" si="150"/>
        <v>0</v>
      </c>
      <c r="BZ167" s="1362">
        <f t="shared" si="151"/>
        <v>0</v>
      </c>
      <c r="CA167" s="1362">
        <f t="shared" si="152"/>
        <v>0</v>
      </c>
      <c r="CB167" s="1362">
        <f t="shared" si="153"/>
        <v>0</v>
      </c>
      <c r="CC167" s="1360">
        <v>5</v>
      </c>
      <c r="CD167" s="1360">
        <v>5</v>
      </c>
      <c r="CE167" s="1360">
        <v>5</v>
      </c>
      <c r="CF167" s="1360">
        <v>5</v>
      </c>
      <c r="CG167" s="1604">
        <f t="shared" si="133"/>
        <v>0</v>
      </c>
      <c r="CH167" s="1604">
        <f t="shared" si="134"/>
        <v>0</v>
      </c>
      <c r="CI167" s="1604">
        <f t="shared" si="135"/>
        <v>0</v>
      </c>
      <c r="CJ167" s="1604">
        <f t="shared" si="136"/>
        <v>0</v>
      </c>
      <c r="CK167" s="1521">
        <f t="shared" si="137"/>
        <v>0</v>
      </c>
      <c r="CL167" s="1132">
        <v>160</v>
      </c>
      <c r="CM167" s="1132" t="s">
        <v>356</v>
      </c>
      <c r="CN167" s="1359">
        <v>0</v>
      </c>
      <c r="CO167" s="1360">
        <v>0</v>
      </c>
      <c r="CP167" s="1360">
        <v>0</v>
      </c>
      <c r="CQ167" s="1360">
        <v>0</v>
      </c>
      <c r="CR167" s="1360">
        <v>0</v>
      </c>
      <c r="CS167" s="1362">
        <f t="shared" si="138"/>
        <v>0</v>
      </c>
      <c r="CT167" s="1362">
        <f t="shared" si="139"/>
        <v>0</v>
      </c>
      <c r="CU167" s="1362">
        <f t="shared" si="140"/>
        <v>0</v>
      </c>
      <c r="CV167" s="1362">
        <f t="shared" si="141"/>
        <v>0</v>
      </c>
      <c r="CW167" s="1362">
        <f t="shared" si="142"/>
        <v>0</v>
      </c>
      <c r="CY167" s="2887"/>
    </row>
    <row r="168" spans="1:103" s="1143" customFormat="1" ht="46.5" x14ac:dyDescent="0.35">
      <c r="A168" s="1132" t="s">
        <v>101</v>
      </c>
      <c r="B168" s="1132" t="s">
        <v>601</v>
      </c>
      <c r="C168" s="1132" t="s">
        <v>553</v>
      </c>
      <c r="D168" s="1359" t="s">
        <v>554</v>
      </c>
      <c r="E168" s="1359">
        <v>1</v>
      </c>
      <c r="F168" s="2807" t="s">
        <v>555</v>
      </c>
      <c r="G168" s="1132" t="s">
        <v>328</v>
      </c>
      <c r="H168" s="1360">
        <v>75.600000000000009</v>
      </c>
      <c r="I168" s="1360">
        <v>75.600000000000009</v>
      </c>
      <c r="J168" s="1360">
        <v>75.600000000000009</v>
      </c>
      <c r="K168" s="1360">
        <v>75.600000000000009</v>
      </c>
      <c r="L168" s="1132" t="s">
        <v>556</v>
      </c>
      <c r="M168" s="1132" t="str">
        <f t="shared" si="104"/>
        <v>Nicor Gas PY11-PY14 Adjustable Goals Template_2025-03-01, Tab 4.3.2</v>
      </c>
      <c r="N168" s="1361">
        <v>6.5015389208633092</v>
      </c>
      <c r="O168" s="1361">
        <v>6.5015389208633092</v>
      </c>
      <c r="P168" s="1361">
        <v>6.5015389208633092</v>
      </c>
      <c r="Q168" s="1361">
        <v>6.5015389208633092</v>
      </c>
      <c r="R168" s="1781">
        <v>0.86</v>
      </c>
      <c r="S168" s="1781">
        <v>0.86</v>
      </c>
      <c r="T168" s="1781">
        <v>0.86</v>
      </c>
      <c r="U168" s="1781">
        <v>0.86</v>
      </c>
      <c r="V168" s="1781">
        <v>0.86</v>
      </c>
      <c r="W168" s="1781">
        <v>0.86</v>
      </c>
      <c r="X168" s="1781">
        <v>0.86</v>
      </c>
      <c r="Y168" s="1781">
        <v>0.86</v>
      </c>
      <c r="Z168" s="1359">
        <v>1</v>
      </c>
      <c r="AA168" s="1781">
        <f t="shared" si="105"/>
        <v>0.86</v>
      </c>
      <c r="AB168" s="1781">
        <f t="shared" si="106"/>
        <v>0.86</v>
      </c>
      <c r="AC168" s="1781">
        <f t="shared" si="107"/>
        <v>0.86</v>
      </c>
      <c r="AD168" s="1781">
        <f t="shared" si="108"/>
        <v>0.86</v>
      </c>
      <c r="AE168" s="1781">
        <f t="shared" si="109"/>
        <v>0.86</v>
      </c>
      <c r="AF168" s="1781">
        <f t="shared" si="110"/>
        <v>0.86</v>
      </c>
      <c r="AG168" s="1781">
        <f t="shared" si="111"/>
        <v>0.86</v>
      </c>
      <c r="AH168" s="1781">
        <f t="shared" si="112"/>
        <v>0.86</v>
      </c>
      <c r="AI168" s="1362">
        <f t="shared" si="143"/>
        <v>422.70405447884895</v>
      </c>
      <c r="AJ168" s="1362">
        <f t="shared" si="144"/>
        <v>422.70405447884895</v>
      </c>
      <c r="AK168" s="1362">
        <f t="shared" si="145"/>
        <v>422.70405447884895</v>
      </c>
      <c r="AL168" s="1362">
        <f t="shared" si="146"/>
        <v>422.70405447884895</v>
      </c>
      <c r="AM168" s="1362">
        <f t="shared" si="147"/>
        <v>1690.8162179153958</v>
      </c>
      <c r="AN168" s="1132" t="str">
        <f t="shared" si="113"/>
        <v>CI-HW_-LFFA-V08-190101</v>
      </c>
      <c r="AO168" s="1132" t="str">
        <f t="shared" si="114"/>
        <v>Nicor Gas PY11-PY14 Adjustable Goals Template_2025-03-01, Tab 4.3.2</v>
      </c>
      <c r="AP168" s="2568">
        <f>'4.3.2'!$N$5</f>
        <v>7.1194537769784167</v>
      </c>
      <c r="AQ168" s="2568" t="s">
        <v>557</v>
      </c>
      <c r="AR168" s="2505">
        <f t="shared" si="115"/>
        <v>462.8784067640288</v>
      </c>
      <c r="AS168" s="2505">
        <f t="shared" si="116"/>
        <v>40.17435228517985</v>
      </c>
      <c r="AT168" s="1132" t="str">
        <f t="shared" si="117"/>
        <v>CI-HW_-LFFA-V08-190101</v>
      </c>
      <c r="AU168" s="1132" t="str">
        <f t="shared" si="118"/>
        <v>Nicor Gas PY11-PY14 Adjustable Goals Template_2025-03-01, Tab 4.3.2</v>
      </c>
      <c r="AV168" s="2505">
        <f>'4.3.2'!$N$5</f>
        <v>7.1194537769784167</v>
      </c>
      <c r="AW168" s="2568" t="s">
        <v>557</v>
      </c>
      <c r="AX168" s="1362">
        <f t="shared" si="119"/>
        <v>462.8784067640288</v>
      </c>
      <c r="AY168" s="1360">
        <f t="shared" si="120"/>
        <v>40.17435228517985</v>
      </c>
      <c r="AZ168" s="1132" t="str">
        <f t="shared" si="121"/>
        <v>CI-HW_-LFFA-V08-190101</v>
      </c>
      <c r="BA168" s="1132" t="str">
        <f t="shared" si="122"/>
        <v>Nicor Gas PY11-PY14 Adjustable Goals Template_2025-03-01, Tab 4.3.2</v>
      </c>
      <c r="BB168" s="2505">
        <f>'4.3.2'!$N$5</f>
        <v>7.1194537769784167</v>
      </c>
      <c r="BC168" s="2568" t="s">
        <v>557</v>
      </c>
      <c r="BD168" s="1362">
        <f t="shared" si="123"/>
        <v>462.8784067640288</v>
      </c>
      <c r="BE168" s="1360">
        <f t="shared" si="124"/>
        <v>40.17435228517985</v>
      </c>
      <c r="BF168" s="1132" t="str">
        <f t="shared" si="125"/>
        <v>CI-HW_-LFFA-V08-190101</v>
      </c>
      <c r="BG168" s="1132" t="str">
        <f t="shared" si="126"/>
        <v>Nicor Gas PY11-PY14 Adjustable Goals Template_2025-03-01, Tab 4.3.2</v>
      </c>
      <c r="BH168" s="2505">
        <f>'4.3.2'!$N$5</f>
        <v>7.1194537769784167</v>
      </c>
      <c r="BI168" s="2568" t="s">
        <v>557</v>
      </c>
      <c r="BJ168" s="1362">
        <f t="shared" si="148"/>
        <v>462.8784067640288</v>
      </c>
      <c r="BK168" s="1360">
        <f t="shared" si="127"/>
        <v>40.17435228517985</v>
      </c>
      <c r="BL168" s="1601">
        <f t="shared" si="128"/>
        <v>462.8784067640288</v>
      </c>
      <c r="BM168" s="1601">
        <f t="shared" si="129"/>
        <v>462.8784067640288</v>
      </c>
      <c r="BN168" s="1601">
        <f t="shared" si="130"/>
        <v>462.8784067640288</v>
      </c>
      <c r="BO168" s="1601">
        <f t="shared" si="131"/>
        <v>462.8784067640288</v>
      </c>
      <c r="BP168" s="1602">
        <f t="shared" si="132"/>
        <v>1851.5136270561152</v>
      </c>
      <c r="BQ168" s="1602"/>
      <c r="BR168" s="1602" t="s">
        <v>555</v>
      </c>
      <c r="BS168" s="1602">
        <v>0</v>
      </c>
      <c r="BT168" s="1602">
        <v>10</v>
      </c>
      <c r="BU168" s="1602">
        <v>10</v>
      </c>
      <c r="BV168" s="1602">
        <v>10</v>
      </c>
      <c r="BW168" s="1602">
        <v>10</v>
      </c>
      <c r="BX168" s="1362">
        <f t="shared" si="149"/>
        <v>4227.0405447884896</v>
      </c>
      <c r="BY168" s="1362">
        <f t="shared" si="150"/>
        <v>4227.0405447884896</v>
      </c>
      <c r="BZ168" s="1362">
        <f t="shared" si="151"/>
        <v>4227.0405447884896</v>
      </c>
      <c r="CA168" s="1362">
        <f t="shared" si="152"/>
        <v>4227.0405447884896</v>
      </c>
      <c r="CB168" s="1362">
        <f t="shared" si="153"/>
        <v>16908.162179153958</v>
      </c>
      <c r="CC168" s="1360">
        <v>10</v>
      </c>
      <c r="CD168" s="1360">
        <v>10</v>
      </c>
      <c r="CE168" s="1360">
        <v>10</v>
      </c>
      <c r="CF168" s="1360">
        <v>10</v>
      </c>
      <c r="CG168" s="1604">
        <f t="shared" si="133"/>
        <v>4628.7840676402884</v>
      </c>
      <c r="CH168" s="1604">
        <f t="shared" si="134"/>
        <v>4628.7840676402884</v>
      </c>
      <c r="CI168" s="1604">
        <f t="shared" si="135"/>
        <v>4628.7840676402884</v>
      </c>
      <c r="CJ168" s="1604">
        <f t="shared" si="136"/>
        <v>4628.7840676402884</v>
      </c>
      <c r="CK168" s="1521">
        <f t="shared" si="137"/>
        <v>18515.136270561154</v>
      </c>
      <c r="CL168" s="1132">
        <v>161</v>
      </c>
      <c r="CM168" s="1132" t="s">
        <v>328</v>
      </c>
      <c r="CN168" s="1359">
        <v>0</v>
      </c>
      <c r="CO168" s="1360">
        <v>75.600000000000009</v>
      </c>
      <c r="CP168" s="1360">
        <v>75.600000000000009</v>
      </c>
      <c r="CQ168" s="1360">
        <v>75.600000000000009</v>
      </c>
      <c r="CR168" s="1360">
        <v>75.600000000000009</v>
      </c>
      <c r="CS168" s="1362">
        <f t="shared" si="138"/>
        <v>462.8784067640288</v>
      </c>
      <c r="CT168" s="1362">
        <f t="shared" si="139"/>
        <v>462.8784067640288</v>
      </c>
      <c r="CU168" s="1362">
        <f t="shared" si="140"/>
        <v>462.8784067640288</v>
      </c>
      <c r="CV168" s="1362">
        <f t="shared" si="141"/>
        <v>462.8784067640288</v>
      </c>
      <c r="CW168" s="1362">
        <f t="shared" si="142"/>
        <v>1851.5136270561152</v>
      </c>
      <c r="CY168" s="2887"/>
    </row>
    <row r="169" spans="1:103" s="1143" customFormat="1" ht="46.5" x14ac:dyDescent="0.35">
      <c r="A169" s="1132" t="s">
        <v>101</v>
      </c>
      <c r="B169" s="1132" t="s">
        <v>601</v>
      </c>
      <c r="C169" s="1132" t="s">
        <v>558</v>
      </c>
      <c r="D169" s="1359" t="s">
        <v>559</v>
      </c>
      <c r="E169" s="1359">
        <v>1</v>
      </c>
      <c r="F169" s="2807" t="s">
        <v>555</v>
      </c>
      <c r="G169" s="1132" t="s">
        <v>328</v>
      </c>
      <c r="H169" s="1360">
        <v>358.17600000000004</v>
      </c>
      <c r="I169" s="1360">
        <v>358.17600000000004</v>
      </c>
      <c r="J169" s="1360">
        <v>358.17600000000004</v>
      </c>
      <c r="K169" s="1360">
        <v>358.17600000000004</v>
      </c>
      <c r="L169" s="1132" t="s">
        <v>556</v>
      </c>
      <c r="M169" s="1132" t="str">
        <f t="shared" si="104"/>
        <v>Nicor Gas PY11-PY14 Adjustable Goals Template_2025-03-01, Tab 4.3.2</v>
      </c>
      <c r="N169" s="1361">
        <v>5.3328738669064739</v>
      </c>
      <c r="O169" s="1361">
        <v>5.3328738669064739</v>
      </c>
      <c r="P169" s="1361">
        <v>5.3328738669064739</v>
      </c>
      <c r="Q169" s="1361">
        <v>5.3328738669064739</v>
      </c>
      <c r="R169" s="1781">
        <v>0.86</v>
      </c>
      <c r="S169" s="1781">
        <v>0.86</v>
      </c>
      <c r="T169" s="1781">
        <v>0.86</v>
      </c>
      <c r="U169" s="1781">
        <v>0.86</v>
      </c>
      <c r="V169" s="1781">
        <v>0.86</v>
      </c>
      <c r="W169" s="1781">
        <v>0.86</v>
      </c>
      <c r="X169" s="1781">
        <v>0.86</v>
      </c>
      <c r="Y169" s="1781">
        <v>0.86</v>
      </c>
      <c r="Z169" s="1359">
        <v>1</v>
      </c>
      <c r="AA169" s="1781">
        <f t="shared" si="105"/>
        <v>0.86</v>
      </c>
      <c r="AB169" s="1781">
        <f t="shared" si="106"/>
        <v>0.86</v>
      </c>
      <c r="AC169" s="1781">
        <f t="shared" si="107"/>
        <v>0.86</v>
      </c>
      <c r="AD169" s="1781">
        <f t="shared" si="108"/>
        <v>0.86</v>
      </c>
      <c r="AE169" s="1781">
        <f t="shared" si="109"/>
        <v>0.86</v>
      </c>
      <c r="AF169" s="1781">
        <f t="shared" si="110"/>
        <v>0.86</v>
      </c>
      <c r="AG169" s="1781">
        <f t="shared" si="111"/>
        <v>0.86</v>
      </c>
      <c r="AH169" s="1781">
        <f t="shared" si="112"/>
        <v>0.86</v>
      </c>
      <c r="AI169" s="1362">
        <f t="shared" si="143"/>
        <v>1642.6923899316603</v>
      </c>
      <c r="AJ169" s="1362">
        <f t="shared" si="144"/>
        <v>1642.6923899316603</v>
      </c>
      <c r="AK169" s="1362">
        <f t="shared" si="145"/>
        <v>1642.6923899316603</v>
      </c>
      <c r="AL169" s="1362">
        <f t="shared" si="146"/>
        <v>1642.6923899316603</v>
      </c>
      <c r="AM169" s="1362">
        <f t="shared" si="147"/>
        <v>6570.7695597266411</v>
      </c>
      <c r="AN169" s="1132" t="str">
        <f t="shared" si="113"/>
        <v>CI-HW_-LFFA-V08-190101</v>
      </c>
      <c r="AO169" s="1132" t="str">
        <f t="shared" si="114"/>
        <v>Nicor Gas PY11-PY14 Adjustable Goals Template_2025-03-01, Tab 4.3.2</v>
      </c>
      <c r="AP169" s="2568">
        <f>'4.3.2'!$N$4</f>
        <v>5.9104899280575545</v>
      </c>
      <c r="AQ169" s="2568" t="s">
        <v>557</v>
      </c>
      <c r="AR169" s="2505">
        <f t="shared" si="115"/>
        <v>1820.6162508058708</v>
      </c>
      <c r="AS169" s="2505">
        <f t="shared" si="116"/>
        <v>177.9238608742105</v>
      </c>
      <c r="AT169" s="1132" t="str">
        <f t="shared" si="117"/>
        <v>CI-HW_-LFFA-V08-190101</v>
      </c>
      <c r="AU169" s="1132" t="str">
        <f t="shared" si="118"/>
        <v>Nicor Gas PY11-PY14 Adjustable Goals Template_2025-03-01, Tab 4.3.2</v>
      </c>
      <c r="AV169" s="2505">
        <f>'4.3.2'!$N$4</f>
        <v>5.9104899280575545</v>
      </c>
      <c r="AW169" s="2568" t="s">
        <v>557</v>
      </c>
      <c r="AX169" s="1362">
        <f t="shared" si="119"/>
        <v>1820.6162508058708</v>
      </c>
      <c r="AY169" s="1360">
        <f t="shared" si="120"/>
        <v>177.9238608742105</v>
      </c>
      <c r="AZ169" s="1132" t="str">
        <f t="shared" si="121"/>
        <v>CI-HW_-LFFA-V08-190101</v>
      </c>
      <c r="BA169" s="1132" t="str">
        <f t="shared" si="122"/>
        <v>Nicor Gas PY11-PY14 Adjustable Goals Template_2025-03-01, Tab 4.3.2</v>
      </c>
      <c r="BB169" s="2505">
        <f>'4.3.2'!$N$4</f>
        <v>5.9104899280575545</v>
      </c>
      <c r="BC169" s="2568" t="s">
        <v>557</v>
      </c>
      <c r="BD169" s="1362">
        <f t="shared" si="123"/>
        <v>1820.6162508058708</v>
      </c>
      <c r="BE169" s="1360">
        <f t="shared" si="124"/>
        <v>177.9238608742105</v>
      </c>
      <c r="BF169" s="1132" t="str">
        <f t="shared" si="125"/>
        <v>CI-HW_-LFFA-V08-190101</v>
      </c>
      <c r="BG169" s="1132" t="str">
        <f t="shared" si="126"/>
        <v>Nicor Gas PY11-PY14 Adjustable Goals Template_2025-03-01, Tab 4.3.2</v>
      </c>
      <c r="BH169" s="2505">
        <f>'4.3.2'!$N$4</f>
        <v>5.9104899280575545</v>
      </c>
      <c r="BI169" s="2568" t="s">
        <v>557</v>
      </c>
      <c r="BJ169" s="1362">
        <f t="shared" si="148"/>
        <v>1820.6162508058708</v>
      </c>
      <c r="BK169" s="1360">
        <f t="shared" si="127"/>
        <v>177.9238608742105</v>
      </c>
      <c r="BL169" s="1601">
        <f t="shared" si="128"/>
        <v>1820.6162508058708</v>
      </c>
      <c r="BM169" s="1601">
        <f t="shared" si="129"/>
        <v>1820.6162508058708</v>
      </c>
      <c r="BN169" s="1601">
        <f t="shared" si="130"/>
        <v>1820.6162508058708</v>
      </c>
      <c r="BO169" s="1601">
        <f t="shared" si="131"/>
        <v>1820.6162508058708</v>
      </c>
      <c r="BP169" s="1602">
        <f t="shared" si="132"/>
        <v>7282.4650032234831</v>
      </c>
      <c r="BQ169" s="1602"/>
      <c r="BR169" s="1602" t="s">
        <v>555</v>
      </c>
      <c r="BS169" s="1602">
        <v>0</v>
      </c>
      <c r="BT169" s="1602">
        <v>10</v>
      </c>
      <c r="BU169" s="1602">
        <v>10</v>
      </c>
      <c r="BV169" s="1602">
        <v>10</v>
      </c>
      <c r="BW169" s="1602">
        <v>10</v>
      </c>
      <c r="BX169" s="1362">
        <f t="shared" si="149"/>
        <v>16426.923899316604</v>
      </c>
      <c r="BY169" s="1362">
        <f t="shared" si="150"/>
        <v>16426.923899316604</v>
      </c>
      <c r="BZ169" s="1362">
        <f t="shared" si="151"/>
        <v>16426.923899316604</v>
      </c>
      <c r="CA169" s="1362">
        <f t="shared" si="152"/>
        <v>16426.923899316604</v>
      </c>
      <c r="CB169" s="1362">
        <f t="shared" si="153"/>
        <v>65707.695597266415</v>
      </c>
      <c r="CC169" s="1360">
        <v>10</v>
      </c>
      <c r="CD169" s="1360">
        <v>10</v>
      </c>
      <c r="CE169" s="1360">
        <v>10</v>
      </c>
      <c r="CF169" s="1360">
        <v>10</v>
      </c>
      <c r="CG169" s="1604">
        <f t="shared" si="133"/>
        <v>18206.162508058707</v>
      </c>
      <c r="CH169" s="1604">
        <f t="shared" si="134"/>
        <v>18206.162508058707</v>
      </c>
      <c r="CI169" s="1604">
        <f t="shared" si="135"/>
        <v>18206.162508058707</v>
      </c>
      <c r="CJ169" s="1604">
        <f t="shared" si="136"/>
        <v>18206.162508058707</v>
      </c>
      <c r="CK169" s="1521">
        <f t="shared" si="137"/>
        <v>72824.650032234829</v>
      </c>
      <c r="CL169" s="1132">
        <v>162</v>
      </c>
      <c r="CM169" s="1132" t="s">
        <v>328</v>
      </c>
      <c r="CN169" s="1359">
        <v>0</v>
      </c>
      <c r="CO169" s="1360">
        <v>358.17600000000004</v>
      </c>
      <c r="CP169" s="1360">
        <v>358.17600000000004</v>
      </c>
      <c r="CQ169" s="1360">
        <v>358.17600000000004</v>
      </c>
      <c r="CR169" s="1360">
        <v>358.17600000000004</v>
      </c>
      <c r="CS169" s="1362">
        <f t="shared" si="138"/>
        <v>1820.6162508058708</v>
      </c>
      <c r="CT169" s="1362">
        <f t="shared" si="139"/>
        <v>1820.6162508058708</v>
      </c>
      <c r="CU169" s="1362">
        <f t="shared" si="140"/>
        <v>1820.6162508058708</v>
      </c>
      <c r="CV169" s="1362">
        <f t="shared" si="141"/>
        <v>1820.6162508058708</v>
      </c>
      <c r="CW169" s="1362">
        <f t="shared" si="142"/>
        <v>7282.4650032234831</v>
      </c>
      <c r="CY169" s="2887"/>
    </row>
    <row r="170" spans="1:103" s="1143" customFormat="1" ht="46.5" x14ac:dyDescent="0.35">
      <c r="A170" s="1132" t="s">
        <v>101</v>
      </c>
      <c r="B170" s="1132" t="s">
        <v>601</v>
      </c>
      <c r="C170" s="1132" t="s">
        <v>560</v>
      </c>
      <c r="D170" s="1359" t="s">
        <v>561</v>
      </c>
      <c r="E170" s="1359">
        <v>1</v>
      </c>
      <c r="F170" s="2807" t="s">
        <v>555</v>
      </c>
      <c r="G170" s="1132" t="s">
        <v>328</v>
      </c>
      <c r="H170" s="1360">
        <v>42</v>
      </c>
      <c r="I170" s="1360">
        <v>42</v>
      </c>
      <c r="J170" s="1360">
        <v>42</v>
      </c>
      <c r="K170" s="1360">
        <v>42</v>
      </c>
      <c r="L170" s="1132" t="s">
        <v>556</v>
      </c>
      <c r="M170" s="1132" t="str">
        <f t="shared" si="104"/>
        <v>Nicor Gas PY11-PY14 Adjustable Goals Template_2025-03-01, Tab 4.3.2</v>
      </c>
      <c r="N170" s="1361">
        <v>24.761780691313646</v>
      </c>
      <c r="O170" s="1361">
        <v>24.761780691313646</v>
      </c>
      <c r="P170" s="1361">
        <v>24.761780691313646</v>
      </c>
      <c r="Q170" s="1361">
        <v>24.761780691313646</v>
      </c>
      <c r="R170" s="1781">
        <v>0.86</v>
      </c>
      <c r="S170" s="1781">
        <v>0.86</v>
      </c>
      <c r="T170" s="1781">
        <v>0.86</v>
      </c>
      <c r="U170" s="1781">
        <v>0.86</v>
      </c>
      <c r="V170" s="1781">
        <v>0.86</v>
      </c>
      <c r="W170" s="1781">
        <v>0.86</v>
      </c>
      <c r="X170" s="1781">
        <v>0.86</v>
      </c>
      <c r="Y170" s="1781">
        <v>0.86</v>
      </c>
      <c r="Z170" s="1359">
        <v>1</v>
      </c>
      <c r="AA170" s="1781">
        <f t="shared" si="105"/>
        <v>0.86</v>
      </c>
      <c r="AB170" s="1781">
        <f t="shared" si="106"/>
        <v>0.86</v>
      </c>
      <c r="AC170" s="1781">
        <f t="shared" si="107"/>
        <v>0.86</v>
      </c>
      <c r="AD170" s="1781">
        <f t="shared" si="108"/>
        <v>0.86</v>
      </c>
      <c r="AE170" s="1781">
        <f t="shared" si="109"/>
        <v>0.86</v>
      </c>
      <c r="AF170" s="1781">
        <f t="shared" si="110"/>
        <v>0.86</v>
      </c>
      <c r="AG170" s="1781">
        <f t="shared" si="111"/>
        <v>0.86</v>
      </c>
      <c r="AH170" s="1781">
        <f t="shared" si="112"/>
        <v>0.86</v>
      </c>
      <c r="AI170" s="1362">
        <f t="shared" si="143"/>
        <v>894.3955185702489</v>
      </c>
      <c r="AJ170" s="1362">
        <f t="shared" si="144"/>
        <v>894.3955185702489</v>
      </c>
      <c r="AK170" s="1362">
        <f t="shared" si="145"/>
        <v>894.3955185702489</v>
      </c>
      <c r="AL170" s="1362">
        <f t="shared" si="146"/>
        <v>894.3955185702489</v>
      </c>
      <c r="AM170" s="1362">
        <f t="shared" si="147"/>
        <v>3577.5820742809956</v>
      </c>
      <c r="AN170" s="1132" t="str">
        <f t="shared" si="113"/>
        <v>CI-HW_-LFFA-V08-190101</v>
      </c>
      <c r="AO170" s="1132" t="str">
        <f t="shared" si="114"/>
        <v>Nicor Gas PY11-PY14 Adjustable Goals Template_2025-03-01, Tab 4.3.2</v>
      </c>
      <c r="AP170" s="2568">
        <f>'4.3.2'!$N$6</f>
        <v>37.620137903225817</v>
      </c>
      <c r="AQ170" s="2568" t="s">
        <v>557</v>
      </c>
      <c r="AR170" s="2505">
        <f t="shared" si="115"/>
        <v>1358.8393810645166</v>
      </c>
      <c r="AS170" s="2505">
        <f t="shared" si="116"/>
        <v>464.44386249426771</v>
      </c>
      <c r="AT170" s="1132" t="str">
        <f t="shared" si="117"/>
        <v>CI-HW_-LFFA-V08-190101</v>
      </c>
      <c r="AU170" s="1132" t="str">
        <f t="shared" si="118"/>
        <v>Nicor Gas PY11-PY14 Adjustable Goals Template_2025-03-01, Tab 4.3.2</v>
      </c>
      <c r="AV170" s="2505">
        <f>'4.3.2'!$N$6</f>
        <v>37.620137903225817</v>
      </c>
      <c r="AW170" s="2568" t="s">
        <v>557</v>
      </c>
      <c r="AX170" s="1362">
        <f t="shared" si="119"/>
        <v>1358.8393810645166</v>
      </c>
      <c r="AY170" s="1360">
        <f t="shared" si="120"/>
        <v>464.44386249426771</v>
      </c>
      <c r="AZ170" s="1132" t="str">
        <f t="shared" si="121"/>
        <v>CI-HW_-LFFA-V08-190101</v>
      </c>
      <c r="BA170" s="1132" t="str">
        <f t="shared" si="122"/>
        <v>Nicor Gas PY11-PY14 Adjustable Goals Template_2025-03-01, Tab 4.3.2</v>
      </c>
      <c r="BB170" s="2505">
        <f>'4.3.2'!$N$6</f>
        <v>37.620137903225817</v>
      </c>
      <c r="BC170" s="2568" t="s">
        <v>557</v>
      </c>
      <c r="BD170" s="1362">
        <f t="shared" si="123"/>
        <v>1358.8393810645166</v>
      </c>
      <c r="BE170" s="1360">
        <f t="shared" si="124"/>
        <v>464.44386249426771</v>
      </c>
      <c r="BF170" s="1132" t="str">
        <f t="shared" si="125"/>
        <v>CI-HW_-LFFA-V08-190101</v>
      </c>
      <c r="BG170" s="1132" t="str">
        <f t="shared" si="126"/>
        <v>Nicor Gas PY11-PY14 Adjustable Goals Template_2025-03-01, Tab 4.3.2</v>
      </c>
      <c r="BH170" s="2505">
        <f>'4.3.2'!$N$6</f>
        <v>37.620137903225817</v>
      </c>
      <c r="BI170" s="2568" t="s">
        <v>557</v>
      </c>
      <c r="BJ170" s="1362">
        <f t="shared" si="148"/>
        <v>1358.8393810645166</v>
      </c>
      <c r="BK170" s="1360">
        <f t="shared" si="127"/>
        <v>464.44386249426771</v>
      </c>
      <c r="BL170" s="1601">
        <f t="shared" si="128"/>
        <v>1358.8393810645166</v>
      </c>
      <c r="BM170" s="1601">
        <f t="shared" si="129"/>
        <v>1358.8393810645166</v>
      </c>
      <c r="BN170" s="1601">
        <f t="shared" si="130"/>
        <v>1358.8393810645166</v>
      </c>
      <c r="BO170" s="1601">
        <f t="shared" si="131"/>
        <v>1358.8393810645166</v>
      </c>
      <c r="BP170" s="1602">
        <f t="shared" si="132"/>
        <v>5435.3575242580664</v>
      </c>
      <c r="BQ170" s="1602"/>
      <c r="BR170" s="1602" t="s">
        <v>555</v>
      </c>
      <c r="BS170" s="1602">
        <v>0</v>
      </c>
      <c r="BT170" s="1602">
        <v>10</v>
      </c>
      <c r="BU170" s="1602">
        <v>10</v>
      </c>
      <c r="BV170" s="1602">
        <v>10</v>
      </c>
      <c r="BW170" s="1602">
        <v>10</v>
      </c>
      <c r="BX170" s="1362">
        <f t="shared" si="149"/>
        <v>8943.955185702489</v>
      </c>
      <c r="BY170" s="1362">
        <f t="shared" si="150"/>
        <v>8943.955185702489</v>
      </c>
      <c r="BZ170" s="1362">
        <f t="shared" si="151"/>
        <v>8943.955185702489</v>
      </c>
      <c r="CA170" s="1362">
        <f t="shared" si="152"/>
        <v>8943.955185702489</v>
      </c>
      <c r="CB170" s="1362">
        <f t="shared" si="153"/>
        <v>35775.820742809956</v>
      </c>
      <c r="CC170" s="1360">
        <v>10</v>
      </c>
      <c r="CD170" s="1360">
        <v>10</v>
      </c>
      <c r="CE170" s="1360">
        <v>10</v>
      </c>
      <c r="CF170" s="1360">
        <v>10</v>
      </c>
      <c r="CG170" s="1604">
        <f t="shared" si="133"/>
        <v>13588.393810645164</v>
      </c>
      <c r="CH170" s="1604">
        <f t="shared" si="134"/>
        <v>13588.393810645164</v>
      </c>
      <c r="CI170" s="1604">
        <f t="shared" si="135"/>
        <v>13588.393810645164</v>
      </c>
      <c r="CJ170" s="1604">
        <f t="shared" si="136"/>
        <v>13588.393810645164</v>
      </c>
      <c r="CK170" s="1521">
        <f t="shared" si="137"/>
        <v>54353.575242580657</v>
      </c>
      <c r="CL170" s="1132">
        <v>163</v>
      </c>
      <c r="CM170" s="1132" t="s">
        <v>328</v>
      </c>
      <c r="CN170" s="1359">
        <v>0</v>
      </c>
      <c r="CO170" s="1360">
        <v>42</v>
      </c>
      <c r="CP170" s="1360">
        <v>42</v>
      </c>
      <c r="CQ170" s="1360">
        <v>42</v>
      </c>
      <c r="CR170" s="1360">
        <v>42</v>
      </c>
      <c r="CS170" s="1362">
        <f t="shared" si="138"/>
        <v>1358.8393810645166</v>
      </c>
      <c r="CT170" s="1362">
        <f t="shared" si="139"/>
        <v>1358.8393810645166</v>
      </c>
      <c r="CU170" s="1362">
        <f t="shared" si="140"/>
        <v>1358.8393810645166</v>
      </c>
      <c r="CV170" s="1362">
        <f t="shared" si="141"/>
        <v>1358.8393810645166</v>
      </c>
      <c r="CW170" s="1362">
        <f t="shared" si="142"/>
        <v>5435.3575242580664</v>
      </c>
      <c r="CY170" s="2887"/>
    </row>
    <row r="171" spans="1:103" s="1143" customFormat="1" ht="46.5" x14ac:dyDescent="0.35">
      <c r="A171" s="1132" t="s">
        <v>101</v>
      </c>
      <c r="B171" s="1132" t="s">
        <v>601</v>
      </c>
      <c r="C171" s="1132" t="s">
        <v>562</v>
      </c>
      <c r="D171" s="1359" t="s">
        <v>563</v>
      </c>
      <c r="E171" s="1359">
        <v>1</v>
      </c>
      <c r="F171" s="2807" t="s">
        <v>563</v>
      </c>
      <c r="G171" s="1132" t="s">
        <v>328</v>
      </c>
      <c r="H171" s="1360">
        <v>48.72</v>
      </c>
      <c r="I171" s="1360">
        <v>48.72</v>
      </c>
      <c r="J171" s="1360">
        <v>48.72</v>
      </c>
      <c r="K171" s="1360">
        <v>48.72</v>
      </c>
      <c r="L171" s="1132" t="s">
        <v>564</v>
      </c>
      <c r="M171" s="1132" t="str">
        <f t="shared" si="104"/>
        <v>Nicor Gas PY11-PY14 Adjustable Goals Template_2025-03-01, Tab 4.3.3</v>
      </c>
      <c r="N171" s="1361">
        <v>19.917921113999995</v>
      </c>
      <c r="O171" s="1361">
        <v>19.917921113999995</v>
      </c>
      <c r="P171" s="1361">
        <v>19.917921113999995</v>
      </c>
      <c r="Q171" s="1361">
        <v>19.917921113999995</v>
      </c>
      <c r="R171" s="1781">
        <v>0.86</v>
      </c>
      <c r="S171" s="1781">
        <v>0.86</v>
      </c>
      <c r="T171" s="1781">
        <v>0.86</v>
      </c>
      <c r="U171" s="1781">
        <v>0.86</v>
      </c>
      <c r="V171" s="1781">
        <v>0.86</v>
      </c>
      <c r="W171" s="1781">
        <v>0.86</v>
      </c>
      <c r="X171" s="1781">
        <v>0.86</v>
      </c>
      <c r="Y171" s="1781">
        <v>0.86</v>
      </c>
      <c r="Z171" s="1359">
        <v>1</v>
      </c>
      <c r="AA171" s="1781">
        <f t="shared" si="105"/>
        <v>0.86</v>
      </c>
      <c r="AB171" s="1781">
        <f t="shared" si="106"/>
        <v>0.86</v>
      </c>
      <c r="AC171" s="1781">
        <f t="shared" si="107"/>
        <v>0.86</v>
      </c>
      <c r="AD171" s="1781">
        <f t="shared" si="108"/>
        <v>0.86</v>
      </c>
      <c r="AE171" s="1781">
        <f t="shared" si="109"/>
        <v>0.86</v>
      </c>
      <c r="AF171" s="1781">
        <f t="shared" si="110"/>
        <v>0.86</v>
      </c>
      <c r="AG171" s="1781">
        <f t="shared" si="111"/>
        <v>0.86</v>
      </c>
      <c r="AH171" s="1781">
        <f t="shared" si="112"/>
        <v>0.86</v>
      </c>
      <c r="AI171" s="1362">
        <f t="shared" si="143"/>
        <v>834.54496033970861</v>
      </c>
      <c r="AJ171" s="1362">
        <f t="shared" si="144"/>
        <v>834.54496033970861</v>
      </c>
      <c r="AK171" s="1362">
        <f t="shared" si="145"/>
        <v>834.54496033970861</v>
      </c>
      <c r="AL171" s="1362">
        <f t="shared" si="146"/>
        <v>834.54496033970861</v>
      </c>
      <c r="AM171" s="1362">
        <f t="shared" si="147"/>
        <v>3338.1798413588344</v>
      </c>
      <c r="AN171" s="1132" t="str">
        <f t="shared" si="113"/>
        <v>CI-HW_-HWE-LFSH-V05-190101</v>
      </c>
      <c r="AO171" s="1132" t="str">
        <f t="shared" si="114"/>
        <v>Nicor Gas PY11-PY14 Adjustable Goals Template_2025-03-01, Tab 4.3.3</v>
      </c>
      <c r="AP171" s="2568">
        <f>'4.3.3'!$O$4</f>
        <v>21.634983278999997</v>
      </c>
      <c r="AQ171" s="2568" t="s">
        <v>557</v>
      </c>
      <c r="AR171" s="2505">
        <f t="shared" si="115"/>
        <v>906.48849140347659</v>
      </c>
      <c r="AS171" s="2505">
        <f t="shared" si="116"/>
        <v>71.943531063767978</v>
      </c>
      <c r="AT171" s="1132" t="str">
        <f t="shared" si="117"/>
        <v>CI-HW_-HWE-LFSH-V05-190101</v>
      </c>
      <c r="AU171" s="1132" t="str">
        <f t="shared" si="118"/>
        <v>Nicor Gas PY11-PY14 Adjustable Goals Template_2025-03-01, Tab 4.3.3</v>
      </c>
      <c r="AV171" s="2505">
        <f>'4.3.3'!$O$4</f>
        <v>21.634983278999997</v>
      </c>
      <c r="AW171" s="2568" t="s">
        <v>557</v>
      </c>
      <c r="AX171" s="1362">
        <f t="shared" si="119"/>
        <v>906.48849140347659</v>
      </c>
      <c r="AY171" s="1360">
        <f t="shared" si="120"/>
        <v>71.943531063767978</v>
      </c>
      <c r="AZ171" s="1132" t="str">
        <f t="shared" si="121"/>
        <v>CI-HW_-HWE-LFSH-V05-190101</v>
      </c>
      <c r="BA171" s="1132" t="str">
        <f t="shared" si="122"/>
        <v>Nicor Gas PY11-PY14 Adjustable Goals Template_2025-03-01, Tab 4.3.3</v>
      </c>
      <c r="BB171" s="2505">
        <f>'4.3.3'!$O$4</f>
        <v>21.634983278999997</v>
      </c>
      <c r="BC171" s="2568" t="s">
        <v>557</v>
      </c>
      <c r="BD171" s="1362">
        <f t="shared" si="123"/>
        <v>906.48849140347659</v>
      </c>
      <c r="BE171" s="1360">
        <f t="shared" si="124"/>
        <v>71.943531063767978</v>
      </c>
      <c r="BF171" s="1132" t="str">
        <f t="shared" si="125"/>
        <v>CI-HW_-HWE-LFSH-V05-190101</v>
      </c>
      <c r="BG171" s="1132" t="str">
        <f t="shared" si="126"/>
        <v>Nicor Gas PY11-PY14 Adjustable Goals Template_2025-03-01, Tab 4.3.3</v>
      </c>
      <c r="BH171" s="2505">
        <f>'4.3.3'!$O$4</f>
        <v>21.634983278999997</v>
      </c>
      <c r="BI171" s="2568" t="s">
        <v>557</v>
      </c>
      <c r="BJ171" s="1362">
        <f t="shared" si="148"/>
        <v>906.48849140347659</v>
      </c>
      <c r="BK171" s="1360">
        <f t="shared" si="127"/>
        <v>71.943531063767978</v>
      </c>
      <c r="BL171" s="1601">
        <f t="shared" si="128"/>
        <v>906.48849140347659</v>
      </c>
      <c r="BM171" s="1601">
        <f t="shared" si="129"/>
        <v>906.48849140347659</v>
      </c>
      <c r="BN171" s="1601">
        <f t="shared" si="130"/>
        <v>906.48849140347659</v>
      </c>
      <c r="BO171" s="1601">
        <f t="shared" si="131"/>
        <v>906.48849140347659</v>
      </c>
      <c r="BP171" s="1602">
        <f t="shared" si="132"/>
        <v>3625.9539656139063</v>
      </c>
      <c r="BQ171" s="1602"/>
      <c r="BR171" s="1602" t="s">
        <v>563</v>
      </c>
      <c r="BS171" s="1602">
        <v>0</v>
      </c>
      <c r="BT171" s="1602">
        <v>10</v>
      </c>
      <c r="BU171" s="1602">
        <v>10</v>
      </c>
      <c r="BV171" s="1602">
        <v>10</v>
      </c>
      <c r="BW171" s="1602">
        <v>10</v>
      </c>
      <c r="BX171" s="1362">
        <f t="shared" si="149"/>
        <v>8345.4496033970863</v>
      </c>
      <c r="BY171" s="1362">
        <f t="shared" si="150"/>
        <v>8345.4496033970863</v>
      </c>
      <c r="BZ171" s="1362">
        <f t="shared" si="151"/>
        <v>8345.4496033970863</v>
      </c>
      <c r="CA171" s="1362">
        <f t="shared" si="152"/>
        <v>8345.4496033970863</v>
      </c>
      <c r="CB171" s="1362">
        <f t="shared" si="153"/>
        <v>33381.798413588345</v>
      </c>
      <c r="CC171" s="1360">
        <v>10</v>
      </c>
      <c r="CD171" s="1360">
        <v>10</v>
      </c>
      <c r="CE171" s="1360">
        <v>10</v>
      </c>
      <c r="CF171" s="1360">
        <v>10</v>
      </c>
      <c r="CG171" s="1604">
        <f t="shared" si="133"/>
        <v>9064.8849140347666</v>
      </c>
      <c r="CH171" s="1604">
        <f t="shared" si="134"/>
        <v>9064.8849140347666</v>
      </c>
      <c r="CI171" s="1604">
        <f t="shared" si="135"/>
        <v>9064.8849140347666</v>
      </c>
      <c r="CJ171" s="1604">
        <f t="shared" si="136"/>
        <v>9064.8849140347666</v>
      </c>
      <c r="CK171" s="1521">
        <f t="shared" si="137"/>
        <v>36259.539656139066</v>
      </c>
      <c r="CL171" s="1132">
        <v>164</v>
      </c>
      <c r="CM171" s="1132" t="s">
        <v>328</v>
      </c>
      <c r="CN171" s="1359">
        <v>0</v>
      </c>
      <c r="CO171" s="1360">
        <v>48.72</v>
      </c>
      <c r="CP171" s="1360">
        <v>48.72</v>
      </c>
      <c r="CQ171" s="1360">
        <v>48.72</v>
      </c>
      <c r="CR171" s="1360">
        <v>48.72</v>
      </c>
      <c r="CS171" s="1362">
        <f t="shared" si="138"/>
        <v>906.48849140347659</v>
      </c>
      <c r="CT171" s="1362">
        <f t="shared" si="139"/>
        <v>906.48849140347659</v>
      </c>
      <c r="CU171" s="1362">
        <f t="shared" si="140"/>
        <v>906.48849140347659</v>
      </c>
      <c r="CV171" s="1362">
        <f t="shared" si="141"/>
        <v>906.48849140347659</v>
      </c>
      <c r="CW171" s="1362">
        <f t="shared" si="142"/>
        <v>3625.9539656139063</v>
      </c>
      <c r="CY171" s="2887"/>
    </row>
    <row r="172" spans="1:103" s="1143" customFormat="1" ht="45.75" customHeight="1" x14ac:dyDescent="0.35">
      <c r="A172" s="1132" t="s">
        <v>101</v>
      </c>
      <c r="B172" s="1132" t="s">
        <v>601</v>
      </c>
      <c r="C172" s="1132" t="s">
        <v>565</v>
      </c>
      <c r="D172" s="1359" t="s">
        <v>566</v>
      </c>
      <c r="E172" s="1359">
        <v>1</v>
      </c>
      <c r="F172" s="1132" t="s">
        <v>567</v>
      </c>
      <c r="G172" s="1132" t="s">
        <v>337</v>
      </c>
      <c r="H172" s="1360">
        <v>15.120000000000001</v>
      </c>
      <c r="I172" s="1360">
        <v>15.120000000000001</v>
      </c>
      <c r="J172" s="1360">
        <v>15.120000000000001</v>
      </c>
      <c r="K172" s="1360">
        <v>15.120000000000001</v>
      </c>
      <c r="L172" s="1132" t="s">
        <v>568</v>
      </c>
      <c r="M172" s="1132" t="str">
        <f t="shared" si="104"/>
        <v>Nicor Gas PY11-PY14 Adjustable Goals Template_2025-03-01, Tab 4.8.16</v>
      </c>
      <c r="N172" s="1361">
        <v>10.32</v>
      </c>
      <c r="O172" s="1361">
        <v>10.32</v>
      </c>
      <c r="P172" s="1361">
        <v>10.32</v>
      </c>
      <c r="Q172" s="1361">
        <v>10.32</v>
      </c>
      <c r="R172" s="1781">
        <v>0.86</v>
      </c>
      <c r="S172" s="1781">
        <v>0.86</v>
      </c>
      <c r="T172" s="1781">
        <v>0.86</v>
      </c>
      <c r="U172" s="1781">
        <v>0.86</v>
      </c>
      <c r="V172" s="1781">
        <v>0.86</v>
      </c>
      <c r="W172" s="1781">
        <v>0.86</v>
      </c>
      <c r="X172" s="1781">
        <v>0.86</v>
      </c>
      <c r="Y172" s="1781">
        <v>0.86</v>
      </c>
      <c r="Z172" s="1359">
        <v>1</v>
      </c>
      <c r="AA172" s="1781">
        <f t="shared" si="105"/>
        <v>0.86</v>
      </c>
      <c r="AB172" s="1781">
        <f t="shared" si="106"/>
        <v>0.86</v>
      </c>
      <c r="AC172" s="1781">
        <f t="shared" si="107"/>
        <v>0.86</v>
      </c>
      <c r="AD172" s="1781">
        <f t="shared" si="108"/>
        <v>0.86</v>
      </c>
      <c r="AE172" s="1781">
        <f t="shared" si="109"/>
        <v>0.86</v>
      </c>
      <c r="AF172" s="1781">
        <f t="shared" si="110"/>
        <v>0.86</v>
      </c>
      <c r="AG172" s="1781">
        <f t="shared" si="111"/>
        <v>0.86</v>
      </c>
      <c r="AH172" s="1781">
        <f t="shared" si="112"/>
        <v>0.86</v>
      </c>
      <c r="AI172" s="1362">
        <f t="shared" si="143"/>
        <v>134.19302400000001</v>
      </c>
      <c r="AJ172" s="1362">
        <f t="shared" si="144"/>
        <v>134.19302400000001</v>
      </c>
      <c r="AK172" s="1362">
        <f t="shared" si="145"/>
        <v>134.19302400000001</v>
      </c>
      <c r="AL172" s="1362">
        <f t="shared" si="146"/>
        <v>134.19302400000001</v>
      </c>
      <c r="AM172" s="1362">
        <f t="shared" si="147"/>
        <v>536.77209600000003</v>
      </c>
      <c r="AN172" s="1132" t="str">
        <f t="shared" si="113"/>
        <v>CI-MSC-WTST-V01-200101</v>
      </c>
      <c r="AO172" s="1132" t="str">
        <f t="shared" si="114"/>
        <v>Nicor Gas PY11-PY14 Adjustable Goals Template_2025-03-01, Tab 4.8.16</v>
      </c>
      <c r="AP172" s="2505">
        <f>'4.8.16'!$J$5</f>
        <v>10.32</v>
      </c>
      <c r="AQ172" s="2505"/>
      <c r="AR172" s="2505">
        <f t="shared" si="115"/>
        <v>134.19302400000001</v>
      </c>
      <c r="AS172" s="2505">
        <f t="shared" si="116"/>
        <v>0</v>
      </c>
      <c r="AT172" s="1132" t="str">
        <f t="shared" si="117"/>
        <v>CI-MSC-WTST-V01-200101</v>
      </c>
      <c r="AU172" s="1132" t="str">
        <f t="shared" si="118"/>
        <v>Nicor Gas PY11-PY14 Adjustable Goals Template_2025-03-01, Tab 4.8.16</v>
      </c>
      <c r="AV172" s="2505">
        <f>'4.8.16'!$J$5</f>
        <v>10.32</v>
      </c>
      <c r="AW172" s="2505"/>
      <c r="AX172" s="1362">
        <f t="shared" si="119"/>
        <v>134.19302400000001</v>
      </c>
      <c r="AY172" s="1360">
        <f t="shared" si="120"/>
        <v>0</v>
      </c>
      <c r="AZ172" s="1132" t="str">
        <f t="shared" si="121"/>
        <v>CI-MSC-WTST-V01-200101</v>
      </c>
      <c r="BA172" s="1132" t="str">
        <f t="shared" si="122"/>
        <v>Nicor Gas PY11-PY14 Adjustable Goals Template_2025-03-01, Tab 4.8.16</v>
      </c>
      <c r="BB172" s="2505">
        <f>'4.8.16'!$J$5</f>
        <v>10.32</v>
      </c>
      <c r="BC172" s="2505"/>
      <c r="BD172" s="1362">
        <f t="shared" si="123"/>
        <v>134.19302400000001</v>
      </c>
      <c r="BE172" s="1360">
        <f t="shared" si="124"/>
        <v>0</v>
      </c>
      <c r="BF172" s="1132" t="str">
        <f t="shared" si="125"/>
        <v>CI-MSC-WTST-V01-200101</v>
      </c>
      <c r="BG172" s="1132" t="str">
        <f t="shared" si="126"/>
        <v>Nicor Gas PY11-PY14 Adjustable Goals Template_2025-03-01, Tab 4.8.16</v>
      </c>
      <c r="BH172" s="2505">
        <f>'4.8.16'!$J$5</f>
        <v>10.32</v>
      </c>
      <c r="BI172" s="2505"/>
      <c r="BJ172" s="1362">
        <f t="shared" si="148"/>
        <v>134.19302400000001</v>
      </c>
      <c r="BK172" s="1360">
        <f t="shared" si="127"/>
        <v>0</v>
      </c>
      <c r="BL172" s="1601">
        <f t="shared" si="128"/>
        <v>134.19302400000001</v>
      </c>
      <c r="BM172" s="1601">
        <f t="shared" si="129"/>
        <v>134.19302400000001</v>
      </c>
      <c r="BN172" s="1601">
        <f t="shared" si="130"/>
        <v>134.19302400000001</v>
      </c>
      <c r="BO172" s="1601">
        <f t="shared" si="131"/>
        <v>134.19302400000001</v>
      </c>
      <c r="BP172" s="1602">
        <f t="shared" si="132"/>
        <v>536.77209600000003</v>
      </c>
      <c r="BQ172" s="1602"/>
      <c r="BR172" s="1602" t="s">
        <v>567</v>
      </c>
      <c r="BS172" s="1602">
        <v>0</v>
      </c>
      <c r="BT172" s="1602">
        <v>10</v>
      </c>
      <c r="BU172" s="1602">
        <v>10</v>
      </c>
      <c r="BV172" s="1602">
        <v>10</v>
      </c>
      <c r="BW172" s="1602">
        <v>10</v>
      </c>
      <c r="BX172" s="1362">
        <f t="shared" si="149"/>
        <v>1341.9302400000001</v>
      </c>
      <c r="BY172" s="1362">
        <f t="shared" si="150"/>
        <v>1341.9302400000001</v>
      </c>
      <c r="BZ172" s="1362">
        <f t="shared" si="151"/>
        <v>1341.9302400000001</v>
      </c>
      <c r="CA172" s="1362">
        <f t="shared" si="152"/>
        <v>1341.9302400000001</v>
      </c>
      <c r="CB172" s="1362">
        <f t="shared" si="153"/>
        <v>5367.7209600000006</v>
      </c>
      <c r="CC172" s="1360">
        <v>10</v>
      </c>
      <c r="CD172" s="1360">
        <v>10</v>
      </c>
      <c r="CE172" s="1360">
        <v>10</v>
      </c>
      <c r="CF172" s="1360">
        <v>10</v>
      </c>
      <c r="CG172" s="1604">
        <f t="shared" si="133"/>
        <v>1341.9302400000001</v>
      </c>
      <c r="CH172" s="1604">
        <f t="shared" si="134"/>
        <v>1341.9302400000001</v>
      </c>
      <c r="CI172" s="1604">
        <f t="shared" si="135"/>
        <v>1341.9302400000001</v>
      </c>
      <c r="CJ172" s="1604">
        <f t="shared" si="136"/>
        <v>1341.9302400000001</v>
      </c>
      <c r="CK172" s="1521">
        <f t="shared" si="137"/>
        <v>5367.7209600000006</v>
      </c>
      <c r="CL172" s="1132">
        <v>165</v>
      </c>
      <c r="CM172" s="1132" t="s">
        <v>337</v>
      </c>
      <c r="CN172" s="1359">
        <v>0</v>
      </c>
      <c r="CO172" s="1360">
        <v>15.120000000000001</v>
      </c>
      <c r="CP172" s="1360">
        <v>15.120000000000001</v>
      </c>
      <c r="CQ172" s="1360">
        <v>15.120000000000001</v>
      </c>
      <c r="CR172" s="1360">
        <v>15.120000000000001</v>
      </c>
      <c r="CS172" s="1362">
        <f t="shared" si="138"/>
        <v>134.19302400000001</v>
      </c>
      <c r="CT172" s="1362">
        <f t="shared" si="139"/>
        <v>134.19302400000001</v>
      </c>
      <c r="CU172" s="1362">
        <f t="shared" si="140"/>
        <v>134.19302400000001</v>
      </c>
      <c r="CV172" s="1362">
        <f t="shared" si="141"/>
        <v>134.19302400000001</v>
      </c>
      <c r="CW172" s="1362">
        <f t="shared" si="142"/>
        <v>536.77209600000003</v>
      </c>
      <c r="CY172" s="2887"/>
    </row>
    <row r="173" spans="1:103" s="1143" customFormat="1" ht="46.5" x14ac:dyDescent="0.35">
      <c r="A173" s="1132" t="s">
        <v>101</v>
      </c>
      <c r="B173" s="1132" t="s">
        <v>601</v>
      </c>
      <c r="C173" s="1132" t="s">
        <v>569</v>
      </c>
      <c r="D173" s="1701" t="s">
        <v>570</v>
      </c>
      <c r="E173" s="1359">
        <v>1</v>
      </c>
      <c r="F173" s="1132" t="s">
        <v>571</v>
      </c>
      <c r="G173" s="1132" t="s">
        <v>356</v>
      </c>
      <c r="H173" s="1360">
        <v>96.600000000000009</v>
      </c>
      <c r="I173" s="1360">
        <v>96.600000000000009</v>
      </c>
      <c r="J173" s="1360">
        <v>96.600000000000009</v>
      </c>
      <c r="K173" s="1360">
        <v>96.600000000000009</v>
      </c>
      <c r="L173" s="1132" t="s">
        <v>572</v>
      </c>
      <c r="M173" s="1132" t="str">
        <f t="shared" si="104"/>
        <v>Nicor Gas PY11-PY14 Adjustable Goals Template_2025-03-01, Tab 4.4.47</v>
      </c>
      <c r="N173" s="1361">
        <v>55</v>
      </c>
      <c r="O173" s="1361">
        <v>55</v>
      </c>
      <c r="P173" s="1361">
        <v>55</v>
      </c>
      <c r="Q173" s="1361">
        <v>55</v>
      </c>
      <c r="R173" s="1781">
        <v>0.86</v>
      </c>
      <c r="S173" s="1781">
        <v>0.86</v>
      </c>
      <c r="T173" s="1781">
        <v>0.86</v>
      </c>
      <c r="U173" s="1781">
        <v>0.86</v>
      </c>
      <c r="V173" s="1781">
        <v>0.86</v>
      </c>
      <c r="W173" s="1781">
        <v>0.86</v>
      </c>
      <c r="X173" s="1781">
        <v>0.86</v>
      </c>
      <c r="Y173" s="1781">
        <v>0.86</v>
      </c>
      <c r="Z173" s="1359">
        <v>1</v>
      </c>
      <c r="AA173" s="1781">
        <f t="shared" si="105"/>
        <v>0.86</v>
      </c>
      <c r="AB173" s="1781">
        <f t="shared" si="106"/>
        <v>0.86</v>
      </c>
      <c r="AC173" s="1781">
        <f t="shared" si="107"/>
        <v>0.86</v>
      </c>
      <c r="AD173" s="1781">
        <f t="shared" si="108"/>
        <v>0.86</v>
      </c>
      <c r="AE173" s="1781">
        <f t="shared" si="109"/>
        <v>0.86</v>
      </c>
      <c r="AF173" s="1781">
        <f t="shared" si="110"/>
        <v>0.86</v>
      </c>
      <c r="AG173" s="1781">
        <f t="shared" si="111"/>
        <v>0.86</v>
      </c>
      <c r="AH173" s="1781">
        <f t="shared" si="112"/>
        <v>0.86</v>
      </c>
      <c r="AI173" s="1362">
        <f t="shared" si="143"/>
        <v>4569.18</v>
      </c>
      <c r="AJ173" s="1362">
        <f t="shared" si="144"/>
        <v>4569.18</v>
      </c>
      <c r="AK173" s="1362">
        <f t="shared" si="145"/>
        <v>4569.18</v>
      </c>
      <c r="AL173" s="1362">
        <f t="shared" si="146"/>
        <v>4569.18</v>
      </c>
      <c r="AM173" s="1362">
        <f t="shared" si="147"/>
        <v>18276.72</v>
      </c>
      <c r="AN173" s="1132" t="str">
        <f t="shared" si="113"/>
        <v>CI-HVC-ADUV-V01-200101</v>
      </c>
      <c r="AO173" s="1132" t="str">
        <f t="shared" si="114"/>
        <v>Nicor Gas PY11-PY14 Adjustable Goals Template_2025-03-01, Tab 4.4.47</v>
      </c>
      <c r="AP173" s="2505">
        <f>'4.4.47'!$J$4</f>
        <v>55</v>
      </c>
      <c r="AQ173" s="2505"/>
      <c r="AR173" s="2505">
        <f t="shared" si="115"/>
        <v>4569.18</v>
      </c>
      <c r="AS173" s="2505">
        <f t="shared" si="116"/>
        <v>0</v>
      </c>
      <c r="AT173" s="1132" t="str">
        <f t="shared" si="117"/>
        <v>CI-HVC-ADUV-V01-200101</v>
      </c>
      <c r="AU173" s="1132" t="str">
        <f t="shared" si="118"/>
        <v>Nicor Gas PY11-PY14 Adjustable Goals Template_2025-03-01, Tab 4.4.47</v>
      </c>
      <c r="AV173" s="2505">
        <f>'4.4.47'!$J$4</f>
        <v>55</v>
      </c>
      <c r="AW173" s="2505"/>
      <c r="AX173" s="1362">
        <f t="shared" si="119"/>
        <v>4569.18</v>
      </c>
      <c r="AY173" s="1360">
        <f t="shared" si="120"/>
        <v>0</v>
      </c>
      <c r="AZ173" s="1132" t="str">
        <f t="shared" si="121"/>
        <v>CI-HVC-ADUV-V01-200101</v>
      </c>
      <c r="BA173" s="1132" t="str">
        <f t="shared" si="122"/>
        <v>Nicor Gas PY11-PY14 Adjustable Goals Template_2025-03-01, Tab 4.4.47</v>
      </c>
      <c r="BB173" s="2505">
        <f>'4.4.47'!$J$4</f>
        <v>55</v>
      </c>
      <c r="BC173" s="2505"/>
      <c r="BD173" s="1362">
        <f t="shared" si="123"/>
        <v>4569.18</v>
      </c>
      <c r="BE173" s="1360">
        <f t="shared" si="124"/>
        <v>0</v>
      </c>
      <c r="BF173" s="1132" t="str">
        <f t="shared" si="125"/>
        <v>CI-HVC-ADUV-V01-200101</v>
      </c>
      <c r="BG173" s="1132" t="str">
        <f t="shared" si="126"/>
        <v>Nicor Gas PY11-PY14 Adjustable Goals Template_2025-03-01, Tab 4.4.47</v>
      </c>
      <c r="BH173" s="2505">
        <f>'4.4.47'!$J$4</f>
        <v>55</v>
      </c>
      <c r="BI173" s="2505"/>
      <c r="BJ173" s="1362">
        <f t="shared" si="148"/>
        <v>4569.18</v>
      </c>
      <c r="BK173" s="1360">
        <f t="shared" si="127"/>
        <v>0</v>
      </c>
      <c r="BL173" s="1601">
        <f t="shared" si="128"/>
        <v>4569.18</v>
      </c>
      <c r="BM173" s="1601">
        <f t="shared" si="129"/>
        <v>4569.18</v>
      </c>
      <c r="BN173" s="1601">
        <f t="shared" si="130"/>
        <v>4569.18</v>
      </c>
      <c r="BO173" s="1601">
        <f t="shared" si="131"/>
        <v>4569.18</v>
      </c>
      <c r="BP173" s="1602">
        <f t="shared" si="132"/>
        <v>18276.72</v>
      </c>
      <c r="BQ173" s="1602"/>
      <c r="BR173" s="1602" t="s">
        <v>571</v>
      </c>
      <c r="BS173" s="1602">
        <v>0</v>
      </c>
      <c r="BT173" s="1602">
        <v>20</v>
      </c>
      <c r="BU173" s="1602">
        <v>20</v>
      </c>
      <c r="BV173" s="1602">
        <v>20</v>
      </c>
      <c r="BW173" s="1602">
        <v>20</v>
      </c>
      <c r="BX173" s="1362">
        <f t="shared" si="149"/>
        <v>91383.6</v>
      </c>
      <c r="BY173" s="1362">
        <f t="shared" si="150"/>
        <v>91383.6</v>
      </c>
      <c r="BZ173" s="1362">
        <f t="shared" si="151"/>
        <v>91383.6</v>
      </c>
      <c r="CA173" s="1362">
        <f t="shared" si="152"/>
        <v>91383.6</v>
      </c>
      <c r="CB173" s="1362">
        <f t="shared" si="153"/>
        <v>365534.4</v>
      </c>
      <c r="CC173" s="1360">
        <v>20</v>
      </c>
      <c r="CD173" s="1360">
        <v>20</v>
      </c>
      <c r="CE173" s="1360">
        <v>20</v>
      </c>
      <c r="CF173" s="1360">
        <v>20</v>
      </c>
      <c r="CG173" s="1604">
        <f t="shared" si="133"/>
        <v>91383.6</v>
      </c>
      <c r="CH173" s="1604">
        <f t="shared" si="134"/>
        <v>91383.6</v>
      </c>
      <c r="CI173" s="1604">
        <f t="shared" si="135"/>
        <v>91383.6</v>
      </c>
      <c r="CJ173" s="1604">
        <f t="shared" si="136"/>
        <v>91383.6</v>
      </c>
      <c r="CK173" s="1521">
        <f t="shared" si="137"/>
        <v>365534.4</v>
      </c>
      <c r="CL173" s="1132">
        <v>166</v>
      </c>
      <c r="CM173" s="1132" t="s">
        <v>356</v>
      </c>
      <c r="CN173" s="1359">
        <v>0</v>
      </c>
      <c r="CO173" s="1360">
        <v>96.600000000000009</v>
      </c>
      <c r="CP173" s="1360">
        <v>96.600000000000009</v>
      </c>
      <c r="CQ173" s="1360">
        <v>96.600000000000009</v>
      </c>
      <c r="CR173" s="1360">
        <v>96.600000000000009</v>
      </c>
      <c r="CS173" s="1362">
        <f t="shared" si="138"/>
        <v>4569.18</v>
      </c>
      <c r="CT173" s="1362">
        <f t="shared" si="139"/>
        <v>4569.18</v>
      </c>
      <c r="CU173" s="1362">
        <f t="shared" si="140"/>
        <v>4569.18</v>
      </c>
      <c r="CV173" s="1362">
        <f t="shared" si="141"/>
        <v>4569.18</v>
      </c>
      <c r="CW173" s="1362">
        <f t="shared" si="142"/>
        <v>18276.72</v>
      </c>
      <c r="CY173" s="2887"/>
    </row>
    <row r="174" spans="1:103" s="1143" customFormat="1" ht="45.75" customHeight="1" x14ac:dyDescent="0.35">
      <c r="A174" s="1132" t="s">
        <v>101</v>
      </c>
      <c r="B174" s="1132" t="s">
        <v>601</v>
      </c>
      <c r="C174" s="1132" t="s">
        <v>569</v>
      </c>
      <c r="D174" s="1359" t="s">
        <v>570</v>
      </c>
      <c r="E174" s="1359">
        <v>1</v>
      </c>
      <c r="F174" s="1132" t="s">
        <v>571</v>
      </c>
      <c r="G174" s="1132" t="s">
        <v>356</v>
      </c>
      <c r="H174" s="1360">
        <v>12.600000000000001</v>
      </c>
      <c r="I174" s="1360">
        <v>12.600000000000001</v>
      </c>
      <c r="J174" s="1360">
        <v>12.600000000000001</v>
      </c>
      <c r="K174" s="1360">
        <v>12.600000000000001</v>
      </c>
      <c r="L174" s="1132" t="s">
        <v>572</v>
      </c>
      <c r="M174" s="1132" t="str">
        <f t="shared" si="104"/>
        <v>Nicor Gas PY11-PY14 Adjustable Goals Template_2025-03-01, Tab 4.4.47</v>
      </c>
      <c r="N174" s="1361">
        <v>55</v>
      </c>
      <c r="O174" s="1361">
        <v>55</v>
      </c>
      <c r="P174" s="1361">
        <v>55</v>
      </c>
      <c r="Q174" s="1361">
        <v>55</v>
      </c>
      <c r="R174" s="1781">
        <v>0.86</v>
      </c>
      <c r="S174" s="1781">
        <v>0.86</v>
      </c>
      <c r="T174" s="1781">
        <v>0.86</v>
      </c>
      <c r="U174" s="1781">
        <v>0.86</v>
      </c>
      <c r="V174" s="1781">
        <v>0.86</v>
      </c>
      <c r="W174" s="1781">
        <v>0.86</v>
      </c>
      <c r="X174" s="1781">
        <v>0.86</v>
      </c>
      <c r="Y174" s="1781">
        <v>0.86</v>
      </c>
      <c r="Z174" s="1359">
        <v>1</v>
      </c>
      <c r="AA174" s="1781">
        <f t="shared" si="105"/>
        <v>0.86</v>
      </c>
      <c r="AB174" s="1781">
        <f t="shared" si="106"/>
        <v>0.86</v>
      </c>
      <c r="AC174" s="1781">
        <f t="shared" si="107"/>
        <v>0.86</v>
      </c>
      <c r="AD174" s="1781">
        <f t="shared" si="108"/>
        <v>0.86</v>
      </c>
      <c r="AE174" s="1781">
        <f t="shared" si="109"/>
        <v>0.86</v>
      </c>
      <c r="AF174" s="1781">
        <f t="shared" si="110"/>
        <v>0.86</v>
      </c>
      <c r="AG174" s="1781">
        <f t="shared" si="111"/>
        <v>0.86</v>
      </c>
      <c r="AH174" s="1781">
        <f t="shared" si="112"/>
        <v>0.86</v>
      </c>
      <c r="AI174" s="1362">
        <f t="shared" si="143"/>
        <v>595.98000000000013</v>
      </c>
      <c r="AJ174" s="1362">
        <f t="shared" si="144"/>
        <v>595.98000000000013</v>
      </c>
      <c r="AK174" s="1362">
        <f t="shared" si="145"/>
        <v>595.98000000000013</v>
      </c>
      <c r="AL174" s="1362">
        <f t="shared" si="146"/>
        <v>595.98000000000013</v>
      </c>
      <c r="AM174" s="1362">
        <f t="shared" si="147"/>
        <v>2383.9200000000005</v>
      </c>
      <c r="AN174" s="1132" t="str">
        <f t="shared" si="113"/>
        <v>CI-HVC-ADUV-V01-200101</v>
      </c>
      <c r="AO174" s="1132" t="str">
        <f t="shared" si="114"/>
        <v>Nicor Gas PY11-PY14 Adjustable Goals Template_2025-03-01, Tab 4.4.47</v>
      </c>
      <c r="AP174" s="2505">
        <f>'4.4.47'!$J$4</f>
        <v>55</v>
      </c>
      <c r="AQ174" s="2505"/>
      <c r="AR174" s="2505">
        <f t="shared" si="115"/>
        <v>595.98000000000013</v>
      </c>
      <c r="AS174" s="2505">
        <f t="shared" si="116"/>
        <v>0</v>
      </c>
      <c r="AT174" s="1132" t="str">
        <f t="shared" si="117"/>
        <v>CI-HVC-ADUV-V01-200101</v>
      </c>
      <c r="AU174" s="1132" t="str">
        <f t="shared" si="118"/>
        <v>Nicor Gas PY11-PY14 Adjustable Goals Template_2025-03-01, Tab 4.4.47</v>
      </c>
      <c r="AV174" s="2505">
        <f>'4.4.47'!$J$4</f>
        <v>55</v>
      </c>
      <c r="AW174" s="2505"/>
      <c r="AX174" s="1362">
        <f t="shared" si="119"/>
        <v>595.98000000000013</v>
      </c>
      <c r="AY174" s="1360">
        <f t="shared" si="120"/>
        <v>0</v>
      </c>
      <c r="AZ174" s="1132" t="str">
        <f t="shared" si="121"/>
        <v>CI-HVC-ADUV-V01-200101</v>
      </c>
      <c r="BA174" s="1132" t="str">
        <f t="shared" si="122"/>
        <v>Nicor Gas PY11-PY14 Adjustable Goals Template_2025-03-01, Tab 4.4.47</v>
      </c>
      <c r="BB174" s="2505">
        <f>'4.4.47'!$J$4</f>
        <v>55</v>
      </c>
      <c r="BC174" s="2505"/>
      <c r="BD174" s="1362">
        <f t="shared" si="123"/>
        <v>595.98000000000013</v>
      </c>
      <c r="BE174" s="1360">
        <f t="shared" si="124"/>
        <v>0</v>
      </c>
      <c r="BF174" s="1132" t="str">
        <f t="shared" si="125"/>
        <v>CI-HVC-ADUV-V01-200101</v>
      </c>
      <c r="BG174" s="1132" t="str">
        <f t="shared" si="126"/>
        <v>Nicor Gas PY11-PY14 Adjustable Goals Template_2025-03-01, Tab 4.4.47</v>
      </c>
      <c r="BH174" s="2505">
        <f>'4.4.47'!$J$4</f>
        <v>55</v>
      </c>
      <c r="BI174" s="2505"/>
      <c r="BJ174" s="1362">
        <f t="shared" si="148"/>
        <v>595.98000000000013</v>
      </c>
      <c r="BK174" s="1360">
        <f t="shared" si="127"/>
        <v>0</v>
      </c>
      <c r="BL174" s="1601">
        <f t="shared" si="128"/>
        <v>595.98000000000013</v>
      </c>
      <c r="BM174" s="1601">
        <f t="shared" si="129"/>
        <v>595.98000000000013</v>
      </c>
      <c r="BN174" s="1601">
        <f t="shared" si="130"/>
        <v>595.98000000000013</v>
      </c>
      <c r="BO174" s="1601">
        <f t="shared" si="131"/>
        <v>595.98000000000013</v>
      </c>
      <c r="BP174" s="1602">
        <f t="shared" si="132"/>
        <v>2383.9200000000005</v>
      </c>
      <c r="BQ174" s="1602"/>
      <c r="BR174" s="1602" t="s">
        <v>571</v>
      </c>
      <c r="BS174" s="1602">
        <v>0</v>
      </c>
      <c r="BT174" s="1602">
        <v>20</v>
      </c>
      <c r="BU174" s="1602">
        <v>20</v>
      </c>
      <c r="BV174" s="1602">
        <v>20</v>
      </c>
      <c r="BW174" s="1602">
        <v>20</v>
      </c>
      <c r="BX174" s="1362">
        <f t="shared" si="149"/>
        <v>11919.600000000002</v>
      </c>
      <c r="BY174" s="1362">
        <f t="shared" si="150"/>
        <v>11919.600000000002</v>
      </c>
      <c r="BZ174" s="1362">
        <f t="shared" si="151"/>
        <v>11919.600000000002</v>
      </c>
      <c r="CA174" s="1362">
        <f t="shared" si="152"/>
        <v>11919.600000000002</v>
      </c>
      <c r="CB174" s="1362">
        <f t="shared" si="153"/>
        <v>47678.400000000009</v>
      </c>
      <c r="CC174" s="1360">
        <v>20</v>
      </c>
      <c r="CD174" s="1360">
        <v>20</v>
      </c>
      <c r="CE174" s="1360">
        <v>20</v>
      </c>
      <c r="CF174" s="1360">
        <v>20</v>
      </c>
      <c r="CG174" s="1604">
        <f t="shared" si="133"/>
        <v>11919.6</v>
      </c>
      <c r="CH174" s="1604">
        <f t="shared" si="134"/>
        <v>11919.6</v>
      </c>
      <c r="CI174" s="1604">
        <f t="shared" si="135"/>
        <v>11919.6</v>
      </c>
      <c r="CJ174" s="1604">
        <f t="shared" si="136"/>
        <v>11919.6</v>
      </c>
      <c r="CK174" s="1521">
        <f t="shared" si="137"/>
        <v>47678.400000000001</v>
      </c>
      <c r="CL174" s="1132">
        <v>167</v>
      </c>
      <c r="CM174" s="1132" t="s">
        <v>356</v>
      </c>
      <c r="CN174" s="1359">
        <v>0</v>
      </c>
      <c r="CO174" s="1360">
        <v>12.600000000000001</v>
      </c>
      <c r="CP174" s="1360">
        <v>12.600000000000001</v>
      </c>
      <c r="CQ174" s="1360">
        <v>12.600000000000001</v>
      </c>
      <c r="CR174" s="1360">
        <v>12.600000000000001</v>
      </c>
      <c r="CS174" s="1362">
        <f t="shared" si="138"/>
        <v>595.98000000000013</v>
      </c>
      <c r="CT174" s="1362">
        <f t="shared" si="139"/>
        <v>595.98000000000013</v>
      </c>
      <c r="CU174" s="1362">
        <f t="shared" si="140"/>
        <v>595.98000000000013</v>
      </c>
      <c r="CV174" s="1362">
        <f t="shared" si="141"/>
        <v>595.98000000000013</v>
      </c>
      <c r="CW174" s="1362">
        <f t="shared" si="142"/>
        <v>2383.9200000000005</v>
      </c>
      <c r="CY174" s="2887"/>
    </row>
    <row r="175" spans="1:103" s="1143" customFormat="1" ht="45.75" customHeight="1" x14ac:dyDescent="0.35">
      <c r="A175" s="1132" t="s">
        <v>101</v>
      </c>
      <c r="B175" s="1132" t="s">
        <v>601</v>
      </c>
      <c r="C175" s="1132" t="s">
        <v>573</v>
      </c>
      <c r="D175" s="1359" t="s">
        <v>574</v>
      </c>
      <c r="E175" s="1359">
        <v>1</v>
      </c>
      <c r="F175" s="1132" t="s">
        <v>575</v>
      </c>
      <c r="G175" s="1132" t="s">
        <v>356</v>
      </c>
      <c r="H175" s="1360">
        <v>2.7720000000000002</v>
      </c>
      <c r="I175" s="1360">
        <v>2.7720000000000002</v>
      </c>
      <c r="J175" s="1360">
        <v>2.7720000000000002</v>
      </c>
      <c r="K175" s="1360">
        <v>2.7720000000000002</v>
      </c>
      <c r="L175" s="1132" t="s">
        <v>576</v>
      </c>
      <c r="M175" s="1132" t="str">
        <f t="shared" si="104"/>
        <v>Nicor Gas PY11-PY14 Adjustable Goals Template_2025-03-01, Tab 4.8.12</v>
      </c>
      <c r="N175" s="1361">
        <v>48.53</v>
      </c>
      <c r="O175" s="1361">
        <v>48.53</v>
      </c>
      <c r="P175" s="1361">
        <v>48.53</v>
      </c>
      <c r="Q175" s="1361">
        <v>48.53</v>
      </c>
      <c r="R175" s="1781">
        <v>0.86</v>
      </c>
      <c r="S175" s="1781">
        <v>0.86</v>
      </c>
      <c r="T175" s="1781">
        <v>0.86</v>
      </c>
      <c r="U175" s="1781">
        <v>0.86</v>
      </c>
      <c r="V175" s="1781">
        <v>0.86</v>
      </c>
      <c r="W175" s="1781">
        <v>0.86</v>
      </c>
      <c r="X175" s="1781">
        <v>0.86</v>
      </c>
      <c r="Y175" s="1781">
        <v>0.86</v>
      </c>
      <c r="Z175" s="1359">
        <v>1</v>
      </c>
      <c r="AA175" s="1781">
        <f t="shared" si="105"/>
        <v>0.86</v>
      </c>
      <c r="AB175" s="1781">
        <f t="shared" si="106"/>
        <v>0.86</v>
      </c>
      <c r="AC175" s="1781">
        <f t="shared" si="107"/>
        <v>0.86</v>
      </c>
      <c r="AD175" s="1781">
        <f t="shared" si="108"/>
        <v>0.86</v>
      </c>
      <c r="AE175" s="1781">
        <f t="shared" si="109"/>
        <v>0.86</v>
      </c>
      <c r="AF175" s="1781">
        <f t="shared" si="110"/>
        <v>0.86</v>
      </c>
      <c r="AG175" s="1781">
        <f t="shared" si="111"/>
        <v>0.86</v>
      </c>
      <c r="AH175" s="1781">
        <f t="shared" si="112"/>
        <v>0.86</v>
      </c>
      <c r="AI175" s="1362">
        <f t="shared" si="143"/>
        <v>115.69163760000002</v>
      </c>
      <c r="AJ175" s="1362">
        <f t="shared" si="144"/>
        <v>115.69163760000002</v>
      </c>
      <c r="AK175" s="1362">
        <f t="shared" si="145"/>
        <v>115.69163760000002</v>
      </c>
      <c r="AL175" s="1362">
        <f t="shared" si="146"/>
        <v>115.69163760000002</v>
      </c>
      <c r="AM175" s="1362">
        <f t="shared" si="147"/>
        <v>462.76655040000009</v>
      </c>
      <c r="AN175" s="1132" t="str">
        <f t="shared" si="113"/>
        <v>CI-MSC-SLDH-V01-200101</v>
      </c>
      <c r="AO175" s="1132" t="str">
        <f t="shared" si="114"/>
        <v>Nicor Gas PY11-PY14 Adjustable Goals Template_2025-03-01, Tab 4.8.12</v>
      </c>
      <c r="AP175" s="2505">
        <f>'4.8.12'!$K$4</f>
        <v>48.53</v>
      </c>
      <c r="AQ175" s="2505"/>
      <c r="AR175" s="2505">
        <f t="shared" si="115"/>
        <v>115.69163760000002</v>
      </c>
      <c r="AS175" s="2505">
        <f t="shared" si="116"/>
        <v>0</v>
      </c>
      <c r="AT175" s="1132" t="str">
        <f t="shared" si="117"/>
        <v>CI-MSC-SLDH-V01-200101</v>
      </c>
      <c r="AU175" s="1132" t="str">
        <f t="shared" si="118"/>
        <v>Nicor Gas PY11-PY14 Adjustable Goals Template_2025-03-01, Tab 4.8.12</v>
      </c>
      <c r="AV175" s="2505">
        <f>'4.8.12'!$K$4</f>
        <v>48.53</v>
      </c>
      <c r="AW175" s="2505"/>
      <c r="AX175" s="1362">
        <f t="shared" si="119"/>
        <v>115.69163760000002</v>
      </c>
      <c r="AY175" s="1360">
        <f t="shared" si="120"/>
        <v>0</v>
      </c>
      <c r="AZ175" s="1132" t="str">
        <f t="shared" si="121"/>
        <v>CI-MSC-SLDH-V01-200101</v>
      </c>
      <c r="BA175" s="1132" t="str">
        <f t="shared" si="122"/>
        <v>Nicor Gas PY11-PY14 Adjustable Goals Template_2025-03-01, Tab 4.8.12</v>
      </c>
      <c r="BB175" s="2505">
        <f>'4.8.12'!$K$4</f>
        <v>48.53</v>
      </c>
      <c r="BC175" s="2505"/>
      <c r="BD175" s="1362">
        <f t="shared" si="123"/>
        <v>115.69163760000002</v>
      </c>
      <c r="BE175" s="1360">
        <f t="shared" si="124"/>
        <v>0</v>
      </c>
      <c r="BF175" s="1132" t="str">
        <f t="shared" si="125"/>
        <v>CI-MSC-SLDH-V01-200101</v>
      </c>
      <c r="BG175" s="1132" t="str">
        <f t="shared" si="126"/>
        <v>Nicor Gas PY11-PY14 Adjustable Goals Template_2025-03-01, Tab 4.8.12</v>
      </c>
      <c r="BH175" s="2505">
        <f>'4.8.12'!$K$4</f>
        <v>48.53</v>
      </c>
      <c r="BI175" s="2505"/>
      <c r="BJ175" s="1362">
        <f t="shared" si="148"/>
        <v>115.69163760000002</v>
      </c>
      <c r="BK175" s="1360">
        <f t="shared" si="127"/>
        <v>0</v>
      </c>
      <c r="BL175" s="1601">
        <f t="shared" si="128"/>
        <v>115.69163760000002</v>
      </c>
      <c r="BM175" s="1601">
        <f t="shared" si="129"/>
        <v>115.69163760000002</v>
      </c>
      <c r="BN175" s="1601">
        <f t="shared" si="130"/>
        <v>115.69163760000002</v>
      </c>
      <c r="BO175" s="1601">
        <f t="shared" si="131"/>
        <v>115.69163760000002</v>
      </c>
      <c r="BP175" s="1602">
        <f t="shared" si="132"/>
        <v>462.76655040000009</v>
      </c>
      <c r="BQ175" s="1602"/>
      <c r="BR175" s="1602" t="s">
        <v>575</v>
      </c>
      <c r="BS175" s="1602">
        <v>0</v>
      </c>
      <c r="BT175" s="1602">
        <v>20</v>
      </c>
      <c r="BU175" s="1602">
        <v>20</v>
      </c>
      <c r="BV175" s="1602">
        <v>20</v>
      </c>
      <c r="BW175" s="1602">
        <v>20</v>
      </c>
      <c r="BX175" s="1362">
        <f t="shared" si="149"/>
        <v>2313.8327520000003</v>
      </c>
      <c r="BY175" s="1362">
        <f t="shared" si="150"/>
        <v>2313.8327520000003</v>
      </c>
      <c r="BZ175" s="1362">
        <f t="shared" si="151"/>
        <v>2313.8327520000003</v>
      </c>
      <c r="CA175" s="1362">
        <f t="shared" si="152"/>
        <v>2313.8327520000003</v>
      </c>
      <c r="CB175" s="1362">
        <f t="shared" si="153"/>
        <v>9255.331008000001</v>
      </c>
      <c r="CC175" s="1360">
        <v>20</v>
      </c>
      <c r="CD175" s="1360">
        <v>20</v>
      </c>
      <c r="CE175" s="1360">
        <v>20</v>
      </c>
      <c r="CF175" s="1360">
        <v>20</v>
      </c>
      <c r="CG175" s="1604">
        <f t="shared" si="133"/>
        <v>2313.8327520000003</v>
      </c>
      <c r="CH175" s="1604">
        <f t="shared" si="134"/>
        <v>2313.8327520000003</v>
      </c>
      <c r="CI175" s="1604">
        <f t="shared" si="135"/>
        <v>2313.8327520000003</v>
      </c>
      <c r="CJ175" s="1604">
        <f t="shared" si="136"/>
        <v>2313.8327520000003</v>
      </c>
      <c r="CK175" s="1521">
        <f t="shared" si="137"/>
        <v>9255.331008000001</v>
      </c>
      <c r="CL175" s="1132">
        <v>168</v>
      </c>
      <c r="CM175" s="1132" t="s">
        <v>356</v>
      </c>
      <c r="CN175" s="1359">
        <v>0</v>
      </c>
      <c r="CO175" s="1360">
        <v>2.7720000000000002</v>
      </c>
      <c r="CP175" s="1360">
        <v>2.7720000000000002</v>
      </c>
      <c r="CQ175" s="1360">
        <v>2.7720000000000002</v>
      </c>
      <c r="CR175" s="1360">
        <v>2.7720000000000002</v>
      </c>
      <c r="CS175" s="1362">
        <f t="shared" si="138"/>
        <v>115.69163760000002</v>
      </c>
      <c r="CT175" s="1362">
        <f t="shared" si="139"/>
        <v>115.69163760000002</v>
      </c>
      <c r="CU175" s="1362">
        <f t="shared" si="140"/>
        <v>115.69163760000002</v>
      </c>
      <c r="CV175" s="1362">
        <f t="shared" si="141"/>
        <v>115.69163760000002</v>
      </c>
      <c r="CW175" s="1362">
        <f t="shared" si="142"/>
        <v>462.76655040000009</v>
      </c>
      <c r="CY175" s="2887"/>
    </row>
    <row r="176" spans="1:103" s="1143" customFormat="1" ht="45.75" customHeight="1" x14ac:dyDescent="0.35">
      <c r="A176" s="1132" t="s">
        <v>101</v>
      </c>
      <c r="B176" s="1132" t="s">
        <v>601</v>
      </c>
      <c r="C176" s="1132" t="s">
        <v>573</v>
      </c>
      <c r="D176" s="1359" t="s">
        <v>574</v>
      </c>
      <c r="E176" s="1359">
        <v>1</v>
      </c>
      <c r="F176" s="1132" t="s">
        <v>575</v>
      </c>
      <c r="G176" s="1132" t="s">
        <v>356</v>
      </c>
      <c r="H176" s="1360">
        <v>0.58800000000000008</v>
      </c>
      <c r="I176" s="1360">
        <v>0.58800000000000008</v>
      </c>
      <c r="J176" s="1360">
        <v>0.58800000000000008</v>
      </c>
      <c r="K176" s="1360">
        <v>0.58800000000000008</v>
      </c>
      <c r="L176" s="1132" t="s">
        <v>576</v>
      </c>
      <c r="M176" s="1132" t="str">
        <f t="shared" si="104"/>
        <v>Nicor Gas PY11-PY14 Adjustable Goals Template_2025-03-01, Tab 4.8.12</v>
      </c>
      <c r="N176" s="1361">
        <v>48.53</v>
      </c>
      <c r="O176" s="1361">
        <v>48.53</v>
      </c>
      <c r="P176" s="1361">
        <v>48.53</v>
      </c>
      <c r="Q176" s="1361">
        <v>48.53</v>
      </c>
      <c r="R176" s="1781">
        <v>0.86</v>
      </c>
      <c r="S176" s="1781">
        <v>0.86</v>
      </c>
      <c r="T176" s="1781">
        <v>0.86</v>
      </c>
      <c r="U176" s="1781">
        <v>0.86</v>
      </c>
      <c r="V176" s="1781">
        <v>0.86</v>
      </c>
      <c r="W176" s="1781">
        <v>0.86</v>
      </c>
      <c r="X176" s="1781">
        <v>0.86</v>
      </c>
      <c r="Y176" s="1781">
        <v>0.86</v>
      </c>
      <c r="Z176" s="1359">
        <v>1</v>
      </c>
      <c r="AA176" s="1781">
        <f t="shared" si="105"/>
        <v>0.86</v>
      </c>
      <c r="AB176" s="1781">
        <f t="shared" si="106"/>
        <v>0.86</v>
      </c>
      <c r="AC176" s="1781">
        <f t="shared" si="107"/>
        <v>0.86</v>
      </c>
      <c r="AD176" s="1781">
        <f t="shared" si="108"/>
        <v>0.86</v>
      </c>
      <c r="AE176" s="1781">
        <f t="shared" si="109"/>
        <v>0.86</v>
      </c>
      <c r="AF176" s="1781">
        <f t="shared" si="110"/>
        <v>0.86</v>
      </c>
      <c r="AG176" s="1781">
        <f t="shared" si="111"/>
        <v>0.86</v>
      </c>
      <c r="AH176" s="1781">
        <f t="shared" si="112"/>
        <v>0.86</v>
      </c>
      <c r="AI176" s="1362">
        <f t="shared" si="143"/>
        <v>24.540650400000004</v>
      </c>
      <c r="AJ176" s="1362">
        <f t="shared" si="144"/>
        <v>24.540650400000004</v>
      </c>
      <c r="AK176" s="1362">
        <f t="shared" si="145"/>
        <v>24.540650400000004</v>
      </c>
      <c r="AL176" s="1362">
        <f t="shared" si="146"/>
        <v>24.540650400000004</v>
      </c>
      <c r="AM176" s="1362">
        <f t="shared" si="147"/>
        <v>98.162601600000016</v>
      </c>
      <c r="AN176" s="1132" t="str">
        <f t="shared" si="113"/>
        <v>CI-MSC-SLDH-V01-200101</v>
      </c>
      <c r="AO176" s="1132" t="str">
        <f t="shared" si="114"/>
        <v>Nicor Gas PY11-PY14 Adjustable Goals Template_2025-03-01, Tab 4.8.12</v>
      </c>
      <c r="AP176" s="2505">
        <f>'4.8.12'!$K$4</f>
        <v>48.53</v>
      </c>
      <c r="AQ176" s="2505"/>
      <c r="AR176" s="2505">
        <f t="shared" si="115"/>
        <v>24.540650400000004</v>
      </c>
      <c r="AS176" s="2505">
        <f t="shared" si="116"/>
        <v>0</v>
      </c>
      <c r="AT176" s="1132" t="str">
        <f t="shared" si="117"/>
        <v>CI-MSC-SLDH-V01-200101</v>
      </c>
      <c r="AU176" s="1132" t="str">
        <f t="shared" si="118"/>
        <v>Nicor Gas PY11-PY14 Adjustable Goals Template_2025-03-01, Tab 4.8.12</v>
      </c>
      <c r="AV176" s="2505">
        <f>'4.8.12'!$K$4</f>
        <v>48.53</v>
      </c>
      <c r="AW176" s="2505"/>
      <c r="AX176" s="1362">
        <f t="shared" si="119"/>
        <v>24.540650400000004</v>
      </c>
      <c r="AY176" s="1360">
        <f t="shared" si="120"/>
        <v>0</v>
      </c>
      <c r="AZ176" s="1132" t="str">
        <f t="shared" si="121"/>
        <v>CI-MSC-SLDH-V01-200101</v>
      </c>
      <c r="BA176" s="1132" t="str">
        <f t="shared" si="122"/>
        <v>Nicor Gas PY11-PY14 Adjustable Goals Template_2025-03-01, Tab 4.8.12</v>
      </c>
      <c r="BB176" s="2505">
        <f>'4.8.12'!$K$4</f>
        <v>48.53</v>
      </c>
      <c r="BC176" s="2505"/>
      <c r="BD176" s="1362">
        <f t="shared" si="123"/>
        <v>24.540650400000004</v>
      </c>
      <c r="BE176" s="1360">
        <f t="shared" si="124"/>
        <v>0</v>
      </c>
      <c r="BF176" s="1132" t="str">
        <f t="shared" si="125"/>
        <v>CI-MSC-SLDH-V01-200101</v>
      </c>
      <c r="BG176" s="1132" t="str">
        <f t="shared" si="126"/>
        <v>Nicor Gas PY11-PY14 Adjustable Goals Template_2025-03-01, Tab 4.8.12</v>
      </c>
      <c r="BH176" s="2505">
        <f>'4.8.12'!$K$4</f>
        <v>48.53</v>
      </c>
      <c r="BI176" s="2505"/>
      <c r="BJ176" s="1362">
        <f t="shared" si="148"/>
        <v>24.540650400000004</v>
      </c>
      <c r="BK176" s="1360">
        <f t="shared" si="127"/>
        <v>0</v>
      </c>
      <c r="BL176" s="1601">
        <f t="shared" si="128"/>
        <v>24.540650400000004</v>
      </c>
      <c r="BM176" s="1601">
        <f t="shared" si="129"/>
        <v>24.540650400000004</v>
      </c>
      <c r="BN176" s="1601">
        <f t="shared" si="130"/>
        <v>24.540650400000004</v>
      </c>
      <c r="BO176" s="1601">
        <f t="shared" si="131"/>
        <v>24.540650400000004</v>
      </c>
      <c r="BP176" s="1602">
        <f t="shared" si="132"/>
        <v>98.162601600000016</v>
      </c>
      <c r="BQ176" s="1602"/>
      <c r="BR176" s="1602" t="s">
        <v>575</v>
      </c>
      <c r="BS176" s="1602">
        <v>0</v>
      </c>
      <c r="BT176" s="1602">
        <v>20</v>
      </c>
      <c r="BU176" s="1602">
        <v>20</v>
      </c>
      <c r="BV176" s="1602">
        <v>20</v>
      </c>
      <c r="BW176" s="1602">
        <v>20</v>
      </c>
      <c r="BX176" s="1362">
        <f t="shared" si="149"/>
        <v>490.81300800000008</v>
      </c>
      <c r="BY176" s="1362">
        <f t="shared" si="150"/>
        <v>490.81300800000008</v>
      </c>
      <c r="BZ176" s="1362">
        <f t="shared" si="151"/>
        <v>490.81300800000008</v>
      </c>
      <c r="CA176" s="1362">
        <f t="shared" si="152"/>
        <v>490.81300800000008</v>
      </c>
      <c r="CB176" s="1362">
        <f t="shared" si="153"/>
        <v>1963.2520320000003</v>
      </c>
      <c r="CC176" s="1360">
        <v>20</v>
      </c>
      <c r="CD176" s="1360">
        <v>20</v>
      </c>
      <c r="CE176" s="1360">
        <v>20</v>
      </c>
      <c r="CF176" s="1360">
        <v>20</v>
      </c>
      <c r="CG176" s="1604">
        <f t="shared" si="133"/>
        <v>490.81300800000002</v>
      </c>
      <c r="CH176" s="1604">
        <f t="shared" si="134"/>
        <v>490.81300800000002</v>
      </c>
      <c r="CI176" s="1604">
        <f t="shared" si="135"/>
        <v>490.81300800000002</v>
      </c>
      <c r="CJ176" s="1604">
        <f t="shared" si="136"/>
        <v>490.81300800000002</v>
      </c>
      <c r="CK176" s="1521">
        <f t="shared" si="137"/>
        <v>1963.2520320000001</v>
      </c>
      <c r="CL176" s="1132">
        <v>169</v>
      </c>
      <c r="CM176" s="1132" t="s">
        <v>356</v>
      </c>
      <c r="CN176" s="1359">
        <v>0</v>
      </c>
      <c r="CO176" s="1360">
        <v>0.58800000000000008</v>
      </c>
      <c r="CP176" s="1360">
        <v>0.58800000000000008</v>
      </c>
      <c r="CQ176" s="1360">
        <v>0.58800000000000008</v>
      </c>
      <c r="CR176" s="1360">
        <v>0.58800000000000008</v>
      </c>
      <c r="CS176" s="1362">
        <f t="shared" si="138"/>
        <v>24.540650400000004</v>
      </c>
      <c r="CT176" s="1362">
        <f t="shared" si="139"/>
        <v>24.540650400000004</v>
      </c>
      <c r="CU176" s="1362">
        <f t="shared" si="140"/>
        <v>24.540650400000004</v>
      </c>
      <c r="CV176" s="1362">
        <f t="shared" si="141"/>
        <v>24.540650400000004</v>
      </c>
      <c r="CW176" s="1362">
        <f t="shared" si="142"/>
        <v>98.162601600000016</v>
      </c>
      <c r="CY176" s="2887"/>
    </row>
    <row r="177" spans="1:103" s="1143" customFormat="1" ht="45.75" customHeight="1" x14ac:dyDescent="0.35">
      <c r="A177" s="1132" t="s">
        <v>101</v>
      </c>
      <c r="B177" s="1132" t="s">
        <v>601</v>
      </c>
      <c r="C177" s="1132" t="s">
        <v>577</v>
      </c>
      <c r="D177" s="1359" t="s">
        <v>578</v>
      </c>
      <c r="E177" s="1359">
        <v>1</v>
      </c>
      <c r="F177" s="1132" t="s">
        <v>579</v>
      </c>
      <c r="G177" s="1132" t="s">
        <v>328</v>
      </c>
      <c r="H177" s="1360">
        <v>16.128</v>
      </c>
      <c r="I177" s="1360">
        <v>16.128</v>
      </c>
      <c r="J177" s="1360">
        <v>16.128</v>
      </c>
      <c r="K177" s="1360">
        <v>16.128</v>
      </c>
      <c r="L177" s="1132" t="s">
        <v>580</v>
      </c>
      <c r="M177" s="1132" t="str">
        <f t="shared" si="104"/>
        <v>Nicor Gas PY11-PY14 Adjustable Goals Template_2025-03-01, Tab 4.4.52</v>
      </c>
      <c r="N177" s="1361">
        <v>28.084000000000003</v>
      </c>
      <c r="O177" s="1361">
        <v>28.084000000000003</v>
      </c>
      <c r="P177" s="1361">
        <v>28.084000000000003</v>
      </c>
      <c r="Q177" s="1361">
        <v>28.084000000000003</v>
      </c>
      <c r="R177" s="1781">
        <v>0.86</v>
      </c>
      <c r="S177" s="1781">
        <v>0.86</v>
      </c>
      <c r="T177" s="1781">
        <v>0.86</v>
      </c>
      <c r="U177" s="1781">
        <v>0.86</v>
      </c>
      <c r="V177" s="1781">
        <v>0.86</v>
      </c>
      <c r="W177" s="1781">
        <v>0.86</v>
      </c>
      <c r="X177" s="1781">
        <v>0.86</v>
      </c>
      <c r="Y177" s="1781">
        <v>0.86</v>
      </c>
      <c r="Z177" s="1359">
        <v>1</v>
      </c>
      <c r="AA177" s="1781">
        <f t="shared" si="105"/>
        <v>0.86</v>
      </c>
      <c r="AB177" s="1781">
        <f t="shared" si="106"/>
        <v>0.86</v>
      </c>
      <c r="AC177" s="1781">
        <f t="shared" si="107"/>
        <v>0.86</v>
      </c>
      <c r="AD177" s="1781">
        <f t="shared" si="108"/>
        <v>0.86</v>
      </c>
      <c r="AE177" s="1781">
        <f t="shared" si="109"/>
        <v>0.86</v>
      </c>
      <c r="AF177" s="1781">
        <f t="shared" si="110"/>
        <v>0.86</v>
      </c>
      <c r="AG177" s="1781">
        <f t="shared" si="111"/>
        <v>0.86</v>
      </c>
      <c r="AH177" s="1781">
        <f t="shared" si="112"/>
        <v>0.86</v>
      </c>
      <c r="AI177" s="1362">
        <f t="shared" si="143"/>
        <v>389.52732672000008</v>
      </c>
      <c r="AJ177" s="1362">
        <f t="shared" si="144"/>
        <v>389.52732672000008</v>
      </c>
      <c r="AK177" s="1362">
        <f t="shared" si="145"/>
        <v>389.52732672000008</v>
      </c>
      <c r="AL177" s="1362">
        <f t="shared" si="146"/>
        <v>389.52732672000008</v>
      </c>
      <c r="AM177" s="1362">
        <f t="shared" si="147"/>
        <v>1558.1093068800003</v>
      </c>
      <c r="AN177" s="1132" t="str">
        <f t="shared" si="113"/>
        <v>CI-HVC-HHRR-V01-210101</v>
      </c>
      <c r="AO177" s="1132" t="str">
        <f t="shared" si="114"/>
        <v>Nicor Gas PY11-PY14 Adjustable Goals Template_2025-03-01, Tab 4.4.52</v>
      </c>
      <c r="AP177" s="2505">
        <f>'4.4.52'!$N$4</f>
        <v>28.084000000000003</v>
      </c>
      <c r="AQ177" s="2505"/>
      <c r="AR177" s="2505">
        <f t="shared" si="115"/>
        <v>389.52732672000008</v>
      </c>
      <c r="AS177" s="2505">
        <f t="shared" si="116"/>
        <v>0</v>
      </c>
      <c r="AT177" s="1132" t="str">
        <f t="shared" si="117"/>
        <v>CI-HVC-HHRR-V01-210101</v>
      </c>
      <c r="AU177" s="1132" t="str">
        <f t="shared" si="118"/>
        <v>Nicor Gas PY11-PY14 Adjustable Goals Template_2025-03-01, Tab 4.4.52</v>
      </c>
      <c r="AV177" s="2505">
        <f>'4.4.52'!$N$4</f>
        <v>28.084000000000003</v>
      </c>
      <c r="AW177" s="2505"/>
      <c r="AX177" s="1362">
        <f t="shared" si="119"/>
        <v>389.52732672000008</v>
      </c>
      <c r="AY177" s="1360">
        <f t="shared" si="120"/>
        <v>0</v>
      </c>
      <c r="AZ177" s="1132" t="str">
        <f t="shared" si="121"/>
        <v>CI-HVC-HHRR-V01-210101</v>
      </c>
      <c r="BA177" s="1132" t="str">
        <f t="shared" si="122"/>
        <v>Nicor Gas PY11-PY14 Adjustable Goals Template_2025-03-01, Tab 4.4.52</v>
      </c>
      <c r="BB177" s="2505">
        <f>'4.4.52'!$N$4</f>
        <v>28.084000000000003</v>
      </c>
      <c r="BC177" s="2505"/>
      <c r="BD177" s="1362">
        <f t="shared" si="123"/>
        <v>389.52732672000008</v>
      </c>
      <c r="BE177" s="1360">
        <f t="shared" si="124"/>
        <v>0</v>
      </c>
      <c r="BF177" s="1132" t="str">
        <f t="shared" si="125"/>
        <v>CI-HVC-HHRR-V01-210101</v>
      </c>
      <c r="BG177" s="1132" t="str">
        <f t="shared" si="126"/>
        <v>Nicor Gas PY11-PY14 Adjustable Goals Template_2025-03-01, Tab 4.4.52</v>
      </c>
      <c r="BH177" s="2505">
        <f>'4.4.52'!$N$4</f>
        <v>28.084000000000003</v>
      </c>
      <c r="BI177" s="2505"/>
      <c r="BJ177" s="1362">
        <f t="shared" si="148"/>
        <v>389.52732672000008</v>
      </c>
      <c r="BK177" s="1360">
        <f t="shared" si="127"/>
        <v>0</v>
      </c>
      <c r="BL177" s="1601">
        <f t="shared" si="128"/>
        <v>389.52732672000008</v>
      </c>
      <c r="BM177" s="1601">
        <f t="shared" si="129"/>
        <v>389.52732672000008</v>
      </c>
      <c r="BN177" s="1601">
        <f t="shared" si="130"/>
        <v>389.52732672000008</v>
      </c>
      <c r="BO177" s="1601">
        <f t="shared" si="131"/>
        <v>389.52732672000008</v>
      </c>
      <c r="BP177" s="1602">
        <f t="shared" si="132"/>
        <v>1558.1093068800003</v>
      </c>
      <c r="BQ177" s="1602"/>
      <c r="BR177" s="1602" t="s">
        <v>579</v>
      </c>
      <c r="BS177" s="1602">
        <v>0</v>
      </c>
      <c r="BT177" s="1602">
        <v>25</v>
      </c>
      <c r="BU177" s="1602">
        <v>25</v>
      </c>
      <c r="BV177" s="1602">
        <v>25</v>
      </c>
      <c r="BW177" s="1602">
        <v>25</v>
      </c>
      <c r="BX177" s="1362">
        <f t="shared" si="149"/>
        <v>9738.1831680000014</v>
      </c>
      <c r="BY177" s="1362">
        <f t="shared" si="150"/>
        <v>9738.1831680000014</v>
      </c>
      <c r="BZ177" s="1362">
        <f t="shared" si="151"/>
        <v>9738.1831680000014</v>
      </c>
      <c r="CA177" s="1362">
        <f t="shared" si="152"/>
        <v>9738.1831680000014</v>
      </c>
      <c r="CB177" s="1362">
        <f t="shared" si="153"/>
        <v>38952.732672000006</v>
      </c>
      <c r="CC177" s="1360">
        <v>25</v>
      </c>
      <c r="CD177" s="1360">
        <v>25</v>
      </c>
      <c r="CE177" s="1360">
        <v>25</v>
      </c>
      <c r="CF177" s="1360">
        <v>25</v>
      </c>
      <c r="CG177" s="1604">
        <f t="shared" si="133"/>
        <v>9738.1831679999996</v>
      </c>
      <c r="CH177" s="1604">
        <f t="shared" si="134"/>
        <v>9738.1831679999996</v>
      </c>
      <c r="CI177" s="1604">
        <f t="shared" si="135"/>
        <v>9738.1831679999996</v>
      </c>
      <c r="CJ177" s="1604">
        <f t="shared" si="136"/>
        <v>9738.1831679999996</v>
      </c>
      <c r="CK177" s="1521">
        <f t="shared" si="137"/>
        <v>38952.732671999998</v>
      </c>
      <c r="CL177" s="1132">
        <v>170</v>
      </c>
      <c r="CM177" s="1132" t="s">
        <v>328</v>
      </c>
      <c r="CN177" s="1359">
        <v>0</v>
      </c>
      <c r="CO177" s="1360">
        <v>16.128</v>
      </c>
      <c r="CP177" s="1360">
        <v>16.128</v>
      </c>
      <c r="CQ177" s="1360">
        <v>16.128</v>
      </c>
      <c r="CR177" s="1360">
        <v>16.128</v>
      </c>
      <c r="CS177" s="1362">
        <f t="shared" si="138"/>
        <v>389.52732672000008</v>
      </c>
      <c r="CT177" s="1362">
        <f t="shared" si="139"/>
        <v>389.52732672000008</v>
      </c>
      <c r="CU177" s="1362">
        <f t="shared" si="140"/>
        <v>389.52732672000008</v>
      </c>
      <c r="CV177" s="1362">
        <f t="shared" si="141"/>
        <v>389.52732672000008</v>
      </c>
      <c r="CW177" s="1362">
        <f t="shared" si="142"/>
        <v>1558.1093068800003</v>
      </c>
      <c r="CY177" s="2887"/>
    </row>
    <row r="178" spans="1:103" s="1143" customFormat="1" ht="46.5" x14ac:dyDescent="0.35">
      <c r="A178" s="1132" t="s">
        <v>101</v>
      </c>
      <c r="B178" s="1132" t="s">
        <v>601</v>
      </c>
      <c r="C178" s="1132" t="s">
        <v>581</v>
      </c>
      <c r="D178" s="1359" t="s">
        <v>582</v>
      </c>
      <c r="E178" s="1359">
        <v>1</v>
      </c>
      <c r="F178" s="2564" t="s">
        <v>583</v>
      </c>
      <c r="G178" s="1132" t="s">
        <v>328</v>
      </c>
      <c r="H178" s="1360">
        <v>7.9027199999999995</v>
      </c>
      <c r="I178" s="1360">
        <v>7.9027199999999995</v>
      </c>
      <c r="J178" s="1360">
        <v>7.9027199999999995</v>
      </c>
      <c r="K178" s="1360">
        <v>7.9027199999999995</v>
      </c>
      <c r="L178" s="1132" t="s">
        <v>584</v>
      </c>
      <c r="M178" s="1132" t="str">
        <f t="shared" si="104"/>
        <v>Nicor Gas PY11-PY14 Adjustable Goals Template_2025-03-01, Tab 4.4.49</v>
      </c>
      <c r="N178" s="1361">
        <v>288.1875</v>
      </c>
      <c r="O178" s="1361">
        <v>288.1875</v>
      </c>
      <c r="P178" s="1361">
        <v>288.1875</v>
      </c>
      <c r="Q178" s="1361">
        <v>288.1875</v>
      </c>
      <c r="R178" s="1781">
        <v>0.86</v>
      </c>
      <c r="S178" s="1781">
        <v>0.86</v>
      </c>
      <c r="T178" s="1781">
        <v>0.86</v>
      </c>
      <c r="U178" s="1781">
        <v>0.86</v>
      </c>
      <c r="V178" s="1781">
        <v>0.86</v>
      </c>
      <c r="W178" s="1781">
        <v>0.86</v>
      </c>
      <c r="X178" s="1781">
        <v>0.86</v>
      </c>
      <c r="Y178" s="1781">
        <v>0.86</v>
      </c>
      <c r="Z178" s="1359">
        <v>1</v>
      </c>
      <c r="AA178" s="1781">
        <f t="shared" si="105"/>
        <v>0.86</v>
      </c>
      <c r="AB178" s="1781">
        <f t="shared" si="106"/>
        <v>0.86</v>
      </c>
      <c r="AC178" s="1781">
        <f t="shared" si="107"/>
        <v>0.86</v>
      </c>
      <c r="AD178" s="1781">
        <f t="shared" si="108"/>
        <v>0.86</v>
      </c>
      <c r="AE178" s="1781">
        <f t="shared" si="109"/>
        <v>0.86</v>
      </c>
      <c r="AF178" s="1781">
        <f t="shared" si="110"/>
        <v>0.86</v>
      </c>
      <c r="AG178" s="1781">
        <f t="shared" si="111"/>
        <v>0.86</v>
      </c>
      <c r="AH178" s="1781">
        <f t="shared" si="112"/>
        <v>0.86</v>
      </c>
      <c r="AI178" s="1362">
        <f t="shared" si="143"/>
        <v>1958.6200031999999</v>
      </c>
      <c r="AJ178" s="1362">
        <f t="shared" si="144"/>
        <v>1958.6200031999999</v>
      </c>
      <c r="AK178" s="1362">
        <f t="shared" si="145"/>
        <v>1958.6200031999999</v>
      </c>
      <c r="AL178" s="1362">
        <f t="shared" si="146"/>
        <v>1958.6200031999999</v>
      </c>
      <c r="AM178" s="1362">
        <f t="shared" si="147"/>
        <v>7834.4800127999997</v>
      </c>
      <c r="AN178" s="1132" t="str">
        <f t="shared" si="113"/>
        <v>CI-HVC-BCHD-V01-210101</v>
      </c>
      <c r="AO178" s="1132" t="str">
        <f t="shared" si="114"/>
        <v>Nicor Gas PY11-PY14 Adjustable Goals Template_2025-03-01, Tab 4.4.49</v>
      </c>
      <c r="AP178" s="2505">
        <f>'4.4.49'!$Q$4</f>
        <v>288.1875</v>
      </c>
      <c r="AQ178" s="2505"/>
      <c r="AR178" s="2505">
        <f t="shared" si="115"/>
        <v>1958.6200031999999</v>
      </c>
      <c r="AS178" s="2505">
        <f t="shared" si="116"/>
        <v>0</v>
      </c>
      <c r="AT178" s="1132" t="str">
        <f t="shared" si="117"/>
        <v>CI-HVC-BCHD-V01-210101</v>
      </c>
      <c r="AU178" s="1132" t="str">
        <f t="shared" si="118"/>
        <v>Nicor Gas PY11-PY14 Adjustable Goals Template_2025-03-01, Tab 4.4.49</v>
      </c>
      <c r="AV178" s="2505">
        <f>'4.4.49'!$Q$4</f>
        <v>288.1875</v>
      </c>
      <c r="AW178" s="2505"/>
      <c r="AX178" s="1362">
        <f t="shared" si="119"/>
        <v>1958.6200031999999</v>
      </c>
      <c r="AY178" s="1360">
        <f t="shared" si="120"/>
        <v>0</v>
      </c>
      <c r="AZ178" s="1132" t="str">
        <f t="shared" si="121"/>
        <v>CI-HVC-BCHD-V01-210101</v>
      </c>
      <c r="BA178" s="1132" t="str">
        <f t="shared" si="122"/>
        <v>Nicor Gas PY11-PY14 Adjustable Goals Template_2025-03-01, Tab 4.4.49</v>
      </c>
      <c r="BB178" s="2505">
        <f>'4.4.49'!$Q$4</f>
        <v>288.1875</v>
      </c>
      <c r="BC178" s="2505"/>
      <c r="BD178" s="1362">
        <f t="shared" si="123"/>
        <v>1958.6200031999999</v>
      </c>
      <c r="BE178" s="1360">
        <f t="shared" si="124"/>
        <v>0</v>
      </c>
      <c r="BF178" s="1132" t="str">
        <f t="shared" si="125"/>
        <v>CI-HVC-BCHD-V01-210101</v>
      </c>
      <c r="BG178" s="1132" t="str">
        <f t="shared" si="126"/>
        <v>Nicor Gas PY11-PY14 Adjustable Goals Template_2025-03-01, Tab 4.4.49</v>
      </c>
      <c r="BH178" s="2505">
        <f>'4.4.49'!$Q$4</f>
        <v>288.1875</v>
      </c>
      <c r="BI178" s="2505"/>
      <c r="BJ178" s="1362">
        <f t="shared" si="148"/>
        <v>1958.6200031999999</v>
      </c>
      <c r="BK178" s="1360">
        <f t="shared" si="127"/>
        <v>0</v>
      </c>
      <c r="BL178" s="1601">
        <f t="shared" si="128"/>
        <v>1958.6200031999999</v>
      </c>
      <c r="BM178" s="1601">
        <f t="shared" si="129"/>
        <v>1958.6200031999999</v>
      </c>
      <c r="BN178" s="1601">
        <f t="shared" si="130"/>
        <v>1958.6200031999999</v>
      </c>
      <c r="BO178" s="1601">
        <f t="shared" si="131"/>
        <v>1958.6200031999999</v>
      </c>
      <c r="BP178" s="1602">
        <f t="shared" si="132"/>
        <v>7834.4800127999997</v>
      </c>
      <c r="BQ178" s="1602"/>
      <c r="BR178" s="1602" t="s">
        <v>583</v>
      </c>
      <c r="BS178" s="1602">
        <v>0</v>
      </c>
      <c r="BT178" s="1602">
        <v>2</v>
      </c>
      <c r="BU178" s="1602">
        <v>2</v>
      </c>
      <c r="BV178" s="1602">
        <v>2</v>
      </c>
      <c r="BW178" s="1602">
        <v>2</v>
      </c>
      <c r="BX178" s="1362">
        <f t="shared" si="149"/>
        <v>3917.2400063999999</v>
      </c>
      <c r="BY178" s="1362">
        <f t="shared" si="150"/>
        <v>3917.2400063999999</v>
      </c>
      <c r="BZ178" s="1362">
        <f t="shared" si="151"/>
        <v>3917.2400063999999</v>
      </c>
      <c r="CA178" s="1362">
        <f t="shared" si="152"/>
        <v>3917.2400063999999</v>
      </c>
      <c r="CB178" s="1362">
        <f t="shared" si="153"/>
        <v>15668.960025599999</v>
      </c>
      <c r="CC178" s="1360">
        <v>2</v>
      </c>
      <c r="CD178" s="1360">
        <v>2</v>
      </c>
      <c r="CE178" s="1360">
        <v>2</v>
      </c>
      <c r="CF178" s="1360">
        <v>2</v>
      </c>
      <c r="CG178" s="1604">
        <f t="shared" si="133"/>
        <v>3917.2400063999999</v>
      </c>
      <c r="CH178" s="1604">
        <f t="shared" si="134"/>
        <v>3917.2400063999999</v>
      </c>
      <c r="CI178" s="1604">
        <f t="shared" si="135"/>
        <v>3917.2400063999999</v>
      </c>
      <c r="CJ178" s="1604">
        <f t="shared" si="136"/>
        <v>3917.2400063999999</v>
      </c>
      <c r="CK178" s="1521">
        <f t="shared" si="137"/>
        <v>15668.960025599999</v>
      </c>
      <c r="CL178" s="1132">
        <v>171</v>
      </c>
      <c r="CM178" s="1132" t="s">
        <v>328</v>
      </c>
      <c r="CN178" s="1359">
        <v>0</v>
      </c>
      <c r="CO178" s="1360">
        <v>7.9027199999999995</v>
      </c>
      <c r="CP178" s="1360">
        <v>7.9027199999999995</v>
      </c>
      <c r="CQ178" s="1360">
        <v>7.9027199999999995</v>
      </c>
      <c r="CR178" s="1360">
        <v>7.9027199999999995</v>
      </c>
      <c r="CS178" s="1362">
        <f t="shared" si="138"/>
        <v>1958.6200031999999</v>
      </c>
      <c r="CT178" s="1362">
        <f t="shared" si="139"/>
        <v>1958.6200031999999</v>
      </c>
      <c r="CU178" s="1362">
        <f t="shared" si="140"/>
        <v>1958.6200031999999</v>
      </c>
      <c r="CV178" s="1362">
        <f t="shared" si="141"/>
        <v>1958.6200031999999</v>
      </c>
      <c r="CW178" s="1362">
        <f t="shared" si="142"/>
        <v>7834.4800127999997</v>
      </c>
      <c r="CY178" s="2887"/>
    </row>
    <row r="179" spans="1:103" s="1143" customFormat="1" ht="46.5" x14ac:dyDescent="0.35">
      <c r="A179" s="1132" t="s">
        <v>101</v>
      </c>
      <c r="B179" s="1132" t="s">
        <v>601</v>
      </c>
      <c r="C179" s="1132" t="s">
        <v>585</v>
      </c>
      <c r="D179" s="1359" t="s">
        <v>586</v>
      </c>
      <c r="E179" s="1359">
        <v>1</v>
      </c>
      <c r="F179" s="2564" t="s">
        <v>355</v>
      </c>
      <c r="G179" s="1132" t="s">
        <v>356</v>
      </c>
      <c r="H179" s="1360">
        <v>0.67200000000000004</v>
      </c>
      <c r="I179" s="1360">
        <v>0.67200000000000004</v>
      </c>
      <c r="J179" s="1360">
        <v>0.67200000000000004</v>
      </c>
      <c r="K179" s="1360">
        <v>0.67200000000000004</v>
      </c>
      <c r="L179" s="1132" t="s">
        <v>357</v>
      </c>
      <c r="M179" s="1132" t="str">
        <f t="shared" si="104"/>
        <v>Nicor Gas PY11-PY14 Adjustable Goals Template_2025-03-01, Tab 4.4.16</v>
      </c>
      <c r="N179" s="1361">
        <v>102.13709764839483</v>
      </c>
      <c r="O179" s="1361">
        <v>102.13709764839483</v>
      </c>
      <c r="P179" s="1361">
        <v>102.13709764839483</v>
      </c>
      <c r="Q179" s="1361">
        <v>102.13709764839483</v>
      </c>
      <c r="R179" s="1781">
        <v>0.86</v>
      </c>
      <c r="S179" s="1781">
        <v>0.86</v>
      </c>
      <c r="T179" s="1781">
        <v>0.86</v>
      </c>
      <c r="U179" s="1781">
        <v>0.86</v>
      </c>
      <c r="V179" s="1781">
        <v>0.86</v>
      </c>
      <c r="W179" s="1781">
        <v>0.86</v>
      </c>
      <c r="X179" s="1781">
        <v>0.86</v>
      </c>
      <c r="Y179" s="1781">
        <v>0.86</v>
      </c>
      <c r="Z179" s="1359">
        <v>1</v>
      </c>
      <c r="AA179" s="1781">
        <f t="shared" si="105"/>
        <v>0.86</v>
      </c>
      <c r="AB179" s="1781">
        <f t="shared" si="106"/>
        <v>0.86</v>
      </c>
      <c r="AC179" s="1781">
        <f t="shared" si="107"/>
        <v>0.86</v>
      </c>
      <c r="AD179" s="1781">
        <f t="shared" si="108"/>
        <v>0.86</v>
      </c>
      <c r="AE179" s="1781">
        <f t="shared" si="109"/>
        <v>0.86</v>
      </c>
      <c r="AF179" s="1781">
        <f t="shared" si="110"/>
        <v>0.86</v>
      </c>
      <c r="AG179" s="1781">
        <f t="shared" si="111"/>
        <v>0.86</v>
      </c>
      <c r="AH179" s="1781">
        <f t="shared" si="112"/>
        <v>0.86</v>
      </c>
      <c r="AI179" s="1362">
        <f t="shared" si="143"/>
        <v>59.027071472960344</v>
      </c>
      <c r="AJ179" s="1362">
        <f t="shared" si="144"/>
        <v>59.027071472960344</v>
      </c>
      <c r="AK179" s="1362">
        <f t="shared" si="145"/>
        <v>59.027071472960344</v>
      </c>
      <c r="AL179" s="1362">
        <f t="shared" si="146"/>
        <v>59.027071472960344</v>
      </c>
      <c r="AM179" s="1362">
        <f t="shared" si="147"/>
        <v>236.10828589184138</v>
      </c>
      <c r="AN179" s="1132" t="str">
        <f t="shared" si="113"/>
        <v>CI-HVC-STRE-V05-180101</v>
      </c>
      <c r="AO179" s="1132" t="str">
        <f t="shared" si="114"/>
        <v>Nicor Gas PY11-PY14 Adjustable Goals Template_2025-03-01, Tab 4.4.16</v>
      </c>
      <c r="AP179" s="2505">
        <f>'4.4.16'!$O$21</f>
        <v>102.13709764839483</v>
      </c>
      <c r="AQ179" s="2505"/>
      <c r="AR179" s="2505">
        <f t="shared" si="115"/>
        <v>59.027071472960344</v>
      </c>
      <c r="AS179" s="2505">
        <f t="shared" si="116"/>
        <v>0</v>
      </c>
      <c r="AT179" s="1132" t="str">
        <f t="shared" si="117"/>
        <v>CI-HVC-STRE-V05-180101</v>
      </c>
      <c r="AU179" s="1132" t="str">
        <f t="shared" si="118"/>
        <v>Nicor Gas PY11-PY14 Adjustable Goals Template_2025-03-01, Tab 4.4.16</v>
      </c>
      <c r="AV179" s="2505">
        <f>'4.4.16'!$O$21</f>
        <v>102.13709764839483</v>
      </c>
      <c r="AW179" s="2505"/>
      <c r="AX179" s="1362">
        <f t="shared" si="119"/>
        <v>59.027071472960344</v>
      </c>
      <c r="AY179" s="1360">
        <f t="shared" si="120"/>
        <v>0</v>
      </c>
      <c r="AZ179" s="1132" t="str">
        <f t="shared" si="121"/>
        <v>CI-HVC-STRE-V05-180101</v>
      </c>
      <c r="BA179" s="1132" t="str">
        <f t="shared" si="122"/>
        <v>Nicor Gas PY11-PY14 Adjustable Goals Template_2025-03-01, Tab 4.4.16</v>
      </c>
      <c r="BB179" s="2505">
        <f>'4.4.16'!$O$21</f>
        <v>102.13709764839483</v>
      </c>
      <c r="BC179" s="2505"/>
      <c r="BD179" s="1362">
        <f t="shared" si="123"/>
        <v>59.027071472960344</v>
      </c>
      <c r="BE179" s="1360">
        <f t="shared" si="124"/>
        <v>0</v>
      </c>
      <c r="BF179" s="1132" t="str">
        <f t="shared" si="125"/>
        <v>CI-HVC-STRE-V05-180101</v>
      </c>
      <c r="BG179" s="1132" t="str">
        <f t="shared" si="126"/>
        <v>Nicor Gas PY11-PY14 Adjustable Goals Template_2025-03-01, Tab 4.4.16</v>
      </c>
      <c r="BH179" s="2505">
        <f>'4.4.16'!$O$21</f>
        <v>102.13709764839483</v>
      </c>
      <c r="BI179" s="2505"/>
      <c r="BJ179" s="1362">
        <f t="shared" si="148"/>
        <v>59.027071472960344</v>
      </c>
      <c r="BK179" s="1360">
        <f t="shared" si="127"/>
        <v>0</v>
      </c>
      <c r="BL179" s="1601">
        <f t="shared" si="128"/>
        <v>59.027071472960344</v>
      </c>
      <c r="BM179" s="1601">
        <f t="shared" si="129"/>
        <v>59.027071472960344</v>
      </c>
      <c r="BN179" s="1601">
        <f t="shared" si="130"/>
        <v>59.027071472960344</v>
      </c>
      <c r="BO179" s="1601">
        <f t="shared" si="131"/>
        <v>59.027071472960344</v>
      </c>
      <c r="BP179" s="1602">
        <f t="shared" si="132"/>
        <v>236.10828589184138</v>
      </c>
      <c r="BQ179" s="1602"/>
      <c r="BR179" s="1602" t="s">
        <v>355</v>
      </c>
      <c r="BS179" s="1602">
        <v>0</v>
      </c>
      <c r="BT179" s="1602">
        <v>20</v>
      </c>
      <c r="BU179" s="1602">
        <v>20</v>
      </c>
      <c r="BV179" s="1602">
        <v>20</v>
      </c>
      <c r="BW179" s="1602">
        <v>20</v>
      </c>
      <c r="BX179" s="1362">
        <f t="shared" si="149"/>
        <v>1180.5414294592069</v>
      </c>
      <c r="BY179" s="1362">
        <f t="shared" si="150"/>
        <v>1180.5414294592069</v>
      </c>
      <c r="BZ179" s="1362">
        <f t="shared" si="151"/>
        <v>1180.5414294592069</v>
      </c>
      <c r="CA179" s="1362">
        <f t="shared" si="152"/>
        <v>1180.5414294592069</v>
      </c>
      <c r="CB179" s="1362">
        <f t="shared" si="153"/>
        <v>4722.1657178368278</v>
      </c>
      <c r="CC179" s="1360">
        <v>20</v>
      </c>
      <c r="CD179" s="1360">
        <v>20</v>
      </c>
      <c r="CE179" s="1360">
        <v>20</v>
      </c>
      <c r="CF179" s="1360">
        <v>20</v>
      </c>
      <c r="CG179" s="1604">
        <f t="shared" si="133"/>
        <v>1180.5414294592067</v>
      </c>
      <c r="CH179" s="1604">
        <f t="shared" si="134"/>
        <v>1180.5414294592067</v>
      </c>
      <c r="CI179" s="1604">
        <f t="shared" si="135"/>
        <v>1180.5414294592067</v>
      </c>
      <c r="CJ179" s="1604">
        <f t="shared" si="136"/>
        <v>1180.5414294592067</v>
      </c>
      <c r="CK179" s="1521">
        <f t="shared" si="137"/>
        <v>4722.1657178368268</v>
      </c>
      <c r="CL179" s="1132">
        <v>172</v>
      </c>
      <c r="CM179" s="1132" t="s">
        <v>356</v>
      </c>
      <c r="CN179" s="1359">
        <v>0</v>
      </c>
      <c r="CO179" s="1360">
        <v>0.67200000000000004</v>
      </c>
      <c r="CP179" s="1360">
        <v>0.67200000000000004</v>
      </c>
      <c r="CQ179" s="1360">
        <v>0.67200000000000004</v>
      </c>
      <c r="CR179" s="1360">
        <v>0.67200000000000004</v>
      </c>
      <c r="CS179" s="1362">
        <f t="shared" si="138"/>
        <v>59.027071472960344</v>
      </c>
      <c r="CT179" s="1362">
        <f t="shared" si="139"/>
        <v>59.027071472960344</v>
      </c>
      <c r="CU179" s="1362">
        <f t="shared" si="140"/>
        <v>59.027071472960344</v>
      </c>
      <c r="CV179" s="1362">
        <f t="shared" si="141"/>
        <v>59.027071472960344</v>
      </c>
      <c r="CW179" s="1362">
        <f t="shared" si="142"/>
        <v>236.10828589184138</v>
      </c>
      <c r="CY179" s="2887"/>
    </row>
    <row r="180" spans="1:103" s="1143" customFormat="1" ht="46.5" x14ac:dyDescent="0.35">
      <c r="A180" s="1132" t="s">
        <v>101</v>
      </c>
      <c r="B180" s="1132" t="s">
        <v>601</v>
      </c>
      <c r="C180" s="1132" t="s">
        <v>587</v>
      </c>
      <c r="D180" s="1359" t="s">
        <v>588</v>
      </c>
      <c r="E180" s="1359">
        <v>1</v>
      </c>
      <c r="F180" s="2564" t="s">
        <v>355</v>
      </c>
      <c r="G180" s="1132" t="s">
        <v>356</v>
      </c>
      <c r="H180" s="1360">
        <v>1.008</v>
      </c>
      <c r="I180" s="1360">
        <v>1.008</v>
      </c>
      <c r="J180" s="1360">
        <v>1.008</v>
      </c>
      <c r="K180" s="1360">
        <v>1.008</v>
      </c>
      <c r="L180" s="1132" t="s">
        <v>357</v>
      </c>
      <c r="M180" s="1132" t="str">
        <f t="shared" si="104"/>
        <v>Nicor Gas PY11-PY14 Adjustable Goals Template_2025-03-01, Tab 4.4.16</v>
      </c>
      <c r="N180" s="1361">
        <v>762.90491998307095</v>
      </c>
      <c r="O180" s="1361">
        <v>762.90491998307095</v>
      </c>
      <c r="P180" s="1361">
        <v>762.90491998307095</v>
      </c>
      <c r="Q180" s="1361">
        <v>762.90491998307095</v>
      </c>
      <c r="R180" s="1781">
        <v>0.86</v>
      </c>
      <c r="S180" s="1781">
        <v>0.86</v>
      </c>
      <c r="T180" s="1781">
        <v>0.86</v>
      </c>
      <c r="U180" s="1781">
        <v>0.86</v>
      </c>
      <c r="V180" s="1781">
        <v>0.86</v>
      </c>
      <c r="W180" s="1781">
        <v>0.86</v>
      </c>
      <c r="X180" s="1781">
        <v>0.86</v>
      </c>
      <c r="Y180" s="1781">
        <v>0.86</v>
      </c>
      <c r="Z180" s="1359">
        <v>1</v>
      </c>
      <c r="AA180" s="1781">
        <f t="shared" si="105"/>
        <v>0.86</v>
      </c>
      <c r="AB180" s="1781">
        <f t="shared" si="106"/>
        <v>0.86</v>
      </c>
      <c r="AC180" s="1781">
        <f t="shared" si="107"/>
        <v>0.86</v>
      </c>
      <c r="AD180" s="1781">
        <f t="shared" si="108"/>
        <v>0.86</v>
      </c>
      <c r="AE180" s="1781">
        <f t="shared" si="109"/>
        <v>0.86</v>
      </c>
      <c r="AF180" s="1781">
        <f t="shared" si="110"/>
        <v>0.86</v>
      </c>
      <c r="AG180" s="1781">
        <f t="shared" si="111"/>
        <v>0.86</v>
      </c>
      <c r="AH180" s="1781">
        <f t="shared" si="112"/>
        <v>0.86</v>
      </c>
      <c r="AI180" s="1362">
        <f t="shared" si="143"/>
        <v>661.34701703492453</v>
      </c>
      <c r="AJ180" s="1362">
        <f t="shared" si="144"/>
        <v>661.34701703492453</v>
      </c>
      <c r="AK180" s="1362">
        <f t="shared" si="145"/>
        <v>661.34701703492453</v>
      </c>
      <c r="AL180" s="1362">
        <f t="shared" si="146"/>
        <v>661.34701703492453</v>
      </c>
      <c r="AM180" s="1362">
        <f t="shared" si="147"/>
        <v>2645.3880681396981</v>
      </c>
      <c r="AN180" s="1132" t="str">
        <f t="shared" si="113"/>
        <v>CI-HVC-STRE-V05-180101</v>
      </c>
      <c r="AO180" s="1132" t="str">
        <f t="shared" si="114"/>
        <v>Nicor Gas PY11-PY14 Adjustable Goals Template_2025-03-01, Tab 4.4.16</v>
      </c>
      <c r="AP180" s="2505">
        <f>'4.4.16'!$O$15</f>
        <v>762.90491998307095</v>
      </c>
      <c r="AQ180" s="2505"/>
      <c r="AR180" s="2505">
        <f t="shared" si="115"/>
        <v>661.34701703492453</v>
      </c>
      <c r="AS180" s="2505">
        <f t="shared" si="116"/>
        <v>0</v>
      </c>
      <c r="AT180" s="1132" t="str">
        <f t="shared" si="117"/>
        <v>CI-HVC-STRE-V05-180101</v>
      </c>
      <c r="AU180" s="1132" t="str">
        <f t="shared" si="118"/>
        <v>Nicor Gas PY11-PY14 Adjustable Goals Template_2025-03-01, Tab 4.4.16</v>
      </c>
      <c r="AV180" s="2505">
        <f>'4.4.16'!$O$15</f>
        <v>762.90491998307095</v>
      </c>
      <c r="AW180" s="2505"/>
      <c r="AX180" s="1362">
        <f t="shared" si="119"/>
        <v>661.34701703492453</v>
      </c>
      <c r="AY180" s="1360">
        <f t="shared" si="120"/>
        <v>0</v>
      </c>
      <c r="AZ180" s="1132" t="str">
        <f t="shared" si="121"/>
        <v>CI-HVC-STRE-V05-180101</v>
      </c>
      <c r="BA180" s="1132" t="str">
        <f t="shared" si="122"/>
        <v>Nicor Gas PY11-PY14 Adjustable Goals Template_2025-03-01, Tab 4.4.16</v>
      </c>
      <c r="BB180" s="2505">
        <f>'4.4.16'!$O$15</f>
        <v>762.90491998307095</v>
      </c>
      <c r="BC180" s="2505"/>
      <c r="BD180" s="1362">
        <f t="shared" si="123"/>
        <v>661.34701703492453</v>
      </c>
      <c r="BE180" s="1360">
        <f t="shared" si="124"/>
        <v>0</v>
      </c>
      <c r="BF180" s="1132" t="str">
        <f t="shared" si="125"/>
        <v>CI-HVC-STRE-V05-180101</v>
      </c>
      <c r="BG180" s="1132" t="str">
        <f t="shared" si="126"/>
        <v>Nicor Gas PY11-PY14 Adjustable Goals Template_2025-03-01, Tab 4.4.16</v>
      </c>
      <c r="BH180" s="2505">
        <f>'4.4.16'!$O$15</f>
        <v>762.90491998307095</v>
      </c>
      <c r="BI180" s="2505"/>
      <c r="BJ180" s="1362">
        <f t="shared" si="148"/>
        <v>661.34701703492453</v>
      </c>
      <c r="BK180" s="1360">
        <f t="shared" si="127"/>
        <v>0</v>
      </c>
      <c r="BL180" s="1601">
        <f t="shared" si="128"/>
        <v>661.34701703492453</v>
      </c>
      <c r="BM180" s="1601">
        <f t="shared" si="129"/>
        <v>661.34701703492453</v>
      </c>
      <c r="BN180" s="1601">
        <f t="shared" si="130"/>
        <v>661.34701703492453</v>
      </c>
      <c r="BO180" s="1601">
        <f t="shared" si="131"/>
        <v>661.34701703492453</v>
      </c>
      <c r="BP180" s="1602">
        <f t="shared" si="132"/>
        <v>2645.3880681396981</v>
      </c>
      <c r="BQ180" s="1602"/>
      <c r="BR180" s="1602" t="s">
        <v>355</v>
      </c>
      <c r="BS180" s="1602">
        <v>0</v>
      </c>
      <c r="BT180" s="1602">
        <v>20</v>
      </c>
      <c r="BU180" s="1602">
        <v>20</v>
      </c>
      <c r="BV180" s="1602">
        <v>20</v>
      </c>
      <c r="BW180" s="1602">
        <v>20</v>
      </c>
      <c r="BX180" s="1362">
        <f t="shared" si="149"/>
        <v>13226.940340698491</v>
      </c>
      <c r="BY180" s="1362">
        <f t="shared" si="150"/>
        <v>13226.940340698491</v>
      </c>
      <c r="BZ180" s="1362">
        <f t="shared" si="151"/>
        <v>13226.940340698491</v>
      </c>
      <c r="CA180" s="1362">
        <f t="shared" si="152"/>
        <v>13226.940340698491</v>
      </c>
      <c r="CB180" s="1362">
        <f t="shared" si="153"/>
        <v>52907.761362793965</v>
      </c>
      <c r="CC180" s="1360">
        <v>20</v>
      </c>
      <c r="CD180" s="1360">
        <v>20</v>
      </c>
      <c r="CE180" s="1360">
        <v>20</v>
      </c>
      <c r="CF180" s="1360">
        <v>20</v>
      </c>
      <c r="CG180" s="1604">
        <f t="shared" si="133"/>
        <v>13226.940340698491</v>
      </c>
      <c r="CH180" s="1604">
        <f t="shared" si="134"/>
        <v>13226.940340698491</v>
      </c>
      <c r="CI180" s="1604">
        <f t="shared" si="135"/>
        <v>13226.940340698491</v>
      </c>
      <c r="CJ180" s="1604">
        <f t="shared" si="136"/>
        <v>13226.940340698491</v>
      </c>
      <c r="CK180" s="1521">
        <f t="shared" si="137"/>
        <v>52907.761362793965</v>
      </c>
      <c r="CL180" s="1132">
        <v>173</v>
      </c>
      <c r="CM180" s="1132" t="s">
        <v>356</v>
      </c>
      <c r="CN180" s="1359">
        <v>0</v>
      </c>
      <c r="CO180" s="1360">
        <v>1.008</v>
      </c>
      <c r="CP180" s="1360">
        <v>1.008</v>
      </c>
      <c r="CQ180" s="1360">
        <v>1.008</v>
      </c>
      <c r="CR180" s="1360">
        <v>1.008</v>
      </c>
      <c r="CS180" s="1362">
        <f t="shared" si="138"/>
        <v>661.34701703492453</v>
      </c>
      <c r="CT180" s="1362">
        <f t="shared" si="139"/>
        <v>661.34701703492453</v>
      </c>
      <c r="CU180" s="1362">
        <f t="shared" si="140"/>
        <v>661.34701703492453</v>
      </c>
      <c r="CV180" s="1362">
        <f t="shared" si="141"/>
        <v>661.34701703492453</v>
      </c>
      <c r="CW180" s="1362">
        <f t="shared" si="142"/>
        <v>2645.3880681396981</v>
      </c>
      <c r="CY180" s="2887"/>
    </row>
    <row r="181" spans="1:103" s="1143" customFormat="1" ht="46.5" x14ac:dyDescent="0.35">
      <c r="A181" s="1132" t="s">
        <v>101</v>
      </c>
      <c r="B181" s="1132" t="s">
        <v>601</v>
      </c>
      <c r="C181" s="1132" t="s">
        <v>589</v>
      </c>
      <c r="D181" s="1359" t="s">
        <v>590</v>
      </c>
      <c r="E181" s="1359">
        <v>1</v>
      </c>
      <c r="F181" s="2564" t="s">
        <v>355</v>
      </c>
      <c r="G181" s="1132" t="s">
        <v>356</v>
      </c>
      <c r="H181" s="1360">
        <v>0.67200000000000004</v>
      </c>
      <c r="I181" s="1360">
        <v>0.67200000000000004</v>
      </c>
      <c r="J181" s="1360">
        <v>0.67200000000000004</v>
      </c>
      <c r="K181" s="1360">
        <v>0.67200000000000004</v>
      </c>
      <c r="L181" s="1132" t="s">
        <v>357</v>
      </c>
      <c r="M181" s="1132" t="str">
        <f t="shared" si="104"/>
        <v>Nicor Gas PY11-PY14 Adjustable Goals Template_2025-03-01, Tab 4.4.16</v>
      </c>
      <c r="N181" s="1361">
        <v>2773.9803407924196</v>
      </c>
      <c r="O181" s="1361">
        <v>2773.9803407924196</v>
      </c>
      <c r="P181" s="1361">
        <v>2773.9803407924196</v>
      </c>
      <c r="Q181" s="1361">
        <v>2773.9803407924196</v>
      </c>
      <c r="R181" s="1781">
        <v>0.86</v>
      </c>
      <c r="S181" s="1781">
        <v>0.86</v>
      </c>
      <c r="T181" s="1781">
        <v>0.86</v>
      </c>
      <c r="U181" s="1781">
        <v>0.86</v>
      </c>
      <c r="V181" s="1781">
        <v>0.86</v>
      </c>
      <c r="W181" s="1781">
        <v>0.86</v>
      </c>
      <c r="X181" s="1781">
        <v>0.86</v>
      </c>
      <c r="Y181" s="1781">
        <v>0.86</v>
      </c>
      <c r="Z181" s="1359">
        <v>1</v>
      </c>
      <c r="AA181" s="1781">
        <f t="shared" si="105"/>
        <v>0.86</v>
      </c>
      <c r="AB181" s="1781">
        <f t="shared" si="106"/>
        <v>0.86</v>
      </c>
      <c r="AC181" s="1781">
        <f t="shared" si="107"/>
        <v>0.86</v>
      </c>
      <c r="AD181" s="1781">
        <f t="shared" si="108"/>
        <v>0.86</v>
      </c>
      <c r="AE181" s="1781">
        <f t="shared" si="109"/>
        <v>0.86</v>
      </c>
      <c r="AF181" s="1781">
        <f t="shared" si="110"/>
        <v>0.86</v>
      </c>
      <c r="AG181" s="1781">
        <f t="shared" si="111"/>
        <v>0.86</v>
      </c>
      <c r="AH181" s="1781">
        <f t="shared" si="112"/>
        <v>0.86</v>
      </c>
      <c r="AI181" s="1362">
        <f t="shared" si="143"/>
        <v>1603.1387185507554</v>
      </c>
      <c r="AJ181" s="1362">
        <f t="shared" si="144"/>
        <v>1603.1387185507554</v>
      </c>
      <c r="AK181" s="1362">
        <f t="shared" si="145"/>
        <v>1603.1387185507554</v>
      </c>
      <c r="AL181" s="1362">
        <f t="shared" si="146"/>
        <v>1603.1387185507554</v>
      </c>
      <c r="AM181" s="1362">
        <f t="shared" si="147"/>
        <v>6412.5548742030214</v>
      </c>
      <c r="AN181" s="1132" t="str">
        <f t="shared" si="113"/>
        <v>CI-HVC-STRE-V05-180101</v>
      </c>
      <c r="AO181" s="1132" t="str">
        <f t="shared" si="114"/>
        <v>Nicor Gas PY11-PY14 Adjustable Goals Template_2025-03-01, Tab 4.4.16</v>
      </c>
      <c r="AP181" s="2505">
        <f>'4.4.16'!$O$16</f>
        <v>2773.9803407924196</v>
      </c>
      <c r="AQ181" s="2505"/>
      <c r="AR181" s="2505">
        <f t="shared" si="115"/>
        <v>1603.1387185507554</v>
      </c>
      <c r="AS181" s="2505">
        <f t="shared" si="116"/>
        <v>0</v>
      </c>
      <c r="AT181" s="1132" t="str">
        <f t="shared" si="117"/>
        <v>CI-HVC-STRE-V05-180101</v>
      </c>
      <c r="AU181" s="1132" t="str">
        <f t="shared" si="118"/>
        <v>Nicor Gas PY11-PY14 Adjustable Goals Template_2025-03-01, Tab 4.4.16</v>
      </c>
      <c r="AV181" s="2505">
        <f>'4.4.16'!$O$16</f>
        <v>2773.9803407924196</v>
      </c>
      <c r="AW181" s="2505"/>
      <c r="AX181" s="1362">
        <f t="shared" si="119"/>
        <v>1603.1387185507554</v>
      </c>
      <c r="AY181" s="1360">
        <f t="shared" si="120"/>
        <v>0</v>
      </c>
      <c r="AZ181" s="1132" t="str">
        <f t="shared" si="121"/>
        <v>CI-HVC-STRE-V05-180101</v>
      </c>
      <c r="BA181" s="1132" t="str">
        <f t="shared" si="122"/>
        <v>Nicor Gas PY11-PY14 Adjustable Goals Template_2025-03-01, Tab 4.4.16</v>
      </c>
      <c r="BB181" s="2505">
        <f>'4.4.16'!$O$16</f>
        <v>2773.9803407924196</v>
      </c>
      <c r="BC181" s="2505"/>
      <c r="BD181" s="1362">
        <f t="shared" si="123"/>
        <v>1603.1387185507554</v>
      </c>
      <c r="BE181" s="1360">
        <f t="shared" si="124"/>
        <v>0</v>
      </c>
      <c r="BF181" s="1132" t="str">
        <f t="shared" si="125"/>
        <v>CI-HVC-STRE-V05-180101</v>
      </c>
      <c r="BG181" s="1132" t="str">
        <f t="shared" si="126"/>
        <v>Nicor Gas PY11-PY14 Adjustable Goals Template_2025-03-01, Tab 4.4.16</v>
      </c>
      <c r="BH181" s="2505">
        <f>'4.4.16'!$O$16</f>
        <v>2773.9803407924196</v>
      </c>
      <c r="BI181" s="2505"/>
      <c r="BJ181" s="1362">
        <f t="shared" si="148"/>
        <v>1603.1387185507554</v>
      </c>
      <c r="BK181" s="1360">
        <f t="shared" si="127"/>
        <v>0</v>
      </c>
      <c r="BL181" s="1601">
        <f t="shared" si="128"/>
        <v>1603.1387185507554</v>
      </c>
      <c r="BM181" s="1601">
        <f t="shared" si="129"/>
        <v>1603.1387185507554</v>
      </c>
      <c r="BN181" s="1601">
        <f t="shared" si="130"/>
        <v>1603.1387185507554</v>
      </c>
      <c r="BO181" s="1601">
        <f t="shared" si="131"/>
        <v>1603.1387185507554</v>
      </c>
      <c r="BP181" s="1602">
        <f t="shared" si="132"/>
        <v>6412.5548742030214</v>
      </c>
      <c r="BQ181" s="1602"/>
      <c r="BR181" s="1602" t="s">
        <v>355</v>
      </c>
      <c r="BS181" s="1602">
        <v>0</v>
      </c>
      <c r="BT181" s="1602">
        <v>20</v>
      </c>
      <c r="BU181" s="1602">
        <v>20</v>
      </c>
      <c r="BV181" s="1602">
        <v>20</v>
      </c>
      <c r="BW181" s="1602">
        <v>20</v>
      </c>
      <c r="BX181" s="1362">
        <f t="shared" si="149"/>
        <v>32062.774371015108</v>
      </c>
      <c r="BY181" s="1362">
        <f t="shared" si="150"/>
        <v>32062.774371015108</v>
      </c>
      <c r="BZ181" s="1362">
        <f t="shared" si="151"/>
        <v>32062.774371015108</v>
      </c>
      <c r="CA181" s="1362">
        <f t="shared" si="152"/>
        <v>32062.774371015108</v>
      </c>
      <c r="CB181" s="1362">
        <f t="shared" si="153"/>
        <v>128251.09748406043</v>
      </c>
      <c r="CC181" s="1360">
        <v>20</v>
      </c>
      <c r="CD181" s="1360">
        <v>20</v>
      </c>
      <c r="CE181" s="1360">
        <v>20</v>
      </c>
      <c r="CF181" s="1360">
        <v>20</v>
      </c>
      <c r="CG181" s="1604">
        <f t="shared" si="133"/>
        <v>32062.774371015104</v>
      </c>
      <c r="CH181" s="1604">
        <f t="shared" si="134"/>
        <v>32062.774371015104</v>
      </c>
      <c r="CI181" s="1604">
        <f t="shared" si="135"/>
        <v>32062.774371015104</v>
      </c>
      <c r="CJ181" s="1604">
        <f t="shared" si="136"/>
        <v>32062.774371015104</v>
      </c>
      <c r="CK181" s="1521">
        <f t="shared" si="137"/>
        <v>128251.09748406042</v>
      </c>
      <c r="CL181" s="1132">
        <v>174</v>
      </c>
      <c r="CM181" s="1132" t="s">
        <v>356</v>
      </c>
      <c r="CN181" s="1359">
        <v>0</v>
      </c>
      <c r="CO181" s="1360">
        <v>0.67200000000000004</v>
      </c>
      <c r="CP181" s="1360">
        <v>0.67200000000000004</v>
      </c>
      <c r="CQ181" s="1360">
        <v>0.67200000000000004</v>
      </c>
      <c r="CR181" s="1360">
        <v>0.67200000000000004</v>
      </c>
      <c r="CS181" s="1362">
        <f t="shared" si="138"/>
        <v>1603.1387185507554</v>
      </c>
      <c r="CT181" s="1362">
        <f t="shared" si="139"/>
        <v>1603.1387185507554</v>
      </c>
      <c r="CU181" s="1362">
        <f t="shared" si="140"/>
        <v>1603.1387185507554</v>
      </c>
      <c r="CV181" s="1362">
        <f t="shared" si="141"/>
        <v>1603.1387185507554</v>
      </c>
      <c r="CW181" s="1362">
        <f t="shared" si="142"/>
        <v>6412.5548742030214</v>
      </c>
      <c r="CY181" s="2887"/>
    </row>
    <row r="182" spans="1:103" s="1143" customFormat="1" ht="46.5" x14ac:dyDescent="0.35">
      <c r="A182" s="1132" t="s">
        <v>101</v>
      </c>
      <c r="B182" s="1132" t="s">
        <v>601</v>
      </c>
      <c r="C182" s="1132" t="s">
        <v>591</v>
      </c>
      <c r="D182" s="1359" t="s">
        <v>592</v>
      </c>
      <c r="E182" s="1359">
        <v>1</v>
      </c>
      <c r="F182" s="2564" t="s">
        <v>355</v>
      </c>
      <c r="G182" s="1132" t="s">
        <v>356</v>
      </c>
      <c r="H182" s="1360">
        <v>0.67200000000000004</v>
      </c>
      <c r="I182" s="1360">
        <v>0.67200000000000004</v>
      </c>
      <c r="J182" s="1360">
        <v>0.67200000000000004</v>
      </c>
      <c r="K182" s="1360">
        <v>0.67200000000000004</v>
      </c>
      <c r="L182" s="1132" t="s">
        <v>357</v>
      </c>
      <c r="M182" s="1132" t="str">
        <f t="shared" si="104"/>
        <v>Nicor Gas PY11-PY14 Adjustable Goals Template_2025-03-01, Tab 4.4.16</v>
      </c>
      <c r="N182" s="1361">
        <v>5256.3081214778895</v>
      </c>
      <c r="O182" s="1361">
        <v>5256.3081214778895</v>
      </c>
      <c r="P182" s="1361">
        <v>5256.3081214778895</v>
      </c>
      <c r="Q182" s="1361">
        <v>5256.3081214778895</v>
      </c>
      <c r="R182" s="1781">
        <v>0.86</v>
      </c>
      <c r="S182" s="1781">
        <v>0.86</v>
      </c>
      <c r="T182" s="1781">
        <v>0.86</v>
      </c>
      <c r="U182" s="1781">
        <v>0.86</v>
      </c>
      <c r="V182" s="1781">
        <v>0.86</v>
      </c>
      <c r="W182" s="1781">
        <v>0.86</v>
      </c>
      <c r="X182" s="1781">
        <v>0.86</v>
      </c>
      <c r="Y182" s="1781">
        <v>0.86</v>
      </c>
      <c r="Z182" s="1359">
        <v>1</v>
      </c>
      <c r="AA182" s="1781">
        <f t="shared" si="105"/>
        <v>0.86</v>
      </c>
      <c r="AB182" s="1781">
        <f t="shared" si="106"/>
        <v>0.86</v>
      </c>
      <c r="AC182" s="1781">
        <f t="shared" si="107"/>
        <v>0.86</v>
      </c>
      <c r="AD182" s="1781">
        <f t="shared" si="108"/>
        <v>0.86</v>
      </c>
      <c r="AE182" s="1781">
        <f t="shared" si="109"/>
        <v>0.86</v>
      </c>
      <c r="AF182" s="1781">
        <f t="shared" si="110"/>
        <v>0.86</v>
      </c>
      <c r="AG182" s="1781">
        <f t="shared" si="111"/>
        <v>0.86</v>
      </c>
      <c r="AH182" s="1781">
        <f t="shared" si="112"/>
        <v>0.86</v>
      </c>
      <c r="AI182" s="1362">
        <f t="shared" si="143"/>
        <v>3037.7255895645017</v>
      </c>
      <c r="AJ182" s="1362">
        <f t="shared" si="144"/>
        <v>3037.7255895645017</v>
      </c>
      <c r="AK182" s="1362">
        <f t="shared" si="145"/>
        <v>3037.7255895645017</v>
      </c>
      <c r="AL182" s="1362">
        <f t="shared" si="146"/>
        <v>3037.7255895645017</v>
      </c>
      <c r="AM182" s="1362">
        <f t="shared" si="147"/>
        <v>12150.902358258007</v>
      </c>
      <c r="AN182" s="1132" t="str">
        <f t="shared" si="113"/>
        <v>CI-HVC-STRE-V05-180101</v>
      </c>
      <c r="AO182" s="1132" t="str">
        <f t="shared" si="114"/>
        <v>Nicor Gas PY11-PY14 Adjustable Goals Template_2025-03-01, Tab 4.4.16</v>
      </c>
      <c r="AP182" s="2505">
        <f>'4.4.16'!$O$17</f>
        <v>5256.3081214778895</v>
      </c>
      <c r="AQ182" s="2505"/>
      <c r="AR182" s="2505">
        <f t="shared" si="115"/>
        <v>3037.7255895645017</v>
      </c>
      <c r="AS182" s="2505">
        <f t="shared" si="116"/>
        <v>0</v>
      </c>
      <c r="AT182" s="1132" t="str">
        <f t="shared" si="117"/>
        <v>CI-HVC-STRE-V05-180101</v>
      </c>
      <c r="AU182" s="1132" t="str">
        <f t="shared" si="118"/>
        <v>Nicor Gas PY11-PY14 Adjustable Goals Template_2025-03-01, Tab 4.4.16</v>
      </c>
      <c r="AV182" s="2505">
        <f>'4.4.16'!$O$17</f>
        <v>5256.3081214778895</v>
      </c>
      <c r="AW182" s="2505"/>
      <c r="AX182" s="1362">
        <f t="shared" si="119"/>
        <v>3037.7255895645017</v>
      </c>
      <c r="AY182" s="1360">
        <f t="shared" si="120"/>
        <v>0</v>
      </c>
      <c r="AZ182" s="1132" t="str">
        <f t="shared" si="121"/>
        <v>CI-HVC-STRE-V05-180101</v>
      </c>
      <c r="BA182" s="1132" t="str">
        <f t="shared" si="122"/>
        <v>Nicor Gas PY11-PY14 Adjustable Goals Template_2025-03-01, Tab 4.4.16</v>
      </c>
      <c r="BB182" s="2505">
        <f>'4.4.16'!$O$17</f>
        <v>5256.3081214778895</v>
      </c>
      <c r="BC182" s="2505"/>
      <c r="BD182" s="1362">
        <f t="shared" si="123"/>
        <v>3037.7255895645017</v>
      </c>
      <c r="BE182" s="1360">
        <f t="shared" si="124"/>
        <v>0</v>
      </c>
      <c r="BF182" s="1132" t="str">
        <f t="shared" si="125"/>
        <v>CI-HVC-STRE-V05-180101</v>
      </c>
      <c r="BG182" s="1132" t="str">
        <f t="shared" si="126"/>
        <v>Nicor Gas PY11-PY14 Adjustable Goals Template_2025-03-01, Tab 4.4.16</v>
      </c>
      <c r="BH182" s="2505">
        <f>'4.4.16'!$O$17</f>
        <v>5256.3081214778895</v>
      </c>
      <c r="BI182" s="2505"/>
      <c r="BJ182" s="1362">
        <f t="shared" si="148"/>
        <v>3037.7255895645017</v>
      </c>
      <c r="BK182" s="1360">
        <f t="shared" si="127"/>
        <v>0</v>
      </c>
      <c r="BL182" s="1601">
        <f t="shared" si="128"/>
        <v>3037.7255895645017</v>
      </c>
      <c r="BM182" s="1601">
        <f t="shared" si="129"/>
        <v>3037.7255895645017</v>
      </c>
      <c r="BN182" s="1601">
        <f t="shared" si="130"/>
        <v>3037.7255895645017</v>
      </c>
      <c r="BO182" s="1601">
        <f t="shared" si="131"/>
        <v>3037.7255895645017</v>
      </c>
      <c r="BP182" s="1602">
        <f t="shared" si="132"/>
        <v>12150.902358258007</v>
      </c>
      <c r="BQ182" s="1602"/>
      <c r="BR182" s="1602" t="s">
        <v>355</v>
      </c>
      <c r="BS182" s="1602">
        <v>0</v>
      </c>
      <c r="BT182" s="1602">
        <v>20</v>
      </c>
      <c r="BU182" s="1602">
        <v>20</v>
      </c>
      <c r="BV182" s="1602">
        <v>20</v>
      </c>
      <c r="BW182" s="1602">
        <v>20</v>
      </c>
      <c r="BX182" s="1362">
        <f t="shared" si="149"/>
        <v>60754.511791290031</v>
      </c>
      <c r="BY182" s="1362">
        <f t="shared" si="150"/>
        <v>60754.511791290031</v>
      </c>
      <c r="BZ182" s="1362">
        <f t="shared" si="151"/>
        <v>60754.511791290031</v>
      </c>
      <c r="CA182" s="1362">
        <f t="shared" si="152"/>
        <v>60754.511791290031</v>
      </c>
      <c r="CB182" s="1362">
        <f t="shared" si="153"/>
        <v>243018.04716516013</v>
      </c>
      <c r="CC182" s="1360">
        <v>20</v>
      </c>
      <c r="CD182" s="1360">
        <v>20</v>
      </c>
      <c r="CE182" s="1360">
        <v>20</v>
      </c>
      <c r="CF182" s="1360">
        <v>20</v>
      </c>
      <c r="CG182" s="1604">
        <f t="shared" si="133"/>
        <v>60754.511791290031</v>
      </c>
      <c r="CH182" s="1604">
        <f t="shared" si="134"/>
        <v>60754.511791290031</v>
      </c>
      <c r="CI182" s="1604">
        <f t="shared" si="135"/>
        <v>60754.511791290031</v>
      </c>
      <c r="CJ182" s="1604">
        <f t="shared" si="136"/>
        <v>60754.511791290031</v>
      </c>
      <c r="CK182" s="1521">
        <f t="shared" si="137"/>
        <v>243018.04716516013</v>
      </c>
      <c r="CL182" s="1132">
        <v>175</v>
      </c>
      <c r="CM182" s="1132" t="s">
        <v>356</v>
      </c>
      <c r="CN182" s="1359">
        <v>0</v>
      </c>
      <c r="CO182" s="1360">
        <v>0.67200000000000004</v>
      </c>
      <c r="CP182" s="1360">
        <v>0.67200000000000004</v>
      </c>
      <c r="CQ182" s="1360">
        <v>0.67200000000000004</v>
      </c>
      <c r="CR182" s="1360">
        <v>0.67200000000000004</v>
      </c>
      <c r="CS182" s="1362">
        <f t="shared" si="138"/>
        <v>3037.7255895645017</v>
      </c>
      <c r="CT182" s="1362">
        <f t="shared" si="139"/>
        <v>3037.7255895645017</v>
      </c>
      <c r="CU182" s="1362">
        <f t="shared" si="140"/>
        <v>3037.7255895645017</v>
      </c>
      <c r="CV182" s="1362">
        <f t="shared" si="141"/>
        <v>3037.7255895645017</v>
      </c>
      <c r="CW182" s="1362">
        <f t="shared" si="142"/>
        <v>12150.902358258007</v>
      </c>
      <c r="CY182" s="2887"/>
    </row>
    <row r="183" spans="1:103" s="1143" customFormat="1" ht="46.5" x14ac:dyDescent="0.35">
      <c r="A183" s="1132" t="s">
        <v>101</v>
      </c>
      <c r="B183" s="1132" t="s">
        <v>601</v>
      </c>
      <c r="C183" s="1132" t="s">
        <v>593</v>
      </c>
      <c r="D183" s="1359" t="s">
        <v>594</v>
      </c>
      <c r="E183" s="1359">
        <v>1</v>
      </c>
      <c r="F183" s="2564" t="s">
        <v>355</v>
      </c>
      <c r="G183" s="1132" t="s">
        <v>356</v>
      </c>
      <c r="H183" s="1360">
        <v>0.33600000000000002</v>
      </c>
      <c r="I183" s="1360">
        <v>0.33600000000000002</v>
      </c>
      <c r="J183" s="1360">
        <v>0.33600000000000002</v>
      </c>
      <c r="K183" s="1360">
        <v>0.33600000000000002</v>
      </c>
      <c r="L183" s="1132" t="s">
        <v>357</v>
      </c>
      <c r="M183" s="1132" t="str">
        <f t="shared" si="104"/>
        <v>Nicor Gas PY11-PY14 Adjustable Goals Template_2025-03-01, Tab 4.4.16</v>
      </c>
      <c r="N183" s="1361">
        <v>7330.5589709869309</v>
      </c>
      <c r="O183" s="1361">
        <v>7330.5589709869309</v>
      </c>
      <c r="P183" s="1361">
        <v>7330.5589709869309</v>
      </c>
      <c r="Q183" s="1361">
        <v>7330.5589709869309</v>
      </c>
      <c r="R183" s="1781">
        <v>0.86</v>
      </c>
      <c r="S183" s="1781">
        <v>0.86</v>
      </c>
      <c r="T183" s="1781">
        <v>0.86</v>
      </c>
      <c r="U183" s="1781">
        <v>0.86</v>
      </c>
      <c r="V183" s="1781">
        <v>0.86</v>
      </c>
      <c r="W183" s="1781">
        <v>0.86</v>
      </c>
      <c r="X183" s="1781">
        <v>0.86</v>
      </c>
      <c r="Y183" s="1781">
        <v>0.86</v>
      </c>
      <c r="Z183" s="1359">
        <v>1</v>
      </c>
      <c r="AA183" s="1781">
        <f t="shared" si="105"/>
        <v>0.86</v>
      </c>
      <c r="AB183" s="1781">
        <f t="shared" si="106"/>
        <v>0.86</v>
      </c>
      <c r="AC183" s="1781">
        <f t="shared" si="107"/>
        <v>0.86</v>
      </c>
      <c r="AD183" s="1781">
        <f t="shared" si="108"/>
        <v>0.86</v>
      </c>
      <c r="AE183" s="1781">
        <f t="shared" si="109"/>
        <v>0.86</v>
      </c>
      <c r="AF183" s="1781">
        <f t="shared" si="110"/>
        <v>0.86</v>
      </c>
      <c r="AG183" s="1781">
        <f t="shared" si="111"/>
        <v>0.86</v>
      </c>
      <c r="AH183" s="1781">
        <f t="shared" si="112"/>
        <v>0.86</v>
      </c>
      <c r="AI183" s="1362">
        <f t="shared" si="143"/>
        <v>2118.2383202563838</v>
      </c>
      <c r="AJ183" s="1362">
        <f t="shared" si="144"/>
        <v>2118.2383202563838</v>
      </c>
      <c r="AK183" s="1362">
        <f t="shared" si="145"/>
        <v>2118.2383202563838</v>
      </c>
      <c r="AL183" s="1362">
        <f t="shared" si="146"/>
        <v>2118.2383202563838</v>
      </c>
      <c r="AM183" s="1362">
        <f t="shared" si="147"/>
        <v>8472.953281025535</v>
      </c>
      <c r="AN183" s="1132" t="str">
        <f t="shared" si="113"/>
        <v>CI-HVC-STRE-V05-180101</v>
      </c>
      <c r="AO183" s="1132" t="str">
        <f t="shared" si="114"/>
        <v>Nicor Gas PY11-PY14 Adjustable Goals Template_2025-03-01, Tab 4.4.16</v>
      </c>
      <c r="AP183" s="2505">
        <f>'4.4.16'!$O$18</f>
        <v>7330.5589709869309</v>
      </c>
      <c r="AQ183" s="2505"/>
      <c r="AR183" s="2505">
        <f t="shared" si="115"/>
        <v>2118.2383202563838</v>
      </c>
      <c r="AS183" s="2505">
        <f t="shared" si="116"/>
        <v>0</v>
      </c>
      <c r="AT183" s="1132" t="str">
        <f t="shared" si="117"/>
        <v>CI-HVC-STRE-V05-180101</v>
      </c>
      <c r="AU183" s="1132" t="str">
        <f t="shared" si="118"/>
        <v>Nicor Gas PY11-PY14 Adjustable Goals Template_2025-03-01, Tab 4.4.16</v>
      </c>
      <c r="AV183" s="2505">
        <f>'4.4.16'!$O$18</f>
        <v>7330.5589709869309</v>
      </c>
      <c r="AW183" s="2505"/>
      <c r="AX183" s="1362">
        <f t="shared" si="119"/>
        <v>2118.2383202563838</v>
      </c>
      <c r="AY183" s="1360">
        <f t="shared" si="120"/>
        <v>0</v>
      </c>
      <c r="AZ183" s="1132" t="str">
        <f t="shared" si="121"/>
        <v>CI-HVC-STRE-V05-180101</v>
      </c>
      <c r="BA183" s="1132" t="str">
        <f t="shared" si="122"/>
        <v>Nicor Gas PY11-PY14 Adjustable Goals Template_2025-03-01, Tab 4.4.16</v>
      </c>
      <c r="BB183" s="2505">
        <f>'4.4.16'!$O$18</f>
        <v>7330.5589709869309</v>
      </c>
      <c r="BC183" s="2505"/>
      <c r="BD183" s="1362">
        <f t="shared" si="123"/>
        <v>2118.2383202563838</v>
      </c>
      <c r="BE183" s="1360">
        <f t="shared" si="124"/>
        <v>0</v>
      </c>
      <c r="BF183" s="1132" t="str">
        <f t="shared" si="125"/>
        <v>CI-HVC-STRE-V05-180101</v>
      </c>
      <c r="BG183" s="1132" t="str">
        <f t="shared" si="126"/>
        <v>Nicor Gas PY11-PY14 Adjustable Goals Template_2025-03-01, Tab 4.4.16</v>
      </c>
      <c r="BH183" s="2505">
        <f>'4.4.16'!$O$18</f>
        <v>7330.5589709869309</v>
      </c>
      <c r="BI183" s="2505"/>
      <c r="BJ183" s="1362">
        <f t="shared" si="148"/>
        <v>2118.2383202563838</v>
      </c>
      <c r="BK183" s="1360">
        <f t="shared" si="127"/>
        <v>0</v>
      </c>
      <c r="BL183" s="1601">
        <f t="shared" si="128"/>
        <v>2118.2383202563838</v>
      </c>
      <c r="BM183" s="1601">
        <f t="shared" si="129"/>
        <v>2118.2383202563838</v>
      </c>
      <c r="BN183" s="1601">
        <f t="shared" si="130"/>
        <v>2118.2383202563838</v>
      </c>
      <c r="BO183" s="1601">
        <f t="shared" si="131"/>
        <v>2118.2383202563838</v>
      </c>
      <c r="BP183" s="1602">
        <f t="shared" si="132"/>
        <v>8472.953281025535</v>
      </c>
      <c r="BQ183" s="1602"/>
      <c r="BR183" s="1602" t="s">
        <v>355</v>
      </c>
      <c r="BS183" s="1602">
        <v>0</v>
      </c>
      <c r="BT183" s="1602">
        <v>20</v>
      </c>
      <c r="BU183" s="1602">
        <v>20</v>
      </c>
      <c r="BV183" s="1602">
        <v>20</v>
      </c>
      <c r="BW183" s="1602">
        <v>20</v>
      </c>
      <c r="BX183" s="1362">
        <f t="shared" si="149"/>
        <v>42364.766405127673</v>
      </c>
      <c r="BY183" s="1362">
        <f t="shared" si="150"/>
        <v>42364.766405127673</v>
      </c>
      <c r="BZ183" s="1362">
        <f t="shared" si="151"/>
        <v>42364.766405127673</v>
      </c>
      <c r="CA183" s="1362">
        <f t="shared" si="152"/>
        <v>42364.766405127673</v>
      </c>
      <c r="CB183" s="1362">
        <f t="shared" si="153"/>
        <v>169459.06562051069</v>
      </c>
      <c r="CC183" s="1360">
        <v>20</v>
      </c>
      <c r="CD183" s="1360">
        <v>20</v>
      </c>
      <c r="CE183" s="1360">
        <v>20</v>
      </c>
      <c r="CF183" s="1360">
        <v>20</v>
      </c>
      <c r="CG183" s="1604">
        <f t="shared" si="133"/>
        <v>42364.766405127666</v>
      </c>
      <c r="CH183" s="1604">
        <f t="shared" si="134"/>
        <v>42364.766405127666</v>
      </c>
      <c r="CI183" s="1604">
        <f t="shared" si="135"/>
        <v>42364.766405127666</v>
      </c>
      <c r="CJ183" s="1604">
        <f t="shared" si="136"/>
        <v>42364.766405127666</v>
      </c>
      <c r="CK183" s="1521">
        <f t="shared" si="137"/>
        <v>169459.06562051066</v>
      </c>
      <c r="CL183" s="1132">
        <v>176</v>
      </c>
      <c r="CM183" s="1132" t="s">
        <v>356</v>
      </c>
      <c r="CN183" s="1359">
        <v>0</v>
      </c>
      <c r="CO183" s="1360">
        <v>0.33600000000000002</v>
      </c>
      <c r="CP183" s="1360">
        <v>0.33600000000000002</v>
      </c>
      <c r="CQ183" s="1360">
        <v>0.33600000000000002</v>
      </c>
      <c r="CR183" s="1360">
        <v>0.33600000000000002</v>
      </c>
      <c r="CS183" s="1362">
        <f t="shared" si="138"/>
        <v>2118.2383202563838</v>
      </c>
      <c r="CT183" s="1362">
        <f t="shared" si="139"/>
        <v>2118.2383202563838</v>
      </c>
      <c r="CU183" s="1362">
        <f t="shared" si="140"/>
        <v>2118.2383202563838</v>
      </c>
      <c r="CV183" s="1362">
        <f t="shared" si="141"/>
        <v>2118.2383202563838</v>
      </c>
      <c r="CW183" s="1362">
        <f t="shared" si="142"/>
        <v>8472.953281025535</v>
      </c>
      <c r="CY183" s="2887"/>
    </row>
    <row r="184" spans="1:103" s="1143" customFormat="1" ht="46.5" x14ac:dyDescent="0.35">
      <c r="A184" s="1132" t="s">
        <v>101</v>
      </c>
      <c r="B184" s="1132" t="s">
        <v>601</v>
      </c>
      <c r="C184" s="1132" t="s">
        <v>595</v>
      </c>
      <c r="D184" s="1359" t="s">
        <v>596</v>
      </c>
      <c r="E184" s="1359">
        <v>1</v>
      </c>
      <c r="F184" s="2564" t="s">
        <v>355</v>
      </c>
      <c r="G184" s="1132" t="s">
        <v>356</v>
      </c>
      <c r="H184" s="1360">
        <v>1.008</v>
      </c>
      <c r="I184" s="1360">
        <v>1.008</v>
      </c>
      <c r="J184" s="1360">
        <v>1.008</v>
      </c>
      <c r="K184" s="1360">
        <v>1.008</v>
      </c>
      <c r="L184" s="1132" t="s">
        <v>357</v>
      </c>
      <c r="M184" s="1132" t="str">
        <f t="shared" si="104"/>
        <v>Nicor Gas PY11-PY14 Adjustable Goals Template_2025-03-01, Tab 4.4.16</v>
      </c>
      <c r="N184" s="1361">
        <v>9903.4578866889951</v>
      </c>
      <c r="O184" s="1361">
        <v>9903.4578866889951</v>
      </c>
      <c r="P184" s="1361">
        <v>9903.4578866889951</v>
      </c>
      <c r="Q184" s="1361">
        <v>9903.4578866889951</v>
      </c>
      <c r="R184" s="1781">
        <v>0.86</v>
      </c>
      <c r="S184" s="1781">
        <v>0.86</v>
      </c>
      <c r="T184" s="1781">
        <v>0.86</v>
      </c>
      <c r="U184" s="1781">
        <v>0.86</v>
      </c>
      <c r="V184" s="1781">
        <v>0.86</v>
      </c>
      <c r="W184" s="1781">
        <v>0.86</v>
      </c>
      <c r="X184" s="1781">
        <v>0.86</v>
      </c>
      <c r="Y184" s="1781">
        <v>0.86</v>
      </c>
      <c r="Z184" s="1359">
        <v>1</v>
      </c>
      <c r="AA184" s="1781">
        <f t="shared" si="105"/>
        <v>0.86</v>
      </c>
      <c r="AB184" s="1781">
        <f t="shared" si="106"/>
        <v>0.86</v>
      </c>
      <c r="AC184" s="1781">
        <f t="shared" si="107"/>
        <v>0.86</v>
      </c>
      <c r="AD184" s="1781">
        <f t="shared" si="108"/>
        <v>0.86</v>
      </c>
      <c r="AE184" s="1781">
        <f t="shared" si="109"/>
        <v>0.86</v>
      </c>
      <c r="AF184" s="1781">
        <f t="shared" si="110"/>
        <v>0.86</v>
      </c>
      <c r="AG184" s="1781">
        <f t="shared" si="111"/>
        <v>0.86</v>
      </c>
      <c r="AH184" s="1781">
        <f t="shared" si="112"/>
        <v>0.86</v>
      </c>
      <c r="AI184" s="1362">
        <f t="shared" si="143"/>
        <v>8585.1095728129567</v>
      </c>
      <c r="AJ184" s="1362">
        <f t="shared" si="144"/>
        <v>8585.1095728129567</v>
      </c>
      <c r="AK184" s="1362">
        <f t="shared" si="145"/>
        <v>8585.1095728129567</v>
      </c>
      <c r="AL184" s="1362">
        <f t="shared" si="146"/>
        <v>8585.1095728129567</v>
      </c>
      <c r="AM184" s="1362">
        <f t="shared" si="147"/>
        <v>34340.438291251827</v>
      </c>
      <c r="AN184" s="1132" t="str">
        <f t="shared" si="113"/>
        <v>CI-HVC-STRE-V05-180101</v>
      </c>
      <c r="AO184" s="1132" t="str">
        <f t="shared" si="114"/>
        <v>Nicor Gas PY11-PY14 Adjustable Goals Template_2025-03-01, Tab 4.4.16</v>
      </c>
      <c r="AP184" s="2505">
        <f>'4.4.16'!$O$19</f>
        <v>9903.4578866889951</v>
      </c>
      <c r="AQ184" s="2505"/>
      <c r="AR184" s="2505">
        <f t="shared" si="115"/>
        <v>8585.1095728129567</v>
      </c>
      <c r="AS184" s="2505">
        <f t="shared" si="116"/>
        <v>0</v>
      </c>
      <c r="AT184" s="1132" t="str">
        <f t="shared" si="117"/>
        <v>CI-HVC-STRE-V05-180101</v>
      </c>
      <c r="AU184" s="1132" t="str">
        <f t="shared" si="118"/>
        <v>Nicor Gas PY11-PY14 Adjustable Goals Template_2025-03-01, Tab 4.4.16</v>
      </c>
      <c r="AV184" s="2505">
        <f>'4.4.16'!$O$19</f>
        <v>9903.4578866889951</v>
      </c>
      <c r="AW184" s="2505"/>
      <c r="AX184" s="1362">
        <f t="shared" si="119"/>
        <v>8585.1095728129567</v>
      </c>
      <c r="AY184" s="1360">
        <f t="shared" si="120"/>
        <v>0</v>
      </c>
      <c r="AZ184" s="1132" t="str">
        <f t="shared" si="121"/>
        <v>CI-HVC-STRE-V05-180101</v>
      </c>
      <c r="BA184" s="1132" t="str">
        <f t="shared" si="122"/>
        <v>Nicor Gas PY11-PY14 Adjustable Goals Template_2025-03-01, Tab 4.4.16</v>
      </c>
      <c r="BB184" s="2505">
        <f>'4.4.16'!$O$19</f>
        <v>9903.4578866889951</v>
      </c>
      <c r="BC184" s="2505"/>
      <c r="BD184" s="1362">
        <f t="shared" si="123"/>
        <v>8585.1095728129567</v>
      </c>
      <c r="BE184" s="1360">
        <f t="shared" si="124"/>
        <v>0</v>
      </c>
      <c r="BF184" s="1132" t="str">
        <f t="shared" si="125"/>
        <v>CI-HVC-STRE-V05-180101</v>
      </c>
      <c r="BG184" s="1132" t="str">
        <f t="shared" si="126"/>
        <v>Nicor Gas PY11-PY14 Adjustable Goals Template_2025-03-01, Tab 4.4.16</v>
      </c>
      <c r="BH184" s="2505">
        <f>'4.4.16'!$O$19</f>
        <v>9903.4578866889951</v>
      </c>
      <c r="BI184" s="2505"/>
      <c r="BJ184" s="1362">
        <f t="shared" si="148"/>
        <v>8585.1095728129567</v>
      </c>
      <c r="BK184" s="1360">
        <f t="shared" si="127"/>
        <v>0</v>
      </c>
      <c r="BL184" s="1601">
        <f t="shared" si="128"/>
        <v>8585.1095728129567</v>
      </c>
      <c r="BM184" s="1601">
        <f t="shared" si="129"/>
        <v>8585.1095728129567</v>
      </c>
      <c r="BN184" s="1601">
        <f t="shared" si="130"/>
        <v>8585.1095728129567</v>
      </c>
      <c r="BO184" s="1601">
        <f t="shared" si="131"/>
        <v>8585.1095728129567</v>
      </c>
      <c r="BP184" s="1602">
        <f t="shared" si="132"/>
        <v>34340.438291251827</v>
      </c>
      <c r="BQ184" s="1602"/>
      <c r="BR184" s="1602" t="s">
        <v>355</v>
      </c>
      <c r="BS184" s="1602">
        <v>0</v>
      </c>
      <c r="BT184" s="1602">
        <v>20</v>
      </c>
      <c r="BU184" s="1602">
        <v>20</v>
      </c>
      <c r="BV184" s="1602">
        <v>20</v>
      </c>
      <c r="BW184" s="1602">
        <v>20</v>
      </c>
      <c r="BX184" s="1362">
        <f t="shared" si="149"/>
        <v>171702.19145625914</v>
      </c>
      <c r="BY184" s="1362">
        <f t="shared" si="150"/>
        <v>171702.19145625914</v>
      </c>
      <c r="BZ184" s="1362">
        <f t="shared" si="151"/>
        <v>171702.19145625914</v>
      </c>
      <c r="CA184" s="1362">
        <f t="shared" si="152"/>
        <v>171702.19145625914</v>
      </c>
      <c r="CB184" s="1362">
        <f t="shared" si="153"/>
        <v>686808.76582503656</v>
      </c>
      <c r="CC184" s="1360">
        <v>20</v>
      </c>
      <c r="CD184" s="1360">
        <v>20</v>
      </c>
      <c r="CE184" s="1360">
        <v>20</v>
      </c>
      <c r="CF184" s="1360">
        <v>20</v>
      </c>
      <c r="CG184" s="1604">
        <f t="shared" si="133"/>
        <v>171702.19145625914</v>
      </c>
      <c r="CH184" s="1604">
        <f t="shared" si="134"/>
        <v>171702.19145625914</v>
      </c>
      <c r="CI184" s="1604">
        <f t="shared" si="135"/>
        <v>171702.19145625914</v>
      </c>
      <c r="CJ184" s="1604">
        <f t="shared" si="136"/>
        <v>171702.19145625914</v>
      </c>
      <c r="CK184" s="1521">
        <f t="shared" si="137"/>
        <v>686808.76582503656</v>
      </c>
      <c r="CL184" s="1132">
        <v>177</v>
      </c>
      <c r="CM184" s="1132" t="s">
        <v>356</v>
      </c>
      <c r="CN184" s="1359">
        <v>0</v>
      </c>
      <c r="CO184" s="1360">
        <v>1.008</v>
      </c>
      <c r="CP184" s="1360">
        <v>1.008</v>
      </c>
      <c r="CQ184" s="1360">
        <v>1.008</v>
      </c>
      <c r="CR184" s="1360">
        <v>1.008</v>
      </c>
      <c r="CS184" s="1362">
        <f t="shared" si="138"/>
        <v>8585.1095728129567</v>
      </c>
      <c r="CT184" s="1362">
        <f t="shared" si="139"/>
        <v>8585.1095728129567</v>
      </c>
      <c r="CU184" s="1362">
        <f t="shared" si="140"/>
        <v>8585.1095728129567</v>
      </c>
      <c r="CV184" s="1362">
        <f t="shared" si="141"/>
        <v>8585.1095728129567</v>
      </c>
      <c r="CW184" s="1362">
        <f t="shared" si="142"/>
        <v>34340.438291251827</v>
      </c>
      <c r="CY184" s="2887"/>
    </row>
    <row r="185" spans="1:103" s="1143" customFormat="1" ht="46.5" x14ac:dyDescent="0.35">
      <c r="A185" s="1132" t="s">
        <v>101</v>
      </c>
      <c r="B185" s="1132" t="s">
        <v>601</v>
      </c>
      <c r="C185" s="1132" t="s">
        <v>597</v>
      </c>
      <c r="D185" s="1359" t="s">
        <v>598</v>
      </c>
      <c r="E185" s="1359">
        <v>1</v>
      </c>
      <c r="F185" s="2564" t="s">
        <v>355</v>
      </c>
      <c r="G185" s="1132" t="s">
        <v>356</v>
      </c>
      <c r="H185" s="1360">
        <v>0.33600000000000002</v>
      </c>
      <c r="I185" s="1360">
        <v>0.33600000000000002</v>
      </c>
      <c r="J185" s="1360">
        <v>0.33600000000000002</v>
      </c>
      <c r="K185" s="1360">
        <v>0.33600000000000002</v>
      </c>
      <c r="L185" s="1132" t="s">
        <v>357</v>
      </c>
      <c r="M185" s="1132" t="str">
        <f t="shared" si="104"/>
        <v>Nicor Gas PY11-PY14 Adjustable Goals Template_2025-03-01, Tab 4.4.16</v>
      </c>
      <c r="N185" s="1361">
        <v>12686.870831068883</v>
      </c>
      <c r="O185" s="1361">
        <v>12686.870831068883</v>
      </c>
      <c r="P185" s="1361">
        <v>12686.870831068883</v>
      </c>
      <c r="Q185" s="1361">
        <v>12686.870831068883</v>
      </c>
      <c r="R185" s="1781">
        <v>0.86</v>
      </c>
      <c r="S185" s="1781">
        <v>0.86</v>
      </c>
      <c r="T185" s="1781">
        <v>0.86</v>
      </c>
      <c r="U185" s="1781">
        <v>0.86</v>
      </c>
      <c r="V185" s="1781">
        <v>0.86</v>
      </c>
      <c r="W185" s="1781">
        <v>0.86</v>
      </c>
      <c r="X185" s="1781">
        <v>0.86</v>
      </c>
      <c r="Y185" s="1781">
        <v>0.86</v>
      </c>
      <c r="Z185" s="1359">
        <v>1</v>
      </c>
      <c r="AA185" s="1781">
        <f t="shared" si="105"/>
        <v>0.86</v>
      </c>
      <c r="AB185" s="1781">
        <f t="shared" si="106"/>
        <v>0.86</v>
      </c>
      <c r="AC185" s="1781">
        <f t="shared" si="107"/>
        <v>0.86</v>
      </c>
      <c r="AD185" s="1781">
        <f t="shared" si="108"/>
        <v>0.86</v>
      </c>
      <c r="AE185" s="1781">
        <f t="shared" si="109"/>
        <v>0.86</v>
      </c>
      <c r="AF185" s="1781">
        <f t="shared" si="110"/>
        <v>0.86</v>
      </c>
      <c r="AG185" s="1781">
        <f t="shared" si="111"/>
        <v>0.86</v>
      </c>
      <c r="AH185" s="1781">
        <f t="shared" si="112"/>
        <v>0.86</v>
      </c>
      <c r="AI185" s="1362">
        <f t="shared" si="143"/>
        <v>3665.9981953456645</v>
      </c>
      <c r="AJ185" s="1362">
        <f t="shared" si="144"/>
        <v>3665.9981953456645</v>
      </c>
      <c r="AK185" s="1362">
        <f t="shared" si="145"/>
        <v>3665.9981953456645</v>
      </c>
      <c r="AL185" s="1362">
        <f t="shared" si="146"/>
        <v>3665.9981953456645</v>
      </c>
      <c r="AM185" s="1362">
        <f t="shared" si="147"/>
        <v>14663.992781382658</v>
      </c>
      <c r="AN185" s="1132" t="str">
        <f t="shared" si="113"/>
        <v>CI-HVC-STRE-V05-180101</v>
      </c>
      <c r="AO185" s="1132" t="str">
        <f t="shared" si="114"/>
        <v>Nicor Gas PY11-PY14 Adjustable Goals Template_2025-03-01, Tab 4.4.16</v>
      </c>
      <c r="AP185" s="2505">
        <f>'4.4.16'!$O$20</f>
        <v>12686.870831068883</v>
      </c>
      <c r="AQ185" s="2505"/>
      <c r="AR185" s="2505">
        <f t="shared" si="115"/>
        <v>3665.9981953456645</v>
      </c>
      <c r="AS185" s="2505">
        <f t="shared" si="116"/>
        <v>0</v>
      </c>
      <c r="AT185" s="1132" t="str">
        <f t="shared" si="117"/>
        <v>CI-HVC-STRE-V05-180101</v>
      </c>
      <c r="AU185" s="1132" t="str">
        <f t="shared" si="118"/>
        <v>Nicor Gas PY11-PY14 Adjustable Goals Template_2025-03-01, Tab 4.4.16</v>
      </c>
      <c r="AV185" s="2505">
        <f>'4.4.16'!$O$20</f>
        <v>12686.870831068883</v>
      </c>
      <c r="AW185" s="2505"/>
      <c r="AX185" s="1362">
        <f t="shared" si="119"/>
        <v>3665.9981953456645</v>
      </c>
      <c r="AY185" s="1360">
        <f t="shared" si="120"/>
        <v>0</v>
      </c>
      <c r="AZ185" s="1132" t="str">
        <f t="shared" si="121"/>
        <v>CI-HVC-STRE-V05-180101</v>
      </c>
      <c r="BA185" s="1132" t="str">
        <f t="shared" si="122"/>
        <v>Nicor Gas PY11-PY14 Adjustable Goals Template_2025-03-01, Tab 4.4.16</v>
      </c>
      <c r="BB185" s="2505">
        <f>'4.4.16'!$O$20</f>
        <v>12686.870831068883</v>
      </c>
      <c r="BC185" s="2505"/>
      <c r="BD185" s="1362">
        <f t="shared" si="123"/>
        <v>3665.9981953456645</v>
      </c>
      <c r="BE185" s="1360">
        <f t="shared" si="124"/>
        <v>0</v>
      </c>
      <c r="BF185" s="1132" t="str">
        <f t="shared" si="125"/>
        <v>CI-HVC-STRE-V05-180101</v>
      </c>
      <c r="BG185" s="1132" t="str">
        <f t="shared" si="126"/>
        <v>Nicor Gas PY11-PY14 Adjustable Goals Template_2025-03-01, Tab 4.4.16</v>
      </c>
      <c r="BH185" s="2505">
        <f>'4.4.16'!$O$20</f>
        <v>12686.870831068883</v>
      </c>
      <c r="BI185" s="2505"/>
      <c r="BJ185" s="1362">
        <f t="shared" si="148"/>
        <v>3665.9981953456645</v>
      </c>
      <c r="BK185" s="1360">
        <f t="shared" si="127"/>
        <v>0</v>
      </c>
      <c r="BL185" s="1601">
        <f t="shared" si="128"/>
        <v>3665.9981953456645</v>
      </c>
      <c r="BM185" s="1601">
        <f t="shared" si="129"/>
        <v>3665.9981953456645</v>
      </c>
      <c r="BN185" s="1601">
        <f t="shared" si="130"/>
        <v>3665.9981953456645</v>
      </c>
      <c r="BO185" s="1601">
        <f t="shared" si="131"/>
        <v>3665.9981953456645</v>
      </c>
      <c r="BP185" s="1602">
        <f t="shared" si="132"/>
        <v>14663.992781382658</v>
      </c>
      <c r="BQ185" s="1602"/>
      <c r="BR185" s="1602" t="s">
        <v>355</v>
      </c>
      <c r="BS185" s="1602">
        <v>0</v>
      </c>
      <c r="BT185" s="1602">
        <v>20</v>
      </c>
      <c r="BU185" s="1602">
        <v>20</v>
      </c>
      <c r="BV185" s="1602">
        <v>20</v>
      </c>
      <c r="BW185" s="1602">
        <v>20</v>
      </c>
      <c r="BX185" s="1362">
        <f t="shared" si="149"/>
        <v>73319.963906913297</v>
      </c>
      <c r="BY185" s="1362">
        <f t="shared" si="150"/>
        <v>73319.963906913297</v>
      </c>
      <c r="BZ185" s="1362">
        <f t="shared" si="151"/>
        <v>73319.963906913297</v>
      </c>
      <c r="CA185" s="1362">
        <f t="shared" si="152"/>
        <v>73319.963906913297</v>
      </c>
      <c r="CB185" s="1362">
        <f t="shared" si="153"/>
        <v>293279.85562765319</v>
      </c>
      <c r="CC185" s="1360">
        <v>20</v>
      </c>
      <c r="CD185" s="1360">
        <v>20</v>
      </c>
      <c r="CE185" s="1360">
        <v>20</v>
      </c>
      <c r="CF185" s="1360">
        <v>20</v>
      </c>
      <c r="CG185" s="1604">
        <f t="shared" si="133"/>
        <v>73319.963906913297</v>
      </c>
      <c r="CH185" s="1604">
        <f t="shared" si="134"/>
        <v>73319.963906913297</v>
      </c>
      <c r="CI185" s="1604">
        <f t="shared" si="135"/>
        <v>73319.963906913297</v>
      </c>
      <c r="CJ185" s="1604">
        <f t="shared" si="136"/>
        <v>73319.963906913297</v>
      </c>
      <c r="CK185" s="1521">
        <f t="shared" si="137"/>
        <v>293279.85562765319</v>
      </c>
      <c r="CL185" s="1132">
        <v>178</v>
      </c>
      <c r="CM185" s="1132" t="s">
        <v>356</v>
      </c>
      <c r="CN185" s="1359">
        <v>0</v>
      </c>
      <c r="CO185" s="1360">
        <v>0.33600000000000002</v>
      </c>
      <c r="CP185" s="1360">
        <v>0.33600000000000002</v>
      </c>
      <c r="CQ185" s="1360">
        <v>0.33600000000000002</v>
      </c>
      <c r="CR185" s="1360">
        <v>0.33600000000000002</v>
      </c>
      <c r="CS185" s="1362">
        <f t="shared" si="138"/>
        <v>3665.9981953456645</v>
      </c>
      <c r="CT185" s="1362">
        <f t="shared" si="139"/>
        <v>3665.9981953456645</v>
      </c>
      <c r="CU185" s="1362">
        <f t="shared" si="140"/>
        <v>3665.9981953456645</v>
      </c>
      <c r="CV185" s="1362">
        <f t="shared" si="141"/>
        <v>3665.9981953456645</v>
      </c>
      <c r="CW185" s="1362">
        <f t="shared" si="142"/>
        <v>14663.992781382658</v>
      </c>
      <c r="CY185" s="2887"/>
    </row>
    <row r="186" spans="1:103" s="1143" customFormat="1" ht="46.5" x14ac:dyDescent="0.35">
      <c r="A186" s="1132" t="s">
        <v>101</v>
      </c>
      <c r="B186" s="1132" t="s">
        <v>601</v>
      </c>
      <c r="C186" s="1132" t="s">
        <v>599</v>
      </c>
      <c r="D186" s="1359" t="s">
        <v>600</v>
      </c>
      <c r="E186" s="1359">
        <v>1</v>
      </c>
      <c r="F186" s="2564" t="s">
        <v>355</v>
      </c>
      <c r="G186" s="1132" t="s">
        <v>356</v>
      </c>
      <c r="H186" s="1360">
        <v>0.67200000000000004</v>
      </c>
      <c r="I186" s="1360">
        <v>0.67200000000000004</v>
      </c>
      <c r="J186" s="1360">
        <v>0.67200000000000004</v>
      </c>
      <c r="K186" s="1360">
        <v>0.67200000000000004</v>
      </c>
      <c r="L186" s="1132" t="s">
        <v>357</v>
      </c>
      <c r="M186" s="1132" t="str">
        <f t="shared" si="104"/>
        <v>Nicor Gas PY11-PY14 Adjustable Goals Template_2025-03-01, Tab 4.4.16</v>
      </c>
      <c r="N186" s="1361">
        <v>648.01507774707386</v>
      </c>
      <c r="O186" s="1361">
        <v>648.01507774707386</v>
      </c>
      <c r="P186" s="1361">
        <v>648.01507774707386</v>
      </c>
      <c r="Q186" s="1361">
        <v>648.01507774707386</v>
      </c>
      <c r="R186" s="1781">
        <v>0.86</v>
      </c>
      <c r="S186" s="1781">
        <v>0.86</v>
      </c>
      <c r="T186" s="1781">
        <v>0.86</v>
      </c>
      <c r="U186" s="1781">
        <v>0.86</v>
      </c>
      <c r="V186" s="1781">
        <v>0.86</v>
      </c>
      <c r="W186" s="1781">
        <v>0.86</v>
      </c>
      <c r="X186" s="1781">
        <v>0.86</v>
      </c>
      <c r="Y186" s="1781">
        <v>0.86</v>
      </c>
      <c r="Z186" s="1359">
        <v>1</v>
      </c>
      <c r="AA186" s="1781">
        <f t="shared" si="105"/>
        <v>0.86</v>
      </c>
      <c r="AB186" s="1781">
        <f t="shared" si="106"/>
        <v>0.86</v>
      </c>
      <c r="AC186" s="1781">
        <f t="shared" si="107"/>
        <v>0.86</v>
      </c>
      <c r="AD186" s="1781">
        <f t="shared" si="108"/>
        <v>0.86</v>
      </c>
      <c r="AE186" s="1781">
        <f t="shared" si="109"/>
        <v>0.86</v>
      </c>
      <c r="AF186" s="1781">
        <f t="shared" si="110"/>
        <v>0.86</v>
      </c>
      <c r="AG186" s="1781">
        <f t="shared" si="111"/>
        <v>0.86</v>
      </c>
      <c r="AH186" s="1781">
        <f t="shared" si="112"/>
        <v>0.86</v>
      </c>
      <c r="AI186" s="1362">
        <f t="shared" si="143"/>
        <v>374.50087373158897</v>
      </c>
      <c r="AJ186" s="1362">
        <f t="shared" si="144"/>
        <v>374.50087373158897</v>
      </c>
      <c r="AK186" s="1362">
        <f t="shared" si="145"/>
        <v>374.50087373158897</v>
      </c>
      <c r="AL186" s="1362">
        <f t="shared" si="146"/>
        <v>374.50087373158897</v>
      </c>
      <c r="AM186" s="1362">
        <f t="shared" si="147"/>
        <v>1498.0034949263559</v>
      </c>
      <c r="AN186" s="1132" t="str">
        <f t="shared" si="113"/>
        <v>CI-HVC-STRE-V05-180101</v>
      </c>
      <c r="AO186" s="1132" t="str">
        <f t="shared" si="114"/>
        <v>Nicor Gas PY11-PY14 Adjustable Goals Template_2025-03-01, Tab 4.4.16</v>
      </c>
      <c r="AP186" s="2505">
        <f>'4.4.16'!$O$23</f>
        <v>648.01507774707386</v>
      </c>
      <c r="AQ186" s="2505"/>
      <c r="AR186" s="2505">
        <f t="shared" si="115"/>
        <v>374.50087373158897</v>
      </c>
      <c r="AS186" s="2505">
        <f t="shared" si="116"/>
        <v>0</v>
      </c>
      <c r="AT186" s="1132" t="str">
        <f t="shared" si="117"/>
        <v>CI-HVC-STRE-V05-180101</v>
      </c>
      <c r="AU186" s="1132" t="str">
        <f t="shared" si="118"/>
        <v>Nicor Gas PY11-PY14 Adjustable Goals Template_2025-03-01, Tab 4.4.16</v>
      </c>
      <c r="AV186" s="2505">
        <f>'4.4.16'!$O$23</f>
        <v>648.01507774707386</v>
      </c>
      <c r="AW186" s="2505"/>
      <c r="AX186" s="1362">
        <f t="shared" si="119"/>
        <v>374.50087373158897</v>
      </c>
      <c r="AY186" s="1360">
        <f t="shared" si="120"/>
        <v>0</v>
      </c>
      <c r="AZ186" s="1132" t="str">
        <f t="shared" si="121"/>
        <v>CI-HVC-STRE-V05-180101</v>
      </c>
      <c r="BA186" s="1132" t="str">
        <f t="shared" si="122"/>
        <v>Nicor Gas PY11-PY14 Adjustable Goals Template_2025-03-01, Tab 4.4.16</v>
      </c>
      <c r="BB186" s="2505">
        <f>'4.4.16'!$O$23</f>
        <v>648.01507774707386</v>
      </c>
      <c r="BC186" s="2505"/>
      <c r="BD186" s="1362">
        <f t="shared" si="123"/>
        <v>374.50087373158897</v>
      </c>
      <c r="BE186" s="1360">
        <f t="shared" si="124"/>
        <v>0</v>
      </c>
      <c r="BF186" s="1132" t="str">
        <f t="shared" si="125"/>
        <v>CI-HVC-STRE-V05-180101</v>
      </c>
      <c r="BG186" s="1132" t="str">
        <f t="shared" si="126"/>
        <v>Nicor Gas PY11-PY14 Adjustable Goals Template_2025-03-01, Tab 4.4.16</v>
      </c>
      <c r="BH186" s="2505">
        <f>'4.4.16'!$O$23</f>
        <v>648.01507774707386</v>
      </c>
      <c r="BI186" s="2505"/>
      <c r="BJ186" s="1362">
        <f t="shared" si="148"/>
        <v>374.50087373158897</v>
      </c>
      <c r="BK186" s="1360">
        <f t="shared" si="127"/>
        <v>0</v>
      </c>
      <c r="BL186" s="1601">
        <f t="shared" si="128"/>
        <v>374.50087373158897</v>
      </c>
      <c r="BM186" s="1601">
        <f t="shared" si="129"/>
        <v>374.50087373158897</v>
      </c>
      <c r="BN186" s="1601">
        <f t="shared" si="130"/>
        <v>374.50087373158897</v>
      </c>
      <c r="BO186" s="1601">
        <f t="shared" si="131"/>
        <v>374.50087373158897</v>
      </c>
      <c r="BP186" s="1602">
        <f t="shared" si="132"/>
        <v>1498.0034949263559</v>
      </c>
      <c r="BQ186" s="1602"/>
      <c r="BR186" s="1602" t="s">
        <v>355</v>
      </c>
      <c r="BS186" s="1602">
        <v>0</v>
      </c>
      <c r="BT186" s="1602">
        <v>20</v>
      </c>
      <c r="BU186" s="1602">
        <v>20</v>
      </c>
      <c r="BV186" s="1602">
        <v>20</v>
      </c>
      <c r="BW186" s="1602">
        <v>20</v>
      </c>
      <c r="BX186" s="1362">
        <f t="shared" si="149"/>
        <v>7490.0174746317789</v>
      </c>
      <c r="BY186" s="1362">
        <f t="shared" si="150"/>
        <v>7490.0174746317789</v>
      </c>
      <c r="BZ186" s="1362">
        <f t="shared" si="151"/>
        <v>7490.0174746317789</v>
      </c>
      <c r="CA186" s="1362">
        <f t="shared" si="152"/>
        <v>7490.0174746317789</v>
      </c>
      <c r="CB186" s="1362">
        <f t="shared" si="153"/>
        <v>29960.069898527116</v>
      </c>
      <c r="CC186" s="1360">
        <v>20</v>
      </c>
      <c r="CD186" s="1360">
        <v>20</v>
      </c>
      <c r="CE186" s="1360">
        <v>20</v>
      </c>
      <c r="CF186" s="1360">
        <v>20</v>
      </c>
      <c r="CG186" s="1604">
        <f t="shared" si="133"/>
        <v>7490.017474631778</v>
      </c>
      <c r="CH186" s="1604">
        <f t="shared" si="134"/>
        <v>7490.017474631778</v>
      </c>
      <c r="CI186" s="1604">
        <f t="shared" si="135"/>
        <v>7490.017474631778</v>
      </c>
      <c r="CJ186" s="1604">
        <f t="shared" si="136"/>
        <v>7490.017474631778</v>
      </c>
      <c r="CK186" s="1521">
        <f t="shared" si="137"/>
        <v>29960.069898527112</v>
      </c>
      <c r="CL186" s="1132">
        <v>179</v>
      </c>
      <c r="CM186" s="1132" t="s">
        <v>356</v>
      </c>
      <c r="CN186" s="1359">
        <v>0</v>
      </c>
      <c r="CO186" s="1360">
        <v>0.67200000000000004</v>
      </c>
      <c r="CP186" s="1360">
        <v>0.67200000000000004</v>
      </c>
      <c r="CQ186" s="1360">
        <v>0.67200000000000004</v>
      </c>
      <c r="CR186" s="1360">
        <v>0.67200000000000004</v>
      </c>
      <c r="CS186" s="1362">
        <f t="shared" si="138"/>
        <v>374.50087373158897</v>
      </c>
      <c r="CT186" s="1362">
        <f t="shared" si="139"/>
        <v>374.50087373158897</v>
      </c>
      <c r="CU186" s="1362">
        <f t="shared" si="140"/>
        <v>374.50087373158897</v>
      </c>
      <c r="CV186" s="1362">
        <f t="shared" si="141"/>
        <v>374.50087373158897</v>
      </c>
      <c r="CW186" s="1362">
        <f t="shared" si="142"/>
        <v>1498.0034949263559</v>
      </c>
      <c r="CY186" s="2887"/>
    </row>
    <row r="187" spans="1:103" s="1143" customFormat="1" ht="31" x14ac:dyDescent="0.35">
      <c r="A187" s="1132" t="s">
        <v>103</v>
      </c>
      <c r="B187" s="1132" t="s">
        <v>602</v>
      </c>
      <c r="C187" s="1132" t="s">
        <v>603</v>
      </c>
      <c r="D187" s="1359" t="s">
        <v>105</v>
      </c>
      <c r="E187" s="1359">
        <f>IF(AI187-AR187=0,0,1)</f>
        <v>0</v>
      </c>
      <c r="F187" s="1132" t="s">
        <v>105</v>
      </c>
      <c r="G187" s="1132" t="s">
        <v>356</v>
      </c>
      <c r="H187" s="1360">
        <v>2.4013259999999996</v>
      </c>
      <c r="I187" s="1360">
        <v>2.4013259999999996</v>
      </c>
      <c r="J187" s="1360">
        <v>2.4013259999999996</v>
      </c>
      <c r="K187" s="1360">
        <v>2.4013259999999996</v>
      </c>
      <c r="L187" s="1132" t="s">
        <v>105</v>
      </c>
      <c r="M187" s="1132" t="str">
        <f t="shared" si="104"/>
        <v/>
      </c>
      <c r="N187" s="1361">
        <v>0</v>
      </c>
      <c r="O187" s="1361">
        <v>0</v>
      </c>
      <c r="P187" s="1361">
        <v>0</v>
      </c>
      <c r="Q187" s="1361">
        <v>0</v>
      </c>
      <c r="R187" s="1781">
        <v>0.54</v>
      </c>
      <c r="S187" s="1781">
        <v>0.54</v>
      </c>
      <c r="T187" s="1781">
        <v>0.54</v>
      </c>
      <c r="U187" s="1781">
        <v>0.54</v>
      </c>
      <c r="V187" s="2567">
        <v>0.43</v>
      </c>
      <c r="W187" s="2567">
        <v>0.43</v>
      </c>
      <c r="X187" s="2567">
        <v>0.43</v>
      </c>
      <c r="Y187" s="2567">
        <v>0.43</v>
      </c>
      <c r="Z187" s="1359">
        <v>0</v>
      </c>
      <c r="AA187" s="2567">
        <f t="shared" si="105"/>
        <v>0.43</v>
      </c>
      <c r="AB187" s="2567">
        <f t="shared" si="106"/>
        <v>0.43</v>
      </c>
      <c r="AC187" s="2567">
        <f t="shared" si="107"/>
        <v>0.43</v>
      </c>
      <c r="AD187" s="2567">
        <f t="shared" si="108"/>
        <v>0.43</v>
      </c>
      <c r="AE187" s="2567">
        <f t="shared" si="109"/>
        <v>0.43</v>
      </c>
      <c r="AF187" s="2567">
        <f t="shared" si="110"/>
        <v>0.43</v>
      </c>
      <c r="AG187" s="2567">
        <f t="shared" si="111"/>
        <v>0.43</v>
      </c>
      <c r="AH187" s="2567">
        <f t="shared" si="112"/>
        <v>0.43</v>
      </c>
      <c r="AI187" s="1362">
        <f t="shared" si="143"/>
        <v>0</v>
      </c>
      <c r="AJ187" s="1362">
        <f t="shared" si="144"/>
        <v>0</v>
      </c>
      <c r="AK187" s="1362">
        <f t="shared" si="145"/>
        <v>0</v>
      </c>
      <c r="AL187" s="1362">
        <f t="shared" si="146"/>
        <v>0</v>
      </c>
      <c r="AM187" s="1362">
        <f t="shared" si="147"/>
        <v>0</v>
      </c>
      <c r="AN187" s="1132" t="str">
        <f t="shared" si="113"/>
        <v>Custom</v>
      </c>
      <c r="AO187" s="1132" t="str">
        <f t="shared" si="114"/>
        <v/>
      </c>
      <c r="AP187" s="2505">
        <v>0</v>
      </c>
      <c r="AQ187" s="2568" t="s">
        <v>604</v>
      </c>
      <c r="AR187" s="2505">
        <f t="shared" si="115"/>
        <v>0</v>
      </c>
      <c r="AS187" s="2505">
        <f t="shared" si="116"/>
        <v>0</v>
      </c>
      <c r="AT187" s="1132" t="str">
        <f t="shared" si="117"/>
        <v>Custom</v>
      </c>
      <c r="AU187" s="1132" t="str">
        <f t="shared" si="118"/>
        <v/>
      </c>
      <c r="AV187" s="2505">
        <v>0</v>
      </c>
      <c r="AW187" s="2568" t="s">
        <v>604</v>
      </c>
      <c r="AX187" s="1362">
        <f t="shared" si="119"/>
        <v>0</v>
      </c>
      <c r="AY187" s="1360">
        <f t="shared" si="120"/>
        <v>0</v>
      </c>
      <c r="AZ187" s="1132" t="str">
        <f t="shared" si="121"/>
        <v>Custom</v>
      </c>
      <c r="BA187" s="1132" t="str">
        <f t="shared" si="122"/>
        <v/>
      </c>
      <c r="BB187" s="2505">
        <v>0</v>
      </c>
      <c r="BC187" s="2568" t="s">
        <v>604</v>
      </c>
      <c r="BD187" s="1362">
        <f t="shared" si="123"/>
        <v>0</v>
      </c>
      <c r="BE187" s="1360">
        <f t="shared" si="124"/>
        <v>0</v>
      </c>
      <c r="BF187" s="1132" t="str">
        <f t="shared" si="125"/>
        <v>Custom</v>
      </c>
      <c r="BG187" s="1132" t="str">
        <f t="shared" si="126"/>
        <v/>
      </c>
      <c r="BH187" s="2505">
        <v>0</v>
      </c>
      <c r="BI187" s="2568" t="s">
        <v>604</v>
      </c>
      <c r="BJ187" s="1362">
        <f t="shared" si="148"/>
        <v>0</v>
      </c>
      <c r="BK187" s="1360">
        <f t="shared" si="127"/>
        <v>0</v>
      </c>
      <c r="BL187" s="1601">
        <f t="shared" si="128"/>
        <v>0</v>
      </c>
      <c r="BM187" s="1601">
        <f t="shared" si="129"/>
        <v>0</v>
      </c>
      <c r="BN187" s="1601">
        <f t="shared" si="130"/>
        <v>0</v>
      </c>
      <c r="BO187" s="1601">
        <f t="shared" si="131"/>
        <v>0</v>
      </c>
      <c r="BP187" s="1602">
        <f t="shared" si="132"/>
        <v>0</v>
      </c>
      <c r="BQ187" s="1602"/>
      <c r="BR187" s="1602"/>
      <c r="BS187" s="1602">
        <v>0</v>
      </c>
      <c r="BT187" s="1602">
        <v>1</v>
      </c>
      <c r="BU187" s="1602">
        <v>1</v>
      </c>
      <c r="BV187" s="1602">
        <v>1</v>
      </c>
      <c r="BW187" s="1602">
        <v>1</v>
      </c>
      <c r="BX187" s="1362">
        <f t="shared" si="149"/>
        <v>0</v>
      </c>
      <c r="BY187" s="1362">
        <f t="shared" si="150"/>
        <v>0</v>
      </c>
      <c r="BZ187" s="1362">
        <f t="shared" si="151"/>
        <v>0</v>
      </c>
      <c r="CA187" s="1362">
        <f t="shared" si="152"/>
        <v>0</v>
      </c>
      <c r="CB187" s="1362">
        <f t="shared" si="153"/>
        <v>0</v>
      </c>
      <c r="CC187" s="1360">
        <v>1</v>
      </c>
      <c r="CD187" s="1360">
        <v>1</v>
      </c>
      <c r="CE187" s="1360">
        <v>1</v>
      </c>
      <c r="CF187" s="1360">
        <v>1</v>
      </c>
      <c r="CG187" s="1604">
        <f t="shared" si="133"/>
        <v>0</v>
      </c>
      <c r="CH187" s="1604">
        <f t="shared" si="134"/>
        <v>0</v>
      </c>
      <c r="CI187" s="1604">
        <f t="shared" si="135"/>
        <v>0</v>
      </c>
      <c r="CJ187" s="1604">
        <f t="shared" si="136"/>
        <v>0</v>
      </c>
      <c r="CK187" s="1521">
        <f t="shared" si="137"/>
        <v>0</v>
      </c>
      <c r="CL187" s="1132">
        <v>180</v>
      </c>
      <c r="CM187" s="1132" t="s">
        <v>356</v>
      </c>
      <c r="CN187" s="1359">
        <v>1</v>
      </c>
      <c r="CO187" s="1360">
        <v>2.4013259999999996</v>
      </c>
      <c r="CP187" s="1360">
        <v>2.4013259999999996</v>
      </c>
      <c r="CQ187" s="1360">
        <v>2.4013259999999996</v>
      </c>
      <c r="CR187" s="1360">
        <v>2.4013259999999996</v>
      </c>
      <c r="CS187" s="1362">
        <f t="shared" si="138"/>
        <v>0</v>
      </c>
      <c r="CT187" s="1362">
        <f t="shared" si="139"/>
        <v>0</v>
      </c>
      <c r="CU187" s="1362">
        <f t="shared" si="140"/>
        <v>0</v>
      </c>
      <c r="CV187" s="1362">
        <f t="shared" si="141"/>
        <v>0</v>
      </c>
      <c r="CW187" s="1362">
        <f t="shared" si="142"/>
        <v>0</v>
      </c>
      <c r="CY187" s="2887"/>
    </row>
    <row r="188" spans="1:103" s="1143" customFormat="1" ht="31" x14ac:dyDescent="0.35">
      <c r="A188" s="1132" t="s">
        <v>103</v>
      </c>
      <c r="B188" s="1132" t="s">
        <v>602</v>
      </c>
      <c r="C188" s="1132" t="s">
        <v>605</v>
      </c>
      <c r="D188" s="1359" t="s">
        <v>105</v>
      </c>
      <c r="E188" s="1359">
        <v>0</v>
      </c>
      <c r="F188" s="1132" t="s">
        <v>105</v>
      </c>
      <c r="G188" s="1132" t="s">
        <v>606</v>
      </c>
      <c r="H188" s="1360">
        <v>1383600.11694525</v>
      </c>
      <c r="I188" s="1360">
        <v>1383600.11694525</v>
      </c>
      <c r="J188" s="1360">
        <v>1383600.11694525</v>
      </c>
      <c r="K188" s="1360">
        <v>1383600.11694525</v>
      </c>
      <c r="L188" s="1132" t="s">
        <v>105</v>
      </c>
      <c r="M188" s="1132" t="str">
        <f t="shared" si="104"/>
        <v/>
      </c>
      <c r="N188" s="2245">
        <v>0.11024640998732411</v>
      </c>
      <c r="O188" s="1361">
        <v>0.11024640998732411</v>
      </c>
      <c r="P188" s="1361">
        <v>0.11024640998732411</v>
      </c>
      <c r="Q188" s="1361">
        <v>0.11024640998732411</v>
      </c>
      <c r="R188" s="1781">
        <v>0.54</v>
      </c>
      <c r="S188" s="1781">
        <v>0.54</v>
      </c>
      <c r="T188" s="1781">
        <v>0.54</v>
      </c>
      <c r="U188" s="1781">
        <v>0.54</v>
      </c>
      <c r="V188" s="2567">
        <v>0.43</v>
      </c>
      <c r="W188" s="2567">
        <v>0.43</v>
      </c>
      <c r="X188" s="2567">
        <v>0.43</v>
      </c>
      <c r="Y188" s="2567">
        <v>0.43</v>
      </c>
      <c r="Z188" s="1359">
        <v>0</v>
      </c>
      <c r="AA188" s="2567">
        <f t="shared" si="105"/>
        <v>0.43</v>
      </c>
      <c r="AB188" s="2567">
        <f t="shared" si="106"/>
        <v>0.43</v>
      </c>
      <c r="AC188" s="2567">
        <f t="shared" si="107"/>
        <v>0.43</v>
      </c>
      <c r="AD188" s="2567">
        <f t="shared" si="108"/>
        <v>0.43</v>
      </c>
      <c r="AE188" s="2567">
        <f t="shared" si="109"/>
        <v>0.43</v>
      </c>
      <c r="AF188" s="2567">
        <f t="shared" si="110"/>
        <v>0.43</v>
      </c>
      <c r="AG188" s="2567">
        <f t="shared" si="111"/>
        <v>0.43</v>
      </c>
      <c r="AH188" s="2567">
        <f t="shared" si="112"/>
        <v>0.43</v>
      </c>
      <c r="AI188" s="1362">
        <f t="shared" si="143"/>
        <v>82369.950705678042</v>
      </c>
      <c r="AJ188" s="1362">
        <f t="shared" si="144"/>
        <v>82369.950705678042</v>
      </c>
      <c r="AK188" s="1362">
        <f t="shared" si="145"/>
        <v>82369.950705678042</v>
      </c>
      <c r="AL188" s="1362">
        <f t="shared" si="146"/>
        <v>82369.950705678042</v>
      </c>
      <c r="AM188" s="1362">
        <f t="shared" si="147"/>
        <v>329479.80282271217</v>
      </c>
      <c r="AN188" s="1132" t="str">
        <f t="shared" si="113"/>
        <v>Custom</v>
      </c>
      <c r="AO188" s="1132" t="str">
        <f t="shared" si="114"/>
        <v/>
      </c>
      <c r="AP188" s="2507">
        <v>0.11024640998732411</v>
      </c>
      <c r="AQ188" s="2568" t="s">
        <v>604</v>
      </c>
      <c r="AR188" s="2505">
        <f t="shared" si="115"/>
        <v>65590.886673039917</v>
      </c>
      <c r="AS188" s="2505">
        <f t="shared" si="116"/>
        <v>-16779.064032638125</v>
      </c>
      <c r="AT188" s="1132" t="str">
        <f t="shared" si="117"/>
        <v>Custom</v>
      </c>
      <c r="AU188" s="1132" t="str">
        <f t="shared" si="118"/>
        <v/>
      </c>
      <c r="AV188" s="2507">
        <v>0.11024640998732411</v>
      </c>
      <c r="AW188" s="2568" t="s">
        <v>604</v>
      </c>
      <c r="AX188" s="1362">
        <f t="shared" si="119"/>
        <v>65590.886673039917</v>
      </c>
      <c r="AY188" s="1360">
        <f t="shared" si="120"/>
        <v>-16779.064032638125</v>
      </c>
      <c r="AZ188" s="1132" t="str">
        <f t="shared" si="121"/>
        <v>Custom</v>
      </c>
      <c r="BA188" s="1132" t="str">
        <f t="shared" si="122"/>
        <v/>
      </c>
      <c r="BB188" s="2507">
        <v>0.11024640998732411</v>
      </c>
      <c r="BC188" s="2568" t="s">
        <v>604</v>
      </c>
      <c r="BD188" s="1362">
        <f t="shared" si="123"/>
        <v>65590.886673039917</v>
      </c>
      <c r="BE188" s="1360">
        <f t="shared" si="124"/>
        <v>-16779.064032638125</v>
      </c>
      <c r="BF188" s="1132" t="str">
        <f t="shared" si="125"/>
        <v>Custom</v>
      </c>
      <c r="BG188" s="1132" t="str">
        <f t="shared" si="126"/>
        <v/>
      </c>
      <c r="BH188" s="2507">
        <v>0.11024640998732411</v>
      </c>
      <c r="BI188" s="2568" t="s">
        <v>604</v>
      </c>
      <c r="BJ188" s="1362">
        <f t="shared" si="148"/>
        <v>65590.886673039917</v>
      </c>
      <c r="BK188" s="1360">
        <f t="shared" si="127"/>
        <v>-16779.064032638125</v>
      </c>
      <c r="BL188" s="1601">
        <f t="shared" si="128"/>
        <v>65590.886673039917</v>
      </c>
      <c r="BM188" s="1601">
        <f t="shared" si="129"/>
        <v>65590.886673039917</v>
      </c>
      <c r="BN188" s="1601">
        <f t="shared" si="130"/>
        <v>65590.886673039917</v>
      </c>
      <c r="BO188" s="1601">
        <f t="shared" si="131"/>
        <v>65590.886673039917</v>
      </c>
      <c r="BP188" s="1602">
        <f t="shared" si="132"/>
        <v>262363.54669215967</v>
      </c>
      <c r="BQ188" s="1602"/>
      <c r="BR188" s="1602"/>
      <c r="BS188" s="1602">
        <v>0</v>
      </c>
      <c r="BT188" s="1602">
        <v>20.6</v>
      </c>
      <c r="BU188" s="1602">
        <v>20.6</v>
      </c>
      <c r="BV188" s="1602">
        <v>20.6</v>
      </c>
      <c r="BW188" s="1602">
        <v>20.6</v>
      </c>
      <c r="BX188" s="1362">
        <f t="shared" si="149"/>
        <v>1696820.9845369677</v>
      </c>
      <c r="BY188" s="1362">
        <f t="shared" si="150"/>
        <v>1696820.9845369677</v>
      </c>
      <c r="BZ188" s="1362">
        <f t="shared" si="151"/>
        <v>1696820.9845369677</v>
      </c>
      <c r="CA188" s="1362">
        <f t="shared" si="152"/>
        <v>1696820.9845369677</v>
      </c>
      <c r="CB188" s="1362">
        <f t="shared" si="153"/>
        <v>6787283.9381478708</v>
      </c>
      <c r="CC188" s="1360">
        <v>20.6</v>
      </c>
      <c r="CD188" s="1360">
        <v>20.6</v>
      </c>
      <c r="CE188" s="1360">
        <v>20.6</v>
      </c>
      <c r="CF188" s="1360">
        <v>20.6</v>
      </c>
      <c r="CG188" s="1604">
        <f t="shared" si="133"/>
        <v>1351172.2654646223</v>
      </c>
      <c r="CH188" s="1604">
        <f t="shared" si="134"/>
        <v>1351172.2654646223</v>
      </c>
      <c r="CI188" s="1604">
        <f t="shared" si="135"/>
        <v>1351172.2654646223</v>
      </c>
      <c r="CJ188" s="1604">
        <f t="shared" si="136"/>
        <v>1351172.2654646223</v>
      </c>
      <c r="CK188" s="1521">
        <f t="shared" si="137"/>
        <v>5404689.0618584892</v>
      </c>
      <c r="CL188" s="1132">
        <v>181</v>
      </c>
      <c r="CM188" s="1132" t="s">
        <v>606</v>
      </c>
      <c r="CN188" s="1359">
        <v>1</v>
      </c>
      <c r="CO188" s="1360">
        <v>190841.39544072413</v>
      </c>
      <c r="CP188" s="1360">
        <v>190841.39544072413</v>
      </c>
      <c r="CQ188" s="1360">
        <v>190841.39544072413</v>
      </c>
      <c r="CR188" s="1360">
        <v>190841.39544072413</v>
      </c>
      <c r="CS188" s="1362">
        <f t="shared" si="138"/>
        <v>9047.0188514537804</v>
      </c>
      <c r="CT188" s="1362">
        <f t="shared" si="139"/>
        <v>9047.0188514537804</v>
      </c>
      <c r="CU188" s="1362">
        <f t="shared" si="140"/>
        <v>9047.0188514537804</v>
      </c>
      <c r="CV188" s="1362">
        <f t="shared" si="141"/>
        <v>9047.0188514537804</v>
      </c>
      <c r="CW188" s="1362">
        <f t="shared" si="142"/>
        <v>36188.075405815121</v>
      </c>
      <c r="CY188" s="2887"/>
    </row>
    <row r="189" spans="1:103" s="1143" customFormat="1" ht="31" x14ac:dyDescent="0.35">
      <c r="A189" s="1132" t="s">
        <v>103</v>
      </c>
      <c r="B189" s="1132" t="s">
        <v>607</v>
      </c>
      <c r="C189" s="1132" t="s">
        <v>603</v>
      </c>
      <c r="D189" s="1359" t="s">
        <v>105</v>
      </c>
      <c r="E189" s="1359">
        <f>IF(AI189-AR189=0,0,1)</f>
        <v>0</v>
      </c>
      <c r="F189" s="1132" t="s">
        <v>105</v>
      </c>
      <c r="G189" s="1132" t="s">
        <v>356</v>
      </c>
      <c r="H189" s="1360">
        <v>2.6</v>
      </c>
      <c r="I189" s="1360">
        <v>2.6</v>
      </c>
      <c r="J189" s="1360">
        <v>2.6</v>
      </c>
      <c r="K189" s="1360">
        <v>2.6</v>
      </c>
      <c r="L189" s="1132" t="s">
        <v>105</v>
      </c>
      <c r="M189" s="1132" t="str">
        <f t="shared" si="104"/>
        <v/>
      </c>
      <c r="N189" s="1361">
        <v>0</v>
      </c>
      <c r="O189" s="1361">
        <v>0</v>
      </c>
      <c r="P189" s="1361">
        <v>0</v>
      </c>
      <c r="Q189" s="1361">
        <v>0</v>
      </c>
      <c r="R189" s="1781">
        <v>0.54</v>
      </c>
      <c r="S189" s="1781">
        <v>0.54</v>
      </c>
      <c r="T189" s="1781">
        <v>0.54</v>
      </c>
      <c r="U189" s="1781">
        <v>0.54</v>
      </c>
      <c r="V189" s="2567">
        <v>0.43</v>
      </c>
      <c r="W189" s="2567">
        <v>0.43</v>
      </c>
      <c r="X189" s="2567">
        <v>0.43</v>
      </c>
      <c r="Y189" s="2567">
        <v>0.43</v>
      </c>
      <c r="Z189" s="1359">
        <v>0</v>
      </c>
      <c r="AA189" s="2567">
        <f t="shared" si="105"/>
        <v>0.43</v>
      </c>
      <c r="AB189" s="2567">
        <f t="shared" si="106"/>
        <v>0.43</v>
      </c>
      <c r="AC189" s="2567">
        <f t="shared" si="107"/>
        <v>0.43</v>
      </c>
      <c r="AD189" s="2567">
        <f t="shared" si="108"/>
        <v>0.43</v>
      </c>
      <c r="AE189" s="2567">
        <f t="shared" si="109"/>
        <v>0.43</v>
      </c>
      <c r="AF189" s="2567">
        <f t="shared" si="110"/>
        <v>0.43</v>
      </c>
      <c r="AG189" s="2567">
        <f t="shared" si="111"/>
        <v>0.43</v>
      </c>
      <c r="AH189" s="2567">
        <f t="shared" si="112"/>
        <v>0.43</v>
      </c>
      <c r="AI189" s="1362">
        <f t="shared" si="143"/>
        <v>0</v>
      </c>
      <c r="AJ189" s="1362">
        <f t="shared" si="144"/>
        <v>0</v>
      </c>
      <c r="AK189" s="1362">
        <f t="shared" si="145"/>
        <v>0</v>
      </c>
      <c r="AL189" s="1362">
        <f t="shared" si="146"/>
        <v>0</v>
      </c>
      <c r="AM189" s="1362">
        <f t="shared" si="147"/>
        <v>0</v>
      </c>
      <c r="AN189" s="1132" t="str">
        <f t="shared" si="113"/>
        <v>Custom</v>
      </c>
      <c r="AO189" s="1132" t="str">
        <f t="shared" si="114"/>
        <v/>
      </c>
      <c r="AP189" s="2505">
        <v>0</v>
      </c>
      <c r="AQ189" s="2568" t="s">
        <v>604</v>
      </c>
      <c r="AR189" s="2505">
        <f t="shared" si="115"/>
        <v>0</v>
      </c>
      <c r="AS189" s="2505">
        <f t="shared" si="116"/>
        <v>0</v>
      </c>
      <c r="AT189" s="1132" t="str">
        <f t="shared" si="117"/>
        <v>Custom</v>
      </c>
      <c r="AU189" s="1132" t="str">
        <f t="shared" si="118"/>
        <v/>
      </c>
      <c r="AV189" s="2505">
        <v>0</v>
      </c>
      <c r="AW189" s="2568" t="s">
        <v>604</v>
      </c>
      <c r="AX189" s="1362">
        <f t="shared" si="119"/>
        <v>0</v>
      </c>
      <c r="AY189" s="1360">
        <f t="shared" si="120"/>
        <v>0</v>
      </c>
      <c r="AZ189" s="1132" t="str">
        <f t="shared" si="121"/>
        <v>Custom</v>
      </c>
      <c r="BA189" s="1132" t="str">
        <f t="shared" si="122"/>
        <v/>
      </c>
      <c r="BB189" s="2505">
        <v>0</v>
      </c>
      <c r="BC189" s="2568" t="s">
        <v>604</v>
      </c>
      <c r="BD189" s="1362">
        <f t="shared" si="123"/>
        <v>0</v>
      </c>
      <c r="BE189" s="1360">
        <f t="shared" si="124"/>
        <v>0</v>
      </c>
      <c r="BF189" s="1132" t="str">
        <f t="shared" si="125"/>
        <v>Custom</v>
      </c>
      <c r="BG189" s="1132" t="str">
        <f t="shared" si="126"/>
        <v/>
      </c>
      <c r="BH189" s="2505">
        <v>0</v>
      </c>
      <c r="BI189" s="2568" t="s">
        <v>604</v>
      </c>
      <c r="BJ189" s="1362">
        <f t="shared" si="148"/>
        <v>0</v>
      </c>
      <c r="BK189" s="1360">
        <f t="shared" si="127"/>
        <v>0</v>
      </c>
      <c r="BL189" s="1601">
        <f t="shared" si="128"/>
        <v>0</v>
      </c>
      <c r="BM189" s="1601">
        <f t="shared" si="129"/>
        <v>0</v>
      </c>
      <c r="BN189" s="1601">
        <f t="shared" si="130"/>
        <v>0</v>
      </c>
      <c r="BO189" s="1601">
        <f t="shared" si="131"/>
        <v>0</v>
      </c>
      <c r="BP189" s="1602">
        <f t="shared" si="132"/>
        <v>0</v>
      </c>
      <c r="BQ189" s="1602"/>
      <c r="BR189" s="1602"/>
      <c r="BS189" s="1602">
        <v>0</v>
      </c>
      <c r="BT189" s="1602">
        <v>1</v>
      </c>
      <c r="BU189" s="1602">
        <v>1</v>
      </c>
      <c r="BV189" s="1602">
        <v>1</v>
      </c>
      <c r="BW189" s="1602">
        <v>1</v>
      </c>
      <c r="BX189" s="1362">
        <f t="shared" si="149"/>
        <v>0</v>
      </c>
      <c r="BY189" s="1362">
        <f t="shared" si="150"/>
        <v>0</v>
      </c>
      <c r="BZ189" s="1362">
        <f t="shared" si="151"/>
        <v>0</v>
      </c>
      <c r="CA189" s="1362">
        <f t="shared" si="152"/>
        <v>0</v>
      </c>
      <c r="CB189" s="1362">
        <f t="shared" si="153"/>
        <v>0</v>
      </c>
      <c r="CC189" s="1360">
        <v>1</v>
      </c>
      <c r="CD189" s="1360">
        <v>1</v>
      </c>
      <c r="CE189" s="1360">
        <v>1</v>
      </c>
      <c r="CF189" s="1360">
        <v>1</v>
      </c>
      <c r="CG189" s="1604">
        <f t="shared" si="133"/>
        <v>0</v>
      </c>
      <c r="CH189" s="1604">
        <f t="shared" si="134"/>
        <v>0</v>
      </c>
      <c r="CI189" s="1604">
        <f t="shared" si="135"/>
        <v>0</v>
      </c>
      <c r="CJ189" s="1604">
        <f t="shared" si="136"/>
        <v>0</v>
      </c>
      <c r="CK189" s="1521">
        <f t="shared" si="137"/>
        <v>0</v>
      </c>
      <c r="CL189" s="1132">
        <v>182</v>
      </c>
      <c r="CM189" s="1132" t="s">
        <v>356</v>
      </c>
      <c r="CN189" s="1359">
        <v>1</v>
      </c>
      <c r="CO189" s="1360">
        <v>2.6</v>
      </c>
      <c r="CP189" s="1360">
        <v>2.6</v>
      </c>
      <c r="CQ189" s="1360">
        <v>2.6</v>
      </c>
      <c r="CR189" s="1360">
        <v>2.6</v>
      </c>
      <c r="CS189" s="1362">
        <f t="shared" si="138"/>
        <v>0</v>
      </c>
      <c r="CT189" s="1362">
        <f t="shared" si="139"/>
        <v>0</v>
      </c>
      <c r="CU189" s="1362">
        <f t="shared" si="140"/>
        <v>0</v>
      </c>
      <c r="CV189" s="1362">
        <f t="shared" si="141"/>
        <v>0</v>
      </c>
      <c r="CW189" s="1362">
        <f t="shared" si="142"/>
        <v>0</v>
      </c>
      <c r="CY189" s="2887"/>
    </row>
    <row r="190" spans="1:103" s="1143" customFormat="1" ht="31" x14ac:dyDescent="0.35">
      <c r="A190" s="1132" t="s">
        <v>103</v>
      </c>
      <c r="B190" s="1132" t="s">
        <v>607</v>
      </c>
      <c r="C190" s="1132" t="s">
        <v>605</v>
      </c>
      <c r="D190" s="1359" t="s">
        <v>105</v>
      </c>
      <c r="E190" s="1359">
        <v>0</v>
      </c>
      <c r="F190" s="1132" t="s">
        <v>105</v>
      </c>
      <c r="G190" s="1132" t="s">
        <v>606</v>
      </c>
      <c r="H190" s="1360">
        <v>571029.88799999992</v>
      </c>
      <c r="I190" s="1360">
        <v>571029.88799999992</v>
      </c>
      <c r="J190" s="1360">
        <v>571029.88799999992</v>
      </c>
      <c r="K190" s="1360">
        <v>571029.88799999992</v>
      </c>
      <c r="L190" s="1132" t="s">
        <v>105</v>
      </c>
      <c r="M190" s="1132" t="str">
        <f t="shared" si="104"/>
        <v/>
      </c>
      <c r="N190" s="1361">
        <v>0.11024640998732411</v>
      </c>
      <c r="O190" s="1361">
        <v>0.11024640998732411</v>
      </c>
      <c r="P190" s="1361">
        <v>0.11024640998732411</v>
      </c>
      <c r="Q190" s="1361">
        <v>0.11024640998732411</v>
      </c>
      <c r="R190" s="1781">
        <v>0.54</v>
      </c>
      <c r="S190" s="1781">
        <v>0.54</v>
      </c>
      <c r="T190" s="1781">
        <v>0.54</v>
      </c>
      <c r="U190" s="1781">
        <v>0.54</v>
      </c>
      <c r="V190" s="2567">
        <v>0.43</v>
      </c>
      <c r="W190" s="2567">
        <v>0.43</v>
      </c>
      <c r="X190" s="2567">
        <v>0.43</v>
      </c>
      <c r="Y190" s="2567">
        <v>0.43</v>
      </c>
      <c r="Z190" s="1359">
        <v>0</v>
      </c>
      <c r="AA190" s="2567">
        <f t="shared" si="105"/>
        <v>0.43</v>
      </c>
      <c r="AB190" s="2567">
        <f t="shared" si="106"/>
        <v>0.43</v>
      </c>
      <c r="AC190" s="2567">
        <f t="shared" si="107"/>
        <v>0.43</v>
      </c>
      <c r="AD190" s="2567">
        <f t="shared" si="108"/>
        <v>0.43</v>
      </c>
      <c r="AE190" s="2567">
        <f t="shared" si="109"/>
        <v>0.43</v>
      </c>
      <c r="AF190" s="2567">
        <f t="shared" si="110"/>
        <v>0.43</v>
      </c>
      <c r="AG190" s="2567">
        <f t="shared" si="111"/>
        <v>0.43</v>
      </c>
      <c r="AH190" s="2567">
        <f t="shared" si="112"/>
        <v>0.43</v>
      </c>
      <c r="AI190" s="1362">
        <f t="shared" si="143"/>
        <v>33995.157379630436</v>
      </c>
      <c r="AJ190" s="1362">
        <f t="shared" si="144"/>
        <v>33995.157379630436</v>
      </c>
      <c r="AK190" s="1362">
        <f t="shared" si="145"/>
        <v>33995.157379630436</v>
      </c>
      <c r="AL190" s="1362">
        <f t="shared" si="146"/>
        <v>33995.157379630436</v>
      </c>
      <c r="AM190" s="1362">
        <f t="shared" si="147"/>
        <v>135980.62951852175</v>
      </c>
      <c r="AN190" s="1132" t="str">
        <f t="shared" si="113"/>
        <v>Custom</v>
      </c>
      <c r="AO190" s="1132" t="str">
        <f t="shared" si="114"/>
        <v/>
      </c>
      <c r="AP190" s="2507">
        <v>0.11024640998732411</v>
      </c>
      <c r="AQ190" s="2568" t="s">
        <v>604</v>
      </c>
      <c r="AR190" s="2505">
        <f t="shared" si="115"/>
        <v>27070.217913409419</v>
      </c>
      <c r="AS190" s="2505">
        <f t="shared" si="116"/>
        <v>-6924.9394662210179</v>
      </c>
      <c r="AT190" s="1132" t="str">
        <f t="shared" si="117"/>
        <v>Custom</v>
      </c>
      <c r="AU190" s="1132" t="str">
        <f t="shared" si="118"/>
        <v/>
      </c>
      <c r="AV190" s="2507">
        <v>0.11024640998732411</v>
      </c>
      <c r="AW190" s="2568" t="s">
        <v>604</v>
      </c>
      <c r="AX190" s="1362">
        <f t="shared" si="119"/>
        <v>27070.217913409419</v>
      </c>
      <c r="AY190" s="1360">
        <f t="shared" si="120"/>
        <v>-6924.9394662210179</v>
      </c>
      <c r="AZ190" s="1132" t="str">
        <f t="shared" si="121"/>
        <v>Custom</v>
      </c>
      <c r="BA190" s="1132" t="str">
        <f t="shared" si="122"/>
        <v/>
      </c>
      <c r="BB190" s="2507">
        <v>0.11024640998732411</v>
      </c>
      <c r="BC190" s="2568" t="s">
        <v>604</v>
      </c>
      <c r="BD190" s="1362">
        <f t="shared" si="123"/>
        <v>27070.217913409419</v>
      </c>
      <c r="BE190" s="1360">
        <f t="shared" si="124"/>
        <v>-6924.9394662210179</v>
      </c>
      <c r="BF190" s="1132" t="str">
        <f t="shared" si="125"/>
        <v>Custom</v>
      </c>
      <c r="BG190" s="1132" t="str">
        <f t="shared" si="126"/>
        <v/>
      </c>
      <c r="BH190" s="2507">
        <v>0.11024640998732411</v>
      </c>
      <c r="BI190" s="2568" t="s">
        <v>604</v>
      </c>
      <c r="BJ190" s="1362">
        <f t="shared" si="148"/>
        <v>27070.217913409419</v>
      </c>
      <c r="BK190" s="1360">
        <f t="shared" si="127"/>
        <v>-6924.9394662210179</v>
      </c>
      <c r="BL190" s="1601">
        <f t="shared" si="128"/>
        <v>27070.217913409419</v>
      </c>
      <c r="BM190" s="1601">
        <f t="shared" si="129"/>
        <v>27070.217913409419</v>
      </c>
      <c r="BN190" s="1601">
        <f t="shared" si="130"/>
        <v>27070.217913409419</v>
      </c>
      <c r="BO190" s="1601">
        <f t="shared" si="131"/>
        <v>27070.217913409419</v>
      </c>
      <c r="BP190" s="1602">
        <f t="shared" si="132"/>
        <v>108280.87165363767</v>
      </c>
      <c r="BQ190" s="1602"/>
      <c r="BR190" s="1602"/>
      <c r="BS190" s="1602">
        <v>0</v>
      </c>
      <c r="BT190" s="1602">
        <v>20.6</v>
      </c>
      <c r="BU190" s="1602">
        <v>20.6</v>
      </c>
      <c r="BV190" s="1602">
        <v>20.6</v>
      </c>
      <c r="BW190" s="1602">
        <v>20.6</v>
      </c>
      <c r="BX190" s="1362">
        <f t="shared" si="149"/>
        <v>700300.24202038709</v>
      </c>
      <c r="BY190" s="1362">
        <f t="shared" si="150"/>
        <v>700300.24202038709</v>
      </c>
      <c r="BZ190" s="1362">
        <f t="shared" si="151"/>
        <v>700300.24202038709</v>
      </c>
      <c r="CA190" s="1362">
        <f t="shared" si="152"/>
        <v>700300.24202038709</v>
      </c>
      <c r="CB190" s="1362">
        <f t="shared" si="153"/>
        <v>2801200.9680815483</v>
      </c>
      <c r="CC190" s="1360">
        <v>20.6</v>
      </c>
      <c r="CD190" s="1360">
        <v>20.6</v>
      </c>
      <c r="CE190" s="1360">
        <v>20.6</v>
      </c>
      <c r="CF190" s="1360">
        <v>20.6</v>
      </c>
      <c r="CG190" s="1604">
        <f t="shared" si="133"/>
        <v>557646.48901623406</v>
      </c>
      <c r="CH190" s="1604">
        <f t="shared" si="134"/>
        <v>557646.48901623406</v>
      </c>
      <c r="CI190" s="1604">
        <f t="shared" si="135"/>
        <v>557646.48901623406</v>
      </c>
      <c r="CJ190" s="1604">
        <f t="shared" si="136"/>
        <v>557646.48901623406</v>
      </c>
      <c r="CK190" s="1521">
        <f t="shared" si="137"/>
        <v>2230585.9560649362</v>
      </c>
      <c r="CL190" s="1132">
        <v>183</v>
      </c>
      <c r="CM190" s="1132" t="s">
        <v>606</v>
      </c>
      <c r="CN190" s="1359">
        <v>1</v>
      </c>
      <c r="CO190" s="1360">
        <v>78762.743172413786</v>
      </c>
      <c r="CP190" s="1360">
        <v>78762.743172413786</v>
      </c>
      <c r="CQ190" s="1360">
        <v>78762.743172413786</v>
      </c>
      <c r="CR190" s="1360">
        <v>78762.743172413786</v>
      </c>
      <c r="CS190" s="1362">
        <f t="shared" si="138"/>
        <v>3733.8231604702651</v>
      </c>
      <c r="CT190" s="1362">
        <f t="shared" si="139"/>
        <v>3733.8231604702651</v>
      </c>
      <c r="CU190" s="1362">
        <f t="shared" si="140"/>
        <v>3733.8231604702651</v>
      </c>
      <c r="CV190" s="1362">
        <f t="shared" si="141"/>
        <v>3733.8231604702651</v>
      </c>
      <c r="CW190" s="1362">
        <f t="shared" si="142"/>
        <v>14935.29264188106</v>
      </c>
      <c r="CY190" s="2887"/>
    </row>
    <row r="191" spans="1:103" s="1143" customFormat="1" ht="31" x14ac:dyDescent="0.35">
      <c r="A191" s="1132" t="s">
        <v>105</v>
      </c>
      <c r="B191" s="1132" t="s">
        <v>608</v>
      </c>
      <c r="C191" s="1132" t="s">
        <v>609</v>
      </c>
      <c r="D191" s="1359" t="s">
        <v>105</v>
      </c>
      <c r="E191" s="1359">
        <v>0</v>
      </c>
      <c r="F191" s="1132" t="s">
        <v>105</v>
      </c>
      <c r="G191" s="1132" t="s">
        <v>328</v>
      </c>
      <c r="H191" s="1360">
        <v>17.129200000000004</v>
      </c>
      <c r="I191" s="1360">
        <v>17.129200000000004</v>
      </c>
      <c r="J191" s="1360">
        <v>17.129200000000004</v>
      </c>
      <c r="K191" s="1360">
        <v>17.129200000000004</v>
      </c>
      <c r="L191" s="1132" t="s">
        <v>105</v>
      </c>
      <c r="M191" s="1132" t="str">
        <f t="shared" si="104"/>
        <v/>
      </c>
      <c r="N191" s="1361">
        <v>72922.71428571429</v>
      </c>
      <c r="O191" s="1361">
        <v>72922.71428571429</v>
      </c>
      <c r="P191" s="1361">
        <v>72922.71428571429</v>
      </c>
      <c r="Q191" s="1361">
        <v>72922.71428571429</v>
      </c>
      <c r="R191" s="1781">
        <v>0.79</v>
      </c>
      <c r="S191" s="1781">
        <v>0.79</v>
      </c>
      <c r="T191" s="1781">
        <v>0.79</v>
      </c>
      <c r="U191" s="1781">
        <v>0.79</v>
      </c>
      <c r="V191" s="2567">
        <v>0.84</v>
      </c>
      <c r="W191" s="2567">
        <v>0.84</v>
      </c>
      <c r="X191" s="2567">
        <v>0.84</v>
      </c>
      <c r="Y191" s="2567">
        <v>0.84</v>
      </c>
      <c r="Z191" s="1359">
        <v>0</v>
      </c>
      <c r="AA191" s="2567">
        <f t="shared" si="105"/>
        <v>0.84</v>
      </c>
      <c r="AB191" s="2567">
        <f t="shared" si="106"/>
        <v>0.84</v>
      </c>
      <c r="AC191" s="2567">
        <f t="shared" si="107"/>
        <v>0.84</v>
      </c>
      <c r="AD191" s="2567">
        <f t="shared" si="108"/>
        <v>0.84</v>
      </c>
      <c r="AE191" s="2567">
        <f t="shared" si="109"/>
        <v>0.84</v>
      </c>
      <c r="AF191" s="2567">
        <f t="shared" si="110"/>
        <v>0.84</v>
      </c>
      <c r="AG191" s="2567">
        <f t="shared" si="111"/>
        <v>0.84</v>
      </c>
      <c r="AH191" s="2567">
        <f t="shared" si="112"/>
        <v>0.84</v>
      </c>
      <c r="AI191" s="1362">
        <f t="shared" si="143"/>
        <v>986795.12845885742</v>
      </c>
      <c r="AJ191" s="1362">
        <f t="shared" si="144"/>
        <v>986795.12845885742</v>
      </c>
      <c r="AK191" s="1362">
        <f t="shared" si="145"/>
        <v>986795.12845885742</v>
      </c>
      <c r="AL191" s="1362">
        <f t="shared" si="146"/>
        <v>986795.12845885742</v>
      </c>
      <c r="AM191" s="1362">
        <f t="shared" si="147"/>
        <v>3947180.5138354297</v>
      </c>
      <c r="AN191" s="1132" t="str">
        <f t="shared" si="113"/>
        <v>Custom</v>
      </c>
      <c r="AO191" s="1132" t="str">
        <f t="shared" si="114"/>
        <v/>
      </c>
      <c r="AP191" s="2505">
        <v>72922.71428571429</v>
      </c>
      <c r="AQ191" s="2568" t="s">
        <v>610</v>
      </c>
      <c r="AR191" s="2505">
        <f t="shared" si="115"/>
        <v>1049250.5163360003</v>
      </c>
      <c r="AS191" s="2505">
        <f t="shared" si="116"/>
        <v>62455.387877142872</v>
      </c>
      <c r="AT191" s="1132" t="str">
        <f t="shared" si="117"/>
        <v>Custom</v>
      </c>
      <c r="AU191" s="1132" t="str">
        <f t="shared" si="118"/>
        <v/>
      </c>
      <c r="AV191" s="2505">
        <v>72922.71428571429</v>
      </c>
      <c r="AW191" s="2568" t="s">
        <v>610</v>
      </c>
      <c r="AX191" s="1362">
        <f t="shared" si="119"/>
        <v>1049250.5163360003</v>
      </c>
      <c r="AY191" s="1360">
        <f t="shared" si="120"/>
        <v>62455.387877142872</v>
      </c>
      <c r="AZ191" s="1132" t="str">
        <f t="shared" si="121"/>
        <v>Custom</v>
      </c>
      <c r="BA191" s="1132" t="str">
        <f t="shared" si="122"/>
        <v/>
      </c>
      <c r="BB191" s="2505">
        <v>72922.71428571429</v>
      </c>
      <c r="BC191" s="2568" t="s">
        <v>610</v>
      </c>
      <c r="BD191" s="1362">
        <f t="shared" si="123"/>
        <v>1049250.5163360003</v>
      </c>
      <c r="BE191" s="1360">
        <f t="shared" si="124"/>
        <v>62455.387877142872</v>
      </c>
      <c r="BF191" s="1132" t="str">
        <f t="shared" si="125"/>
        <v>Custom</v>
      </c>
      <c r="BG191" s="1132" t="str">
        <f t="shared" si="126"/>
        <v/>
      </c>
      <c r="BH191" s="2505">
        <v>72922.71428571429</v>
      </c>
      <c r="BI191" s="2568" t="s">
        <v>610</v>
      </c>
      <c r="BJ191" s="1362">
        <f t="shared" si="148"/>
        <v>1049250.5163360003</v>
      </c>
      <c r="BK191" s="1360">
        <f t="shared" si="127"/>
        <v>62455.387877142872</v>
      </c>
      <c r="BL191" s="1601">
        <f t="shared" si="128"/>
        <v>1049250.5163360003</v>
      </c>
      <c r="BM191" s="1601">
        <f t="shared" si="129"/>
        <v>1049250.5163360003</v>
      </c>
      <c r="BN191" s="1601">
        <f t="shared" si="130"/>
        <v>1049250.5163360003</v>
      </c>
      <c r="BO191" s="1601">
        <f t="shared" si="131"/>
        <v>1049250.5163360003</v>
      </c>
      <c r="BP191" s="1602">
        <f t="shared" si="132"/>
        <v>4197002.0653440012</v>
      </c>
      <c r="BQ191" s="1602"/>
      <c r="BR191" s="1602"/>
      <c r="BS191" s="1602">
        <v>0</v>
      </c>
      <c r="BT191" s="1602">
        <v>16.928571428571427</v>
      </c>
      <c r="BU191" s="1602">
        <v>16.928571428571427</v>
      </c>
      <c r="BV191" s="1602">
        <v>16.928571428571427</v>
      </c>
      <c r="BW191" s="1602">
        <v>16.928571428571427</v>
      </c>
      <c r="BX191" s="1362">
        <f t="shared" si="149"/>
        <v>16705031.817482084</v>
      </c>
      <c r="BY191" s="1362">
        <f t="shared" si="150"/>
        <v>16705031.817482084</v>
      </c>
      <c r="BZ191" s="1362">
        <f t="shared" si="151"/>
        <v>16705031.817482084</v>
      </c>
      <c r="CA191" s="1362">
        <f t="shared" si="152"/>
        <v>16705031.817482084</v>
      </c>
      <c r="CB191" s="1362">
        <f t="shared" si="153"/>
        <v>66820127.269928336</v>
      </c>
      <c r="CC191" s="1360">
        <v>16.928571428571427</v>
      </c>
      <c r="CD191" s="1360">
        <v>16.928571428571427</v>
      </c>
      <c r="CE191" s="1360">
        <v>16.928571428571427</v>
      </c>
      <c r="CF191" s="1360">
        <v>16.928571428571427</v>
      </c>
      <c r="CG191" s="1604">
        <f t="shared" si="133"/>
        <v>17762312.312259432</v>
      </c>
      <c r="CH191" s="1604">
        <f t="shared" si="134"/>
        <v>17762312.312259432</v>
      </c>
      <c r="CI191" s="1604">
        <f t="shared" si="135"/>
        <v>17762312.312259432</v>
      </c>
      <c r="CJ191" s="1604">
        <f t="shared" si="136"/>
        <v>17762312.312259432</v>
      </c>
      <c r="CK191" s="1521">
        <f t="shared" si="137"/>
        <v>71049249.249037728</v>
      </c>
      <c r="CL191" s="1132">
        <v>184</v>
      </c>
      <c r="CM191" s="1132" t="s">
        <v>328</v>
      </c>
      <c r="CN191" s="1359">
        <v>0</v>
      </c>
      <c r="CO191" s="1360">
        <v>17.129200000000004</v>
      </c>
      <c r="CP191" s="1360">
        <v>17.129200000000004</v>
      </c>
      <c r="CQ191" s="1360">
        <v>17.129200000000004</v>
      </c>
      <c r="CR191" s="1360">
        <v>17.129200000000004</v>
      </c>
      <c r="CS191" s="1362">
        <f t="shared" si="138"/>
        <v>1049250.5163360003</v>
      </c>
      <c r="CT191" s="1362">
        <f t="shared" si="139"/>
        <v>1049250.5163360003</v>
      </c>
      <c r="CU191" s="1362">
        <f t="shared" si="140"/>
        <v>1049250.5163360003</v>
      </c>
      <c r="CV191" s="1362">
        <f t="shared" si="141"/>
        <v>1049250.5163360003</v>
      </c>
      <c r="CW191" s="1362">
        <f t="shared" si="142"/>
        <v>4197002.0653440012</v>
      </c>
      <c r="CY191" s="2887"/>
    </row>
    <row r="192" spans="1:103" s="1143" customFormat="1" ht="31" x14ac:dyDescent="0.35">
      <c r="A192" s="1132" t="s">
        <v>105</v>
      </c>
      <c r="B192" s="1132" t="s">
        <v>608</v>
      </c>
      <c r="C192" s="1132" t="s">
        <v>611</v>
      </c>
      <c r="D192" s="1359" t="s">
        <v>105</v>
      </c>
      <c r="E192" s="1359">
        <f>IF(AI192-AR192=0,0,1)</f>
        <v>0</v>
      </c>
      <c r="F192" s="1132" t="s">
        <v>105</v>
      </c>
      <c r="G192" s="1132" t="s">
        <v>356</v>
      </c>
      <c r="H192" s="1360">
        <v>15.581160000000002</v>
      </c>
      <c r="I192" s="1360">
        <v>15.581160000000002</v>
      </c>
      <c r="J192" s="1360">
        <v>15.581160000000002</v>
      </c>
      <c r="K192" s="1360">
        <v>15.581160000000002</v>
      </c>
      <c r="L192" s="1132" t="s">
        <v>105</v>
      </c>
      <c r="M192" s="1132" t="str">
        <f t="shared" si="104"/>
        <v/>
      </c>
      <c r="N192" s="1361">
        <v>0</v>
      </c>
      <c r="O192" s="1361">
        <v>0</v>
      </c>
      <c r="P192" s="1361">
        <v>0</v>
      </c>
      <c r="Q192" s="1361">
        <v>0</v>
      </c>
      <c r="R192" s="1781">
        <v>0.79</v>
      </c>
      <c r="S192" s="1781">
        <v>0.79</v>
      </c>
      <c r="T192" s="1781">
        <v>0.79</v>
      </c>
      <c r="U192" s="1781">
        <v>0.79</v>
      </c>
      <c r="V192" s="2567">
        <v>0.84</v>
      </c>
      <c r="W192" s="2567">
        <v>0.84</v>
      </c>
      <c r="X192" s="2567">
        <v>0.84</v>
      </c>
      <c r="Y192" s="2567">
        <v>0.84</v>
      </c>
      <c r="Z192" s="1359">
        <v>0</v>
      </c>
      <c r="AA192" s="2567">
        <f t="shared" si="105"/>
        <v>0.84</v>
      </c>
      <c r="AB192" s="2567">
        <f t="shared" si="106"/>
        <v>0.84</v>
      </c>
      <c r="AC192" s="2567">
        <f t="shared" si="107"/>
        <v>0.84</v>
      </c>
      <c r="AD192" s="2567">
        <f t="shared" si="108"/>
        <v>0.84</v>
      </c>
      <c r="AE192" s="2567">
        <f t="shared" si="109"/>
        <v>0.84</v>
      </c>
      <c r="AF192" s="2567">
        <f t="shared" si="110"/>
        <v>0.84</v>
      </c>
      <c r="AG192" s="2567">
        <f t="shared" si="111"/>
        <v>0.84</v>
      </c>
      <c r="AH192" s="2567">
        <f t="shared" si="112"/>
        <v>0.84</v>
      </c>
      <c r="AI192" s="1362">
        <f t="shared" si="143"/>
        <v>0</v>
      </c>
      <c r="AJ192" s="1362">
        <f t="shared" si="144"/>
        <v>0</v>
      </c>
      <c r="AK192" s="1362">
        <f t="shared" si="145"/>
        <v>0</v>
      </c>
      <c r="AL192" s="1362">
        <f t="shared" si="146"/>
        <v>0</v>
      </c>
      <c r="AM192" s="1362">
        <f t="shared" si="147"/>
        <v>0</v>
      </c>
      <c r="AN192" s="1132" t="str">
        <f t="shared" si="113"/>
        <v>Custom</v>
      </c>
      <c r="AO192" s="1132" t="str">
        <f t="shared" si="114"/>
        <v/>
      </c>
      <c r="AP192" s="2505">
        <v>0</v>
      </c>
      <c r="AQ192" s="2568" t="s">
        <v>610</v>
      </c>
      <c r="AR192" s="2505">
        <f t="shared" si="115"/>
        <v>0</v>
      </c>
      <c r="AS192" s="2505">
        <f t="shared" si="116"/>
        <v>0</v>
      </c>
      <c r="AT192" s="1132" t="str">
        <f t="shared" si="117"/>
        <v>Custom</v>
      </c>
      <c r="AU192" s="1132" t="str">
        <f t="shared" si="118"/>
        <v/>
      </c>
      <c r="AV192" s="2505">
        <v>0</v>
      </c>
      <c r="AW192" s="2568" t="s">
        <v>610</v>
      </c>
      <c r="AX192" s="1362">
        <f t="shared" si="119"/>
        <v>0</v>
      </c>
      <c r="AY192" s="1360">
        <f t="shared" si="120"/>
        <v>0</v>
      </c>
      <c r="AZ192" s="1132" t="str">
        <f t="shared" si="121"/>
        <v>Custom</v>
      </c>
      <c r="BA192" s="1132" t="str">
        <f t="shared" si="122"/>
        <v/>
      </c>
      <c r="BB192" s="2505">
        <v>0</v>
      </c>
      <c r="BC192" s="2568" t="s">
        <v>610</v>
      </c>
      <c r="BD192" s="1362">
        <f t="shared" si="123"/>
        <v>0</v>
      </c>
      <c r="BE192" s="1360">
        <f t="shared" si="124"/>
        <v>0</v>
      </c>
      <c r="BF192" s="1132" t="str">
        <f t="shared" si="125"/>
        <v>Custom</v>
      </c>
      <c r="BG192" s="1132" t="str">
        <f t="shared" si="126"/>
        <v/>
      </c>
      <c r="BH192" s="2505">
        <v>0</v>
      </c>
      <c r="BI192" s="2568" t="s">
        <v>610</v>
      </c>
      <c r="BJ192" s="1362">
        <f t="shared" si="148"/>
        <v>0</v>
      </c>
      <c r="BK192" s="1360">
        <f t="shared" si="127"/>
        <v>0</v>
      </c>
      <c r="BL192" s="1601">
        <f t="shared" si="128"/>
        <v>0</v>
      </c>
      <c r="BM192" s="1601">
        <f t="shared" si="129"/>
        <v>0</v>
      </c>
      <c r="BN192" s="1601">
        <f t="shared" si="130"/>
        <v>0</v>
      </c>
      <c r="BO192" s="1601">
        <f t="shared" si="131"/>
        <v>0</v>
      </c>
      <c r="BP192" s="1602">
        <f t="shared" si="132"/>
        <v>0</v>
      </c>
      <c r="BQ192" s="1602"/>
      <c r="BR192" s="1602"/>
      <c r="BS192" s="1602">
        <v>0</v>
      </c>
      <c r="BT192" s="1602">
        <v>1</v>
      </c>
      <c r="BU192" s="1602">
        <v>1</v>
      </c>
      <c r="BV192" s="1602">
        <v>1</v>
      </c>
      <c r="BW192" s="1602">
        <v>1</v>
      </c>
      <c r="BX192" s="1362">
        <f t="shared" si="149"/>
        <v>0</v>
      </c>
      <c r="BY192" s="1362">
        <f t="shared" si="150"/>
        <v>0</v>
      </c>
      <c r="BZ192" s="1362">
        <f t="shared" si="151"/>
        <v>0</v>
      </c>
      <c r="CA192" s="1362">
        <f t="shared" si="152"/>
        <v>0</v>
      </c>
      <c r="CB192" s="1362">
        <f t="shared" si="153"/>
        <v>0</v>
      </c>
      <c r="CC192" s="1360">
        <v>1</v>
      </c>
      <c r="CD192" s="1360">
        <v>1</v>
      </c>
      <c r="CE192" s="1360">
        <v>1</v>
      </c>
      <c r="CF192" s="1360">
        <v>1</v>
      </c>
      <c r="CG192" s="1604">
        <f t="shared" si="133"/>
        <v>0</v>
      </c>
      <c r="CH192" s="1604">
        <f t="shared" si="134"/>
        <v>0</v>
      </c>
      <c r="CI192" s="1604">
        <f t="shared" si="135"/>
        <v>0</v>
      </c>
      <c r="CJ192" s="1604">
        <f t="shared" si="136"/>
        <v>0</v>
      </c>
      <c r="CK192" s="1521">
        <f t="shared" si="137"/>
        <v>0</v>
      </c>
      <c r="CL192" s="1132">
        <v>185</v>
      </c>
      <c r="CM192" s="1132" t="s">
        <v>356</v>
      </c>
      <c r="CN192" s="1359">
        <v>0</v>
      </c>
      <c r="CO192" s="1360">
        <v>15.581160000000002</v>
      </c>
      <c r="CP192" s="1360">
        <v>15.581160000000002</v>
      </c>
      <c r="CQ192" s="1360">
        <v>15.581160000000002</v>
      </c>
      <c r="CR192" s="1360">
        <v>15.581160000000002</v>
      </c>
      <c r="CS192" s="1362">
        <f t="shared" si="138"/>
        <v>0</v>
      </c>
      <c r="CT192" s="1362">
        <f t="shared" si="139"/>
        <v>0</v>
      </c>
      <c r="CU192" s="1362">
        <f t="shared" si="140"/>
        <v>0</v>
      </c>
      <c r="CV192" s="1362">
        <f t="shared" si="141"/>
        <v>0</v>
      </c>
      <c r="CW192" s="1362">
        <f t="shared" si="142"/>
        <v>0</v>
      </c>
      <c r="CY192" s="2887"/>
    </row>
    <row r="193" spans="1:103" s="1143" customFormat="1" ht="31" x14ac:dyDescent="0.35">
      <c r="A193" s="1132" t="s">
        <v>105</v>
      </c>
      <c r="B193" s="1132" t="s">
        <v>608</v>
      </c>
      <c r="C193" s="1132" t="s">
        <v>612</v>
      </c>
      <c r="D193" s="1359" t="s">
        <v>105</v>
      </c>
      <c r="E193" s="1359">
        <f>IF(AI193-AR193=0,0,1)</f>
        <v>0</v>
      </c>
      <c r="F193" s="1132" t="s">
        <v>105</v>
      </c>
      <c r="G193" s="1132" t="s">
        <v>356</v>
      </c>
      <c r="H193" s="1360">
        <v>11.129399999999999</v>
      </c>
      <c r="I193" s="1360">
        <v>11.129399999999999</v>
      </c>
      <c r="J193" s="1360">
        <v>11.129399999999999</v>
      </c>
      <c r="K193" s="1360">
        <v>11.129399999999999</v>
      </c>
      <c r="L193" s="1132" t="s">
        <v>105</v>
      </c>
      <c r="M193" s="1132" t="str">
        <f t="shared" si="104"/>
        <v/>
      </c>
      <c r="N193" s="1361">
        <v>0</v>
      </c>
      <c r="O193" s="1361">
        <v>0</v>
      </c>
      <c r="P193" s="1361">
        <v>0</v>
      </c>
      <c r="Q193" s="1361">
        <v>0</v>
      </c>
      <c r="R193" s="1781">
        <v>0.79</v>
      </c>
      <c r="S193" s="1781">
        <v>0.79</v>
      </c>
      <c r="T193" s="1781">
        <v>0.79</v>
      </c>
      <c r="U193" s="1781">
        <v>0.79</v>
      </c>
      <c r="V193" s="2567">
        <v>0.84</v>
      </c>
      <c r="W193" s="2567">
        <v>0.84</v>
      </c>
      <c r="X193" s="2567">
        <v>0.84</v>
      </c>
      <c r="Y193" s="2567">
        <v>0.84</v>
      </c>
      <c r="Z193" s="1359">
        <v>0</v>
      </c>
      <c r="AA193" s="2567">
        <f t="shared" si="105"/>
        <v>0.84</v>
      </c>
      <c r="AB193" s="2567">
        <f t="shared" si="106"/>
        <v>0.84</v>
      </c>
      <c r="AC193" s="2567">
        <f t="shared" si="107"/>
        <v>0.84</v>
      </c>
      <c r="AD193" s="2567">
        <f t="shared" si="108"/>
        <v>0.84</v>
      </c>
      <c r="AE193" s="2567">
        <f t="shared" si="109"/>
        <v>0.84</v>
      </c>
      <c r="AF193" s="2567">
        <f t="shared" si="110"/>
        <v>0.84</v>
      </c>
      <c r="AG193" s="2567">
        <f t="shared" si="111"/>
        <v>0.84</v>
      </c>
      <c r="AH193" s="2567">
        <f t="shared" si="112"/>
        <v>0.84</v>
      </c>
      <c r="AI193" s="1362">
        <f t="shared" si="143"/>
        <v>0</v>
      </c>
      <c r="AJ193" s="1362">
        <f t="shared" si="144"/>
        <v>0</v>
      </c>
      <c r="AK193" s="1362">
        <f t="shared" si="145"/>
        <v>0</v>
      </c>
      <c r="AL193" s="1362">
        <f t="shared" si="146"/>
        <v>0</v>
      </c>
      <c r="AM193" s="1362">
        <f t="shared" si="147"/>
        <v>0</v>
      </c>
      <c r="AN193" s="1132" t="str">
        <f t="shared" si="113"/>
        <v>Custom</v>
      </c>
      <c r="AO193" s="1132" t="str">
        <f t="shared" si="114"/>
        <v/>
      </c>
      <c r="AP193" s="2505">
        <v>0</v>
      </c>
      <c r="AQ193" s="2568" t="s">
        <v>610</v>
      </c>
      <c r="AR193" s="2505">
        <f t="shared" si="115"/>
        <v>0</v>
      </c>
      <c r="AS193" s="2505">
        <f t="shared" si="116"/>
        <v>0</v>
      </c>
      <c r="AT193" s="1132" t="str">
        <f t="shared" si="117"/>
        <v>Custom</v>
      </c>
      <c r="AU193" s="1132" t="str">
        <f t="shared" si="118"/>
        <v/>
      </c>
      <c r="AV193" s="2505">
        <v>0</v>
      </c>
      <c r="AW193" s="2568" t="s">
        <v>610</v>
      </c>
      <c r="AX193" s="1362">
        <f t="shared" si="119"/>
        <v>0</v>
      </c>
      <c r="AY193" s="1360">
        <f t="shared" si="120"/>
        <v>0</v>
      </c>
      <c r="AZ193" s="1132" t="str">
        <f t="shared" si="121"/>
        <v>Custom</v>
      </c>
      <c r="BA193" s="1132" t="str">
        <f t="shared" si="122"/>
        <v/>
      </c>
      <c r="BB193" s="2505">
        <v>0</v>
      </c>
      <c r="BC193" s="2568" t="s">
        <v>610</v>
      </c>
      <c r="BD193" s="1362">
        <f t="shared" si="123"/>
        <v>0</v>
      </c>
      <c r="BE193" s="1360">
        <f t="shared" si="124"/>
        <v>0</v>
      </c>
      <c r="BF193" s="1132" t="str">
        <f t="shared" si="125"/>
        <v>Custom</v>
      </c>
      <c r="BG193" s="1132" t="str">
        <f t="shared" si="126"/>
        <v/>
      </c>
      <c r="BH193" s="2505">
        <v>0</v>
      </c>
      <c r="BI193" s="2568" t="s">
        <v>610</v>
      </c>
      <c r="BJ193" s="1362">
        <f t="shared" si="148"/>
        <v>0</v>
      </c>
      <c r="BK193" s="1360">
        <f t="shared" si="127"/>
        <v>0</v>
      </c>
      <c r="BL193" s="1601">
        <f t="shared" si="128"/>
        <v>0</v>
      </c>
      <c r="BM193" s="1601">
        <f t="shared" si="129"/>
        <v>0</v>
      </c>
      <c r="BN193" s="1601">
        <f t="shared" si="130"/>
        <v>0</v>
      </c>
      <c r="BO193" s="1601">
        <f t="shared" si="131"/>
        <v>0</v>
      </c>
      <c r="BP193" s="1602">
        <f t="shared" si="132"/>
        <v>0</v>
      </c>
      <c r="BQ193" s="1602"/>
      <c r="BR193" s="1602"/>
      <c r="BS193" s="1602">
        <v>0</v>
      </c>
      <c r="BT193" s="1602">
        <v>1</v>
      </c>
      <c r="BU193" s="1602">
        <v>1</v>
      </c>
      <c r="BV193" s="1602">
        <v>1</v>
      </c>
      <c r="BW193" s="1602">
        <v>1</v>
      </c>
      <c r="BX193" s="1362">
        <f t="shared" si="149"/>
        <v>0</v>
      </c>
      <c r="BY193" s="1362">
        <f t="shared" si="150"/>
        <v>0</v>
      </c>
      <c r="BZ193" s="1362">
        <f t="shared" si="151"/>
        <v>0</v>
      </c>
      <c r="CA193" s="1362">
        <f t="shared" si="152"/>
        <v>0</v>
      </c>
      <c r="CB193" s="1362">
        <f t="shared" si="153"/>
        <v>0</v>
      </c>
      <c r="CC193" s="1360">
        <v>1</v>
      </c>
      <c r="CD193" s="1360">
        <v>1</v>
      </c>
      <c r="CE193" s="1360">
        <v>1</v>
      </c>
      <c r="CF193" s="1360">
        <v>1</v>
      </c>
      <c r="CG193" s="1604">
        <f t="shared" si="133"/>
        <v>0</v>
      </c>
      <c r="CH193" s="1604">
        <f t="shared" si="134"/>
        <v>0</v>
      </c>
      <c r="CI193" s="1604">
        <f t="shared" si="135"/>
        <v>0</v>
      </c>
      <c r="CJ193" s="1604">
        <f t="shared" si="136"/>
        <v>0</v>
      </c>
      <c r="CK193" s="1521">
        <f t="shared" si="137"/>
        <v>0</v>
      </c>
      <c r="CL193" s="1132">
        <v>186</v>
      </c>
      <c r="CM193" s="1132" t="s">
        <v>356</v>
      </c>
      <c r="CN193" s="1359">
        <v>0</v>
      </c>
      <c r="CO193" s="1360">
        <v>11.129399999999999</v>
      </c>
      <c r="CP193" s="1360">
        <v>11.129399999999999</v>
      </c>
      <c r="CQ193" s="1360">
        <v>11.129399999999999</v>
      </c>
      <c r="CR193" s="1360">
        <v>11.129399999999999</v>
      </c>
      <c r="CS193" s="1362">
        <f t="shared" si="138"/>
        <v>0</v>
      </c>
      <c r="CT193" s="1362">
        <f t="shared" si="139"/>
        <v>0</v>
      </c>
      <c r="CU193" s="1362">
        <f t="shared" si="140"/>
        <v>0</v>
      </c>
      <c r="CV193" s="1362">
        <f t="shared" si="141"/>
        <v>0</v>
      </c>
      <c r="CW193" s="1362">
        <f t="shared" si="142"/>
        <v>0</v>
      </c>
      <c r="CY193" s="2887"/>
    </row>
    <row r="194" spans="1:103" s="1143" customFormat="1" ht="31" x14ac:dyDescent="0.35">
      <c r="A194" s="1132" t="s">
        <v>105</v>
      </c>
      <c r="B194" s="1132" t="s">
        <v>608</v>
      </c>
      <c r="C194" s="1132" t="s">
        <v>613</v>
      </c>
      <c r="D194" s="1359" t="s">
        <v>105</v>
      </c>
      <c r="E194" s="1359">
        <f>IF(AI194-AR194=0,0,1)</f>
        <v>0</v>
      </c>
      <c r="F194" s="1132" t="s">
        <v>105</v>
      </c>
      <c r="G194" s="1132" t="s">
        <v>356</v>
      </c>
      <c r="H194" s="1360">
        <v>2.9678400000000003</v>
      </c>
      <c r="I194" s="1360">
        <v>2.9678400000000003</v>
      </c>
      <c r="J194" s="1360">
        <v>2.9678400000000003</v>
      </c>
      <c r="K194" s="1360">
        <v>2.9678400000000003</v>
      </c>
      <c r="L194" s="1132" t="s">
        <v>105</v>
      </c>
      <c r="M194" s="1132" t="str">
        <f t="shared" si="104"/>
        <v/>
      </c>
      <c r="N194" s="1361">
        <v>0</v>
      </c>
      <c r="O194" s="1361">
        <v>0</v>
      </c>
      <c r="P194" s="1361">
        <v>0</v>
      </c>
      <c r="Q194" s="1361">
        <v>0</v>
      </c>
      <c r="R194" s="1781">
        <v>0.79</v>
      </c>
      <c r="S194" s="1781">
        <v>0.79</v>
      </c>
      <c r="T194" s="1781">
        <v>0.79</v>
      </c>
      <c r="U194" s="1781">
        <v>0.79</v>
      </c>
      <c r="V194" s="2567">
        <v>0.84</v>
      </c>
      <c r="W194" s="2567">
        <v>0.84</v>
      </c>
      <c r="X194" s="2567">
        <v>0.84</v>
      </c>
      <c r="Y194" s="2567">
        <v>0.84</v>
      </c>
      <c r="Z194" s="1359">
        <v>0</v>
      </c>
      <c r="AA194" s="2567">
        <f t="shared" si="105"/>
        <v>0.84</v>
      </c>
      <c r="AB194" s="2567">
        <f t="shared" si="106"/>
        <v>0.84</v>
      </c>
      <c r="AC194" s="2567">
        <f t="shared" si="107"/>
        <v>0.84</v>
      </c>
      <c r="AD194" s="2567">
        <f t="shared" si="108"/>
        <v>0.84</v>
      </c>
      <c r="AE194" s="2567">
        <f t="shared" si="109"/>
        <v>0.84</v>
      </c>
      <c r="AF194" s="2567">
        <f t="shared" si="110"/>
        <v>0.84</v>
      </c>
      <c r="AG194" s="2567">
        <f t="shared" si="111"/>
        <v>0.84</v>
      </c>
      <c r="AH194" s="2567">
        <f t="shared" si="112"/>
        <v>0.84</v>
      </c>
      <c r="AI194" s="1362">
        <f t="shared" si="143"/>
        <v>0</v>
      </c>
      <c r="AJ194" s="1362">
        <f t="shared" si="144"/>
        <v>0</v>
      </c>
      <c r="AK194" s="1362">
        <f t="shared" si="145"/>
        <v>0</v>
      </c>
      <c r="AL194" s="1362">
        <f t="shared" si="146"/>
        <v>0</v>
      </c>
      <c r="AM194" s="1362">
        <f t="shared" si="147"/>
        <v>0</v>
      </c>
      <c r="AN194" s="1132" t="str">
        <f t="shared" si="113"/>
        <v>Custom</v>
      </c>
      <c r="AO194" s="1132" t="str">
        <f t="shared" si="114"/>
        <v/>
      </c>
      <c r="AP194" s="2505">
        <v>0</v>
      </c>
      <c r="AQ194" s="2568" t="s">
        <v>610</v>
      </c>
      <c r="AR194" s="2505">
        <f t="shared" si="115"/>
        <v>0</v>
      </c>
      <c r="AS194" s="2505">
        <f t="shared" si="116"/>
        <v>0</v>
      </c>
      <c r="AT194" s="1132" t="str">
        <f t="shared" si="117"/>
        <v>Custom</v>
      </c>
      <c r="AU194" s="1132" t="str">
        <f t="shared" si="118"/>
        <v/>
      </c>
      <c r="AV194" s="2505">
        <v>0</v>
      </c>
      <c r="AW194" s="2568" t="s">
        <v>610</v>
      </c>
      <c r="AX194" s="1362">
        <f t="shared" si="119"/>
        <v>0</v>
      </c>
      <c r="AY194" s="1360">
        <f t="shared" si="120"/>
        <v>0</v>
      </c>
      <c r="AZ194" s="1132" t="str">
        <f t="shared" si="121"/>
        <v>Custom</v>
      </c>
      <c r="BA194" s="1132" t="str">
        <f t="shared" si="122"/>
        <v/>
      </c>
      <c r="BB194" s="2505">
        <v>0</v>
      </c>
      <c r="BC194" s="2568" t="s">
        <v>610</v>
      </c>
      <c r="BD194" s="1362">
        <f t="shared" si="123"/>
        <v>0</v>
      </c>
      <c r="BE194" s="1360">
        <f t="shared" si="124"/>
        <v>0</v>
      </c>
      <c r="BF194" s="1132" t="str">
        <f t="shared" si="125"/>
        <v>Custom</v>
      </c>
      <c r="BG194" s="1132" t="str">
        <f t="shared" si="126"/>
        <v/>
      </c>
      <c r="BH194" s="2505">
        <v>0</v>
      </c>
      <c r="BI194" s="2568" t="s">
        <v>610</v>
      </c>
      <c r="BJ194" s="1362">
        <f t="shared" si="148"/>
        <v>0</v>
      </c>
      <c r="BK194" s="1360">
        <f t="shared" si="127"/>
        <v>0</v>
      </c>
      <c r="BL194" s="1601">
        <f t="shared" si="128"/>
        <v>0</v>
      </c>
      <c r="BM194" s="1601">
        <f t="shared" si="129"/>
        <v>0</v>
      </c>
      <c r="BN194" s="1601">
        <f t="shared" si="130"/>
        <v>0</v>
      </c>
      <c r="BO194" s="1601">
        <f t="shared" si="131"/>
        <v>0</v>
      </c>
      <c r="BP194" s="1602">
        <f t="shared" si="132"/>
        <v>0</v>
      </c>
      <c r="BQ194" s="1602"/>
      <c r="BR194" s="1602"/>
      <c r="BS194" s="1602">
        <v>0</v>
      </c>
      <c r="BT194" s="1602">
        <v>1</v>
      </c>
      <c r="BU194" s="1602">
        <v>1</v>
      </c>
      <c r="BV194" s="1602">
        <v>1</v>
      </c>
      <c r="BW194" s="1602">
        <v>1</v>
      </c>
      <c r="BX194" s="1362">
        <f t="shared" si="149"/>
        <v>0</v>
      </c>
      <c r="BY194" s="1362">
        <f t="shared" si="150"/>
        <v>0</v>
      </c>
      <c r="BZ194" s="1362">
        <f t="shared" si="151"/>
        <v>0</v>
      </c>
      <c r="CA194" s="1362">
        <f t="shared" si="152"/>
        <v>0</v>
      </c>
      <c r="CB194" s="1362">
        <f t="shared" si="153"/>
        <v>0</v>
      </c>
      <c r="CC194" s="1360">
        <v>1</v>
      </c>
      <c r="CD194" s="1360">
        <v>1</v>
      </c>
      <c r="CE194" s="1360">
        <v>1</v>
      </c>
      <c r="CF194" s="1360">
        <v>1</v>
      </c>
      <c r="CG194" s="1604">
        <f t="shared" si="133"/>
        <v>0</v>
      </c>
      <c r="CH194" s="1604">
        <f t="shared" si="134"/>
        <v>0</v>
      </c>
      <c r="CI194" s="1604">
        <f t="shared" si="135"/>
        <v>0</v>
      </c>
      <c r="CJ194" s="1604">
        <f t="shared" si="136"/>
        <v>0</v>
      </c>
      <c r="CK194" s="1521">
        <f t="shared" si="137"/>
        <v>0</v>
      </c>
      <c r="CL194" s="1132">
        <v>187</v>
      </c>
      <c r="CM194" s="1132" t="s">
        <v>356</v>
      </c>
      <c r="CN194" s="1359">
        <v>0</v>
      </c>
      <c r="CO194" s="1360">
        <v>2.9678400000000003</v>
      </c>
      <c r="CP194" s="1360">
        <v>2.9678400000000003</v>
      </c>
      <c r="CQ194" s="1360">
        <v>2.9678400000000003</v>
      </c>
      <c r="CR194" s="1360">
        <v>2.9678400000000003</v>
      </c>
      <c r="CS194" s="1362">
        <f t="shared" si="138"/>
        <v>0</v>
      </c>
      <c r="CT194" s="1362">
        <f t="shared" si="139"/>
        <v>0</v>
      </c>
      <c r="CU194" s="1362">
        <f t="shared" si="140"/>
        <v>0</v>
      </c>
      <c r="CV194" s="1362">
        <f t="shared" si="141"/>
        <v>0</v>
      </c>
      <c r="CW194" s="1362">
        <f t="shared" si="142"/>
        <v>0</v>
      </c>
      <c r="CY194" s="2887"/>
    </row>
    <row r="195" spans="1:103" s="1143" customFormat="1" ht="31" x14ac:dyDescent="0.35">
      <c r="A195" s="1132" t="s">
        <v>105</v>
      </c>
      <c r="B195" s="1132" t="s">
        <v>608</v>
      </c>
      <c r="C195" s="1132" t="s">
        <v>614</v>
      </c>
      <c r="D195" s="1359" t="s">
        <v>105</v>
      </c>
      <c r="E195" s="1359">
        <v>0</v>
      </c>
      <c r="F195" s="1132" t="s">
        <v>105</v>
      </c>
      <c r="G195" s="1132" t="s">
        <v>328</v>
      </c>
      <c r="H195" s="1360">
        <v>1.9572401000000004</v>
      </c>
      <c r="I195" s="1360">
        <v>1.9572401000000004</v>
      </c>
      <c r="J195" s="1360">
        <v>1.9572401000000004</v>
      </c>
      <c r="K195" s="1360">
        <v>1.9572401000000004</v>
      </c>
      <c r="L195" s="1132" t="s">
        <v>105</v>
      </c>
      <c r="M195" s="1132" t="str">
        <f t="shared" si="104"/>
        <v/>
      </c>
      <c r="N195" s="1361">
        <v>30971.1</v>
      </c>
      <c r="O195" s="1361">
        <v>30971.1</v>
      </c>
      <c r="P195" s="1361">
        <v>30971.1</v>
      </c>
      <c r="Q195" s="1361">
        <v>30971.1</v>
      </c>
      <c r="R195" s="1781">
        <v>0.94</v>
      </c>
      <c r="S195" s="1781">
        <v>0.94</v>
      </c>
      <c r="T195" s="1781">
        <v>0.94</v>
      </c>
      <c r="U195" s="1781">
        <v>0.94</v>
      </c>
      <c r="V195" s="2567">
        <v>0.98</v>
      </c>
      <c r="W195" s="2567">
        <v>0.98</v>
      </c>
      <c r="X195" s="2567">
        <v>0.98</v>
      </c>
      <c r="Y195" s="2567">
        <v>0.98</v>
      </c>
      <c r="Z195" s="1359">
        <v>0</v>
      </c>
      <c r="AA195" s="2567">
        <f t="shared" si="105"/>
        <v>0.98</v>
      </c>
      <c r="AB195" s="2567">
        <f t="shared" si="106"/>
        <v>0.98</v>
      </c>
      <c r="AC195" s="2567">
        <f t="shared" si="107"/>
        <v>0.98</v>
      </c>
      <c r="AD195" s="2567">
        <f t="shared" si="108"/>
        <v>0.98</v>
      </c>
      <c r="AE195" s="2567">
        <f t="shared" si="109"/>
        <v>0.98</v>
      </c>
      <c r="AF195" s="2567">
        <f t="shared" si="110"/>
        <v>0.98</v>
      </c>
      <c r="AG195" s="2567">
        <f t="shared" si="111"/>
        <v>0.98</v>
      </c>
      <c r="AH195" s="2567">
        <f t="shared" si="112"/>
        <v>0.98</v>
      </c>
      <c r="AI195" s="1362">
        <f t="shared" si="143"/>
        <v>56980.806129443408</v>
      </c>
      <c r="AJ195" s="1362">
        <f t="shared" si="144"/>
        <v>56980.806129443408</v>
      </c>
      <c r="AK195" s="1362">
        <f t="shared" si="145"/>
        <v>56980.806129443408</v>
      </c>
      <c r="AL195" s="1362">
        <f t="shared" si="146"/>
        <v>56980.806129443408</v>
      </c>
      <c r="AM195" s="1362">
        <f t="shared" si="147"/>
        <v>227923.22451777363</v>
      </c>
      <c r="AN195" s="1132" t="str">
        <f t="shared" si="113"/>
        <v>Custom</v>
      </c>
      <c r="AO195" s="1132" t="str">
        <f t="shared" si="114"/>
        <v/>
      </c>
      <c r="AP195" s="2505">
        <v>30971.1</v>
      </c>
      <c r="AQ195" s="2568" t="s">
        <v>615</v>
      </c>
      <c r="AR195" s="2505">
        <f t="shared" si="115"/>
        <v>59405.521283887807</v>
      </c>
      <c r="AS195" s="2505">
        <f t="shared" si="116"/>
        <v>2424.7151544443986</v>
      </c>
      <c r="AT195" s="1132" t="str">
        <f t="shared" si="117"/>
        <v>Custom</v>
      </c>
      <c r="AU195" s="1132" t="str">
        <f t="shared" si="118"/>
        <v/>
      </c>
      <c r="AV195" s="2505">
        <v>30971.1</v>
      </c>
      <c r="AW195" s="2568" t="s">
        <v>615</v>
      </c>
      <c r="AX195" s="1362">
        <f t="shared" si="119"/>
        <v>59405.521283887807</v>
      </c>
      <c r="AY195" s="1360">
        <f t="shared" si="120"/>
        <v>2424.7151544443986</v>
      </c>
      <c r="AZ195" s="1132" t="str">
        <f t="shared" si="121"/>
        <v>Custom</v>
      </c>
      <c r="BA195" s="1132" t="str">
        <f t="shared" si="122"/>
        <v/>
      </c>
      <c r="BB195" s="2505">
        <v>30971.1</v>
      </c>
      <c r="BC195" s="2568" t="s">
        <v>615</v>
      </c>
      <c r="BD195" s="1362">
        <f t="shared" si="123"/>
        <v>59405.521283887807</v>
      </c>
      <c r="BE195" s="1360">
        <f t="shared" si="124"/>
        <v>2424.7151544443986</v>
      </c>
      <c r="BF195" s="1132" t="str">
        <f t="shared" si="125"/>
        <v>Custom</v>
      </c>
      <c r="BG195" s="1132" t="str">
        <f t="shared" si="126"/>
        <v/>
      </c>
      <c r="BH195" s="2505">
        <v>30971.1</v>
      </c>
      <c r="BI195" s="2568" t="s">
        <v>615</v>
      </c>
      <c r="BJ195" s="1362">
        <f t="shared" si="148"/>
        <v>59405.521283887807</v>
      </c>
      <c r="BK195" s="1360">
        <f t="shared" si="127"/>
        <v>2424.7151544443986</v>
      </c>
      <c r="BL195" s="1601">
        <f t="shared" si="128"/>
        <v>59405.521283887807</v>
      </c>
      <c r="BM195" s="1601">
        <f t="shared" si="129"/>
        <v>59405.521283887807</v>
      </c>
      <c r="BN195" s="1601">
        <f t="shared" si="130"/>
        <v>59405.521283887807</v>
      </c>
      <c r="BO195" s="1601">
        <f t="shared" si="131"/>
        <v>59405.521283887807</v>
      </c>
      <c r="BP195" s="1602">
        <f t="shared" si="132"/>
        <v>237622.08513555123</v>
      </c>
      <c r="BQ195" s="1602"/>
      <c r="BR195" s="1602"/>
      <c r="BS195" s="2773">
        <v>1</v>
      </c>
      <c r="BT195" s="2774">
        <v>7.5</v>
      </c>
      <c r="BU195" s="2774">
        <v>7.5</v>
      </c>
      <c r="BV195" s="2774">
        <v>7.5</v>
      </c>
      <c r="BW195" s="2774">
        <v>7.5</v>
      </c>
      <c r="BX195" s="1362">
        <f t="shared" si="149"/>
        <v>427356.04597082554</v>
      </c>
      <c r="BY195" s="1362">
        <f t="shared" si="150"/>
        <v>427356.04597082554</v>
      </c>
      <c r="BZ195" s="1362">
        <f t="shared" si="151"/>
        <v>427356.04597082554</v>
      </c>
      <c r="CA195" s="1362">
        <f t="shared" si="152"/>
        <v>427356.04597082554</v>
      </c>
      <c r="CB195" s="1362">
        <f t="shared" si="153"/>
        <v>1709424.1838833021</v>
      </c>
      <c r="CC195" s="2776">
        <v>8.6</v>
      </c>
      <c r="CD195" s="2776">
        <v>8.6</v>
      </c>
      <c r="CE195" s="2776">
        <v>8.6</v>
      </c>
      <c r="CF195" s="2776">
        <v>8.6</v>
      </c>
      <c r="CG195" s="1604">
        <f t="shared" si="133"/>
        <v>510887.48304143513</v>
      </c>
      <c r="CH195" s="1604">
        <f t="shared" si="134"/>
        <v>510887.48304143513</v>
      </c>
      <c r="CI195" s="1604">
        <f t="shared" si="135"/>
        <v>510887.48304143513</v>
      </c>
      <c r="CJ195" s="1604">
        <f t="shared" si="136"/>
        <v>510887.48304143513</v>
      </c>
      <c r="CK195" s="1521">
        <f t="shared" si="137"/>
        <v>2043549.9321657405</v>
      </c>
      <c r="CL195" s="1132">
        <v>188</v>
      </c>
      <c r="CM195" s="1132" t="s">
        <v>328</v>
      </c>
      <c r="CN195" s="1359">
        <v>0</v>
      </c>
      <c r="CO195" s="1360">
        <v>1.9572401000000004</v>
      </c>
      <c r="CP195" s="1360">
        <v>1.9572401000000004</v>
      </c>
      <c r="CQ195" s="1360">
        <v>1.9572401000000004</v>
      </c>
      <c r="CR195" s="1360">
        <v>1.9572401000000004</v>
      </c>
      <c r="CS195" s="1362">
        <f t="shared" si="138"/>
        <v>59405.521283887807</v>
      </c>
      <c r="CT195" s="1362">
        <f t="shared" si="139"/>
        <v>59405.521283887807</v>
      </c>
      <c r="CU195" s="1362">
        <f t="shared" si="140"/>
        <v>59405.521283887807</v>
      </c>
      <c r="CV195" s="1362">
        <f t="shared" si="141"/>
        <v>59405.521283887807</v>
      </c>
      <c r="CW195" s="1362">
        <f t="shared" si="142"/>
        <v>237622.08513555123</v>
      </c>
      <c r="CY195" s="2887"/>
    </row>
    <row r="196" spans="1:103" s="1143" customFormat="1" ht="31" x14ac:dyDescent="0.35">
      <c r="A196" s="1132" t="s">
        <v>105</v>
      </c>
      <c r="B196" s="1132" t="s">
        <v>608</v>
      </c>
      <c r="C196" s="1132" t="s">
        <v>616</v>
      </c>
      <c r="D196" s="1359" t="s">
        <v>105</v>
      </c>
      <c r="E196" s="1359">
        <v>0</v>
      </c>
      <c r="F196" s="1132" t="s">
        <v>105</v>
      </c>
      <c r="G196" s="1132" t="s">
        <v>328</v>
      </c>
      <c r="H196" s="1360">
        <v>2.2258799999999996</v>
      </c>
      <c r="I196" s="1360">
        <v>2.2258799999999996</v>
      </c>
      <c r="J196" s="1360">
        <v>2.2258799999999996</v>
      </c>
      <c r="K196" s="1360">
        <v>2.2258799999999996</v>
      </c>
      <c r="L196" s="1132" t="s">
        <v>105</v>
      </c>
      <c r="M196" s="1132" t="str">
        <f t="shared" si="104"/>
        <v/>
      </c>
      <c r="N196" s="1361">
        <v>23306.689655172413</v>
      </c>
      <c r="O196" s="1361">
        <v>23306.689655172413</v>
      </c>
      <c r="P196" s="1361">
        <v>23306.689655172413</v>
      </c>
      <c r="Q196" s="1361">
        <v>23306.689655172413</v>
      </c>
      <c r="R196" s="1781">
        <v>0.94</v>
      </c>
      <c r="S196" s="1781">
        <v>0.94</v>
      </c>
      <c r="T196" s="1781">
        <v>0.94</v>
      </c>
      <c r="U196" s="1781">
        <v>0.94</v>
      </c>
      <c r="V196" s="2567">
        <v>0.98</v>
      </c>
      <c r="W196" s="2567">
        <v>0.98</v>
      </c>
      <c r="X196" s="2567">
        <v>0.98</v>
      </c>
      <c r="Y196" s="2567">
        <v>0.98</v>
      </c>
      <c r="Z196" s="1359">
        <v>0</v>
      </c>
      <c r="AA196" s="2567">
        <f t="shared" si="105"/>
        <v>0.98</v>
      </c>
      <c r="AB196" s="2567">
        <f t="shared" si="106"/>
        <v>0.98</v>
      </c>
      <c r="AC196" s="2567">
        <f t="shared" si="107"/>
        <v>0.98</v>
      </c>
      <c r="AD196" s="2567">
        <f t="shared" si="108"/>
        <v>0.98</v>
      </c>
      <c r="AE196" s="2567">
        <f t="shared" si="109"/>
        <v>0.98</v>
      </c>
      <c r="AF196" s="2567">
        <f t="shared" si="110"/>
        <v>0.98</v>
      </c>
      <c r="AG196" s="2567">
        <f t="shared" si="111"/>
        <v>0.98</v>
      </c>
      <c r="AH196" s="2567">
        <f t="shared" si="112"/>
        <v>0.98</v>
      </c>
      <c r="AI196" s="1362">
        <f t="shared" si="143"/>
        <v>48765.220707475855</v>
      </c>
      <c r="AJ196" s="1362">
        <f t="shared" si="144"/>
        <v>48765.220707475855</v>
      </c>
      <c r="AK196" s="1362">
        <f t="shared" si="145"/>
        <v>48765.220707475855</v>
      </c>
      <c r="AL196" s="1362">
        <f t="shared" si="146"/>
        <v>48765.220707475855</v>
      </c>
      <c r="AM196" s="1362">
        <f t="shared" si="147"/>
        <v>195060.88282990342</v>
      </c>
      <c r="AN196" s="1132" t="str">
        <f t="shared" si="113"/>
        <v>Custom</v>
      </c>
      <c r="AO196" s="1132" t="str">
        <f t="shared" si="114"/>
        <v/>
      </c>
      <c r="AP196" s="2505">
        <v>23306.689655172413</v>
      </c>
      <c r="AQ196" s="2568" t="s">
        <v>615</v>
      </c>
      <c r="AR196" s="2505">
        <f t="shared" si="115"/>
        <v>50840.336482262064</v>
      </c>
      <c r="AS196" s="2505">
        <f t="shared" si="116"/>
        <v>2075.1157747862089</v>
      </c>
      <c r="AT196" s="1132" t="str">
        <f t="shared" si="117"/>
        <v>Custom</v>
      </c>
      <c r="AU196" s="1132" t="str">
        <f t="shared" si="118"/>
        <v/>
      </c>
      <c r="AV196" s="2505">
        <v>23306.689655172413</v>
      </c>
      <c r="AW196" s="2568" t="s">
        <v>615</v>
      </c>
      <c r="AX196" s="1362">
        <f t="shared" si="119"/>
        <v>50840.336482262064</v>
      </c>
      <c r="AY196" s="1360">
        <f t="shared" si="120"/>
        <v>2075.1157747862089</v>
      </c>
      <c r="AZ196" s="1132" t="str">
        <f t="shared" si="121"/>
        <v>Custom</v>
      </c>
      <c r="BA196" s="1132" t="str">
        <f t="shared" si="122"/>
        <v/>
      </c>
      <c r="BB196" s="2505">
        <v>23306.689655172413</v>
      </c>
      <c r="BC196" s="2568" t="s">
        <v>615</v>
      </c>
      <c r="BD196" s="1362">
        <f t="shared" si="123"/>
        <v>50840.336482262064</v>
      </c>
      <c r="BE196" s="1360">
        <f t="shared" si="124"/>
        <v>2075.1157747862089</v>
      </c>
      <c r="BF196" s="1132" t="str">
        <f t="shared" si="125"/>
        <v>Custom</v>
      </c>
      <c r="BG196" s="1132" t="str">
        <f t="shared" si="126"/>
        <v/>
      </c>
      <c r="BH196" s="2505">
        <v>23306.689655172413</v>
      </c>
      <c r="BI196" s="2568" t="s">
        <v>615</v>
      </c>
      <c r="BJ196" s="1362">
        <f t="shared" si="148"/>
        <v>50840.336482262064</v>
      </c>
      <c r="BK196" s="1360">
        <f t="shared" si="127"/>
        <v>2075.1157747862089</v>
      </c>
      <c r="BL196" s="1601">
        <f t="shared" si="128"/>
        <v>50840.336482262064</v>
      </c>
      <c r="BM196" s="1601">
        <f t="shared" si="129"/>
        <v>50840.336482262064</v>
      </c>
      <c r="BN196" s="1601">
        <f t="shared" si="130"/>
        <v>50840.336482262064</v>
      </c>
      <c r="BO196" s="1601">
        <f t="shared" si="131"/>
        <v>50840.336482262064</v>
      </c>
      <c r="BP196" s="1602">
        <f t="shared" si="132"/>
        <v>203361.34592904826</v>
      </c>
      <c r="BQ196" s="1602"/>
      <c r="BR196" s="1602"/>
      <c r="BS196" s="2773">
        <v>1</v>
      </c>
      <c r="BT196" s="2774">
        <v>7.5</v>
      </c>
      <c r="BU196" s="2774">
        <v>7.5</v>
      </c>
      <c r="BV196" s="2774">
        <v>7.5</v>
      </c>
      <c r="BW196" s="2774">
        <v>7.5</v>
      </c>
      <c r="BX196" s="1362">
        <f t="shared" si="149"/>
        <v>365739.15530606889</v>
      </c>
      <c r="BY196" s="1362">
        <f t="shared" si="150"/>
        <v>365739.15530606889</v>
      </c>
      <c r="BZ196" s="1362">
        <f t="shared" si="151"/>
        <v>365739.15530606889</v>
      </c>
      <c r="CA196" s="1362">
        <f t="shared" si="152"/>
        <v>365739.15530606889</v>
      </c>
      <c r="CB196" s="1362">
        <f t="shared" si="153"/>
        <v>1462956.6212242756</v>
      </c>
      <c r="CC196" s="2776">
        <v>8.6</v>
      </c>
      <c r="CD196" s="2776">
        <v>8.6</v>
      </c>
      <c r="CE196" s="2776">
        <v>8.6</v>
      </c>
      <c r="CF196" s="2776">
        <v>8.6</v>
      </c>
      <c r="CG196" s="1604">
        <f t="shared" si="133"/>
        <v>437226.89374745375</v>
      </c>
      <c r="CH196" s="1604">
        <f t="shared" si="134"/>
        <v>437226.89374745375</v>
      </c>
      <c r="CI196" s="1604">
        <f t="shared" si="135"/>
        <v>437226.89374745375</v>
      </c>
      <c r="CJ196" s="1604">
        <f t="shared" si="136"/>
        <v>437226.89374745375</v>
      </c>
      <c r="CK196" s="1521">
        <f t="shared" si="137"/>
        <v>1748907.574989815</v>
      </c>
      <c r="CL196" s="1132">
        <v>189</v>
      </c>
      <c r="CM196" s="1132" t="s">
        <v>328</v>
      </c>
      <c r="CN196" s="1359">
        <v>0</v>
      </c>
      <c r="CO196" s="1360">
        <v>2.2258799999999996</v>
      </c>
      <c r="CP196" s="1360">
        <v>2.2258799999999996</v>
      </c>
      <c r="CQ196" s="1360">
        <v>2.2258799999999996</v>
      </c>
      <c r="CR196" s="1360">
        <v>2.2258799999999996</v>
      </c>
      <c r="CS196" s="1362">
        <f t="shared" si="138"/>
        <v>50840.336482262064</v>
      </c>
      <c r="CT196" s="1362">
        <f t="shared" si="139"/>
        <v>50840.336482262064</v>
      </c>
      <c r="CU196" s="1362">
        <f t="shared" si="140"/>
        <v>50840.336482262064</v>
      </c>
      <c r="CV196" s="1362">
        <f t="shared" si="141"/>
        <v>50840.336482262064</v>
      </c>
      <c r="CW196" s="1362">
        <f t="shared" si="142"/>
        <v>203361.34592904826</v>
      </c>
      <c r="CY196" s="2887"/>
    </row>
    <row r="197" spans="1:103" s="1143" customFormat="1" ht="77.25" customHeight="1" x14ac:dyDescent="0.35">
      <c r="A197" s="1132" t="s">
        <v>105</v>
      </c>
      <c r="B197" s="1132" t="s">
        <v>608</v>
      </c>
      <c r="C197" s="1132" t="s">
        <v>617</v>
      </c>
      <c r="D197" s="1359" t="s">
        <v>105</v>
      </c>
      <c r="E197" s="1359">
        <v>0</v>
      </c>
      <c r="F197" s="1132" t="s">
        <v>105</v>
      </c>
      <c r="G197" s="1132" t="s">
        <v>356</v>
      </c>
      <c r="H197" s="1360">
        <v>3.7098000000000009</v>
      </c>
      <c r="I197" s="1360">
        <v>3.7098000000000009</v>
      </c>
      <c r="J197" s="1360">
        <v>3.7098000000000009</v>
      </c>
      <c r="K197" s="1360">
        <v>3.7098000000000009</v>
      </c>
      <c r="L197" s="1132" t="s">
        <v>105</v>
      </c>
      <c r="M197" s="1132" t="str">
        <f t="shared" si="104"/>
        <v/>
      </c>
      <c r="N197" s="1361">
        <v>1</v>
      </c>
      <c r="O197" s="1361">
        <v>1</v>
      </c>
      <c r="P197" s="1361">
        <v>1</v>
      </c>
      <c r="Q197" s="1361">
        <v>1</v>
      </c>
      <c r="R197" s="1781">
        <v>0.94</v>
      </c>
      <c r="S197" s="1781">
        <v>0.94</v>
      </c>
      <c r="T197" s="1781">
        <v>0.94</v>
      </c>
      <c r="U197" s="1781">
        <v>0.94</v>
      </c>
      <c r="V197" s="2567">
        <v>0.98</v>
      </c>
      <c r="W197" s="2567">
        <v>0.98</v>
      </c>
      <c r="X197" s="2567">
        <v>0.98</v>
      </c>
      <c r="Y197" s="2567">
        <v>0.98</v>
      </c>
      <c r="Z197" s="1359">
        <v>0</v>
      </c>
      <c r="AA197" s="2567">
        <f t="shared" si="105"/>
        <v>0.98</v>
      </c>
      <c r="AB197" s="2567">
        <f t="shared" si="106"/>
        <v>0.98</v>
      </c>
      <c r="AC197" s="2567">
        <f t="shared" si="107"/>
        <v>0.98</v>
      </c>
      <c r="AD197" s="2567">
        <f t="shared" si="108"/>
        <v>0.98</v>
      </c>
      <c r="AE197" s="2567">
        <f t="shared" si="109"/>
        <v>0.98</v>
      </c>
      <c r="AF197" s="2567">
        <f t="shared" si="110"/>
        <v>0.98</v>
      </c>
      <c r="AG197" s="2567">
        <f t="shared" si="111"/>
        <v>0.98</v>
      </c>
      <c r="AH197" s="2567">
        <f t="shared" si="112"/>
        <v>0.98</v>
      </c>
      <c r="AI197" s="1362">
        <f t="shared" si="143"/>
        <v>3.4872120000000004</v>
      </c>
      <c r="AJ197" s="1362">
        <f t="shared" si="144"/>
        <v>3.4872120000000004</v>
      </c>
      <c r="AK197" s="1362">
        <f t="shared" si="145"/>
        <v>3.4872120000000004</v>
      </c>
      <c r="AL197" s="1362">
        <f t="shared" si="146"/>
        <v>3.4872120000000004</v>
      </c>
      <c r="AM197" s="1362">
        <f t="shared" si="147"/>
        <v>13.948848000000002</v>
      </c>
      <c r="AN197" s="1132" t="str">
        <f t="shared" si="113"/>
        <v>Custom</v>
      </c>
      <c r="AO197" s="1132" t="str">
        <f t="shared" si="114"/>
        <v/>
      </c>
      <c r="AP197" s="1361">
        <v>1</v>
      </c>
      <c r="AQ197" s="2568" t="s">
        <v>615</v>
      </c>
      <c r="AR197" s="2505">
        <f t="shared" si="115"/>
        <v>3.6356040000000007</v>
      </c>
      <c r="AS197" s="2507">
        <f t="shared" si="116"/>
        <v>0.1483920000000003</v>
      </c>
      <c r="AT197" s="1132" t="str">
        <f t="shared" si="117"/>
        <v>Custom</v>
      </c>
      <c r="AU197" s="1132" t="str">
        <f t="shared" si="118"/>
        <v/>
      </c>
      <c r="AV197" s="1361">
        <v>1</v>
      </c>
      <c r="AW197" s="2568" t="s">
        <v>615</v>
      </c>
      <c r="AX197" s="1362">
        <f t="shared" si="119"/>
        <v>3.6356040000000007</v>
      </c>
      <c r="AY197" s="1360">
        <f t="shared" si="120"/>
        <v>0.1483920000000003</v>
      </c>
      <c r="AZ197" s="1132" t="str">
        <f t="shared" si="121"/>
        <v>Custom</v>
      </c>
      <c r="BA197" s="1132" t="str">
        <f t="shared" si="122"/>
        <v/>
      </c>
      <c r="BB197" s="1361">
        <v>1</v>
      </c>
      <c r="BC197" s="2568" t="s">
        <v>615</v>
      </c>
      <c r="BD197" s="1362">
        <f t="shared" si="123"/>
        <v>3.6356040000000007</v>
      </c>
      <c r="BE197" s="1360">
        <f t="shared" si="124"/>
        <v>0.1483920000000003</v>
      </c>
      <c r="BF197" s="1132" t="str">
        <f t="shared" si="125"/>
        <v>Custom</v>
      </c>
      <c r="BG197" s="1132" t="str">
        <f t="shared" si="126"/>
        <v/>
      </c>
      <c r="BH197" s="1361">
        <v>1</v>
      </c>
      <c r="BI197" s="2568" t="s">
        <v>615</v>
      </c>
      <c r="BJ197" s="1362">
        <f t="shared" si="148"/>
        <v>3.6356040000000007</v>
      </c>
      <c r="BK197" s="1360">
        <f t="shared" si="127"/>
        <v>0.1483920000000003</v>
      </c>
      <c r="BL197" s="1601">
        <f t="shared" si="128"/>
        <v>3.6356040000000007</v>
      </c>
      <c r="BM197" s="1601">
        <f t="shared" si="129"/>
        <v>3.6356040000000007</v>
      </c>
      <c r="BN197" s="1601">
        <f t="shared" si="130"/>
        <v>3.6356040000000007</v>
      </c>
      <c r="BO197" s="1601">
        <f t="shared" si="131"/>
        <v>3.6356040000000007</v>
      </c>
      <c r="BP197" s="1602">
        <f t="shared" si="132"/>
        <v>14.542416000000003</v>
      </c>
      <c r="BQ197" s="1602"/>
      <c r="BR197" s="1602"/>
      <c r="BS197" s="1602">
        <v>0</v>
      </c>
      <c r="BT197" s="1602">
        <v>0</v>
      </c>
      <c r="BU197" s="1602">
        <v>0</v>
      </c>
      <c r="BV197" s="1602">
        <v>0</v>
      </c>
      <c r="BW197" s="1602">
        <v>0</v>
      </c>
      <c r="BX197" s="1362">
        <f t="shared" si="149"/>
        <v>0</v>
      </c>
      <c r="BY197" s="1362">
        <f t="shared" si="150"/>
        <v>0</v>
      </c>
      <c r="BZ197" s="1362">
        <f t="shared" si="151"/>
        <v>0</v>
      </c>
      <c r="CA197" s="1362">
        <f t="shared" si="152"/>
        <v>0</v>
      </c>
      <c r="CB197" s="1362">
        <f t="shared" si="153"/>
        <v>0</v>
      </c>
      <c r="CC197" s="1360">
        <v>0</v>
      </c>
      <c r="CD197" s="1360">
        <v>0</v>
      </c>
      <c r="CE197" s="1360">
        <v>0</v>
      </c>
      <c r="CF197" s="1360">
        <v>0</v>
      </c>
      <c r="CG197" s="1604">
        <f t="shared" si="133"/>
        <v>0</v>
      </c>
      <c r="CH197" s="1604">
        <f t="shared" si="134"/>
        <v>0</v>
      </c>
      <c r="CI197" s="1604">
        <f t="shared" si="135"/>
        <v>0</v>
      </c>
      <c r="CJ197" s="1604">
        <f t="shared" si="136"/>
        <v>0</v>
      </c>
      <c r="CK197" s="1521">
        <f t="shared" si="137"/>
        <v>0</v>
      </c>
      <c r="CL197" s="1132">
        <v>190</v>
      </c>
      <c r="CM197" s="1132" t="s">
        <v>356</v>
      </c>
      <c r="CN197" s="1359">
        <v>0</v>
      </c>
      <c r="CO197" s="1360">
        <v>3.7098000000000009</v>
      </c>
      <c r="CP197" s="1360">
        <v>3.7098000000000009</v>
      </c>
      <c r="CQ197" s="1360">
        <v>3.7098000000000009</v>
      </c>
      <c r="CR197" s="1360">
        <v>3.7098000000000009</v>
      </c>
      <c r="CS197" s="1362">
        <f t="shared" si="138"/>
        <v>3.6356040000000007</v>
      </c>
      <c r="CT197" s="1362">
        <f t="shared" si="139"/>
        <v>3.6356040000000007</v>
      </c>
      <c r="CU197" s="1362">
        <f t="shared" si="140"/>
        <v>3.6356040000000007</v>
      </c>
      <c r="CV197" s="1362">
        <f t="shared" si="141"/>
        <v>3.6356040000000007</v>
      </c>
      <c r="CW197" s="1362">
        <f t="shared" si="142"/>
        <v>14.542416000000003</v>
      </c>
      <c r="CY197" s="2887"/>
    </row>
    <row r="198" spans="1:103" s="1143" customFormat="1" ht="78" customHeight="1" x14ac:dyDescent="0.35">
      <c r="A198" s="1132" t="s">
        <v>105</v>
      </c>
      <c r="B198" s="1132" t="s">
        <v>608</v>
      </c>
      <c r="C198" s="1132" t="s">
        <v>618</v>
      </c>
      <c r="D198" s="1359" t="s">
        <v>105</v>
      </c>
      <c r="E198" s="1359">
        <v>0</v>
      </c>
      <c r="F198" s="1132" t="s">
        <v>105</v>
      </c>
      <c r="G198" s="1132" t="s">
        <v>356</v>
      </c>
      <c r="H198" s="1360">
        <v>2.2258799999999996</v>
      </c>
      <c r="I198" s="1360">
        <v>2.2258799999999996</v>
      </c>
      <c r="J198" s="1360">
        <v>2.2258799999999996</v>
      </c>
      <c r="K198" s="1360">
        <v>2.2258799999999996</v>
      </c>
      <c r="L198" s="1132" t="s">
        <v>105</v>
      </c>
      <c r="M198" s="1132" t="str">
        <f t="shared" si="104"/>
        <v/>
      </c>
      <c r="N198" s="1361">
        <v>1</v>
      </c>
      <c r="O198" s="1361">
        <v>1</v>
      </c>
      <c r="P198" s="1361">
        <v>1</v>
      </c>
      <c r="Q198" s="1361">
        <v>1</v>
      </c>
      <c r="R198" s="1781">
        <v>0.94</v>
      </c>
      <c r="S198" s="1781">
        <v>0.94</v>
      </c>
      <c r="T198" s="1781">
        <v>0.94</v>
      </c>
      <c r="U198" s="1781">
        <v>0.94</v>
      </c>
      <c r="V198" s="2567">
        <v>0.98</v>
      </c>
      <c r="W198" s="2567">
        <v>0.98</v>
      </c>
      <c r="X198" s="2567">
        <v>0.98</v>
      </c>
      <c r="Y198" s="2567">
        <v>0.98</v>
      </c>
      <c r="Z198" s="1359">
        <v>0</v>
      </c>
      <c r="AA198" s="2567">
        <f t="shared" si="105"/>
        <v>0.98</v>
      </c>
      <c r="AB198" s="2567">
        <f t="shared" si="106"/>
        <v>0.98</v>
      </c>
      <c r="AC198" s="2567">
        <f t="shared" si="107"/>
        <v>0.98</v>
      </c>
      <c r="AD198" s="2567">
        <f t="shared" si="108"/>
        <v>0.98</v>
      </c>
      <c r="AE198" s="2567">
        <f t="shared" si="109"/>
        <v>0.98</v>
      </c>
      <c r="AF198" s="2567">
        <f t="shared" si="110"/>
        <v>0.98</v>
      </c>
      <c r="AG198" s="2567">
        <f t="shared" si="111"/>
        <v>0.98</v>
      </c>
      <c r="AH198" s="2567">
        <f t="shared" si="112"/>
        <v>0.98</v>
      </c>
      <c r="AI198" s="1362">
        <f t="shared" si="143"/>
        <v>2.0923271999999997</v>
      </c>
      <c r="AJ198" s="1362">
        <f t="shared" si="144"/>
        <v>2.0923271999999997</v>
      </c>
      <c r="AK198" s="1362">
        <f t="shared" si="145"/>
        <v>2.0923271999999997</v>
      </c>
      <c r="AL198" s="1362">
        <f t="shared" si="146"/>
        <v>2.0923271999999997</v>
      </c>
      <c r="AM198" s="1362">
        <f t="shared" si="147"/>
        <v>8.3693087999999989</v>
      </c>
      <c r="AN198" s="1132" t="str">
        <f t="shared" si="113"/>
        <v>Custom</v>
      </c>
      <c r="AO198" s="1132" t="str">
        <f t="shared" si="114"/>
        <v/>
      </c>
      <c r="AP198" s="1361">
        <v>1</v>
      </c>
      <c r="AQ198" s="2568" t="s">
        <v>615</v>
      </c>
      <c r="AR198" s="2505">
        <f t="shared" si="115"/>
        <v>2.1813623999999998</v>
      </c>
      <c r="AS198" s="2507">
        <f t="shared" si="116"/>
        <v>8.9035200000000092E-2</v>
      </c>
      <c r="AT198" s="1132" t="str">
        <f t="shared" si="117"/>
        <v>Custom</v>
      </c>
      <c r="AU198" s="1132" t="str">
        <f t="shared" si="118"/>
        <v/>
      </c>
      <c r="AV198" s="1361">
        <v>1</v>
      </c>
      <c r="AW198" s="2568" t="s">
        <v>615</v>
      </c>
      <c r="AX198" s="1362">
        <f t="shared" si="119"/>
        <v>2.1813623999999998</v>
      </c>
      <c r="AY198" s="1360">
        <f t="shared" si="120"/>
        <v>8.9035200000000092E-2</v>
      </c>
      <c r="AZ198" s="1132" t="str">
        <f t="shared" si="121"/>
        <v>Custom</v>
      </c>
      <c r="BA198" s="1132" t="str">
        <f t="shared" si="122"/>
        <v/>
      </c>
      <c r="BB198" s="1361">
        <v>1</v>
      </c>
      <c r="BC198" s="2568" t="s">
        <v>615</v>
      </c>
      <c r="BD198" s="1362">
        <f t="shared" si="123"/>
        <v>2.1813623999999998</v>
      </c>
      <c r="BE198" s="1360">
        <f t="shared" si="124"/>
        <v>8.9035200000000092E-2</v>
      </c>
      <c r="BF198" s="1132" t="str">
        <f t="shared" si="125"/>
        <v>Custom</v>
      </c>
      <c r="BG198" s="1132" t="str">
        <f t="shared" si="126"/>
        <v/>
      </c>
      <c r="BH198" s="1361">
        <v>1</v>
      </c>
      <c r="BI198" s="2568" t="s">
        <v>615</v>
      </c>
      <c r="BJ198" s="1362">
        <f t="shared" si="148"/>
        <v>2.1813623999999998</v>
      </c>
      <c r="BK198" s="1360">
        <f t="shared" si="127"/>
        <v>8.9035200000000092E-2</v>
      </c>
      <c r="BL198" s="1601">
        <f t="shared" si="128"/>
        <v>2.1813623999999998</v>
      </c>
      <c r="BM198" s="1601">
        <f t="shared" si="129"/>
        <v>2.1813623999999998</v>
      </c>
      <c r="BN198" s="1601">
        <f t="shared" si="130"/>
        <v>2.1813623999999998</v>
      </c>
      <c r="BO198" s="1601">
        <f t="shared" si="131"/>
        <v>2.1813623999999998</v>
      </c>
      <c r="BP198" s="1602">
        <f t="shared" si="132"/>
        <v>8.7254495999999993</v>
      </c>
      <c r="BQ198" s="1602"/>
      <c r="BR198" s="1602"/>
      <c r="BS198" s="1602">
        <v>0</v>
      </c>
      <c r="BT198" s="1602">
        <v>0</v>
      </c>
      <c r="BU198" s="1602">
        <v>0</v>
      </c>
      <c r="BV198" s="1602">
        <v>0</v>
      </c>
      <c r="BW198" s="1602">
        <v>0</v>
      </c>
      <c r="BX198" s="1362">
        <f t="shared" si="149"/>
        <v>0</v>
      </c>
      <c r="BY198" s="1362">
        <f t="shared" si="150"/>
        <v>0</v>
      </c>
      <c r="BZ198" s="1362">
        <f t="shared" si="151"/>
        <v>0</v>
      </c>
      <c r="CA198" s="1362">
        <f t="shared" si="152"/>
        <v>0</v>
      </c>
      <c r="CB198" s="1362">
        <f t="shared" si="153"/>
        <v>0</v>
      </c>
      <c r="CC198" s="1360">
        <v>0</v>
      </c>
      <c r="CD198" s="1360">
        <v>0</v>
      </c>
      <c r="CE198" s="1360">
        <v>0</v>
      </c>
      <c r="CF198" s="1360">
        <v>0</v>
      </c>
      <c r="CG198" s="1604">
        <f t="shared" si="133"/>
        <v>0</v>
      </c>
      <c r="CH198" s="1604">
        <f t="shared" si="134"/>
        <v>0</v>
      </c>
      <c r="CI198" s="1604">
        <f t="shared" si="135"/>
        <v>0</v>
      </c>
      <c r="CJ198" s="1604">
        <f t="shared" si="136"/>
        <v>0</v>
      </c>
      <c r="CK198" s="1521">
        <f t="shared" si="137"/>
        <v>0</v>
      </c>
      <c r="CL198" s="1132">
        <v>191</v>
      </c>
      <c r="CM198" s="1132" t="s">
        <v>356</v>
      </c>
      <c r="CN198" s="1359">
        <v>0</v>
      </c>
      <c r="CO198" s="1360">
        <v>2.2258799999999996</v>
      </c>
      <c r="CP198" s="1360">
        <v>2.2258799999999996</v>
      </c>
      <c r="CQ198" s="1360">
        <v>2.2258799999999996</v>
      </c>
      <c r="CR198" s="1360">
        <v>2.2258799999999996</v>
      </c>
      <c r="CS198" s="1362">
        <f t="shared" si="138"/>
        <v>2.1813623999999998</v>
      </c>
      <c r="CT198" s="1362">
        <f t="shared" si="139"/>
        <v>2.1813623999999998</v>
      </c>
      <c r="CU198" s="1362">
        <f t="shared" si="140"/>
        <v>2.1813623999999998</v>
      </c>
      <c r="CV198" s="1362">
        <f t="shared" si="141"/>
        <v>2.1813623999999998</v>
      </c>
      <c r="CW198" s="1362">
        <f t="shared" si="142"/>
        <v>8.7254495999999993</v>
      </c>
      <c r="CY198" s="2887"/>
    </row>
    <row r="199" spans="1:103" s="1143" customFormat="1" ht="77.25" customHeight="1" x14ac:dyDescent="0.35">
      <c r="A199" s="1132" t="s">
        <v>105</v>
      </c>
      <c r="B199" s="1132" t="s">
        <v>608</v>
      </c>
      <c r="C199" s="1132" t="s">
        <v>619</v>
      </c>
      <c r="D199" s="1359" t="s">
        <v>105</v>
      </c>
      <c r="E199" s="1359">
        <f>IF(AI199-AR199=0,0,1)</f>
        <v>0</v>
      </c>
      <c r="F199" s="1132" t="s">
        <v>105</v>
      </c>
      <c r="G199" s="1132" t="s">
        <v>356</v>
      </c>
      <c r="H199" s="1360">
        <v>3.7098000000000009</v>
      </c>
      <c r="I199" s="1360">
        <v>3.7098000000000009</v>
      </c>
      <c r="J199" s="1360">
        <v>3.7098000000000009</v>
      </c>
      <c r="K199" s="1360">
        <v>3.7098000000000009</v>
      </c>
      <c r="L199" s="1132" t="s">
        <v>105</v>
      </c>
      <c r="M199" s="1132" t="str">
        <f t="shared" si="104"/>
        <v/>
      </c>
      <c r="N199" s="1361">
        <v>0</v>
      </c>
      <c r="O199" s="1361">
        <v>0</v>
      </c>
      <c r="P199" s="1361">
        <v>0</v>
      </c>
      <c r="Q199" s="1361">
        <v>0</v>
      </c>
      <c r="R199" s="1781">
        <v>0.8</v>
      </c>
      <c r="S199" s="1781">
        <v>0.8</v>
      </c>
      <c r="T199" s="1781">
        <v>0.8</v>
      </c>
      <c r="U199" s="1781">
        <v>0.8</v>
      </c>
      <c r="V199" s="1781">
        <v>0.8</v>
      </c>
      <c r="W199" s="1781">
        <v>0.8</v>
      </c>
      <c r="X199" s="1781">
        <v>0.8</v>
      </c>
      <c r="Y199" s="1781">
        <v>0.8</v>
      </c>
      <c r="Z199" s="1359">
        <v>0</v>
      </c>
      <c r="AA199" s="1781">
        <f t="shared" si="105"/>
        <v>0.8</v>
      </c>
      <c r="AB199" s="1781">
        <f t="shared" si="106"/>
        <v>0.8</v>
      </c>
      <c r="AC199" s="1781">
        <f t="shared" si="107"/>
        <v>0.8</v>
      </c>
      <c r="AD199" s="1781">
        <f t="shared" si="108"/>
        <v>0.8</v>
      </c>
      <c r="AE199" s="1781">
        <f t="shared" si="109"/>
        <v>0.8</v>
      </c>
      <c r="AF199" s="1781">
        <f t="shared" si="110"/>
        <v>0.8</v>
      </c>
      <c r="AG199" s="1781">
        <f t="shared" si="111"/>
        <v>0.8</v>
      </c>
      <c r="AH199" s="1781">
        <f t="shared" si="112"/>
        <v>0.8</v>
      </c>
      <c r="AI199" s="1362">
        <f t="shared" si="143"/>
        <v>0</v>
      </c>
      <c r="AJ199" s="1362">
        <f t="shared" si="144"/>
        <v>0</v>
      </c>
      <c r="AK199" s="1362">
        <f t="shared" si="145"/>
        <v>0</v>
      </c>
      <c r="AL199" s="1362">
        <f t="shared" si="146"/>
        <v>0</v>
      </c>
      <c r="AM199" s="1362">
        <f t="shared" si="147"/>
        <v>0</v>
      </c>
      <c r="AN199" s="1132" t="str">
        <f t="shared" si="113"/>
        <v>Custom</v>
      </c>
      <c r="AO199" s="1132" t="str">
        <f t="shared" si="114"/>
        <v/>
      </c>
      <c r="AP199" s="2505">
        <v>0</v>
      </c>
      <c r="AQ199" s="2505"/>
      <c r="AR199" s="2505">
        <f t="shared" si="115"/>
        <v>0</v>
      </c>
      <c r="AS199" s="2505">
        <f t="shared" si="116"/>
        <v>0</v>
      </c>
      <c r="AT199" s="1132" t="str">
        <f t="shared" si="117"/>
        <v>Custom</v>
      </c>
      <c r="AU199" s="1132" t="str">
        <f t="shared" si="118"/>
        <v/>
      </c>
      <c r="AV199" s="2505">
        <v>0</v>
      </c>
      <c r="AW199" s="2505"/>
      <c r="AX199" s="1362">
        <f t="shared" si="119"/>
        <v>0</v>
      </c>
      <c r="AY199" s="1360">
        <f t="shared" si="120"/>
        <v>0</v>
      </c>
      <c r="AZ199" s="1132" t="str">
        <f t="shared" si="121"/>
        <v>Custom</v>
      </c>
      <c r="BA199" s="1132" t="str">
        <f t="shared" si="122"/>
        <v/>
      </c>
      <c r="BB199" s="2505">
        <v>0</v>
      </c>
      <c r="BC199" s="2505"/>
      <c r="BD199" s="1362">
        <f t="shared" si="123"/>
        <v>0</v>
      </c>
      <c r="BE199" s="1360">
        <f t="shared" si="124"/>
        <v>0</v>
      </c>
      <c r="BF199" s="1132" t="str">
        <f t="shared" si="125"/>
        <v>Custom</v>
      </c>
      <c r="BG199" s="1132" t="str">
        <f t="shared" si="126"/>
        <v/>
      </c>
      <c r="BH199" s="2505">
        <v>0</v>
      </c>
      <c r="BI199" s="2505"/>
      <c r="BJ199" s="1362">
        <f t="shared" si="148"/>
        <v>0</v>
      </c>
      <c r="BK199" s="1360">
        <f t="shared" si="127"/>
        <v>0</v>
      </c>
      <c r="BL199" s="1601">
        <f t="shared" si="128"/>
        <v>0</v>
      </c>
      <c r="BM199" s="1601">
        <f t="shared" si="129"/>
        <v>0</v>
      </c>
      <c r="BN199" s="1601">
        <f t="shared" si="130"/>
        <v>0</v>
      </c>
      <c r="BO199" s="1601">
        <f t="shared" si="131"/>
        <v>0</v>
      </c>
      <c r="BP199" s="1602">
        <f t="shared" si="132"/>
        <v>0</v>
      </c>
      <c r="BQ199" s="1602"/>
      <c r="BR199" s="1602"/>
      <c r="BS199" s="1602">
        <v>0</v>
      </c>
      <c r="BT199" s="1602">
        <v>1</v>
      </c>
      <c r="BU199" s="1602">
        <v>1</v>
      </c>
      <c r="BV199" s="1602">
        <v>1</v>
      </c>
      <c r="BW199" s="1602">
        <v>1</v>
      </c>
      <c r="BX199" s="1362">
        <f t="shared" si="149"/>
        <v>0</v>
      </c>
      <c r="BY199" s="1362">
        <f t="shared" si="150"/>
        <v>0</v>
      </c>
      <c r="BZ199" s="1362">
        <f t="shared" si="151"/>
        <v>0</v>
      </c>
      <c r="CA199" s="1362">
        <f t="shared" si="152"/>
        <v>0</v>
      </c>
      <c r="CB199" s="1362">
        <f t="shared" si="153"/>
        <v>0</v>
      </c>
      <c r="CC199" s="1360">
        <v>1</v>
      </c>
      <c r="CD199" s="1360">
        <v>1</v>
      </c>
      <c r="CE199" s="1360">
        <v>1</v>
      </c>
      <c r="CF199" s="1360">
        <v>1</v>
      </c>
      <c r="CG199" s="1604">
        <f t="shared" si="133"/>
        <v>0</v>
      </c>
      <c r="CH199" s="1604">
        <f t="shared" si="134"/>
        <v>0</v>
      </c>
      <c r="CI199" s="1604">
        <f t="shared" si="135"/>
        <v>0</v>
      </c>
      <c r="CJ199" s="1604">
        <f t="shared" si="136"/>
        <v>0</v>
      </c>
      <c r="CK199" s="1521">
        <f t="shared" si="137"/>
        <v>0</v>
      </c>
      <c r="CL199" s="1132">
        <v>192</v>
      </c>
      <c r="CM199" s="1132" t="s">
        <v>356</v>
      </c>
      <c r="CN199" s="1359">
        <v>0</v>
      </c>
      <c r="CO199" s="1360">
        <v>3.7098000000000009</v>
      </c>
      <c r="CP199" s="1360">
        <v>3.7098000000000009</v>
      </c>
      <c r="CQ199" s="1360">
        <v>3.7098000000000009</v>
      </c>
      <c r="CR199" s="1360">
        <v>3.7098000000000009</v>
      </c>
      <c r="CS199" s="1362">
        <f t="shared" si="138"/>
        <v>0</v>
      </c>
      <c r="CT199" s="1362">
        <f t="shared" si="139"/>
        <v>0</v>
      </c>
      <c r="CU199" s="1362">
        <f t="shared" si="140"/>
        <v>0</v>
      </c>
      <c r="CV199" s="1362">
        <f t="shared" si="141"/>
        <v>0</v>
      </c>
      <c r="CW199" s="1362">
        <f t="shared" si="142"/>
        <v>0</v>
      </c>
      <c r="CY199" s="2887"/>
    </row>
    <row r="200" spans="1:103" s="1143" customFormat="1" ht="47.5" customHeight="1" x14ac:dyDescent="0.35">
      <c r="A200" s="1132" t="s">
        <v>105</v>
      </c>
      <c r="B200" s="1132" t="s">
        <v>608</v>
      </c>
      <c r="C200" s="1132" t="s">
        <v>620</v>
      </c>
      <c r="D200" s="1359" t="s">
        <v>105</v>
      </c>
      <c r="E200" s="1359">
        <f>IF(AI200-AR200=0,0,1)</f>
        <v>0</v>
      </c>
      <c r="F200" s="1132" t="s">
        <v>105</v>
      </c>
      <c r="G200" s="1132" t="s">
        <v>328</v>
      </c>
      <c r="H200" s="1360">
        <v>1</v>
      </c>
      <c r="I200" s="1360">
        <v>1</v>
      </c>
      <c r="J200" s="1360">
        <v>1</v>
      </c>
      <c r="K200" s="1360">
        <v>1</v>
      </c>
      <c r="L200" s="1132" t="s">
        <v>105</v>
      </c>
      <c r="M200" s="1132" t="str">
        <f t="shared" ref="M200:M263" si="154">IF(F200&lt;&gt;"Custom",CONCATENATE($I$1,", ",$J$1," ",F200),"")</f>
        <v/>
      </c>
      <c r="N200" s="1361">
        <v>52789.663527230776</v>
      </c>
      <c r="O200" s="1361">
        <v>52789.663527230776</v>
      </c>
      <c r="P200" s="1361">
        <v>52789.663527230776</v>
      </c>
      <c r="Q200" s="1361">
        <v>52789.663527230776</v>
      </c>
      <c r="R200" s="1781">
        <v>0.8</v>
      </c>
      <c r="S200" s="1781">
        <v>0.8</v>
      </c>
      <c r="T200" s="1781">
        <v>0.8</v>
      </c>
      <c r="U200" s="1781">
        <v>0.8</v>
      </c>
      <c r="V200" s="1781">
        <v>0.8</v>
      </c>
      <c r="W200" s="1781">
        <v>0.8</v>
      </c>
      <c r="X200" s="1781">
        <v>0.8</v>
      </c>
      <c r="Y200" s="1781">
        <v>0.8</v>
      </c>
      <c r="Z200" s="1359">
        <v>0</v>
      </c>
      <c r="AA200" s="1781">
        <f t="shared" ref="AA200:AA263" si="155">V200</f>
        <v>0.8</v>
      </c>
      <c r="AB200" s="1781">
        <f t="shared" ref="AB200:AB263" si="156">W200</f>
        <v>0.8</v>
      </c>
      <c r="AC200" s="1781">
        <f t="shared" ref="AC200:AC263" si="157">X200</f>
        <v>0.8</v>
      </c>
      <c r="AD200" s="1781">
        <f t="shared" ref="AD200:AD263" si="158">Y200</f>
        <v>0.8</v>
      </c>
      <c r="AE200" s="1781">
        <f t="shared" ref="AE200:AE263" si="159">V200</f>
        <v>0.8</v>
      </c>
      <c r="AF200" s="1781">
        <f t="shared" ref="AF200:AF263" si="160">W200</f>
        <v>0.8</v>
      </c>
      <c r="AG200" s="1781">
        <f t="shared" ref="AG200:AG263" si="161">X200</f>
        <v>0.8</v>
      </c>
      <c r="AH200" s="1781">
        <f t="shared" ref="AH200:AH263" si="162">Y200</f>
        <v>0.8</v>
      </c>
      <c r="AI200" s="1362">
        <f t="shared" si="143"/>
        <v>42231.730821784622</v>
      </c>
      <c r="AJ200" s="1362">
        <f t="shared" si="144"/>
        <v>42231.730821784622</v>
      </c>
      <c r="AK200" s="1362">
        <f t="shared" si="145"/>
        <v>42231.730821784622</v>
      </c>
      <c r="AL200" s="1362">
        <f t="shared" si="146"/>
        <v>42231.730821784622</v>
      </c>
      <c r="AM200" s="1362">
        <f t="shared" si="147"/>
        <v>168926.92328713849</v>
      </c>
      <c r="AN200" s="1132" t="str">
        <f t="shared" ref="AN200:AN263" si="163">L200</f>
        <v>Custom</v>
      </c>
      <c r="AO200" s="1132" t="str">
        <f t="shared" ref="AO200:AO263" si="164">M200</f>
        <v/>
      </c>
      <c r="AP200" s="2505">
        <v>52789.663527230776</v>
      </c>
      <c r="AQ200" s="2505"/>
      <c r="AR200" s="2505">
        <f t="shared" ref="AR200:AR263" si="165">H200*AP200*V200</f>
        <v>42231.730821784622</v>
      </c>
      <c r="AS200" s="2505">
        <f t="shared" ref="AS200:AS263" si="166">AR200-AI200</f>
        <v>0</v>
      </c>
      <c r="AT200" s="1132" t="str">
        <f t="shared" ref="AT200:AT263" si="167">L200</f>
        <v>Custom</v>
      </c>
      <c r="AU200" s="1132" t="str">
        <f t="shared" ref="AU200:AU263" si="168">M200</f>
        <v/>
      </c>
      <c r="AV200" s="2505">
        <v>52789.663527230776</v>
      </c>
      <c r="AW200" s="2505"/>
      <c r="AX200" s="1362">
        <f t="shared" ref="AX200:AX263" si="169">I200*AV200*W200</f>
        <v>42231.730821784622</v>
      </c>
      <c r="AY200" s="1360">
        <f t="shared" ref="AY200:AY263" si="170">AX200-AJ200</f>
        <v>0</v>
      </c>
      <c r="AZ200" s="1132" t="str">
        <f t="shared" ref="AZ200:AZ263" si="171">L200</f>
        <v>Custom</v>
      </c>
      <c r="BA200" s="1132" t="str">
        <f t="shared" ref="BA200:BA263" si="172">M200</f>
        <v/>
      </c>
      <c r="BB200" s="2505">
        <v>52789.663527230776</v>
      </c>
      <c r="BC200" s="2505"/>
      <c r="BD200" s="1362">
        <f t="shared" ref="BD200:BD263" si="173">J200*BB200*X200</f>
        <v>42231.730821784622</v>
      </c>
      <c r="BE200" s="1360">
        <f t="shared" ref="BE200:BE263" si="174">BD200-AK200</f>
        <v>0</v>
      </c>
      <c r="BF200" s="1132" t="str">
        <f t="shared" ref="BF200:BF263" si="175">L200</f>
        <v>Custom</v>
      </c>
      <c r="BG200" s="1132" t="str">
        <f t="shared" ref="BG200:BG263" si="176">M200</f>
        <v/>
      </c>
      <c r="BH200" s="2505">
        <v>52789.663527230776</v>
      </c>
      <c r="BI200" s="2505"/>
      <c r="BJ200" s="1362">
        <f t="shared" si="148"/>
        <v>42231.730821784622</v>
      </c>
      <c r="BK200" s="1360">
        <f t="shared" ref="BK200:BK263" si="177">BJ200-AL200</f>
        <v>0</v>
      </c>
      <c r="BL200" s="1601">
        <f t="shared" ref="BL200:BL263" si="178">IF($BL$2=2022,IF($E200=1,AR200,AR200),IF($E200=1,AR200,AI200))</f>
        <v>42231.730821784622</v>
      </c>
      <c r="BM200" s="1601">
        <f t="shared" ref="BM200:BM263" si="179">IF($BL$2=2022,IF($E200=1,AX200,AX200),IF($E200=1,AX200,AJ200))</f>
        <v>42231.730821784622</v>
      </c>
      <c r="BN200" s="1601">
        <f t="shared" ref="BN200:BN263" si="180">IF($BL$2=2022,IF($E200=1,BD200,BD200),IF($E200=1,BD200,AK200))</f>
        <v>42231.730821784622</v>
      </c>
      <c r="BO200" s="1601">
        <f t="shared" ref="BO200:BO263" si="181">IF($BL$2=2022,IF($E200=1,BJ200,BJ200),IF($E200=1,BJ200,AL200))</f>
        <v>42231.730821784622</v>
      </c>
      <c r="BP200" s="1602">
        <f t="shared" ref="BP200:BP263" si="182">SUM(BL200:BO200)</f>
        <v>168926.92328713849</v>
      </c>
      <c r="BQ200" s="1602"/>
      <c r="BR200" s="1602"/>
      <c r="BS200" s="1602">
        <v>0</v>
      </c>
      <c r="BT200" s="1602">
        <v>25</v>
      </c>
      <c r="BU200" s="1602">
        <v>25</v>
      </c>
      <c r="BV200" s="1602">
        <v>25</v>
      </c>
      <c r="BW200" s="1602">
        <v>25</v>
      </c>
      <c r="BX200" s="1362">
        <f t="shared" si="149"/>
        <v>1055793.2705446156</v>
      </c>
      <c r="BY200" s="1362">
        <f t="shared" si="150"/>
        <v>1055793.2705446156</v>
      </c>
      <c r="BZ200" s="1362">
        <f t="shared" si="151"/>
        <v>1055793.2705446156</v>
      </c>
      <c r="CA200" s="1362">
        <f t="shared" si="152"/>
        <v>1055793.2705446156</v>
      </c>
      <c r="CB200" s="1362">
        <f t="shared" si="153"/>
        <v>4223173.0821784623</v>
      </c>
      <c r="CC200" s="1360">
        <v>25</v>
      </c>
      <c r="CD200" s="1360">
        <v>25</v>
      </c>
      <c r="CE200" s="1360">
        <v>25</v>
      </c>
      <c r="CF200" s="1360">
        <v>25</v>
      </c>
      <c r="CG200" s="1604">
        <f t="shared" ref="CG200:CG263" si="183">H200*V200*AP200*CC200</f>
        <v>1055793.2705446156</v>
      </c>
      <c r="CH200" s="1604">
        <f t="shared" ref="CH200:CH263" si="184">I200*W200*AV200*CD200</f>
        <v>1055793.2705446156</v>
      </c>
      <c r="CI200" s="1604">
        <f t="shared" ref="CI200:CI263" si="185">J200*X200*BB200*CE200</f>
        <v>1055793.2705446156</v>
      </c>
      <c r="CJ200" s="1604">
        <f t="shared" ref="CJ200:CJ263" si="186">K200*Y200*BH200*CF200</f>
        <v>1055793.2705446156</v>
      </c>
      <c r="CK200" s="1521">
        <f t="shared" ref="CK200:CK263" si="187">SUM(CG200:CJ200)</f>
        <v>4223173.0821784623</v>
      </c>
      <c r="CL200" s="1132">
        <v>193</v>
      </c>
      <c r="CM200" s="1132" t="s">
        <v>328</v>
      </c>
      <c r="CN200" s="1359">
        <v>0</v>
      </c>
      <c r="CO200" s="1360">
        <v>1</v>
      </c>
      <c r="CP200" s="1360">
        <v>1</v>
      </c>
      <c r="CQ200" s="1360">
        <v>1</v>
      </c>
      <c r="CR200" s="1360">
        <v>1</v>
      </c>
      <c r="CS200" s="1362">
        <f t="shared" ref="CS200:CS263" si="188">IF($CN200=1,CO200*N200*AE200,BL200)</f>
        <v>42231.730821784622</v>
      </c>
      <c r="CT200" s="1362">
        <f t="shared" ref="CT200:CT263" si="189">IF($CN200=1,CP200*O200*AF200,BM200)</f>
        <v>42231.730821784622</v>
      </c>
      <c r="CU200" s="1362">
        <f t="shared" ref="CU200:CU263" si="190">IF($CN200=1,CQ200*P200*AG200,BN200)</f>
        <v>42231.730821784622</v>
      </c>
      <c r="CV200" s="1362">
        <f t="shared" ref="CV200:CV263" si="191">IF($CN200=1,CR200*Q200*AH200,BO200)</f>
        <v>42231.730821784622</v>
      </c>
      <c r="CW200" s="1362">
        <f t="shared" ref="CW200:CW263" si="192">+SUM(CS200:CV200)</f>
        <v>168926.92328713849</v>
      </c>
      <c r="CY200" s="2887"/>
    </row>
    <row r="201" spans="1:103" s="1143" customFormat="1" ht="39" customHeight="1" x14ac:dyDescent="0.35">
      <c r="A201" s="1132" t="s">
        <v>105</v>
      </c>
      <c r="B201" s="1132" t="s">
        <v>608</v>
      </c>
      <c r="C201" s="1132" t="s">
        <v>621</v>
      </c>
      <c r="D201" s="1359" t="s">
        <v>105</v>
      </c>
      <c r="E201" s="1359">
        <f>IF(AI201-AR201=0,0,1)</f>
        <v>1</v>
      </c>
      <c r="F201" s="1132" t="s">
        <v>105</v>
      </c>
      <c r="G201" s="1132" t="s">
        <v>328</v>
      </c>
      <c r="H201" s="1360">
        <v>4</v>
      </c>
      <c r="I201" s="1360">
        <v>4</v>
      </c>
      <c r="J201" s="1360">
        <v>4</v>
      </c>
      <c r="K201" s="1360">
        <v>4</v>
      </c>
      <c r="L201" s="1132" t="s">
        <v>105</v>
      </c>
      <c r="M201" s="1132" t="str">
        <f t="shared" si="154"/>
        <v/>
      </c>
      <c r="N201" s="1361">
        <v>7636.0050000000001</v>
      </c>
      <c r="O201" s="1361">
        <v>7636.0050000000001</v>
      </c>
      <c r="P201" s="1361">
        <v>7636.0050000000001</v>
      </c>
      <c r="Q201" s="1361">
        <v>7636.0050000000001</v>
      </c>
      <c r="R201" s="1781">
        <v>0.8</v>
      </c>
      <c r="S201" s="1781">
        <v>0.8</v>
      </c>
      <c r="T201" s="1781">
        <v>0.8</v>
      </c>
      <c r="U201" s="1781">
        <v>0.8</v>
      </c>
      <c r="V201" s="2567">
        <v>0.84</v>
      </c>
      <c r="W201" s="2567">
        <v>0.84</v>
      </c>
      <c r="X201" s="2567">
        <v>0.84</v>
      </c>
      <c r="Y201" s="2567">
        <v>0.84</v>
      </c>
      <c r="Z201" s="1359">
        <v>0</v>
      </c>
      <c r="AA201" s="1781">
        <f t="shared" si="155"/>
        <v>0.84</v>
      </c>
      <c r="AB201" s="1781">
        <f t="shared" si="156"/>
        <v>0.84</v>
      </c>
      <c r="AC201" s="1781">
        <f t="shared" si="157"/>
        <v>0.84</v>
      </c>
      <c r="AD201" s="1781">
        <f t="shared" si="158"/>
        <v>0.84</v>
      </c>
      <c r="AE201" s="1781">
        <f t="shared" si="159"/>
        <v>0.84</v>
      </c>
      <c r="AF201" s="1781">
        <f t="shared" si="160"/>
        <v>0.84</v>
      </c>
      <c r="AG201" s="1781">
        <f t="shared" si="161"/>
        <v>0.84</v>
      </c>
      <c r="AH201" s="1781">
        <f t="shared" si="162"/>
        <v>0.84</v>
      </c>
      <c r="AI201" s="1362">
        <f t="shared" ref="AI201:AI264" si="193">H201*N201*R201</f>
        <v>24435.216</v>
      </c>
      <c r="AJ201" s="1362">
        <f t="shared" ref="AJ201:AJ264" si="194">I201*O201*S201</f>
        <v>24435.216</v>
      </c>
      <c r="AK201" s="1362">
        <f t="shared" ref="AK201:AK264" si="195">J201*P201*T201</f>
        <v>24435.216</v>
      </c>
      <c r="AL201" s="1362">
        <f t="shared" ref="AL201:AL264" si="196">K201*Q201*U201</f>
        <v>24435.216</v>
      </c>
      <c r="AM201" s="1362">
        <f t="shared" ref="AM201:AM264" si="197">SUM(AI201:AL201)</f>
        <v>97740.864000000001</v>
      </c>
      <c r="AN201" s="1132" t="str">
        <f t="shared" si="163"/>
        <v>Custom</v>
      </c>
      <c r="AO201" s="1132" t="str">
        <f t="shared" si="164"/>
        <v/>
      </c>
      <c r="AP201" s="2505">
        <v>7636.0050000000001</v>
      </c>
      <c r="AQ201" s="2505"/>
      <c r="AR201" s="2505">
        <f t="shared" si="165"/>
        <v>25656.9768</v>
      </c>
      <c r="AS201" s="2505">
        <f t="shared" si="166"/>
        <v>1221.7608</v>
      </c>
      <c r="AT201" s="1132" t="str">
        <f t="shared" si="167"/>
        <v>Custom</v>
      </c>
      <c r="AU201" s="1132" t="str">
        <f t="shared" si="168"/>
        <v/>
      </c>
      <c r="AV201" s="2505">
        <v>7636.0050000000001</v>
      </c>
      <c r="AW201" s="2505"/>
      <c r="AX201" s="1362">
        <f t="shared" si="169"/>
        <v>25656.9768</v>
      </c>
      <c r="AY201" s="1360">
        <f t="shared" si="170"/>
        <v>1221.7608</v>
      </c>
      <c r="AZ201" s="1132" t="str">
        <f t="shared" si="171"/>
        <v>Custom</v>
      </c>
      <c r="BA201" s="1132" t="str">
        <f t="shared" si="172"/>
        <v/>
      </c>
      <c r="BB201" s="2505">
        <v>7636.0050000000001</v>
      </c>
      <c r="BC201" s="2505"/>
      <c r="BD201" s="1362">
        <f t="shared" si="173"/>
        <v>25656.9768</v>
      </c>
      <c r="BE201" s="1360">
        <f t="shared" si="174"/>
        <v>1221.7608</v>
      </c>
      <c r="BF201" s="1132" t="str">
        <f t="shared" si="175"/>
        <v>Custom</v>
      </c>
      <c r="BG201" s="1132" t="str">
        <f t="shared" si="176"/>
        <v/>
      </c>
      <c r="BH201" s="2505">
        <v>7636.0050000000001</v>
      </c>
      <c r="BI201" s="2505"/>
      <c r="BJ201" s="1362">
        <f t="shared" ref="BJ201:BJ264" si="198">K201*BH201*Y201</f>
        <v>25656.9768</v>
      </c>
      <c r="BK201" s="1360">
        <f t="shared" si="177"/>
        <v>1221.7608</v>
      </c>
      <c r="BL201" s="1601">
        <f t="shared" si="178"/>
        <v>25656.9768</v>
      </c>
      <c r="BM201" s="1601">
        <f t="shared" si="179"/>
        <v>25656.9768</v>
      </c>
      <c r="BN201" s="1601">
        <f t="shared" si="180"/>
        <v>25656.9768</v>
      </c>
      <c r="BO201" s="1601">
        <f t="shared" si="181"/>
        <v>25656.9768</v>
      </c>
      <c r="BP201" s="1602">
        <f t="shared" si="182"/>
        <v>102627.9072</v>
      </c>
      <c r="BQ201" s="1602"/>
      <c r="BR201" s="1602"/>
      <c r="BS201" s="1602">
        <v>0</v>
      </c>
      <c r="BT201" s="1602">
        <v>20</v>
      </c>
      <c r="BU201" s="1602">
        <v>20</v>
      </c>
      <c r="BV201" s="1602">
        <v>20</v>
      </c>
      <c r="BW201" s="1602">
        <v>20</v>
      </c>
      <c r="BX201" s="1362">
        <f t="shared" ref="BX201:BX264" si="199">H201*N201*R201*BT201</f>
        <v>488704.32</v>
      </c>
      <c r="BY201" s="1362">
        <f t="shared" ref="BY201:BY264" si="200">I201*O201*S201*BU201</f>
        <v>488704.32</v>
      </c>
      <c r="BZ201" s="1362">
        <f t="shared" ref="BZ201:BZ264" si="201">J201*P201*T201*BV201</f>
        <v>488704.32</v>
      </c>
      <c r="CA201" s="1362">
        <f t="shared" ref="CA201:CA264" si="202">K201*Q201*U201*BW201</f>
        <v>488704.32</v>
      </c>
      <c r="CB201" s="1362">
        <f t="shared" ref="CB201:CB264" si="203">SUM(BX201:CA201)</f>
        <v>1954817.28</v>
      </c>
      <c r="CC201" s="1360">
        <v>20</v>
      </c>
      <c r="CD201" s="1360">
        <v>20</v>
      </c>
      <c r="CE201" s="1360">
        <v>20</v>
      </c>
      <c r="CF201" s="1360">
        <v>20</v>
      </c>
      <c r="CG201" s="1604">
        <f t="shared" si="183"/>
        <v>513139.53600000002</v>
      </c>
      <c r="CH201" s="1604">
        <f t="shared" si="184"/>
        <v>513139.53600000002</v>
      </c>
      <c r="CI201" s="1604">
        <f t="shared" si="185"/>
        <v>513139.53600000002</v>
      </c>
      <c r="CJ201" s="1604">
        <f t="shared" si="186"/>
        <v>513139.53600000002</v>
      </c>
      <c r="CK201" s="1521">
        <f t="shared" si="187"/>
        <v>2052558.1440000001</v>
      </c>
      <c r="CL201" s="1132">
        <v>194</v>
      </c>
      <c r="CM201" s="1132" t="s">
        <v>328</v>
      </c>
      <c r="CN201" s="1359">
        <v>0</v>
      </c>
      <c r="CO201" s="1360">
        <v>4</v>
      </c>
      <c r="CP201" s="1360">
        <v>4</v>
      </c>
      <c r="CQ201" s="1360">
        <v>4</v>
      </c>
      <c r="CR201" s="1360">
        <v>4</v>
      </c>
      <c r="CS201" s="1362">
        <f t="shared" si="188"/>
        <v>25656.9768</v>
      </c>
      <c r="CT201" s="1362">
        <f t="shared" si="189"/>
        <v>25656.9768</v>
      </c>
      <c r="CU201" s="1362">
        <f t="shared" si="190"/>
        <v>25656.9768</v>
      </c>
      <c r="CV201" s="1362">
        <f t="shared" si="191"/>
        <v>25656.9768</v>
      </c>
      <c r="CW201" s="1362">
        <f t="shared" si="192"/>
        <v>102627.9072</v>
      </c>
      <c r="CY201" s="2887"/>
    </row>
    <row r="202" spans="1:103" s="1143" customFormat="1" ht="31" x14ac:dyDescent="0.35">
      <c r="A202" s="1132" t="s">
        <v>105</v>
      </c>
      <c r="B202" s="1132" t="s">
        <v>622</v>
      </c>
      <c r="C202" s="1132" t="s">
        <v>623</v>
      </c>
      <c r="D202" s="1359" t="s">
        <v>105</v>
      </c>
      <c r="E202" s="1359">
        <v>0</v>
      </c>
      <c r="F202" s="1132" t="s">
        <v>105</v>
      </c>
      <c r="G202" s="1132" t="s">
        <v>328</v>
      </c>
      <c r="H202" s="1360">
        <v>5.7330000000000014</v>
      </c>
      <c r="I202" s="1360">
        <v>5.7330000000000014</v>
      </c>
      <c r="J202" s="1360">
        <v>5.7330000000000014</v>
      </c>
      <c r="K202" s="1360">
        <v>5.7330000000000014</v>
      </c>
      <c r="L202" s="1132" t="s">
        <v>105</v>
      </c>
      <c r="M202" s="1132" t="str">
        <f t="shared" si="154"/>
        <v/>
      </c>
      <c r="N202" s="1361">
        <v>60894.8</v>
      </c>
      <c r="O202" s="1361">
        <v>60894.8</v>
      </c>
      <c r="P202" s="1361">
        <v>60894.8</v>
      </c>
      <c r="Q202" s="1361">
        <v>60894.8</v>
      </c>
      <c r="R202" s="1781">
        <v>0.79</v>
      </c>
      <c r="S202" s="1781">
        <v>0.79</v>
      </c>
      <c r="T202" s="1781">
        <v>0.79</v>
      </c>
      <c r="U202" s="1781">
        <v>0.79</v>
      </c>
      <c r="V202" s="2567">
        <v>0.84</v>
      </c>
      <c r="W202" s="2567">
        <v>0.84</v>
      </c>
      <c r="X202" s="2567">
        <v>0.84</v>
      </c>
      <c r="Y202" s="2567">
        <v>0.84</v>
      </c>
      <c r="Z202" s="1359">
        <v>0</v>
      </c>
      <c r="AA202" s="2567">
        <f t="shared" si="155"/>
        <v>0.84</v>
      </c>
      <c r="AB202" s="2567">
        <f t="shared" si="156"/>
        <v>0.84</v>
      </c>
      <c r="AC202" s="2567">
        <f t="shared" si="157"/>
        <v>0.84</v>
      </c>
      <c r="AD202" s="2567">
        <f t="shared" si="158"/>
        <v>0.84</v>
      </c>
      <c r="AE202" s="2567">
        <f t="shared" si="159"/>
        <v>0.84</v>
      </c>
      <c r="AF202" s="2567">
        <f t="shared" si="160"/>
        <v>0.84</v>
      </c>
      <c r="AG202" s="2567">
        <f t="shared" si="161"/>
        <v>0.84</v>
      </c>
      <c r="AH202" s="2567">
        <f t="shared" si="162"/>
        <v>0.84</v>
      </c>
      <c r="AI202" s="1362">
        <f t="shared" si="193"/>
        <v>275796.81183600012</v>
      </c>
      <c r="AJ202" s="1362">
        <f t="shared" si="194"/>
        <v>275796.81183600012</v>
      </c>
      <c r="AK202" s="1362">
        <f t="shared" si="195"/>
        <v>275796.81183600012</v>
      </c>
      <c r="AL202" s="1362">
        <f t="shared" si="196"/>
        <v>275796.81183600012</v>
      </c>
      <c r="AM202" s="1362">
        <f t="shared" si="197"/>
        <v>1103187.2473440005</v>
      </c>
      <c r="AN202" s="1132" t="str">
        <f t="shared" si="163"/>
        <v>Custom</v>
      </c>
      <c r="AO202" s="1132" t="str">
        <f t="shared" si="164"/>
        <v/>
      </c>
      <c r="AP202" s="2505">
        <v>60894.8</v>
      </c>
      <c r="AQ202" s="2568" t="s">
        <v>610</v>
      </c>
      <c r="AR202" s="2505">
        <f t="shared" si="165"/>
        <v>293252.30625600007</v>
      </c>
      <c r="AS202" s="2505">
        <f t="shared" si="166"/>
        <v>17455.494419999945</v>
      </c>
      <c r="AT202" s="1132" t="str">
        <f t="shared" si="167"/>
        <v>Custom</v>
      </c>
      <c r="AU202" s="1132" t="str">
        <f t="shared" si="168"/>
        <v/>
      </c>
      <c r="AV202" s="2505">
        <v>60894.8</v>
      </c>
      <c r="AW202" s="2568" t="s">
        <v>610</v>
      </c>
      <c r="AX202" s="1362">
        <f t="shared" si="169"/>
        <v>293252.30625600007</v>
      </c>
      <c r="AY202" s="1360">
        <f t="shared" si="170"/>
        <v>17455.494419999945</v>
      </c>
      <c r="AZ202" s="1132" t="str">
        <f t="shared" si="171"/>
        <v>Custom</v>
      </c>
      <c r="BA202" s="1132" t="str">
        <f t="shared" si="172"/>
        <v/>
      </c>
      <c r="BB202" s="2505">
        <v>60894.8</v>
      </c>
      <c r="BC202" s="2568" t="s">
        <v>610</v>
      </c>
      <c r="BD202" s="1362">
        <f t="shared" si="173"/>
        <v>293252.30625600007</v>
      </c>
      <c r="BE202" s="1360">
        <f t="shared" si="174"/>
        <v>17455.494419999945</v>
      </c>
      <c r="BF202" s="1132" t="str">
        <f t="shared" si="175"/>
        <v>Custom</v>
      </c>
      <c r="BG202" s="1132" t="str">
        <f t="shared" si="176"/>
        <v/>
      </c>
      <c r="BH202" s="2505">
        <v>60894.8</v>
      </c>
      <c r="BI202" s="2568" t="s">
        <v>610</v>
      </c>
      <c r="BJ202" s="1362">
        <f t="shared" si="198"/>
        <v>293252.30625600007</v>
      </c>
      <c r="BK202" s="1360">
        <f t="shared" si="177"/>
        <v>17455.494419999945</v>
      </c>
      <c r="BL202" s="1601">
        <f t="shared" si="178"/>
        <v>293252.30625600007</v>
      </c>
      <c r="BM202" s="1601">
        <f t="shared" si="179"/>
        <v>293252.30625600007</v>
      </c>
      <c r="BN202" s="1601">
        <f t="shared" si="180"/>
        <v>293252.30625600007</v>
      </c>
      <c r="BO202" s="1601">
        <f t="shared" si="181"/>
        <v>293252.30625600007</v>
      </c>
      <c r="BP202" s="1602">
        <f t="shared" si="182"/>
        <v>1173009.2250240003</v>
      </c>
      <c r="BQ202" s="1602"/>
      <c r="BR202" s="1602"/>
      <c r="BS202" s="1602">
        <v>0</v>
      </c>
      <c r="BT202" s="1602">
        <v>18.333333333333332</v>
      </c>
      <c r="BU202" s="1602">
        <v>18.333333333333332</v>
      </c>
      <c r="BV202" s="1602">
        <v>18.333333333333332</v>
      </c>
      <c r="BW202" s="1602">
        <v>18.333333333333332</v>
      </c>
      <c r="BX202" s="1362">
        <f t="shared" si="199"/>
        <v>5056274.8836600017</v>
      </c>
      <c r="BY202" s="1362">
        <f t="shared" si="200"/>
        <v>5056274.8836600017</v>
      </c>
      <c r="BZ202" s="1362">
        <f t="shared" si="201"/>
        <v>5056274.8836600017</v>
      </c>
      <c r="CA202" s="1362">
        <f t="shared" si="202"/>
        <v>5056274.8836600017</v>
      </c>
      <c r="CB202" s="1362">
        <f t="shared" si="203"/>
        <v>20225099.534640007</v>
      </c>
      <c r="CC202" s="1360">
        <v>18.333333333333332</v>
      </c>
      <c r="CD202" s="1360">
        <v>18.333333333333332</v>
      </c>
      <c r="CE202" s="1360">
        <v>18.333333333333332</v>
      </c>
      <c r="CF202" s="1360">
        <v>18.333333333333332</v>
      </c>
      <c r="CG202" s="1604">
        <f t="shared" si="183"/>
        <v>5376292.2813600013</v>
      </c>
      <c r="CH202" s="1604">
        <f t="shared" si="184"/>
        <v>5376292.2813600013</v>
      </c>
      <c r="CI202" s="1604">
        <f t="shared" si="185"/>
        <v>5376292.2813600013</v>
      </c>
      <c r="CJ202" s="1604">
        <f t="shared" si="186"/>
        <v>5376292.2813600013</v>
      </c>
      <c r="CK202" s="1521">
        <f t="shared" si="187"/>
        <v>21505169.125440005</v>
      </c>
      <c r="CL202" s="1132">
        <v>195</v>
      </c>
      <c r="CM202" s="1132" t="s">
        <v>328</v>
      </c>
      <c r="CN202" s="1359">
        <v>0</v>
      </c>
      <c r="CO202" s="1360">
        <v>5.7330000000000014</v>
      </c>
      <c r="CP202" s="1360">
        <v>5.7330000000000014</v>
      </c>
      <c r="CQ202" s="1360">
        <v>5.7330000000000014</v>
      </c>
      <c r="CR202" s="1360">
        <v>5.7330000000000014</v>
      </c>
      <c r="CS202" s="1362">
        <f t="shared" si="188"/>
        <v>293252.30625600007</v>
      </c>
      <c r="CT202" s="1362">
        <f t="shared" si="189"/>
        <v>293252.30625600007</v>
      </c>
      <c r="CU202" s="1362">
        <f t="shared" si="190"/>
        <v>293252.30625600007</v>
      </c>
      <c r="CV202" s="1362">
        <f t="shared" si="191"/>
        <v>293252.30625600007</v>
      </c>
      <c r="CW202" s="1362">
        <f t="shared" si="192"/>
        <v>1173009.2250240003</v>
      </c>
      <c r="CY202" s="2887"/>
    </row>
    <row r="203" spans="1:103" s="1143" customFormat="1" ht="31" x14ac:dyDescent="0.35">
      <c r="A203" s="1132" t="s">
        <v>105</v>
      </c>
      <c r="B203" s="1132" t="s">
        <v>622</v>
      </c>
      <c r="C203" s="1132" t="s">
        <v>624</v>
      </c>
      <c r="D203" s="1359" t="s">
        <v>105</v>
      </c>
      <c r="E203" s="1359">
        <v>0</v>
      </c>
      <c r="F203" s="1132" t="s">
        <v>105</v>
      </c>
      <c r="G203" s="1132" t="s">
        <v>328</v>
      </c>
      <c r="H203" s="1360">
        <v>2.4569999999999999</v>
      </c>
      <c r="I203" s="1360">
        <v>2.4569999999999999</v>
      </c>
      <c r="J203" s="1360">
        <v>2.4569999999999999</v>
      </c>
      <c r="K203" s="1360">
        <v>2.4569999999999999</v>
      </c>
      <c r="L203" s="1132" t="s">
        <v>105</v>
      </c>
      <c r="M203" s="1132" t="str">
        <f t="shared" si="154"/>
        <v/>
      </c>
      <c r="N203" s="1361">
        <v>9791.5</v>
      </c>
      <c r="O203" s="1361">
        <v>9791.5</v>
      </c>
      <c r="P203" s="1361">
        <v>9791.5</v>
      </c>
      <c r="Q203" s="1361">
        <v>9791.5</v>
      </c>
      <c r="R203" s="1781">
        <v>0.79</v>
      </c>
      <c r="S203" s="1781">
        <v>0.79</v>
      </c>
      <c r="T203" s="1781">
        <v>0.79</v>
      </c>
      <c r="U203" s="1781">
        <v>0.79</v>
      </c>
      <c r="V203" s="2567">
        <v>0.84</v>
      </c>
      <c r="W203" s="2567">
        <v>0.84</v>
      </c>
      <c r="X203" s="2567">
        <v>0.84</v>
      </c>
      <c r="Y203" s="2567">
        <v>0.84</v>
      </c>
      <c r="Z203" s="1359">
        <v>0</v>
      </c>
      <c r="AA203" s="2567">
        <f t="shared" si="155"/>
        <v>0.84</v>
      </c>
      <c r="AB203" s="2567">
        <f t="shared" si="156"/>
        <v>0.84</v>
      </c>
      <c r="AC203" s="2567">
        <f t="shared" si="157"/>
        <v>0.84</v>
      </c>
      <c r="AD203" s="2567">
        <f t="shared" si="158"/>
        <v>0.84</v>
      </c>
      <c r="AE203" s="2567">
        <f t="shared" si="159"/>
        <v>0.84</v>
      </c>
      <c r="AF203" s="2567">
        <f t="shared" si="160"/>
        <v>0.84</v>
      </c>
      <c r="AG203" s="2567">
        <f t="shared" si="161"/>
        <v>0.84</v>
      </c>
      <c r="AH203" s="2567">
        <f t="shared" si="162"/>
        <v>0.84</v>
      </c>
      <c r="AI203" s="1362">
        <f t="shared" si="193"/>
        <v>19005.595245</v>
      </c>
      <c r="AJ203" s="1362">
        <f t="shared" si="194"/>
        <v>19005.595245</v>
      </c>
      <c r="AK203" s="1362">
        <f t="shared" si="195"/>
        <v>19005.595245</v>
      </c>
      <c r="AL203" s="1362">
        <f t="shared" si="196"/>
        <v>19005.595245</v>
      </c>
      <c r="AM203" s="1362">
        <f t="shared" si="197"/>
        <v>76022.380980000002</v>
      </c>
      <c r="AN203" s="1132" t="str">
        <f t="shared" si="163"/>
        <v>Custom</v>
      </c>
      <c r="AO203" s="1132" t="str">
        <f t="shared" si="164"/>
        <v/>
      </c>
      <c r="AP203" s="2505">
        <v>9791.5</v>
      </c>
      <c r="AQ203" s="2568" t="s">
        <v>610</v>
      </c>
      <c r="AR203" s="2505">
        <f t="shared" si="165"/>
        <v>20208.481019999999</v>
      </c>
      <c r="AS203" s="2505">
        <f t="shared" si="166"/>
        <v>1202.8857749999988</v>
      </c>
      <c r="AT203" s="1132" t="str">
        <f t="shared" si="167"/>
        <v>Custom</v>
      </c>
      <c r="AU203" s="1132" t="str">
        <f t="shared" si="168"/>
        <v/>
      </c>
      <c r="AV203" s="2505">
        <v>9791.5</v>
      </c>
      <c r="AW203" s="2568" t="s">
        <v>610</v>
      </c>
      <c r="AX203" s="1362">
        <f t="shared" si="169"/>
        <v>20208.481019999999</v>
      </c>
      <c r="AY203" s="1360">
        <f t="shared" si="170"/>
        <v>1202.8857749999988</v>
      </c>
      <c r="AZ203" s="1132" t="str">
        <f t="shared" si="171"/>
        <v>Custom</v>
      </c>
      <c r="BA203" s="1132" t="str">
        <f t="shared" si="172"/>
        <v/>
      </c>
      <c r="BB203" s="2505">
        <v>9791.5</v>
      </c>
      <c r="BC203" s="2568" t="s">
        <v>610</v>
      </c>
      <c r="BD203" s="1362">
        <f t="shared" si="173"/>
        <v>20208.481019999999</v>
      </c>
      <c r="BE203" s="1360">
        <f t="shared" si="174"/>
        <v>1202.8857749999988</v>
      </c>
      <c r="BF203" s="1132" t="str">
        <f t="shared" si="175"/>
        <v>Custom</v>
      </c>
      <c r="BG203" s="1132" t="str">
        <f t="shared" si="176"/>
        <v/>
      </c>
      <c r="BH203" s="2505">
        <v>9791.5</v>
      </c>
      <c r="BI203" s="2568" t="s">
        <v>610</v>
      </c>
      <c r="BJ203" s="1362">
        <f t="shared" si="198"/>
        <v>20208.481019999999</v>
      </c>
      <c r="BK203" s="1360">
        <f t="shared" si="177"/>
        <v>1202.8857749999988</v>
      </c>
      <c r="BL203" s="1601">
        <f t="shared" si="178"/>
        <v>20208.481019999999</v>
      </c>
      <c r="BM203" s="1601">
        <f t="shared" si="179"/>
        <v>20208.481019999999</v>
      </c>
      <c r="BN203" s="1601">
        <f t="shared" si="180"/>
        <v>20208.481019999999</v>
      </c>
      <c r="BO203" s="1601">
        <f t="shared" si="181"/>
        <v>20208.481019999999</v>
      </c>
      <c r="BP203" s="1602">
        <f t="shared" si="182"/>
        <v>80833.924079999997</v>
      </c>
      <c r="BQ203" s="1602"/>
      <c r="BR203" s="1602"/>
      <c r="BS203" s="1602">
        <v>0</v>
      </c>
      <c r="BT203" s="1602">
        <v>16.5</v>
      </c>
      <c r="BU203" s="1602">
        <v>16.5</v>
      </c>
      <c r="BV203" s="1602">
        <v>16.5</v>
      </c>
      <c r="BW203" s="1602">
        <v>16.5</v>
      </c>
      <c r="BX203" s="1362">
        <f t="shared" si="199"/>
        <v>313592.32154249999</v>
      </c>
      <c r="BY203" s="1362">
        <f t="shared" si="200"/>
        <v>313592.32154249999</v>
      </c>
      <c r="BZ203" s="1362">
        <f t="shared" si="201"/>
        <v>313592.32154249999</v>
      </c>
      <c r="CA203" s="1362">
        <f t="shared" si="202"/>
        <v>313592.32154249999</v>
      </c>
      <c r="CB203" s="1362">
        <f t="shared" si="203"/>
        <v>1254369.28617</v>
      </c>
      <c r="CC203" s="1360">
        <v>16.5</v>
      </c>
      <c r="CD203" s="1360">
        <v>16.5</v>
      </c>
      <c r="CE203" s="1360">
        <v>16.5</v>
      </c>
      <c r="CF203" s="1360">
        <v>16.5</v>
      </c>
      <c r="CG203" s="1604">
        <f t="shared" si="183"/>
        <v>333439.9368299999</v>
      </c>
      <c r="CH203" s="1604">
        <f t="shared" si="184"/>
        <v>333439.9368299999</v>
      </c>
      <c r="CI203" s="1604">
        <f t="shared" si="185"/>
        <v>333439.9368299999</v>
      </c>
      <c r="CJ203" s="1604">
        <f t="shared" si="186"/>
        <v>333439.9368299999</v>
      </c>
      <c r="CK203" s="1521">
        <f t="shared" si="187"/>
        <v>1333759.7473199996</v>
      </c>
      <c r="CL203" s="1132">
        <v>196</v>
      </c>
      <c r="CM203" s="1132" t="s">
        <v>328</v>
      </c>
      <c r="CN203" s="1359">
        <v>0</v>
      </c>
      <c r="CO203" s="1360">
        <v>2.4569999999999999</v>
      </c>
      <c r="CP203" s="1360">
        <v>2.4569999999999999</v>
      </c>
      <c r="CQ203" s="1360">
        <v>2.4569999999999999</v>
      </c>
      <c r="CR203" s="1360">
        <v>2.4569999999999999</v>
      </c>
      <c r="CS203" s="1362">
        <f t="shared" si="188"/>
        <v>20208.481019999999</v>
      </c>
      <c r="CT203" s="1362">
        <f t="shared" si="189"/>
        <v>20208.481019999999</v>
      </c>
      <c r="CU203" s="1362">
        <f t="shared" si="190"/>
        <v>20208.481019999999</v>
      </c>
      <c r="CV203" s="1362">
        <f t="shared" si="191"/>
        <v>20208.481019999999</v>
      </c>
      <c r="CW203" s="1362">
        <f t="shared" si="192"/>
        <v>80833.924079999997</v>
      </c>
      <c r="CY203" s="2887"/>
    </row>
    <row r="204" spans="1:103" s="1143" customFormat="1" ht="31" x14ac:dyDescent="0.35">
      <c r="A204" s="1132" t="s">
        <v>105</v>
      </c>
      <c r="B204" s="1132" t="s">
        <v>622</v>
      </c>
      <c r="C204" s="1132" t="s">
        <v>616</v>
      </c>
      <c r="D204" s="1359" t="s">
        <v>105</v>
      </c>
      <c r="E204" s="1359">
        <v>0</v>
      </c>
      <c r="F204" s="1132" t="s">
        <v>105</v>
      </c>
      <c r="G204" s="1132" t="s">
        <v>328</v>
      </c>
      <c r="H204" s="1360">
        <v>1.2284999999999999</v>
      </c>
      <c r="I204" s="1360">
        <v>1.2284999999999999</v>
      </c>
      <c r="J204" s="1360">
        <v>1.2284999999999999</v>
      </c>
      <c r="K204" s="1360">
        <v>1.2284999999999999</v>
      </c>
      <c r="L204" s="1132" t="s">
        <v>105</v>
      </c>
      <c r="M204" s="1132" t="str">
        <f t="shared" si="154"/>
        <v/>
      </c>
      <c r="N204" s="1361">
        <v>23306.689655172413</v>
      </c>
      <c r="O204" s="1361">
        <v>23306.689655172413</v>
      </c>
      <c r="P204" s="1361">
        <v>23306.689655172413</v>
      </c>
      <c r="Q204" s="1361">
        <v>23306.689655172413</v>
      </c>
      <c r="R204" s="1781">
        <v>0.94</v>
      </c>
      <c r="S204" s="1781">
        <v>0.94</v>
      </c>
      <c r="T204" s="1781">
        <v>0.94</v>
      </c>
      <c r="U204" s="1781">
        <v>0.94</v>
      </c>
      <c r="V204" s="2567">
        <v>0.98</v>
      </c>
      <c r="W204" s="2567">
        <v>0.98</v>
      </c>
      <c r="X204" s="2567">
        <v>0.98</v>
      </c>
      <c r="Y204" s="2567">
        <v>0.98</v>
      </c>
      <c r="Z204" s="1359">
        <v>0</v>
      </c>
      <c r="AA204" s="2567">
        <f t="shared" si="155"/>
        <v>0.98</v>
      </c>
      <c r="AB204" s="2567">
        <f t="shared" si="156"/>
        <v>0.98</v>
      </c>
      <c r="AC204" s="2567">
        <f t="shared" si="157"/>
        <v>0.98</v>
      </c>
      <c r="AD204" s="2567">
        <f t="shared" si="158"/>
        <v>0.98</v>
      </c>
      <c r="AE204" s="2567">
        <f t="shared" si="159"/>
        <v>0.98</v>
      </c>
      <c r="AF204" s="2567">
        <f t="shared" si="160"/>
        <v>0.98</v>
      </c>
      <c r="AG204" s="2567">
        <f t="shared" si="161"/>
        <v>0.98</v>
      </c>
      <c r="AH204" s="2567">
        <f t="shared" si="162"/>
        <v>0.98</v>
      </c>
      <c r="AI204" s="1362">
        <f t="shared" si="193"/>
        <v>26914.332146896548</v>
      </c>
      <c r="AJ204" s="1362">
        <f t="shared" si="194"/>
        <v>26914.332146896548</v>
      </c>
      <c r="AK204" s="1362">
        <f t="shared" si="195"/>
        <v>26914.332146896548</v>
      </c>
      <c r="AL204" s="1362">
        <f t="shared" si="196"/>
        <v>26914.332146896548</v>
      </c>
      <c r="AM204" s="1362">
        <f t="shared" si="197"/>
        <v>107657.32858758619</v>
      </c>
      <c r="AN204" s="1132" t="str">
        <f t="shared" si="163"/>
        <v>Custom</v>
      </c>
      <c r="AO204" s="1132" t="str">
        <f t="shared" si="164"/>
        <v/>
      </c>
      <c r="AP204" s="2505">
        <v>23306.689655172413</v>
      </c>
      <c r="AQ204" s="2568" t="s">
        <v>615</v>
      </c>
      <c r="AR204" s="2505">
        <f t="shared" si="165"/>
        <v>28059.622876551723</v>
      </c>
      <c r="AS204" s="2505">
        <f t="shared" si="166"/>
        <v>1145.2907296551748</v>
      </c>
      <c r="AT204" s="1132" t="str">
        <f t="shared" si="167"/>
        <v>Custom</v>
      </c>
      <c r="AU204" s="1132" t="str">
        <f t="shared" si="168"/>
        <v/>
      </c>
      <c r="AV204" s="2505">
        <v>23306.689655172413</v>
      </c>
      <c r="AW204" s="2568" t="s">
        <v>615</v>
      </c>
      <c r="AX204" s="1362">
        <f t="shared" si="169"/>
        <v>28059.622876551723</v>
      </c>
      <c r="AY204" s="1360">
        <f t="shared" si="170"/>
        <v>1145.2907296551748</v>
      </c>
      <c r="AZ204" s="1132" t="str">
        <f t="shared" si="171"/>
        <v>Custom</v>
      </c>
      <c r="BA204" s="1132" t="str">
        <f t="shared" si="172"/>
        <v/>
      </c>
      <c r="BB204" s="2505">
        <v>23306.689655172413</v>
      </c>
      <c r="BC204" s="2568" t="s">
        <v>615</v>
      </c>
      <c r="BD204" s="1362">
        <f t="shared" si="173"/>
        <v>28059.622876551723</v>
      </c>
      <c r="BE204" s="1360">
        <f t="shared" si="174"/>
        <v>1145.2907296551748</v>
      </c>
      <c r="BF204" s="1132" t="str">
        <f t="shared" si="175"/>
        <v>Custom</v>
      </c>
      <c r="BG204" s="1132" t="str">
        <f t="shared" si="176"/>
        <v/>
      </c>
      <c r="BH204" s="2505">
        <v>23306.689655172413</v>
      </c>
      <c r="BI204" s="2568" t="s">
        <v>615</v>
      </c>
      <c r="BJ204" s="1362">
        <f t="shared" si="198"/>
        <v>28059.622876551723</v>
      </c>
      <c r="BK204" s="1360">
        <f t="shared" si="177"/>
        <v>1145.2907296551748</v>
      </c>
      <c r="BL204" s="1601">
        <f t="shared" si="178"/>
        <v>28059.622876551723</v>
      </c>
      <c r="BM204" s="1601">
        <f t="shared" si="179"/>
        <v>28059.622876551723</v>
      </c>
      <c r="BN204" s="1601">
        <f t="shared" si="180"/>
        <v>28059.622876551723</v>
      </c>
      <c r="BO204" s="1601">
        <f t="shared" si="181"/>
        <v>28059.622876551723</v>
      </c>
      <c r="BP204" s="1602">
        <f t="shared" si="182"/>
        <v>112238.49150620689</v>
      </c>
      <c r="BQ204" s="1602"/>
      <c r="BR204" s="1602"/>
      <c r="BS204" s="2773">
        <v>1</v>
      </c>
      <c r="BT204" s="2774">
        <v>7.5</v>
      </c>
      <c r="BU204" s="2774">
        <v>7.5</v>
      </c>
      <c r="BV204" s="2774">
        <v>7.5</v>
      </c>
      <c r="BW204" s="2774">
        <v>7.5</v>
      </c>
      <c r="BX204" s="1362">
        <f t="shared" si="199"/>
        <v>201857.4911017241</v>
      </c>
      <c r="BY204" s="1362">
        <f t="shared" si="200"/>
        <v>201857.4911017241</v>
      </c>
      <c r="BZ204" s="1362">
        <f t="shared" si="201"/>
        <v>201857.4911017241</v>
      </c>
      <c r="CA204" s="1362">
        <f t="shared" si="202"/>
        <v>201857.4911017241</v>
      </c>
      <c r="CB204" s="1362">
        <f t="shared" si="203"/>
        <v>807429.96440689638</v>
      </c>
      <c r="CC204" s="2776">
        <v>8.6</v>
      </c>
      <c r="CD204" s="2776">
        <v>8.6</v>
      </c>
      <c r="CE204" s="2776">
        <v>8.6</v>
      </c>
      <c r="CF204" s="2776">
        <v>8.6</v>
      </c>
      <c r="CG204" s="1604">
        <f t="shared" si="183"/>
        <v>241312.75673834482</v>
      </c>
      <c r="CH204" s="1604">
        <f t="shared" si="184"/>
        <v>241312.75673834482</v>
      </c>
      <c r="CI204" s="1604">
        <f t="shared" si="185"/>
        <v>241312.75673834482</v>
      </c>
      <c r="CJ204" s="1604">
        <f t="shared" si="186"/>
        <v>241312.75673834482</v>
      </c>
      <c r="CK204" s="1521">
        <f t="shared" si="187"/>
        <v>965251.02695337927</v>
      </c>
      <c r="CL204" s="1132">
        <v>197</v>
      </c>
      <c r="CM204" s="1132" t="s">
        <v>328</v>
      </c>
      <c r="CN204" s="1359">
        <v>0</v>
      </c>
      <c r="CO204" s="1360">
        <v>1.2284999999999999</v>
      </c>
      <c r="CP204" s="1360">
        <v>1.2284999999999999</v>
      </c>
      <c r="CQ204" s="1360">
        <v>1.2284999999999999</v>
      </c>
      <c r="CR204" s="1360">
        <v>1.2284999999999999</v>
      </c>
      <c r="CS204" s="1362">
        <f t="shared" si="188"/>
        <v>28059.622876551723</v>
      </c>
      <c r="CT204" s="1362">
        <f t="shared" si="189"/>
        <v>28059.622876551723</v>
      </c>
      <c r="CU204" s="1362">
        <f t="shared" si="190"/>
        <v>28059.622876551723</v>
      </c>
      <c r="CV204" s="1362">
        <f t="shared" si="191"/>
        <v>28059.622876551723</v>
      </c>
      <c r="CW204" s="1362">
        <f t="shared" si="192"/>
        <v>112238.49150620689</v>
      </c>
      <c r="CY204" s="2887"/>
    </row>
    <row r="205" spans="1:103" s="1143" customFormat="1" ht="31" x14ac:dyDescent="0.35">
      <c r="A205" s="1132" t="s">
        <v>105</v>
      </c>
      <c r="B205" s="1132" t="s">
        <v>622</v>
      </c>
      <c r="C205" s="1132" t="s">
        <v>614</v>
      </c>
      <c r="D205" s="1359" t="s">
        <v>105</v>
      </c>
      <c r="E205" s="1359">
        <v>0</v>
      </c>
      <c r="F205" s="1132" t="s">
        <v>105</v>
      </c>
      <c r="G205" s="1132" t="s">
        <v>328</v>
      </c>
      <c r="H205" s="1360">
        <v>1.6380000000000001</v>
      </c>
      <c r="I205" s="1360">
        <v>1.6380000000000001</v>
      </c>
      <c r="J205" s="1360">
        <v>1.6380000000000001</v>
      </c>
      <c r="K205" s="1360">
        <v>1.6380000000000001</v>
      </c>
      <c r="L205" s="1132" t="s">
        <v>105</v>
      </c>
      <c r="M205" s="1132" t="str">
        <f t="shared" si="154"/>
        <v/>
      </c>
      <c r="N205" s="1361">
        <v>30971.1</v>
      </c>
      <c r="O205" s="1361">
        <v>30971.1</v>
      </c>
      <c r="P205" s="1361">
        <v>30971.1</v>
      </c>
      <c r="Q205" s="1361">
        <v>30971.1</v>
      </c>
      <c r="R205" s="1781">
        <v>0.94</v>
      </c>
      <c r="S205" s="1781">
        <v>0.94</v>
      </c>
      <c r="T205" s="1781">
        <v>0.94</v>
      </c>
      <c r="U205" s="1781">
        <v>0.94</v>
      </c>
      <c r="V205" s="2567">
        <v>0.98</v>
      </c>
      <c r="W205" s="2567">
        <v>0.98</v>
      </c>
      <c r="X205" s="2567">
        <v>0.98</v>
      </c>
      <c r="Y205" s="2567">
        <v>0.98</v>
      </c>
      <c r="Z205" s="1359">
        <v>0</v>
      </c>
      <c r="AA205" s="2567">
        <f t="shared" si="155"/>
        <v>0.98</v>
      </c>
      <c r="AB205" s="2567">
        <f t="shared" si="156"/>
        <v>0.98</v>
      </c>
      <c r="AC205" s="2567">
        <f t="shared" si="157"/>
        <v>0.98</v>
      </c>
      <c r="AD205" s="2567">
        <f t="shared" si="158"/>
        <v>0.98</v>
      </c>
      <c r="AE205" s="2567">
        <f t="shared" si="159"/>
        <v>0.98</v>
      </c>
      <c r="AF205" s="2567">
        <f t="shared" si="160"/>
        <v>0.98</v>
      </c>
      <c r="AG205" s="2567">
        <f t="shared" si="161"/>
        <v>0.98</v>
      </c>
      <c r="AH205" s="2567">
        <f t="shared" si="162"/>
        <v>0.98</v>
      </c>
      <c r="AI205" s="1362">
        <f t="shared" si="193"/>
        <v>47686.822092000002</v>
      </c>
      <c r="AJ205" s="1362">
        <f t="shared" si="194"/>
        <v>47686.822092000002</v>
      </c>
      <c r="AK205" s="1362">
        <f t="shared" si="195"/>
        <v>47686.822092000002</v>
      </c>
      <c r="AL205" s="1362">
        <f t="shared" si="196"/>
        <v>47686.822092000002</v>
      </c>
      <c r="AM205" s="1362">
        <f t="shared" si="197"/>
        <v>190747.28836800001</v>
      </c>
      <c r="AN205" s="1132" t="str">
        <f t="shared" si="163"/>
        <v>Custom</v>
      </c>
      <c r="AO205" s="1132" t="str">
        <f t="shared" si="164"/>
        <v/>
      </c>
      <c r="AP205" s="2505">
        <v>30971.1</v>
      </c>
      <c r="AQ205" s="2568" t="s">
        <v>615</v>
      </c>
      <c r="AR205" s="2505">
        <f t="shared" si="165"/>
        <v>49716.048564000004</v>
      </c>
      <c r="AS205" s="2505">
        <f t="shared" si="166"/>
        <v>2029.2264720000021</v>
      </c>
      <c r="AT205" s="1132" t="str">
        <f t="shared" si="167"/>
        <v>Custom</v>
      </c>
      <c r="AU205" s="1132" t="str">
        <f t="shared" si="168"/>
        <v/>
      </c>
      <c r="AV205" s="2505">
        <v>30971.1</v>
      </c>
      <c r="AW205" s="2568" t="s">
        <v>615</v>
      </c>
      <c r="AX205" s="1362">
        <f t="shared" si="169"/>
        <v>49716.048564000004</v>
      </c>
      <c r="AY205" s="1360">
        <f t="shared" si="170"/>
        <v>2029.2264720000021</v>
      </c>
      <c r="AZ205" s="1132" t="str">
        <f t="shared" si="171"/>
        <v>Custom</v>
      </c>
      <c r="BA205" s="1132" t="str">
        <f t="shared" si="172"/>
        <v/>
      </c>
      <c r="BB205" s="2505">
        <v>30971.1</v>
      </c>
      <c r="BC205" s="2568" t="s">
        <v>615</v>
      </c>
      <c r="BD205" s="1362">
        <f t="shared" si="173"/>
        <v>49716.048564000004</v>
      </c>
      <c r="BE205" s="1360">
        <f t="shared" si="174"/>
        <v>2029.2264720000021</v>
      </c>
      <c r="BF205" s="1132" t="str">
        <f t="shared" si="175"/>
        <v>Custom</v>
      </c>
      <c r="BG205" s="1132" t="str">
        <f t="shared" si="176"/>
        <v/>
      </c>
      <c r="BH205" s="2505">
        <v>30971.1</v>
      </c>
      <c r="BI205" s="2568" t="s">
        <v>615</v>
      </c>
      <c r="BJ205" s="1362">
        <f t="shared" si="198"/>
        <v>49716.048564000004</v>
      </c>
      <c r="BK205" s="1360">
        <f t="shared" si="177"/>
        <v>2029.2264720000021</v>
      </c>
      <c r="BL205" s="1601">
        <f t="shared" si="178"/>
        <v>49716.048564000004</v>
      </c>
      <c r="BM205" s="1601">
        <f t="shared" si="179"/>
        <v>49716.048564000004</v>
      </c>
      <c r="BN205" s="1601">
        <f t="shared" si="180"/>
        <v>49716.048564000004</v>
      </c>
      <c r="BO205" s="1601">
        <f t="shared" si="181"/>
        <v>49716.048564000004</v>
      </c>
      <c r="BP205" s="1602">
        <f t="shared" si="182"/>
        <v>198864.19425600002</v>
      </c>
      <c r="BQ205" s="1602"/>
      <c r="BR205" s="1602"/>
      <c r="BS205" s="2773">
        <v>1</v>
      </c>
      <c r="BT205" s="2774">
        <v>7.5</v>
      </c>
      <c r="BU205" s="2774">
        <v>7.5</v>
      </c>
      <c r="BV205" s="2774">
        <v>7.5</v>
      </c>
      <c r="BW205" s="2774">
        <v>7.5</v>
      </c>
      <c r="BX205" s="1362">
        <f t="shared" si="199"/>
        <v>357651.16568999999</v>
      </c>
      <c r="BY205" s="1362">
        <f t="shared" si="200"/>
        <v>357651.16568999999</v>
      </c>
      <c r="BZ205" s="1362">
        <f t="shared" si="201"/>
        <v>357651.16568999999</v>
      </c>
      <c r="CA205" s="1362">
        <f t="shared" si="202"/>
        <v>357651.16568999999</v>
      </c>
      <c r="CB205" s="1362">
        <f t="shared" si="203"/>
        <v>1430604.66276</v>
      </c>
      <c r="CC205" s="2776">
        <v>8.6</v>
      </c>
      <c r="CD205" s="2776">
        <v>8.6</v>
      </c>
      <c r="CE205" s="2776">
        <v>8.6</v>
      </c>
      <c r="CF205" s="2776">
        <v>8.6</v>
      </c>
      <c r="CG205" s="1604">
        <f t="shared" si="183"/>
        <v>427558.01765039994</v>
      </c>
      <c r="CH205" s="1604">
        <f t="shared" si="184"/>
        <v>427558.01765039994</v>
      </c>
      <c r="CI205" s="1604">
        <f t="shared" si="185"/>
        <v>427558.01765039994</v>
      </c>
      <c r="CJ205" s="1604">
        <f t="shared" si="186"/>
        <v>427558.01765039994</v>
      </c>
      <c r="CK205" s="1521">
        <f t="shared" si="187"/>
        <v>1710232.0706015998</v>
      </c>
      <c r="CL205" s="1132">
        <v>198</v>
      </c>
      <c r="CM205" s="1132" t="s">
        <v>328</v>
      </c>
      <c r="CN205" s="1359">
        <v>0</v>
      </c>
      <c r="CO205" s="1360">
        <v>1.6380000000000001</v>
      </c>
      <c r="CP205" s="1360">
        <v>1.6380000000000001</v>
      </c>
      <c r="CQ205" s="1360">
        <v>1.6380000000000001</v>
      </c>
      <c r="CR205" s="1360">
        <v>1.6380000000000001</v>
      </c>
      <c r="CS205" s="1362">
        <f t="shared" si="188"/>
        <v>49716.048564000004</v>
      </c>
      <c r="CT205" s="1362">
        <f t="shared" si="189"/>
        <v>49716.048564000004</v>
      </c>
      <c r="CU205" s="1362">
        <f t="shared" si="190"/>
        <v>49716.048564000004</v>
      </c>
      <c r="CV205" s="1362">
        <f t="shared" si="191"/>
        <v>49716.048564000004</v>
      </c>
      <c r="CW205" s="1362">
        <f t="shared" si="192"/>
        <v>198864.19425600002</v>
      </c>
      <c r="CY205" s="2887"/>
    </row>
    <row r="206" spans="1:103" s="1143" customFormat="1" ht="31" x14ac:dyDescent="0.35">
      <c r="A206" s="1132" t="s">
        <v>105</v>
      </c>
      <c r="B206" s="1132" t="s">
        <v>622</v>
      </c>
      <c r="C206" s="1132" t="s">
        <v>625</v>
      </c>
      <c r="D206" s="1359" t="s">
        <v>105</v>
      </c>
      <c r="E206" s="1359">
        <f>IF(AI206-AR206=0,0,1)</f>
        <v>0</v>
      </c>
      <c r="F206" s="1132" t="s">
        <v>105</v>
      </c>
      <c r="G206" s="1132" t="s">
        <v>356</v>
      </c>
      <c r="H206" s="1360">
        <v>4.9139999999999997</v>
      </c>
      <c r="I206" s="1360">
        <v>4.9139999999999997</v>
      </c>
      <c r="J206" s="1360">
        <v>4.9139999999999997</v>
      </c>
      <c r="K206" s="1360">
        <v>4.9139999999999997</v>
      </c>
      <c r="L206" s="1132" t="s">
        <v>105</v>
      </c>
      <c r="M206" s="1132" t="str">
        <f t="shared" si="154"/>
        <v/>
      </c>
      <c r="N206" s="1361">
        <v>0</v>
      </c>
      <c r="O206" s="1361">
        <v>0</v>
      </c>
      <c r="P206" s="1361">
        <v>0</v>
      </c>
      <c r="Q206" s="1361">
        <v>0</v>
      </c>
      <c r="R206" s="1781">
        <v>0.79</v>
      </c>
      <c r="S206" s="1781">
        <v>0.79</v>
      </c>
      <c r="T206" s="1781">
        <v>0.79</v>
      </c>
      <c r="U206" s="1781">
        <v>0.79</v>
      </c>
      <c r="V206" s="2567">
        <v>0.84</v>
      </c>
      <c r="W206" s="2567">
        <v>0.84</v>
      </c>
      <c r="X206" s="2567">
        <v>0.84</v>
      </c>
      <c r="Y206" s="2567">
        <v>0.84</v>
      </c>
      <c r="Z206" s="1359">
        <v>0</v>
      </c>
      <c r="AA206" s="2567">
        <f t="shared" si="155"/>
        <v>0.84</v>
      </c>
      <c r="AB206" s="2567">
        <f t="shared" si="156"/>
        <v>0.84</v>
      </c>
      <c r="AC206" s="2567">
        <f t="shared" si="157"/>
        <v>0.84</v>
      </c>
      <c r="AD206" s="2567">
        <f t="shared" si="158"/>
        <v>0.84</v>
      </c>
      <c r="AE206" s="2567">
        <f t="shared" si="159"/>
        <v>0.84</v>
      </c>
      <c r="AF206" s="2567">
        <f t="shared" si="160"/>
        <v>0.84</v>
      </c>
      <c r="AG206" s="2567">
        <f t="shared" si="161"/>
        <v>0.84</v>
      </c>
      <c r="AH206" s="2567">
        <f t="shared" si="162"/>
        <v>0.84</v>
      </c>
      <c r="AI206" s="1362">
        <f t="shared" si="193"/>
        <v>0</v>
      </c>
      <c r="AJ206" s="1362">
        <f t="shared" si="194"/>
        <v>0</v>
      </c>
      <c r="AK206" s="1362">
        <f t="shared" si="195"/>
        <v>0</v>
      </c>
      <c r="AL206" s="1362">
        <f t="shared" si="196"/>
        <v>0</v>
      </c>
      <c r="AM206" s="1362">
        <f t="shared" si="197"/>
        <v>0</v>
      </c>
      <c r="AN206" s="1132" t="str">
        <f t="shared" si="163"/>
        <v>Custom</v>
      </c>
      <c r="AO206" s="1132" t="str">
        <f t="shared" si="164"/>
        <v/>
      </c>
      <c r="AP206" s="2505">
        <v>0</v>
      </c>
      <c r="AQ206" s="2568" t="s">
        <v>610</v>
      </c>
      <c r="AR206" s="2505">
        <f t="shared" si="165"/>
        <v>0</v>
      </c>
      <c r="AS206" s="2505">
        <f t="shared" si="166"/>
        <v>0</v>
      </c>
      <c r="AT206" s="1132" t="str">
        <f t="shared" si="167"/>
        <v>Custom</v>
      </c>
      <c r="AU206" s="1132" t="str">
        <f t="shared" si="168"/>
        <v/>
      </c>
      <c r="AV206" s="2505">
        <v>0</v>
      </c>
      <c r="AW206" s="2568" t="s">
        <v>610</v>
      </c>
      <c r="AX206" s="1362">
        <f t="shared" si="169"/>
        <v>0</v>
      </c>
      <c r="AY206" s="1360">
        <f t="shared" si="170"/>
        <v>0</v>
      </c>
      <c r="AZ206" s="1132" t="str">
        <f t="shared" si="171"/>
        <v>Custom</v>
      </c>
      <c r="BA206" s="1132" t="str">
        <f t="shared" si="172"/>
        <v/>
      </c>
      <c r="BB206" s="2505">
        <v>0</v>
      </c>
      <c r="BC206" s="2568" t="s">
        <v>610</v>
      </c>
      <c r="BD206" s="1362">
        <f t="shared" si="173"/>
        <v>0</v>
      </c>
      <c r="BE206" s="1360">
        <f t="shared" si="174"/>
        <v>0</v>
      </c>
      <c r="BF206" s="1132" t="str">
        <f t="shared" si="175"/>
        <v>Custom</v>
      </c>
      <c r="BG206" s="1132" t="str">
        <f t="shared" si="176"/>
        <v/>
      </c>
      <c r="BH206" s="2505">
        <v>0</v>
      </c>
      <c r="BI206" s="2568" t="s">
        <v>610</v>
      </c>
      <c r="BJ206" s="1362">
        <f t="shared" si="198"/>
        <v>0</v>
      </c>
      <c r="BK206" s="1360">
        <f t="shared" si="177"/>
        <v>0</v>
      </c>
      <c r="BL206" s="1601">
        <f t="shared" si="178"/>
        <v>0</v>
      </c>
      <c r="BM206" s="1601">
        <f t="shared" si="179"/>
        <v>0</v>
      </c>
      <c r="BN206" s="1601">
        <f t="shared" si="180"/>
        <v>0</v>
      </c>
      <c r="BO206" s="1601">
        <f t="shared" si="181"/>
        <v>0</v>
      </c>
      <c r="BP206" s="1602">
        <f t="shared" si="182"/>
        <v>0</v>
      </c>
      <c r="BQ206" s="1602"/>
      <c r="BR206" s="1602"/>
      <c r="BS206" s="1602">
        <v>0</v>
      </c>
      <c r="BT206" s="1602">
        <v>1</v>
      </c>
      <c r="BU206" s="1602">
        <v>1</v>
      </c>
      <c r="BV206" s="1602">
        <v>1</v>
      </c>
      <c r="BW206" s="1602">
        <v>1</v>
      </c>
      <c r="BX206" s="1362">
        <f t="shared" si="199"/>
        <v>0</v>
      </c>
      <c r="BY206" s="1362">
        <f t="shared" si="200"/>
        <v>0</v>
      </c>
      <c r="BZ206" s="1362">
        <f t="shared" si="201"/>
        <v>0</v>
      </c>
      <c r="CA206" s="1362">
        <f t="shared" si="202"/>
        <v>0</v>
      </c>
      <c r="CB206" s="1362">
        <f t="shared" si="203"/>
        <v>0</v>
      </c>
      <c r="CC206" s="1360">
        <v>1</v>
      </c>
      <c r="CD206" s="1360">
        <v>1</v>
      </c>
      <c r="CE206" s="1360">
        <v>1</v>
      </c>
      <c r="CF206" s="1360">
        <v>1</v>
      </c>
      <c r="CG206" s="1604">
        <f t="shared" si="183"/>
        <v>0</v>
      </c>
      <c r="CH206" s="1604">
        <f t="shared" si="184"/>
        <v>0</v>
      </c>
      <c r="CI206" s="1604">
        <f t="shared" si="185"/>
        <v>0</v>
      </c>
      <c r="CJ206" s="1604">
        <f t="shared" si="186"/>
        <v>0</v>
      </c>
      <c r="CK206" s="1521">
        <f t="shared" si="187"/>
        <v>0</v>
      </c>
      <c r="CL206" s="1132">
        <v>199</v>
      </c>
      <c r="CM206" s="1132" t="s">
        <v>356</v>
      </c>
      <c r="CN206" s="1359">
        <v>0</v>
      </c>
      <c r="CO206" s="1360">
        <v>4.9139999999999997</v>
      </c>
      <c r="CP206" s="1360">
        <v>4.9139999999999997</v>
      </c>
      <c r="CQ206" s="1360">
        <v>4.9139999999999997</v>
      </c>
      <c r="CR206" s="1360">
        <v>4.9139999999999997</v>
      </c>
      <c r="CS206" s="1362">
        <f t="shared" si="188"/>
        <v>0</v>
      </c>
      <c r="CT206" s="1362">
        <f t="shared" si="189"/>
        <v>0</v>
      </c>
      <c r="CU206" s="1362">
        <f t="shared" si="190"/>
        <v>0</v>
      </c>
      <c r="CV206" s="1362">
        <f t="shared" si="191"/>
        <v>0</v>
      </c>
      <c r="CW206" s="1362">
        <f t="shared" si="192"/>
        <v>0</v>
      </c>
      <c r="CY206" s="2887"/>
    </row>
    <row r="207" spans="1:103" s="1143" customFormat="1" ht="31" x14ac:dyDescent="0.35">
      <c r="A207" s="1132" t="s">
        <v>105</v>
      </c>
      <c r="B207" s="1132" t="s">
        <v>622</v>
      </c>
      <c r="C207" s="1132" t="s">
        <v>612</v>
      </c>
      <c r="D207" s="1359" t="s">
        <v>105</v>
      </c>
      <c r="E207" s="1359">
        <f>IF(AI207-AR207=0,0,1)</f>
        <v>0</v>
      </c>
      <c r="F207" s="1132" t="s">
        <v>105</v>
      </c>
      <c r="G207" s="1132" t="s">
        <v>356</v>
      </c>
      <c r="H207" s="1360">
        <v>4.5045000000000002</v>
      </c>
      <c r="I207" s="1360">
        <v>4.5045000000000002</v>
      </c>
      <c r="J207" s="1360">
        <v>4.5045000000000002</v>
      </c>
      <c r="K207" s="1360">
        <v>4.5045000000000002</v>
      </c>
      <c r="L207" s="1132" t="s">
        <v>105</v>
      </c>
      <c r="M207" s="1132" t="str">
        <f t="shared" si="154"/>
        <v/>
      </c>
      <c r="N207" s="1361">
        <v>0</v>
      </c>
      <c r="O207" s="1361">
        <v>0</v>
      </c>
      <c r="P207" s="1361">
        <v>0</v>
      </c>
      <c r="Q207" s="1361">
        <v>0</v>
      </c>
      <c r="R207" s="1781">
        <v>0.79</v>
      </c>
      <c r="S207" s="1781">
        <v>0.79</v>
      </c>
      <c r="T207" s="1781">
        <v>0.79</v>
      </c>
      <c r="U207" s="1781">
        <v>0.79</v>
      </c>
      <c r="V207" s="2567">
        <v>0.84</v>
      </c>
      <c r="W207" s="2567">
        <v>0.84</v>
      </c>
      <c r="X207" s="2567">
        <v>0.84</v>
      </c>
      <c r="Y207" s="2567">
        <v>0.84</v>
      </c>
      <c r="Z207" s="1359">
        <v>0</v>
      </c>
      <c r="AA207" s="2567">
        <f t="shared" si="155"/>
        <v>0.84</v>
      </c>
      <c r="AB207" s="2567">
        <f t="shared" si="156"/>
        <v>0.84</v>
      </c>
      <c r="AC207" s="2567">
        <f t="shared" si="157"/>
        <v>0.84</v>
      </c>
      <c r="AD207" s="2567">
        <f t="shared" si="158"/>
        <v>0.84</v>
      </c>
      <c r="AE207" s="2567">
        <f t="shared" si="159"/>
        <v>0.84</v>
      </c>
      <c r="AF207" s="2567">
        <f t="shared" si="160"/>
        <v>0.84</v>
      </c>
      <c r="AG207" s="2567">
        <f t="shared" si="161"/>
        <v>0.84</v>
      </c>
      <c r="AH207" s="2567">
        <f t="shared" si="162"/>
        <v>0.84</v>
      </c>
      <c r="AI207" s="1362">
        <f t="shared" si="193"/>
        <v>0</v>
      </c>
      <c r="AJ207" s="1362">
        <f t="shared" si="194"/>
        <v>0</v>
      </c>
      <c r="AK207" s="1362">
        <f t="shared" si="195"/>
        <v>0</v>
      </c>
      <c r="AL207" s="1362">
        <f t="shared" si="196"/>
        <v>0</v>
      </c>
      <c r="AM207" s="1362">
        <f t="shared" si="197"/>
        <v>0</v>
      </c>
      <c r="AN207" s="1132" t="str">
        <f t="shared" si="163"/>
        <v>Custom</v>
      </c>
      <c r="AO207" s="1132" t="str">
        <f t="shared" si="164"/>
        <v/>
      </c>
      <c r="AP207" s="2505">
        <v>0</v>
      </c>
      <c r="AQ207" s="2568" t="s">
        <v>610</v>
      </c>
      <c r="AR207" s="2505">
        <f t="shared" si="165"/>
        <v>0</v>
      </c>
      <c r="AS207" s="2505">
        <f t="shared" si="166"/>
        <v>0</v>
      </c>
      <c r="AT207" s="1132" t="str">
        <f t="shared" si="167"/>
        <v>Custom</v>
      </c>
      <c r="AU207" s="1132" t="str">
        <f t="shared" si="168"/>
        <v/>
      </c>
      <c r="AV207" s="2505">
        <v>0</v>
      </c>
      <c r="AW207" s="2568" t="s">
        <v>610</v>
      </c>
      <c r="AX207" s="1362">
        <f t="shared" si="169"/>
        <v>0</v>
      </c>
      <c r="AY207" s="1360">
        <f t="shared" si="170"/>
        <v>0</v>
      </c>
      <c r="AZ207" s="1132" t="str">
        <f t="shared" si="171"/>
        <v>Custom</v>
      </c>
      <c r="BA207" s="1132" t="str">
        <f t="shared" si="172"/>
        <v/>
      </c>
      <c r="BB207" s="2505">
        <v>0</v>
      </c>
      <c r="BC207" s="2568" t="s">
        <v>610</v>
      </c>
      <c r="BD207" s="1362">
        <f t="shared" si="173"/>
        <v>0</v>
      </c>
      <c r="BE207" s="1360">
        <f t="shared" si="174"/>
        <v>0</v>
      </c>
      <c r="BF207" s="1132" t="str">
        <f t="shared" si="175"/>
        <v>Custom</v>
      </c>
      <c r="BG207" s="1132" t="str">
        <f t="shared" si="176"/>
        <v/>
      </c>
      <c r="BH207" s="2505">
        <v>0</v>
      </c>
      <c r="BI207" s="2568" t="s">
        <v>610</v>
      </c>
      <c r="BJ207" s="1362">
        <f t="shared" si="198"/>
        <v>0</v>
      </c>
      <c r="BK207" s="1360">
        <f t="shared" si="177"/>
        <v>0</v>
      </c>
      <c r="BL207" s="1601">
        <f t="shared" si="178"/>
        <v>0</v>
      </c>
      <c r="BM207" s="1601">
        <f t="shared" si="179"/>
        <v>0</v>
      </c>
      <c r="BN207" s="1601">
        <f t="shared" si="180"/>
        <v>0</v>
      </c>
      <c r="BO207" s="1601">
        <f t="shared" si="181"/>
        <v>0</v>
      </c>
      <c r="BP207" s="1602">
        <f t="shared" si="182"/>
        <v>0</v>
      </c>
      <c r="BQ207" s="1602"/>
      <c r="BR207" s="1602"/>
      <c r="BS207" s="1602">
        <v>0</v>
      </c>
      <c r="BT207" s="1602">
        <v>1</v>
      </c>
      <c r="BU207" s="1602">
        <v>1</v>
      </c>
      <c r="BV207" s="1602">
        <v>1</v>
      </c>
      <c r="BW207" s="1602">
        <v>1</v>
      </c>
      <c r="BX207" s="1362">
        <f t="shared" si="199"/>
        <v>0</v>
      </c>
      <c r="BY207" s="1362">
        <f t="shared" si="200"/>
        <v>0</v>
      </c>
      <c r="BZ207" s="1362">
        <f t="shared" si="201"/>
        <v>0</v>
      </c>
      <c r="CA207" s="1362">
        <f t="shared" si="202"/>
        <v>0</v>
      </c>
      <c r="CB207" s="1362">
        <f t="shared" si="203"/>
        <v>0</v>
      </c>
      <c r="CC207" s="1360">
        <v>1</v>
      </c>
      <c r="CD207" s="1360">
        <v>1</v>
      </c>
      <c r="CE207" s="1360">
        <v>1</v>
      </c>
      <c r="CF207" s="1360">
        <v>1</v>
      </c>
      <c r="CG207" s="1604">
        <f t="shared" si="183"/>
        <v>0</v>
      </c>
      <c r="CH207" s="1604">
        <f t="shared" si="184"/>
        <v>0</v>
      </c>
      <c r="CI207" s="1604">
        <f t="shared" si="185"/>
        <v>0</v>
      </c>
      <c r="CJ207" s="1604">
        <f t="shared" si="186"/>
        <v>0</v>
      </c>
      <c r="CK207" s="1521">
        <f t="shared" si="187"/>
        <v>0</v>
      </c>
      <c r="CL207" s="1132">
        <v>200</v>
      </c>
      <c r="CM207" s="1132" t="s">
        <v>356</v>
      </c>
      <c r="CN207" s="1359">
        <v>0</v>
      </c>
      <c r="CO207" s="1360">
        <v>4.5045000000000002</v>
      </c>
      <c r="CP207" s="1360">
        <v>4.5045000000000002</v>
      </c>
      <c r="CQ207" s="1360">
        <v>4.5045000000000002</v>
      </c>
      <c r="CR207" s="1360">
        <v>4.5045000000000002</v>
      </c>
      <c r="CS207" s="1362">
        <f t="shared" si="188"/>
        <v>0</v>
      </c>
      <c r="CT207" s="1362">
        <f t="shared" si="189"/>
        <v>0</v>
      </c>
      <c r="CU207" s="1362">
        <f t="shared" si="190"/>
        <v>0</v>
      </c>
      <c r="CV207" s="1362">
        <f t="shared" si="191"/>
        <v>0</v>
      </c>
      <c r="CW207" s="1362">
        <f t="shared" si="192"/>
        <v>0</v>
      </c>
      <c r="CY207" s="2887"/>
    </row>
    <row r="208" spans="1:103" s="1143" customFormat="1" ht="31" x14ac:dyDescent="0.35">
      <c r="A208" s="1132" t="s">
        <v>105</v>
      </c>
      <c r="B208" s="1132" t="s">
        <v>622</v>
      </c>
      <c r="C208" s="1132" t="s">
        <v>626</v>
      </c>
      <c r="D208" s="1359" t="s">
        <v>105</v>
      </c>
      <c r="E208" s="1359">
        <f>IF(AI208-AR208=0,0,1)</f>
        <v>0</v>
      </c>
      <c r="F208" s="1132" t="s">
        <v>105</v>
      </c>
      <c r="G208" s="1132" t="s">
        <v>356</v>
      </c>
      <c r="H208" s="1360">
        <v>9.0090000000000003</v>
      </c>
      <c r="I208" s="1360">
        <v>9.0090000000000003</v>
      </c>
      <c r="J208" s="1360">
        <v>9.0090000000000003</v>
      </c>
      <c r="K208" s="1360">
        <v>9.0090000000000003</v>
      </c>
      <c r="L208" s="1132" t="s">
        <v>105</v>
      </c>
      <c r="M208" s="1132" t="str">
        <f t="shared" si="154"/>
        <v/>
      </c>
      <c r="N208" s="1361">
        <v>0</v>
      </c>
      <c r="O208" s="1361">
        <v>0</v>
      </c>
      <c r="P208" s="1361">
        <v>0</v>
      </c>
      <c r="Q208" s="1361">
        <v>0</v>
      </c>
      <c r="R208" s="1781">
        <v>0.79</v>
      </c>
      <c r="S208" s="1781">
        <v>0.79</v>
      </c>
      <c r="T208" s="1781">
        <v>0.79</v>
      </c>
      <c r="U208" s="1781">
        <v>0.79</v>
      </c>
      <c r="V208" s="2567">
        <v>0.84</v>
      </c>
      <c r="W208" s="2567">
        <v>0.84</v>
      </c>
      <c r="X208" s="2567">
        <v>0.84</v>
      </c>
      <c r="Y208" s="2567">
        <v>0.84</v>
      </c>
      <c r="Z208" s="1359">
        <v>0</v>
      </c>
      <c r="AA208" s="2567">
        <f t="shared" si="155"/>
        <v>0.84</v>
      </c>
      <c r="AB208" s="2567">
        <f t="shared" si="156"/>
        <v>0.84</v>
      </c>
      <c r="AC208" s="2567">
        <f t="shared" si="157"/>
        <v>0.84</v>
      </c>
      <c r="AD208" s="2567">
        <f t="shared" si="158"/>
        <v>0.84</v>
      </c>
      <c r="AE208" s="2567">
        <f t="shared" si="159"/>
        <v>0.84</v>
      </c>
      <c r="AF208" s="2567">
        <f t="shared" si="160"/>
        <v>0.84</v>
      </c>
      <c r="AG208" s="2567">
        <f t="shared" si="161"/>
        <v>0.84</v>
      </c>
      <c r="AH208" s="2567">
        <f t="shared" si="162"/>
        <v>0.84</v>
      </c>
      <c r="AI208" s="1362">
        <f t="shared" si="193"/>
        <v>0</v>
      </c>
      <c r="AJ208" s="1362">
        <f t="shared" si="194"/>
        <v>0</v>
      </c>
      <c r="AK208" s="1362">
        <f t="shared" si="195"/>
        <v>0</v>
      </c>
      <c r="AL208" s="1362">
        <f t="shared" si="196"/>
        <v>0</v>
      </c>
      <c r="AM208" s="1362">
        <f t="shared" si="197"/>
        <v>0</v>
      </c>
      <c r="AN208" s="1132" t="str">
        <f t="shared" si="163"/>
        <v>Custom</v>
      </c>
      <c r="AO208" s="1132" t="str">
        <f t="shared" si="164"/>
        <v/>
      </c>
      <c r="AP208" s="2505">
        <v>0</v>
      </c>
      <c r="AQ208" s="2568" t="s">
        <v>610</v>
      </c>
      <c r="AR208" s="2505">
        <f t="shared" si="165"/>
        <v>0</v>
      </c>
      <c r="AS208" s="2505">
        <f t="shared" si="166"/>
        <v>0</v>
      </c>
      <c r="AT208" s="1132" t="str">
        <f t="shared" si="167"/>
        <v>Custom</v>
      </c>
      <c r="AU208" s="1132" t="str">
        <f t="shared" si="168"/>
        <v/>
      </c>
      <c r="AV208" s="2505">
        <v>0</v>
      </c>
      <c r="AW208" s="2568" t="s">
        <v>610</v>
      </c>
      <c r="AX208" s="1362">
        <f t="shared" si="169"/>
        <v>0</v>
      </c>
      <c r="AY208" s="1360">
        <f t="shared" si="170"/>
        <v>0</v>
      </c>
      <c r="AZ208" s="1132" t="str">
        <f t="shared" si="171"/>
        <v>Custom</v>
      </c>
      <c r="BA208" s="1132" t="str">
        <f t="shared" si="172"/>
        <v/>
      </c>
      <c r="BB208" s="2505">
        <v>0</v>
      </c>
      <c r="BC208" s="2568" t="s">
        <v>610</v>
      </c>
      <c r="BD208" s="1362">
        <f t="shared" si="173"/>
        <v>0</v>
      </c>
      <c r="BE208" s="1360">
        <f t="shared" si="174"/>
        <v>0</v>
      </c>
      <c r="BF208" s="1132" t="str">
        <f t="shared" si="175"/>
        <v>Custom</v>
      </c>
      <c r="BG208" s="1132" t="str">
        <f t="shared" si="176"/>
        <v/>
      </c>
      <c r="BH208" s="2505">
        <v>0</v>
      </c>
      <c r="BI208" s="2568" t="s">
        <v>610</v>
      </c>
      <c r="BJ208" s="1362">
        <f t="shared" si="198"/>
        <v>0</v>
      </c>
      <c r="BK208" s="1360">
        <f t="shared" si="177"/>
        <v>0</v>
      </c>
      <c r="BL208" s="1601">
        <f t="shared" si="178"/>
        <v>0</v>
      </c>
      <c r="BM208" s="1601">
        <f t="shared" si="179"/>
        <v>0</v>
      </c>
      <c r="BN208" s="1601">
        <f t="shared" si="180"/>
        <v>0</v>
      </c>
      <c r="BO208" s="1601">
        <f t="shared" si="181"/>
        <v>0</v>
      </c>
      <c r="BP208" s="1602">
        <f t="shared" si="182"/>
        <v>0</v>
      </c>
      <c r="BQ208" s="1602"/>
      <c r="BR208" s="1602"/>
      <c r="BS208" s="1602">
        <v>0</v>
      </c>
      <c r="BT208" s="1602">
        <v>1</v>
      </c>
      <c r="BU208" s="1602">
        <v>1</v>
      </c>
      <c r="BV208" s="1602">
        <v>1</v>
      </c>
      <c r="BW208" s="1602">
        <v>1</v>
      </c>
      <c r="BX208" s="1362">
        <f t="shared" si="199"/>
        <v>0</v>
      </c>
      <c r="BY208" s="1362">
        <f t="shared" si="200"/>
        <v>0</v>
      </c>
      <c r="BZ208" s="1362">
        <f t="shared" si="201"/>
        <v>0</v>
      </c>
      <c r="CA208" s="1362">
        <f t="shared" si="202"/>
        <v>0</v>
      </c>
      <c r="CB208" s="1362">
        <f t="shared" si="203"/>
        <v>0</v>
      </c>
      <c r="CC208" s="1360">
        <v>1</v>
      </c>
      <c r="CD208" s="1360">
        <v>1</v>
      </c>
      <c r="CE208" s="1360">
        <v>1</v>
      </c>
      <c r="CF208" s="1360">
        <v>1</v>
      </c>
      <c r="CG208" s="1604">
        <f t="shared" si="183"/>
        <v>0</v>
      </c>
      <c r="CH208" s="1604">
        <f t="shared" si="184"/>
        <v>0</v>
      </c>
      <c r="CI208" s="1604">
        <f t="shared" si="185"/>
        <v>0</v>
      </c>
      <c r="CJ208" s="1604">
        <f t="shared" si="186"/>
        <v>0</v>
      </c>
      <c r="CK208" s="1521">
        <f t="shared" si="187"/>
        <v>0</v>
      </c>
      <c r="CL208" s="1132">
        <v>201</v>
      </c>
      <c r="CM208" s="1132" t="s">
        <v>356</v>
      </c>
      <c r="CN208" s="1359">
        <v>0</v>
      </c>
      <c r="CO208" s="1360">
        <v>9.0090000000000003</v>
      </c>
      <c r="CP208" s="1360">
        <v>9.0090000000000003</v>
      </c>
      <c r="CQ208" s="1360">
        <v>9.0090000000000003</v>
      </c>
      <c r="CR208" s="1360">
        <v>9.0090000000000003</v>
      </c>
      <c r="CS208" s="1362">
        <f t="shared" si="188"/>
        <v>0</v>
      </c>
      <c r="CT208" s="1362">
        <f t="shared" si="189"/>
        <v>0</v>
      </c>
      <c r="CU208" s="1362">
        <f t="shared" si="190"/>
        <v>0</v>
      </c>
      <c r="CV208" s="1362">
        <f t="shared" si="191"/>
        <v>0</v>
      </c>
      <c r="CW208" s="1362">
        <f t="shared" si="192"/>
        <v>0</v>
      </c>
      <c r="CY208" s="2887"/>
    </row>
    <row r="209" spans="1:103" s="1143" customFormat="1" ht="78" customHeight="1" x14ac:dyDescent="0.35">
      <c r="A209" s="1132" t="s">
        <v>105</v>
      </c>
      <c r="B209" s="1132" t="s">
        <v>622</v>
      </c>
      <c r="C209" s="1132" t="s">
        <v>617</v>
      </c>
      <c r="D209" s="1359" t="s">
        <v>105</v>
      </c>
      <c r="E209" s="1359">
        <v>0</v>
      </c>
      <c r="F209" s="1132" t="s">
        <v>105</v>
      </c>
      <c r="G209" s="1132" t="s">
        <v>356</v>
      </c>
      <c r="H209" s="1360">
        <v>2.0475000000000003</v>
      </c>
      <c r="I209" s="1360">
        <v>2.0475000000000003</v>
      </c>
      <c r="J209" s="1360">
        <v>2.0475000000000003</v>
      </c>
      <c r="K209" s="1360">
        <v>2.0475000000000003</v>
      </c>
      <c r="L209" s="1132" t="s">
        <v>105</v>
      </c>
      <c r="M209" s="1132" t="str">
        <f t="shared" si="154"/>
        <v/>
      </c>
      <c r="N209" s="2449">
        <v>1</v>
      </c>
      <c r="O209" s="1361">
        <v>1</v>
      </c>
      <c r="P209" s="1361">
        <v>1</v>
      </c>
      <c r="Q209" s="1361">
        <v>1</v>
      </c>
      <c r="R209" s="1781">
        <v>0.94</v>
      </c>
      <c r="S209" s="1781">
        <v>0.94</v>
      </c>
      <c r="T209" s="1781">
        <v>0.94</v>
      </c>
      <c r="U209" s="1781">
        <v>0.94</v>
      </c>
      <c r="V209" s="2567">
        <v>0.98</v>
      </c>
      <c r="W209" s="2567">
        <v>0.98</v>
      </c>
      <c r="X209" s="2567">
        <v>0.98</v>
      </c>
      <c r="Y209" s="2567">
        <v>0.98</v>
      </c>
      <c r="Z209" s="1359">
        <v>0</v>
      </c>
      <c r="AA209" s="2567">
        <f t="shared" si="155"/>
        <v>0.98</v>
      </c>
      <c r="AB209" s="2567">
        <f t="shared" si="156"/>
        <v>0.98</v>
      </c>
      <c r="AC209" s="2567">
        <f t="shared" si="157"/>
        <v>0.98</v>
      </c>
      <c r="AD209" s="2567">
        <f t="shared" si="158"/>
        <v>0.98</v>
      </c>
      <c r="AE209" s="2567">
        <f t="shared" si="159"/>
        <v>0.98</v>
      </c>
      <c r="AF209" s="2567">
        <f t="shared" si="160"/>
        <v>0.98</v>
      </c>
      <c r="AG209" s="2567">
        <f t="shared" si="161"/>
        <v>0.98</v>
      </c>
      <c r="AH209" s="2567">
        <f t="shared" si="162"/>
        <v>0.98</v>
      </c>
      <c r="AI209" s="1362">
        <f t="shared" si="193"/>
        <v>1.9246500000000002</v>
      </c>
      <c r="AJ209" s="1362">
        <f t="shared" si="194"/>
        <v>1.9246500000000002</v>
      </c>
      <c r="AK209" s="1362">
        <f t="shared" si="195"/>
        <v>1.9246500000000002</v>
      </c>
      <c r="AL209" s="1362">
        <f t="shared" si="196"/>
        <v>1.9246500000000002</v>
      </c>
      <c r="AM209" s="1362">
        <f t="shared" si="197"/>
        <v>7.6986000000000008</v>
      </c>
      <c r="AN209" s="1132" t="str">
        <f t="shared" si="163"/>
        <v>Custom</v>
      </c>
      <c r="AO209" s="1132" t="str">
        <f t="shared" si="164"/>
        <v/>
      </c>
      <c r="AP209" s="1361">
        <v>1</v>
      </c>
      <c r="AQ209" s="2568" t="s">
        <v>615</v>
      </c>
      <c r="AR209" s="2505">
        <f t="shared" si="165"/>
        <v>2.0065500000000003</v>
      </c>
      <c r="AS209" s="2505">
        <f t="shared" si="166"/>
        <v>8.1900000000000084E-2</v>
      </c>
      <c r="AT209" s="1132" t="str">
        <f t="shared" si="167"/>
        <v>Custom</v>
      </c>
      <c r="AU209" s="1132" t="str">
        <f t="shared" si="168"/>
        <v/>
      </c>
      <c r="AV209" s="1361">
        <v>1</v>
      </c>
      <c r="AW209" s="2568" t="s">
        <v>615</v>
      </c>
      <c r="AX209" s="1362">
        <f t="shared" si="169"/>
        <v>2.0065500000000003</v>
      </c>
      <c r="AY209" s="1360">
        <f t="shared" si="170"/>
        <v>8.1900000000000084E-2</v>
      </c>
      <c r="AZ209" s="1132" t="str">
        <f t="shared" si="171"/>
        <v>Custom</v>
      </c>
      <c r="BA209" s="1132" t="str">
        <f t="shared" si="172"/>
        <v/>
      </c>
      <c r="BB209" s="1361">
        <v>1</v>
      </c>
      <c r="BC209" s="2568" t="s">
        <v>615</v>
      </c>
      <c r="BD209" s="1362">
        <f t="shared" si="173"/>
        <v>2.0065500000000003</v>
      </c>
      <c r="BE209" s="1360">
        <f t="shared" si="174"/>
        <v>8.1900000000000084E-2</v>
      </c>
      <c r="BF209" s="1132" t="str">
        <f t="shared" si="175"/>
        <v>Custom</v>
      </c>
      <c r="BG209" s="1132" t="str">
        <f t="shared" si="176"/>
        <v/>
      </c>
      <c r="BH209" s="1361">
        <v>1</v>
      </c>
      <c r="BI209" s="2568" t="s">
        <v>615</v>
      </c>
      <c r="BJ209" s="1362">
        <f t="shared" si="198"/>
        <v>2.0065500000000003</v>
      </c>
      <c r="BK209" s="1360">
        <f t="shared" si="177"/>
        <v>8.1900000000000084E-2</v>
      </c>
      <c r="BL209" s="1601">
        <f t="shared" si="178"/>
        <v>2.0065500000000003</v>
      </c>
      <c r="BM209" s="1601">
        <f t="shared" si="179"/>
        <v>2.0065500000000003</v>
      </c>
      <c r="BN209" s="1601">
        <f t="shared" si="180"/>
        <v>2.0065500000000003</v>
      </c>
      <c r="BO209" s="1601">
        <f t="shared" si="181"/>
        <v>2.0065500000000003</v>
      </c>
      <c r="BP209" s="1602">
        <f t="shared" si="182"/>
        <v>8.0262000000000011</v>
      </c>
      <c r="BQ209" s="1602"/>
      <c r="BR209" s="1602"/>
      <c r="BS209" s="1602">
        <v>0</v>
      </c>
      <c r="BT209" s="1602">
        <v>0</v>
      </c>
      <c r="BU209" s="1602">
        <v>0</v>
      </c>
      <c r="BV209" s="1602">
        <v>0</v>
      </c>
      <c r="BW209" s="1602">
        <v>0</v>
      </c>
      <c r="BX209" s="1362">
        <f t="shared" si="199"/>
        <v>0</v>
      </c>
      <c r="BY209" s="1362">
        <f t="shared" si="200"/>
        <v>0</v>
      </c>
      <c r="BZ209" s="1362">
        <f t="shared" si="201"/>
        <v>0</v>
      </c>
      <c r="CA209" s="1362">
        <f t="shared" si="202"/>
        <v>0</v>
      </c>
      <c r="CB209" s="1362">
        <f t="shared" si="203"/>
        <v>0</v>
      </c>
      <c r="CC209" s="1360">
        <v>0</v>
      </c>
      <c r="CD209" s="1360">
        <v>0</v>
      </c>
      <c r="CE209" s="1360">
        <v>0</v>
      </c>
      <c r="CF209" s="1360">
        <v>0</v>
      </c>
      <c r="CG209" s="1604">
        <f t="shared" si="183"/>
        <v>0</v>
      </c>
      <c r="CH209" s="1604">
        <f t="shared" si="184"/>
        <v>0</v>
      </c>
      <c r="CI209" s="1604">
        <f t="shared" si="185"/>
        <v>0</v>
      </c>
      <c r="CJ209" s="1604">
        <f t="shared" si="186"/>
        <v>0</v>
      </c>
      <c r="CK209" s="1521">
        <f t="shared" si="187"/>
        <v>0</v>
      </c>
      <c r="CL209" s="1132">
        <v>202</v>
      </c>
      <c r="CM209" s="1132" t="s">
        <v>356</v>
      </c>
      <c r="CN209" s="1359">
        <v>0</v>
      </c>
      <c r="CO209" s="1360">
        <v>2.0475000000000003</v>
      </c>
      <c r="CP209" s="1360">
        <v>2.0475000000000003</v>
      </c>
      <c r="CQ209" s="1360">
        <v>2.0475000000000003</v>
      </c>
      <c r="CR209" s="1360">
        <v>2.0475000000000003</v>
      </c>
      <c r="CS209" s="1362">
        <f t="shared" si="188"/>
        <v>2.0065500000000003</v>
      </c>
      <c r="CT209" s="1362">
        <f t="shared" si="189"/>
        <v>2.0065500000000003</v>
      </c>
      <c r="CU209" s="1362">
        <f t="shared" si="190"/>
        <v>2.0065500000000003</v>
      </c>
      <c r="CV209" s="1362">
        <f t="shared" si="191"/>
        <v>2.0065500000000003</v>
      </c>
      <c r="CW209" s="1362">
        <f t="shared" si="192"/>
        <v>8.0262000000000011</v>
      </c>
      <c r="CY209" s="2887"/>
    </row>
    <row r="210" spans="1:103" s="1143" customFormat="1" ht="84" customHeight="1" x14ac:dyDescent="0.35">
      <c r="A210" s="1132" t="s">
        <v>105</v>
      </c>
      <c r="B210" s="1132" t="s">
        <v>622</v>
      </c>
      <c r="C210" s="1132" t="s">
        <v>618</v>
      </c>
      <c r="D210" s="1359" t="s">
        <v>105</v>
      </c>
      <c r="E210" s="1359">
        <v>0</v>
      </c>
      <c r="F210" s="1132" t="s">
        <v>105</v>
      </c>
      <c r="G210" s="1132" t="s">
        <v>356</v>
      </c>
      <c r="H210" s="1360">
        <v>1.2284999999999999</v>
      </c>
      <c r="I210" s="1360">
        <v>1.2284999999999999</v>
      </c>
      <c r="J210" s="1360">
        <v>1.2284999999999999</v>
      </c>
      <c r="K210" s="1360">
        <v>1.2284999999999999</v>
      </c>
      <c r="L210" s="1132" t="s">
        <v>105</v>
      </c>
      <c r="M210" s="1132" t="str">
        <f t="shared" si="154"/>
        <v/>
      </c>
      <c r="N210" s="2449">
        <v>1</v>
      </c>
      <c r="O210" s="1361">
        <v>1</v>
      </c>
      <c r="P210" s="1361">
        <v>1</v>
      </c>
      <c r="Q210" s="1361">
        <v>1</v>
      </c>
      <c r="R210" s="1781">
        <v>0.94</v>
      </c>
      <c r="S210" s="1781">
        <v>0.94</v>
      </c>
      <c r="T210" s="1781">
        <v>0.94</v>
      </c>
      <c r="U210" s="1781">
        <v>0.94</v>
      </c>
      <c r="V210" s="2567">
        <v>0.98</v>
      </c>
      <c r="W210" s="2567">
        <v>0.98</v>
      </c>
      <c r="X210" s="2567">
        <v>0.98</v>
      </c>
      <c r="Y210" s="2567">
        <v>0.98</v>
      </c>
      <c r="Z210" s="1359">
        <v>0</v>
      </c>
      <c r="AA210" s="2567">
        <f t="shared" si="155"/>
        <v>0.98</v>
      </c>
      <c r="AB210" s="2567">
        <f t="shared" si="156"/>
        <v>0.98</v>
      </c>
      <c r="AC210" s="2567">
        <f t="shared" si="157"/>
        <v>0.98</v>
      </c>
      <c r="AD210" s="2567">
        <f t="shared" si="158"/>
        <v>0.98</v>
      </c>
      <c r="AE210" s="2567">
        <f t="shared" si="159"/>
        <v>0.98</v>
      </c>
      <c r="AF210" s="2567">
        <f t="shared" si="160"/>
        <v>0.98</v>
      </c>
      <c r="AG210" s="2567">
        <f t="shared" si="161"/>
        <v>0.98</v>
      </c>
      <c r="AH210" s="2567">
        <f t="shared" si="162"/>
        <v>0.98</v>
      </c>
      <c r="AI210" s="1362">
        <f t="shared" si="193"/>
        <v>1.1547899999999998</v>
      </c>
      <c r="AJ210" s="1362">
        <f t="shared" si="194"/>
        <v>1.1547899999999998</v>
      </c>
      <c r="AK210" s="1362">
        <f t="shared" si="195"/>
        <v>1.1547899999999998</v>
      </c>
      <c r="AL210" s="1362">
        <f t="shared" si="196"/>
        <v>1.1547899999999998</v>
      </c>
      <c r="AM210" s="1362">
        <f t="shared" si="197"/>
        <v>4.619159999999999</v>
      </c>
      <c r="AN210" s="1132" t="str">
        <f t="shared" si="163"/>
        <v>Custom</v>
      </c>
      <c r="AO210" s="1132" t="str">
        <f t="shared" si="164"/>
        <v/>
      </c>
      <c r="AP210" s="1361">
        <v>1</v>
      </c>
      <c r="AQ210" s="2568" t="s">
        <v>615</v>
      </c>
      <c r="AR210" s="2505">
        <f t="shared" si="165"/>
        <v>1.2039299999999999</v>
      </c>
      <c r="AS210" s="2505">
        <f t="shared" si="166"/>
        <v>4.9140000000000184E-2</v>
      </c>
      <c r="AT210" s="1132" t="str">
        <f t="shared" si="167"/>
        <v>Custom</v>
      </c>
      <c r="AU210" s="1132" t="str">
        <f t="shared" si="168"/>
        <v/>
      </c>
      <c r="AV210" s="1361">
        <v>1</v>
      </c>
      <c r="AW210" s="2568" t="s">
        <v>615</v>
      </c>
      <c r="AX210" s="1362">
        <f t="shared" si="169"/>
        <v>1.2039299999999999</v>
      </c>
      <c r="AY210" s="1360">
        <f t="shared" si="170"/>
        <v>4.9140000000000184E-2</v>
      </c>
      <c r="AZ210" s="1132" t="str">
        <f t="shared" si="171"/>
        <v>Custom</v>
      </c>
      <c r="BA210" s="1132" t="str">
        <f t="shared" si="172"/>
        <v/>
      </c>
      <c r="BB210" s="1361">
        <v>1</v>
      </c>
      <c r="BC210" s="2568" t="s">
        <v>615</v>
      </c>
      <c r="BD210" s="1362">
        <f t="shared" si="173"/>
        <v>1.2039299999999999</v>
      </c>
      <c r="BE210" s="1360">
        <f t="shared" si="174"/>
        <v>4.9140000000000184E-2</v>
      </c>
      <c r="BF210" s="1132" t="str">
        <f t="shared" si="175"/>
        <v>Custom</v>
      </c>
      <c r="BG210" s="1132" t="str">
        <f t="shared" si="176"/>
        <v/>
      </c>
      <c r="BH210" s="1361">
        <v>1</v>
      </c>
      <c r="BI210" s="2568" t="s">
        <v>615</v>
      </c>
      <c r="BJ210" s="1362">
        <f t="shared" si="198"/>
        <v>1.2039299999999999</v>
      </c>
      <c r="BK210" s="1360">
        <f t="shared" si="177"/>
        <v>4.9140000000000184E-2</v>
      </c>
      <c r="BL210" s="1601">
        <f t="shared" si="178"/>
        <v>1.2039299999999999</v>
      </c>
      <c r="BM210" s="1601">
        <f t="shared" si="179"/>
        <v>1.2039299999999999</v>
      </c>
      <c r="BN210" s="1601">
        <f t="shared" si="180"/>
        <v>1.2039299999999999</v>
      </c>
      <c r="BO210" s="1601">
        <f t="shared" si="181"/>
        <v>1.2039299999999999</v>
      </c>
      <c r="BP210" s="1602">
        <f t="shared" si="182"/>
        <v>4.8157199999999998</v>
      </c>
      <c r="BQ210" s="1602"/>
      <c r="BR210" s="1602"/>
      <c r="BS210" s="1602">
        <v>0</v>
      </c>
      <c r="BT210" s="1602">
        <v>0</v>
      </c>
      <c r="BU210" s="1602">
        <v>0</v>
      </c>
      <c r="BV210" s="1602">
        <v>0</v>
      </c>
      <c r="BW210" s="1602">
        <v>0</v>
      </c>
      <c r="BX210" s="1362">
        <f t="shared" si="199"/>
        <v>0</v>
      </c>
      <c r="BY210" s="1362">
        <f t="shared" si="200"/>
        <v>0</v>
      </c>
      <c r="BZ210" s="1362">
        <f t="shared" si="201"/>
        <v>0</v>
      </c>
      <c r="CA210" s="1362">
        <f t="shared" si="202"/>
        <v>0</v>
      </c>
      <c r="CB210" s="1362">
        <f t="shared" si="203"/>
        <v>0</v>
      </c>
      <c r="CC210" s="1360">
        <v>0</v>
      </c>
      <c r="CD210" s="1360">
        <v>0</v>
      </c>
      <c r="CE210" s="1360">
        <v>0</v>
      </c>
      <c r="CF210" s="1360">
        <v>0</v>
      </c>
      <c r="CG210" s="1604">
        <f t="shared" si="183"/>
        <v>0</v>
      </c>
      <c r="CH210" s="1604">
        <f t="shared" si="184"/>
        <v>0</v>
      </c>
      <c r="CI210" s="1604">
        <f t="shared" si="185"/>
        <v>0</v>
      </c>
      <c r="CJ210" s="1604">
        <f t="shared" si="186"/>
        <v>0</v>
      </c>
      <c r="CK210" s="1521">
        <f t="shared" si="187"/>
        <v>0</v>
      </c>
      <c r="CL210" s="1132">
        <v>203</v>
      </c>
      <c r="CM210" s="1132" t="s">
        <v>356</v>
      </c>
      <c r="CN210" s="1359">
        <v>0</v>
      </c>
      <c r="CO210" s="1360">
        <v>1.2284999999999999</v>
      </c>
      <c r="CP210" s="1360">
        <v>1.2284999999999999</v>
      </c>
      <c r="CQ210" s="1360">
        <v>1.2284999999999999</v>
      </c>
      <c r="CR210" s="1360">
        <v>1.2284999999999999</v>
      </c>
      <c r="CS210" s="1362">
        <f t="shared" si="188"/>
        <v>1.2039299999999999</v>
      </c>
      <c r="CT210" s="1362">
        <f t="shared" si="189"/>
        <v>1.2039299999999999</v>
      </c>
      <c r="CU210" s="1362">
        <f t="shared" si="190"/>
        <v>1.2039299999999999</v>
      </c>
      <c r="CV210" s="1362">
        <f t="shared" si="191"/>
        <v>1.2039299999999999</v>
      </c>
      <c r="CW210" s="1362">
        <f t="shared" si="192"/>
        <v>4.8157199999999998</v>
      </c>
      <c r="CY210" s="2887"/>
    </row>
    <row r="211" spans="1:103" s="1143" customFormat="1" ht="72.75" customHeight="1" x14ac:dyDescent="0.35">
      <c r="A211" s="1132" t="s">
        <v>105</v>
      </c>
      <c r="B211" s="1132" t="s">
        <v>622</v>
      </c>
      <c r="C211" s="1132" t="s">
        <v>619</v>
      </c>
      <c r="D211" s="1359" t="s">
        <v>105</v>
      </c>
      <c r="E211" s="1359">
        <f>IF(AI211-AR211=0,0,1)</f>
        <v>0</v>
      </c>
      <c r="F211" s="1132" t="s">
        <v>105</v>
      </c>
      <c r="G211" s="1132" t="s">
        <v>356</v>
      </c>
      <c r="H211" s="1360">
        <v>0.81900000000000006</v>
      </c>
      <c r="I211" s="1360">
        <v>0.81900000000000006</v>
      </c>
      <c r="J211" s="1360">
        <v>0.81900000000000006</v>
      </c>
      <c r="K211" s="1360">
        <v>0.81900000000000006</v>
      </c>
      <c r="L211" s="1132" t="s">
        <v>105</v>
      </c>
      <c r="M211" s="1132" t="str">
        <f t="shared" si="154"/>
        <v/>
      </c>
      <c r="N211" s="1361">
        <v>0</v>
      </c>
      <c r="O211" s="1361">
        <v>0</v>
      </c>
      <c r="P211" s="1361">
        <v>0</v>
      </c>
      <c r="Q211" s="1361">
        <v>0</v>
      </c>
      <c r="R211" s="1781">
        <v>0.8</v>
      </c>
      <c r="S211" s="1781">
        <v>0.8</v>
      </c>
      <c r="T211" s="1781">
        <v>0.8</v>
      </c>
      <c r="U211" s="1781">
        <v>0.8</v>
      </c>
      <c r="V211" s="1781">
        <v>0.8</v>
      </c>
      <c r="W211" s="1781">
        <v>0.8</v>
      </c>
      <c r="X211" s="1781">
        <v>0.8</v>
      </c>
      <c r="Y211" s="1781">
        <v>0.8</v>
      </c>
      <c r="Z211" s="1359">
        <v>0</v>
      </c>
      <c r="AA211" s="1781">
        <f t="shared" si="155"/>
        <v>0.8</v>
      </c>
      <c r="AB211" s="1781">
        <f t="shared" si="156"/>
        <v>0.8</v>
      </c>
      <c r="AC211" s="1781">
        <f t="shared" si="157"/>
        <v>0.8</v>
      </c>
      <c r="AD211" s="1781">
        <f t="shared" si="158"/>
        <v>0.8</v>
      </c>
      <c r="AE211" s="1781">
        <f t="shared" si="159"/>
        <v>0.8</v>
      </c>
      <c r="AF211" s="1781">
        <f t="shared" si="160"/>
        <v>0.8</v>
      </c>
      <c r="AG211" s="1781">
        <f t="shared" si="161"/>
        <v>0.8</v>
      </c>
      <c r="AH211" s="1781">
        <f t="shared" si="162"/>
        <v>0.8</v>
      </c>
      <c r="AI211" s="1362">
        <f t="shared" si="193"/>
        <v>0</v>
      </c>
      <c r="AJ211" s="1362">
        <f t="shared" si="194"/>
        <v>0</v>
      </c>
      <c r="AK211" s="1362">
        <f t="shared" si="195"/>
        <v>0</v>
      </c>
      <c r="AL211" s="1362">
        <f t="shared" si="196"/>
        <v>0</v>
      </c>
      <c r="AM211" s="1362">
        <f t="shared" si="197"/>
        <v>0</v>
      </c>
      <c r="AN211" s="1132" t="str">
        <f t="shared" si="163"/>
        <v>Custom</v>
      </c>
      <c r="AO211" s="1132" t="str">
        <f t="shared" si="164"/>
        <v/>
      </c>
      <c r="AP211" s="2505">
        <v>0</v>
      </c>
      <c r="AQ211" s="2505"/>
      <c r="AR211" s="2505">
        <f t="shared" si="165"/>
        <v>0</v>
      </c>
      <c r="AS211" s="2505">
        <f t="shared" si="166"/>
        <v>0</v>
      </c>
      <c r="AT211" s="1132" t="str">
        <f t="shared" si="167"/>
        <v>Custom</v>
      </c>
      <c r="AU211" s="1132" t="str">
        <f t="shared" si="168"/>
        <v/>
      </c>
      <c r="AV211" s="2505">
        <v>0</v>
      </c>
      <c r="AW211" s="2505"/>
      <c r="AX211" s="1362">
        <f t="shared" si="169"/>
        <v>0</v>
      </c>
      <c r="AY211" s="1360">
        <f t="shared" si="170"/>
        <v>0</v>
      </c>
      <c r="AZ211" s="1132" t="str">
        <f t="shared" si="171"/>
        <v>Custom</v>
      </c>
      <c r="BA211" s="1132" t="str">
        <f t="shared" si="172"/>
        <v/>
      </c>
      <c r="BB211" s="2505">
        <v>0</v>
      </c>
      <c r="BC211" s="2505"/>
      <c r="BD211" s="1362">
        <f t="shared" si="173"/>
        <v>0</v>
      </c>
      <c r="BE211" s="1360">
        <f t="shared" si="174"/>
        <v>0</v>
      </c>
      <c r="BF211" s="1132" t="str">
        <f t="shared" si="175"/>
        <v>Custom</v>
      </c>
      <c r="BG211" s="1132" t="str">
        <f t="shared" si="176"/>
        <v/>
      </c>
      <c r="BH211" s="2505">
        <v>0</v>
      </c>
      <c r="BI211" s="2505"/>
      <c r="BJ211" s="1362">
        <f t="shared" si="198"/>
        <v>0</v>
      </c>
      <c r="BK211" s="1360">
        <f t="shared" si="177"/>
        <v>0</v>
      </c>
      <c r="BL211" s="1601">
        <f t="shared" si="178"/>
        <v>0</v>
      </c>
      <c r="BM211" s="1601">
        <f t="shared" si="179"/>
        <v>0</v>
      </c>
      <c r="BN211" s="1601">
        <f t="shared" si="180"/>
        <v>0</v>
      </c>
      <c r="BO211" s="1601">
        <f t="shared" si="181"/>
        <v>0</v>
      </c>
      <c r="BP211" s="1602">
        <f t="shared" si="182"/>
        <v>0</v>
      </c>
      <c r="BQ211" s="1602"/>
      <c r="BR211" s="1602"/>
      <c r="BS211" s="1602">
        <v>0</v>
      </c>
      <c r="BT211" s="1602">
        <v>1</v>
      </c>
      <c r="BU211" s="1602">
        <v>1</v>
      </c>
      <c r="BV211" s="1602">
        <v>1</v>
      </c>
      <c r="BW211" s="1602">
        <v>1</v>
      </c>
      <c r="BX211" s="1362">
        <f t="shared" si="199"/>
        <v>0</v>
      </c>
      <c r="BY211" s="1362">
        <f t="shared" si="200"/>
        <v>0</v>
      </c>
      <c r="BZ211" s="1362">
        <f t="shared" si="201"/>
        <v>0</v>
      </c>
      <c r="CA211" s="1362">
        <f t="shared" si="202"/>
        <v>0</v>
      </c>
      <c r="CB211" s="1362">
        <f t="shared" si="203"/>
        <v>0</v>
      </c>
      <c r="CC211" s="1360">
        <v>1</v>
      </c>
      <c r="CD211" s="1360">
        <v>1</v>
      </c>
      <c r="CE211" s="1360">
        <v>1</v>
      </c>
      <c r="CF211" s="1360">
        <v>1</v>
      </c>
      <c r="CG211" s="1604">
        <f t="shared" si="183"/>
        <v>0</v>
      </c>
      <c r="CH211" s="1604">
        <f t="shared" si="184"/>
        <v>0</v>
      </c>
      <c r="CI211" s="1604">
        <f t="shared" si="185"/>
        <v>0</v>
      </c>
      <c r="CJ211" s="1604">
        <f t="shared" si="186"/>
        <v>0</v>
      </c>
      <c r="CK211" s="1521">
        <f t="shared" si="187"/>
        <v>0</v>
      </c>
      <c r="CL211" s="1132">
        <v>204</v>
      </c>
      <c r="CM211" s="1132" t="s">
        <v>356</v>
      </c>
      <c r="CN211" s="1359">
        <v>0</v>
      </c>
      <c r="CO211" s="1360">
        <v>0.81900000000000006</v>
      </c>
      <c r="CP211" s="1360">
        <v>0.81900000000000006</v>
      </c>
      <c r="CQ211" s="1360">
        <v>0.81900000000000006</v>
      </c>
      <c r="CR211" s="1360">
        <v>0.81900000000000006</v>
      </c>
      <c r="CS211" s="1362">
        <f t="shared" si="188"/>
        <v>0</v>
      </c>
      <c r="CT211" s="1362">
        <f t="shared" si="189"/>
        <v>0</v>
      </c>
      <c r="CU211" s="1362">
        <f t="shared" si="190"/>
        <v>0</v>
      </c>
      <c r="CV211" s="1362">
        <f t="shared" si="191"/>
        <v>0</v>
      </c>
      <c r="CW211" s="1362">
        <f t="shared" si="192"/>
        <v>0</v>
      </c>
      <c r="CY211" s="2887"/>
    </row>
    <row r="212" spans="1:103" s="1143" customFormat="1" ht="75" customHeight="1" x14ac:dyDescent="0.35">
      <c r="A212" s="1132" t="s">
        <v>105</v>
      </c>
      <c r="B212" s="1132" t="s">
        <v>622</v>
      </c>
      <c r="C212" s="1132" t="s">
        <v>627</v>
      </c>
      <c r="D212" s="1359" t="s">
        <v>105</v>
      </c>
      <c r="E212" s="1359">
        <f>IF(AI212-AR212=0,0,1)</f>
        <v>0</v>
      </c>
      <c r="F212" s="1132" t="s">
        <v>105</v>
      </c>
      <c r="G212" s="1132" t="s">
        <v>356</v>
      </c>
      <c r="H212" s="1360">
        <v>0.52500000000000002</v>
      </c>
      <c r="I212" s="1360">
        <v>0.52500000000000002</v>
      </c>
      <c r="J212" s="1360">
        <v>0.52500000000000002</v>
      </c>
      <c r="K212" s="1360">
        <v>0.52500000000000002</v>
      </c>
      <c r="L212" s="1132" t="s">
        <v>105</v>
      </c>
      <c r="M212" s="1132" t="str">
        <f t="shared" si="154"/>
        <v/>
      </c>
      <c r="N212" s="1361">
        <v>58417.020000000004</v>
      </c>
      <c r="O212" s="1361">
        <v>58417.020000000004</v>
      </c>
      <c r="P212" s="1361">
        <v>58417.020000000004</v>
      </c>
      <c r="Q212" s="1361">
        <v>58417.020000000004</v>
      </c>
      <c r="R212" s="1781">
        <v>0.8</v>
      </c>
      <c r="S212" s="1781">
        <v>0.8</v>
      </c>
      <c r="T212" s="1781">
        <v>0.8</v>
      </c>
      <c r="U212" s="1781">
        <v>0.8</v>
      </c>
      <c r="V212" s="1781">
        <v>0.8</v>
      </c>
      <c r="W212" s="1781">
        <v>0.8</v>
      </c>
      <c r="X212" s="1781">
        <v>0.8</v>
      </c>
      <c r="Y212" s="1781">
        <v>0.8</v>
      </c>
      <c r="Z212" s="1359">
        <v>0</v>
      </c>
      <c r="AA212" s="1781">
        <f t="shared" si="155"/>
        <v>0.8</v>
      </c>
      <c r="AB212" s="1781">
        <f t="shared" si="156"/>
        <v>0.8</v>
      </c>
      <c r="AC212" s="1781">
        <f t="shared" si="157"/>
        <v>0.8</v>
      </c>
      <c r="AD212" s="1781">
        <f t="shared" si="158"/>
        <v>0.8</v>
      </c>
      <c r="AE212" s="1781">
        <f t="shared" si="159"/>
        <v>0.8</v>
      </c>
      <c r="AF212" s="1781">
        <f t="shared" si="160"/>
        <v>0.8</v>
      </c>
      <c r="AG212" s="1781">
        <f t="shared" si="161"/>
        <v>0.8</v>
      </c>
      <c r="AH212" s="1781">
        <f t="shared" si="162"/>
        <v>0.8</v>
      </c>
      <c r="AI212" s="1362">
        <f t="shared" si="193"/>
        <v>24535.148400000005</v>
      </c>
      <c r="AJ212" s="1362">
        <f t="shared" si="194"/>
        <v>24535.148400000005</v>
      </c>
      <c r="AK212" s="1362">
        <f t="shared" si="195"/>
        <v>24535.148400000005</v>
      </c>
      <c r="AL212" s="1362">
        <f t="shared" si="196"/>
        <v>24535.148400000005</v>
      </c>
      <c r="AM212" s="1362">
        <f t="shared" si="197"/>
        <v>98140.593600000022</v>
      </c>
      <c r="AN212" s="1132" t="str">
        <f t="shared" si="163"/>
        <v>Custom</v>
      </c>
      <c r="AO212" s="1132" t="str">
        <f t="shared" si="164"/>
        <v/>
      </c>
      <c r="AP212" s="2505">
        <v>58417.020000000004</v>
      </c>
      <c r="AQ212" s="2505"/>
      <c r="AR212" s="2505">
        <f t="shared" si="165"/>
        <v>24535.148400000005</v>
      </c>
      <c r="AS212" s="2505">
        <f t="shared" si="166"/>
        <v>0</v>
      </c>
      <c r="AT212" s="1132" t="str">
        <f t="shared" si="167"/>
        <v>Custom</v>
      </c>
      <c r="AU212" s="1132" t="str">
        <f t="shared" si="168"/>
        <v/>
      </c>
      <c r="AV212" s="2505">
        <v>58417.020000000004</v>
      </c>
      <c r="AW212" s="2505"/>
      <c r="AX212" s="1362">
        <f t="shared" si="169"/>
        <v>24535.148400000005</v>
      </c>
      <c r="AY212" s="1360">
        <f t="shared" si="170"/>
        <v>0</v>
      </c>
      <c r="AZ212" s="1132" t="str">
        <f t="shared" si="171"/>
        <v>Custom</v>
      </c>
      <c r="BA212" s="1132" t="str">
        <f t="shared" si="172"/>
        <v/>
      </c>
      <c r="BB212" s="2505">
        <v>58417.020000000004</v>
      </c>
      <c r="BC212" s="2505"/>
      <c r="BD212" s="1362">
        <f t="shared" si="173"/>
        <v>24535.148400000005</v>
      </c>
      <c r="BE212" s="1360">
        <f t="shared" si="174"/>
        <v>0</v>
      </c>
      <c r="BF212" s="1132" t="str">
        <f t="shared" si="175"/>
        <v>Custom</v>
      </c>
      <c r="BG212" s="1132" t="str">
        <f t="shared" si="176"/>
        <v/>
      </c>
      <c r="BH212" s="2505">
        <v>58417.020000000004</v>
      </c>
      <c r="BI212" s="2505"/>
      <c r="BJ212" s="1362">
        <f t="shared" si="198"/>
        <v>24535.148400000005</v>
      </c>
      <c r="BK212" s="1360">
        <f t="shared" si="177"/>
        <v>0</v>
      </c>
      <c r="BL212" s="1601">
        <f t="shared" si="178"/>
        <v>24535.148400000005</v>
      </c>
      <c r="BM212" s="1601">
        <f t="shared" si="179"/>
        <v>24535.148400000005</v>
      </c>
      <c r="BN212" s="1601">
        <f t="shared" si="180"/>
        <v>24535.148400000005</v>
      </c>
      <c r="BO212" s="1601">
        <f t="shared" si="181"/>
        <v>24535.148400000005</v>
      </c>
      <c r="BP212" s="1602">
        <f t="shared" si="182"/>
        <v>98140.593600000022</v>
      </c>
      <c r="BQ212" s="1602"/>
      <c r="BR212" s="1602"/>
      <c r="BS212" s="1602">
        <v>0</v>
      </c>
      <c r="BT212" s="1602">
        <v>25</v>
      </c>
      <c r="BU212" s="1602">
        <v>25</v>
      </c>
      <c r="BV212" s="1602">
        <v>25</v>
      </c>
      <c r="BW212" s="1602">
        <v>25</v>
      </c>
      <c r="BX212" s="1362">
        <f t="shared" si="199"/>
        <v>613378.7100000002</v>
      </c>
      <c r="BY212" s="1362">
        <f t="shared" si="200"/>
        <v>613378.7100000002</v>
      </c>
      <c r="BZ212" s="1362">
        <f t="shared" si="201"/>
        <v>613378.7100000002</v>
      </c>
      <c r="CA212" s="1362">
        <f t="shared" si="202"/>
        <v>613378.7100000002</v>
      </c>
      <c r="CB212" s="1362">
        <f t="shared" si="203"/>
        <v>2453514.8400000008</v>
      </c>
      <c r="CC212" s="1360">
        <v>25</v>
      </c>
      <c r="CD212" s="1360">
        <v>25</v>
      </c>
      <c r="CE212" s="1360">
        <v>25</v>
      </c>
      <c r="CF212" s="1360">
        <v>25</v>
      </c>
      <c r="CG212" s="1604">
        <f t="shared" si="183"/>
        <v>613378.7100000002</v>
      </c>
      <c r="CH212" s="1604">
        <f t="shared" si="184"/>
        <v>613378.7100000002</v>
      </c>
      <c r="CI212" s="1604">
        <f t="shared" si="185"/>
        <v>613378.7100000002</v>
      </c>
      <c r="CJ212" s="1604">
        <f t="shared" si="186"/>
        <v>613378.7100000002</v>
      </c>
      <c r="CK212" s="1521">
        <f t="shared" si="187"/>
        <v>2453514.8400000008</v>
      </c>
      <c r="CL212" s="1132">
        <v>205</v>
      </c>
      <c r="CM212" s="1132" t="s">
        <v>356</v>
      </c>
      <c r="CN212" s="1359">
        <v>0</v>
      </c>
      <c r="CO212" s="1360">
        <v>0.52500000000000002</v>
      </c>
      <c r="CP212" s="1360">
        <v>0.52500000000000002</v>
      </c>
      <c r="CQ212" s="1360">
        <v>0.52500000000000002</v>
      </c>
      <c r="CR212" s="1360">
        <v>0.52500000000000002</v>
      </c>
      <c r="CS212" s="1362">
        <f t="shared" si="188"/>
        <v>24535.148400000005</v>
      </c>
      <c r="CT212" s="1362">
        <f t="shared" si="189"/>
        <v>24535.148400000005</v>
      </c>
      <c r="CU212" s="1362">
        <f t="shared" si="190"/>
        <v>24535.148400000005</v>
      </c>
      <c r="CV212" s="1362">
        <f t="shared" si="191"/>
        <v>24535.148400000005</v>
      </c>
      <c r="CW212" s="1362">
        <f t="shared" si="192"/>
        <v>98140.593600000022</v>
      </c>
      <c r="CY212" s="2887"/>
    </row>
    <row r="213" spans="1:103" s="1143" customFormat="1" ht="31" x14ac:dyDescent="0.35">
      <c r="A213" s="1132" t="s">
        <v>105</v>
      </c>
      <c r="B213" s="1132" t="s">
        <v>622</v>
      </c>
      <c r="C213" s="1132" t="s">
        <v>613</v>
      </c>
      <c r="D213" s="1359" t="s">
        <v>105</v>
      </c>
      <c r="E213" s="1359">
        <f>IF(AI213-AR213=0,0,1)</f>
        <v>0</v>
      </c>
      <c r="F213" s="1132" t="s">
        <v>105</v>
      </c>
      <c r="G213" s="1132" t="s">
        <v>356</v>
      </c>
      <c r="H213" s="1360">
        <v>2.0475000000000003</v>
      </c>
      <c r="I213" s="1360">
        <v>2.0475000000000003</v>
      </c>
      <c r="J213" s="1360">
        <v>2.0475000000000003</v>
      </c>
      <c r="K213" s="1360">
        <v>2.0475000000000003</v>
      </c>
      <c r="L213" s="1132" t="s">
        <v>105</v>
      </c>
      <c r="M213" s="1132" t="str">
        <f t="shared" si="154"/>
        <v/>
      </c>
      <c r="N213" s="1361">
        <v>0</v>
      </c>
      <c r="O213" s="1361">
        <v>0</v>
      </c>
      <c r="P213" s="1361">
        <v>0</v>
      </c>
      <c r="Q213" s="1361">
        <v>0</v>
      </c>
      <c r="R213" s="1781">
        <v>0.79</v>
      </c>
      <c r="S213" s="1781">
        <v>0.79</v>
      </c>
      <c r="T213" s="1781">
        <v>0.79</v>
      </c>
      <c r="U213" s="1781">
        <v>0.79</v>
      </c>
      <c r="V213" s="2567">
        <v>0.84</v>
      </c>
      <c r="W213" s="2567">
        <v>0.84</v>
      </c>
      <c r="X213" s="2567">
        <v>0.84</v>
      </c>
      <c r="Y213" s="2567">
        <v>0.84</v>
      </c>
      <c r="Z213" s="1359">
        <v>0</v>
      </c>
      <c r="AA213" s="2567">
        <f t="shared" si="155"/>
        <v>0.84</v>
      </c>
      <c r="AB213" s="2567">
        <f t="shared" si="156"/>
        <v>0.84</v>
      </c>
      <c r="AC213" s="2567">
        <f t="shared" si="157"/>
        <v>0.84</v>
      </c>
      <c r="AD213" s="2567">
        <f t="shared" si="158"/>
        <v>0.84</v>
      </c>
      <c r="AE213" s="2567">
        <f t="shared" si="159"/>
        <v>0.84</v>
      </c>
      <c r="AF213" s="2567">
        <f t="shared" si="160"/>
        <v>0.84</v>
      </c>
      <c r="AG213" s="2567">
        <f t="shared" si="161"/>
        <v>0.84</v>
      </c>
      <c r="AH213" s="2567">
        <f t="shared" si="162"/>
        <v>0.84</v>
      </c>
      <c r="AI213" s="1362">
        <f t="shared" si="193"/>
        <v>0</v>
      </c>
      <c r="AJ213" s="1362">
        <f t="shared" si="194"/>
        <v>0</v>
      </c>
      <c r="AK213" s="1362">
        <f t="shared" si="195"/>
        <v>0</v>
      </c>
      <c r="AL213" s="1362">
        <f t="shared" si="196"/>
        <v>0</v>
      </c>
      <c r="AM213" s="1362">
        <f t="shared" si="197"/>
        <v>0</v>
      </c>
      <c r="AN213" s="1132" t="str">
        <f t="shared" si="163"/>
        <v>Custom</v>
      </c>
      <c r="AO213" s="1132" t="str">
        <f t="shared" si="164"/>
        <v/>
      </c>
      <c r="AP213" s="2505">
        <v>0</v>
      </c>
      <c r="AQ213" s="2568" t="s">
        <v>610</v>
      </c>
      <c r="AR213" s="2505">
        <f t="shared" si="165"/>
        <v>0</v>
      </c>
      <c r="AS213" s="2505">
        <f t="shared" si="166"/>
        <v>0</v>
      </c>
      <c r="AT213" s="1132" t="str">
        <f t="shared" si="167"/>
        <v>Custom</v>
      </c>
      <c r="AU213" s="1132" t="str">
        <f t="shared" si="168"/>
        <v/>
      </c>
      <c r="AV213" s="2505">
        <v>0</v>
      </c>
      <c r="AW213" s="2568" t="s">
        <v>610</v>
      </c>
      <c r="AX213" s="1362">
        <f t="shared" si="169"/>
        <v>0</v>
      </c>
      <c r="AY213" s="1360">
        <f t="shared" si="170"/>
        <v>0</v>
      </c>
      <c r="AZ213" s="1132" t="str">
        <f t="shared" si="171"/>
        <v>Custom</v>
      </c>
      <c r="BA213" s="1132" t="str">
        <f t="shared" si="172"/>
        <v/>
      </c>
      <c r="BB213" s="2505">
        <v>0</v>
      </c>
      <c r="BC213" s="2568" t="s">
        <v>610</v>
      </c>
      <c r="BD213" s="1362">
        <f t="shared" si="173"/>
        <v>0</v>
      </c>
      <c r="BE213" s="1360">
        <f t="shared" si="174"/>
        <v>0</v>
      </c>
      <c r="BF213" s="1132" t="str">
        <f t="shared" si="175"/>
        <v>Custom</v>
      </c>
      <c r="BG213" s="1132" t="str">
        <f t="shared" si="176"/>
        <v/>
      </c>
      <c r="BH213" s="2505">
        <v>0</v>
      </c>
      <c r="BI213" s="2568" t="s">
        <v>610</v>
      </c>
      <c r="BJ213" s="1362">
        <f t="shared" si="198"/>
        <v>0</v>
      </c>
      <c r="BK213" s="1360">
        <f t="shared" si="177"/>
        <v>0</v>
      </c>
      <c r="BL213" s="1601">
        <f t="shared" si="178"/>
        <v>0</v>
      </c>
      <c r="BM213" s="1601">
        <f t="shared" si="179"/>
        <v>0</v>
      </c>
      <c r="BN213" s="1601">
        <f t="shared" si="180"/>
        <v>0</v>
      </c>
      <c r="BO213" s="1601">
        <f t="shared" si="181"/>
        <v>0</v>
      </c>
      <c r="BP213" s="1602">
        <f t="shared" si="182"/>
        <v>0</v>
      </c>
      <c r="BQ213" s="1602"/>
      <c r="BR213" s="1602"/>
      <c r="BS213" s="1602">
        <v>0</v>
      </c>
      <c r="BT213" s="1602">
        <v>1</v>
      </c>
      <c r="BU213" s="1602">
        <v>1</v>
      </c>
      <c r="BV213" s="1602">
        <v>1</v>
      </c>
      <c r="BW213" s="1602">
        <v>1</v>
      </c>
      <c r="BX213" s="1362">
        <f t="shared" si="199"/>
        <v>0</v>
      </c>
      <c r="BY213" s="1362">
        <f t="shared" si="200"/>
        <v>0</v>
      </c>
      <c r="BZ213" s="1362">
        <f t="shared" si="201"/>
        <v>0</v>
      </c>
      <c r="CA213" s="1362">
        <f t="shared" si="202"/>
        <v>0</v>
      </c>
      <c r="CB213" s="1362">
        <f t="shared" si="203"/>
        <v>0</v>
      </c>
      <c r="CC213" s="1360">
        <v>1</v>
      </c>
      <c r="CD213" s="1360">
        <v>1</v>
      </c>
      <c r="CE213" s="1360">
        <v>1</v>
      </c>
      <c r="CF213" s="1360">
        <v>1</v>
      </c>
      <c r="CG213" s="1604">
        <f t="shared" si="183"/>
        <v>0</v>
      </c>
      <c r="CH213" s="1604">
        <f t="shared" si="184"/>
        <v>0</v>
      </c>
      <c r="CI213" s="1604">
        <f t="shared" si="185"/>
        <v>0</v>
      </c>
      <c r="CJ213" s="1604">
        <f t="shared" si="186"/>
        <v>0</v>
      </c>
      <c r="CK213" s="1521">
        <f t="shared" si="187"/>
        <v>0</v>
      </c>
      <c r="CL213" s="1132">
        <v>206</v>
      </c>
      <c r="CM213" s="1132" t="s">
        <v>356</v>
      </c>
      <c r="CN213" s="1359">
        <v>0</v>
      </c>
      <c r="CO213" s="1360">
        <v>2.0475000000000003</v>
      </c>
      <c r="CP213" s="1360">
        <v>2.0475000000000003</v>
      </c>
      <c r="CQ213" s="1360">
        <v>2.0475000000000003</v>
      </c>
      <c r="CR213" s="1360">
        <v>2.0475000000000003</v>
      </c>
      <c r="CS213" s="1362">
        <f t="shared" si="188"/>
        <v>0</v>
      </c>
      <c r="CT213" s="1362">
        <f t="shared" si="189"/>
        <v>0</v>
      </c>
      <c r="CU213" s="1362">
        <f t="shared" si="190"/>
        <v>0</v>
      </c>
      <c r="CV213" s="1362">
        <f t="shared" si="191"/>
        <v>0</v>
      </c>
      <c r="CW213" s="1362">
        <f t="shared" si="192"/>
        <v>0</v>
      </c>
      <c r="CY213" s="2887"/>
    </row>
    <row r="214" spans="1:103" s="1143" customFormat="1" ht="22.5" customHeight="1" x14ac:dyDescent="0.35">
      <c r="A214" s="1132" t="s">
        <v>105</v>
      </c>
      <c r="B214" s="1132" t="s">
        <v>622</v>
      </c>
      <c r="C214" s="1132" t="s">
        <v>621</v>
      </c>
      <c r="D214" s="1359" t="s">
        <v>105</v>
      </c>
      <c r="E214" s="1359">
        <v>0</v>
      </c>
      <c r="F214" s="1132" t="s">
        <v>105</v>
      </c>
      <c r="G214" s="1132" t="s">
        <v>328</v>
      </c>
      <c r="H214" s="1360">
        <v>1.05</v>
      </c>
      <c r="I214" s="1360">
        <v>1.05</v>
      </c>
      <c r="J214" s="1360">
        <v>1.05</v>
      </c>
      <c r="K214" s="1360">
        <v>1.05</v>
      </c>
      <c r="L214" s="1132" t="s">
        <v>105</v>
      </c>
      <c r="M214" s="1132" t="str">
        <f t="shared" si="154"/>
        <v/>
      </c>
      <c r="N214" s="1361">
        <v>7636.0050000000001</v>
      </c>
      <c r="O214" s="1361">
        <v>7636.0050000000001</v>
      </c>
      <c r="P214" s="1361">
        <v>7636.0050000000001</v>
      </c>
      <c r="Q214" s="1361">
        <v>7636.0050000000001</v>
      </c>
      <c r="R214" s="1781">
        <v>0.79</v>
      </c>
      <c r="S214" s="1781">
        <v>0.79</v>
      </c>
      <c r="T214" s="1781">
        <v>0.79</v>
      </c>
      <c r="U214" s="1781">
        <v>0.79</v>
      </c>
      <c r="V214" s="2567">
        <v>0.84</v>
      </c>
      <c r="W214" s="2567">
        <v>0.84</v>
      </c>
      <c r="X214" s="2567">
        <v>0.84</v>
      </c>
      <c r="Y214" s="2567">
        <v>0.84</v>
      </c>
      <c r="Z214" s="1359">
        <v>0</v>
      </c>
      <c r="AA214" s="2567">
        <f t="shared" si="155"/>
        <v>0.84</v>
      </c>
      <c r="AB214" s="2567">
        <f t="shared" si="156"/>
        <v>0.84</v>
      </c>
      <c r="AC214" s="2567">
        <f t="shared" si="157"/>
        <v>0.84</v>
      </c>
      <c r="AD214" s="2567">
        <f t="shared" si="158"/>
        <v>0.84</v>
      </c>
      <c r="AE214" s="2567">
        <f t="shared" si="159"/>
        <v>0.84</v>
      </c>
      <c r="AF214" s="2567">
        <f t="shared" si="160"/>
        <v>0.84</v>
      </c>
      <c r="AG214" s="2567">
        <f t="shared" si="161"/>
        <v>0.84</v>
      </c>
      <c r="AH214" s="2567">
        <f t="shared" si="162"/>
        <v>0.84</v>
      </c>
      <c r="AI214" s="1362">
        <f t="shared" si="193"/>
        <v>6334.0661475000006</v>
      </c>
      <c r="AJ214" s="1362">
        <f t="shared" si="194"/>
        <v>6334.0661475000006</v>
      </c>
      <c r="AK214" s="1362">
        <f t="shared" si="195"/>
        <v>6334.0661475000006</v>
      </c>
      <c r="AL214" s="1362">
        <f t="shared" si="196"/>
        <v>6334.0661475000006</v>
      </c>
      <c r="AM214" s="1362">
        <f t="shared" si="197"/>
        <v>25336.264590000002</v>
      </c>
      <c r="AN214" s="1132" t="str">
        <f t="shared" si="163"/>
        <v>Custom</v>
      </c>
      <c r="AO214" s="1132" t="str">
        <f t="shared" si="164"/>
        <v/>
      </c>
      <c r="AP214" s="2505">
        <v>7636.0050000000001</v>
      </c>
      <c r="AQ214" s="2568" t="s">
        <v>610</v>
      </c>
      <c r="AR214" s="2505">
        <f t="shared" si="165"/>
        <v>6734.9564099999998</v>
      </c>
      <c r="AS214" s="2505">
        <f t="shared" si="166"/>
        <v>400.89026249999915</v>
      </c>
      <c r="AT214" s="1132" t="str">
        <f t="shared" si="167"/>
        <v>Custom</v>
      </c>
      <c r="AU214" s="1132" t="str">
        <f t="shared" si="168"/>
        <v/>
      </c>
      <c r="AV214" s="2505">
        <v>7636.0050000000001</v>
      </c>
      <c r="AW214" s="2568" t="s">
        <v>610</v>
      </c>
      <c r="AX214" s="1362">
        <f t="shared" si="169"/>
        <v>6734.9564099999998</v>
      </c>
      <c r="AY214" s="1360">
        <f t="shared" si="170"/>
        <v>400.89026249999915</v>
      </c>
      <c r="AZ214" s="1132" t="str">
        <f t="shared" si="171"/>
        <v>Custom</v>
      </c>
      <c r="BA214" s="1132" t="str">
        <f t="shared" si="172"/>
        <v/>
      </c>
      <c r="BB214" s="2505">
        <v>7636.0050000000001</v>
      </c>
      <c r="BC214" s="2568" t="s">
        <v>610</v>
      </c>
      <c r="BD214" s="1362">
        <f t="shared" si="173"/>
        <v>6734.9564099999998</v>
      </c>
      <c r="BE214" s="1360">
        <f t="shared" si="174"/>
        <v>400.89026249999915</v>
      </c>
      <c r="BF214" s="1132" t="str">
        <f t="shared" si="175"/>
        <v>Custom</v>
      </c>
      <c r="BG214" s="1132" t="str">
        <f t="shared" si="176"/>
        <v/>
      </c>
      <c r="BH214" s="2505">
        <v>7636.0050000000001</v>
      </c>
      <c r="BI214" s="2568" t="s">
        <v>610</v>
      </c>
      <c r="BJ214" s="1362">
        <f t="shared" si="198"/>
        <v>6734.9564099999998</v>
      </c>
      <c r="BK214" s="1360">
        <f t="shared" si="177"/>
        <v>400.89026249999915</v>
      </c>
      <c r="BL214" s="1601">
        <f t="shared" si="178"/>
        <v>6734.9564099999998</v>
      </c>
      <c r="BM214" s="1601">
        <f t="shared" si="179"/>
        <v>6734.9564099999998</v>
      </c>
      <c r="BN214" s="1601">
        <f t="shared" si="180"/>
        <v>6734.9564099999998</v>
      </c>
      <c r="BO214" s="1601">
        <f t="shared" si="181"/>
        <v>6734.9564099999998</v>
      </c>
      <c r="BP214" s="1602">
        <f t="shared" si="182"/>
        <v>26939.825639999999</v>
      </c>
      <c r="BQ214" s="1602"/>
      <c r="BR214" s="1602"/>
      <c r="BS214" s="1602">
        <v>0</v>
      </c>
      <c r="BT214" s="1602">
        <v>20</v>
      </c>
      <c r="BU214" s="1602">
        <v>20</v>
      </c>
      <c r="BV214" s="1602">
        <v>20</v>
      </c>
      <c r="BW214" s="1602">
        <v>20</v>
      </c>
      <c r="BX214" s="1362">
        <f t="shared" si="199"/>
        <v>126681.32295000002</v>
      </c>
      <c r="BY214" s="1362">
        <f t="shared" si="200"/>
        <v>126681.32295000002</v>
      </c>
      <c r="BZ214" s="1362">
        <f t="shared" si="201"/>
        <v>126681.32295000002</v>
      </c>
      <c r="CA214" s="1362">
        <f t="shared" si="202"/>
        <v>126681.32295000002</v>
      </c>
      <c r="CB214" s="1362">
        <f t="shared" si="203"/>
        <v>506725.29180000006</v>
      </c>
      <c r="CC214" s="1360">
        <v>20</v>
      </c>
      <c r="CD214" s="1360">
        <v>20</v>
      </c>
      <c r="CE214" s="1360">
        <v>20</v>
      </c>
      <c r="CF214" s="1360">
        <v>20</v>
      </c>
      <c r="CG214" s="1604">
        <f t="shared" si="183"/>
        <v>134699.12820000001</v>
      </c>
      <c r="CH214" s="1604">
        <f t="shared" si="184"/>
        <v>134699.12820000001</v>
      </c>
      <c r="CI214" s="1604">
        <f t="shared" si="185"/>
        <v>134699.12820000001</v>
      </c>
      <c r="CJ214" s="1604">
        <f t="shared" si="186"/>
        <v>134699.12820000001</v>
      </c>
      <c r="CK214" s="1521">
        <f t="shared" si="187"/>
        <v>538796.51280000003</v>
      </c>
      <c r="CL214" s="1132">
        <v>207</v>
      </c>
      <c r="CM214" s="1132" t="s">
        <v>328</v>
      </c>
      <c r="CN214" s="1359">
        <v>0</v>
      </c>
      <c r="CO214" s="1360">
        <v>1.05</v>
      </c>
      <c r="CP214" s="1360">
        <v>1.05</v>
      </c>
      <c r="CQ214" s="1360">
        <v>1.05</v>
      </c>
      <c r="CR214" s="1360">
        <v>1.05</v>
      </c>
      <c r="CS214" s="1362">
        <f t="shared" si="188"/>
        <v>6734.9564099999998</v>
      </c>
      <c r="CT214" s="1362">
        <f t="shared" si="189"/>
        <v>6734.9564099999998</v>
      </c>
      <c r="CU214" s="1362">
        <f t="shared" si="190"/>
        <v>6734.9564099999998</v>
      </c>
      <c r="CV214" s="1362">
        <f t="shared" si="191"/>
        <v>6734.9564099999998</v>
      </c>
      <c r="CW214" s="1362">
        <f t="shared" si="192"/>
        <v>26939.825639999999</v>
      </c>
      <c r="CY214" s="2887"/>
    </row>
    <row r="215" spans="1:103" s="1143" customFormat="1" ht="46.5" x14ac:dyDescent="0.35">
      <c r="A215" s="1132" t="s">
        <v>108</v>
      </c>
      <c r="B215" s="1132" t="s">
        <v>628</v>
      </c>
      <c r="C215" s="1132" t="s">
        <v>629</v>
      </c>
      <c r="D215" s="1359" t="s">
        <v>630</v>
      </c>
      <c r="E215" s="1359">
        <v>1</v>
      </c>
      <c r="F215" s="2564" t="s">
        <v>631</v>
      </c>
      <c r="G215" s="1132" t="s">
        <v>356</v>
      </c>
      <c r="H215" s="1360">
        <v>8003.4615968400012</v>
      </c>
      <c r="I215" s="1360">
        <v>8003.4615968400012</v>
      </c>
      <c r="J215" s="1360">
        <v>8003.4615968400012</v>
      </c>
      <c r="K215" s="1360">
        <v>8003.4615968400012</v>
      </c>
      <c r="L215" s="1132" t="s">
        <v>632</v>
      </c>
      <c r="M215" s="1132" t="str">
        <f t="shared" si="154"/>
        <v>Nicor Gas PY11-PY14 Adjustable Goals Template_2025-03-01, Tab 5.3.7</v>
      </c>
      <c r="N215" s="1361">
        <v>185.21062775919711</v>
      </c>
      <c r="O215" s="1361">
        <v>185.21062775919711</v>
      </c>
      <c r="P215" s="1361">
        <v>185.21062775919711</v>
      </c>
      <c r="Q215" s="1361">
        <v>185.21062775919711</v>
      </c>
      <c r="R215" s="1781">
        <v>0.84176168312937716</v>
      </c>
      <c r="S215" s="1781">
        <v>0.84176168312937716</v>
      </c>
      <c r="T215" s="1781">
        <v>0.84176168312937716</v>
      </c>
      <c r="U215" s="1781">
        <v>0.84176168312937716</v>
      </c>
      <c r="V215" s="1781">
        <v>0.84176168312937716</v>
      </c>
      <c r="W215" s="1781">
        <v>0.84176168312937716</v>
      </c>
      <c r="X215" s="1781">
        <v>0.84176168312937716</v>
      </c>
      <c r="Y215" s="1781">
        <v>0.84176168312937716</v>
      </c>
      <c r="Z215" s="1359">
        <v>1</v>
      </c>
      <c r="AA215" s="1781">
        <f t="shared" si="155"/>
        <v>0.84176168312937716</v>
      </c>
      <c r="AB215" s="1781">
        <f t="shared" si="156"/>
        <v>0.84176168312937716</v>
      </c>
      <c r="AC215" s="1781">
        <f t="shared" si="157"/>
        <v>0.84176168312937716</v>
      </c>
      <c r="AD215" s="1781">
        <f t="shared" si="158"/>
        <v>0.84176168312937716</v>
      </c>
      <c r="AE215" s="1781">
        <f t="shared" si="159"/>
        <v>0.84176168312937716</v>
      </c>
      <c r="AF215" s="1781">
        <f t="shared" si="160"/>
        <v>0.84176168312937716</v>
      </c>
      <c r="AG215" s="1781">
        <f t="shared" si="161"/>
        <v>0.84176168312937716</v>
      </c>
      <c r="AH215" s="1781">
        <f t="shared" si="162"/>
        <v>0.84176168312937716</v>
      </c>
      <c r="AI215" s="1362">
        <f t="shared" si="193"/>
        <v>1247765.3521064799</v>
      </c>
      <c r="AJ215" s="1362">
        <f t="shared" si="194"/>
        <v>1247765.3521064799</v>
      </c>
      <c r="AK215" s="1362">
        <f t="shared" si="195"/>
        <v>1247765.3521064799</v>
      </c>
      <c r="AL215" s="1362">
        <f t="shared" si="196"/>
        <v>1247765.3521064799</v>
      </c>
      <c r="AM215" s="1362">
        <f t="shared" si="197"/>
        <v>4991061.4084259197</v>
      </c>
      <c r="AN215" s="1132" t="str">
        <f t="shared" si="163"/>
        <v>RS-HVC-GHEF-V08-190101</v>
      </c>
      <c r="AO215" s="1132" t="str">
        <f t="shared" si="164"/>
        <v>Nicor Gas PY11-PY14 Adjustable Goals Template_2025-03-01, Tab 5.3.7</v>
      </c>
      <c r="AP215" s="2505">
        <f>'5.3.7'!$P$4</f>
        <v>185.21062775919711</v>
      </c>
      <c r="AQ215" s="2505"/>
      <c r="AR215" s="2505">
        <f t="shared" si="165"/>
        <v>1247765.3521064799</v>
      </c>
      <c r="AS215" s="2505">
        <f t="shared" si="166"/>
        <v>0</v>
      </c>
      <c r="AT215" s="1132" t="str">
        <f t="shared" si="167"/>
        <v>RS-HVC-GHEF-V08-190101</v>
      </c>
      <c r="AU215" s="1132" t="str">
        <f t="shared" si="168"/>
        <v>Nicor Gas PY11-PY14 Adjustable Goals Template_2025-03-01, Tab 5.3.7</v>
      </c>
      <c r="AV215" s="2505">
        <f>'5.3.7'!$P$4</f>
        <v>185.21062775919711</v>
      </c>
      <c r="AW215" s="2505"/>
      <c r="AX215" s="1362">
        <f t="shared" si="169"/>
        <v>1247765.3521064799</v>
      </c>
      <c r="AY215" s="1360">
        <f t="shared" si="170"/>
        <v>0</v>
      </c>
      <c r="AZ215" s="1132" t="str">
        <f t="shared" si="171"/>
        <v>RS-HVC-GHEF-V08-190101</v>
      </c>
      <c r="BA215" s="1132" t="str">
        <f t="shared" si="172"/>
        <v>Nicor Gas PY11-PY14 Adjustable Goals Template_2025-03-01, Tab 5.3.7</v>
      </c>
      <c r="BB215" s="2505">
        <f>'5.3.7'!$P$4</f>
        <v>185.21062775919711</v>
      </c>
      <c r="BC215" s="2505"/>
      <c r="BD215" s="1362">
        <f t="shared" si="173"/>
        <v>1247765.3521064799</v>
      </c>
      <c r="BE215" s="1360">
        <f t="shared" si="174"/>
        <v>0</v>
      </c>
      <c r="BF215" s="1132" t="str">
        <f t="shared" si="175"/>
        <v>RS-HVC-GHEF-V08-190101</v>
      </c>
      <c r="BG215" s="1132" t="str">
        <f t="shared" si="176"/>
        <v>Nicor Gas PY11-PY14 Adjustable Goals Template_2025-03-01, Tab 5.3.7</v>
      </c>
      <c r="BH215" s="2505">
        <f>'5.3.7'!$P$4</f>
        <v>185.21062775919711</v>
      </c>
      <c r="BI215" s="2505"/>
      <c r="BJ215" s="1362">
        <f t="shared" si="198"/>
        <v>1247765.3521064799</v>
      </c>
      <c r="BK215" s="1360">
        <f t="shared" si="177"/>
        <v>0</v>
      </c>
      <c r="BL215" s="1601">
        <f t="shared" si="178"/>
        <v>1247765.3521064799</v>
      </c>
      <c r="BM215" s="1601">
        <f t="shared" si="179"/>
        <v>1247765.3521064799</v>
      </c>
      <c r="BN215" s="1601">
        <f t="shared" si="180"/>
        <v>1247765.3521064799</v>
      </c>
      <c r="BO215" s="1601">
        <f t="shared" si="181"/>
        <v>1247765.3521064799</v>
      </c>
      <c r="BP215" s="1602">
        <f t="shared" si="182"/>
        <v>4991061.4084259197</v>
      </c>
      <c r="BQ215" s="1602"/>
      <c r="BR215" s="1602" t="s">
        <v>631</v>
      </c>
      <c r="BS215" s="1602">
        <v>0</v>
      </c>
      <c r="BT215" s="1602">
        <v>20</v>
      </c>
      <c r="BU215" s="1602">
        <v>20</v>
      </c>
      <c r="BV215" s="1602">
        <v>20</v>
      </c>
      <c r="BW215" s="1602">
        <v>20</v>
      </c>
      <c r="BX215" s="1362">
        <f t="shared" si="199"/>
        <v>24955307.042129599</v>
      </c>
      <c r="BY215" s="1362">
        <f t="shared" si="200"/>
        <v>24955307.042129599</v>
      </c>
      <c r="BZ215" s="1362">
        <f t="shared" si="201"/>
        <v>24955307.042129599</v>
      </c>
      <c r="CA215" s="1362">
        <f t="shared" si="202"/>
        <v>24955307.042129599</v>
      </c>
      <c r="CB215" s="1362">
        <f t="shared" si="203"/>
        <v>99821228.168518394</v>
      </c>
      <c r="CC215" s="1360">
        <v>20</v>
      </c>
      <c r="CD215" s="1360">
        <v>20</v>
      </c>
      <c r="CE215" s="1360">
        <v>20</v>
      </c>
      <c r="CF215" s="1360">
        <v>20</v>
      </c>
      <c r="CG215" s="1604">
        <f t="shared" si="183"/>
        <v>24955307.042129599</v>
      </c>
      <c r="CH215" s="1604">
        <f t="shared" si="184"/>
        <v>24955307.042129599</v>
      </c>
      <c r="CI215" s="1604">
        <f t="shared" si="185"/>
        <v>24955307.042129599</v>
      </c>
      <c r="CJ215" s="1604">
        <f t="shared" si="186"/>
        <v>24955307.042129599</v>
      </c>
      <c r="CK215" s="1521">
        <f t="shared" si="187"/>
        <v>99821228.168518394</v>
      </c>
      <c r="CL215" s="1132">
        <v>209</v>
      </c>
      <c r="CM215" s="1132" t="s">
        <v>356</v>
      </c>
      <c r="CN215" s="1359">
        <v>0</v>
      </c>
      <c r="CO215" s="1360">
        <v>8003.4615968400012</v>
      </c>
      <c r="CP215" s="1360">
        <v>8003.4615968400012</v>
      </c>
      <c r="CQ215" s="1360">
        <v>8003.4615968400012</v>
      </c>
      <c r="CR215" s="1360">
        <v>8003.4615968400012</v>
      </c>
      <c r="CS215" s="1362">
        <f t="shared" si="188"/>
        <v>1247765.3521064799</v>
      </c>
      <c r="CT215" s="1362">
        <f t="shared" si="189"/>
        <v>1247765.3521064799</v>
      </c>
      <c r="CU215" s="1362">
        <f t="shared" si="190"/>
        <v>1247765.3521064799</v>
      </c>
      <c r="CV215" s="1362">
        <f t="shared" si="191"/>
        <v>1247765.3521064799</v>
      </c>
      <c r="CW215" s="1362">
        <f t="shared" si="192"/>
        <v>4991061.4084259197</v>
      </c>
      <c r="CY215" s="2887"/>
    </row>
    <row r="216" spans="1:103" s="1143" customFormat="1" ht="21.75" customHeight="1" x14ac:dyDescent="0.35">
      <c r="A216" s="1132" t="s">
        <v>108</v>
      </c>
      <c r="B216" s="1132" t="s">
        <v>628</v>
      </c>
      <c r="C216" s="1132" t="s">
        <v>633</v>
      </c>
      <c r="D216" s="1359" t="s">
        <v>634</v>
      </c>
      <c r="E216" s="1359">
        <v>1</v>
      </c>
      <c r="F216" s="2564" t="s">
        <v>631</v>
      </c>
      <c r="G216" s="1132" t="s">
        <v>356</v>
      </c>
      <c r="H216" s="1360">
        <v>692.28388188000008</v>
      </c>
      <c r="I216" s="1360">
        <v>692.28388188000008</v>
      </c>
      <c r="J216" s="1360">
        <v>692.28388188000008</v>
      </c>
      <c r="K216" s="1360">
        <v>692.28388188000008</v>
      </c>
      <c r="L216" s="1132" t="s">
        <v>632</v>
      </c>
      <c r="M216" s="1132" t="str">
        <f t="shared" si="154"/>
        <v>Nicor Gas PY11-PY14 Adjustable Goals Template_2025-03-01, Tab 5.3.7</v>
      </c>
      <c r="N216" s="1361">
        <v>221.65331893719795</v>
      </c>
      <c r="O216" s="1361">
        <v>221.65331893719795</v>
      </c>
      <c r="P216" s="1361">
        <v>221.65331893719795</v>
      </c>
      <c r="Q216" s="1361">
        <v>221.65331893719795</v>
      </c>
      <c r="R216" s="1781">
        <v>0.84176168312937716</v>
      </c>
      <c r="S216" s="1781">
        <v>0.84176168312937716</v>
      </c>
      <c r="T216" s="1781">
        <v>0.84176168312937716</v>
      </c>
      <c r="U216" s="1781">
        <v>0.84176168312937716</v>
      </c>
      <c r="V216" s="1781">
        <v>0.84176168312937716</v>
      </c>
      <c r="W216" s="1781">
        <v>0.84176168312937716</v>
      </c>
      <c r="X216" s="1781">
        <v>0.84176168312937716</v>
      </c>
      <c r="Y216" s="1781">
        <v>0.84176168312937716</v>
      </c>
      <c r="Z216" s="1359">
        <v>1</v>
      </c>
      <c r="AA216" s="1781">
        <f t="shared" si="155"/>
        <v>0.84176168312937716</v>
      </c>
      <c r="AB216" s="1781">
        <f t="shared" si="156"/>
        <v>0.84176168312937716</v>
      </c>
      <c r="AC216" s="1781">
        <f t="shared" si="157"/>
        <v>0.84176168312937716</v>
      </c>
      <c r="AD216" s="1781">
        <f t="shared" si="158"/>
        <v>0.84176168312937716</v>
      </c>
      <c r="AE216" s="1781">
        <f t="shared" si="159"/>
        <v>0.84176168312937716</v>
      </c>
      <c r="AF216" s="1781">
        <f t="shared" si="160"/>
        <v>0.84176168312937716</v>
      </c>
      <c r="AG216" s="1781">
        <f t="shared" si="161"/>
        <v>0.84176168312937716</v>
      </c>
      <c r="AH216" s="1781">
        <f t="shared" si="162"/>
        <v>0.84176168312937716</v>
      </c>
      <c r="AI216" s="1362">
        <f t="shared" si="193"/>
        <v>129165.82188146294</v>
      </c>
      <c r="AJ216" s="1362">
        <f t="shared" si="194"/>
        <v>129165.82188146294</v>
      </c>
      <c r="AK216" s="1362">
        <f t="shared" si="195"/>
        <v>129165.82188146294</v>
      </c>
      <c r="AL216" s="1362">
        <f t="shared" si="196"/>
        <v>129165.82188146294</v>
      </c>
      <c r="AM216" s="1362">
        <f t="shared" si="197"/>
        <v>516663.28752585175</v>
      </c>
      <c r="AN216" s="1132" t="str">
        <f t="shared" si="163"/>
        <v>RS-HVC-GHEF-V08-190101</v>
      </c>
      <c r="AO216" s="1132" t="str">
        <f t="shared" si="164"/>
        <v>Nicor Gas PY11-PY14 Adjustable Goals Template_2025-03-01, Tab 5.3.7</v>
      </c>
      <c r="AP216" s="2505">
        <f>'5.3.7'!$P$5</f>
        <v>221.65331893719795</v>
      </c>
      <c r="AQ216" s="2505"/>
      <c r="AR216" s="2505">
        <f t="shared" si="165"/>
        <v>129165.82188146294</v>
      </c>
      <c r="AS216" s="2505">
        <f t="shared" si="166"/>
        <v>0</v>
      </c>
      <c r="AT216" s="1132" t="str">
        <f t="shared" si="167"/>
        <v>RS-HVC-GHEF-V08-190101</v>
      </c>
      <c r="AU216" s="1132" t="str">
        <f t="shared" si="168"/>
        <v>Nicor Gas PY11-PY14 Adjustable Goals Template_2025-03-01, Tab 5.3.7</v>
      </c>
      <c r="AV216" s="2505">
        <f>'5.3.7'!$P$5</f>
        <v>221.65331893719795</v>
      </c>
      <c r="AW216" s="2505"/>
      <c r="AX216" s="1362">
        <f t="shared" si="169"/>
        <v>129165.82188146294</v>
      </c>
      <c r="AY216" s="1360">
        <f t="shared" si="170"/>
        <v>0</v>
      </c>
      <c r="AZ216" s="1132" t="str">
        <f t="shared" si="171"/>
        <v>RS-HVC-GHEF-V08-190101</v>
      </c>
      <c r="BA216" s="1132" t="str">
        <f t="shared" si="172"/>
        <v>Nicor Gas PY11-PY14 Adjustable Goals Template_2025-03-01, Tab 5.3.7</v>
      </c>
      <c r="BB216" s="2505">
        <f>'5.3.7'!$P$5</f>
        <v>221.65331893719795</v>
      </c>
      <c r="BC216" s="2505"/>
      <c r="BD216" s="1362">
        <f t="shared" si="173"/>
        <v>129165.82188146294</v>
      </c>
      <c r="BE216" s="1360">
        <f t="shared" si="174"/>
        <v>0</v>
      </c>
      <c r="BF216" s="1132" t="str">
        <f t="shared" si="175"/>
        <v>RS-HVC-GHEF-V08-190101</v>
      </c>
      <c r="BG216" s="1132" t="str">
        <f t="shared" si="176"/>
        <v>Nicor Gas PY11-PY14 Adjustable Goals Template_2025-03-01, Tab 5.3.7</v>
      </c>
      <c r="BH216" s="2505">
        <f>'5.3.7'!$P$5</f>
        <v>221.65331893719795</v>
      </c>
      <c r="BI216" s="2505"/>
      <c r="BJ216" s="1362">
        <f t="shared" si="198"/>
        <v>129165.82188146294</v>
      </c>
      <c r="BK216" s="1360">
        <f t="shared" si="177"/>
        <v>0</v>
      </c>
      <c r="BL216" s="1601">
        <f t="shared" si="178"/>
        <v>129165.82188146294</v>
      </c>
      <c r="BM216" s="1601">
        <f t="shared" si="179"/>
        <v>129165.82188146294</v>
      </c>
      <c r="BN216" s="1601">
        <f t="shared" si="180"/>
        <v>129165.82188146294</v>
      </c>
      <c r="BO216" s="1601">
        <f t="shared" si="181"/>
        <v>129165.82188146294</v>
      </c>
      <c r="BP216" s="1602">
        <f t="shared" si="182"/>
        <v>516663.28752585175</v>
      </c>
      <c r="BQ216" s="1602"/>
      <c r="BR216" s="1602" t="s">
        <v>631</v>
      </c>
      <c r="BS216" s="1602">
        <v>0</v>
      </c>
      <c r="BT216" s="1602">
        <v>20</v>
      </c>
      <c r="BU216" s="1602">
        <v>20</v>
      </c>
      <c r="BV216" s="1602">
        <v>20</v>
      </c>
      <c r="BW216" s="1602">
        <v>20</v>
      </c>
      <c r="BX216" s="1362">
        <f t="shared" si="199"/>
        <v>2583316.4376292587</v>
      </c>
      <c r="BY216" s="1362">
        <f t="shared" si="200"/>
        <v>2583316.4376292587</v>
      </c>
      <c r="BZ216" s="1362">
        <f t="shared" si="201"/>
        <v>2583316.4376292587</v>
      </c>
      <c r="CA216" s="1362">
        <f t="shared" si="202"/>
        <v>2583316.4376292587</v>
      </c>
      <c r="CB216" s="1362">
        <f t="shared" si="203"/>
        <v>10333265.750517035</v>
      </c>
      <c r="CC216" s="1360">
        <v>20</v>
      </c>
      <c r="CD216" s="1360">
        <v>20</v>
      </c>
      <c r="CE216" s="1360">
        <v>20</v>
      </c>
      <c r="CF216" s="1360">
        <v>20</v>
      </c>
      <c r="CG216" s="1604">
        <f t="shared" si="183"/>
        <v>2583316.4376292592</v>
      </c>
      <c r="CH216" s="1604">
        <f t="shared" si="184"/>
        <v>2583316.4376292592</v>
      </c>
      <c r="CI216" s="1604">
        <f t="shared" si="185"/>
        <v>2583316.4376292592</v>
      </c>
      <c r="CJ216" s="1604">
        <f t="shared" si="186"/>
        <v>2583316.4376292592</v>
      </c>
      <c r="CK216" s="1521">
        <f t="shared" si="187"/>
        <v>10333265.750517037</v>
      </c>
      <c r="CL216" s="1132">
        <v>210</v>
      </c>
      <c r="CM216" s="1132" t="s">
        <v>356</v>
      </c>
      <c r="CN216" s="1359">
        <v>0</v>
      </c>
      <c r="CO216" s="1360">
        <v>692.28388188000008</v>
      </c>
      <c r="CP216" s="1360">
        <v>692.28388188000008</v>
      </c>
      <c r="CQ216" s="1360">
        <v>692.28388188000008</v>
      </c>
      <c r="CR216" s="1360">
        <v>692.28388188000008</v>
      </c>
      <c r="CS216" s="1362">
        <f t="shared" si="188"/>
        <v>129165.82188146294</v>
      </c>
      <c r="CT216" s="1362">
        <f t="shared" si="189"/>
        <v>129165.82188146294</v>
      </c>
      <c r="CU216" s="1362">
        <f t="shared" si="190"/>
        <v>129165.82188146294</v>
      </c>
      <c r="CV216" s="1362">
        <f t="shared" si="191"/>
        <v>129165.82188146294</v>
      </c>
      <c r="CW216" s="1362">
        <f t="shared" si="192"/>
        <v>516663.28752585175</v>
      </c>
      <c r="CY216" s="2887"/>
    </row>
    <row r="217" spans="1:103" s="1143" customFormat="1" ht="46.5" x14ac:dyDescent="0.35">
      <c r="A217" s="1132" t="s">
        <v>108</v>
      </c>
      <c r="B217" s="1132" t="s">
        <v>628</v>
      </c>
      <c r="C217" s="1132" t="s">
        <v>635</v>
      </c>
      <c r="D217" s="1359" t="s">
        <v>636</v>
      </c>
      <c r="E217" s="1359">
        <v>1</v>
      </c>
      <c r="F217" s="2564" t="s">
        <v>637</v>
      </c>
      <c r="G217" s="1132" t="s">
        <v>356</v>
      </c>
      <c r="H217" s="1360">
        <v>102.16104948000002</v>
      </c>
      <c r="I217" s="1360">
        <v>102.16104948000002</v>
      </c>
      <c r="J217" s="1360">
        <v>102.16104948000002</v>
      </c>
      <c r="K217" s="1360">
        <v>102.16104948000002</v>
      </c>
      <c r="L217" s="1132" t="s">
        <v>638</v>
      </c>
      <c r="M217" s="1132" t="str">
        <f t="shared" si="154"/>
        <v>Nicor Gas PY11-PY14 Adjustable Goals Template_2025-03-01, Tab 5.3.6</v>
      </c>
      <c r="N217" s="2511">
        <v>200.87617986470349</v>
      </c>
      <c r="O217" s="1361">
        <v>200.87617986470349</v>
      </c>
      <c r="P217" s="1361">
        <v>200.87617986470349</v>
      </c>
      <c r="Q217" s="1361">
        <v>200.87617986470349</v>
      </c>
      <c r="R217" s="1781">
        <v>0.84176168312937716</v>
      </c>
      <c r="S217" s="1781">
        <v>0.84176168312937716</v>
      </c>
      <c r="T217" s="1781">
        <v>0.84176168312937716</v>
      </c>
      <c r="U217" s="1781">
        <v>0.84176168312937716</v>
      </c>
      <c r="V217" s="1781">
        <v>0.84176168312937716</v>
      </c>
      <c r="W217" s="1781">
        <v>0.84176168312937716</v>
      </c>
      <c r="X217" s="1781">
        <v>0.84176168312937716</v>
      </c>
      <c r="Y217" s="1781">
        <v>0.84176168312937716</v>
      </c>
      <c r="Z217" s="1359">
        <v>1</v>
      </c>
      <c r="AA217" s="1781">
        <f t="shared" si="155"/>
        <v>0.84176168312937716</v>
      </c>
      <c r="AB217" s="1781">
        <f t="shared" si="156"/>
        <v>0.84176168312937716</v>
      </c>
      <c r="AC217" s="1781">
        <f t="shared" si="157"/>
        <v>0.84176168312937716</v>
      </c>
      <c r="AD217" s="1781">
        <f t="shared" si="158"/>
        <v>0.84176168312937716</v>
      </c>
      <c r="AE217" s="1781">
        <f t="shared" si="159"/>
        <v>0.84176168312937716</v>
      </c>
      <c r="AF217" s="1781">
        <f t="shared" si="160"/>
        <v>0.84176168312937716</v>
      </c>
      <c r="AG217" s="1781">
        <f t="shared" si="161"/>
        <v>0.84176168312937716</v>
      </c>
      <c r="AH217" s="1781">
        <f t="shared" si="162"/>
        <v>0.84176168312937716</v>
      </c>
      <c r="AI217" s="1362">
        <f t="shared" si="193"/>
        <v>17274.398704718515</v>
      </c>
      <c r="AJ217" s="1362">
        <f t="shared" si="194"/>
        <v>17274.398704718515</v>
      </c>
      <c r="AK217" s="1362">
        <f t="shared" si="195"/>
        <v>17274.398704718515</v>
      </c>
      <c r="AL217" s="1362">
        <f t="shared" si="196"/>
        <v>17274.398704718515</v>
      </c>
      <c r="AM217" s="1362">
        <f t="shared" si="197"/>
        <v>69097.594818874059</v>
      </c>
      <c r="AN217" s="1132" t="str">
        <f t="shared" si="163"/>
        <v>RS-HVC-GHEB-V07-190101</v>
      </c>
      <c r="AO217" s="1132" t="str">
        <f t="shared" si="164"/>
        <v>Nicor Gas PY11-PY14 Adjustable Goals Template_2025-03-01, Tab 5.3.6</v>
      </c>
      <c r="AP217" s="2505">
        <f>'5.3.6'!$P$4</f>
        <v>200.87617986470349</v>
      </c>
      <c r="AQ217" s="2531"/>
      <c r="AR217" s="2505">
        <f t="shared" si="165"/>
        <v>17274.398704718515</v>
      </c>
      <c r="AS217" s="2247">
        <f t="shared" si="166"/>
        <v>0</v>
      </c>
      <c r="AT217" s="1132" t="str">
        <f t="shared" si="167"/>
        <v>RS-HVC-GHEB-V07-190101</v>
      </c>
      <c r="AU217" s="1132" t="str">
        <f t="shared" si="168"/>
        <v>Nicor Gas PY11-PY14 Adjustable Goals Template_2025-03-01, Tab 5.3.6</v>
      </c>
      <c r="AV217" s="2505">
        <f>'5.3.6'!$P$4</f>
        <v>200.87617986470349</v>
      </c>
      <c r="AW217" s="2531"/>
      <c r="AX217" s="1362">
        <f t="shared" si="169"/>
        <v>17274.398704718515</v>
      </c>
      <c r="AY217" s="1360">
        <f t="shared" si="170"/>
        <v>0</v>
      </c>
      <c r="AZ217" s="1132" t="str">
        <f t="shared" si="171"/>
        <v>RS-HVC-GHEB-V07-190101</v>
      </c>
      <c r="BA217" s="1132" t="str">
        <f t="shared" si="172"/>
        <v>Nicor Gas PY11-PY14 Adjustable Goals Template_2025-03-01, Tab 5.3.6</v>
      </c>
      <c r="BB217" s="2505">
        <f>'5.3.6'!$P$4</f>
        <v>200.87617986470349</v>
      </c>
      <c r="BC217" s="2531"/>
      <c r="BD217" s="1362">
        <f t="shared" si="173"/>
        <v>17274.398704718515</v>
      </c>
      <c r="BE217" s="1360">
        <f t="shared" si="174"/>
        <v>0</v>
      </c>
      <c r="BF217" s="1132" t="str">
        <f t="shared" si="175"/>
        <v>RS-HVC-GHEB-V07-190101</v>
      </c>
      <c r="BG217" s="1132" t="str">
        <f t="shared" si="176"/>
        <v>Nicor Gas PY11-PY14 Adjustable Goals Template_2025-03-01, Tab 5.3.6</v>
      </c>
      <c r="BH217" s="2505">
        <f>'5.3.6'!$P$4</f>
        <v>200.87617986470349</v>
      </c>
      <c r="BI217" s="2531"/>
      <c r="BJ217" s="1362">
        <f t="shared" si="198"/>
        <v>17274.398704718515</v>
      </c>
      <c r="BK217" s="1360">
        <f t="shared" si="177"/>
        <v>0</v>
      </c>
      <c r="BL217" s="1601">
        <f t="shared" si="178"/>
        <v>17274.398704718515</v>
      </c>
      <c r="BM217" s="1601">
        <f t="shared" si="179"/>
        <v>17274.398704718515</v>
      </c>
      <c r="BN217" s="1601">
        <f t="shared" si="180"/>
        <v>17274.398704718515</v>
      </c>
      <c r="BO217" s="1601">
        <f t="shared" si="181"/>
        <v>17274.398704718515</v>
      </c>
      <c r="BP217" s="1602">
        <f t="shared" si="182"/>
        <v>69097.594818874059</v>
      </c>
      <c r="BQ217" s="1602"/>
      <c r="BR217" s="1602" t="s">
        <v>637</v>
      </c>
      <c r="BS217" s="1602">
        <v>0</v>
      </c>
      <c r="BT217" s="1602">
        <v>25</v>
      </c>
      <c r="BU217" s="1602">
        <v>25</v>
      </c>
      <c r="BV217" s="1602">
        <v>25</v>
      </c>
      <c r="BW217" s="1602">
        <v>25</v>
      </c>
      <c r="BX217" s="1362">
        <f t="shared" si="199"/>
        <v>431859.96761796286</v>
      </c>
      <c r="BY217" s="1362">
        <f t="shared" si="200"/>
        <v>431859.96761796286</v>
      </c>
      <c r="BZ217" s="1362">
        <f t="shared" si="201"/>
        <v>431859.96761796286</v>
      </c>
      <c r="CA217" s="1362">
        <f t="shared" si="202"/>
        <v>431859.96761796286</v>
      </c>
      <c r="CB217" s="1362">
        <f t="shared" si="203"/>
        <v>1727439.8704718514</v>
      </c>
      <c r="CC217" s="1360">
        <v>25</v>
      </c>
      <c r="CD217" s="1360">
        <v>25</v>
      </c>
      <c r="CE217" s="1360">
        <v>25</v>
      </c>
      <c r="CF217" s="1360">
        <v>25</v>
      </c>
      <c r="CG217" s="1604">
        <f t="shared" si="183"/>
        <v>431859.9676179628</v>
      </c>
      <c r="CH217" s="1604">
        <f t="shared" si="184"/>
        <v>431859.9676179628</v>
      </c>
      <c r="CI217" s="1604">
        <f t="shared" si="185"/>
        <v>431859.9676179628</v>
      </c>
      <c r="CJ217" s="1604">
        <f t="shared" si="186"/>
        <v>431859.9676179628</v>
      </c>
      <c r="CK217" s="1521">
        <f t="shared" si="187"/>
        <v>1727439.8704718512</v>
      </c>
      <c r="CL217" s="1132">
        <v>211</v>
      </c>
      <c r="CM217" s="1132" t="s">
        <v>356</v>
      </c>
      <c r="CN217" s="1359">
        <v>0</v>
      </c>
      <c r="CO217" s="1360">
        <v>102.16104948000002</v>
      </c>
      <c r="CP217" s="1360">
        <v>102.16104948000002</v>
      </c>
      <c r="CQ217" s="1360">
        <v>102.16104948000002</v>
      </c>
      <c r="CR217" s="1360">
        <v>102.16104948000002</v>
      </c>
      <c r="CS217" s="1362">
        <f t="shared" si="188"/>
        <v>17274.398704718515</v>
      </c>
      <c r="CT217" s="1362">
        <f t="shared" si="189"/>
        <v>17274.398704718515</v>
      </c>
      <c r="CU217" s="1362">
        <f t="shared" si="190"/>
        <v>17274.398704718515</v>
      </c>
      <c r="CV217" s="1362">
        <f t="shared" si="191"/>
        <v>17274.398704718515</v>
      </c>
      <c r="CW217" s="1362">
        <f t="shared" si="192"/>
        <v>69097.594818874059</v>
      </c>
      <c r="CY217" s="2887"/>
    </row>
    <row r="218" spans="1:103" s="1143" customFormat="1" ht="15.5" x14ac:dyDescent="0.35">
      <c r="A218" s="1132" t="s">
        <v>108</v>
      </c>
      <c r="B218" s="1132" t="s">
        <v>628</v>
      </c>
      <c r="C218" s="1132" t="s">
        <v>639</v>
      </c>
      <c r="D218" s="1359" t="s">
        <v>105</v>
      </c>
      <c r="E218" s="1359">
        <f>IF(AI218-AR218=0,0,1)</f>
        <v>0</v>
      </c>
      <c r="F218" s="1132" t="s">
        <v>105</v>
      </c>
      <c r="G218" s="1132" t="s">
        <v>356</v>
      </c>
      <c r="H218" s="1360">
        <v>571.08661200000006</v>
      </c>
      <c r="I218" s="1360">
        <v>571.08661200000006</v>
      </c>
      <c r="J218" s="1360">
        <v>571.08661200000006</v>
      </c>
      <c r="K218" s="1360">
        <v>571.08661200000006</v>
      </c>
      <c r="L218" s="1132" t="s">
        <v>105</v>
      </c>
      <c r="M218" s="1132" t="str">
        <f t="shared" si="154"/>
        <v/>
      </c>
      <c r="N218" s="1361">
        <v>0</v>
      </c>
      <c r="O218" s="1361">
        <v>0</v>
      </c>
      <c r="P218" s="1361">
        <v>0</v>
      </c>
      <c r="Q218" s="1361">
        <v>0</v>
      </c>
      <c r="R218" s="1781">
        <v>0.84176168312937716</v>
      </c>
      <c r="S218" s="1781">
        <v>0.84176168312937716</v>
      </c>
      <c r="T218" s="1781">
        <v>0.84176168312937716</v>
      </c>
      <c r="U218" s="1781">
        <v>0.84176168312937716</v>
      </c>
      <c r="V218" s="1781">
        <v>0.84176168312937716</v>
      </c>
      <c r="W218" s="1781">
        <v>0.84176168312937716</v>
      </c>
      <c r="X218" s="1781">
        <v>0.84176168312937716</v>
      </c>
      <c r="Y218" s="1781">
        <v>0.84176168312937716</v>
      </c>
      <c r="Z218" s="1359">
        <v>1</v>
      </c>
      <c r="AA218" s="1781">
        <f t="shared" si="155"/>
        <v>0.84176168312937716</v>
      </c>
      <c r="AB218" s="1781">
        <f t="shared" si="156"/>
        <v>0.84176168312937716</v>
      </c>
      <c r="AC218" s="1781">
        <f t="shared" si="157"/>
        <v>0.84176168312937716</v>
      </c>
      <c r="AD218" s="1781">
        <f t="shared" si="158"/>
        <v>0.84176168312937716</v>
      </c>
      <c r="AE218" s="1781">
        <f t="shared" si="159"/>
        <v>0.84176168312937716</v>
      </c>
      <c r="AF218" s="1781">
        <f t="shared" si="160"/>
        <v>0.84176168312937716</v>
      </c>
      <c r="AG218" s="1781">
        <f t="shared" si="161"/>
        <v>0.84176168312937716</v>
      </c>
      <c r="AH218" s="1781">
        <f t="shared" si="162"/>
        <v>0.84176168312937716</v>
      </c>
      <c r="AI218" s="1362">
        <f t="shared" si="193"/>
        <v>0</v>
      </c>
      <c r="AJ218" s="1362">
        <f t="shared" si="194"/>
        <v>0</v>
      </c>
      <c r="AK218" s="1362">
        <f t="shared" si="195"/>
        <v>0</v>
      </c>
      <c r="AL218" s="1362">
        <f t="shared" si="196"/>
        <v>0</v>
      </c>
      <c r="AM218" s="1362">
        <f t="shared" si="197"/>
        <v>0</v>
      </c>
      <c r="AN218" s="1132" t="str">
        <f t="shared" si="163"/>
        <v>Custom</v>
      </c>
      <c r="AO218" s="1132" t="str">
        <f t="shared" si="164"/>
        <v/>
      </c>
      <c r="AP218" s="2505">
        <v>0</v>
      </c>
      <c r="AQ218" s="2505"/>
      <c r="AR218" s="2505">
        <f t="shared" si="165"/>
        <v>0</v>
      </c>
      <c r="AS218" s="2505">
        <f t="shared" si="166"/>
        <v>0</v>
      </c>
      <c r="AT218" s="1132" t="str">
        <f t="shared" si="167"/>
        <v>Custom</v>
      </c>
      <c r="AU218" s="1132" t="str">
        <f t="shared" si="168"/>
        <v/>
      </c>
      <c r="AV218" s="2505">
        <v>0</v>
      </c>
      <c r="AW218" s="2505"/>
      <c r="AX218" s="1362">
        <f t="shared" si="169"/>
        <v>0</v>
      </c>
      <c r="AY218" s="1360">
        <f t="shared" si="170"/>
        <v>0</v>
      </c>
      <c r="AZ218" s="1132" t="str">
        <f t="shared" si="171"/>
        <v>Custom</v>
      </c>
      <c r="BA218" s="1132" t="str">
        <f t="shared" si="172"/>
        <v/>
      </c>
      <c r="BB218" s="2505">
        <v>0</v>
      </c>
      <c r="BC218" s="2505"/>
      <c r="BD218" s="1362">
        <f t="shared" si="173"/>
        <v>0</v>
      </c>
      <c r="BE218" s="1360">
        <f t="shared" si="174"/>
        <v>0</v>
      </c>
      <c r="BF218" s="1132" t="str">
        <f t="shared" si="175"/>
        <v>Custom</v>
      </c>
      <c r="BG218" s="1132" t="str">
        <f t="shared" si="176"/>
        <v/>
      </c>
      <c r="BH218" s="2505">
        <v>0</v>
      </c>
      <c r="BI218" s="2505"/>
      <c r="BJ218" s="1362">
        <f t="shared" si="198"/>
        <v>0</v>
      </c>
      <c r="BK218" s="1360">
        <f t="shared" si="177"/>
        <v>0</v>
      </c>
      <c r="BL218" s="1601">
        <f t="shared" si="178"/>
        <v>0</v>
      </c>
      <c r="BM218" s="1601">
        <f t="shared" si="179"/>
        <v>0</v>
      </c>
      <c r="BN218" s="1601">
        <f t="shared" si="180"/>
        <v>0</v>
      </c>
      <c r="BO218" s="1601">
        <f t="shared" si="181"/>
        <v>0</v>
      </c>
      <c r="BP218" s="1602">
        <f t="shared" si="182"/>
        <v>0</v>
      </c>
      <c r="BQ218" s="1602"/>
      <c r="BR218" s="1602"/>
      <c r="BS218" s="1602">
        <v>0</v>
      </c>
      <c r="BT218" s="1602">
        <v>1</v>
      </c>
      <c r="BU218" s="1602">
        <v>1</v>
      </c>
      <c r="BV218" s="1602">
        <v>1</v>
      </c>
      <c r="BW218" s="1602">
        <v>1</v>
      </c>
      <c r="BX218" s="1362">
        <f t="shared" si="199"/>
        <v>0</v>
      </c>
      <c r="BY218" s="1362">
        <f t="shared" si="200"/>
        <v>0</v>
      </c>
      <c r="BZ218" s="1362">
        <f t="shared" si="201"/>
        <v>0</v>
      </c>
      <c r="CA218" s="1362">
        <f t="shared" si="202"/>
        <v>0</v>
      </c>
      <c r="CB218" s="1362">
        <f t="shared" si="203"/>
        <v>0</v>
      </c>
      <c r="CC218" s="1360">
        <v>1</v>
      </c>
      <c r="CD218" s="1360">
        <v>1</v>
      </c>
      <c r="CE218" s="1360">
        <v>1</v>
      </c>
      <c r="CF218" s="1360">
        <v>1</v>
      </c>
      <c r="CG218" s="1604">
        <f t="shared" si="183"/>
        <v>0</v>
      </c>
      <c r="CH218" s="1604">
        <f t="shared" si="184"/>
        <v>0</v>
      </c>
      <c r="CI218" s="1604">
        <f t="shared" si="185"/>
        <v>0</v>
      </c>
      <c r="CJ218" s="1604">
        <f t="shared" si="186"/>
        <v>0</v>
      </c>
      <c r="CK218" s="1521">
        <f t="shared" si="187"/>
        <v>0</v>
      </c>
      <c r="CL218" s="1132">
        <v>212</v>
      </c>
      <c r="CM218" s="1132" t="s">
        <v>356</v>
      </c>
      <c r="CN218" s="1359">
        <v>0</v>
      </c>
      <c r="CO218" s="1360">
        <v>571.08661200000006</v>
      </c>
      <c r="CP218" s="1360">
        <v>571.08661200000006</v>
      </c>
      <c r="CQ218" s="1360">
        <v>571.08661200000006</v>
      </c>
      <c r="CR218" s="1360">
        <v>571.08661200000006</v>
      </c>
      <c r="CS218" s="1362">
        <f t="shared" si="188"/>
        <v>0</v>
      </c>
      <c r="CT218" s="1362">
        <f t="shared" si="189"/>
        <v>0</v>
      </c>
      <c r="CU218" s="1362">
        <f t="shared" si="190"/>
        <v>0</v>
      </c>
      <c r="CV218" s="1362">
        <f t="shared" si="191"/>
        <v>0</v>
      </c>
      <c r="CW218" s="1362">
        <f t="shared" si="192"/>
        <v>0</v>
      </c>
      <c r="CY218" s="2887"/>
    </row>
    <row r="219" spans="1:103" s="1143" customFormat="1" ht="45.75" customHeight="1" x14ac:dyDescent="0.35">
      <c r="A219" s="1132" t="s">
        <v>108</v>
      </c>
      <c r="B219" s="1132" t="s">
        <v>628</v>
      </c>
      <c r="C219" s="1132" t="s">
        <v>629</v>
      </c>
      <c r="D219" s="1359" t="s">
        <v>630</v>
      </c>
      <c r="E219" s="1359">
        <v>1</v>
      </c>
      <c r="F219" s="2564" t="s">
        <v>631</v>
      </c>
      <c r="G219" s="1132" t="s">
        <v>356</v>
      </c>
      <c r="H219" s="1360">
        <v>475.90551000000011</v>
      </c>
      <c r="I219" s="1360">
        <v>475.90551000000011</v>
      </c>
      <c r="J219" s="1360">
        <v>475.90551000000011</v>
      </c>
      <c r="K219" s="1360">
        <v>475.90551000000011</v>
      </c>
      <c r="L219" s="1132" t="s">
        <v>632</v>
      </c>
      <c r="M219" s="1132" t="str">
        <f t="shared" si="154"/>
        <v>Nicor Gas PY11-PY14 Adjustable Goals Template_2025-03-01, Tab 5.3.7</v>
      </c>
      <c r="N219" s="1361">
        <v>185.21062775919711</v>
      </c>
      <c r="O219" s="1361">
        <v>185.21062775919711</v>
      </c>
      <c r="P219" s="1361">
        <v>185.21062775919711</v>
      </c>
      <c r="Q219" s="1361">
        <v>185.21062775919711</v>
      </c>
      <c r="R219" s="1781">
        <v>0.84176168312937716</v>
      </c>
      <c r="S219" s="1781">
        <v>0.84176168312937716</v>
      </c>
      <c r="T219" s="1781">
        <v>0.84176168312937716</v>
      </c>
      <c r="U219" s="1781">
        <v>0.84176168312937716</v>
      </c>
      <c r="V219" s="1781">
        <v>0.84176168312937716</v>
      </c>
      <c r="W219" s="1781">
        <v>0.84176168312937716</v>
      </c>
      <c r="X219" s="1781">
        <v>0.84176168312937716</v>
      </c>
      <c r="Y219" s="1781">
        <v>0.84176168312937716</v>
      </c>
      <c r="Z219" s="1359">
        <v>1</v>
      </c>
      <c r="AA219" s="1781">
        <f t="shared" si="155"/>
        <v>0.84176168312937716</v>
      </c>
      <c r="AB219" s="1781">
        <f t="shared" si="156"/>
        <v>0.84176168312937716</v>
      </c>
      <c r="AC219" s="1781">
        <f t="shared" si="157"/>
        <v>0.84176168312937716</v>
      </c>
      <c r="AD219" s="1781">
        <f t="shared" si="158"/>
        <v>0.84176168312937716</v>
      </c>
      <c r="AE219" s="1781">
        <f t="shared" si="159"/>
        <v>0.84176168312937716</v>
      </c>
      <c r="AF219" s="1781">
        <f t="shared" si="160"/>
        <v>0.84176168312937716</v>
      </c>
      <c r="AG219" s="1781">
        <f t="shared" si="161"/>
        <v>0.84176168312937716</v>
      </c>
      <c r="AH219" s="1781">
        <f t="shared" si="162"/>
        <v>0.84176168312937716</v>
      </c>
      <c r="AI219" s="1362">
        <f t="shared" si="193"/>
        <v>74195.196549580593</v>
      </c>
      <c r="AJ219" s="1362">
        <f t="shared" si="194"/>
        <v>74195.196549580593</v>
      </c>
      <c r="AK219" s="1362">
        <f t="shared" si="195"/>
        <v>74195.196549580593</v>
      </c>
      <c r="AL219" s="1362">
        <f t="shared" si="196"/>
        <v>74195.196549580593</v>
      </c>
      <c r="AM219" s="1362">
        <f t="shared" si="197"/>
        <v>296780.78619832237</v>
      </c>
      <c r="AN219" s="1132" t="str">
        <f t="shared" si="163"/>
        <v>RS-HVC-GHEF-V08-190101</v>
      </c>
      <c r="AO219" s="1132" t="str">
        <f t="shared" si="164"/>
        <v>Nicor Gas PY11-PY14 Adjustable Goals Template_2025-03-01, Tab 5.3.7</v>
      </c>
      <c r="AP219" s="2505">
        <f>'5.3.7'!$P$4</f>
        <v>185.21062775919711</v>
      </c>
      <c r="AQ219" s="2505"/>
      <c r="AR219" s="2505">
        <f t="shared" si="165"/>
        <v>74195.196549580593</v>
      </c>
      <c r="AS219" s="2505">
        <f t="shared" si="166"/>
        <v>0</v>
      </c>
      <c r="AT219" s="1132" t="str">
        <f t="shared" si="167"/>
        <v>RS-HVC-GHEF-V08-190101</v>
      </c>
      <c r="AU219" s="1132" t="str">
        <f t="shared" si="168"/>
        <v>Nicor Gas PY11-PY14 Adjustable Goals Template_2025-03-01, Tab 5.3.7</v>
      </c>
      <c r="AV219" s="2505">
        <f>'5.3.7'!$P$4</f>
        <v>185.21062775919711</v>
      </c>
      <c r="AW219" s="2505"/>
      <c r="AX219" s="1362">
        <f t="shared" si="169"/>
        <v>74195.196549580593</v>
      </c>
      <c r="AY219" s="1360">
        <f t="shared" si="170"/>
        <v>0</v>
      </c>
      <c r="AZ219" s="1132" t="str">
        <f t="shared" si="171"/>
        <v>RS-HVC-GHEF-V08-190101</v>
      </c>
      <c r="BA219" s="1132" t="str">
        <f t="shared" si="172"/>
        <v>Nicor Gas PY11-PY14 Adjustable Goals Template_2025-03-01, Tab 5.3.7</v>
      </c>
      <c r="BB219" s="2505">
        <f>'5.3.7'!$P$4</f>
        <v>185.21062775919711</v>
      </c>
      <c r="BC219" s="2505"/>
      <c r="BD219" s="1362">
        <f t="shared" si="173"/>
        <v>74195.196549580593</v>
      </c>
      <c r="BE219" s="1360">
        <f t="shared" si="174"/>
        <v>0</v>
      </c>
      <c r="BF219" s="1132" t="str">
        <f t="shared" si="175"/>
        <v>RS-HVC-GHEF-V08-190101</v>
      </c>
      <c r="BG219" s="1132" t="str">
        <f t="shared" si="176"/>
        <v>Nicor Gas PY11-PY14 Adjustable Goals Template_2025-03-01, Tab 5.3.7</v>
      </c>
      <c r="BH219" s="2505">
        <f>'5.3.7'!$P$4</f>
        <v>185.21062775919711</v>
      </c>
      <c r="BI219" s="2505"/>
      <c r="BJ219" s="1362">
        <f t="shared" si="198"/>
        <v>74195.196549580593</v>
      </c>
      <c r="BK219" s="1360">
        <f t="shared" si="177"/>
        <v>0</v>
      </c>
      <c r="BL219" s="1601">
        <f t="shared" si="178"/>
        <v>74195.196549580593</v>
      </c>
      <c r="BM219" s="1601">
        <f t="shared" si="179"/>
        <v>74195.196549580593</v>
      </c>
      <c r="BN219" s="1601">
        <f t="shared" si="180"/>
        <v>74195.196549580593</v>
      </c>
      <c r="BO219" s="1601">
        <f t="shared" si="181"/>
        <v>74195.196549580593</v>
      </c>
      <c r="BP219" s="1602">
        <f t="shared" si="182"/>
        <v>296780.78619832237</v>
      </c>
      <c r="BQ219" s="1602"/>
      <c r="BR219" s="1602" t="s">
        <v>631</v>
      </c>
      <c r="BS219" s="1602">
        <v>0</v>
      </c>
      <c r="BT219" s="1602">
        <v>20</v>
      </c>
      <c r="BU219" s="1602">
        <v>20</v>
      </c>
      <c r="BV219" s="1602">
        <v>20</v>
      </c>
      <c r="BW219" s="1602">
        <v>20</v>
      </c>
      <c r="BX219" s="1362">
        <f t="shared" si="199"/>
        <v>1483903.9309916119</v>
      </c>
      <c r="BY219" s="1362">
        <f t="shared" si="200"/>
        <v>1483903.9309916119</v>
      </c>
      <c r="BZ219" s="1362">
        <f t="shared" si="201"/>
        <v>1483903.9309916119</v>
      </c>
      <c r="CA219" s="1362">
        <f t="shared" si="202"/>
        <v>1483903.9309916119</v>
      </c>
      <c r="CB219" s="1362">
        <f t="shared" si="203"/>
        <v>5935615.7239664476</v>
      </c>
      <c r="CC219" s="1360">
        <v>20</v>
      </c>
      <c r="CD219" s="1360">
        <v>20</v>
      </c>
      <c r="CE219" s="1360">
        <v>20</v>
      </c>
      <c r="CF219" s="1360">
        <v>20</v>
      </c>
      <c r="CG219" s="1604">
        <f t="shared" si="183"/>
        <v>1483903.9309916119</v>
      </c>
      <c r="CH219" s="1604">
        <f t="shared" si="184"/>
        <v>1483903.9309916119</v>
      </c>
      <c r="CI219" s="1604">
        <f t="shared" si="185"/>
        <v>1483903.9309916119</v>
      </c>
      <c r="CJ219" s="1604">
        <f t="shared" si="186"/>
        <v>1483903.9309916119</v>
      </c>
      <c r="CK219" s="1521">
        <f t="shared" si="187"/>
        <v>5935615.7239664476</v>
      </c>
      <c r="CL219" s="1132">
        <v>213</v>
      </c>
      <c r="CM219" s="1132" t="s">
        <v>356</v>
      </c>
      <c r="CN219" s="1359">
        <v>0</v>
      </c>
      <c r="CO219" s="1360">
        <v>475.90551000000011</v>
      </c>
      <c r="CP219" s="1360">
        <v>475.90551000000011</v>
      </c>
      <c r="CQ219" s="1360">
        <v>475.90551000000011</v>
      </c>
      <c r="CR219" s="1360">
        <v>475.90551000000011</v>
      </c>
      <c r="CS219" s="1362">
        <f t="shared" si="188"/>
        <v>74195.196549580593</v>
      </c>
      <c r="CT219" s="1362">
        <f t="shared" si="189"/>
        <v>74195.196549580593</v>
      </c>
      <c r="CU219" s="1362">
        <f t="shared" si="190"/>
        <v>74195.196549580593</v>
      </c>
      <c r="CV219" s="1362">
        <f t="shared" si="191"/>
        <v>74195.196549580593</v>
      </c>
      <c r="CW219" s="1362">
        <f t="shared" si="192"/>
        <v>296780.78619832237</v>
      </c>
      <c r="CY219" s="2887"/>
    </row>
    <row r="220" spans="1:103" s="1143" customFormat="1" ht="46.5" x14ac:dyDescent="0.35">
      <c r="A220" s="1132" t="s">
        <v>108</v>
      </c>
      <c r="B220" s="1132" t="s">
        <v>628</v>
      </c>
      <c r="C220" s="1132" t="s">
        <v>633</v>
      </c>
      <c r="D220" s="1359" t="s">
        <v>634</v>
      </c>
      <c r="E220" s="1359">
        <v>1</v>
      </c>
      <c r="F220" s="2564" t="s">
        <v>631</v>
      </c>
      <c r="G220" s="1132" t="s">
        <v>356</v>
      </c>
      <c r="H220" s="1360">
        <v>95.18110200000001</v>
      </c>
      <c r="I220" s="1360">
        <v>95.18110200000001</v>
      </c>
      <c r="J220" s="1360">
        <v>95.18110200000001</v>
      </c>
      <c r="K220" s="1360">
        <v>95.18110200000001</v>
      </c>
      <c r="L220" s="1132" t="s">
        <v>632</v>
      </c>
      <c r="M220" s="1132" t="str">
        <f t="shared" si="154"/>
        <v>Nicor Gas PY11-PY14 Adjustable Goals Template_2025-03-01, Tab 5.3.7</v>
      </c>
      <c r="N220" s="1361">
        <v>221.65331893719795</v>
      </c>
      <c r="O220" s="1361">
        <v>221.65331893719795</v>
      </c>
      <c r="P220" s="1361">
        <v>221.65331893719795</v>
      </c>
      <c r="Q220" s="1361">
        <v>221.65331893719795</v>
      </c>
      <c r="R220" s="1781">
        <v>0.84176168312937716</v>
      </c>
      <c r="S220" s="1781">
        <v>0.84176168312937716</v>
      </c>
      <c r="T220" s="1781">
        <v>0.84176168312937716</v>
      </c>
      <c r="U220" s="1781">
        <v>0.84176168312937716</v>
      </c>
      <c r="V220" s="1781">
        <v>0.84176168312937716</v>
      </c>
      <c r="W220" s="1781">
        <v>0.84176168312937716</v>
      </c>
      <c r="X220" s="1781">
        <v>0.84176168312937716</v>
      </c>
      <c r="Y220" s="1781">
        <v>0.84176168312937716</v>
      </c>
      <c r="Z220" s="1359">
        <v>1</v>
      </c>
      <c r="AA220" s="1781">
        <f t="shared" si="155"/>
        <v>0.84176168312937716</v>
      </c>
      <c r="AB220" s="1781">
        <f t="shared" si="156"/>
        <v>0.84176168312937716</v>
      </c>
      <c r="AC220" s="1781">
        <f t="shared" si="157"/>
        <v>0.84176168312937716</v>
      </c>
      <c r="AD220" s="1781">
        <f t="shared" si="158"/>
        <v>0.84176168312937716</v>
      </c>
      <c r="AE220" s="1781">
        <f t="shared" si="159"/>
        <v>0.84176168312937716</v>
      </c>
      <c r="AF220" s="1781">
        <f t="shared" si="160"/>
        <v>0.84176168312937716</v>
      </c>
      <c r="AG220" s="1781">
        <f t="shared" si="161"/>
        <v>0.84176168312937716</v>
      </c>
      <c r="AH220" s="1781">
        <f t="shared" si="162"/>
        <v>0.84176168312937716</v>
      </c>
      <c r="AI220" s="1362">
        <f t="shared" si="193"/>
        <v>17758.820606983903</v>
      </c>
      <c r="AJ220" s="1362">
        <f t="shared" si="194"/>
        <v>17758.820606983903</v>
      </c>
      <c r="AK220" s="1362">
        <f t="shared" si="195"/>
        <v>17758.820606983903</v>
      </c>
      <c r="AL220" s="1362">
        <f t="shared" si="196"/>
        <v>17758.820606983903</v>
      </c>
      <c r="AM220" s="1362">
        <f t="shared" si="197"/>
        <v>71035.282427935614</v>
      </c>
      <c r="AN220" s="1132" t="str">
        <f t="shared" si="163"/>
        <v>RS-HVC-GHEF-V08-190101</v>
      </c>
      <c r="AO220" s="1132" t="str">
        <f t="shared" si="164"/>
        <v>Nicor Gas PY11-PY14 Adjustable Goals Template_2025-03-01, Tab 5.3.7</v>
      </c>
      <c r="AP220" s="2505">
        <f>'5.3.7'!$P$5</f>
        <v>221.65331893719795</v>
      </c>
      <c r="AQ220" s="2505"/>
      <c r="AR220" s="2505">
        <f t="shared" si="165"/>
        <v>17758.820606983903</v>
      </c>
      <c r="AS220" s="2505">
        <f t="shared" si="166"/>
        <v>0</v>
      </c>
      <c r="AT220" s="1132" t="str">
        <f t="shared" si="167"/>
        <v>RS-HVC-GHEF-V08-190101</v>
      </c>
      <c r="AU220" s="1132" t="str">
        <f t="shared" si="168"/>
        <v>Nicor Gas PY11-PY14 Adjustable Goals Template_2025-03-01, Tab 5.3.7</v>
      </c>
      <c r="AV220" s="2505">
        <f>'5.3.7'!$P$5</f>
        <v>221.65331893719795</v>
      </c>
      <c r="AW220" s="2505"/>
      <c r="AX220" s="1362">
        <f t="shared" si="169"/>
        <v>17758.820606983903</v>
      </c>
      <c r="AY220" s="1360">
        <f t="shared" si="170"/>
        <v>0</v>
      </c>
      <c r="AZ220" s="1132" t="str">
        <f t="shared" si="171"/>
        <v>RS-HVC-GHEF-V08-190101</v>
      </c>
      <c r="BA220" s="1132" t="str">
        <f t="shared" si="172"/>
        <v>Nicor Gas PY11-PY14 Adjustable Goals Template_2025-03-01, Tab 5.3.7</v>
      </c>
      <c r="BB220" s="2505">
        <f>'5.3.7'!$P$5</f>
        <v>221.65331893719795</v>
      </c>
      <c r="BC220" s="2505"/>
      <c r="BD220" s="1362">
        <f t="shared" si="173"/>
        <v>17758.820606983903</v>
      </c>
      <c r="BE220" s="1360">
        <f t="shared" si="174"/>
        <v>0</v>
      </c>
      <c r="BF220" s="1132" t="str">
        <f t="shared" si="175"/>
        <v>RS-HVC-GHEF-V08-190101</v>
      </c>
      <c r="BG220" s="1132" t="str">
        <f t="shared" si="176"/>
        <v>Nicor Gas PY11-PY14 Adjustable Goals Template_2025-03-01, Tab 5.3.7</v>
      </c>
      <c r="BH220" s="2505">
        <f>'5.3.7'!$P$5</f>
        <v>221.65331893719795</v>
      </c>
      <c r="BI220" s="2505"/>
      <c r="BJ220" s="1362">
        <f t="shared" si="198"/>
        <v>17758.820606983903</v>
      </c>
      <c r="BK220" s="1360">
        <f t="shared" si="177"/>
        <v>0</v>
      </c>
      <c r="BL220" s="1601">
        <f t="shared" si="178"/>
        <v>17758.820606983903</v>
      </c>
      <c r="BM220" s="1601">
        <f t="shared" si="179"/>
        <v>17758.820606983903</v>
      </c>
      <c r="BN220" s="1601">
        <f t="shared" si="180"/>
        <v>17758.820606983903</v>
      </c>
      <c r="BO220" s="1601">
        <f t="shared" si="181"/>
        <v>17758.820606983903</v>
      </c>
      <c r="BP220" s="1602">
        <f t="shared" si="182"/>
        <v>71035.282427935614</v>
      </c>
      <c r="BQ220" s="1602"/>
      <c r="BR220" s="1602" t="s">
        <v>631</v>
      </c>
      <c r="BS220" s="1602">
        <v>0</v>
      </c>
      <c r="BT220" s="1602">
        <v>20</v>
      </c>
      <c r="BU220" s="1602">
        <v>20</v>
      </c>
      <c r="BV220" s="1602">
        <v>20</v>
      </c>
      <c r="BW220" s="1602">
        <v>20</v>
      </c>
      <c r="BX220" s="1362">
        <f t="shared" si="199"/>
        <v>355176.41213967808</v>
      </c>
      <c r="BY220" s="1362">
        <f t="shared" si="200"/>
        <v>355176.41213967808</v>
      </c>
      <c r="BZ220" s="1362">
        <f t="shared" si="201"/>
        <v>355176.41213967808</v>
      </c>
      <c r="CA220" s="1362">
        <f t="shared" si="202"/>
        <v>355176.41213967808</v>
      </c>
      <c r="CB220" s="1362">
        <f t="shared" si="203"/>
        <v>1420705.6485587123</v>
      </c>
      <c r="CC220" s="1360">
        <v>20</v>
      </c>
      <c r="CD220" s="1360">
        <v>20</v>
      </c>
      <c r="CE220" s="1360">
        <v>20</v>
      </c>
      <c r="CF220" s="1360">
        <v>20</v>
      </c>
      <c r="CG220" s="1604">
        <f t="shared" si="183"/>
        <v>355176.41213967808</v>
      </c>
      <c r="CH220" s="1604">
        <f t="shared" si="184"/>
        <v>355176.41213967808</v>
      </c>
      <c r="CI220" s="1604">
        <f t="shared" si="185"/>
        <v>355176.41213967808</v>
      </c>
      <c r="CJ220" s="1604">
        <f t="shared" si="186"/>
        <v>355176.41213967808</v>
      </c>
      <c r="CK220" s="1521">
        <f t="shared" si="187"/>
        <v>1420705.6485587123</v>
      </c>
      <c r="CL220" s="1132">
        <v>214</v>
      </c>
      <c r="CM220" s="1132" t="s">
        <v>356</v>
      </c>
      <c r="CN220" s="1359">
        <v>0</v>
      </c>
      <c r="CO220" s="1360">
        <v>95.18110200000001</v>
      </c>
      <c r="CP220" s="1360">
        <v>95.18110200000001</v>
      </c>
      <c r="CQ220" s="1360">
        <v>95.18110200000001</v>
      </c>
      <c r="CR220" s="1360">
        <v>95.18110200000001</v>
      </c>
      <c r="CS220" s="1362">
        <f t="shared" si="188"/>
        <v>17758.820606983903</v>
      </c>
      <c r="CT220" s="1362">
        <f t="shared" si="189"/>
        <v>17758.820606983903</v>
      </c>
      <c r="CU220" s="1362">
        <f t="shared" si="190"/>
        <v>17758.820606983903</v>
      </c>
      <c r="CV220" s="1362">
        <f t="shared" si="191"/>
        <v>17758.820606983903</v>
      </c>
      <c r="CW220" s="1362">
        <f t="shared" si="192"/>
        <v>71035.282427935614</v>
      </c>
      <c r="CY220" s="2887"/>
    </row>
    <row r="221" spans="1:103" s="1143" customFormat="1" ht="15" customHeight="1" x14ac:dyDescent="0.35">
      <c r="A221" s="1132" t="s">
        <v>108</v>
      </c>
      <c r="B221" s="1132" t="s">
        <v>628</v>
      </c>
      <c r="C221" s="1132" t="s">
        <v>640</v>
      </c>
      <c r="D221" s="1359" t="s">
        <v>641</v>
      </c>
      <c r="E221" s="1359">
        <v>1</v>
      </c>
      <c r="F221" s="2807" t="s">
        <v>642</v>
      </c>
      <c r="G221" s="1132" t="s">
        <v>356</v>
      </c>
      <c r="H221" s="1360">
        <v>101.5265088</v>
      </c>
      <c r="I221" s="1360">
        <v>101.5265088</v>
      </c>
      <c r="J221" s="1360">
        <v>101.5265088</v>
      </c>
      <c r="K221" s="1360">
        <v>101.5265088</v>
      </c>
      <c r="L221" s="1132" t="s">
        <v>643</v>
      </c>
      <c r="M221" s="1132" t="str">
        <f t="shared" si="154"/>
        <v>Nicor Gas PY11-PY14 Adjustable Goals Template_2025-03-01, Tab 5.4.2</v>
      </c>
      <c r="N221" s="1361">
        <v>55.849961732333917</v>
      </c>
      <c r="O221" s="1361">
        <v>55.849961732333917</v>
      </c>
      <c r="P221" s="1361">
        <v>55.849961732333917</v>
      </c>
      <c r="Q221" s="1361">
        <v>55.849961732333917</v>
      </c>
      <c r="R221" s="1781">
        <v>0.84176168312937716</v>
      </c>
      <c r="S221" s="1781">
        <v>0.84176168312937716</v>
      </c>
      <c r="T221" s="1781">
        <v>0.84176168312937716</v>
      </c>
      <c r="U221" s="1781">
        <v>0.84176168312937716</v>
      </c>
      <c r="V221" s="1781">
        <v>0.84176168312937716</v>
      </c>
      <c r="W221" s="1781">
        <v>0.84176168312937716</v>
      </c>
      <c r="X221" s="1781">
        <v>0.84176168312937716</v>
      </c>
      <c r="Y221" s="1781">
        <v>0.84176168312937716</v>
      </c>
      <c r="Z221" s="1359">
        <v>1</v>
      </c>
      <c r="AA221" s="1781">
        <f t="shared" si="155"/>
        <v>0.84176168312937716</v>
      </c>
      <c r="AB221" s="1781">
        <f t="shared" si="156"/>
        <v>0.84176168312937716</v>
      </c>
      <c r="AC221" s="1781">
        <f t="shared" si="157"/>
        <v>0.84176168312937716</v>
      </c>
      <c r="AD221" s="1781">
        <f t="shared" si="158"/>
        <v>0.84176168312937716</v>
      </c>
      <c r="AE221" s="1781">
        <f t="shared" si="159"/>
        <v>0.84176168312937716</v>
      </c>
      <c r="AF221" s="1781">
        <f t="shared" si="160"/>
        <v>0.84176168312937716</v>
      </c>
      <c r="AG221" s="1781">
        <f t="shared" si="161"/>
        <v>0.84176168312937716</v>
      </c>
      <c r="AH221" s="1781">
        <f t="shared" si="162"/>
        <v>0.84176168312937716</v>
      </c>
      <c r="AI221" s="1362">
        <f t="shared" si="193"/>
        <v>4773.0005569280493</v>
      </c>
      <c r="AJ221" s="1362">
        <f t="shared" si="194"/>
        <v>4773.0005569280493</v>
      </c>
      <c r="AK221" s="1362">
        <f t="shared" si="195"/>
        <v>4773.0005569280493</v>
      </c>
      <c r="AL221" s="1362">
        <f t="shared" si="196"/>
        <v>4773.0005569280493</v>
      </c>
      <c r="AM221" s="1362">
        <f t="shared" si="197"/>
        <v>19092.002227712197</v>
      </c>
      <c r="AN221" s="1132" t="str">
        <f t="shared" si="163"/>
        <v>RS-HWE-GWHT-V08-190101</v>
      </c>
      <c r="AO221" s="1132" t="str">
        <f t="shared" si="164"/>
        <v>Nicor Gas PY11-PY14 Adjustable Goals Template_2025-03-01, Tab 5.4.2</v>
      </c>
      <c r="AP221" s="2568">
        <f>'5.4.2'!$O$5</f>
        <v>58.445805024118449</v>
      </c>
      <c r="AQ221" s="2568" t="s">
        <v>481</v>
      </c>
      <c r="AR221" s="2505">
        <f t="shared" si="165"/>
        <v>4994.8442447852676</v>
      </c>
      <c r="AS221" s="2505">
        <f t="shared" si="166"/>
        <v>221.84368785721836</v>
      </c>
      <c r="AT221" s="1132" t="str">
        <f t="shared" si="167"/>
        <v>RS-HWE-GWHT-V08-190101</v>
      </c>
      <c r="AU221" s="1132" t="str">
        <f t="shared" si="168"/>
        <v>Nicor Gas PY11-PY14 Adjustable Goals Template_2025-03-01, Tab 5.4.2</v>
      </c>
      <c r="AV221" s="2505">
        <f>'5.4.2'!$O$5</f>
        <v>58.445805024118449</v>
      </c>
      <c r="AW221" s="2568" t="s">
        <v>481</v>
      </c>
      <c r="AX221" s="1362">
        <f t="shared" si="169"/>
        <v>4994.8442447852676</v>
      </c>
      <c r="AY221" s="1360">
        <f t="shared" si="170"/>
        <v>221.84368785721836</v>
      </c>
      <c r="AZ221" s="1132" t="str">
        <f t="shared" si="171"/>
        <v>RS-HWE-GWHT-V08-190101</v>
      </c>
      <c r="BA221" s="1132" t="str">
        <f t="shared" si="172"/>
        <v>Nicor Gas PY11-PY14 Adjustable Goals Template_2025-03-01, Tab 5.4.2</v>
      </c>
      <c r="BB221" s="2505">
        <f>'5.4.2'!$O$5</f>
        <v>58.445805024118449</v>
      </c>
      <c r="BC221" s="2568" t="s">
        <v>481</v>
      </c>
      <c r="BD221" s="1362">
        <f t="shared" si="173"/>
        <v>4994.8442447852676</v>
      </c>
      <c r="BE221" s="1360">
        <f t="shared" si="174"/>
        <v>221.84368785721836</v>
      </c>
      <c r="BF221" s="1132" t="str">
        <f t="shared" si="175"/>
        <v>RS-HWE-GWHT-V08-190101</v>
      </c>
      <c r="BG221" s="1132" t="str">
        <f t="shared" si="176"/>
        <v>Nicor Gas PY11-PY14 Adjustable Goals Template_2025-03-01, Tab 5.4.2</v>
      </c>
      <c r="BH221" s="2505">
        <f>'5.4.2'!$O$5</f>
        <v>58.445805024118449</v>
      </c>
      <c r="BI221" s="2568" t="s">
        <v>481</v>
      </c>
      <c r="BJ221" s="1362">
        <f t="shared" si="198"/>
        <v>4994.8442447852676</v>
      </c>
      <c r="BK221" s="1360">
        <f t="shared" si="177"/>
        <v>221.84368785721836</v>
      </c>
      <c r="BL221" s="1601">
        <f t="shared" si="178"/>
        <v>4994.8442447852676</v>
      </c>
      <c r="BM221" s="1601">
        <f t="shared" si="179"/>
        <v>4994.8442447852676</v>
      </c>
      <c r="BN221" s="1601">
        <f t="shared" si="180"/>
        <v>4994.8442447852676</v>
      </c>
      <c r="BO221" s="1601">
        <f t="shared" si="181"/>
        <v>4994.8442447852676</v>
      </c>
      <c r="BP221" s="1602">
        <f t="shared" si="182"/>
        <v>19979.37697914107</v>
      </c>
      <c r="BQ221" s="1602"/>
      <c r="BR221" s="1602" t="s">
        <v>642</v>
      </c>
      <c r="BS221" s="1602">
        <v>0</v>
      </c>
      <c r="BT221" s="1602">
        <v>13</v>
      </c>
      <c r="BU221" s="1602">
        <v>13</v>
      </c>
      <c r="BV221" s="1602">
        <v>13</v>
      </c>
      <c r="BW221" s="1602">
        <v>13</v>
      </c>
      <c r="BX221" s="1362">
        <f t="shared" si="199"/>
        <v>62049.007240064639</v>
      </c>
      <c r="BY221" s="1362">
        <f t="shared" si="200"/>
        <v>62049.007240064639</v>
      </c>
      <c r="BZ221" s="1362">
        <f t="shared" si="201"/>
        <v>62049.007240064639</v>
      </c>
      <c r="CA221" s="1362">
        <f t="shared" si="202"/>
        <v>62049.007240064639</v>
      </c>
      <c r="CB221" s="1362">
        <f t="shared" si="203"/>
        <v>248196.02896025855</v>
      </c>
      <c r="CC221" s="1360">
        <v>13</v>
      </c>
      <c r="CD221" s="1360">
        <v>13</v>
      </c>
      <c r="CE221" s="1360">
        <v>13</v>
      </c>
      <c r="CF221" s="1360">
        <v>13</v>
      </c>
      <c r="CG221" s="1604">
        <f t="shared" si="183"/>
        <v>64932.97518220848</v>
      </c>
      <c r="CH221" s="1604">
        <f t="shared" si="184"/>
        <v>64932.97518220848</v>
      </c>
      <c r="CI221" s="1604">
        <f t="shared" si="185"/>
        <v>64932.97518220848</v>
      </c>
      <c r="CJ221" s="1604">
        <f t="shared" si="186"/>
        <v>64932.97518220848</v>
      </c>
      <c r="CK221" s="1521">
        <f t="shared" si="187"/>
        <v>259731.90072883392</v>
      </c>
      <c r="CL221" s="1132">
        <v>215</v>
      </c>
      <c r="CM221" s="1132" t="s">
        <v>356</v>
      </c>
      <c r="CN221" s="1359">
        <v>0</v>
      </c>
      <c r="CO221" s="1360">
        <v>101.5265088</v>
      </c>
      <c r="CP221" s="1360">
        <v>101.5265088</v>
      </c>
      <c r="CQ221" s="1360">
        <v>101.5265088</v>
      </c>
      <c r="CR221" s="1360">
        <v>101.5265088</v>
      </c>
      <c r="CS221" s="1362">
        <f t="shared" si="188"/>
        <v>4994.8442447852676</v>
      </c>
      <c r="CT221" s="1362">
        <f t="shared" si="189"/>
        <v>4994.8442447852676</v>
      </c>
      <c r="CU221" s="1362">
        <f t="shared" si="190"/>
        <v>4994.8442447852676</v>
      </c>
      <c r="CV221" s="1362">
        <f t="shared" si="191"/>
        <v>4994.8442447852676</v>
      </c>
      <c r="CW221" s="1362">
        <f t="shared" si="192"/>
        <v>19979.37697914107</v>
      </c>
      <c r="CY221" s="2887"/>
    </row>
    <row r="222" spans="1:103" s="1143" customFormat="1" ht="15.5" x14ac:dyDescent="0.35">
      <c r="A222" s="1132" t="s">
        <v>108</v>
      </c>
      <c r="B222" s="1132" t="s">
        <v>628</v>
      </c>
      <c r="C222" s="1132" t="s">
        <v>644</v>
      </c>
      <c r="D222" s="1359" t="s">
        <v>105</v>
      </c>
      <c r="E222" s="1359">
        <f>IF(AI222-AR222=0,0,1)</f>
        <v>0</v>
      </c>
      <c r="F222" s="1132" t="s">
        <v>105</v>
      </c>
      <c r="G222" s="1132" t="s">
        <v>328</v>
      </c>
      <c r="H222" s="1360">
        <v>32.837480190000001</v>
      </c>
      <c r="I222" s="1360">
        <v>32.837480190000001</v>
      </c>
      <c r="J222" s="1360">
        <v>32.837480190000001</v>
      </c>
      <c r="K222" s="1360">
        <v>32.837480190000001</v>
      </c>
      <c r="L222" s="1132" t="s">
        <v>105</v>
      </c>
      <c r="M222" s="1132" t="str">
        <f t="shared" si="154"/>
        <v/>
      </c>
      <c r="N222" s="1361">
        <v>91.676929759551214</v>
      </c>
      <c r="O222" s="1361">
        <v>91.676929759551214</v>
      </c>
      <c r="P222" s="1361">
        <v>91.676929759551214</v>
      </c>
      <c r="Q222" s="1361">
        <v>91.676929759551214</v>
      </c>
      <c r="R222" s="1781">
        <v>0.84176168312937716</v>
      </c>
      <c r="S222" s="1781">
        <v>0.84176168312937716</v>
      </c>
      <c r="T222" s="1781">
        <v>0.84176168312937716</v>
      </c>
      <c r="U222" s="1781">
        <v>0.84176168312937716</v>
      </c>
      <c r="V222" s="1781">
        <v>0.84176168312937716</v>
      </c>
      <c r="W222" s="1781">
        <v>0.84176168312937716</v>
      </c>
      <c r="X222" s="1781">
        <v>0.84176168312937716</v>
      </c>
      <c r="Y222" s="1781">
        <v>0.84176168312937716</v>
      </c>
      <c r="Z222" s="1359">
        <v>1</v>
      </c>
      <c r="AA222" s="1781">
        <f t="shared" si="155"/>
        <v>0.84176168312937716</v>
      </c>
      <c r="AB222" s="1781">
        <f t="shared" si="156"/>
        <v>0.84176168312937716</v>
      </c>
      <c r="AC222" s="1781">
        <f t="shared" si="157"/>
        <v>0.84176168312937716</v>
      </c>
      <c r="AD222" s="1781">
        <f t="shared" si="158"/>
        <v>0.84176168312937716</v>
      </c>
      <c r="AE222" s="1781">
        <f t="shared" si="159"/>
        <v>0.84176168312937716</v>
      </c>
      <c r="AF222" s="1781">
        <f t="shared" si="160"/>
        <v>0.84176168312937716</v>
      </c>
      <c r="AG222" s="1781">
        <f t="shared" si="161"/>
        <v>0.84176168312937716</v>
      </c>
      <c r="AH222" s="1781">
        <f t="shared" si="162"/>
        <v>0.84176168312937716</v>
      </c>
      <c r="AI222" s="1362">
        <f t="shared" si="193"/>
        <v>2534.0725067228846</v>
      </c>
      <c r="AJ222" s="1362">
        <f t="shared" si="194"/>
        <v>2534.0725067228846</v>
      </c>
      <c r="AK222" s="1362">
        <f t="shared" si="195"/>
        <v>2534.0725067228846</v>
      </c>
      <c r="AL222" s="1362">
        <f t="shared" si="196"/>
        <v>2534.0725067228846</v>
      </c>
      <c r="AM222" s="1362">
        <f t="shared" si="197"/>
        <v>10136.290026891538</v>
      </c>
      <c r="AN222" s="1132" t="str">
        <f t="shared" si="163"/>
        <v>Custom</v>
      </c>
      <c r="AO222" s="1132" t="str">
        <f t="shared" si="164"/>
        <v/>
      </c>
      <c r="AP222" s="2505">
        <v>91.676929759551214</v>
      </c>
      <c r="AQ222" s="2505"/>
      <c r="AR222" s="2505">
        <f t="shared" si="165"/>
        <v>2534.0725067228846</v>
      </c>
      <c r="AS222" s="2505">
        <f t="shared" si="166"/>
        <v>0</v>
      </c>
      <c r="AT222" s="1132" t="str">
        <f t="shared" si="167"/>
        <v>Custom</v>
      </c>
      <c r="AU222" s="1132" t="str">
        <f t="shared" si="168"/>
        <v/>
      </c>
      <c r="AV222" s="2505">
        <v>91.676929759551214</v>
      </c>
      <c r="AW222" s="2505"/>
      <c r="AX222" s="1362">
        <f t="shared" si="169"/>
        <v>2534.0725067228846</v>
      </c>
      <c r="AY222" s="1360">
        <f t="shared" si="170"/>
        <v>0</v>
      </c>
      <c r="AZ222" s="1132" t="str">
        <f t="shared" si="171"/>
        <v>Custom</v>
      </c>
      <c r="BA222" s="1132" t="str">
        <f t="shared" si="172"/>
        <v/>
      </c>
      <c r="BB222" s="2505">
        <v>91.676929759551214</v>
      </c>
      <c r="BC222" s="2505"/>
      <c r="BD222" s="1362">
        <f t="shared" si="173"/>
        <v>2534.0725067228846</v>
      </c>
      <c r="BE222" s="1360">
        <f t="shared" si="174"/>
        <v>0</v>
      </c>
      <c r="BF222" s="1132" t="str">
        <f t="shared" si="175"/>
        <v>Custom</v>
      </c>
      <c r="BG222" s="1132" t="str">
        <f t="shared" si="176"/>
        <v/>
      </c>
      <c r="BH222" s="2505">
        <v>91.676929759551214</v>
      </c>
      <c r="BI222" s="2505"/>
      <c r="BJ222" s="1362">
        <f t="shared" si="198"/>
        <v>2534.0725067228846</v>
      </c>
      <c r="BK222" s="1360">
        <f t="shared" si="177"/>
        <v>0</v>
      </c>
      <c r="BL222" s="1601">
        <f t="shared" si="178"/>
        <v>2534.0725067228846</v>
      </c>
      <c r="BM222" s="1601">
        <f t="shared" si="179"/>
        <v>2534.0725067228846</v>
      </c>
      <c r="BN222" s="1601">
        <f t="shared" si="180"/>
        <v>2534.0725067228846</v>
      </c>
      <c r="BO222" s="1601">
        <f t="shared" si="181"/>
        <v>2534.0725067228846</v>
      </c>
      <c r="BP222" s="1602">
        <f t="shared" si="182"/>
        <v>10136.290026891538</v>
      </c>
      <c r="BQ222" s="1602"/>
      <c r="BR222" s="1602"/>
      <c r="BS222" s="1602">
        <v>0</v>
      </c>
      <c r="BT222" s="1602">
        <v>15</v>
      </c>
      <c r="BU222" s="1602">
        <v>15</v>
      </c>
      <c r="BV222" s="1602">
        <v>15</v>
      </c>
      <c r="BW222" s="1602">
        <v>15</v>
      </c>
      <c r="BX222" s="1362">
        <f t="shared" si="199"/>
        <v>38011.087600843268</v>
      </c>
      <c r="BY222" s="1362">
        <f t="shared" si="200"/>
        <v>38011.087600843268</v>
      </c>
      <c r="BZ222" s="1362">
        <f t="shared" si="201"/>
        <v>38011.087600843268</v>
      </c>
      <c r="CA222" s="1362">
        <f t="shared" si="202"/>
        <v>38011.087600843268</v>
      </c>
      <c r="CB222" s="1362">
        <f t="shared" si="203"/>
        <v>152044.35040337307</v>
      </c>
      <c r="CC222" s="1360">
        <v>15</v>
      </c>
      <c r="CD222" s="1360">
        <v>15</v>
      </c>
      <c r="CE222" s="1360">
        <v>15</v>
      </c>
      <c r="CF222" s="1360">
        <v>15</v>
      </c>
      <c r="CG222" s="1604">
        <f t="shared" si="183"/>
        <v>38011.087600843268</v>
      </c>
      <c r="CH222" s="1604">
        <f t="shared" si="184"/>
        <v>38011.087600843268</v>
      </c>
      <c r="CI222" s="1604">
        <f t="shared" si="185"/>
        <v>38011.087600843268</v>
      </c>
      <c r="CJ222" s="1604">
        <f t="shared" si="186"/>
        <v>38011.087600843268</v>
      </c>
      <c r="CK222" s="1521">
        <f t="shared" si="187"/>
        <v>152044.35040337307</v>
      </c>
      <c r="CL222" s="1132">
        <v>216</v>
      </c>
      <c r="CM222" s="1132" t="s">
        <v>328</v>
      </c>
      <c r="CN222" s="1359">
        <v>0</v>
      </c>
      <c r="CO222" s="1360">
        <v>32.837480190000001</v>
      </c>
      <c r="CP222" s="1360">
        <v>32.837480190000001</v>
      </c>
      <c r="CQ222" s="1360">
        <v>32.837480190000001</v>
      </c>
      <c r="CR222" s="1360">
        <v>32.837480190000001</v>
      </c>
      <c r="CS222" s="1362">
        <f t="shared" si="188"/>
        <v>2534.0725067228846</v>
      </c>
      <c r="CT222" s="1362">
        <f t="shared" si="189"/>
        <v>2534.0725067228846</v>
      </c>
      <c r="CU222" s="1362">
        <f t="shared" si="190"/>
        <v>2534.0725067228846</v>
      </c>
      <c r="CV222" s="1362">
        <f t="shared" si="191"/>
        <v>2534.0725067228846</v>
      </c>
      <c r="CW222" s="1362">
        <f t="shared" si="192"/>
        <v>10136.290026891538</v>
      </c>
      <c r="CY222" s="2887"/>
    </row>
    <row r="223" spans="1:103" s="1143" customFormat="1" ht="45.75" customHeight="1" x14ac:dyDescent="0.35">
      <c r="A223" s="1132" t="s">
        <v>108</v>
      </c>
      <c r="B223" s="1132" t="s">
        <v>628</v>
      </c>
      <c r="C223" s="1132" t="s">
        <v>645</v>
      </c>
      <c r="D223" s="1359" t="s">
        <v>105</v>
      </c>
      <c r="E223" s="1359">
        <f>IF(AI223-AR223=0,0,1)</f>
        <v>0</v>
      </c>
      <c r="F223" s="1132" t="s">
        <v>105</v>
      </c>
      <c r="G223" s="1132" t="s">
        <v>328</v>
      </c>
      <c r="H223" s="1360">
        <v>14.2771653</v>
      </c>
      <c r="I223" s="1360">
        <v>14.2771653</v>
      </c>
      <c r="J223" s="1360">
        <v>14.2771653</v>
      </c>
      <c r="K223" s="1360">
        <v>14.2771653</v>
      </c>
      <c r="L223" s="1132" t="s">
        <v>105</v>
      </c>
      <c r="M223" s="1132" t="str">
        <f t="shared" si="154"/>
        <v/>
      </c>
      <c r="N223" s="1361">
        <v>410.67692975955123</v>
      </c>
      <c r="O223" s="1361">
        <v>410.67692975955123</v>
      </c>
      <c r="P223" s="1361">
        <v>410.67692975955123</v>
      </c>
      <c r="Q223" s="1361">
        <v>410.67692975955123</v>
      </c>
      <c r="R223" s="1781">
        <v>0.84176168312937716</v>
      </c>
      <c r="S223" s="1781">
        <v>0.84176168312937716</v>
      </c>
      <c r="T223" s="1781">
        <v>0.84176168312937716</v>
      </c>
      <c r="U223" s="1781">
        <v>0.84176168312937716</v>
      </c>
      <c r="V223" s="1781">
        <v>0.84176168312937716</v>
      </c>
      <c r="W223" s="1781">
        <v>0.84176168312937716</v>
      </c>
      <c r="X223" s="1781">
        <v>0.84176168312937716</v>
      </c>
      <c r="Y223" s="1781">
        <v>0.84176168312937716</v>
      </c>
      <c r="Z223" s="1359">
        <v>1</v>
      </c>
      <c r="AA223" s="1781">
        <f t="shared" si="155"/>
        <v>0.84176168312937716</v>
      </c>
      <c r="AB223" s="1781">
        <f t="shared" si="156"/>
        <v>0.84176168312937716</v>
      </c>
      <c r="AC223" s="1781">
        <f t="shared" si="157"/>
        <v>0.84176168312937716</v>
      </c>
      <c r="AD223" s="1781">
        <f t="shared" si="158"/>
        <v>0.84176168312937716</v>
      </c>
      <c r="AE223" s="1781">
        <f t="shared" si="159"/>
        <v>0.84176168312937716</v>
      </c>
      <c r="AF223" s="1781">
        <f t="shared" si="160"/>
        <v>0.84176168312937716</v>
      </c>
      <c r="AG223" s="1781">
        <f t="shared" si="161"/>
        <v>0.84176168312937716</v>
      </c>
      <c r="AH223" s="1781">
        <f t="shared" si="162"/>
        <v>0.84176168312937716</v>
      </c>
      <c r="AI223" s="1362">
        <f t="shared" si="193"/>
        <v>4935.5033062418506</v>
      </c>
      <c r="AJ223" s="1362">
        <f t="shared" si="194"/>
        <v>4935.5033062418506</v>
      </c>
      <c r="AK223" s="1362">
        <f t="shared" si="195"/>
        <v>4935.5033062418506</v>
      </c>
      <c r="AL223" s="1362">
        <f t="shared" si="196"/>
        <v>4935.5033062418506</v>
      </c>
      <c r="AM223" s="1362">
        <f t="shared" si="197"/>
        <v>19742.013224967402</v>
      </c>
      <c r="AN223" s="1132" t="str">
        <f t="shared" si="163"/>
        <v>Custom</v>
      </c>
      <c r="AO223" s="1132" t="str">
        <f t="shared" si="164"/>
        <v/>
      </c>
      <c r="AP223" s="2505">
        <v>410.67692975955123</v>
      </c>
      <c r="AQ223" s="2505"/>
      <c r="AR223" s="2505">
        <f t="shared" si="165"/>
        <v>4935.5033062418506</v>
      </c>
      <c r="AS223" s="2505">
        <f t="shared" si="166"/>
        <v>0</v>
      </c>
      <c r="AT223" s="1132" t="str">
        <f t="shared" si="167"/>
        <v>Custom</v>
      </c>
      <c r="AU223" s="1132" t="str">
        <f t="shared" si="168"/>
        <v/>
      </c>
      <c r="AV223" s="2505">
        <v>410.67692975955123</v>
      </c>
      <c r="AW223" s="2505"/>
      <c r="AX223" s="1362">
        <f t="shared" si="169"/>
        <v>4935.5033062418506</v>
      </c>
      <c r="AY223" s="1360">
        <f t="shared" si="170"/>
        <v>0</v>
      </c>
      <c r="AZ223" s="1132" t="str">
        <f t="shared" si="171"/>
        <v>Custom</v>
      </c>
      <c r="BA223" s="1132" t="str">
        <f t="shared" si="172"/>
        <v/>
      </c>
      <c r="BB223" s="2505">
        <v>410.67692975955123</v>
      </c>
      <c r="BC223" s="2505"/>
      <c r="BD223" s="1362">
        <f t="shared" si="173"/>
        <v>4935.5033062418506</v>
      </c>
      <c r="BE223" s="1360">
        <f t="shared" si="174"/>
        <v>0</v>
      </c>
      <c r="BF223" s="1132" t="str">
        <f t="shared" si="175"/>
        <v>Custom</v>
      </c>
      <c r="BG223" s="1132" t="str">
        <f t="shared" si="176"/>
        <v/>
      </c>
      <c r="BH223" s="2505">
        <v>410.67692975955123</v>
      </c>
      <c r="BI223" s="2505"/>
      <c r="BJ223" s="1362">
        <f t="shared" si="198"/>
        <v>4935.5033062418506</v>
      </c>
      <c r="BK223" s="1360">
        <f t="shared" si="177"/>
        <v>0</v>
      </c>
      <c r="BL223" s="1601">
        <f t="shared" si="178"/>
        <v>4935.5033062418506</v>
      </c>
      <c r="BM223" s="1601">
        <f t="shared" si="179"/>
        <v>4935.5033062418506</v>
      </c>
      <c r="BN223" s="1601">
        <f t="shared" si="180"/>
        <v>4935.5033062418506</v>
      </c>
      <c r="BO223" s="1601">
        <f t="shared" si="181"/>
        <v>4935.5033062418506</v>
      </c>
      <c r="BP223" s="1602">
        <f t="shared" si="182"/>
        <v>19742.013224967402</v>
      </c>
      <c r="BQ223" s="1602"/>
      <c r="BR223" s="1602"/>
      <c r="BS223" s="1602">
        <v>0</v>
      </c>
      <c r="BT223" s="1602">
        <v>20</v>
      </c>
      <c r="BU223" s="1602">
        <v>20</v>
      </c>
      <c r="BV223" s="1602">
        <v>20</v>
      </c>
      <c r="BW223" s="1602">
        <v>20</v>
      </c>
      <c r="BX223" s="1362">
        <f t="shared" si="199"/>
        <v>98710.066124837016</v>
      </c>
      <c r="BY223" s="1362">
        <f t="shared" si="200"/>
        <v>98710.066124837016</v>
      </c>
      <c r="BZ223" s="1362">
        <f t="shared" si="201"/>
        <v>98710.066124837016</v>
      </c>
      <c r="CA223" s="1362">
        <f t="shared" si="202"/>
        <v>98710.066124837016</v>
      </c>
      <c r="CB223" s="1362">
        <f t="shared" si="203"/>
        <v>394840.26449934806</v>
      </c>
      <c r="CC223" s="1360">
        <v>20</v>
      </c>
      <c r="CD223" s="1360">
        <v>20</v>
      </c>
      <c r="CE223" s="1360">
        <v>20</v>
      </c>
      <c r="CF223" s="1360">
        <v>20</v>
      </c>
      <c r="CG223" s="1604">
        <f t="shared" si="183"/>
        <v>98710.066124837016</v>
      </c>
      <c r="CH223" s="1604">
        <f t="shared" si="184"/>
        <v>98710.066124837016</v>
      </c>
      <c r="CI223" s="1604">
        <f t="shared" si="185"/>
        <v>98710.066124837016</v>
      </c>
      <c r="CJ223" s="1604">
        <f t="shared" si="186"/>
        <v>98710.066124837016</v>
      </c>
      <c r="CK223" s="1521">
        <f t="shared" si="187"/>
        <v>394840.26449934806</v>
      </c>
      <c r="CL223" s="1132">
        <v>217</v>
      </c>
      <c r="CM223" s="1132" t="s">
        <v>328</v>
      </c>
      <c r="CN223" s="1359">
        <v>0</v>
      </c>
      <c r="CO223" s="1360">
        <v>14.2771653</v>
      </c>
      <c r="CP223" s="1360">
        <v>14.2771653</v>
      </c>
      <c r="CQ223" s="1360">
        <v>14.2771653</v>
      </c>
      <c r="CR223" s="1360">
        <v>14.2771653</v>
      </c>
      <c r="CS223" s="1362">
        <f t="shared" si="188"/>
        <v>4935.5033062418506</v>
      </c>
      <c r="CT223" s="1362">
        <f t="shared" si="189"/>
        <v>4935.5033062418506</v>
      </c>
      <c r="CU223" s="1362">
        <f t="shared" si="190"/>
        <v>4935.5033062418506</v>
      </c>
      <c r="CV223" s="1362">
        <f t="shared" si="191"/>
        <v>4935.5033062418506</v>
      </c>
      <c r="CW223" s="1362">
        <f t="shared" si="192"/>
        <v>19742.013224967402</v>
      </c>
      <c r="CY223" s="2887"/>
    </row>
    <row r="224" spans="1:103" s="1143" customFormat="1" ht="45.75" customHeight="1" x14ac:dyDescent="0.35">
      <c r="A224" s="1132" t="s">
        <v>108</v>
      </c>
      <c r="B224" s="1132" t="s">
        <v>646</v>
      </c>
      <c r="C224" s="1132" t="s">
        <v>647</v>
      </c>
      <c r="D224" s="1359" t="s">
        <v>648</v>
      </c>
      <c r="E224" s="1359">
        <v>1</v>
      </c>
      <c r="F224" s="1780" t="s">
        <v>649</v>
      </c>
      <c r="G224" s="1132" t="s">
        <v>356</v>
      </c>
      <c r="H224" s="1360">
        <v>22020.411</v>
      </c>
      <c r="I224" s="1360">
        <v>22020.411</v>
      </c>
      <c r="J224" s="1360">
        <v>22020.411</v>
      </c>
      <c r="K224" s="1360">
        <v>22020.411</v>
      </c>
      <c r="L224" s="1132" t="s">
        <v>650</v>
      </c>
      <c r="M224" s="1132" t="str">
        <f t="shared" si="154"/>
        <v>Nicor Gas PY11-PY14 Adjustable Goals Template_2025-03-01, Tab 5.3.16</v>
      </c>
      <c r="N224" s="1361">
        <v>83.226504915628766</v>
      </c>
      <c r="O224" s="1361">
        <v>83.226504915628766</v>
      </c>
      <c r="P224" s="1361">
        <v>83.226504915628766</v>
      </c>
      <c r="Q224" s="1361">
        <v>83.226504915628766</v>
      </c>
      <c r="R224" s="1781">
        <v>0.9</v>
      </c>
      <c r="S224" s="1781">
        <v>0.9</v>
      </c>
      <c r="T224" s="1781">
        <v>0.9</v>
      </c>
      <c r="U224" s="1781">
        <v>0.9</v>
      </c>
      <c r="V224" s="1781">
        <v>0.9</v>
      </c>
      <c r="W224" s="1781">
        <v>0.9</v>
      </c>
      <c r="X224" s="1781">
        <v>0.9</v>
      </c>
      <c r="Y224" s="1781">
        <v>0.9</v>
      </c>
      <c r="Z224" s="1359">
        <v>1</v>
      </c>
      <c r="AA224" s="1781">
        <f t="shared" si="155"/>
        <v>0.9</v>
      </c>
      <c r="AB224" s="1781">
        <f t="shared" si="156"/>
        <v>0.9</v>
      </c>
      <c r="AC224" s="1781">
        <f t="shared" si="157"/>
        <v>0.9</v>
      </c>
      <c r="AD224" s="1781">
        <f t="shared" si="158"/>
        <v>0.9</v>
      </c>
      <c r="AE224" s="1781">
        <f t="shared" si="159"/>
        <v>0.9</v>
      </c>
      <c r="AF224" s="1781">
        <f t="shared" si="160"/>
        <v>0.9</v>
      </c>
      <c r="AG224" s="1781">
        <f t="shared" si="161"/>
        <v>0.9</v>
      </c>
      <c r="AH224" s="1781">
        <f t="shared" si="162"/>
        <v>0.9</v>
      </c>
      <c r="AI224" s="1362">
        <f t="shared" si="193"/>
        <v>1649413.6599020991</v>
      </c>
      <c r="AJ224" s="1362">
        <f t="shared" si="194"/>
        <v>1649413.6599020991</v>
      </c>
      <c r="AK224" s="1362">
        <f t="shared" si="195"/>
        <v>1649413.6599020991</v>
      </c>
      <c r="AL224" s="1362">
        <f t="shared" si="196"/>
        <v>1649413.6599020991</v>
      </c>
      <c r="AM224" s="1362">
        <f t="shared" si="197"/>
        <v>6597654.6396083962</v>
      </c>
      <c r="AN224" s="1132" t="str">
        <f t="shared" si="163"/>
        <v>RS-HVC-ADTH-V03-190101</v>
      </c>
      <c r="AO224" s="1132" t="str">
        <f t="shared" si="164"/>
        <v>Nicor Gas PY11-PY14 Adjustable Goals Template_2025-03-01, Tab 5.3.16</v>
      </c>
      <c r="AP224" s="2247">
        <f>'5.3.16'!$S$13</f>
        <v>83.226504915628766</v>
      </c>
      <c r="AQ224" s="2505"/>
      <c r="AR224" s="2505">
        <f t="shared" si="165"/>
        <v>1649413.6599020991</v>
      </c>
      <c r="AS224" s="2505">
        <f t="shared" si="166"/>
        <v>0</v>
      </c>
      <c r="AT224" s="1132" t="str">
        <f t="shared" si="167"/>
        <v>RS-HVC-ADTH-V03-190101</v>
      </c>
      <c r="AU224" s="1132" t="str">
        <f t="shared" si="168"/>
        <v>Nicor Gas PY11-PY14 Adjustable Goals Template_2025-03-01, Tab 5.3.16</v>
      </c>
      <c r="AV224" s="2247">
        <f>'5.3.16'!$S$13</f>
        <v>83.226504915628766</v>
      </c>
      <c r="AW224" s="2505"/>
      <c r="AX224" s="1362">
        <f t="shared" si="169"/>
        <v>1649413.6599020991</v>
      </c>
      <c r="AY224" s="1360">
        <f t="shared" si="170"/>
        <v>0</v>
      </c>
      <c r="AZ224" s="1132" t="str">
        <f t="shared" si="171"/>
        <v>RS-HVC-ADTH-V03-190101</v>
      </c>
      <c r="BA224" s="1132" t="str">
        <f t="shared" si="172"/>
        <v>Nicor Gas PY11-PY14 Adjustable Goals Template_2025-03-01, Tab 5.3.16</v>
      </c>
      <c r="BB224" s="2247">
        <f>'5.3.16'!$S$13</f>
        <v>83.226504915628766</v>
      </c>
      <c r="BC224" s="2505"/>
      <c r="BD224" s="1362">
        <f t="shared" si="173"/>
        <v>1649413.6599020991</v>
      </c>
      <c r="BE224" s="1360">
        <f t="shared" si="174"/>
        <v>0</v>
      </c>
      <c r="BF224" s="1132" t="str">
        <f t="shared" si="175"/>
        <v>RS-HVC-ADTH-V03-190101</v>
      </c>
      <c r="BG224" s="1132" t="str">
        <f t="shared" si="176"/>
        <v>Nicor Gas PY11-PY14 Adjustable Goals Template_2025-03-01, Tab 5.3.16</v>
      </c>
      <c r="BH224" s="2247">
        <f>'5.3.16'!$S$13</f>
        <v>83.226504915628766</v>
      </c>
      <c r="BI224" s="2505"/>
      <c r="BJ224" s="1362">
        <f t="shared" si="198"/>
        <v>1649413.6599020991</v>
      </c>
      <c r="BK224" s="1360">
        <f t="shared" si="177"/>
        <v>0</v>
      </c>
      <c r="BL224" s="1601">
        <f t="shared" si="178"/>
        <v>1649413.6599020991</v>
      </c>
      <c r="BM224" s="1601">
        <f t="shared" si="179"/>
        <v>1649413.6599020991</v>
      </c>
      <c r="BN224" s="1601">
        <f t="shared" si="180"/>
        <v>1649413.6599020991</v>
      </c>
      <c r="BO224" s="1601">
        <f t="shared" si="181"/>
        <v>1649413.6599020991</v>
      </c>
      <c r="BP224" s="1602">
        <f t="shared" si="182"/>
        <v>6597654.6396083962</v>
      </c>
      <c r="BQ224" s="1602"/>
      <c r="BR224" s="1602" t="s">
        <v>649</v>
      </c>
      <c r="BS224" s="1602">
        <v>0</v>
      </c>
      <c r="BT224" s="1602">
        <v>11</v>
      </c>
      <c r="BU224" s="1602">
        <v>11</v>
      </c>
      <c r="BV224" s="1602">
        <v>11</v>
      </c>
      <c r="BW224" s="1602">
        <v>11</v>
      </c>
      <c r="BX224" s="1362">
        <f t="shared" si="199"/>
        <v>18143550.258923091</v>
      </c>
      <c r="BY224" s="1362">
        <f t="shared" si="200"/>
        <v>18143550.258923091</v>
      </c>
      <c r="BZ224" s="1362">
        <f t="shared" si="201"/>
        <v>18143550.258923091</v>
      </c>
      <c r="CA224" s="1362">
        <f t="shared" si="202"/>
        <v>18143550.258923091</v>
      </c>
      <c r="CB224" s="1362">
        <f t="shared" si="203"/>
        <v>72574201.035692364</v>
      </c>
      <c r="CC224" s="1360">
        <v>11</v>
      </c>
      <c r="CD224" s="1360">
        <v>11</v>
      </c>
      <c r="CE224" s="1360">
        <v>11</v>
      </c>
      <c r="CF224" s="1360">
        <v>11</v>
      </c>
      <c r="CG224" s="1604">
        <f t="shared" si="183"/>
        <v>18143550.258923091</v>
      </c>
      <c r="CH224" s="1604">
        <f t="shared" si="184"/>
        <v>18143550.258923091</v>
      </c>
      <c r="CI224" s="1604">
        <f t="shared" si="185"/>
        <v>18143550.258923091</v>
      </c>
      <c r="CJ224" s="1604">
        <f t="shared" si="186"/>
        <v>18143550.258923091</v>
      </c>
      <c r="CK224" s="1521">
        <f t="shared" si="187"/>
        <v>72574201.035692364</v>
      </c>
      <c r="CL224" s="1132">
        <v>208</v>
      </c>
      <c r="CM224" s="1132" t="s">
        <v>356</v>
      </c>
      <c r="CN224" s="1359">
        <v>1</v>
      </c>
      <c r="CO224" s="1360">
        <v>11010.2055</v>
      </c>
      <c r="CP224" s="1360">
        <v>11010.2055</v>
      </c>
      <c r="CQ224" s="1360">
        <v>11010.2055</v>
      </c>
      <c r="CR224" s="1360">
        <v>11010.2055</v>
      </c>
      <c r="CS224" s="1362">
        <f t="shared" si="188"/>
        <v>824706.82995104953</v>
      </c>
      <c r="CT224" s="1362">
        <f t="shared" si="189"/>
        <v>824706.82995104953</v>
      </c>
      <c r="CU224" s="1362">
        <f t="shared" si="190"/>
        <v>824706.82995104953</v>
      </c>
      <c r="CV224" s="1362">
        <f t="shared" si="191"/>
        <v>824706.82995104953</v>
      </c>
      <c r="CW224" s="1362">
        <f t="shared" si="192"/>
        <v>3298827.3198041981</v>
      </c>
      <c r="CY224" s="2887"/>
    </row>
    <row r="225" spans="1:118" s="1143" customFormat="1" ht="45.75" customHeight="1" x14ac:dyDescent="0.35">
      <c r="A225" s="1132" t="s">
        <v>109</v>
      </c>
      <c r="B225" s="1132" t="s">
        <v>651</v>
      </c>
      <c r="C225" s="1132" t="s">
        <v>652</v>
      </c>
      <c r="D225" s="1359" t="s">
        <v>105</v>
      </c>
      <c r="E225" s="1359">
        <f>IF(AI225-AR225=0,0,1)</f>
        <v>0</v>
      </c>
      <c r="F225" s="1132" t="s">
        <v>105</v>
      </c>
      <c r="G225" s="1132" t="s">
        <v>356</v>
      </c>
      <c r="H225" s="1360">
        <v>1400</v>
      </c>
      <c r="I225" s="1360">
        <v>1400</v>
      </c>
      <c r="J225" s="1360">
        <v>1400</v>
      </c>
      <c r="K225" s="1360">
        <v>1400</v>
      </c>
      <c r="L225" s="1132" t="s">
        <v>105</v>
      </c>
      <c r="M225" s="1132" t="str">
        <f t="shared" si="154"/>
        <v/>
      </c>
      <c r="N225" s="1361">
        <v>0</v>
      </c>
      <c r="O225" s="1361">
        <v>0</v>
      </c>
      <c r="P225" s="1361">
        <v>0</v>
      </c>
      <c r="Q225" s="1361">
        <v>0</v>
      </c>
      <c r="R225" s="1781">
        <v>0.98</v>
      </c>
      <c r="S225" s="1781">
        <v>0.98</v>
      </c>
      <c r="T225" s="1781">
        <v>0.98</v>
      </c>
      <c r="U225" s="1781">
        <v>0.98</v>
      </c>
      <c r="V225" s="1781">
        <v>0.98</v>
      </c>
      <c r="W225" s="1781">
        <v>0.98</v>
      </c>
      <c r="X225" s="1781">
        <v>0.98</v>
      </c>
      <c r="Y225" s="1781">
        <v>0.98</v>
      </c>
      <c r="Z225" s="1359">
        <v>0</v>
      </c>
      <c r="AA225" s="1781">
        <f t="shared" si="155"/>
        <v>0.98</v>
      </c>
      <c r="AB225" s="1781">
        <f t="shared" si="156"/>
        <v>0.98</v>
      </c>
      <c r="AC225" s="1781">
        <f t="shared" si="157"/>
        <v>0.98</v>
      </c>
      <c r="AD225" s="1781">
        <f t="shared" si="158"/>
        <v>0.98</v>
      </c>
      <c r="AE225" s="1781">
        <f t="shared" si="159"/>
        <v>0.98</v>
      </c>
      <c r="AF225" s="1781">
        <f t="shared" si="160"/>
        <v>0.98</v>
      </c>
      <c r="AG225" s="1781">
        <f t="shared" si="161"/>
        <v>0.98</v>
      </c>
      <c r="AH225" s="1781">
        <f t="shared" si="162"/>
        <v>0.98</v>
      </c>
      <c r="AI225" s="1362">
        <f t="shared" si="193"/>
        <v>0</v>
      </c>
      <c r="AJ225" s="1362">
        <f t="shared" si="194"/>
        <v>0</v>
      </c>
      <c r="AK225" s="1362">
        <f t="shared" si="195"/>
        <v>0</v>
      </c>
      <c r="AL225" s="1362">
        <f t="shared" si="196"/>
        <v>0</v>
      </c>
      <c r="AM225" s="1362">
        <f t="shared" si="197"/>
        <v>0</v>
      </c>
      <c r="AN225" s="1132" t="str">
        <f t="shared" si="163"/>
        <v>Custom</v>
      </c>
      <c r="AO225" s="1132" t="str">
        <f t="shared" si="164"/>
        <v/>
      </c>
      <c r="AP225" s="2505">
        <v>0</v>
      </c>
      <c r="AQ225" s="2505"/>
      <c r="AR225" s="2505">
        <f t="shared" si="165"/>
        <v>0</v>
      </c>
      <c r="AS225" s="2505">
        <f t="shared" si="166"/>
        <v>0</v>
      </c>
      <c r="AT225" s="1132" t="str">
        <f t="shared" si="167"/>
        <v>Custom</v>
      </c>
      <c r="AU225" s="1132" t="str">
        <f t="shared" si="168"/>
        <v/>
      </c>
      <c r="AV225" s="2505">
        <v>0</v>
      </c>
      <c r="AW225" s="2505"/>
      <c r="AX225" s="1362">
        <f t="shared" si="169"/>
        <v>0</v>
      </c>
      <c r="AY225" s="1360">
        <f t="shared" si="170"/>
        <v>0</v>
      </c>
      <c r="AZ225" s="1132" t="str">
        <f t="shared" si="171"/>
        <v>Custom</v>
      </c>
      <c r="BA225" s="1132" t="str">
        <f t="shared" si="172"/>
        <v/>
      </c>
      <c r="BB225" s="2505">
        <v>0</v>
      </c>
      <c r="BC225" s="2505"/>
      <c r="BD225" s="1362">
        <f t="shared" si="173"/>
        <v>0</v>
      </c>
      <c r="BE225" s="1360">
        <f t="shared" si="174"/>
        <v>0</v>
      </c>
      <c r="BF225" s="1132" t="str">
        <f t="shared" si="175"/>
        <v>Custom</v>
      </c>
      <c r="BG225" s="1132" t="str">
        <f t="shared" si="176"/>
        <v/>
      </c>
      <c r="BH225" s="2505">
        <v>0</v>
      </c>
      <c r="BI225" s="2505"/>
      <c r="BJ225" s="1362">
        <f t="shared" si="198"/>
        <v>0</v>
      </c>
      <c r="BK225" s="1360">
        <f t="shared" si="177"/>
        <v>0</v>
      </c>
      <c r="BL225" s="1601">
        <f t="shared" si="178"/>
        <v>0</v>
      </c>
      <c r="BM225" s="1601">
        <f t="shared" si="179"/>
        <v>0</v>
      </c>
      <c r="BN225" s="1601">
        <f t="shared" si="180"/>
        <v>0</v>
      </c>
      <c r="BO225" s="1601">
        <f t="shared" si="181"/>
        <v>0</v>
      </c>
      <c r="BP225" s="1602">
        <f t="shared" si="182"/>
        <v>0</v>
      </c>
      <c r="BQ225" s="1602"/>
      <c r="BR225" s="1602"/>
      <c r="BS225" s="1602">
        <v>0</v>
      </c>
      <c r="BT225" s="1602">
        <v>1</v>
      </c>
      <c r="BU225" s="1602">
        <v>1</v>
      </c>
      <c r="BV225" s="1602">
        <v>1</v>
      </c>
      <c r="BW225" s="1602">
        <v>1</v>
      </c>
      <c r="BX225" s="1362">
        <f t="shared" si="199"/>
        <v>0</v>
      </c>
      <c r="BY225" s="1362">
        <f t="shared" si="200"/>
        <v>0</v>
      </c>
      <c r="BZ225" s="1362">
        <f t="shared" si="201"/>
        <v>0</v>
      </c>
      <c r="CA225" s="1362">
        <f t="shared" si="202"/>
        <v>0</v>
      </c>
      <c r="CB225" s="1362">
        <f t="shared" si="203"/>
        <v>0</v>
      </c>
      <c r="CC225" s="1360">
        <v>1</v>
      </c>
      <c r="CD225" s="1360">
        <v>1</v>
      </c>
      <c r="CE225" s="1360">
        <v>1</v>
      </c>
      <c r="CF225" s="1360">
        <v>1</v>
      </c>
      <c r="CG225" s="1604">
        <f t="shared" si="183"/>
        <v>0</v>
      </c>
      <c r="CH225" s="1604">
        <f t="shared" si="184"/>
        <v>0</v>
      </c>
      <c r="CI225" s="1604">
        <f t="shared" si="185"/>
        <v>0</v>
      </c>
      <c r="CJ225" s="1604">
        <f t="shared" si="186"/>
        <v>0</v>
      </c>
      <c r="CK225" s="1521">
        <f t="shared" si="187"/>
        <v>0</v>
      </c>
      <c r="CL225" s="1132">
        <v>218</v>
      </c>
      <c r="CM225" s="1132" t="s">
        <v>356</v>
      </c>
      <c r="CN225" s="1359">
        <v>1</v>
      </c>
      <c r="CO225" s="1360">
        <v>1283.72578</v>
      </c>
      <c r="CP225" s="1360">
        <v>1283.72578</v>
      </c>
      <c r="CQ225" s="1360">
        <v>1283.72578</v>
      </c>
      <c r="CR225" s="1360">
        <v>1283.72578</v>
      </c>
      <c r="CS225" s="1362">
        <f t="shared" si="188"/>
        <v>0</v>
      </c>
      <c r="CT225" s="1362">
        <f t="shared" si="189"/>
        <v>0</v>
      </c>
      <c r="CU225" s="1362">
        <f t="shared" si="190"/>
        <v>0</v>
      </c>
      <c r="CV225" s="1362">
        <f t="shared" si="191"/>
        <v>0</v>
      </c>
      <c r="CW225" s="1362">
        <f t="shared" si="192"/>
        <v>0</v>
      </c>
      <c r="CY225" s="2887"/>
    </row>
    <row r="226" spans="1:118" s="1143" customFormat="1" ht="81" customHeight="1" x14ac:dyDescent="0.35">
      <c r="A226" s="1132" t="s">
        <v>109</v>
      </c>
      <c r="B226" s="1132" t="s">
        <v>651</v>
      </c>
      <c r="C226" s="1132" t="s">
        <v>653</v>
      </c>
      <c r="D226" s="1359" t="s">
        <v>654</v>
      </c>
      <c r="E226" s="1359">
        <v>1</v>
      </c>
      <c r="F226" s="1780" t="s">
        <v>655</v>
      </c>
      <c r="G226" s="1132" t="s">
        <v>328</v>
      </c>
      <c r="H226" s="1360">
        <v>1113.9130434782608</v>
      </c>
      <c r="I226" s="1360">
        <v>1113.9130434782608</v>
      </c>
      <c r="J226" s="1360">
        <v>1113.9130434782608</v>
      </c>
      <c r="K226" s="1360">
        <v>1113.9130434782608</v>
      </c>
      <c r="L226" s="1132" t="s">
        <v>656</v>
      </c>
      <c r="M226" s="1132" t="str">
        <f t="shared" si="154"/>
        <v>Nicor Gas PY11-PY14 Adjustable Goals Template_2025-03-01, Tab 5.6.1</v>
      </c>
      <c r="N226" s="1361">
        <v>82.851229319371726</v>
      </c>
      <c r="O226" s="1361">
        <v>82.851229319371726</v>
      </c>
      <c r="P226" s="1361">
        <v>82.851229319371726</v>
      </c>
      <c r="Q226" s="1361">
        <v>82.851229319371726</v>
      </c>
      <c r="R226" s="1781">
        <v>0.88</v>
      </c>
      <c r="S226" s="1781">
        <v>0.88</v>
      </c>
      <c r="T226" s="1781">
        <v>0.88</v>
      </c>
      <c r="U226" s="1781">
        <v>0.88</v>
      </c>
      <c r="V226" s="1781">
        <v>0.88</v>
      </c>
      <c r="W226" s="1781">
        <v>0.88</v>
      </c>
      <c r="X226" s="1781">
        <v>0.88</v>
      </c>
      <c r="Y226" s="1781">
        <v>0.88</v>
      </c>
      <c r="Z226" s="1359">
        <v>0</v>
      </c>
      <c r="AA226" s="1781">
        <f t="shared" si="155"/>
        <v>0.88</v>
      </c>
      <c r="AB226" s="1781">
        <f t="shared" si="156"/>
        <v>0.88</v>
      </c>
      <c r="AC226" s="1781">
        <f t="shared" si="157"/>
        <v>0.88</v>
      </c>
      <c r="AD226" s="1781">
        <f t="shared" si="158"/>
        <v>0.88</v>
      </c>
      <c r="AE226" s="1781">
        <f t="shared" si="159"/>
        <v>0.88</v>
      </c>
      <c r="AF226" s="1781">
        <f t="shared" si="160"/>
        <v>0.88</v>
      </c>
      <c r="AG226" s="1781">
        <f t="shared" si="161"/>
        <v>0.88</v>
      </c>
      <c r="AH226" s="1781">
        <f t="shared" si="162"/>
        <v>0.88</v>
      </c>
      <c r="AI226" s="1362">
        <f t="shared" si="193"/>
        <v>81214.377206209858</v>
      </c>
      <c r="AJ226" s="1362">
        <f t="shared" si="194"/>
        <v>81214.377206209858</v>
      </c>
      <c r="AK226" s="1362">
        <f t="shared" si="195"/>
        <v>81214.377206209858</v>
      </c>
      <c r="AL226" s="1362">
        <f t="shared" si="196"/>
        <v>81214.377206209858</v>
      </c>
      <c r="AM226" s="1362">
        <f t="shared" si="197"/>
        <v>324857.50882483943</v>
      </c>
      <c r="AN226" s="1132" t="str">
        <f t="shared" si="163"/>
        <v>RS-SHL-AIRS-V07-190101</v>
      </c>
      <c r="AO226" s="1132" t="str">
        <f t="shared" si="164"/>
        <v>Nicor Gas PY11-PY14 Adjustable Goals Template_2025-03-01, Tab 5.6.1</v>
      </c>
      <c r="AP226" s="2247">
        <f>'5.6.1'!$V$5</f>
        <v>82.851229319371726</v>
      </c>
      <c r="AQ226" s="2505"/>
      <c r="AR226" s="2505">
        <f t="shared" si="165"/>
        <v>81214.377206209858</v>
      </c>
      <c r="AS226" s="2505">
        <f t="shared" si="166"/>
        <v>0</v>
      </c>
      <c r="AT226" s="1132" t="str">
        <f t="shared" si="167"/>
        <v>RS-SHL-AIRS-V07-190101</v>
      </c>
      <c r="AU226" s="1132" t="str">
        <f t="shared" si="168"/>
        <v>Nicor Gas PY11-PY14 Adjustable Goals Template_2025-03-01, Tab 5.6.1</v>
      </c>
      <c r="AV226" s="2247">
        <f>'5.6.1'!$V$5</f>
        <v>82.851229319371726</v>
      </c>
      <c r="AW226" s="2505"/>
      <c r="AX226" s="1362">
        <f t="shared" si="169"/>
        <v>81214.377206209858</v>
      </c>
      <c r="AY226" s="1360">
        <f t="shared" si="170"/>
        <v>0</v>
      </c>
      <c r="AZ226" s="1132" t="str">
        <f t="shared" si="171"/>
        <v>RS-SHL-AIRS-V07-190101</v>
      </c>
      <c r="BA226" s="1132" t="str">
        <f t="shared" si="172"/>
        <v>Nicor Gas PY11-PY14 Adjustable Goals Template_2025-03-01, Tab 5.6.1</v>
      </c>
      <c r="BB226" s="2247">
        <f>'5.6.1'!$V$5</f>
        <v>82.851229319371726</v>
      </c>
      <c r="BC226" s="2505"/>
      <c r="BD226" s="1362">
        <f t="shared" si="173"/>
        <v>81214.377206209858</v>
      </c>
      <c r="BE226" s="1360">
        <f t="shared" si="174"/>
        <v>0</v>
      </c>
      <c r="BF226" s="1132" t="str">
        <f t="shared" si="175"/>
        <v>RS-SHL-AIRS-V07-190101</v>
      </c>
      <c r="BG226" s="1132" t="str">
        <f t="shared" si="176"/>
        <v>Nicor Gas PY11-PY14 Adjustable Goals Template_2025-03-01, Tab 5.6.1</v>
      </c>
      <c r="BH226" s="2247">
        <f>'5.6.1'!$V$5</f>
        <v>82.851229319371726</v>
      </c>
      <c r="BI226" s="2505"/>
      <c r="BJ226" s="1362">
        <f t="shared" si="198"/>
        <v>81214.377206209858</v>
      </c>
      <c r="BK226" s="1360">
        <f t="shared" si="177"/>
        <v>0</v>
      </c>
      <c r="BL226" s="1601">
        <f t="shared" si="178"/>
        <v>81214.377206209858</v>
      </c>
      <c r="BM226" s="1601">
        <f t="shared" si="179"/>
        <v>81214.377206209858</v>
      </c>
      <c r="BN226" s="1601">
        <f t="shared" si="180"/>
        <v>81214.377206209858</v>
      </c>
      <c r="BO226" s="1601">
        <f t="shared" si="181"/>
        <v>81214.377206209858</v>
      </c>
      <c r="BP226" s="1602">
        <f t="shared" si="182"/>
        <v>324857.50882483943</v>
      </c>
      <c r="BQ226" s="1602"/>
      <c r="BR226" s="1602" t="s">
        <v>655</v>
      </c>
      <c r="BS226" s="2773">
        <v>1</v>
      </c>
      <c r="BT226" s="1602">
        <v>19.411764705882351</v>
      </c>
      <c r="BU226" s="1602">
        <v>19.411764705882351</v>
      </c>
      <c r="BV226" s="1602">
        <v>19.411764705882351</v>
      </c>
      <c r="BW226" s="1602">
        <v>19.411764705882351</v>
      </c>
      <c r="BX226" s="1362">
        <f t="shared" si="199"/>
        <v>1576514.3810617207</v>
      </c>
      <c r="BY226" s="1362">
        <f t="shared" si="200"/>
        <v>1576514.3810617207</v>
      </c>
      <c r="BZ226" s="1362">
        <f t="shared" si="201"/>
        <v>1576514.3810617207</v>
      </c>
      <c r="CA226" s="1362">
        <f t="shared" si="202"/>
        <v>1576514.3810617207</v>
      </c>
      <c r="CB226" s="1362">
        <f t="shared" si="203"/>
        <v>6306057.5242468826</v>
      </c>
      <c r="CC226" s="2775">
        <v>20</v>
      </c>
      <c r="CD226" s="2775">
        <v>20</v>
      </c>
      <c r="CE226" s="2775">
        <v>20</v>
      </c>
      <c r="CF226" s="2775">
        <v>20</v>
      </c>
      <c r="CG226" s="1604">
        <f t="shared" si="183"/>
        <v>1624287.5441241974</v>
      </c>
      <c r="CH226" s="1604">
        <f t="shared" si="184"/>
        <v>1624287.5441241974</v>
      </c>
      <c r="CI226" s="1604">
        <f t="shared" si="185"/>
        <v>1624287.5441241974</v>
      </c>
      <c r="CJ226" s="1604">
        <f t="shared" si="186"/>
        <v>1624287.5441241974</v>
      </c>
      <c r="CK226" s="1521">
        <f t="shared" si="187"/>
        <v>6497150.1764967898</v>
      </c>
      <c r="CL226" s="1132">
        <v>219</v>
      </c>
      <c r="CM226" s="1132" t="s">
        <v>328</v>
      </c>
      <c r="CN226" s="1359">
        <v>1</v>
      </c>
      <c r="CO226" s="1360">
        <v>1021.3992075652172</v>
      </c>
      <c r="CP226" s="1360">
        <v>1021.3992075652172</v>
      </c>
      <c r="CQ226" s="1360">
        <v>1021.3992075652172</v>
      </c>
      <c r="CR226" s="1360">
        <v>1021.3992075652172</v>
      </c>
      <c r="CS226" s="1362">
        <f t="shared" si="188"/>
        <v>74469.278375897135</v>
      </c>
      <c r="CT226" s="1362">
        <f t="shared" si="189"/>
        <v>74469.278375897135</v>
      </c>
      <c r="CU226" s="1362">
        <f t="shared" si="190"/>
        <v>74469.278375897135</v>
      </c>
      <c r="CV226" s="1362">
        <f t="shared" si="191"/>
        <v>74469.278375897135</v>
      </c>
      <c r="CW226" s="1362">
        <f t="shared" si="192"/>
        <v>297877.11350358854</v>
      </c>
      <c r="CY226" s="2887"/>
    </row>
    <row r="227" spans="1:118" s="1143" customFormat="1" ht="77.25" customHeight="1" x14ac:dyDescent="0.35">
      <c r="A227" s="1132" t="s">
        <v>109</v>
      </c>
      <c r="B227" s="1132" t="s">
        <v>651</v>
      </c>
      <c r="C227" s="1132" t="s">
        <v>657</v>
      </c>
      <c r="D227" s="1359" t="s">
        <v>658</v>
      </c>
      <c r="E227" s="1359">
        <v>1</v>
      </c>
      <c r="F227" s="1780" t="s">
        <v>659</v>
      </c>
      <c r="G227" s="1132" t="s">
        <v>328</v>
      </c>
      <c r="H227" s="1360">
        <v>141.46695652173912</v>
      </c>
      <c r="I227" s="1360">
        <v>141.46695652173912</v>
      </c>
      <c r="J227" s="1360">
        <v>141.46695652173912</v>
      </c>
      <c r="K227" s="1360">
        <v>141.46695652173912</v>
      </c>
      <c r="L227" s="1132" t="s">
        <v>660</v>
      </c>
      <c r="M227" s="1132" t="str">
        <f t="shared" si="154"/>
        <v>Nicor Gas PY11-PY14 Adjustable Goals Template_2025-03-01, Tab 5.6.5</v>
      </c>
      <c r="N227" s="1361">
        <v>199.14913264848977</v>
      </c>
      <c r="O227" s="1361">
        <v>199.14913264848977</v>
      </c>
      <c r="P227" s="1361">
        <v>199.14913264848977</v>
      </c>
      <c r="Q227" s="1361">
        <v>199.14913264848977</v>
      </c>
      <c r="R227" s="1781">
        <v>0.89</v>
      </c>
      <c r="S227" s="1781">
        <v>0.89</v>
      </c>
      <c r="T227" s="1781">
        <v>0.89</v>
      </c>
      <c r="U227" s="1781">
        <v>0.89</v>
      </c>
      <c r="V227" s="1781">
        <v>0.89</v>
      </c>
      <c r="W227" s="1781">
        <v>0.89</v>
      </c>
      <c r="X227" s="1781">
        <v>0.89</v>
      </c>
      <c r="Y227" s="1781">
        <v>0.89</v>
      </c>
      <c r="Z227" s="1359">
        <v>0</v>
      </c>
      <c r="AA227" s="1781">
        <f t="shared" si="155"/>
        <v>0.89</v>
      </c>
      <c r="AB227" s="1781">
        <f t="shared" si="156"/>
        <v>0.89</v>
      </c>
      <c r="AC227" s="1781">
        <f t="shared" si="157"/>
        <v>0.89</v>
      </c>
      <c r="AD227" s="1781">
        <f t="shared" si="158"/>
        <v>0.89</v>
      </c>
      <c r="AE227" s="1781">
        <f t="shared" si="159"/>
        <v>0.89</v>
      </c>
      <c r="AF227" s="1781">
        <f t="shared" si="160"/>
        <v>0.89</v>
      </c>
      <c r="AG227" s="1781">
        <f t="shared" si="161"/>
        <v>0.89</v>
      </c>
      <c r="AH227" s="1781">
        <f t="shared" si="162"/>
        <v>0.89</v>
      </c>
      <c r="AI227" s="1362">
        <f t="shared" si="193"/>
        <v>25073.989303856106</v>
      </c>
      <c r="AJ227" s="1362">
        <f t="shared" si="194"/>
        <v>25073.989303856106</v>
      </c>
      <c r="AK227" s="1362">
        <f t="shared" si="195"/>
        <v>25073.989303856106</v>
      </c>
      <c r="AL227" s="1362">
        <f t="shared" si="196"/>
        <v>25073.989303856106</v>
      </c>
      <c r="AM227" s="1362">
        <f t="shared" si="197"/>
        <v>100295.95721542442</v>
      </c>
      <c r="AN227" s="1132" t="str">
        <f t="shared" si="163"/>
        <v>RS-SHL-AINS-V07-180101</v>
      </c>
      <c r="AO227" s="1132" t="str">
        <f t="shared" si="164"/>
        <v>Nicor Gas PY11-PY14 Adjustable Goals Template_2025-03-01, Tab 5.6.5</v>
      </c>
      <c r="AP227" s="2505">
        <f>'5.6.4&amp;5.6.5'!$X$6</f>
        <v>199.14913264848977</v>
      </c>
      <c r="AQ227" s="2505"/>
      <c r="AR227" s="2505">
        <f t="shared" si="165"/>
        <v>25073.989303856106</v>
      </c>
      <c r="AS227" s="2505">
        <f t="shared" si="166"/>
        <v>0</v>
      </c>
      <c r="AT227" s="1132" t="str">
        <f t="shared" si="167"/>
        <v>RS-SHL-AINS-V07-180101</v>
      </c>
      <c r="AU227" s="1132" t="str">
        <f t="shared" si="168"/>
        <v>Nicor Gas PY11-PY14 Adjustable Goals Template_2025-03-01, Tab 5.6.5</v>
      </c>
      <c r="AV227" s="2505">
        <f>'5.6.4&amp;5.6.5'!$X$6</f>
        <v>199.14913264848977</v>
      </c>
      <c r="AW227" s="2505"/>
      <c r="AX227" s="1362">
        <f t="shared" si="169"/>
        <v>25073.989303856106</v>
      </c>
      <c r="AY227" s="1360">
        <f t="shared" si="170"/>
        <v>0</v>
      </c>
      <c r="AZ227" s="1132" t="str">
        <f t="shared" si="171"/>
        <v>RS-SHL-AINS-V07-180101</v>
      </c>
      <c r="BA227" s="1132" t="str">
        <f t="shared" si="172"/>
        <v>Nicor Gas PY11-PY14 Adjustable Goals Template_2025-03-01, Tab 5.6.5</v>
      </c>
      <c r="BB227" s="2505">
        <f>'5.6.4&amp;5.6.5'!$X$6</f>
        <v>199.14913264848977</v>
      </c>
      <c r="BC227" s="2505"/>
      <c r="BD227" s="1362">
        <f t="shared" si="173"/>
        <v>25073.989303856106</v>
      </c>
      <c r="BE227" s="1360">
        <f t="shared" si="174"/>
        <v>0</v>
      </c>
      <c r="BF227" s="1132" t="str">
        <f t="shared" si="175"/>
        <v>RS-SHL-AINS-V07-180101</v>
      </c>
      <c r="BG227" s="1132" t="str">
        <f t="shared" si="176"/>
        <v>Nicor Gas PY11-PY14 Adjustable Goals Template_2025-03-01, Tab 5.6.5</v>
      </c>
      <c r="BH227" s="2505">
        <f>'5.6.4&amp;5.6.5'!$X$6</f>
        <v>199.14913264848977</v>
      </c>
      <c r="BI227" s="2505"/>
      <c r="BJ227" s="1362">
        <f t="shared" si="198"/>
        <v>25073.989303856106</v>
      </c>
      <c r="BK227" s="1360">
        <f t="shared" si="177"/>
        <v>0</v>
      </c>
      <c r="BL227" s="1601">
        <f t="shared" si="178"/>
        <v>25073.989303856106</v>
      </c>
      <c r="BM227" s="1601">
        <f t="shared" si="179"/>
        <v>25073.989303856106</v>
      </c>
      <c r="BN227" s="1601">
        <f t="shared" si="180"/>
        <v>25073.989303856106</v>
      </c>
      <c r="BO227" s="1601">
        <f t="shared" si="181"/>
        <v>25073.989303856106</v>
      </c>
      <c r="BP227" s="1602">
        <f t="shared" si="182"/>
        <v>100295.95721542442</v>
      </c>
      <c r="BQ227" s="1602"/>
      <c r="BR227" s="1602" t="s">
        <v>659</v>
      </c>
      <c r="BS227" s="2773">
        <v>1</v>
      </c>
      <c r="BT227" s="1602">
        <v>19.411764705882351</v>
      </c>
      <c r="BU227" s="1602">
        <v>19.411764705882351</v>
      </c>
      <c r="BV227" s="1602">
        <v>19.411764705882351</v>
      </c>
      <c r="BW227" s="1602">
        <v>19.411764705882351</v>
      </c>
      <c r="BX227" s="1362">
        <f t="shared" si="199"/>
        <v>486730.38060426555</v>
      </c>
      <c r="BY227" s="1362">
        <f t="shared" si="200"/>
        <v>486730.38060426555</v>
      </c>
      <c r="BZ227" s="1362">
        <f t="shared" si="201"/>
        <v>486730.38060426555</v>
      </c>
      <c r="CA227" s="1362">
        <f t="shared" si="202"/>
        <v>486730.38060426555</v>
      </c>
      <c r="CB227" s="1362">
        <f t="shared" si="203"/>
        <v>1946921.5224170622</v>
      </c>
      <c r="CC227" s="2775">
        <v>20</v>
      </c>
      <c r="CD227" s="2775">
        <v>20</v>
      </c>
      <c r="CE227" s="2775">
        <v>20</v>
      </c>
      <c r="CF227" s="2775">
        <v>20</v>
      </c>
      <c r="CG227" s="1604">
        <f t="shared" si="183"/>
        <v>501479.78607712209</v>
      </c>
      <c r="CH227" s="1604">
        <f t="shared" si="184"/>
        <v>501479.78607712209</v>
      </c>
      <c r="CI227" s="1604">
        <f t="shared" si="185"/>
        <v>501479.78607712209</v>
      </c>
      <c r="CJ227" s="1604">
        <f t="shared" si="186"/>
        <v>501479.78607712209</v>
      </c>
      <c r="CK227" s="1521">
        <f t="shared" si="187"/>
        <v>2005919.1443084884</v>
      </c>
      <c r="CL227" s="1132">
        <v>220</v>
      </c>
      <c r="CM227" s="1132" t="s">
        <v>328</v>
      </c>
      <c r="CN227" s="1359">
        <v>1</v>
      </c>
      <c r="CO227" s="1360">
        <v>129.7176993607826</v>
      </c>
      <c r="CP227" s="1360">
        <v>129.7176993607826</v>
      </c>
      <c r="CQ227" s="1360">
        <v>129.7176993607826</v>
      </c>
      <c r="CR227" s="1360">
        <v>129.7176993607826</v>
      </c>
      <c r="CS227" s="1362">
        <f t="shared" si="188"/>
        <v>22991.518912003099</v>
      </c>
      <c r="CT227" s="1362">
        <f t="shared" si="189"/>
        <v>22991.518912003099</v>
      </c>
      <c r="CU227" s="1362">
        <f t="shared" si="190"/>
        <v>22991.518912003099</v>
      </c>
      <c r="CV227" s="1362">
        <f t="shared" si="191"/>
        <v>22991.518912003099</v>
      </c>
      <c r="CW227" s="1362">
        <f t="shared" si="192"/>
        <v>91966.075648012396</v>
      </c>
      <c r="CY227" s="2887"/>
    </row>
    <row r="228" spans="1:118" s="1143" customFormat="1" ht="81.75" customHeight="1" x14ac:dyDescent="0.35">
      <c r="A228" s="1132" t="s">
        <v>109</v>
      </c>
      <c r="B228" s="1132" t="s">
        <v>651</v>
      </c>
      <c r="C228" s="1132" t="s">
        <v>661</v>
      </c>
      <c r="D228" s="1359" t="s">
        <v>662</v>
      </c>
      <c r="E228" s="1359">
        <v>1</v>
      </c>
      <c r="F228" s="1780" t="s">
        <v>659</v>
      </c>
      <c r="G228" s="1132" t="s">
        <v>328</v>
      </c>
      <c r="H228" s="1360">
        <v>465.61565217391296</v>
      </c>
      <c r="I228" s="1360">
        <v>465.61565217391296</v>
      </c>
      <c r="J228" s="1360">
        <v>465.61565217391296</v>
      </c>
      <c r="K228" s="1360">
        <v>465.61565217391296</v>
      </c>
      <c r="L228" s="1132" t="s">
        <v>660</v>
      </c>
      <c r="M228" s="1132" t="str">
        <f t="shared" si="154"/>
        <v>Nicor Gas PY11-PY14 Adjustable Goals Template_2025-03-01, Tab 5.6.5</v>
      </c>
      <c r="N228" s="1361">
        <v>67.693848575510202</v>
      </c>
      <c r="O228" s="1361">
        <v>67.693848575510202</v>
      </c>
      <c r="P228" s="1361">
        <v>67.693848575510202</v>
      </c>
      <c r="Q228" s="1361">
        <v>67.693848575510202</v>
      </c>
      <c r="R228" s="1781">
        <v>0.89</v>
      </c>
      <c r="S228" s="1781">
        <v>0.89</v>
      </c>
      <c r="T228" s="1781">
        <v>0.89</v>
      </c>
      <c r="U228" s="1781">
        <v>0.89</v>
      </c>
      <c r="V228" s="1781">
        <v>0.89</v>
      </c>
      <c r="W228" s="1781">
        <v>0.89</v>
      </c>
      <c r="X228" s="1781">
        <v>0.89</v>
      </c>
      <c r="Y228" s="1781">
        <v>0.89</v>
      </c>
      <c r="Z228" s="1359">
        <v>0</v>
      </c>
      <c r="AA228" s="1781">
        <f t="shared" si="155"/>
        <v>0.89</v>
      </c>
      <c r="AB228" s="1781">
        <f t="shared" si="156"/>
        <v>0.89</v>
      </c>
      <c r="AC228" s="1781">
        <f t="shared" si="157"/>
        <v>0.89</v>
      </c>
      <c r="AD228" s="1781">
        <f t="shared" si="158"/>
        <v>0.89</v>
      </c>
      <c r="AE228" s="1781">
        <f t="shared" si="159"/>
        <v>0.89</v>
      </c>
      <c r="AF228" s="1781">
        <f t="shared" si="160"/>
        <v>0.89</v>
      </c>
      <c r="AG228" s="1781">
        <f t="shared" si="161"/>
        <v>0.89</v>
      </c>
      <c r="AH228" s="1781">
        <f t="shared" si="162"/>
        <v>0.89</v>
      </c>
      <c r="AI228" s="1362">
        <f t="shared" si="193"/>
        <v>28052.190752856979</v>
      </c>
      <c r="AJ228" s="1362">
        <f t="shared" si="194"/>
        <v>28052.190752856979</v>
      </c>
      <c r="AK228" s="1362">
        <f t="shared" si="195"/>
        <v>28052.190752856979</v>
      </c>
      <c r="AL228" s="1362">
        <f t="shared" si="196"/>
        <v>28052.190752856979</v>
      </c>
      <c r="AM228" s="1362">
        <f t="shared" si="197"/>
        <v>112208.76301142792</v>
      </c>
      <c r="AN228" s="1132" t="str">
        <f t="shared" si="163"/>
        <v>RS-SHL-AINS-V07-180101</v>
      </c>
      <c r="AO228" s="1132" t="str">
        <f t="shared" si="164"/>
        <v>Nicor Gas PY11-PY14 Adjustable Goals Template_2025-03-01, Tab 5.6.5</v>
      </c>
      <c r="AP228" s="2505">
        <f>'5.6.4&amp;5.6.5'!$X$7</f>
        <v>67.693848575510202</v>
      </c>
      <c r="AQ228" s="2505"/>
      <c r="AR228" s="2505">
        <f t="shared" si="165"/>
        <v>28052.190752856979</v>
      </c>
      <c r="AS228" s="2505">
        <f t="shared" si="166"/>
        <v>0</v>
      </c>
      <c r="AT228" s="1132" t="str">
        <f t="shared" si="167"/>
        <v>RS-SHL-AINS-V07-180101</v>
      </c>
      <c r="AU228" s="1132" t="str">
        <f t="shared" si="168"/>
        <v>Nicor Gas PY11-PY14 Adjustable Goals Template_2025-03-01, Tab 5.6.5</v>
      </c>
      <c r="AV228" s="2505">
        <f>'5.6.4&amp;5.6.5'!$X$7</f>
        <v>67.693848575510202</v>
      </c>
      <c r="AW228" s="2505"/>
      <c r="AX228" s="1362">
        <f t="shared" si="169"/>
        <v>28052.190752856979</v>
      </c>
      <c r="AY228" s="1360">
        <f t="shared" si="170"/>
        <v>0</v>
      </c>
      <c r="AZ228" s="1132" t="str">
        <f t="shared" si="171"/>
        <v>RS-SHL-AINS-V07-180101</v>
      </c>
      <c r="BA228" s="1132" t="str">
        <f t="shared" si="172"/>
        <v>Nicor Gas PY11-PY14 Adjustable Goals Template_2025-03-01, Tab 5.6.5</v>
      </c>
      <c r="BB228" s="2505">
        <f>'5.6.4&amp;5.6.5'!$X$7</f>
        <v>67.693848575510202</v>
      </c>
      <c r="BC228" s="2505"/>
      <c r="BD228" s="1362">
        <f t="shared" si="173"/>
        <v>28052.190752856979</v>
      </c>
      <c r="BE228" s="1360">
        <f t="shared" si="174"/>
        <v>0</v>
      </c>
      <c r="BF228" s="1132" t="str">
        <f t="shared" si="175"/>
        <v>RS-SHL-AINS-V07-180101</v>
      </c>
      <c r="BG228" s="1132" t="str">
        <f t="shared" si="176"/>
        <v>Nicor Gas PY11-PY14 Adjustable Goals Template_2025-03-01, Tab 5.6.5</v>
      </c>
      <c r="BH228" s="2505">
        <f>'5.6.4&amp;5.6.5'!$X$7</f>
        <v>67.693848575510202</v>
      </c>
      <c r="BI228" s="2505"/>
      <c r="BJ228" s="1362">
        <f t="shared" si="198"/>
        <v>28052.190752856979</v>
      </c>
      <c r="BK228" s="1360">
        <f t="shared" si="177"/>
        <v>0</v>
      </c>
      <c r="BL228" s="1601">
        <f t="shared" si="178"/>
        <v>28052.190752856979</v>
      </c>
      <c r="BM228" s="1601">
        <f t="shared" si="179"/>
        <v>28052.190752856979</v>
      </c>
      <c r="BN228" s="1601">
        <f t="shared" si="180"/>
        <v>28052.190752856979</v>
      </c>
      <c r="BO228" s="1601">
        <f t="shared" si="181"/>
        <v>28052.190752856979</v>
      </c>
      <c r="BP228" s="1602">
        <f t="shared" si="182"/>
        <v>112208.76301142792</v>
      </c>
      <c r="BQ228" s="1602"/>
      <c r="BR228" s="1602" t="s">
        <v>659</v>
      </c>
      <c r="BS228" s="2773">
        <v>1</v>
      </c>
      <c r="BT228" s="1602">
        <v>19.411764705882351</v>
      </c>
      <c r="BU228" s="1602">
        <v>19.411764705882351</v>
      </c>
      <c r="BV228" s="1602">
        <v>19.411764705882351</v>
      </c>
      <c r="BW228" s="1602">
        <v>19.411764705882351</v>
      </c>
      <c r="BX228" s="1362">
        <f t="shared" si="199"/>
        <v>544542.5263789884</v>
      </c>
      <c r="BY228" s="1362">
        <f t="shared" si="200"/>
        <v>544542.5263789884</v>
      </c>
      <c r="BZ228" s="1362">
        <f t="shared" si="201"/>
        <v>544542.5263789884</v>
      </c>
      <c r="CA228" s="1362">
        <f t="shared" si="202"/>
        <v>544542.5263789884</v>
      </c>
      <c r="CB228" s="1362">
        <f t="shared" si="203"/>
        <v>2178170.1055159536</v>
      </c>
      <c r="CC228" s="2775">
        <v>20</v>
      </c>
      <c r="CD228" s="2775">
        <v>20</v>
      </c>
      <c r="CE228" s="2775">
        <v>20</v>
      </c>
      <c r="CF228" s="2775">
        <v>20</v>
      </c>
      <c r="CG228" s="1604">
        <f t="shared" si="183"/>
        <v>561043.81505713961</v>
      </c>
      <c r="CH228" s="1604">
        <f t="shared" si="184"/>
        <v>561043.81505713961</v>
      </c>
      <c r="CI228" s="1604">
        <f t="shared" si="185"/>
        <v>561043.81505713961</v>
      </c>
      <c r="CJ228" s="1604">
        <f t="shared" si="186"/>
        <v>561043.81505713961</v>
      </c>
      <c r="CK228" s="1521">
        <f t="shared" si="187"/>
        <v>2244175.2602285584</v>
      </c>
      <c r="CL228" s="1132">
        <v>221</v>
      </c>
      <c r="CM228" s="1132" t="s">
        <v>328</v>
      </c>
      <c r="CN228" s="1359">
        <v>1</v>
      </c>
      <c r="CO228" s="1360">
        <v>426.9448687622608</v>
      </c>
      <c r="CP228" s="1360">
        <v>426.9448687622608</v>
      </c>
      <c r="CQ228" s="1360">
        <v>426.9448687622608</v>
      </c>
      <c r="CR228" s="1360">
        <v>426.9448687622608</v>
      </c>
      <c r="CS228" s="1362">
        <f t="shared" si="188"/>
        <v>25722.371753514366</v>
      </c>
      <c r="CT228" s="1362">
        <f t="shared" si="189"/>
        <v>25722.371753514366</v>
      </c>
      <c r="CU228" s="1362">
        <f t="shared" si="190"/>
        <v>25722.371753514366</v>
      </c>
      <c r="CV228" s="1362">
        <f t="shared" si="191"/>
        <v>25722.371753514366</v>
      </c>
      <c r="CW228" s="1362">
        <f t="shared" si="192"/>
        <v>102889.48701405746</v>
      </c>
      <c r="CY228" s="2887"/>
    </row>
    <row r="229" spans="1:118" s="1143" customFormat="1" ht="78" customHeight="1" x14ac:dyDescent="0.35">
      <c r="A229" s="1132" t="s">
        <v>109</v>
      </c>
      <c r="B229" s="1132" t="s">
        <v>651</v>
      </c>
      <c r="C229" s="1132" t="s">
        <v>663</v>
      </c>
      <c r="D229" s="1359" t="s">
        <v>664</v>
      </c>
      <c r="E229" s="1359">
        <v>1</v>
      </c>
      <c r="F229" s="1780" t="s">
        <v>659</v>
      </c>
      <c r="G229" s="1132" t="s">
        <v>328</v>
      </c>
      <c r="H229" s="1360">
        <v>408.80608695652165</v>
      </c>
      <c r="I229" s="1360">
        <v>408.80608695652165</v>
      </c>
      <c r="J229" s="1360">
        <v>408.80608695652165</v>
      </c>
      <c r="K229" s="1360">
        <v>408.80608695652165</v>
      </c>
      <c r="L229" s="1132" t="s">
        <v>660</v>
      </c>
      <c r="M229" s="1132" t="str">
        <f t="shared" si="154"/>
        <v>Nicor Gas PY11-PY14 Adjustable Goals Template_2025-03-01, Tab 5.6.5</v>
      </c>
      <c r="N229" s="1361">
        <v>44.298006534908701</v>
      </c>
      <c r="O229" s="1361">
        <v>44.298006534908701</v>
      </c>
      <c r="P229" s="1361">
        <v>44.298006534908701</v>
      </c>
      <c r="Q229" s="1361">
        <v>44.298006534908701</v>
      </c>
      <c r="R229" s="1781">
        <v>0.89</v>
      </c>
      <c r="S229" s="1781">
        <v>0.89</v>
      </c>
      <c r="T229" s="1781">
        <v>0.89</v>
      </c>
      <c r="U229" s="1781">
        <v>0.89</v>
      </c>
      <c r="V229" s="1781">
        <v>0.89</v>
      </c>
      <c r="W229" s="1781">
        <v>0.89</v>
      </c>
      <c r="X229" s="1781">
        <v>0.89</v>
      </c>
      <c r="Y229" s="1781">
        <v>0.89</v>
      </c>
      <c r="Z229" s="1359">
        <v>0</v>
      </c>
      <c r="AA229" s="1781">
        <f t="shared" si="155"/>
        <v>0.89</v>
      </c>
      <c r="AB229" s="1781">
        <f t="shared" si="156"/>
        <v>0.89</v>
      </c>
      <c r="AC229" s="1781">
        <f t="shared" si="157"/>
        <v>0.89</v>
      </c>
      <c r="AD229" s="1781">
        <f t="shared" si="158"/>
        <v>0.89</v>
      </c>
      <c r="AE229" s="1781">
        <f t="shared" si="159"/>
        <v>0.89</v>
      </c>
      <c r="AF229" s="1781">
        <f t="shared" si="160"/>
        <v>0.89</v>
      </c>
      <c r="AG229" s="1781">
        <f t="shared" si="161"/>
        <v>0.89</v>
      </c>
      <c r="AH229" s="1781">
        <f t="shared" si="162"/>
        <v>0.89</v>
      </c>
      <c r="AI229" s="1362">
        <f t="shared" si="193"/>
        <v>16117.272293244301</v>
      </c>
      <c r="AJ229" s="1362">
        <f t="shared" si="194"/>
        <v>16117.272293244301</v>
      </c>
      <c r="AK229" s="1362">
        <f t="shared" si="195"/>
        <v>16117.272293244301</v>
      </c>
      <c r="AL229" s="1362">
        <f t="shared" si="196"/>
        <v>16117.272293244301</v>
      </c>
      <c r="AM229" s="1362">
        <f t="shared" si="197"/>
        <v>64469.089172977205</v>
      </c>
      <c r="AN229" s="1132" t="str">
        <f t="shared" si="163"/>
        <v>RS-SHL-AINS-V07-180101</v>
      </c>
      <c r="AO229" s="1132" t="str">
        <f t="shared" si="164"/>
        <v>Nicor Gas PY11-PY14 Adjustable Goals Template_2025-03-01, Tab 5.6.5</v>
      </c>
      <c r="AP229" s="2505">
        <f>'5.6.4&amp;5.6.5'!$X$4</f>
        <v>44.298006534908701</v>
      </c>
      <c r="AQ229" s="2505"/>
      <c r="AR229" s="2505">
        <f t="shared" si="165"/>
        <v>16117.272293244301</v>
      </c>
      <c r="AS229" s="2505">
        <f t="shared" si="166"/>
        <v>0</v>
      </c>
      <c r="AT229" s="1132" t="str">
        <f t="shared" si="167"/>
        <v>RS-SHL-AINS-V07-180101</v>
      </c>
      <c r="AU229" s="1132" t="str">
        <f t="shared" si="168"/>
        <v>Nicor Gas PY11-PY14 Adjustable Goals Template_2025-03-01, Tab 5.6.5</v>
      </c>
      <c r="AV229" s="2505">
        <f>'5.6.4&amp;5.6.5'!$X$4</f>
        <v>44.298006534908701</v>
      </c>
      <c r="AW229" s="2505"/>
      <c r="AX229" s="1362">
        <f t="shared" si="169"/>
        <v>16117.272293244301</v>
      </c>
      <c r="AY229" s="1360">
        <f t="shared" si="170"/>
        <v>0</v>
      </c>
      <c r="AZ229" s="1132" t="str">
        <f t="shared" si="171"/>
        <v>RS-SHL-AINS-V07-180101</v>
      </c>
      <c r="BA229" s="1132" t="str">
        <f t="shared" si="172"/>
        <v>Nicor Gas PY11-PY14 Adjustable Goals Template_2025-03-01, Tab 5.6.5</v>
      </c>
      <c r="BB229" s="2505">
        <f>'5.6.4&amp;5.6.5'!$X$4</f>
        <v>44.298006534908701</v>
      </c>
      <c r="BC229" s="2505"/>
      <c r="BD229" s="1362">
        <f t="shared" si="173"/>
        <v>16117.272293244301</v>
      </c>
      <c r="BE229" s="1360">
        <f t="shared" si="174"/>
        <v>0</v>
      </c>
      <c r="BF229" s="1132" t="str">
        <f t="shared" si="175"/>
        <v>RS-SHL-AINS-V07-180101</v>
      </c>
      <c r="BG229" s="1132" t="str">
        <f t="shared" si="176"/>
        <v>Nicor Gas PY11-PY14 Adjustable Goals Template_2025-03-01, Tab 5.6.5</v>
      </c>
      <c r="BH229" s="2505">
        <f>'5.6.4&amp;5.6.5'!$X$4</f>
        <v>44.298006534908701</v>
      </c>
      <c r="BI229" s="2505"/>
      <c r="BJ229" s="1362">
        <f t="shared" si="198"/>
        <v>16117.272293244301</v>
      </c>
      <c r="BK229" s="1360">
        <f t="shared" si="177"/>
        <v>0</v>
      </c>
      <c r="BL229" s="1601">
        <f t="shared" si="178"/>
        <v>16117.272293244301</v>
      </c>
      <c r="BM229" s="1601">
        <f t="shared" si="179"/>
        <v>16117.272293244301</v>
      </c>
      <c r="BN229" s="1601">
        <f t="shared" si="180"/>
        <v>16117.272293244301</v>
      </c>
      <c r="BO229" s="1601">
        <f t="shared" si="181"/>
        <v>16117.272293244301</v>
      </c>
      <c r="BP229" s="1602">
        <f t="shared" si="182"/>
        <v>64469.089172977205</v>
      </c>
      <c r="BQ229" s="1602"/>
      <c r="BR229" s="1602" t="s">
        <v>659</v>
      </c>
      <c r="BS229" s="2773">
        <v>1</v>
      </c>
      <c r="BT229" s="1602">
        <v>19.411764705882355</v>
      </c>
      <c r="BU229" s="1602">
        <v>19.411764705882355</v>
      </c>
      <c r="BV229" s="1602">
        <v>19.411764705882355</v>
      </c>
      <c r="BW229" s="1602">
        <v>19.411764705882355</v>
      </c>
      <c r="BX229" s="1362">
        <f t="shared" si="199"/>
        <v>312864.69745709532</v>
      </c>
      <c r="BY229" s="1362">
        <f t="shared" si="200"/>
        <v>312864.69745709532</v>
      </c>
      <c r="BZ229" s="1362">
        <f t="shared" si="201"/>
        <v>312864.69745709532</v>
      </c>
      <c r="CA229" s="1362">
        <f t="shared" si="202"/>
        <v>312864.69745709532</v>
      </c>
      <c r="CB229" s="1362">
        <f t="shared" si="203"/>
        <v>1251458.7898283813</v>
      </c>
      <c r="CC229" s="2775">
        <v>20</v>
      </c>
      <c r="CD229" s="2775">
        <v>20</v>
      </c>
      <c r="CE229" s="2775">
        <v>20</v>
      </c>
      <c r="CF229" s="2775">
        <v>20</v>
      </c>
      <c r="CG229" s="1604">
        <f t="shared" si="183"/>
        <v>322345.44586488605</v>
      </c>
      <c r="CH229" s="1604">
        <f t="shared" si="184"/>
        <v>322345.44586488605</v>
      </c>
      <c r="CI229" s="1604">
        <f t="shared" si="185"/>
        <v>322345.44586488605</v>
      </c>
      <c r="CJ229" s="1604">
        <f t="shared" si="186"/>
        <v>322345.44586488605</v>
      </c>
      <c r="CK229" s="1521">
        <f t="shared" si="187"/>
        <v>1289381.7834595442</v>
      </c>
      <c r="CL229" s="1132">
        <v>222</v>
      </c>
      <c r="CM229" s="1132" t="s">
        <v>328</v>
      </c>
      <c r="CN229" s="1359">
        <v>1</v>
      </c>
      <c r="CO229" s="1360">
        <v>374.85350917643473</v>
      </c>
      <c r="CP229" s="1360">
        <v>374.85350917643473</v>
      </c>
      <c r="CQ229" s="1360">
        <v>374.85350917643473</v>
      </c>
      <c r="CR229" s="1360">
        <v>374.85350917643473</v>
      </c>
      <c r="CS229" s="1362">
        <f t="shared" si="188"/>
        <v>14778.684247226736</v>
      </c>
      <c r="CT229" s="1362">
        <f t="shared" si="189"/>
        <v>14778.684247226736</v>
      </c>
      <c r="CU229" s="1362">
        <f t="shared" si="190"/>
        <v>14778.684247226736</v>
      </c>
      <c r="CV229" s="1362">
        <f t="shared" si="191"/>
        <v>14778.684247226736</v>
      </c>
      <c r="CW229" s="1362">
        <f t="shared" si="192"/>
        <v>59114.736988906945</v>
      </c>
      <c r="CY229" s="2887"/>
    </row>
    <row r="230" spans="1:118" s="1143" customFormat="1" ht="77.25" customHeight="1" x14ac:dyDescent="0.35">
      <c r="A230" s="1132" t="s">
        <v>109</v>
      </c>
      <c r="B230" s="1132" t="s">
        <v>651</v>
      </c>
      <c r="C230" s="1132" t="s">
        <v>665</v>
      </c>
      <c r="D230" s="1359" t="s">
        <v>666</v>
      </c>
      <c r="E230" s="1359">
        <v>1</v>
      </c>
      <c r="F230" s="1780" t="s">
        <v>659</v>
      </c>
      <c r="G230" s="1132" t="s">
        <v>328</v>
      </c>
      <c r="H230" s="1360">
        <v>98.024347826086952</v>
      </c>
      <c r="I230" s="1360">
        <v>98.024347826086952</v>
      </c>
      <c r="J230" s="1360">
        <v>98.024347826086952</v>
      </c>
      <c r="K230" s="1360">
        <v>98.024347826086952</v>
      </c>
      <c r="L230" s="1132" t="s">
        <v>660</v>
      </c>
      <c r="M230" s="1132" t="str">
        <f t="shared" si="154"/>
        <v>Nicor Gas PY11-PY14 Adjustable Goals Template_2025-03-01, Tab 5.6.5</v>
      </c>
      <c r="N230" s="1361">
        <v>34.431632352133576</v>
      </c>
      <c r="O230" s="1361">
        <v>34.431632352133576</v>
      </c>
      <c r="P230" s="1361">
        <v>34.431632352133576</v>
      </c>
      <c r="Q230" s="1361">
        <v>34.431632352133576</v>
      </c>
      <c r="R230" s="1781">
        <v>0.89</v>
      </c>
      <c r="S230" s="1781">
        <v>0.89</v>
      </c>
      <c r="T230" s="1781">
        <v>0.89</v>
      </c>
      <c r="U230" s="1781">
        <v>0.89</v>
      </c>
      <c r="V230" s="1781">
        <v>0.89</v>
      </c>
      <c r="W230" s="1781">
        <v>0.89</v>
      </c>
      <c r="X230" s="1781">
        <v>0.89</v>
      </c>
      <c r="Y230" s="1781">
        <v>0.89</v>
      </c>
      <c r="Z230" s="1359">
        <v>0</v>
      </c>
      <c r="AA230" s="1781">
        <f t="shared" si="155"/>
        <v>0.89</v>
      </c>
      <c r="AB230" s="1781">
        <f t="shared" si="156"/>
        <v>0.89</v>
      </c>
      <c r="AC230" s="1781">
        <f t="shared" si="157"/>
        <v>0.89</v>
      </c>
      <c r="AD230" s="1781">
        <f t="shared" si="158"/>
        <v>0.89</v>
      </c>
      <c r="AE230" s="1781">
        <f t="shared" si="159"/>
        <v>0.89</v>
      </c>
      <c r="AF230" s="1781">
        <f t="shared" si="160"/>
        <v>0.89</v>
      </c>
      <c r="AG230" s="1781">
        <f t="shared" si="161"/>
        <v>0.89</v>
      </c>
      <c r="AH230" s="1781">
        <f t="shared" si="162"/>
        <v>0.89</v>
      </c>
      <c r="AI230" s="1362">
        <f t="shared" si="193"/>
        <v>3003.8730922558861</v>
      </c>
      <c r="AJ230" s="1362">
        <f t="shared" si="194"/>
        <v>3003.8730922558861</v>
      </c>
      <c r="AK230" s="1362">
        <f t="shared" si="195"/>
        <v>3003.8730922558861</v>
      </c>
      <c r="AL230" s="1362">
        <f t="shared" si="196"/>
        <v>3003.8730922558861</v>
      </c>
      <c r="AM230" s="1362">
        <f t="shared" si="197"/>
        <v>12015.492369023545</v>
      </c>
      <c r="AN230" s="1132" t="str">
        <f t="shared" si="163"/>
        <v>RS-SHL-AINS-V07-180101</v>
      </c>
      <c r="AO230" s="1132" t="str">
        <f t="shared" si="164"/>
        <v>Nicor Gas PY11-PY14 Adjustable Goals Template_2025-03-01, Tab 5.6.5</v>
      </c>
      <c r="AP230" s="2505">
        <f>'5.6.4&amp;5.6.5'!$X$5</f>
        <v>34.431632352133576</v>
      </c>
      <c r="AQ230" s="2505"/>
      <c r="AR230" s="2505">
        <f t="shared" si="165"/>
        <v>3003.8730922558861</v>
      </c>
      <c r="AS230" s="2505">
        <f t="shared" si="166"/>
        <v>0</v>
      </c>
      <c r="AT230" s="1132" t="str">
        <f t="shared" si="167"/>
        <v>RS-SHL-AINS-V07-180101</v>
      </c>
      <c r="AU230" s="1132" t="str">
        <f t="shared" si="168"/>
        <v>Nicor Gas PY11-PY14 Adjustable Goals Template_2025-03-01, Tab 5.6.5</v>
      </c>
      <c r="AV230" s="2505">
        <f>'5.6.4&amp;5.6.5'!$X$5</f>
        <v>34.431632352133576</v>
      </c>
      <c r="AW230" s="2505"/>
      <c r="AX230" s="1362">
        <f t="shared" si="169"/>
        <v>3003.8730922558861</v>
      </c>
      <c r="AY230" s="1360">
        <f t="shared" si="170"/>
        <v>0</v>
      </c>
      <c r="AZ230" s="1132" t="str">
        <f t="shared" si="171"/>
        <v>RS-SHL-AINS-V07-180101</v>
      </c>
      <c r="BA230" s="1132" t="str">
        <f t="shared" si="172"/>
        <v>Nicor Gas PY11-PY14 Adjustable Goals Template_2025-03-01, Tab 5.6.5</v>
      </c>
      <c r="BB230" s="2505">
        <f>'5.6.4&amp;5.6.5'!$X$5</f>
        <v>34.431632352133576</v>
      </c>
      <c r="BC230" s="2505"/>
      <c r="BD230" s="1362">
        <f t="shared" si="173"/>
        <v>3003.8730922558861</v>
      </c>
      <c r="BE230" s="1360">
        <f t="shared" si="174"/>
        <v>0</v>
      </c>
      <c r="BF230" s="1132" t="str">
        <f t="shared" si="175"/>
        <v>RS-SHL-AINS-V07-180101</v>
      </c>
      <c r="BG230" s="1132" t="str">
        <f t="shared" si="176"/>
        <v>Nicor Gas PY11-PY14 Adjustable Goals Template_2025-03-01, Tab 5.6.5</v>
      </c>
      <c r="BH230" s="2505">
        <f>'5.6.4&amp;5.6.5'!$X$5</f>
        <v>34.431632352133576</v>
      </c>
      <c r="BI230" s="2505"/>
      <c r="BJ230" s="1362">
        <f t="shared" si="198"/>
        <v>3003.8730922558861</v>
      </c>
      <c r="BK230" s="1360">
        <f t="shared" si="177"/>
        <v>0</v>
      </c>
      <c r="BL230" s="1601">
        <f t="shared" si="178"/>
        <v>3003.8730922558861</v>
      </c>
      <c r="BM230" s="1601">
        <f t="shared" si="179"/>
        <v>3003.8730922558861</v>
      </c>
      <c r="BN230" s="1601">
        <f t="shared" si="180"/>
        <v>3003.8730922558861</v>
      </c>
      <c r="BO230" s="1601">
        <f t="shared" si="181"/>
        <v>3003.8730922558861</v>
      </c>
      <c r="BP230" s="1602">
        <f t="shared" si="182"/>
        <v>12015.492369023545</v>
      </c>
      <c r="BQ230" s="1602"/>
      <c r="BR230" s="1602" t="s">
        <v>659</v>
      </c>
      <c r="BS230" s="2773">
        <v>1</v>
      </c>
      <c r="BT230" s="1602">
        <v>19.411764705882351</v>
      </c>
      <c r="BU230" s="1602">
        <v>19.411764705882351</v>
      </c>
      <c r="BV230" s="1602">
        <v>19.411764705882351</v>
      </c>
      <c r="BW230" s="1602">
        <v>19.411764705882401</v>
      </c>
      <c r="BX230" s="1362">
        <f t="shared" si="199"/>
        <v>58310.477673202491</v>
      </c>
      <c r="BY230" s="1362">
        <f t="shared" si="200"/>
        <v>58310.477673202491</v>
      </c>
      <c r="BZ230" s="1362">
        <f t="shared" si="201"/>
        <v>58310.477673202491</v>
      </c>
      <c r="CA230" s="1362">
        <f t="shared" si="202"/>
        <v>58310.477673202644</v>
      </c>
      <c r="CB230" s="1362">
        <f t="shared" si="203"/>
        <v>233241.91069281011</v>
      </c>
      <c r="CC230" s="2775">
        <v>20</v>
      </c>
      <c r="CD230" s="2775">
        <v>20</v>
      </c>
      <c r="CE230" s="2775">
        <v>20</v>
      </c>
      <c r="CF230" s="2775">
        <v>20</v>
      </c>
      <c r="CG230" s="1604">
        <f t="shared" si="183"/>
        <v>60077.461845117723</v>
      </c>
      <c r="CH230" s="1604">
        <f t="shared" si="184"/>
        <v>60077.461845117723</v>
      </c>
      <c r="CI230" s="1604">
        <f t="shared" si="185"/>
        <v>60077.461845117723</v>
      </c>
      <c r="CJ230" s="1604">
        <f t="shared" si="186"/>
        <v>60077.461845117723</v>
      </c>
      <c r="CK230" s="1521">
        <f t="shared" si="187"/>
        <v>240309.84738047089</v>
      </c>
      <c r="CL230" s="1132">
        <v>223</v>
      </c>
      <c r="CM230" s="1132" t="s">
        <v>328</v>
      </c>
      <c r="CN230" s="1359">
        <v>1</v>
      </c>
      <c r="CO230" s="1360">
        <v>89.883130265739126</v>
      </c>
      <c r="CP230" s="1360">
        <v>89.883130265739126</v>
      </c>
      <c r="CQ230" s="1360">
        <v>89.883130265739126</v>
      </c>
      <c r="CR230" s="1360">
        <v>89.883130265739126</v>
      </c>
      <c r="CS230" s="1362">
        <f t="shared" si="188"/>
        <v>2754.3923774122854</v>
      </c>
      <c r="CT230" s="1362">
        <f t="shared" si="189"/>
        <v>2754.3923774122854</v>
      </c>
      <c r="CU230" s="1362">
        <f t="shared" si="190"/>
        <v>2754.3923774122854</v>
      </c>
      <c r="CV230" s="1362">
        <f t="shared" si="191"/>
        <v>2754.3923774122854</v>
      </c>
      <c r="CW230" s="1362">
        <f t="shared" si="192"/>
        <v>11017.569509649142</v>
      </c>
      <c r="CY230" s="2887"/>
      <c r="DN230" s="1715"/>
    </row>
    <row r="231" spans="1:118" s="1143" customFormat="1" ht="81" customHeight="1" x14ac:dyDescent="0.35">
      <c r="A231" s="1132" t="s">
        <v>109</v>
      </c>
      <c r="B231" s="1132" t="s">
        <v>651</v>
      </c>
      <c r="C231" s="1132" t="s">
        <v>667</v>
      </c>
      <c r="D231" s="1359" t="s">
        <v>668</v>
      </c>
      <c r="E231" s="1359">
        <v>1</v>
      </c>
      <c r="F231" s="1780" t="s">
        <v>655</v>
      </c>
      <c r="G231" s="1132" t="s">
        <v>328</v>
      </c>
      <c r="H231" s="1360">
        <v>286.08695652173918</v>
      </c>
      <c r="I231" s="1360">
        <v>286.08695652173918</v>
      </c>
      <c r="J231" s="1360">
        <v>286.08695652173918</v>
      </c>
      <c r="K231" s="1360">
        <v>286.08695652173918</v>
      </c>
      <c r="L231" s="1132" t="s">
        <v>656</v>
      </c>
      <c r="M231" s="1132" t="str">
        <f t="shared" si="154"/>
        <v>Nicor Gas PY11-PY14 Adjustable Goals Template_2025-03-01, Tab 5.6.1</v>
      </c>
      <c r="N231" s="1361">
        <v>115.07115183246073</v>
      </c>
      <c r="O231" s="1361">
        <v>115.07115183246073</v>
      </c>
      <c r="P231" s="1361">
        <v>115.07115183246073</v>
      </c>
      <c r="Q231" s="1361">
        <v>115.07115183246073</v>
      </c>
      <c r="R231" s="1781">
        <v>0.83</v>
      </c>
      <c r="S231" s="1781">
        <v>0.83</v>
      </c>
      <c r="T231" s="1781">
        <v>0.83</v>
      </c>
      <c r="U231" s="1781">
        <v>0.83</v>
      </c>
      <c r="V231" s="1781">
        <v>0.83</v>
      </c>
      <c r="W231" s="1781">
        <v>0.83</v>
      </c>
      <c r="X231" s="1781">
        <v>0.83</v>
      </c>
      <c r="Y231" s="1781">
        <v>0.83</v>
      </c>
      <c r="Z231" s="1359">
        <v>0</v>
      </c>
      <c r="AA231" s="1781">
        <f t="shared" si="155"/>
        <v>0.83</v>
      </c>
      <c r="AB231" s="1781">
        <f t="shared" si="156"/>
        <v>0.83</v>
      </c>
      <c r="AC231" s="1781">
        <f t="shared" si="157"/>
        <v>0.83</v>
      </c>
      <c r="AD231" s="1781">
        <f t="shared" si="158"/>
        <v>0.83</v>
      </c>
      <c r="AE231" s="1781">
        <f t="shared" si="159"/>
        <v>0.83</v>
      </c>
      <c r="AF231" s="1781">
        <f t="shared" si="160"/>
        <v>0.83</v>
      </c>
      <c r="AG231" s="1781">
        <f t="shared" si="161"/>
        <v>0.83</v>
      </c>
      <c r="AH231" s="1781">
        <f t="shared" si="162"/>
        <v>0.83</v>
      </c>
      <c r="AI231" s="1362">
        <f t="shared" si="193"/>
        <v>27323.895157295705</v>
      </c>
      <c r="AJ231" s="1362">
        <f t="shared" si="194"/>
        <v>27323.895157295705</v>
      </c>
      <c r="AK231" s="1362">
        <f t="shared" si="195"/>
        <v>27323.895157295705</v>
      </c>
      <c r="AL231" s="1362">
        <f t="shared" si="196"/>
        <v>27323.895157295705</v>
      </c>
      <c r="AM231" s="1362">
        <f t="shared" si="197"/>
        <v>109295.58062918282</v>
      </c>
      <c r="AN231" s="1132" t="str">
        <f t="shared" si="163"/>
        <v>RS-SHL-AIRS-V07-190101</v>
      </c>
      <c r="AO231" s="1132" t="str">
        <f t="shared" si="164"/>
        <v>Nicor Gas PY11-PY14 Adjustable Goals Template_2025-03-01, Tab 5.6.1</v>
      </c>
      <c r="AP231" s="2247">
        <f>'5.6.1'!$V$7</f>
        <v>115.07115183246073</v>
      </c>
      <c r="AQ231" s="2505"/>
      <c r="AR231" s="2505">
        <f t="shared" si="165"/>
        <v>27323.895157295705</v>
      </c>
      <c r="AS231" s="2505">
        <f t="shared" si="166"/>
        <v>0</v>
      </c>
      <c r="AT231" s="1132" t="str">
        <f t="shared" si="167"/>
        <v>RS-SHL-AIRS-V07-190101</v>
      </c>
      <c r="AU231" s="1132" t="str">
        <f t="shared" si="168"/>
        <v>Nicor Gas PY11-PY14 Adjustable Goals Template_2025-03-01, Tab 5.6.1</v>
      </c>
      <c r="AV231" s="2247">
        <f>'5.6.1'!$V$7</f>
        <v>115.07115183246073</v>
      </c>
      <c r="AW231" s="2505"/>
      <c r="AX231" s="1362">
        <f t="shared" si="169"/>
        <v>27323.895157295705</v>
      </c>
      <c r="AY231" s="1360">
        <f t="shared" si="170"/>
        <v>0</v>
      </c>
      <c r="AZ231" s="1132" t="str">
        <f t="shared" si="171"/>
        <v>RS-SHL-AIRS-V07-190101</v>
      </c>
      <c r="BA231" s="1132" t="str">
        <f t="shared" si="172"/>
        <v>Nicor Gas PY11-PY14 Adjustable Goals Template_2025-03-01, Tab 5.6.1</v>
      </c>
      <c r="BB231" s="2247">
        <f>'5.6.1'!$V$7</f>
        <v>115.07115183246073</v>
      </c>
      <c r="BC231" s="2505"/>
      <c r="BD231" s="1362">
        <f t="shared" si="173"/>
        <v>27323.895157295705</v>
      </c>
      <c r="BE231" s="1360">
        <f t="shared" si="174"/>
        <v>0</v>
      </c>
      <c r="BF231" s="1132" t="str">
        <f t="shared" si="175"/>
        <v>RS-SHL-AIRS-V07-190101</v>
      </c>
      <c r="BG231" s="1132" t="str">
        <f t="shared" si="176"/>
        <v>Nicor Gas PY11-PY14 Adjustable Goals Template_2025-03-01, Tab 5.6.1</v>
      </c>
      <c r="BH231" s="2247">
        <f>'5.6.1'!$V$7</f>
        <v>115.07115183246073</v>
      </c>
      <c r="BI231" s="2505"/>
      <c r="BJ231" s="1362">
        <f t="shared" si="198"/>
        <v>27323.895157295705</v>
      </c>
      <c r="BK231" s="1360">
        <f t="shared" si="177"/>
        <v>0</v>
      </c>
      <c r="BL231" s="1601">
        <f t="shared" si="178"/>
        <v>27323.895157295705</v>
      </c>
      <c r="BM231" s="1601">
        <f t="shared" si="179"/>
        <v>27323.895157295705</v>
      </c>
      <c r="BN231" s="1601">
        <f t="shared" si="180"/>
        <v>27323.895157295705</v>
      </c>
      <c r="BO231" s="1601">
        <f t="shared" si="181"/>
        <v>27323.895157295705</v>
      </c>
      <c r="BP231" s="1602">
        <f t="shared" si="182"/>
        <v>109295.58062918282</v>
      </c>
      <c r="BQ231" s="1605"/>
      <c r="BR231" s="1605" t="s">
        <v>655</v>
      </c>
      <c r="BS231" s="2773">
        <v>1</v>
      </c>
      <c r="BT231" s="1602">
        <v>19.411764705882355</v>
      </c>
      <c r="BU231" s="1602">
        <v>19.411764705882355</v>
      </c>
      <c r="BV231" s="1602">
        <v>19.411764705882355</v>
      </c>
      <c r="BW231" s="1602">
        <v>19.411764705882355</v>
      </c>
      <c r="BX231" s="1362">
        <f t="shared" si="199"/>
        <v>530405.02364162251</v>
      </c>
      <c r="BY231" s="1362">
        <f t="shared" si="200"/>
        <v>530405.02364162251</v>
      </c>
      <c r="BZ231" s="1362">
        <f t="shared" si="201"/>
        <v>530405.02364162251</v>
      </c>
      <c r="CA231" s="1362">
        <f t="shared" si="202"/>
        <v>530405.02364162251</v>
      </c>
      <c r="CB231" s="1362">
        <f t="shared" si="203"/>
        <v>2121620.09456649</v>
      </c>
      <c r="CC231" s="2775">
        <v>20</v>
      </c>
      <c r="CD231" s="2775">
        <v>20</v>
      </c>
      <c r="CE231" s="2775">
        <v>20</v>
      </c>
      <c r="CF231" s="2775">
        <v>20</v>
      </c>
      <c r="CG231" s="1604">
        <f t="shared" si="183"/>
        <v>546477.90314591397</v>
      </c>
      <c r="CH231" s="1604">
        <f t="shared" si="184"/>
        <v>546477.90314591397</v>
      </c>
      <c r="CI231" s="1604">
        <f t="shared" si="185"/>
        <v>546477.90314591397</v>
      </c>
      <c r="CJ231" s="1604">
        <f t="shared" si="186"/>
        <v>546477.90314591397</v>
      </c>
      <c r="CK231" s="1521">
        <f t="shared" si="187"/>
        <v>2185911.6125836559</v>
      </c>
      <c r="CL231" s="1132">
        <v>224</v>
      </c>
      <c r="CM231" s="1132" t="s">
        <v>328</v>
      </c>
      <c r="CN231" s="1359">
        <v>1</v>
      </c>
      <c r="CO231" s="1360">
        <v>262.32657243478269</v>
      </c>
      <c r="CP231" s="1360">
        <v>262.32657243478269</v>
      </c>
      <c r="CQ231" s="1360">
        <v>262.32657243478269</v>
      </c>
      <c r="CR231" s="1360">
        <v>262.32657243478269</v>
      </c>
      <c r="CS231" s="1362">
        <f t="shared" si="188"/>
        <v>25054.563302455463</v>
      </c>
      <c r="CT231" s="1362">
        <f t="shared" si="189"/>
        <v>25054.563302455463</v>
      </c>
      <c r="CU231" s="1362">
        <f t="shared" si="190"/>
        <v>25054.563302455463</v>
      </c>
      <c r="CV231" s="1362">
        <f t="shared" si="191"/>
        <v>25054.563302455463</v>
      </c>
      <c r="CW231" s="1362">
        <f t="shared" si="192"/>
        <v>100218.25320982185</v>
      </c>
      <c r="CY231" s="2887"/>
      <c r="DN231" s="1715"/>
    </row>
    <row r="232" spans="1:118" s="1143" customFormat="1" ht="46.5" x14ac:dyDescent="0.35">
      <c r="A232" s="1132" t="s">
        <v>109</v>
      </c>
      <c r="B232" s="1132" t="s">
        <v>651</v>
      </c>
      <c r="C232" s="1132" t="s">
        <v>669</v>
      </c>
      <c r="D232" s="1359" t="s">
        <v>670</v>
      </c>
      <c r="E232" s="1359">
        <v>1</v>
      </c>
      <c r="F232" s="2564" t="s">
        <v>671</v>
      </c>
      <c r="G232" s="1132" t="s">
        <v>328</v>
      </c>
      <c r="H232" s="1360">
        <v>500.73710073710066</v>
      </c>
      <c r="I232" s="1360">
        <v>500.73710073710066</v>
      </c>
      <c r="J232" s="1360">
        <v>500.73710073710066</v>
      </c>
      <c r="K232" s="1360">
        <v>500.73710073710066</v>
      </c>
      <c r="L232" s="1132" t="s">
        <v>672</v>
      </c>
      <c r="M232" s="1132" t="str">
        <f t="shared" si="154"/>
        <v>Nicor Gas PY11-PY14 Adjustable Goals Template_2025-03-01, Tab 5.3.4</v>
      </c>
      <c r="N232" s="1361">
        <v>126.70426992521378</v>
      </c>
      <c r="O232" s="1361">
        <v>126.70426992521378</v>
      </c>
      <c r="P232" s="1361">
        <v>126.70426992521378</v>
      </c>
      <c r="Q232" s="1361">
        <v>126.70426992521378</v>
      </c>
      <c r="R232" s="1781">
        <v>0.93</v>
      </c>
      <c r="S232" s="1781">
        <v>0.93</v>
      </c>
      <c r="T232" s="1781">
        <v>0.93</v>
      </c>
      <c r="U232" s="1781">
        <v>0.93</v>
      </c>
      <c r="V232" s="1781">
        <v>0.93</v>
      </c>
      <c r="W232" s="1781">
        <v>0.93</v>
      </c>
      <c r="X232" s="1781">
        <v>0.93</v>
      </c>
      <c r="Y232" s="1781">
        <v>0.93</v>
      </c>
      <c r="Z232" s="1359">
        <v>0</v>
      </c>
      <c r="AA232" s="1781">
        <f t="shared" si="155"/>
        <v>0.93</v>
      </c>
      <c r="AB232" s="1781">
        <f t="shared" si="156"/>
        <v>0.93</v>
      </c>
      <c r="AC232" s="1781">
        <f t="shared" si="157"/>
        <v>0.93</v>
      </c>
      <c r="AD232" s="1781">
        <f t="shared" si="158"/>
        <v>0.93</v>
      </c>
      <c r="AE232" s="1781">
        <f t="shared" si="159"/>
        <v>0.93</v>
      </c>
      <c r="AF232" s="1781">
        <f t="shared" si="160"/>
        <v>0.93</v>
      </c>
      <c r="AG232" s="1781">
        <f t="shared" si="161"/>
        <v>0.93</v>
      </c>
      <c r="AH232" s="1781">
        <f t="shared" si="162"/>
        <v>0.93</v>
      </c>
      <c r="AI232" s="1362">
        <f t="shared" si="193"/>
        <v>59004.341759227187</v>
      </c>
      <c r="AJ232" s="1362">
        <f t="shared" si="194"/>
        <v>59004.341759227187</v>
      </c>
      <c r="AK232" s="1362">
        <f t="shared" si="195"/>
        <v>59004.341759227187</v>
      </c>
      <c r="AL232" s="1362">
        <f t="shared" si="196"/>
        <v>59004.341759227187</v>
      </c>
      <c r="AM232" s="1362">
        <f t="shared" si="197"/>
        <v>236017.36703690875</v>
      </c>
      <c r="AN232" s="1132" t="str">
        <f t="shared" si="163"/>
        <v>RS-HVC-DINS-V07-190101</v>
      </c>
      <c r="AO232" s="1132" t="str">
        <f t="shared" si="164"/>
        <v>Nicor Gas PY11-PY14 Adjustable Goals Template_2025-03-01, Tab 5.3.4</v>
      </c>
      <c r="AP232" s="2505">
        <f>'5.3.4'!$T$6</f>
        <v>126.70426992521378</v>
      </c>
      <c r="AQ232" s="2505"/>
      <c r="AR232" s="2505">
        <f t="shared" si="165"/>
        <v>59004.341759227187</v>
      </c>
      <c r="AS232" s="2505">
        <f t="shared" si="166"/>
        <v>0</v>
      </c>
      <c r="AT232" s="1132" t="str">
        <f t="shared" si="167"/>
        <v>RS-HVC-DINS-V07-190101</v>
      </c>
      <c r="AU232" s="1132" t="str">
        <f t="shared" si="168"/>
        <v>Nicor Gas PY11-PY14 Adjustable Goals Template_2025-03-01, Tab 5.3.4</v>
      </c>
      <c r="AV232" s="2505">
        <f>'5.3.4'!$T$6</f>
        <v>126.70426992521378</v>
      </c>
      <c r="AW232" s="2505"/>
      <c r="AX232" s="1362">
        <f t="shared" si="169"/>
        <v>59004.341759227187</v>
      </c>
      <c r="AY232" s="1360">
        <f t="shared" si="170"/>
        <v>0</v>
      </c>
      <c r="AZ232" s="1132" t="str">
        <f t="shared" si="171"/>
        <v>RS-HVC-DINS-V07-190101</v>
      </c>
      <c r="BA232" s="1132" t="str">
        <f t="shared" si="172"/>
        <v>Nicor Gas PY11-PY14 Adjustable Goals Template_2025-03-01, Tab 5.3.4</v>
      </c>
      <c r="BB232" s="2505">
        <f>'5.3.4'!$T$6</f>
        <v>126.70426992521378</v>
      </c>
      <c r="BC232" s="2505"/>
      <c r="BD232" s="1362">
        <f t="shared" si="173"/>
        <v>59004.341759227187</v>
      </c>
      <c r="BE232" s="1360">
        <f t="shared" si="174"/>
        <v>0</v>
      </c>
      <c r="BF232" s="1132" t="str">
        <f t="shared" si="175"/>
        <v>RS-HVC-DINS-V07-190101</v>
      </c>
      <c r="BG232" s="1132" t="str">
        <f t="shared" si="176"/>
        <v>Nicor Gas PY11-PY14 Adjustable Goals Template_2025-03-01, Tab 5.3.4</v>
      </c>
      <c r="BH232" s="2505">
        <f>'5.3.4'!$T$6</f>
        <v>126.70426992521378</v>
      </c>
      <c r="BI232" s="2505"/>
      <c r="BJ232" s="1362">
        <f t="shared" si="198"/>
        <v>59004.341759227187</v>
      </c>
      <c r="BK232" s="1360">
        <f t="shared" si="177"/>
        <v>0</v>
      </c>
      <c r="BL232" s="1601">
        <f t="shared" si="178"/>
        <v>59004.341759227187</v>
      </c>
      <c r="BM232" s="1601">
        <f t="shared" si="179"/>
        <v>59004.341759227187</v>
      </c>
      <c r="BN232" s="1601">
        <f t="shared" si="180"/>
        <v>59004.341759227187</v>
      </c>
      <c r="BO232" s="1601">
        <f t="shared" si="181"/>
        <v>59004.341759227187</v>
      </c>
      <c r="BP232" s="1602">
        <f t="shared" si="182"/>
        <v>236017.36703690875</v>
      </c>
      <c r="BQ232" s="1605"/>
      <c r="BR232" s="1605" t="s">
        <v>671</v>
      </c>
      <c r="BS232" s="2773">
        <v>1</v>
      </c>
      <c r="BT232" s="1602">
        <v>18.512820512820507</v>
      </c>
      <c r="BU232" s="1602">
        <v>18.512820512820507</v>
      </c>
      <c r="BV232" s="1602">
        <v>18.512820512820507</v>
      </c>
      <c r="BW232" s="1602">
        <v>18.512820512820507</v>
      </c>
      <c r="BX232" s="1362">
        <f t="shared" si="199"/>
        <v>1092336.7884656927</v>
      </c>
      <c r="BY232" s="1362">
        <f t="shared" si="200"/>
        <v>1092336.7884656927</v>
      </c>
      <c r="BZ232" s="1362">
        <f t="shared" si="201"/>
        <v>1092336.7884656927</v>
      </c>
      <c r="CA232" s="1362">
        <f t="shared" si="202"/>
        <v>1092336.7884656927</v>
      </c>
      <c r="CB232" s="1362">
        <f t="shared" si="203"/>
        <v>4369347.1538627706</v>
      </c>
      <c r="CC232" s="2775">
        <v>20</v>
      </c>
      <c r="CD232" s="2775">
        <v>20</v>
      </c>
      <c r="CE232" s="2775">
        <v>20</v>
      </c>
      <c r="CF232" s="2775">
        <v>20</v>
      </c>
      <c r="CG232" s="1604">
        <f t="shared" si="183"/>
        <v>1180086.8351845439</v>
      </c>
      <c r="CH232" s="1604">
        <f t="shared" si="184"/>
        <v>1180086.8351845439</v>
      </c>
      <c r="CI232" s="1604">
        <f t="shared" si="185"/>
        <v>1180086.8351845439</v>
      </c>
      <c r="CJ232" s="1604">
        <f t="shared" si="186"/>
        <v>1180086.8351845439</v>
      </c>
      <c r="CK232" s="1521">
        <f t="shared" si="187"/>
        <v>4720347.3407381754</v>
      </c>
      <c r="CL232" s="1132">
        <v>225</v>
      </c>
      <c r="CM232" s="1132" t="s">
        <v>328</v>
      </c>
      <c r="CN232" s="1359">
        <v>1</v>
      </c>
      <c r="CO232" s="1360">
        <v>459.14937515619505</v>
      </c>
      <c r="CP232" s="1360">
        <v>459.14937515619505</v>
      </c>
      <c r="CQ232" s="1360">
        <v>459.14937515619505</v>
      </c>
      <c r="CR232" s="1360">
        <v>459.14937515619505</v>
      </c>
      <c r="CS232" s="1362">
        <f t="shared" si="188"/>
        <v>54103.853320178918</v>
      </c>
      <c r="CT232" s="1362">
        <f t="shared" si="189"/>
        <v>54103.853320178918</v>
      </c>
      <c r="CU232" s="1362">
        <f t="shared" si="190"/>
        <v>54103.853320178918</v>
      </c>
      <c r="CV232" s="1362">
        <f t="shared" si="191"/>
        <v>54103.853320178918</v>
      </c>
      <c r="CW232" s="1362">
        <f t="shared" si="192"/>
        <v>216415.41328071567</v>
      </c>
      <c r="CY232" s="2887"/>
      <c r="DN232" s="1715"/>
    </row>
    <row r="233" spans="1:118" s="1143" customFormat="1" ht="87" customHeight="1" x14ac:dyDescent="0.35">
      <c r="A233" s="1132" t="s">
        <v>109</v>
      </c>
      <c r="B233" s="1132" t="s">
        <v>651</v>
      </c>
      <c r="C233" s="1132" t="s">
        <v>673</v>
      </c>
      <c r="D233" s="1359" t="s">
        <v>674</v>
      </c>
      <c r="E233" s="1359">
        <v>1</v>
      </c>
      <c r="F233" s="1780" t="s">
        <v>675</v>
      </c>
      <c r="G233" s="1132" t="s">
        <v>328</v>
      </c>
      <c r="H233" s="1360">
        <v>48.648648648648646</v>
      </c>
      <c r="I233" s="1360">
        <v>48.648648648648646</v>
      </c>
      <c r="J233" s="1360">
        <v>48.648648648648646</v>
      </c>
      <c r="K233" s="1360">
        <v>48.648648648648646</v>
      </c>
      <c r="L233" s="1132" t="s">
        <v>676</v>
      </c>
      <c r="M233" s="1132" t="str">
        <f t="shared" si="154"/>
        <v>Nicor Gas PY11-PY14 Adjustable Goals Template_2025-03-01, Tab 5.6.2</v>
      </c>
      <c r="N233" s="1361">
        <v>42.492434222767052</v>
      </c>
      <c r="O233" s="1361">
        <v>42.492434222767052</v>
      </c>
      <c r="P233" s="1361">
        <v>42.492434222767052</v>
      </c>
      <c r="Q233" s="1361">
        <v>42.492434222767052</v>
      </c>
      <c r="R233" s="1781">
        <v>0.85</v>
      </c>
      <c r="S233" s="1781">
        <v>0.85</v>
      </c>
      <c r="T233" s="1781">
        <v>0.85</v>
      </c>
      <c r="U233" s="1781">
        <v>0.85</v>
      </c>
      <c r="V233" s="1781">
        <v>0.85</v>
      </c>
      <c r="W233" s="1781">
        <v>0.85</v>
      </c>
      <c r="X233" s="1781">
        <v>0.85</v>
      </c>
      <c r="Y233" s="1781">
        <v>0.85</v>
      </c>
      <c r="Z233" s="1359">
        <v>0</v>
      </c>
      <c r="AA233" s="1781">
        <f t="shared" si="155"/>
        <v>0.85</v>
      </c>
      <c r="AB233" s="1781">
        <f t="shared" si="156"/>
        <v>0.85</v>
      </c>
      <c r="AC233" s="1781">
        <f t="shared" si="157"/>
        <v>0.85</v>
      </c>
      <c r="AD233" s="1781">
        <f t="shared" si="158"/>
        <v>0.85</v>
      </c>
      <c r="AE233" s="1781">
        <f t="shared" si="159"/>
        <v>0.85</v>
      </c>
      <c r="AF233" s="1781">
        <f t="shared" si="160"/>
        <v>0.85</v>
      </c>
      <c r="AG233" s="1781">
        <f t="shared" si="161"/>
        <v>0.85</v>
      </c>
      <c r="AH233" s="1781">
        <f t="shared" si="162"/>
        <v>0.85</v>
      </c>
      <c r="AI233" s="1362">
        <f t="shared" si="193"/>
        <v>1757.1195773198265</v>
      </c>
      <c r="AJ233" s="1362">
        <f t="shared" si="194"/>
        <v>1757.1195773198265</v>
      </c>
      <c r="AK233" s="1362">
        <f t="shared" si="195"/>
        <v>1757.1195773198265</v>
      </c>
      <c r="AL233" s="1362">
        <f t="shared" si="196"/>
        <v>1757.1195773198265</v>
      </c>
      <c r="AM233" s="1362">
        <f t="shared" si="197"/>
        <v>7028.4783092793059</v>
      </c>
      <c r="AN233" s="1132" t="str">
        <f t="shared" si="163"/>
        <v>RS-SHL-BINS-V09-190101</v>
      </c>
      <c r="AO233" s="1132" t="str">
        <f t="shared" si="164"/>
        <v>Nicor Gas PY11-PY14 Adjustable Goals Template_2025-03-01, Tab 5.6.2</v>
      </c>
      <c r="AP233" s="2505">
        <f>'5.6.2'!$AA$5</f>
        <v>42.492434222767052</v>
      </c>
      <c r="AQ233" s="2505"/>
      <c r="AR233" s="2505">
        <f t="shared" si="165"/>
        <v>1757.1195773198265</v>
      </c>
      <c r="AS233" s="2505">
        <f t="shared" si="166"/>
        <v>0</v>
      </c>
      <c r="AT233" s="1132" t="str">
        <f t="shared" si="167"/>
        <v>RS-SHL-BINS-V09-190101</v>
      </c>
      <c r="AU233" s="1132" t="str">
        <f t="shared" si="168"/>
        <v>Nicor Gas PY11-PY14 Adjustable Goals Template_2025-03-01, Tab 5.6.2</v>
      </c>
      <c r="AV233" s="2505">
        <f>'5.6.2'!$AA$5</f>
        <v>42.492434222767052</v>
      </c>
      <c r="AW233" s="2505"/>
      <c r="AX233" s="1362">
        <f t="shared" si="169"/>
        <v>1757.1195773198265</v>
      </c>
      <c r="AY233" s="1360">
        <f t="shared" si="170"/>
        <v>0</v>
      </c>
      <c r="AZ233" s="1132" t="str">
        <f t="shared" si="171"/>
        <v>RS-SHL-BINS-V09-190101</v>
      </c>
      <c r="BA233" s="1132" t="str">
        <f t="shared" si="172"/>
        <v>Nicor Gas PY11-PY14 Adjustable Goals Template_2025-03-01, Tab 5.6.2</v>
      </c>
      <c r="BB233" s="2505">
        <f>'5.6.2'!$AA$5</f>
        <v>42.492434222767052</v>
      </c>
      <c r="BC233" s="2505"/>
      <c r="BD233" s="1362">
        <f t="shared" si="173"/>
        <v>1757.1195773198265</v>
      </c>
      <c r="BE233" s="1360">
        <f t="shared" si="174"/>
        <v>0</v>
      </c>
      <c r="BF233" s="1132" t="str">
        <f t="shared" si="175"/>
        <v>RS-SHL-BINS-V09-190101</v>
      </c>
      <c r="BG233" s="1132" t="str">
        <f t="shared" si="176"/>
        <v>Nicor Gas PY11-PY14 Adjustable Goals Template_2025-03-01, Tab 5.6.2</v>
      </c>
      <c r="BH233" s="2505">
        <f>'5.6.2'!$AA$5</f>
        <v>42.492434222767052</v>
      </c>
      <c r="BI233" s="2505"/>
      <c r="BJ233" s="1362">
        <f t="shared" si="198"/>
        <v>1757.1195773198265</v>
      </c>
      <c r="BK233" s="1360">
        <f t="shared" si="177"/>
        <v>0</v>
      </c>
      <c r="BL233" s="1601">
        <f t="shared" si="178"/>
        <v>1757.1195773198265</v>
      </c>
      <c r="BM233" s="1601">
        <f t="shared" si="179"/>
        <v>1757.1195773198265</v>
      </c>
      <c r="BN233" s="1601">
        <f t="shared" si="180"/>
        <v>1757.1195773198265</v>
      </c>
      <c r="BO233" s="1601">
        <f t="shared" si="181"/>
        <v>1757.1195773198265</v>
      </c>
      <c r="BP233" s="1602">
        <f t="shared" si="182"/>
        <v>7028.4783092793059</v>
      </c>
      <c r="BQ233" s="1605"/>
      <c r="BR233" s="1605" t="s">
        <v>675</v>
      </c>
      <c r="BS233" s="2773">
        <v>1</v>
      </c>
      <c r="BT233" s="1602">
        <v>19.411764705882351</v>
      </c>
      <c r="BU233" s="1602">
        <v>19.411764705882351</v>
      </c>
      <c r="BV233" s="1602">
        <v>19.411764705882351</v>
      </c>
      <c r="BW233" s="1602">
        <v>19.411764705882351</v>
      </c>
      <c r="BX233" s="1362">
        <f t="shared" si="199"/>
        <v>34108.791795031924</v>
      </c>
      <c r="BY233" s="1362">
        <f t="shared" si="200"/>
        <v>34108.791795031924</v>
      </c>
      <c r="BZ233" s="1362">
        <f t="shared" si="201"/>
        <v>34108.791795031924</v>
      </c>
      <c r="CA233" s="1362">
        <f t="shared" si="202"/>
        <v>34108.791795031924</v>
      </c>
      <c r="CB233" s="1362">
        <f t="shared" si="203"/>
        <v>136435.1671801277</v>
      </c>
      <c r="CC233" s="2775">
        <v>20</v>
      </c>
      <c r="CD233" s="2775">
        <v>20</v>
      </c>
      <c r="CE233" s="2775">
        <v>20</v>
      </c>
      <c r="CF233" s="2775">
        <v>20</v>
      </c>
      <c r="CG233" s="1604">
        <f t="shared" si="183"/>
        <v>35142.391546396531</v>
      </c>
      <c r="CH233" s="1604">
        <f t="shared" si="184"/>
        <v>35142.391546396531</v>
      </c>
      <c r="CI233" s="1604">
        <f t="shared" si="185"/>
        <v>35142.391546396531</v>
      </c>
      <c r="CJ233" s="1604">
        <f t="shared" si="186"/>
        <v>35142.391546396531</v>
      </c>
      <c r="CK233" s="1521">
        <f t="shared" si="187"/>
        <v>140569.56618558613</v>
      </c>
      <c r="CL233" s="1132">
        <v>226</v>
      </c>
      <c r="CM233" s="1132" t="s">
        <v>328</v>
      </c>
      <c r="CN233" s="1359">
        <v>1</v>
      </c>
      <c r="CO233" s="1360">
        <v>44.608231737451732</v>
      </c>
      <c r="CP233" s="1360">
        <v>44.608231737451732</v>
      </c>
      <c r="CQ233" s="1360">
        <v>44.608231737451732</v>
      </c>
      <c r="CR233" s="1360">
        <v>44.608231737451732</v>
      </c>
      <c r="CS233" s="1362">
        <f t="shared" si="188"/>
        <v>1611.1854999629747</v>
      </c>
      <c r="CT233" s="1362">
        <f t="shared" si="189"/>
        <v>1611.1854999629747</v>
      </c>
      <c r="CU233" s="1362">
        <f t="shared" si="190"/>
        <v>1611.1854999629747</v>
      </c>
      <c r="CV233" s="1362">
        <f t="shared" si="191"/>
        <v>1611.1854999629747</v>
      </c>
      <c r="CW233" s="1362">
        <f t="shared" si="192"/>
        <v>6444.741999851899</v>
      </c>
      <c r="CY233" s="2887"/>
      <c r="DN233" s="1715"/>
    </row>
    <row r="234" spans="1:118" s="1143" customFormat="1" ht="84.75" customHeight="1" x14ac:dyDescent="0.35">
      <c r="A234" s="1132" t="s">
        <v>109</v>
      </c>
      <c r="B234" s="1132" t="s">
        <v>651</v>
      </c>
      <c r="C234" s="1132" t="s">
        <v>677</v>
      </c>
      <c r="D234" s="1359" t="s">
        <v>678</v>
      </c>
      <c r="E234" s="1359">
        <v>1</v>
      </c>
      <c r="F234" s="1780" t="s">
        <v>679</v>
      </c>
      <c r="G234" s="1132" t="s">
        <v>328</v>
      </c>
      <c r="H234" s="1360">
        <v>91.40049140049139</v>
      </c>
      <c r="I234" s="1360">
        <v>91.40049140049139</v>
      </c>
      <c r="J234" s="1360">
        <v>91.40049140049139</v>
      </c>
      <c r="K234" s="1360">
        <v>91.40049140049139</v>
      </c>
      <c r="L234" s="1132" t="s">
        <v>660</v>
      </c>
      <c r="M234" s="1132" t="str">
        <f t="shared" si="154"/>
        <v>Nicor Gas PY11-PY14 Adjustable Goals Template_2025-03-01, Tab 5.6.4</v>
      </c>
      <c r="N234" s="1361">
        <v>49.634654769230757</v>
      </c>
      <c r="O234" s="1361">
        <v>49.634654769230757</v>
      </c>
      <c r="P234" s="1361">
        <v>49.634654769230757</v>
      </c>
      <c r="Q234" s="1361">
        <v>49.634654769230757</v>
      </c>
      <c r="R234" s="1781">
        <v>0.85</v>
      </c>
      <c r="S234" s="1781">
        <v>0.85</v>
      </c>
      <c r="T234" s="1781">
        <v>0.85</v>
      </c>
      <c r="U234" s="1781">
        <v>0.85</v>
      </c>
      <c r="V234" s="1781">
        <v>0.85</v>
      </c>
      <c r="W234" s="1781">
        <v>0.85</v>
      </c>
      <c r="X234" s="1781">
        <v>0.85</v>
      </c>
      <c r="Y234" s="1781">
        <v>0.85</v>
      </c>
      <c r="Z234" s="1359">
        <v>0</v>
      </c>
      <c r="AA234" s="1781">
        <f t="shared" si="155"/>
        <v>0.85</v>
      </c>
      <c r="AB234" s="1781">
        <f t="shared" si="156"/>
        <v>0.85</v>
      </c>
      <c r="AC234" s="1781">
        <f t="shared" si="157"/>
        <v>0.85</v>
      </c>
      <c r="AD234" s="1781">
        <f t="shared" si="158"/>
        <v>0.85</v>
      </c>
      <c r="AE234" s="1781">
        <f t="shared" si="159"/>
        <v>0.85</v>
      </c>
      <c r="AF234" s="1781">
        <f t="shared" si="160"/>
        <v>0.85</v>
      </c>
      <c r="AG234" s="1781">
        <f t="shared" si="161"/>
        <v>0.85</v>
      </c>
      <c r="AH234" s="1781">
        <f t="shared" si="162"/>
        <v>0.85</v>
      </c>
      <c r="AI234" s="1362">
        <f t="shared" si="193"/>
        <v>3856.1370609412197</v>
      </c>
      <c r="AJ234" s="1362">
        <f t="shared" si="194"/>
        <v>3856.1370609412197</v>
      </c>
      <c r="AK234" s="1362">
        <f t="shared" si="195"/>
        <v>3856.1370609412197</v>
      </c>
      <c r="AL234" s="1362">
        <f t="shared" si="196"/>
        <v>3856.1370609412197</v>
      </c>
      <c r="AM234" s="1362">
        <f t="shared" si="197"/>
        <v>15424.548243764879</v>
      </c>
      <c r="AN234" s="1132" t="str">
        <f t="shared" si="163"/>
        <v>RS-SHL-AINS-V07-180101</v>
      </c>
      <c r="AO234" s="1132" t="str">
        <f t="shared" si="164"/>
        <v>Nicor Gas PY11-PY14 Adjustable Goals Template_2025-03-01, Tab 5.6.4</v>
      </c>
      <c r="AP234" s="2505">
        <f>'5.6.4&amp;5.6.5'!$X$20</f>
        <v>49.634654769230757</v>
      </c>
      <c r="AQ234" s="2505"/>
      <c r="AR234" s="2505">
        <f t="shared" si="165"/>
        <v>3856.1370609412197</v>
      </c>
      <c r="AS234" s="2505">
        <f t="shared" si="166"/>
        <v>0</v>
      </c>
      <c r="AT234" s="1132" t="str">
        <f t="shared" si="167"/>
        <v>RS-SHL-AINS-V07-180101</v>
      </c>
      <c r="AU234" s="1132" t="str">
        <f t="shared" si="168"/>
        <v>Nicor Gas PY11-PY14 Adjustable Goals Template_2025-03-01, Tab 5.6.4</v>
      </c>
      <c r="AV234" s="2505">
        <f>'5.6.4&amp;5.6.5'!$X$20</f>
        <v>49.634654769230757</v>
      </c>
      <c r="AW234" s="2505"/>
      <c r="AX234" s="1362">
        <f t="shared" si="169"/>
        <v>3856.1370609412197</v>
      </c>
      <c r="AY234" s="1360">
        <f t="shared" si="170"/>
        <v>0</v>
      </c>
      <c r="AZ234" s="1132" t="str">
        <f t="shared" si="171"/>
        <v>RS-SHL-AINS-V07-180101</v>
      </c>
      <c r="BA234" s="1132" t="str">
        <f t="shared" si="172"/>
        <v>Nicor Gas PY11-PY14 Adjustable Goals Template_2025-03-01, Tab 5.6.4</v>
      </c>
      <c r="BB234" s="2505">
        <f>'5.6.4&amp;5.6.5'!$X$20</f>
        <v>49.634654769230757</v>
      </c>
      <c r="BC234" s="2505"/>
      <c r="BD234" s="1362">
        <f t="shared" si="173"/>
        <v>3856.1370609412197</v>
      </c>
      <c r="BE234" s="1360">
        <f t="shared" si="174"/>
        <v>0</v>
      </c>
      <c r="BF234" s="1132" t="str">
        <f t="shared" si="175"/>
        <v>RS-SHL-AINS-V07-180101</v>
      </c>
      <c r="BG234" s="1132" t="str">
        <f t="shared" si="176"/>
        <v>Nicor Gas PY11-PY14 Adjustable Goals Template_2025-03-01, Tab 5.6.4</v>
      </c>
      <c r="BH234" s="2505">
        <f>'5.6.4&amp;5.6.5'!$X$20</f>
        <v>49.634654769230757</v>
      </c>
      <c r="BI234" s="2505"/>
      <c r="BJ234" s="1362">
        <f t="shared" si="198"/>
        <v>3856.1370609412197</v>
      </c>
      <c r="BK234" s="1360">
        <f t="shared" si="177"/>
        <v>0</v>
      </c>
      <c r="BL234" s="1601">
        <f t="shared" si="178"/>
        <v>3856.1370609412197</v>
      </c>
      <c r="BM234" s="1601">
        <f t="shared" si="179"/>
        <v>3856.1370609412197</v>
      </c>
      <c r="BN234" s="1601">
        <f t="shared" si="180"/>
        <v>3856.1370609412197</v>
      </c>
      <c r="BO234" s="1601">
        <f t="shared" si="181"/>
        <v>3856.1370609412197</v>
      </c>
      <c r="BP234" s="1602">
        <f t="shared" si="182"/>
        <v>15424.548243764879</v>
      </c>
      <c r="BQ234" s="1605"/>
      <c r="BR234" s="1605" t="s">
        <v>679</v>
      </c>
      <c r="BS234" s="2773">
        <v>1</v>
      </c>
      <c r="BT234" s="1602">
        <v>19.41176471</v>
      </c>
      <c r="BU234" s="1602">
        <v>19.41176471</v>
      </c>
      <c r="BV234" s="1602">
        <v>19.41176471</v>
      </c>
      <c r="BW234" s="1602">
        <v>19.41176471</v>
      </c>
      <c r="BX234" s="1362">
        <f t="shared" si="199"/>
        <v>74854.425316501889</v>
      </c>
      <c r="BY234" s="1362">
        <f t="shared" si="200"/>
        <v>74854.425316501889</v>
      </c>
      <c r="BZ234" s="1362">
        <f t="shared" si="201"/>
        <v>74854.425316501889</v>
      </c>
      <c r="CA234" s="1362">
        <f t="shared" si="202"/>
        <v>74854.425316501889</v>
      </c>
      <c r="CB234" s="1362">
        <f t="shared" si="203"/>
        <v>299417.70126600756</v>
      </c>
      <c r="CC234" s="2775">
        <v>20</v>
      </c>
      <c r="CD234" s="2775">
        <v>20</v>
      </c>
      <c r="CE234" s="2775">
        <v>20</v>
      </c>
      <c r="CF234" s="2775">
        <v>20</v>
      </c>
      <c r="CG234" s="1604">
        <f t="shared" si="183"/>
        <v>77122.741218824391</v>
      </c>
      <c r="CH234" s="1604">
        <f t="shared" si="184"/>
        <v>77122.741218824391</v>
      </c>
      <c r="CI234" s="1604">
        <f t="shared" si="185"/>
        <v>77122.741218824391</v>
      </c>
      <c r="CJ234" s="1604">
        <f t="shared" si="186"/>
        <v>77122.741218824391</v>
      </c>
      <c r="CK234" s="1521">
        <f t="shared" si="187"/>
        <v>308490.96487529756</v>
      </c>
      <c r="CL234" s="1132">
        <v>227</v>
      </c>
      <c r="CM234" s="1132" t="s">
        <v>328</v>
      </c>
      <c r="CN234" s="1359">
        <v>1</v>
      </c>
      <c r="CO234" s="1360">
        <v>83.809405082485071</v>
      </c>
      <c r="CP234" s="1360">
        <v>83.809405082485071</v>
      </c>
      <c r="CQ234" s="1360">
        <v>83.809405082485071</v>
      </c>
      <c r="CR234" s="1360">
        <v>83.809405082485071</v>
      </c>
      <c r="CS234" s="1362">
        <f t="shared" si="188"/>
        <v>3535.8732545311964</v>
      </c>
      <c r="CT234" s="1362">
        <f t="shared" si="189"/>
        <v>3535.8732545311964</v>
      </c>
      <c r="CU234" s="1362">
        <f t="shared" si="190"/>
        <v>3535.8732545311964</v>
      </c>
      <c r="CV234" s="1362">
        <f t="shared" si="191"/>
        <v>3535.8732545311964</v>
      </c>
      <c r="CW234" s="1362">
        <f t="shared" si="192"/>
        <v>14143.493018124786</v>
      </c>
      <c r="CY234" s="2887"/>
      <c r="DN234" s="1715"/>
    </row>
    <row r="235" spans="1:118" s="1143" customFormat="1" ht="15.5" x14ac:dyDescent="0.35">
      <c r="A235" s="1132" t="s">
        <v>109</v>
      </c>
      <c r="B235" s="1132" t="s">
        <v>651</v>
      </c>
      <c r="C235" s="1132" t="s">
        <v>680</v>
      </c>
      <c r="D235" s="1359" t="s">
        <v>105</v>
      </c>
      <c r="E235" s="1359">
        <f>IF(AI235-AR235=0,0,1)</f>
        <v>0</v>
      </c>
      <c r="F235" s="1132" t="s">
        <v>105</v>
      </c>
      <c r="G235" s="1132" t="s">
        <v>356</v>
      </c>
      <c r="H235" s="1360">
        <v>174.12935323383084</v>
      </c>
      <c r="I235" s="1360">
        <v>174.12935323383084</v>
      </c>
      <c r="J235" s="1360">
        <v>174.12935323383084</v>
      </c>
      <c r="K235" s="1360">
        <v>174.12935323383084</v>
      </c>
      <c r="L235" s="1132" t="s">
        <v>105</v>
      </c>
      <c r="M235" s="1132" t="str">
        <f t="shared" si="154"/>
        <v/>
      </c>
      <c r="N235" s="1361">
        <v>0</v>
      </c>
      <c r="O235" s="1361">
        <v>0</v>
      </c>
      <c r="P235" s="1361">
        <v>0</v>
      </c>
      <c r="Q235" s="1361">
        <v>0</v>
      </c>
      <c r="R235" s="1781">
        <v>0.98</v>
      </c>
      <c r="S235" s="1781">
        <v>0.98</v>
      </c>
      <c r="T235" s="1781">
        <v>0.98</v>
      </c>
      <c r="U235" s="1781">
        <v>0.98</v>
      </c>
      <c r="V235" s="1781">
        <v>0.98</v>
      </c>
      <c r="W235" s="1781">
        <v>0.98</v>
      </c>
      <c r="X235" s="1781">
        <v>0.98</v>
      </c>
      <c r="Y235" s="1781">
        <v>0.98</v>
      </c>
      <c r="Z235" s="1359">
        <v>0</v>
      </c>
      <c r="AA235" s="1781">
        <f t="shared" si="155"/>
        <v>0.98</v>
      </c>
      <c r="AB235" s="1781">
        <f t="shared" si="156"/>
        <v>0.98</v>
      </c>
      <c r="AC235" s="1781">
        <f t="shared" si="157"/>
        <v>0.98</v>
      </c>
      <c r="AD235" s="1781">
        <f t="shared" si="158"/>
        <v>0.98</v>
      </c>
      <c r="AE235" s="1781">
        <f t="shared" si="159"/>
        <v>0.98</v>
      </c>
      <c r="AF235" s="1781">
        <f t="shared" si="160"/>
        <v>0.98</v>
      </c>
      <c r="AG235" s="1781">
        <f t="shared" si="161"/>
        <v>0.98</v>
      </c>
      <c r="AH235" s="1781">
        <f t="shared" si="162"/>
        <v>0.98</v>
      </c>
      <c r="AI235" s="1362">
        <f t="shared" si="193"/>
        <v>0</v>
      </c>
      <c r="AJ235" s="1362">
        <f t="shared" si="194"/>
        <v>0</v>
      </c>
      <c r="AK235" s="1362">
        <f t="shared" si="195"/>
        <v>0</v>
      </c>
      <c r="AL235" s="1362">
        <f t="shared" si="196"/>
        <v>0</v>
      </c>
      <c r="AM235" s="1362">
        <f t="shared" si="197"/>
        <v>0</v>
      </c>
      <c r="AN235" s="1132" t="str">
        <f t="shared" si="163"/>
        <v>Custom</v>
      </c>
      <c r="AO235" s="1132" t="str">
        <f t="shared" si="164"/>
        <v/>
      </c>
      <c r="AP235" s="2505">
        <v>0</v>
      </c>
      <c r="AQ235" s="2505"/>
      <c r="AR235" s="2505">
        <f t="shared" si="165"/>
        <v>0</v>
      </c>
      <c r="AS235" s="2505">
        <f t="shared" si="166"/>
        <v>0</v>
      </c>
      <c r="AT235" s="1132" t="str">
        <f t="shared" si="167"/>
        <v>Custom</v>
      </c>
      <c r="AU235" s="1132" t="str">
        <f t="shared" si="168"/>
        <v/>
      </c>
      <c r="AV235" s="2505">
        <v>0</v>
      </c>
      <c r="AW235" s="2505"/>
      <c r="AX235" s="1362">
        <f t="shared" si="169"/>
        <v>0</v>
      </c>
      <c r="AY235" s="1360">
        <f t="shared" si="170"/>
        <v>0</v>
      </c>
      <c r="AZ235" s="1132" t="str">
        <f t="shared" si="171"/>
        <v>Custom</v>
      </c>
      <c r="BA235" s="1132" t="str">
        <f t="shared" si="172"/>
        <v/>
      </c>
      <c r="BB235" s="2505">
        <v>0</v>
      </c>
      <c r="BC235" s="2505"/>
      <c r="BD235" s="1362">
        <f t="shared" si="173"/>
        <v>0</v>
      </c>
      <c r="BE235" s="1360">
        <f t="shared" si="174"/>
        <v>0</v>
      </c>
      <c r="BF235" s="1132" t="str">
        <f t="shared" si="175"/>
        <v>Custom</v>
      </c>
      <c r="BG235" s="1132" t="str">
        <f t="shared" si="176"/>
        <v/>
      </c>
      <c r="BH235" s="2505">
        <v>0</v>
      </c>
      <c r="BI235" s="2505"/>
      <c r="BJ235" s="1362">
        <f t="shared" si="198"/>
        <v>0</v>
      </c>
      <c r="BK235" s="1360">
        <f t="shared" si="177"/>
        <v>0</v>
      </c>
      <c r="BL235" s="1601">
        <f t="shared" si="178"/>
        <v>0</v>
      </c>
      <c r="BM235" s="1601">
        <f t="shared" si="179"/>
        <v>0</v>
      </c>
      <c r="BN235" s="1601">
        <f t="shared" si="180"/>
        <v>0</v>
      </c>
      <c r="BO235" s="1601">
        <f t="shared" si="181"/>
        <v>0</v>
      </c>
      <c r="BP235" s="1602">
        <f t="shared" si="182"/>
        <v>0</v>
      </c>
      <c r="BQ235" s="1605"/>
      <c r="BR235" s="1605"/>
      <c r="BS235" s="1602">
        <v>0</v>
      </c>
      <c r="BT235" s="1602">
        <v>1</v>
      </c>
      <c r="BU235" s="1602">
        <v>1</v>
      </c>
      <c r="BV235" s="1602">
        <v>1</v>
      </c>
      <c r="BW235" s="1602">
        <v>1</v>
      </c>
      <c r="BX235" s="1362">
        <f t="shared" si="199"/>
        <v>0</v>
      </c>
      <c r="BY235" s="1362">
        <f t="shared" si="200"/>
        <v>0</v>
      </c>
      <c r="BZ235" s="1362">
        <f t="shared" si="201"/>
        <v>0</v>
      </c>
      <c r="CA235" s="1362">
        <f t="shared" si="202"/>
        <v>0</v>
      </c>
      <c r="CB235" s="1362">
        <f t="shared" si="203"/>
        <v>0</v>
      </c>
      <c r="CC235" s="1360">
        <v>1</v>
      </c>
      <c r="CD235" s="1360">
        <v>1</v>
      </c>
      <c r="CE235" s="1360">
        <v>1</v>
      </c>
      <c r="CF235" s="1360">
        <v>1</v>
      </c>
      <c r="CG235" s="1604">
        <f t="shared" si="183"/>
        <v>0</v>
      </c>
      <c r="CH235" s="1604">
        <f t="shared" si="184"/>
        <v>0</v>
      </c>
      <c r="CI235" s="1604">
        <f t="shared" si="185"/>
        <v>0</v>
      </c>
      <c r="CJ235" s="1604">
        <f t="shared" si="186"/>
        <v>0</v>
      </c>
      <c r="CK235" s="1521">
        <f t="shared" si="187"/>
        <v>0</v>
      </c>
      <c r="CL235" s="1132">
        <v>228</v>
      </c>
      <c r="CM235" s="1132" t="s">
        <v>356</v>
      </c>
      <c r="CN235" s="1359">
        <v>1</v>
      </c>
      <c r="CO235" s="1360">
        <v>159.6673855721393</v>
      </c>
      <c r="CP235" s="1360">
        <v>159.6673855721393</v>
      </c>
      <c r="CQ235" s="1360">
        <v>159.6673855721393</v>
      </c>
      <c r="CR235" s="1360">
        <v>159.6673855721393</v>
      </c>
      <c r="CS235" s="1362">
        <f t="shared" si="188"/>
        <v>0</v>
      </c>
      <c r="CT235" s="1362">
        <f t="shared" si="189"/>
        <v>0</v>
      </c>
      <c r="CU235" s="1362">
        <f t="shared" si="190"/>
        <v>0</v>
      </c>
      <c r="CV235" s="1362">
        <f t="shared" si="191"/>
        <v>0</v>
      </c>
      <c r="CW235" s="1362">
        <f t="shared" si="192"/>
        <v>0</v>
      </c>
      <c r="CY235" s="2887"/>
      <c r="DN235" s="1715"/>
    </row>
    <row r="236" spans="1:118" s="1143" customFormat="1" ht="15" customHeight="1" x14ac:dyDescent="0.35">
      <c r="A236" s="1132" t="s">
        <v>109</v>
      </c>
      <c r="B236" s="1132" t="s">
        <v>651</v>
      </c>
      <c r="C236" s="1132" t="s">
        <v>681</v>
      </c>
      <c r="D236" s="1359" t="s">
        <v>682</v>
      </c>
      <c r="E236" s="1359">
        <v>1</v>
      </c>
      <c r="F236" s="2564" t="s">
        <v>683</v>
      </c>
      <c r="G236" s="1132" t="s">
        <v>356</v>
      </c>
      <c r="H236" s="1360">
        <v>105</v>
      </c>
      <c r="I236" s="1360">
        <v>105</v>
      </c>
      <c r="J236" s="1360">
        <v>105</v>
      </c>
      <c r="K236" s="1360">
        <v>105</v>
      </c>
      <c r="L236" s="1132" t="s">
        <v>684</v>
      </c>
      <c r="M236" s="1132" t="str">
        <f t="shared" si="154"/>
        <v>Nicor Gas PY11-PY14 Adjustable Goals Template_2025-03-01, Tab 5.6.7</v>
      </c>
      <c r="N236" s="1361">
        <v>9.1319999999999979</v>
      </c>
      <c r="O236" s="1361">
        <v>9.1319999999999979</v>
      </c>
      <c r="P236" s="1361">
        <v>9.1319999999999979</v>
      </c>
      <c r="Q236" s="1361">
        <v>9.1319999999999979</v>
      </c>
      <c r="R236" s="1781">
        <v>0.8</v>
      </c>
      <c r="S236" s="1781">
        <v>0.8</v>
      </c>
      <c r="T236" s="1781">
        <v>0.8</v>
      </c>
      <c r="U236" s="1781">
        <v>0.8</v>
      </c>
      <c r="V236" s="1781">
        <v>0.8</v>
      </c>
      <c r="W236" s="1781">
        <v>0.8</v>
      </c>
      <c r="X236" s="1781">
        <v>0.8</v>
      </c>
      <c r="Y236" s="1781">
        <v>0.8</v>
      </c>
      <c r="Z236" s="1359">
        <v>0</v>
      </c>
      <c r="AA236" s="1781">
        <f t="shared" si="155"/>
        <v>0.8</v>
      </c>
      <c r="AB236" s="1781">
        <f t="shared" si="156"/>
        <v>0.8</v>
      </c>
      <c r="AC236" s="1781">
        <f t="shared" si="157"/>
        <v>0.8</v>
      </c>
      <c r="AD236" s="1781">
        <f t="shared" si="158"/>
        <v>0.8</v>
      </c>
      <c r="AE236" s="1781">
        <f t="shared" si="159"/>
        <v>0.8</v>
      </c>
      <c r="AF236" s="1781">
        <f t="shared" si="160"/>
        <v>0.8</v>
      </c>
      <c r="AG236" s="1781">
        <f t="shared" si="161"/>
        <v>0.8</v>
      </c>
      <c r="AH236" s="1781">
        <f t="shared" si="162"/>
        <v>0.8</v>
      </c>
      <c r="AI236" s="1362">
        <f t="shared" si="193"/>
        <v>767.08799999999985</v>
      </c>
      <c r="AJ236" s="1362">
        <f t="shared" si="194"/>
        <v>767.08799999999985</v>
      </c>
      <c r="AK236" s="1362">
        <f t="shared" si="195"/>
        <v>767.08799999999985</v>
      </c>
      <c r="AL236" s="1362">
        <f t="shared" si="196"/>
        <v>767.08799999999985</v>
      </c>
      <c r="AM236" s="1362">
        <f t="shared" si="197"/>
        <v>3068.3519999999994</v>
      </c>
      <c r="AN236" s="1132" t="str">
        <f t="shared" si="163"/>
        <v>RS-SHL-LESW-V01-210101</v>
      </c>
      <c r="AO236" s="1132" t="str">
        <f t="shared" si="164"/>
        <v>Nicor Gas PY11-PY14 Adjustable Goals Template_2025-03-01, Tab 5.6.7</v>
      </c>
      <c r="AP236" s="2505">
        <f>'5.6.7'!$R$4</f>
        <v>9.1319999999999979</v>
      </c>
      <c r="AQ236" s="2505"/>
      <c r="AR236" s="2505">
        <f t="shared" si="165"/>
        <v>767.08799999999985</v>
      </c>
      <c r="AS236" s="2505">
        <f t="shared" si="166"/>
        <v>0</v>
      </c>
      <c r="AT236" s="1132" t="str">
        <f t="shared" si="167"/>
        <v>RS-SHL-LESW-V01-210101</v>
      </c>
      <c r="AU236" s="1132" t="str">
        <f t="shared" si="168"/>
        <v>Nicor Gas PY11-PY14 Adjustable Goals Template_2025-03-01, Tab 5.6.7</v>
      </c>
      <c r="AV236" s="2505">
        <f>'5.6.7'!$R$4</f>
        <v>9.1319999999999979</v>
      </c>
      <c r="AW236" s="2505"/>
      <c r="AX236" s="1362">
        <f t="shared" si="169"/>
        <v>767.08799999999985</v>
      </c>
      <c r="AY236" s="1360">
        <f t="shared" si="170"/>
        <v>0</v>
      </c>
      <c r="AZ236" s="1132" t="str">
        <f t="shared" si="171"/>
        <v>RS-SHL-LESW-V01-210101</v>
      </c>
      <c r="BA236" s="1132" t="str">
        <f t="shared" si="172"/>
        <v>Nicor Gas PY11-PY14 Adjustable Goals Template_2025-03-01, Tab 5.6.7</v>
      </c>
      <c r="BB236" s="2505">
        <f>'5.6.7'!$R$4</f>
        <v>9.1319999999999979</v>
      </c>
      <c r="BC236" s="2505"/>
      <c r="BD236" s="1362">
        <f t="shared" si="173"/>
        <v>767.08799999999985</v>
      </c>
      <c r="BE236" s="1360">
        <f t="shared" si="174"/>
        <v>0</v>
      </c>
      <c r="BF236" s="1132" t="str">
        <f t="shared" si="175"/>
        <v>RS-SHL-LESW-V01-210101</v>
      </c>
      <c r="BG236" s="1132" t="str">
        <f t="shared" si="176"/>
        <v>Nicor Gas PY11-PY14 Adjustable Goals Template_2025-03-01, Tab 5.6.7</v>
      </c>
      <c r="BH236" s="2505">
        <f>'5.6.7'!$R$4</f>
        <v>9.1319999999999979</v>
      </c>
      <c r="BI236" s="2505"/>
      <c r="BJ236" s="1362">
        <f t="shared" si="198"/>
        <v>767.08799999999985</v>
      </c>
      <c r="BK236" s="1360">
        <f t="shared" si="177"/>
        <v>0</v>
      </c>
      <c r="BL236" s="1601">
        <f t="shared" si="178"/>
        <v>767.08799999999985</v>
      </c>
      <c r="BM236" s="1601">
        <f t="shared" si="179"/>
        <v>767.08799999999985</v>
      </c>
      <c r="BN236" s="1601">
        <f t="shared" si="180"/>
        <v>767.08799999999985</v>
      </c>
      <c r="BO236" s="1601">
        <f t="shared" si="181"/>
        <v>767.08799999999985</v>
      </c>
      <c r="BP236" s="1602">
        <f t="shared" si="182"/>
        <v>3068.3519999999994</v>
      </c>
      <c r="BQ236" s="1605"/>
      <c r="BR236" s="1605" t="s">
        <v>683</v>
      </c>
      <c r="BS236" s="1602">
        <v>0</v>
      </c>
      <c r="BT236" s="1602">
        <v>20</v>
      </c>
      <c r="BU236" s="1602">
        <v>20</v>
      </c>
      <c r="BV236" s="1602">
        <v>20</v>
      </c>
      <c r="BW236" s="1602">
        <v>20</v>
      </c>
      <c r="BX236" s="1362">
        <f t="shared" si="199"/>
        <v>15341.759999999997</v>
      </c>
      <c r="BY236" s="1362">
        <f t="shared" si="200"/>
        <v>15341.759999999997</v>
      </c>
      <c r="BZ236" s="1362">
        <f t="shared" si="201"/>
        <v>15341.759999999997</v>
      </c>
      <c r="CA236" s="1362">
        <f t="shared" si="202"/>
        <v>15341.759999999997</v>
      </c>
      <c r="CB236" s="1362">
        <f t="shared" si="203"/>
        <v>61367.039999999986</v>
      </c>
      <c r="CC236" s="1360">
        <v>20</v>
      </c>
      <c r="CD236" s="1360">
        <v>20</v>
      </c>
      <c r="CE236" s="1360">
        <v>20</v>
      </c>
      <c r="CF236" s="1360">
        <v>20</v>
      </c>
      <c r="CG236" s="1604">
        <f t="shared" si="183"/>
        <v>15341.759999999997</v>
      </c>
      <c r="CH236" s="1604">
        <f t="shared" si="184"/>
        <v>15341.759999999997</v>
      </c>
      <c r="CI236" s="1604">
        <f t="shared" si="185"/>
        <v>15341.759999999997</v>
      </c>
      <c r="CJ236" s="1604">
        <f t="shared" si="186"/>
        <v>15341.759999999997</v>
      </c>
      <c r="CK236" s="1521">
        <f t="shared" si="187"/>
        <v>61367.039999999986</v>
      </c>
      <c r="CL236" s="1132">
        <v>229</v>
      </c>
      <c r="CM236" s="1132" t="s">
        <v>356</v>
      </c>
      <c r="CN236" s="1359">
        <v>1</v>
      </c>
      <c r="CO236" s="1360">
        <v>105</v>
      </c>
      <c r="CP236" s="1360">
        <v>105</v>
      </c>
      <c r="CQ236" s="1360">
        <v>105</v>
      </c>
      <c r="CR236" s="1360">
        <v>105</v>
      </c>
      <c r="CS236" s="1362">
        <f t="shared" si="188"/>
        <v>767.08799999999985</v>
      </c>
      <c r="CT236" s="1362">
        <f t="shared" si="189"/>
        <v>767.08799999999985</v>
      </c>
      <c r="CU236" s="1362">
        <f t="shared" si="190"/>
        <v>767.08799999999985</v>
      </c>
      <c r="CV236" s="1362">
        <f t="shared" si="191"/>
        <v>767.08799999999985</v>
      </c>
      <c r="CW236" s="1362">
        <f t="shared" si="192"/>
        <v>3068.3519999999994</v>
      </c>
      <c r="CY236" s="2887"/>
    </row>
    <row r="237" spans="1:118" s="1143" customFormat="1" ht="45.75" customHeight="1" x14ac:dyDescent="0.35">
      <c r="A237" s="1132" t="s">
        <v>109</v>
      </c>
      <c r="B237" s="1132" t="s">
        <v>651</v>
      </c>
      <c r="C237" s="1132" t="s">
        <v>685</v>
      </c>
      <c r="D237" s="1359" t="s">
        <v>105</v>
      </c>
      <c r="E237" s="1359">
        <f>IF(AI237-AR237=0,0,1)</f>
        <v>0</v>
      </c>
      <c r="F237" s="1132" t="s">
        <v>105</v>
      </c>
      <c r="G237" s="1132" t="s">
        <v>356</v>
      </c>
      <c r="H237" s="1360">
        <v>200</v>
      </c>
      <c r="I237" s="1360">
        <v>200</v>
      </c>
      <c r="J237" s="1360">
        <v>200</v>
      </c>
      <c r="K237" s="1360">
        <v>200</v>
      </c>
      <c r="L237" s="1132" t="s">
        <v>105</v>
      </c>
      <c r="M237" s="1132" t="str">
        <f t="shared" si="154"/>
        <v/>
      </c>
      <c r="N237" s="1361">
        <v>1.7712549049185877</v>
      </c>
      <c r="O237" s="1361">
        <v>1.7712549049185877</v>
      </c>
      <c r="P237" s="1361">
        <v>1.7712549049185877</v>
      </c>
      <c r="Q237" s="1361">
        <v>1.7712549049185877</v>
      </c>
      <c r="R237" s="1781">
        <v>0.8</v>
      </c>
      <c r="S237" s="1781">
        <v>0.8</v>
      </c>
      <c r="T237" s="1781">
        <v>0.8</v>
      </c>
      <c r="U237" s="1781">
        <v>0.8</v>
      </c>
      <c r="V237" s="1781">
        <v>0.8</v>
      </c>
      <c r="W237" s="1781">
        <v>0.8</v>
      </c>
      <c r="X237" s="1781">
        <v>0.8</v>
      </c>
      <c r="Y237" s="1781">
        <v>0.8</v>
      </c>
      <c r="Z237" s="1359">
        <v>0</v>
      </c>
      <c r="AA237" s="1781">
        <f t="shared" si="155"/>
        <v>0.8</v>
      </c>
      <c r="AB237" s="1781">
        <f t="shared" si="156"/>
        <v>0.8</v>
      </c>
      <c r="AC237" s="1781">
        <f t="shared" si="157"/>
        <v>0.8</v>
      </c>
      <c r="AD237" s="1781">
        <f t="shared" si="158"/>
        <v>0.8</v>
      </c>
      <c r="AE237" s="1781">
        <f t="shared" si="159"/>
        <v>0.8</v>
      </c>
      <c r="AF237" s="1781">
        <f t="shared" si="160"/>
        <v>0.8</v>
      </c>
      <c r="AG237" s="1781">
        <f t="shared" si="161"/>
        <v>0.8</v>
      </c>
      <c r="AH237" s="1781">
        <f t="shared" si="162"/>
        <v>0.8</v>
      </c>
      <c r="AI237" s="1362">
        <f t="shared" si="193"/>
        <v>283.40078478697404</v>
      </c>
      <c r="AJ237" s="1362">
        <f t="shared" si="194"/>
        <v>283.40078478697404</v>
      </c>
      <c r="AK237" s="1362">
        <f t="shared" si="195"/>
        <v>283.40078478697404</v>
      </c>
      <c r="AL237" s="1362">
        <f t="shared" si="196"/>
        <v>283.40078478697404</v>
      </c>
      <c r="AM237" s="1362">
        <f t="shared" si="197"/>
        <v>1133.6031391478962</v>
      </c>
      <c r="AN237" s="1132" t="str">
        <f t="shared" si="163"/>
        <v>Custom</v>
      </c>
      <c r="AO237" s="1132" t="str">
        <f t="shared" si="164"/>
        <v/>
      </c>
      <c r="AP237" s="2505">
        <v>1.7712549049185877</v>
      </c>
      <c r="AQ237" s="2505"/>
      <c r="AR237" s="2505">
        <f t="shared" si="165"/>
        <v>283.40078478697404</v>
      </c>
      <c r="AS237" s="2505">
        <f t="shared" si="166"/>
        <v>0</v>
      </c>
      <c r="AT237" s="1132" t="str">
        <f t="shared" si="167"/>
        <v>Custom</v>
      </c>
      <c r="AU237" s="1132" t="str">
        <f t="shared" si="168"/>
        <v/>
      </c>
      <c r="AV237" s="2505">
        <v>1.7712549049185877</v>
      </c>
      <c r="AW237" s="2505"/>
      <c r="AX237" s="1362">
        <f t="shared" si="169"/>
        <v>283.40078478697404</v>
      </c>
      <c r="AY237" s="1360">
        <f t="shared" si="170"/>
        <v>0</v>
      </c>
      <c r="AZ237" s="1132" t="str">
        <f t="shared" si="171"/>
        <v>Custom</v>
      </c>
      <c r="BA237" s="1132" t="str">
        <f t="shared" si="172"/>
        <v/>
      </c>
      <c r="BB237" s="2505">
        <v>1.7712549049185877</v>
      </c>
      <c r="BC237" s="2505"/>
      <c r="BD237" s="1362">
        <f t="shared" si="173"/>
        <v>283.40078478697404</v>
      </c>
      <c r="BE237" s="1360">
        <f t="shared" si="174"/>
        <v>0</v>
      </c>
      <c r="BF237" s="1132" t="str">
        <f t="shared" si="175"/>
        <v>Custom</v>
      </c>
      <c r="BG237" s="1132" t="str">
        <f t="shared" si="176"/>
        <v/>
      </c>
      <c r="BH237" s="2505">
        <v>1.7712549049185877</v>
      </c>
      <c r="BI237" s="2505"/>
      <c r="BJ237" s="1362">
        <f t="shared" si="198"/>
        <v>283.40078478697404</v>
      </c>
      <c r="BK237" s="1360">
        <f t="shared" si="177"/>
        <v>0</v>
      </c>
      <c r="BL237" s="1601">
        <f t="shared" si="178"/>
        <v>283.40078478697404</v>
      </c>
      <c r="BM237" s="1601">
        <f t="shared" si="179"/>
        <v>283.40078478697404</v>
      </c>
      <c r="BN237" s="1601">
        <f t="shared" si="180"/>
        <v>283.40078478697404</v>
      </c>
      <c r="BO237" s="1601">
        <f t="shared" si="181"/>
        <v>283.40078478697404</v>
      </c>
      <c r="BP237" s="1602">
        <f t="shared" si="182"/>
        <v>1133.6031391478962</v>
      </c>
      <c r="BQ237" s="1605"/>
      <c r="BR237" s="1605"/>
      <c r="BS237" s="1602">
        <v>0</v>
      </c>
      <c r="BT237" s="1602">
        <v>30</v>
      </c>
      <c r="BU237" s="1602">
        <v>30</v>
      </c>
      <c r="BV237" s="1602">
        <v>30</v>
      </c>
      <c r="BW237" s="1602">
        <v>30</v>
      </c>
      <c r="BX237" s="1362">
        <f t="shared" si="199"/>
        <v>8502.0235436092207</v>
      </c>
      <c r="BY237" s="1362">
        <f t="shared" si="200"/>
        <v>8502.0235436092207</v>
      </c>
      <c r="BZ237" s="1362">
        <f t="shared" si="201"/>
        <v>8502.0235436092207</v>
      </c>
      <c r="CA237" s="1362">
        <f t="shared" si="202"/>
        <v>8502.0235436092207</v>
      </c>
      <c r="CB237" s="1362">
        <f t="shared" si="203"/>
        <v>34008.094174436883</v>
      </c>
      <c r="CC237" s="1360">
        <v>30</v>
      </c>
      <c r="CD237" s="1360">
        <v>30</v>
      </c>
      <c r="CE237" s="1360">
        <v>30</v>
      </c>
      <c r="CF237" s="1360">
        <v>30</v>
      </c>
      <c r="CG237" s="1604">
        <f t="shared" si="183"/>
        <v>8502.0235436092207</v>
      </c>
      <c r="CH237" s="1604">
        <f t="shared" si="184"/>
        <v>8502.0235436092207</v>
      </c>
      <c r="CI237" s="1604">
        <f t="shared" si="185"/>
        <v>8502.0235436092207</v>
      </c>
      <c r="CJ237" s="1604">
        <f t="shared" si="186"/>
        <v>8502.0235436092207</v>
      </c>
      <c r="CK237" s="1521">
        <f t="shared" si="187"/>
        <v>34008.094174436883</v>
      </c>
      <c r="CL237" s="1132">
        <v>230</v>
      </c>
      <c r="CM237" s="1132" t="s">
        <v>356</v>
      </c>
      <c r="CN237" s="1359">
        <v>1</v>
      </c>
      <c r="CO237" s="1360">
        <v>200</v>
      </c>
      <c r="CP237" s="1360">
        <v>200</v>
      </c>
      <c r="CQ237" s="1360">
        <v>200</v>
      </c>
      <c r="CR237" s="1360">
        <v>200</v>
      </c>
      <c r="CS237" s="1362">
        <f t="shared" si="188"/>
        <v>283.40078478697404</v>
      </c>
      <c r="CT237" s="1362">
        <f t="shared" si="189"/>
        <v>283.40078478697404</v>
      </c>
      <c r="CU237" s="1362">
        <f t="shared" si="190"/>
        <v>283.40078478697404</v>
      </c>
      <c r="CV237" s="1362">
        <f t="shared" si="191"/>
        <v>283.40078478697404</v>
      </c>
      <c r="CW237" s="1362">
        <f t="shared" si="192"/>
        <v>1133.6031391478962</v>
      </c>
      <c r="CY237" s="2887"/>
    </row>
    <row r="238" spans="1:118" s="1143" customFormat="1" ht="45.75" customHeight="1" x14ac:dyDescent="0.35">
      <c r="A238" s="1132" t="s">
        <v>109</v>
      </c>
      <c r="B238" s="1132" t="s">
        <v>686</v>
      </c>
      <c r="C238" s="1132" t="s">
        <v>652</v>
      </c>
      <c r="D238" s="1359" t="s">
        <v>105</v>
      </c>
      <c r="E238" s="1359">
        <f>IF(AI238-AR238=0,0,1)</f>
        <v>0</v>
      </c>
      <c r="F238" s="1132" t="s">
        <v>105</v>
      </c>
      <c r="G238" s="1132" t="s">
        <v>356</v>
      </c>
      <c r="H238" s="1360">
        <v>3620.4</v>
      </c>
      <c r="I238" s="1360">
        <v>3620.4</v>
      </c>
      <c r="J238" s="1360">
        <v>3620.4</v>
      </c>
      <c r="K238" s="1360">
        <v>3620.4</v>
      </c>
      <c r="L238" s="1132" t="s">
        <v>105</v>
      </c>
      <c r="M238" s="1132" t="str">
        <f t="shared" si="154"/>
        <v/>
      </c>
      <c r="N238" s="1361">
        <v>0</v>
      </c>
      <c r="O238" s="1361">
        <v>0</v>
      </c>
      <c r="P238" s="1361">
        <v>0</v>
      </c>
      <c r="Q238" s="1361">
        <v>0</v>
      </c>
      <c r="R238" s="1781">
        <v>0.98</v>
      </c>
      <c r="S238" s="1781">
        <v>0.98</v>
      </c>
      <c r="T238" s="1781">
        <v>0.98</v>
      </c>
      <c r="U238" s="1781">
        <v>0.98</v>
      </c>
      <c r="V238" s="1781">
        <v>0.98</v>
      </c>
      <c r="W238" s="1781">
        <v>0.98</v>
      </c>
      <c r="X238" s="1781">
        <v>0.98</v>
      </c>
      <c r="Y238" s="1781">
        <v>0.98</v>
      </c>
      <c r="Z238" s="1359">
        <v>0</v>
      </c>
      <c r="AA238" s="1781">
        <f t="shared" si="155"/>
        <v>0.98</v>
      </c>
      <c r="AB238" s="1781">
        <f t="shared" si="156"/>
        <v>0.98</v>
      </c>
      <c r="AC238" s="1781">
        <f t="shared" si="157"/>
        <v>0.98</v>
      </c>
      <c r="AD238" s="1781">
        <f t="shared" si="158"/>
        <v>0.98</v>
      </c>
      <c r="AE238" s="1781">
        <f t="shared" si="159"/>
        <v>0.98</v>
      </c>
      <c r="AF238" s="1781">
        <f t="shared" si="160"/>
        <v>0.98</v>
      </c>
      <c r="AG238" s="1781">
        <f t="shared" si="161"/>
        <v>0.98</v>
      </c>
      <c r="AH238" s="1781">
        <f t="shared" si="162"/>
        <v>0.98</v>
      </c>
      <c r="AI238" s="1362">
        <f t="shared" si="193"/>
        <v>0</v>
      </c>
      <c r="AJ238" s="1362">
        <f t="shared" si="194"/>
        <v>0</v>
      </c>
      <c r="AK238" s="1362">
        <f t="shared" si="195"/>
        <v>0</v>
      </c>
      <c r="AL238" s="1362">
        <f t="shared" si="196"/>
        <v>0</v>
      </c>
      <c r="AM238" s="1362">
        <f t="shared" si="197"/>
        <v>0</v>
      </c>
      <c r="AN238" s="1132" t="str">
        <f t="shared" si="163"/>
        <v>Custom</v>
      </c>
      <c r="AO238" s="1132" t="str">
        <f t="shared" si="164"/>
        <v/>
      </c>
      <c r="AP238" s="2505">
        <v>0</v>
      </c>
      <c r="AQ238" s="2505"/>
      <c r="AR238" s="2505">
        <f t="shared" si="165"/>
        <v>0</v>
      </c>
      <c r="AS238" s="2505">
        <f t="shared" si="166"/>
        <v>0</v>
      </c>
      <c r="AT238" s="1132" t="str">
        <f t="shared" si="167"/>
        <v>Custom</v>
      </c>
      <c r="AU238" s="1132" t="str">
        <f t="shared" si="168"/>
        <v/>
      </c>
      <c r="AV238" s="2505">
        <v>0</v>
      </c>
      <c r="AW238" s="2505"/>
      <c r="AX238" s="1362">
        <f t="shared" si="169"/>
        <v>0</v>
      </c>
      <c r="AY238" s="1360">
        <f t="shared" si="170"/>
        <v>0</v>
      </c>
      <c r="AZ238" s="1132" t="str">
        <f t="shared" si="171"/>
        <v>Custom</v>
      </c>
      <c r="BA238" s="1132" t="str">
        <f t="shared" si="172"/>
        <v/>
      </c>
      <c r="BB238" s="2505">
        <v>0</v>
      </c>
      <c r="BC238" s="2505"/>
      <c r="BD238" s="1362">
        <f t="shared" si="173"/>
        <v>0</v>
      </c>
      <c r="BE238" s="1360">
        <f t="shared" si="174"/>
        <v>0</v>
      </c>
      <c r="BF238" s="1132" t="str">
        <f t="shared" si="175"/>
        <v>Custom</v>
      </c>
      <c r="BG238" s="1132" t="str">
        <f t="shared" si="176"/>
        <v/>
      </c>
      <c r="BH238" s="2505">
        <v>0</v>
      </c>
      <c r="BI238" s="2505"/>
      <c r="BJ238" s="1362">
        <f t="shared" si="198"/>
        <v>0</v>
      </c>
      <c r="BK238" s="1360">
        <f t="shared" si="177"/>
        <v>0</v>
      </c>
      <c r="BL238" s="1601">
        <f t="shared" si="178"/>
        <v>0</v>
      </c>
      <c r="BM238" s="1601">
        <f t="shared" si="179"/>
        <v>0</v>
      </c>
      <c r="BN238" s="1601">
        <f t="shared" si="180"/>
        <v>0</v>
      </c>
      <c r="BO238" s="1601">
        <f t="shared" si="181"/>
        <v>0</v>
      </c>
      <c r="BP238" s="1602">
        <f t="shared" si="182"/>
        <v>0</v>
      </c>
      <c r="BQ238" s="1605"/>
      <c r="BR238" s="1605"/>
      <c r="BS238" s="1602">
        <v>0</v>
      </c>
      <c r="BT238" s="1602">
        <v>1</v>
      </c>
      <c r="BU238" s="1602">
        <v>1</v>
      </c>
      <c r="BV238" s="1602">
        <v>1</v>
      </c>
      <c r="BW238" s="1602">
        <v>1</v>
      </c>
      <c r="BX238" s="1362">
        <f t="shared" si="199"/>
        <v>0</v>
      </c>
      <c r="BY238" s="1362">
        <f t="shared" si="200"/>
        <v>0</v>
      </c>
      <c r="BZ238" s="1362">
        <f t="shared" si="201"/>
        <v>0</v>
      </c>
      <c r="CA238" s="1362">
        <f t="shared" si="202"/>
        <v>0</v>
      </c>
      <c r="CB238" s="1362">
        <f t="shared" si="203"/>
        <v>0</v>
      </c>
      <c r="CC238" s="1360">
        <v>1</v>
      </c>
      <c r="CD238" s="1360">
        <v>1</v>
      </c>
      <c r="CE238" s="1360">
        <v>1</v>
      </c>
      <c r="CF238" s="1360">
        <v>1</v>
      </c>
      <c r="CG238" s="1604">
        <f t="shared" si="183"/>
        <v>0</v>
      </c>
      <c r="CH238" s="1604">
        <f t="shared" si="184"/>
        <v>0</v>
      </c>
      <c r="CI238" s="1604">
        <f t="shared" si="185"/>
        <v>0</v>
      </c>
      <c r="CJ238" s="1604">
        <f t="shared" si="186"/>
        <v>0</v>
      </c>
      <c r="CK238" s="1521">
        <f t="shared" si="187"/>
        <v>0</v>
      </c>
      <c r="CL238" s="1132">
        <v>231</v>
      </c>
      <c r="CM238" s="1132" t="s">
        <v>356</v>
      </c>
      <c r="CN238" s="1359">
        <v>1</v>
      </c>
      <c r="CO238" s="1360">
        <v>2031.4400991116449</v>
      </c>
      <c r="CP238" s="1360">
        <v>2031.4400991116449</v>
      </c>
      <c r="CQ238" s="1360">
        <v>2031.4400991116449</v>
      </c>
      <c r="CR238" s="1360">
        <v>2031.4400991116449</v>
      </c>
      <c r="CS238" s="1362">
        <f t="shared" si="188"/>
        <v>0</v>
      </c>
      <c r="CT238" s="1362">
        <f t="shared" si="189"/>
        <v>0</v>
      </c>
      <c r="CU238" s="1362">
        <f t="shared" si="190"/>
        <v>0</v>
      </c>
      <c r="CV238" s="1362">
        <f t="shared" si="191"/>
        <v>0</v>
      </c>
      <c r="CW238" s="1362">
        <f t="shared" si="192"/>
        <v>0</v>
      </c>
      <c r="CY238" s="2887"/>
    </row>
    <row r="239" spans="1:118" s="1143" customFormat="1" ht="15.5" x14ac:dyDescent="0.35">
      <c r="A239" s="1132" t="s">
        <v>109</v>
      </c>
      <c r="B239" s="1132" t="s">
        <v>686</v>
      </c>
      <c r="C239" s="1132" t="s">
        <v>687</v>
      </c>
      <c r="D239" s="1359" t="s">
        <v>105</v>
      </c>
      <c r="E239" s="1359">
        <f>IF(AI239-AR239=0,0,1)</f>
        <v>0</v>
      </c>
      <c r="F239" s="1132" t="s">
        <v>105</v>
      </c>
      <c r="G239" s="1132" t="s">
        <v>328</v>
      </c>
      <c r="H239" s="1360">
        <v>3077.34</v>
      </c>
      <c r="I239" s="1360">
        <v>3077.34</v>
      </c>
      <c r="J239" s="1360">
        <v>3077.34</v>
      </c>
      <c r="K239" s="1360">
        <v>3077.34</v>
      </c>
      <c r="L239" s="1132" t="s">
        <v>105</v>
      </c>
      <c r="M239" s="1132" t="str">
        <f t="shared" si="154"/>
        <v/>
      </c>
      <c r="N239" s="1361">
        <v>0</v>
      </c>
      <c r="O239" s="1361">
        <v>0</v>
      </c>
      <c r="P239" s="1361">
        <v>0</v>
      </c>
      <c r="Q239" s="1361">
        <v>0</v>
      </c>
      <c r="R239" s="1781">
        <v>0.98</v>
      </c>
      <c r="S239" s="1781">
        <v>0.98</v>
      </c>
      <c r="T239" s="1781">
        <v>0.98</v>
      </c>
      <c r="U239" s="1781">
        <v>0.98</v>
      </c>
      <c r="V239" s="1781">
        <v>0.98</v>
      </c>
      <c r="W239" s="1781">
        <v>0.98</v>
      </c>
      <c r="X239" s="1781">
        <v>0.98</v>
      </c>
      <c r="Y239" s="1781">
        <v>0.98</v>
      </c>
      <c r="Z239" s="1359">
        <v>0</v>
      </c>
      <c r="AA239" s="1781">
        <f t="shared" si="155"/>
        <v>0.98</v>
      </c>
      <c r="AB239" s="1781">
        <f t="shared" si="156"/>
        <v>0.98</v>
      </c>
      <c r="AC239" s="1781">
        <f t="shared" si="157"/>
        <v>0.98</v>
      </c>
      <c r="AD239" s="1781">
        <f t="shared" si="158"/>
        <v>0.98</v>
      </c>
      <c r="AE239" s="1781">
        <f t="shared" si="159"/>
        <v>0.98</v>
      </c>
      <c r="AF239" s="1781">
        <f t="shared" si="160"/>
        <v>0.98</v>
      </c>
      <c r="AG239" s="1781">
        <f t="shared" si="161"/>
        <v>0.98</v>
      </c>
      <c r="AH239" s="1781">
        <f t="shared" si="162"/>
        <v>0.98</v>
      </c>
      <c r="AI239" s="1362">
        <f t="shared" si="193"/>
        <v>0</v>
      </c>
      <c r="AJ239" s="1362">
        <f t="shared" si="194"/>
        <v>0</v>
      </c>
      <c r="AK239" s="1362">
        <f t="shared" si="195"/>
        <v>0</v>
      </c>
      <c r="AL239" s="1362">
        <f t="shared" si="196"/>
        <v>0</v>
      </c>
      <c r="AM239" s="1362">
        <f t="shared" si="197"/>
        <v>0</v>
      </c>
      <c r="AN239" s="1132" t="str">
        <f t="shared" si="163"/>
        <v>Custom</v>
      </c>
      <c r="AO239" s="1132" t="str">
        <f t="shared" si="164"/>
        <v/>
      </c>
      <c r="AP239" s="2505">
        <v>0</v>
      </c>
      <c r="AQ239" s="2505"/>
      <c r="AR239" s="2505">
        <f t="shared" si="165"/>
        <v>0</v>
      </c>
      <c r="AS239" s="2505">
        <f t="shared" si="166"/>
        <v>0</v>
      </c>
      <c r="AT239" s="1132" t="str">
        <f t="shared" si="167"/>
        <v>Custom</v>
      </c>
      <c r="AU239" s="1132" t="str">
        <f t="shared" si="168"/>
        <v/>
      </c>
      <c r="AV239" s="2505">
        <v>0</v>
      </c>
      <c r="AW239" s="2505"/>
      <c r="AX239" s="1362">
        <f t="shared" si="169"/>
        <v>0</v>
      </c>
      <c r="AY239" s="1360">
        <f t="shared" si="170"/>
        <v>0</v>
      </c>
      <c r="AZ239" s="1132" t="str">
        <f t="shared" si="171"/>
        <v>Custom</v>
      </c>
      <c r="BA239" s="1132" t="str">
        <f t="shared" si="172"/>
        <v/>
      </c>
      <c r="BB239" s="2505">
        <v>0</v>
      </c>
      <c r="BC239" s="2505"/>
      <c r="BD239" s="1362">
        <f t="shared" si="173"/>
        <v>0</v>
      </c>
      <c r="BE239" s="1360">
        <f t="shared" si="174"/>
        <v>0</v>
      </c>
      <c r="BF239" s="1132" t="str">
        <f t="shared" si="175"/>
        <v>Custom</v>
      </c>
      <c r="BG239" s="1132" t="str">
        <f t="shared" si="176"/>
        <v/>
      </c>
      <c r="BH239" s="2505">
        <v>0</v>
      </c>
      <c r="BI239" s="2505"/>
      <c r="BJ239" s="1362">
        <f t="shared" si="198"/>
        <v>0</v>
      </c>
      <c r="BK239" s="1360">
        <f t="shared" si="177"/>
        <v>0</v>
      </c>
      <c r="BL239" s="1601">
        <f t="shared" si="178"/>
        <v>0</v>
      </c>
      <c r="BM239" s="1601">
        <f t="shared" si="179"/>
        <v>0</v>
      </c>
      <c r="BN239" s="1601">
        <f t="shared" si="180"/>
        <v>0</v>
      </c>
      <c r="BO239" s="1601">
        <f t="shared" si="181"/>
        <v>0</v>
      </c>
      <c r="BP239" s="1602">
        <f t="shared" si="182"/>
        <v>0</v>
      </c>
      <c r="BQ239" s="1605"/>
      <c r="BR239" s="1605"/>
      <c r="BS239" s="1602">
        <v>0</v>
      </c>
      <c r="BT239" s="1602">
        <v>1</v>
      </c>
      <c r="BU239" s="1602">
        <v>1</v>
      </c>
      <c r="BV239" s="1602">
        <v>1</v>
      </c>
      <c r="BW239" s="1602">
        <v>1</v>
      </c>
      <c r="BX239" s="1362">
        <f t="shared" si="199"/>
        <v>0</v>
      </c>
      <c r="BY239" s="1362">
        <f t="shared" si="200"/>
        <v>0</v>
      </c>
      <c r="BZ239" s="1362">
        <f t="shared" si="201"/>
        <v>0</v>
      </c>
      <c r="CA239" s="1362">
        <f t="shared" si="202"/>
        <v>0</v>
      </c>
      <c r="CB239" s="1362">
        <f t="shared" si="203"/>
        <v>0</v>
      </c>
      <c r="CC239" s="1360">
        <v>1</v>
      </c>
      <c r="CD239" s="1360">
        <v>1</v>
      </c>
      <c r="CE239" s="1360">
        <v>1</v>
      </c>
      <c r="CF239" s="1360">
        <v>1</v>
      </c>
      <c r="CG239" s="1604">
        <f t="shared" si="183"/>
        <v>0</v>
      </c>
      <c r="CH239" s="1604">
        <f t="shared" si="184"/>
        <v>0</v>
      </c>
      <c r="CI239" s="1604">
        <f t="shared" si="185"/>
        <v>0</v>
      </c>
      <c r="CJ239" s="1604">
        <f t="shared" si="186"/>
        <v>0</v>
      </c>
      <c r="CK239" s="1521">
        <f t="shared" si="187"/>
        <v>0</v>
      </c>
      <c r="CL239" s="1132">
        <v>232</v>
      </c>
      <c r="CM239" s="1132" t="s">
        <v>328</v>
      </c>
      <c r="CN239" s="1359">
        <v>1</v>
      </c>
      <c r="CO239" s="1360">
        <v>0</v>
      </c>
      <c r="CP239" s="1360">
        <v>0</v>
      </c>
      <c r="CQ239" s="1360">
        <v>0</v>
      </c>
      <c r="CR239" s="1360">
        <v>0</v>
      </c>
      <c r="CS239" s="1362">
        <f t="shared" si="188"/>
        <v>0</v>
      </c>
      <c r="CT239" s="1362">
        <f t="shared" si="189"/>
        <v>0</v>
      </c>
      <c r="CU239" s="1362">
        <f t="shared" si="190"/>
        <v>0</v>
      </c>
      <c r="CV239" s="1362">
        <f t="shared" si="191"/>
        <v>0</v>
      </c>
      <c r="CW239" s="1362">
        <f t="shared" si="192"/>
        <v>0</v>
      </c>
      <c r="CY239" s="2887"/>
    </row>
    <row r="240" spans="1:118" s="1143" customFormat="1" ht="15.5" x14ac:dyDescent="0.35">
      <c r="A240" s="1132" t="s">
        <v>109</v>
      </c>
      <c r="B240" s="1132" t="s">
        <v>686</v>
      </c>
      <c r="C240" s="1132" t="s">
        <v>688</v>
      </c>
      <c r="D240" s="1359" t="s">
        <v>105</v>
      </c>
      <c r="E240" s="1359">
        <f>IF(AI240-AR240=0,0,1)</f>
        <v>0</v>
      </c>
      <c r="F240" s="1132" t="s">
        <v>105</v>
      </c>
      <c r="G240" s="1132" t="s">
        <v>356</v>
      </c>
      <c r="H240" s="1360">
        <v>108.61200000000001</v>
      </c>
      <c r="I240" s="1360">
        <v>108.61200000000001</v>
      </c>
      <c r="J240" s="1360">
        <v>108.61200000000001</v>
      </c>
      <c r="K240" s="1360">
        <v>108.61200000000001</v>
      </c>
      <c r="L240" s="1132" t="s">
        <v>105</v>
      </c>
      <c r="M240" s="1132" t="str">
        <f t="shared" si="154"/>
        <v/>
      </c>
      <c r="N240" s="1361">
        <v>0</v>
      </c>
      <c r="O240" s="1361">
        <v>0</v>
      </c>
      <c r="P240" s="1361">
        <v>0</v>
      </c>
      <c r="Q240" s="1361">
        <v>0</v>
      </c>
      <c r="R240" s="1781">
        <v>0.98</v>
      </c>
      <c r="S240" s="1781">
        <v>0.98</v>
      </c>
      <c r="T240" s="1781">
        <v>0.98</v>
      </c>
      <c r="U240" s="1781">
        <v>0.98</v>
      </c>
      <c r="V240" s="1781">
        <v>0.98</v>
      </c>
      <c r="W240" s="1781">
        <v>0.98</v>
      </c>
      <c r="X240" s="1781">
        <v>0.98</v>
      </c>
      <c r="Y240" s="1781">
        <v>0.98</v>
      </c>
      <c r="Z240" s="1359">
        <v>0</v>
      </c>
      <c r="AA240" s="1781">
        <f t="shared" si="155"/>
        <v>0.98</v>
      </c>
      <c r="AB240" s="1781">
        <f t="shared" si="156"/>
        <v>0.98</v>
      </c>
      <c r="AC240" s="1781">
        <f t="shared" si="157"/>
        <v>0.98</v>
      </c>
      <c r="AD240" s="1781">
        <f t="shared" si="158"/>
        <v>0.98</v>
      </c>
      <c r="AE240" s="1781">
        <f t="shared" si="159"/>
        <v>0.98</v>
      </c>
      <c r="AF240" s="1781">
        <f t="shared" si="160"/>
        <v>0.98</v>
      </c>
      <c r="AG240" s="1781">
        <f t="shared" si="161"/>
        <v>0.98</v>
      </c>
      <c r="AH240" s="1781">
        <f t="shared" si="162"/>
        <v>0.98</v>
      </c>
      <c r="AI240" s="1362">
        <f t="shared" si="193"/>
        <v>0</v>
      </c>
      <c r="AJ240" s="1362">
        <f t="shared" si="194"/>
        <v>0</v>
      </c>
      <c r="AK240" s="1362">
        <f t="shared" si="195"/>
        <v>0</v>
      </c>
      <c r="AL240" s="1362">
        <f t="shared" si="196"/>
        <v>0</v>
      </c>
      <c r="AM240" s="1362">
        <f t="shared" si="197"/>
        <v>0</v>
      </c>
      <c r="AN240" s="1132" t="str">
        <f t="shared" si="163"/>
        <v>Custom</v>
      </c>
      <c r="AO240" s="1132" t="str">
        <f t="shared" si="164"/>
        <v/>
      </c>
      <c r="AP240" s="2505">
        <v>0</v>
      </c>
      <c r="AQ240" s="2505"/>
      <c r="AR240" s="2505">
        <f t="shared" si="165"/>
        <v>0</v>
      </c>
      <c r="AS240" s="2505">
        <f t="shared" si="166"/>
        <v>0</v>
      </c>
      <c r="AT240" s="1132" t="str">
        <f t="shared" si="167"/>
        <v>Custom</v>
      </c>
      <c r="AU240" s="1132" t="str">
        <f t="shared" si="168"/>
        <v/>
      </c>
      <c r="AV240" s="2505">
        <v>0</v>
      </c>
      <c r="AW240" s="2505"/>
      <c r="AX240" s="1362">
        <f t="shared" si="169"/>
        <v>0</v>
      </c>
      <c r="AY240" s="1360">
        <f t="shared" si="170"/>
        <v>0</v>
      </c>
      <c r="AZ240" s="1132" t="str">
        <f t="shared" si="171"/>
        <v>Custom</v>
      </c>
      <c r="BA240" s="1132" t="str">
        <f t="shared" si="172"/>
        <v/>
      </c>
      <c r="BB240" s="2505">
        <v>0</v>
      </c>
      <c r="BC240" s="2505"/>
      <c r="BD240" s="1362">
        <f t="shared" si="173"/>
        <v>0</v>
      </c>
      <c r="BE240" s="1360">
        <f t="shared" si="174"/>
        <v>0</v>
      </c>
      <c r="BF240" s="1132" t="str">
        <f t="shared" si="175"/>
        <v>Custom</v>
      </c>
      <c r="BG240" s="1132" t="str">
        <f t="shared" si="176"/>
        <v/>
      </c>
      <c r="BH240" s="2505">
        <v>0</v>
      </c>
      <c r="BI240" s="2505"/>
      <c r="BJ240" s="1362">
        <f t="shared" si="198"/>
        <v>0</v>
      </c>
      <c r="BK240" s="1360">
        <f t="shared" si="177"/>
        <v>0</v>
      </c>
      <c r="BL240" s="1601">
        <f t="shared" si="178"/>
        <v>0</v>
      </c>
      <c r="BM240" s="1601">
        <f t="shared" si="179"/>
        <v>0</v>
      </c>
      <c r="BN240" s="1601">
        <f t="shared" si="180"/>
        <v>0</v>
      </c>
      <c r="BO240" s="1601">
        <f t="shared" si="181"/>
        <v>0</v>
      </c>
      <c r="BP240" s="1602">
        <f t="shared" si="182"/>
        <v>0</v>
      </c>
      <c r="BQ240" s="1605"/>
      <c r="BR240" s="1605"/>
      <c r="BS240" s="1602">
        <v>0</v>
      </c>
      <c r="BT240" s="1602">
        <v>1</v>
      </c>
      <c r="BU240" s="1602">
        <v>1</v>
      </c>
      <c r="BV240" s="1602">
        <v>1</v>
      </c>
      <c r="BW240" s="1602">
        <v>1</v>
      </c>
      <c r="BX240" s="1362">
        <f t="shared" si="199"/>
        <v>0</v>
      </c>
      <c r="BY240" s="1362">
        <f t="shared" si="200"/>
        <v>0</v>
      </c>
      <c r="BZ240" s="1362">
        <f t="shared" si="201"/>
        <v>0</v>
      </c>
      <c r="CA240" s="1362">
        <f t="shared" si="202"/>
        <v>0</v>
      </c>
      <c r="CB240" s="1362">
        <f t="shared" si="203"/>
        <v>0</v>
      </c>
      <c r="CC240" s="1360">
        <v>1</v>
      </c>
      <c r="CD240" s="1360">
        <v>1</v>
      </c>
      <c r="CE240" s="1360">
        <v>1</v>
      </c>
      <c r="CF240" s="1360">
        <v>1</v>
      </c>
      <c r="CG240" s="1604">
        <f t="shared" si="183"/>
        <v>0</v>
      </c>
      <c r="CH240" s="1604">
        <f t="shared" si="184"/>
        <v>0</v>
      </c>
      <c r="CI240" s="1604">
        <f t="shared" si="185"/>
        <v>0</v>
      </c>
      <c r="CJ240" s="1604">
        <f t="shared" si="186"/>
        <v>0</v>
      </c>
      <c r="CK240" s="1521">
        <f t="shared" si="187"/>
        <v>0</v>
      </c>
      <c r="CL240" s="1132">
        <v>233</v>
      </c>
      <c r="CM240" s="1132" t="s">
        <v>356</v>
      </c>
      <c r="CN240" s="1359">
        <v>1</v>
      </c>
      <c r="CO240" s="1360">
        <v>2031.4400991116449</v>
      </c>
      <c r="CP240" s="1360">
        <v>2031.4400991116449</v>
      </c>
      <c r="CQ240" s="1360">
        <v>2031.4400991116449</v>
      </c>
      <c r="CR240" s="1360">
        <v>2031.4400991116449</v>
      </c>
      <c r="CS240" s="1362">
        <f t="shared" si="188"/>
        <v>0</v>
      </c>
      <c r="CT240" s="1362">
        <f t="shared" si="189"/>
        <v>0</v>
      </c>
      <c r="CU240" s="1362">
        <f t="shared" si="190"/>
        <v>0</v>
      </c>
      <c r="CV240" s="1362">
        <f t="shared" si="191"/>
        <v>0</v>
      </c>
      <c r="CW240" s="1362">
        <f t="shared" si="192"/>
        <v>0</v>
      </c>
      <c r="CY240" s="2887"/>
    </row>
    <row r="241" spans="1:103" s="1143" customFormat="1" ht="46.5" x14ac:dyDescent="0.35">
      <c r="A241" s="1132" t="s">
        <v>109</v>
      </c>
      <c r="B241" s="1132" t="s">
        <v>686</v>
      </c>
      <c r="C241" s="1132" t="s">
        <v>689</v>
      </c>
      <c r="D241" s="1359" t="s">
        <v>690</v>
      </c>
      <c r="E241" s="1359">
        <v>1</v>
      </c>
      <c r="F241" s="2807" t="s">
        <v>691</v>
      </c>
      <c r="G241" s="1132" t="s">
        <v>328</v>
      </c>
      <c r="H241" s="1360">
        <v>2013.5458000000001</v>
      </c>
      <c r="I241" s="1360">
        <v>2013.5458000000001</v>
      </c>
      <c r="J241" s="1360">
        <v>2013.5458000000001</v>
      </c>
      <c r="K241" s="1360">
        <v>2013.5458000000001</v>
      </c>
      <c r="L241" s="1132" t="s">
        <v>692</v>
      </c>
      <c r="M241" s="1132" t="str">
        <f t="shared" si="154"/>
        <v>Nicor Gas PY11-PY14 Adjustable Goals Template_2025-03-01, Tab 5.4.5</v>
      </c>
      <c r="N241" s="2245">
        <v>8.7915245234198895</v>
      </c>
      <c r="O241" s="1361">
        <v>8.7915245234198895</v>
      </c>
      <c r="P241" s="1361">
        <v>8.7915245234198895</v>
      </c>
      <c r="Q241" s="1361">
        <v>8.7915245234198895</v>
      </c>
      <c r="R241" s="1781">
        <v>1.07</v>
      </c>
      <c r="S241" s="1781">
        <v>1.07</v>
      </c>
      <c r="T241" s="1781">
        <v>1.07</v>
      </c>
      <c r="U241" s="1781">
        <v>1.07</v>
      </c>
      <c r="V241" s="1781">
        <v>1.07</v>
      </c>
      <c r="W241" s="1781">
        <v>1.07</v>
      </c>
      <c r="X241" s="1781">
        <v>1.07</v>
      </c>
      <c r="Y241" s="1781">
        <v>1.07</v>
      </c>
      <c r="Z241" s="1359">
        <v>0</v>
      </c>
      <c r="AA241" s="1781">
        <f t="shared" si="155"/>
        <v>1.07</v>
      </c>
      <c r="AB241" s="1781">
        <f t="shared" si="156"/>
        <v>1.07</v>
      </c>
      <c r="AC241" s="1781">
        <f t="shared" si="157"/>
        <v>1.07</v>
      </c>
      <c r="AD241" s="1781">
        <f t="shared" si="158"/>
        <v>1.07</v>
      </c>
      <c r="AE241" s="1781">
        <f t="shared" si="159"/>
        <v>1.07</v>
      </c>
      <c r="AF241" s="1781">
        <f t="shared" si="160"/>
        <v>1.07</v>
      </c>
      <c r="AG241" s="1781">
        <f t="shared" si="161"/>
        <v>1.07</v>
      </c>
      <c r="AH241" s="1781">
        <f t="shared" si="162"/>
        <v>1.07</v>
      </c>
      <c r="AI241" s="1362">
        <f t="shared" si="193"/>
        <v>18941.286889310162</v>
      </c>
      <c r="AJ241" s="1362">
        <f t="shared" si="194"/>
        <v>18941.286889310162</v>
      </c>
      <c r="AK241" s="1362">
        <f t="shared" si="195"/>
        <v>18941.286889310162</v>
      </c>
      <c r="AL241" s="1362">
        <f t="shared" si="196"/>
        <v>18941.286889310162</v>
      </c>
      <c r="AM241" s="1362">
        <f t="shared" si="197"/>
        <v>75765.147557240649</v>
      </c>
      <c r="AN241" s="1132" t="str">
        <f t="shared" si="163"/>
        <v>RS-HWE-LFSH-V06-190101</v>
      </c>
      <c r="AO241" s="1132" t="str">
        <f t="shared" si="164"/>
        <v>Nicor Gas PY11-PY14 Adjustable Goals Template_2025-03-01, Tab 5.4.5</v>
      </c>
      <c r="AP241" s="2737">
        <f>'5.4.5'!$P$12</f>
        <v>9.4758946959016797</v>
      </c>
      <c r="AQ241" s="2568" t="s">
        <v>557</v>
      </c>
      <c r="AR241" s="2505">
        <f t="shared" si="165"/>
        <v>20415.75832380736</v>
      </c>
      <c r="AS241" s="2505">
        <f t="shared" si="166"/>
        <v>1474.4714344971981</v>
      </c>
      <c r="AT241" s="1132" t="str">
        <f t="shared" si="167"/>
        <v>RS-HWE-LFSH-V06-190101</v>
      </c>
      <c r="AU241" s="1132" t="str">
        <f t="shared" si="168"/>
        <v>Nicor Gas PY11-PY14 Adjustable Goals Template_2025-03-01, Tab 5.4.5</v>
      </c>
      <c r="AV241" s="2508">
        <f>'5.4.5'!$P$12</f>
        <v>9.4758946959016797</v>
      </c>
      <c r="AW241" s="2568" t="s">
        <v>557</v>
      </c>
      <c r="AX241" s="1362">
        <f t="shared" si="169"/>
        <v>20415.75832380736</v>
      </c>
      <c r="AY241" s="1360">
        <f t="shared" si="170"/>
        <v>1474.4714344971981</v>
      </c>
      <c r="AZ241" s="1132" t="str">
        <f t="shared" si="171"/>
        <v>RS-HWE-LFSH-V06-190101</v>
      </c>
      <c r="BA241" s="1132" t="str">
        <f t="shared" si="172"/>
        <v>Nicor Gas PY11-PY14 Adjustable Goals Template_2025-03-01, Tab 5.4.5</v>
      </c>
      <c r="BB241" s="2508">
        <f>'5.4.5'!$P$12</f>
        <v>9.4758946959016797</v>
      </c>
      <c r="BC241" s="2568" t="s">
        <v>557</v>
      </c>
      <c r="BD241" s="1362">
        <f t="shared" si="173"/>
        <v>20415.75832380736</v>
      </c>
      <c r="BE241" s="1360">
        <f t="shared" si="174"/>
        <v>1474.4714344971981</v>
      </c>
      <c r="BF241" s="1132" t="str">
        <f t="shared" si="175"/>
        <v>RS-HWE-LFSH-V06-190101</v>
      </c>
      <c r="BG241" s="1132" t="str">
        <f t="shared" si="176"/>
        <v>Nicor Gas PY11-PY14 Adjustable Goals Template_2025-03-01, Tab 5.4.5</v>
      </c>
      <c r="BH241" s="2508">
        <f>'5.4.5'!$P$12</f>
        <v>9.4758946959016797</v>
      </c>
      <c r="BI241" s="2568" t="s">
        <v>557</v>
      </c>
      <c r="BJ241" s="1362">
        <f t="shared" si="198"/>
        <v>20415.75832380736</v>
      </c>
      <c r="BK241" s="1360">
        <f t="shared" si="177"/>
        <v>1474.4714344971981</v>
      </c>
      <c r="BL241" s="1601">
        <f t="shared" si="178"/>
        <v>20415.75832380736</v>
      </c>
      <c r="BM241" s="1601">
        <f t="shared" si="179"/>
        <v>20415.75832380736</v>
      </c>
      <c r="BN241" s="1601">
        <f t="shared" si="180"/>
        <v>20415.75832380736</v>
      </c>
      <c r="BO241" s="1601">
        <f t="shared" si="181"/>
        <v>20415.75832380736</v>
      </c>
      <c r="BP241" s="1602">
        <f t="shared" si="182"/>
        <v>81663.033295229441</v>
      </c>
      <c r="BQ241" s="1605"/>
      <c r="BR241" s="1605" t="s">
        <v>691</v>
      </c>
      <c r="BS241" s="1602">
        <v>0</v>
      </c>
      <c r="BT241" s="1602">
        <v>10</v>
      </c>
      <c r="BU241" s="1602">
        <v>10</v>
      </c>
      <c r="BV241" s="1602">
        <v>10</v>
      </c>
      <c r="BW241" s="1602">
        <v>10</v>
      </c>
      <c r="BX241" s="1362">
        <f t="shared" si="199"/>
        <v>189412.86889310164</v>
      </c>
      <c r="BY241" s="1362">
        <f t="shared" si="200"/>
        <v>189412.86889310164</v>
      </c>
      <c r="BZ241" s="1362">
        <f t="shared" si="201"/>
        <v>189412.86889310164</v>
      </c>
      <c r="CA241" s="1362">
        <f t="shared" si="202"/>
        <v>189412.86889310164</v>
      </c>
      <c r="CB241" s="1362">
        <f t="shared" si="203"/>
        <v>757651.47557240655</v>
      </c>
      <c r="CC241" s="1360">
        <v>10</v>
      </c>
      <c r="CD241" s="1360">
        <v>10</v>
      </c>
      <c r="CE241" s="1360">
        <v>10</v>
      </c>
      <c r="CF241" s="1360">
        <v>10</v>
      </c>
      <c r="CG241" s="1604">
        <f t="shared" si="183"/>
        <v>204157.58323807362</v>
      </c>
      <c r="CH241" s="1604">
        <f t="shared" si="184"/>
        <v>204157.58323807362</v>
      </c>
      <c r="CI241" s="1604">
        <f t="shared" si="185"/>
        <v>204157.58323807362</v>
      </c>
      <c r="CJ241" s="1604">
        <f t="shared" si="186"/>
        <v>204157.58323807362</v>
      </c>
      <c r="CK241" s="1521">
        <f t="shared" si="187"/>
        <v>816630.3329522945</v>
      </c>
      <c r="CL241" s="1132">
        <v>234</v>
      </c>
      <c r="CM241" s="1132" t="s">
        <v>328</v>
      </c>
      <c r="CN241" s="1359">
        <v>1</v>
      </c>
      <c r="CO241" s="1360">
        <v>1064.3545174754304</v>
      </c>
      <c r="CP241" s="1360">
        <v>1064.3545174754304</v>
      </c>
      <c r="CQ241" s="1360">
        <v>1064.3545174754304</v>
      </c>
      <c r="CR241" s="1360">
        <v>1064.3545174754304</v>
      </c>
      <c r="CS241" s="1362">
        <f t="shared" si="188"/>
        <v>10012.309760937849</v>
      </c>
      <c r="CT241" s="1362">
        <f t="shared" si="189"/>
        <v>10012.309760937849</v>
      </c>
      <c r="CU241" s="1362">
        <f t="shared" si="190"/>
        <v>10012.309760937849</v>
      </c>
      <c r="CV241" s="1362">
        <f t="shared" si="191"/>
        <v>10012.309760937849</v>
      </c>
      <c r="CW241" s="1362">
        <f t="shared" si="192"/>
        <v>40049.239043751397</v>
      </c>
      <c r="CY241" s="2887"/>
    </row>
    <row r="242" spans="1:103" s="1143" customFormat="1" ht="46.5" x14ac:dyDescent="0.35">
      <c r="A242" s="1132" t="s">
        <v>109</v>
      </c>
      <c r="B242" s="1132" t="s">
        <v>686</v>
      </c>
      <c r="C242" s="1132" t="s">
        <v>693</v>
      </c>
      <c r="D242" s="1359" t="s">
        <v>694</v>
      </c>
      <c r="E242" s="1359">
        <v>1</v>
      </c>
      <c r="F242" s="2807" t="s">
        <v>691</v>
      </c>
      <c r="G242" s="1132" t="s">
        <v>328</v>
      </c>
      <c r="H242" s="1360">
        <v>1054.6677750000001</v>
      </c>
      <c r="I242" s="1360">
        <v>1054.6677750000001</v>
      </c>
      <c r="J242" s="1360">
        <v>1054.6677750000001</v>
      </c>
      <c r="K242" s="1360">
        <v>1054.6677750000001</v>
      </c>
      <c r="L242" s="1132" t="s">
        <v>692</v>
      </c>
      <c r="M242" s="1132" t="str">
        <f t="shared" si="154"/>
        <v>Nicor Gas PY11-PY14 Adjustable Goals Template_2025-03-01, Tab 5.4.5</v>
      </c>
      <c r="N242" s="2245">
        <v>8.7915245234198895</v>
      </c>
      <c r="O242" s="1361">
        <v>8.7915245234198895</v>
      </c>
      <c r="P242" s="1361">
        <v>8.7915245234198895</v>
      </c>
      <c r="Q242" s="1361">
        <v>8.7915245234198895</v>
      </c>
      <c r="R242" s="1781">
        <v>1.07</v>
      </c>
      <c r="S242" s="1781">
        <v>1.07</v>
      </c>
      <c r="T242" s="1781">
        <v>1.07</v>
      </c>
      <c r="U242" s="1781">
        <v>1.07</v>
      </c>
      <c r="V242" s="1781">
        <v>1.07</v>
      </c>
      <c r="W242" s="1781">
        <v>1.07</v>
      </c>
      <c r="X242" s="1781">
        <v>1.07</v>
      </c>
      <c r="Y242" s="1781">
        <v>1.07</v>
      </c>
      <c r="Z242" s="1359">
        <v>0</v>
      </c>
      <c r="AA242" s="1781">
        <f t="shared" si="155"/>
        <v>1.07</v>
      </c>
      <c r="AB242" s="1781">
        <f t="shared" si="156"/>
        <v>1.07</v>
      </c>
      <c r="AC242" s="1781">
        <f t="shared" si="157"/>
        <v>1.07</v>
      </c>
      <c r="AD242" s="1781">
        <f t="shared" si="158"/>
        <v>1.07</v>
      </c>
      <c r="AE242" s="1781">
        <f t="shared" si="159"/>
        <v>1.07</v>
      </c>
      <c r="AF242" s="1781">
        <f t="shared" si="160"/>
        <v>1.07</v>
      </c>
      <c r="AG242" s="1781">
        <f t="shared" si="161"/>
        <v>1.07</v>
      </c>
      <c r="AH242" s="1781">
        <f t="shared" si="162"/>
        <v>1.07</v>
      </c>
      <c r="AI242" s="1362">
        <f t="shared" si="193"/>
        <v>9921.1872405313152</v>
      </c>
      <c r="AJ242" s="1362">
        <f t="shared" si="194"/>
        <v>9921.1872405313152</v>
      </c>
      <c r="AK242" s="1362">
        <f t="shared" si="195"/>
        <v>9921.1872405313152</v>
      </c>
      <c r="AL242" s="1362">
        <f t="shared" si="196"/>
        <v>9921.1872405313152</v>
      </c>
      <c r="AM242" s="1362">
        <f t="shared" si="197"/>
        <v>39684.748962125261</v>
      </c>
      <c r="AN242" s="1132" t="str">
        <f t="shared" si="163"/>
        <v>RS-HWE-LFSH-V06-190101</v>
      </c>
      <c r="AO242" s="1132" t="str">
        <f t="shared" si="164"/>
        <v>Nicor Gas PY11-PY14 Adjustable Goals Template_2025-03-01, Tab 5.4.5</v>
      </c>
      <c r="AP242" s="2737">
        <f>'5.4.5'!$P$13</f>
        <v>9.4758946959016797</v>
      </c>
      <c r="AQ242" s="2568" t="s">
        <v>557</v>
      </c>
      <c r="AR242" s="2505">
        <f t="shared" si="165"/>
        <v>10693.495229315193</v>
      </c>
      <c r="AS242" s="2505">
        <f t="shared" si="166"/>
        <v>772.30798878387759</v>
      </c>
      <c r="AT242" s="1132" t="str">
        <f t="shared" si="167"/>
        <v>RS-HWE-LFSH-V06-190101</v>
      </c>
      <c r="AU242" s="1132" t="str">
        <f t="shared" si="168"/>
        <v>Nicor Gas PY11-PY14 Adjustable Goals Template_2025-03-01, Tab 5.4.5</v>
      </c>
      <c r="AV242" s="2508">
        <f>'5.4.5'!$P$13</f>
        <v>9.4758946959016797</v>
      </c>
      <c r="AW242" s="2568" t="s">
        <v>557</v>
      </c>
      <c r="AX242" s="1362">
        <f t="shared" si="169"/>
        <v>10693.495229315193</v>
      </c>
      <c r="AY242" s="1360">
        <f t="shared" si="170"/>
        <v>772.30798878387759</v>
      </c>
      <c r="AZ242" s="1132" t="str">
        <f t="shared" si="171"/>
        <v>RS-HWE-LFSH-V06-190101</v>
      </c>
      <c r="BA242" s="1132" t="str">
        <f t="shared" si="172"/>
        <v>Nicor Gas PY11-PY14 Adjustable Goals Template_2025-03-01, Tab 5.4.5</v>
      </c>
      <c r="BB242" s="2508">
        <f>'5.4.5'!$P$13</f>
        <v>9.4758946959016797</v>
      </c>
      <c r="BC242" s="2568" t="s">
        <v>557</v>
      </c>
      <c r="BD242" s="1362">
        <f t="shared" si="173"/>
        <v>10693.495229315193</v>
      </c>
      <c r="BE242" s="1360">
        <f t="shared" si="174"/>
        <v>772.30798878387759</v>
      </c>
      <c r="BF242" s="1132" t="str">
        <f t="shared" si="175"/>
        <v>RS-HWE-LFSH-V06-190101</v>
      </c>
      <c r="BG242" s="1132" t="str">
        <f t="shared" si="176"/>
        <v>Nicor Gas PY11-PY14 Adjustable Goals Template_2025-03-01, Tab 5.4.5</v>
      </c>
      <c r="BH242" s="2508">
        <f>'5.4.5'!$P$13</f>
        <v>9.4758946959016797</v>
      </c>
      <c r="BI242" s="2568" t="s">
        <v>557</v>
      </c>
      <c r="BJ242" s="1362">
        <f t="shared" si="198"/>
        <v>10693.495229315193</v>
      </c>
      <c r="BK242" s="1360">
        <f t="shared" si="177"/>
        <v>772.30798878387759</v>
      </c>
      <c r="BL242" s="1601">
        <f t="shared" si="178"/>
        <v>10693.495229315193</v>
      </c>
      <c r="BM242" s="1601">
        <f t="shared" si="179"/>
        <v>10693.495229315193</v>
      </c>
      <c r="BN242" s="1601">
        <f t="shared" si="180"/>
        <v>10693.495229315193</v>
      </c>
      <c r="BO242" s="1601">
        <f t="shared" si="181"/>
        <v>10693.495229315193</v>
      </c>
      <c r="BP242" s="1602">
        <f t="shared" si="182"/>
        <v>42773.980917260771</v>
      </c>
      <c r="BQ242" s="1605"/>
      <c r="BR242" s="1605" t="s">
        <v>691</v>
      </c>
      <c r="BS242" s="1602">
        <v>0</v>
      </c>
      <c r="BT242" s="1602">
        <v>10</v>
      </c>
      <c r="BU242" s="1602">
        <v>10</v>
      </c>
      <c r="BV242" s="1602">
        <v>10</v>
      </c>
      <c r="BW242" s="1602">
        <v>10</v>
      </c>
      <c r="BX242" s="1362">
        <f t="shared" si="199"/>
        <v>99211.872405313159</v>
      </c>
      <c r="BY242" s="1362">
        <f t="shared" si="200"/>
        <v>99211.872405313159</v>
      </c>
      <c r="BZ242" s="1362">
        <f t="shared" si="201"/>
        <v>99211.872405313159</v>
      </c>
      <c r="CA242" s="1362">
        <f t="shared" si="202"/>
        <v>99211.872405313159</v>
      </c>
      <c r="CB242" s="1362">
        <f t="shared" si="203"/>
        <v>396847.48962125264</v>
      </c>
      <c r="CC242" s="1360">
        <v>10</v>
      </c>
      <c r="CD242" s="1360">
        <v>10</v>
      </c>
      <c r="CE242" s="1360">
        <v>10</v>
      </c>
      <c r="CF242" s="1360">
        <v>10</v>
      </c>
      <c r="CG242" s="1604">
        <f t="shared" si="183"/>
        <v>106934.95229315193</v>
      </c>
      <c r="CH242" s="1604">
        <f t="shared" si="184"/>
        <v>106934.95229315193</v>
      </c>
      <c r="CI242" s="1604">
        <f t="shared" si="185"/>
        <v>106934.95229315193</v>
      </c>
      <c r="CJ242" s="1604">
        <f t="shared" si="186"/>
        <v>106934.95229315193</v>
      </c>
      <c r="CK242" s="1521">
        <f t="shared" si="187"/>
        <v>427739.80917260773</v>
      </c>
      <c r="CL242" s="1132">
        <v>235</v>
      </c>
      <c r="CM242" s="1132" t="s">
        <v>328</v>
      </c>
      <c r="CN242" s="1359">
        <v>1</v>
      </c>
      <c r="CO242" s="1360">
        <v>557.49415397847747</v>
      </c>
      <c r="CP242" s="1360">
        <v>557.49415397847747</v>
      </c>
      <c r="CQ242" s="1360">
        <v>557.49415397847747</v>
      </c>
      <c r="CR242" s="1360">
        <v>557.49415397847747</v>
      </c>
      <c r="CS242" s="1362">
        <f t="shared" si="188"/>
        <v>5244.3091732105604</v>
      </c>
      <c r="CT242" s="1362">
        <f t="shared" si="189"/>
        <v>5244.3091732105604</v>
      </c>
      <c r="CU242" s="1362">
        <f t="shared" si="190"/>
        <v>5244.3091732105604</v>
      </c>
      <c r="CV242" s="1362">
        <f t="shared" si="191"/>
        <v>5244.3091732105604</v>
      </c>
      <c r="CW242" s="1362">
        <f t="shared" si="192"/>
        <v>20977.236692842242</v>
      </c>
      <c r="CY242" s="2887"/>
    </row>
    <row r="243" spans="1:103" s="1143" customFormat="1" ht="46.5" x14ac:dyDescent="0.35">
      <c r="A243" s="1132" t="s">
        <v>109</v>
      </c>
      <c r="B243" s="1132" t="s">
        <v>686</v>
      </c>
      <c r="C243" s="1132" t="s">
        <v>695</v>
      </c>
      <c r="D243" s="1359" t="s">
        <v>696</v>
      </c>
      <c r="E243" s="1359">
        <v>1</v>
      </c>
      <c r="F243" s="2807" t="s">
        <v>697</v>
      </c>
      <c r="G243" s="1132" t="s">
        <v>328</v>
      </c>
      <c r="H243" s="1360">
        <v>2588.8122750000002</v>
      </c>
      <c r="I243" s="1360">
        <v>2588.8122750000002</v>
      </c>
      <c r="J243" s="1360">
        <v>2588.8122750000002</v>
      </c>
      <c r="K243" s="1360">
        <v>2588.8122750000002</v>
      </c>
      <c r="L243" s="1132" t="s">
        <v>698</v>
      </c>
      <c r="M243" s="1132" t="str">
        <f t="shared" si="154"/>
        <v>Nicor Gas PY11-PY14 Adjustable Goals Template_2025-03-01, Tab 5.4.4</v>
      </c>
      <c r="N243" s="1361">
        <v>0.86466343134530088</v>
      </c>
      <c r="O243" s="1361">
        <v>0.86466343134530088</v>
      </c>
      <c r="P243" s="1361">
        <v>0.86466343134530088</v>
      </c>
      <c r="Q243" s="1361">
        <v>0.86466343134530088</v>
      </c>
      <c r="R243" s="1781">
        <v>1.07</v>
      </c>
      <c r="S243" s="1781">
        <v>1.07</v>
      </c>
      <c r="T243" s="1781">
        <v>1.07</v>
      </c>
      <c r="U243" s="1781">
        <v>1.07</v>
      </c>
      <c r="V243" s="1781">
        <v>1.07</v>
      </c>
      <c r="W243" s="1781">
        <v>1.07</v>
      </c>
      <c r="X243" s="1781">
        <v>1.07</v>
      </c>
      <c r="Y243" s="1781">
        <v>1.07</v>
      </c>
      <c r="Z243" s="1359">
        <v>0</v>
      </c>
      <c r="AA243" s="1781">
        <f t="shared" si="155"/>
        <v>1.07</v>
      </c>
      <c r="AB243" s="1781">
        <f t="shared" si="156"/>
        <v>1.07</v>
      </c>
      <c r="AC243" s="1781">
        <f t="shared" si="157"/>
        <v>1.07</v>
      </c>
      <c r="AD243" s="1781">
        <f t="shared" si="158"/>
        <v>1.07</v>
      </c>
      <c r="AE243" s="1781">
        <f t="shared" si="159"/>
        <v>1.07</v>
      </c>
      <c r="AF243" s="1781">
        <f t="shared" si="160"/>
        <v>1.07</v>
      </c>
      <c r="AG243" s="1781">
        <f t="shared" si="161"/>
        <v>1.07</v>
      </c>
      <c r="AH243" s="1781">
        <f t="shared" si="162"/>
        <v>1.07</v>
      </c>
      <c r="AI243" s="1362">
        <f t="shared" si="193"/>
        <v>2395.1428961470583</v>
      </c>
      <c r="AJ243" s="1362">
        <f t="shared" si="194"/>
        <v>2395.1428961470583</v>
      </c>
      <c r="AK243" s="1362">
        <f t="shared" si="195"/>
        <v>2395.1428961470583</v>
      </c>
      <c r="AL243" s="1362">
        <f t="shared" si="196"/>
        <v>2395.1428961470583</v>
      </c>
      <c r="AM243" s="1362">
        <f t="shared" si="197"/>
        <v>9580.5715845882332</v>
      </c>
      <c r="AN243" s="1132" t="str">
        <f t="shared" si="163"/>
        <v>RS-HWE-LFFA-V07-190101</v>
      </c>
      <c r="AO243" s="1132" t="str">
        <f t="shared" si="164"/>
        <v>Nicor Gas PY11-PY14 Adjustable Goals Template_2025-03-01, Tab 5.4.4</v>
      </c>
      <c r="AP243" s="2738">
        <f>'5.4.4'!$O$11</f>
        <v>0.9635545569243823</v>
      </c>
      <c r="AQ243" s="2568" t="s">
        <v>481</v>
      </c>
      <c r="AR243" s="2505">
        <f t="shared" si="165"/>
        <v>2669.0741951198893</v>
      </c>
      <c r="AS243" s="2505">
        <f t="shared" si="166"/>
        <v>273.93129897283097</v>
      </c>
      <c r="AT243" s="1132" t="str">
        <f t="shared" si="167"/>
        <v>RS-HWE-LFFA-V07-190101</v>
      </c>
      <c r="AU243" s="1132" t="str">
        <f t="shared" si="168"/>
        <v>Nicor Gas PY11-PY14 Adjustable Goals Template_2025-03-01, Tab 5.4.4</v>
      </c>
      <c r="AV243" s="2247">
        <f>'5.4.4'!$O$11</f>
        <v>0.9635545569243823</v>
      </c>
      <c r="AW243" s="2568" t="s">
        <v>481</v>
      </c>
      <c r="AX243" s="1362">
        <f t="shared" si="169"/>
        <v>2669.0741951198893</v>
      </c>
      <c r="AY243" s="1360">
        <f t="shared" si="170"/>
        <v>273.93129897283097</v>
      </c>
      <c r="AZ243" s="1132" t="str">
        <f t="shared" si="171"/>
        <v>RS-HWE-LFFA-V07-190101</v>
      </c>
      <c r="BA243" s="1132" t="str">
        <f t="shared" si="172"/>
        <v>Nicor Gas PY11-PY14 Adjustable Goals Template_2025-03-01, Tab 5.4.4</v>
      </c>
      <c r="BB243" s="2247">
        <f>'5.4.4'!$O$11</f>
        <v>0.9635545569243823</v>
      </c>
      <c r="BC243" s="2568" t="s">
        <v>481</v>
      </c>
      <c r="BD243" s="1362">
        <f t="shared" si="173"/>
        <v>2669.0741951198893</v>
      </c>
      <c r="BE243" s="1360">
        <f t="shared" si="174"/>
        <v>273.93129897283097</v>
      </c>
      <c r="BF243" s="1132" t="str">
        <f t="shared" si="175"/>
        <v>RS-HWE-LFFA-V07-190101</v>
      </c>
      <c r="BG243" s="1132" t="str">
        <f t="shared" si="176"/>
        <v>Nicor Gas PY11-PY14 Adjustable Goals Template_2025-03-01, Tab 5.4.4</v>
      </c>
      <c r="BH243" s="2247">
        <f>'5.4.4'!$O$11</f>
        <v>0.9635545569243823</v>
      </c>
      <c r="BI243" s="2568" t="s">
        <v>481</v>
      </c>
      <c r="BJ243" s="1362">
        <f t="shared" si="198"/>
        <v>2669.0741951198893</v>
      </c>
      <c r="BK243" s="1360">
        <f t="shared" si="177"/>
        <v>273.93129897283097</v>
      </c>
      <c r="BL243" s="1601">
        <f t="shared" si="178"/>
        <v>2669.0741951198893</v>
      </c>
      <c r="BM243" s="1601">
        <f t="shared" si="179"/>
        <v>2669.0741951198893</v>
      </c>
      <c r="BN243" s="1601">
        <f t="shared" si="180"/>
        <v>2669.0741951198893</v>
      </c>
      <c r="BO243" s="1601">
        <f t="shared" si="181"/>
        <v>2669.0741951198893</v>
      </c>
      <c r="BP243" s="1602">
        <f t="shared" si="182"/>
        <v>10676.296780479557</v>
      </c>
      <c r="BQ243" s="1605"/>
      <c r="BR243" s="1605" t="s">
        <v>697</v>
      </c>
      <c r="BS243" s="1602">
        <v>0</v>
      </c>
      <c r="BT243" s="1602">
        <v>10</v>
      </c>
      <c r="BU243" s="1602">
        <v>10</v>
      </c>
      <c r="BV243" s="1602">
        <v>10</v>
      </c>
      <c r="BW243" s="1602">
        <v>10</v>
      </c>
      <c r="BX243" s="1362">
        <f t="shared" si="199"/>
        <v>23951.428961470585</v>
      </c>
      <c r="BY243" s="1362">
        <f t="shared" si="200"/>
        <v>23951.428961470585</v>
      </c>
      <c r="BZ243" s="1362">
        <f t="shared" si="201"/>
        <v>23951.428961470585</v>
      </c>
      <c r="CA243" s="1362">
        <f t="shared" si="202"/>
        <v>23951.428961470585</v>
      </c>
      <c r="CB243" s="1362">
        <f t="shared" si="203"/>
        <v>95805.71584588234</v>
      </c>
      <c r="CC243" s="1360">
        <v>10</v>
      </c>
      <c r="CD243" s="1360">
        <v>10</v>
      </c>
      <c r="CE243" s="1360">
        <v>10</v>
      </c>
      <c r="CF243" s="1360">
        <v>10</v>
      </c>
      <c r="CG243" s="1604">
        <f t="shared" si="183"/>
        <v>26690.741951198892</v>
      </c>
      <c r="CH243" s="1604">
        <f t="shared" si="184"/>
        <v>26690.741951198892</v>
      </c>
      <c r="CI243" s="1604">
        <f t="shared" si="185"/>
        <v>26690.741951198892</v>
      </c>
      <c r="CJ243" s="1604">
        <f t="shared" si="186"/>
        <v>26690.741951198892</v>
      </c>
      <c r="CK243" s="1521">
        <f t="shared" si="187"/>
        <v>106762.96780479557</v>
      </c>
      <c r="CL243" s="1132">
        <v>236</v>
      </c>
      <c r="CM243" s="1132" t="s">
        <v>328</v>
      </c>
      <c r="CN243" s="1359">
        <v>1</v>
      </c>
      <c r="CO243" s="1360">
        <v>1368.4367953777985</v>
      </c>
      <c r="CP243" s="1360">
        <v>1368.4367953777985</v>
      </c>
      <c r="CQ243" s="1360">
        <v>1368.4367953777985</v>
      </c>
      <c r="CR243" s="1360">
        <v>1368.4367953777985</v>
      </c>
      <c r="CS243" s="1362">
        <f t="shared" si="188"/>
        <v>1266.063862925472</v>
      </c>
      <c r="CT243" s="1362">
        <f t="shared" si="189"/>
        <v>1266.063862925472</v>
      </c>
      <c r="CU243" s="1362">
        <f t="shared" si="190"/>
        <v>1266.063862925472</v>
      </c>
      <c r="CV243" s="1362">
        <f t="shared" si="191"/>
        <v>1266.063862925472</v>
      </c>
      <c r="CW243" s="1362">
        <f t="shared" si="192"/>
        <v>5064.255451701888</v>
      </c>
      <c r="CY243" s="2887"/>
    </row>
    <row r="244" spans="1:103" s="1143" customFormat="1" ht="46.5" x14ac:dyDescent="0.35">
      <c r="A244" s="1132" t="s">
        <v>109</v>
      </c>
      <c r="B244" s="1132" t="s">
        <v>686</v>
      </c>
      <c r="C244" s="1132" t="s">
        <v>699</v>
      </c>
      <c r="D244" s="1359" t="s">
        <v>700</v>
      </c>
      <c r="E244" s="1359">
        <v>1</v>
      </c>
      <c r="F244" s="2807" t="s">
        <v>697</v>
      </c>
      <c r="G244" s="1132" t="s">
        <v>328</v>
      </c>
      <c r="H244" s="1360">
        <v>407.74755000000005</v>
      </c>
      <c r="I244" s="1360">
        <v>407.74755000000005</v>
      </c>
      <c r="J244" s="1360">
        <v>407.74755000000005</v>
      </c>
      <c r="K244" s="1360">
        <v>407.74755000000005</v>
      </c>
      <c r="L244" s="1132" t="s">
        <v>698</v>
      </c>
      <c r="M244" s="1132" t="str">
        <f t="shared" si="154"/>
        <v>Nicor Gas PY11-PY14 Adjustable Goals Template_2025-03-01, Tab 5.4.4</v>
      </c>
      <c r="N244" s="1361">
        <v>2.7869147711999975</v>
      </c>
      <c r="O244" s="1361">
        <v>2.7869147711999975</v>
      </c>
      <c r="P244" s="1361">
        <v>2.7869147711999975</v>
      </c>
      <c r="Q244" s="1361">
        <v>2.7869147711999975</v>
      </c>
      <c r="R244" s="1781">
        <v>1.07</v>
      </c>
      <c r="S244" s="1781">
        <v>1.07</v>
      </c>
      <c r="T244" s="1781">
        <v>1.07</v>
      </c>
      <c r="U244" s="1781">
        <v>1.07</v>
      </c>
      <c r="V244" s="1781">
        <v>1.07</v>
      </c>
      <c r="W244" s="1781">
        <v>1.07</v>
      </c>
      <c r="X244" s="1781">
        <v>1.07</v>
      </c>
      <c r="Y244" s="1781">
        <v>1.07</v>
      </c>
      <c r="Z244" s="1359">
        <v>0</v>
      </c>
      <c r="AA244" s="1781">
        <f t="shared" si="155"/>
        <v>1.07</v>
      </c>
      <c r="AB244" s="1781">
        <f t="shared" si="156"/>
        <v>1.07</v>
      </c>
      <c r="AC244" s="1781">
        <f t="shared" si="157"/>
        <v>1.07</v>
      </c>
      <c r="AD244" s="1781">
        <f t="shared" si="158"/>
        <v>1.07</v>
      </c>
      <c r="AE244" s="1781">
        <f t="shared" si="159"/>
        <v>1.07</v>
      </c>
      <c r="AF244" s="1781">
        <f t="shared" si="160"/>
        <v>1.07</v>
      </c>
      <c r="AG244" s="1781">
        <f t="shared" si="161"/>
        <v>1.07</v>
      </c>
      <c r="AH244" s="1781">
        <f t="shared" si="162"/>
        <v>1.07</v>
      </c>
      <c r="AI244" s="1362">
        <f t="shared" si="193"/>
        <v>1215.9027069167025</v>
      </c>
      <c r="AJ244" s="1362">
        <f t="shared" si="194"/>
        <v>1215.9027069167025</v>
      </c>
      <c r="AK244" s="1362">
        <f t="shared" si="195"/>
        <v>1215.9027069167025</v>
      </c>
      <c r="AL244" s="1362">
        <f t="shared" si="196"/>
        <v>1215.9027069167025</v>
      </c>
      <c r="AM244" s="1362">
        <f t="shared" si="197"/>
        <v>4863.6108276668101</v>
      </c>
      <c r="AN244" s="1132" t="str">
        <f t="shared" si="163"/>
        <v>RS-HWE-LFFA-V07-190101</v>
      </c>
      <c r="AO244" s="1132" t="str">
        <f t="shared" si="164"/>
        <v>Nicor Gas PY11-PY14 Adjustable Goals Template_2025-03-01, Tab 5.4.4</v>
      </c>
      <c r="AP244" s="2738">
        <f>'5.4.4'!$O$12</f>
        <v>3.0219557759999969</v>
      </c>
      <c r="AQ244" s="2568" t="s">
        <v>557</v>
      </c>
      <c r="AR244" s="2505">
        <f t="shared" si="165"/>
        <v>1318.4487183434121</v>
      </c>
      <c r="AS244" s="2505">
        <f t="shared" si="166"/>
        <v>102.54601142670958</v>
      </c>
      <c r="AT244" s="1132" t="str">
        <f t="shared" si="167"/>
        <v>RS-HWE-LFFA-V07-190101</v>
      </c>
      <c r="AU244" s="1132" t="str">
        <f t="shared" si="168"/>
        <v>Nicor Gas PY11-PY14 Adjustable Goals Template_2025-03-01, Tab 5.4.4</v>
      </c>
      <c r="AV244" s="2247">
        <f>'5.4.4'!$O$12</f>
        <v>3.0219557759999969</v>
      </c>
      <c r="AW244" s="2568" t="s">
        <v>557</v>
      </c>
      <c r="AX244" s="1362">
        <f t="shared" si="169"/>
        <v>1318.4487183434121</v>
      </c>
      <c r="AY244" s="1360">
        <f t="shared" si="170"/>
        <v>102.54601142670958</v>
      </c>
      <c r="AZ244" s="1132" t="str">
        <f t="shared" si="171"/>
        <v>RS-HWE-LFFA-V07-190101</v>
      </c>
      <c r="BA244" s="1132" t="str">
        <f t="shared" si="172"/>
        <v>Nicor Gas PY11-PY14 Adjustable Goals Template_2025-03-01, Tab 5.4.4</v>
      </c>
      <c r="BB244" s="2247">
        <f>'5.4.4'!$O$12</f>
        <v>3.0219557759999969</v>
      </c>
      <c r="BC244" s="2568" t="s">
        <v>557</v>
      </c>
      <c r="BD244" s="1362">
        <f t="shared" si="173"/>
        <v>1318.4487183434121</v>
      </c>
      <c r="BE244" s="1360">
        <f t="shared" si="174"/>
        <v>102.54601142670958</v>
      </c>
      <c r="BF244" s="1132" t="str">
        <f t="shared" si="175"/>
        <v>RS-HWE-LFFA-V07-190101</v>
      </c>
      <c r="BG244" s="1132" t="str">
        <f t="shared" si="176"/>
        <v>Nicor Gas PY11-PY14 Adjustable Goals Template_2025-03-01, Tab 5.4.4</v>
      </c>
      <c r="BH244" s="2247">
        <f>'5.4.4'!$O$12</f>
        <v>3.0219557759999969</v>
      </c>
      <c r="BI244" s="2568" t="s">
        <v>557</v>
      </c>
      <c r="BJ244" s="1362">
        <f t="shared" si="198"/>
        <v>1318.4487183434121</v>
      </c>
      <c r="BK244" s="1360">
        <f t="shared" si="177"/>
        <v>102.54601142670958</v>
      </c>
      <c r="BL244" s="1601">
        <f t="shared" si="178"/>
        <v>1318.4487183434121</v>
      </c>
      <c r="BM244" s="1601">
        <f t="shared" si="179"/>
        <v>1318.4487183434121</v>
      </c>
      <c r="BN244" s="1601">
        <f t="shared" si="180"/>
        <v>1318.4487183434121</v>
      </c>
      <c r="BO244" s="1601">
        <f t="shared" si="181"/>
        <v>1318.4487183434121</v>
      </c>
      <c r="BP244" s="1602">
        <f t="shared" si="182"/>
        <v>5273.7948733736484</v>
      </c>
      <c r="BQ244" s="1605"/>
      <c r="BR244" s="1605" t="s">
        <v>697</v>
      </c>
      <c r="BS244" s="1602">
        <v>0</v>
      </c>
      <c r="BT244" s="1602">
        <v>10</v>
      </c>
      <c r="BU244" s="1602">
        <v>10</v>
      </c>
      <c r="BV244" s="1602">
        <v>10</v>
      </c>
      <c r="BW244" s="1602">
        <v>10</v>
      </c>
      <c r="BX244" s="1362">
        <f t="shared" si="199"/>
        <v>12159.027069167025</v>
      </c>
      <c r="BY244" s="1362">
        <f t="shared" si="200"/>
        <v>12159.027069167025</v>
      </c>
      <c r="BZ244" s="1362">
        <f t="shared" si="201"/>
        <v>12159.027069167025</v>
      </c>
      <c r="CA244" s="1362">
        <f t="shared" si="202"/>
        <v>12159.027069167025</v>
      </c>
      <c r="CB244" s="1362">
        <f t="shared" si="203"/>
        <v>48636.108276668099</v>
      </c>
      <c r="CC244" s="1360">
        <v>10</v>
      </c>
      <c r="CD244" s="1360">
        <v>10</v>
      </c>
      <c r="CE244" s="1360">
        <v>10</v>
      </c>
      <c r="CF244" s="1360">
        <v>10</v>
      </c>
      <c r="CG244" s="1604">
        <f t="shared" si="183"/>
        <v>13184.487183434121</v>
      </c>
      <c r="CH244" s="1604">
        <f t="shared" si="184"/>
        <v>13184.487183434121</v>
      </c>
      <c r="CI244" s="1604">
        <f t="shared" si="185"/>
        <v>13184.487183434121</v>
      </c>
      <c r="CJ244" s="1604">
        <f t="shared" si="186"/>
        <v>13184.487183434121</v>
      </c>
      <c r="CK244" s="1521">
        <f t="shared" si="187"/>
        <v>52737.948733736484</v>
      </c>
      <c r="CL244" s="1132">
        <v>237</v>
      </c>
      <c r="CM244" s="1132" t="s">
        <v>328</v>
      </c>
      <c r="CN244" s="1359">
        <v>1</v>
      </c>
      <c r="CO244" s="1360">
        <v>215.53387547682192</v>
      </c>
      <c r="CP244" s="1360">
        <v>215.53387547682192</v>
      </c>
      <c r="CQ244" s="1360">
        <v>215.53387547682192</v>
      </c>
      <c r="CR244" s="1360">
        <v>215.53387547682192</v>
      </c>
      <c r="CS244" s="1362">
        <f t="shared" si="188"/>
        <v>642.7217591485595</v>
      </c>
      <c r="CT244" s="1362">
        <f t="shared" si="189"/>
        <v>642.7217591485595</v>
      </c>
      <c r="CU244" s="1362">
        <f t="shared" si="190"/>
        <v>642.7217591485595</v>
      </c>
      <c r="CV244" s="1362">
        <f t="shared" si="191"/>
        <v>642.7217591485595</v>
      </c>
      <c r="CW244" s="1362">
        <f t="shared" si="192"/>
        <v>2570.887036594238</v>
      </c>
      <c r="CY244" s="2887"/>
    </row>
    <row r="245" spans="1:103" s="1143" customFormat="1" ht="62" x14ac:dyDescent="0.35">
      <c r="A245" s="1132" t="s">
        <v>109</v>
      </c>
      <c r="B245" s="1132" t="s">
        <v>686</v>
      </c>
      <c r="C245" s="1132" t="s">
        <v>701</v>
      </c>
      <c r="D245" s="1359" t="s">
        <v>702</v>
      </c>
      <c r="E245" s="1359">
        <v>1</v>
      </c>
      <c r="F245" s="2807" t="s">
        <v>703</v>
      </c>
      <c r="G245" s="1132" t="s">
        <v>356</v>
      </c>
      <c r="H245" s="1360">
        <v>4637.5061250000008</v>
      </c>
      <c r="I245" s="1360">
        <v>4637.5061250000008</v>
      </c>
      <c r="J245" s="1360">
        <v>4637.5061250000008</v>
      </c>
      <c r="K245" s="1360">
        <v>4637.5061250000008</v>
      </c>
      <c r="L245" s="1132" t="s">
        <v>704</v>
      </c>
      <c r="M245" s="1132" t="str">
        <f t="shared" si="154"/>
        <v>Nicor Gas PY11-PY14 Adjustable Goals Template_2025-03-01, Tab 5.4.1</v>
      </c>
      <c r="N245" s="1361">
        <v>0.88064584615384589</v>
      </c>
      <c r="O245" s="1361">
        <v>0.88064584615384589</v>
      </c>
      <c r="P245" s="1361">
        <v>0.88064584615384589</v>
      </c>
      <c r="Q245" s="1361">
        <v>0.88064584615384589</v>
      </c>
      <c r="R245" s="1781">
        <v>0.99</v>
      </c>
      <c r="S245" s="1781">
        <v>0.99</v>
      </c>
      <c r="T245" s="1781">
        <v>0.99</v>
      </c>
      <c r="U245" s="1781">
        <v>0.99</v>
      </c>
      <c r="V245" s="1781">
        <v>0.99</v>
      </c>
      <c r="W245" s="1781">
        <v>0.99</v>
      </c>
      <c r="X245" s="1781">
        <v>0.99</v>
      </c>
      <c r="Y245" s="1781">
        <v>0.99</v>
      </c>
      <c r="Z245" s="1359">
        <v>0</v>
      </c>
      <c r="AA245" s="1781">
        <f t="shared" si="155"/>
        <v>0.99</v>
      </c>
      <c r="AB245" s="1781">
        <f t="shared" si="156"/>
        <v>0.99</v>
      </c>
      <c r="AC245" s="1781">
        <f t="shared" si="157"/>
        <v>0.99</v>
      </c>
      <c r="AD245" s="1781">
        <f t="shared" si="158"/>
        <v>0.99</v>
      </c>
      <c r="AE245" s="1781">
        <f t="shared" si="159"/>
        <v>0.99</v>
      </c>
      <c r="AF245" s="1781">
        <f t="shared" si="160"/>
        <v>0.99</v>
      </c>
      <c r="AG245" s="1781">
        <f t="shared" si="161"/>
        <v>0.99</v>
      </c>
      <c r="AH245" s="1781">
        <f t="shared" si="162"/>
        <v>0.99</v>
      </c>
      <c r="AI245" s="1362">
        <f t="shared" si="193"/>
        <v>4043.1605004393259</v>
      </c>
      <c r="AJ245" s="1362">
        <f t="shared" si="194"/>
        <v>4043.1605004393259</v>
      </c>
      <c r="AK245" s="1362">
        <f t="shared" si="195"/>
        <v>4043.1605004393259</v>
      </c>
      <c r="AL245" s="1362">
        <f t="shared" si="196"/>
        <v>4043.1605004393259</v>
      </c>
      <c r="AM245" s="1362">
        <f t="shared" si="197"/>
        <v>16172.642001757304</v>
      </c>
      <c r="AN245" s="1132" t="str">
        <f t="shared" si="163"/>
        <v>RS-HWE-PINS-V02-150601</v>
      </c>
      <c r="AO245" s="1132" t="str">
        <f t="shared" si="164"/>
        <v>Nicor Gas PY11-PY14 Adjustable Goals Template_2025-03-01, Tab 5.4.1</v>
      </c>
      <c r="AP245" s="2738">
        <f>'5.4.1'!$P$7</f>
        <v>2.1563397498882169</v>
      </c>
      <c r="AQ245" s="2568" t="s">
        <v>705</v>
      </c>
      <c r="AR245" s="2505">
        <f t="shared" si="165"/>
        <v>9900.0384097106999</v>
      </c>
      <c r="AS245" s="2505">
        <f t="shared" si="166"/>
        <v>5856.8779092713739</v>
      </c>
      <c r="AT245" s="1132" t="str">
        <f t="shared" si="167"/>
        <v>RS-HWE-PINS-V02-150601</v>
      </c>
      <c r="AU245" s="1132" t="str">
        <f t="shared" si="168"/>
        <v>Nicor Gas PY11-PY14 Adjustable Goals Template_2025-03-01, Tab 5.4.1</v>
      </c>
      <c r="AV245" s="2247">
        <f>'5.4.1'!$P$7</f>
        <v>2.1563397498882169</v>
      </c>
      <c r="AW245" s="2568" t="s">
        <v>705</v>
      </c>
      <c r="AX245" s="1362">
        <f t="shared" si="169"/>
        <v>9900.0384097106999</v>
      </c>
      <c r="AY245" s="1360">
        <f t="shared" si="170"/>
        <v>5856.8779092713739</v>
      </c>
      <c r="AZ245" s="1132" t="str">
        <f t="shared" si="171"/>
        <v>RS-HWE-PINS-V02-150601</v>
      </c>
      <c r="BA245" s="1132" t="str">
        <f t="shared" si="172"/>
        <v>Nicor Gas PY11-PY14 Adjustable Goals Template_2025-03-01, Tab 5.4.1</v>
      </c>
      <c r="BB245" s="2247">
        <f>'5.4.1'!$P$7</f>
        <v>2.1563397498882169</v>
      </c>
      <c r="BC245" s="2568" t="s">
        <v>705</v>
      </c>
      <c r="BD245" s="1362">
        <f t="shared" si="173"/>
        <v>9900.0384097106999</v>
      </c>
      <c r="BE245" s="1360">
        <f t="shared" si="174"/>
        <v>5856.8779092713739</v>
      </c>
      <c r="BF245" s="1132" t="str">
        <f t="shared" si="175"/>
        <v>RS-HWE-PINS-V02-150601</v>
      </c>
      <c r="BG245" s="1132" t="str">
        <f t="shared" si="176"/>
        <v>Nicor Gas PY11-PY14 Adjustable Goals Template_2025-03-01, Tab 5.4.1</v>
      </c>
      <c r="BH245" s="2247">
        <f>'5.4.1'!$P$7</f>
        <v>2.1563397498882169</v>
      </c>
      <c r="BI245" s="2568" t="s">
        <v>705</v>
      </c>
      <c r="BJ245" s="1362">
        <f t="shared" si="198"/>
        <v>9900.0384097106999</v>
      </c>
      <c r="BK245" s="1360">
        <f t="shared" si="177"/>
        <v>5856.8779092713739</v>
      </c>
      <c r="BL245" s="1601">
        <f t="shared" si="178"/>
        <v>9900.0384097106999</v>
      </c>
      <c r="BM245" s="1601">
        <f t="shared" si="179"/>
        <v>9900.0384097106999</v>
      </c>
      <c r="BN245" s="1601">
        <f t="shared" si="180"/>
        <v>9900.0384097106999</v>
      </c>
      <c r="BO245" s="1601">
        <f t="shared" si="181"/>
        <v>9900.0384097106999</v>
      </c>
      <c r="BP245" s="1602">
        <f t="shared" si="182"/>
        <v>39600.153638842799</v>
      </c>
      <c r="BQ245" s="1605"/>
      <c r="BR245" s="1605" t="s">
        <v>703</v>
      </c>
      <c r="BS245" s="1602">
        <v>0</v>
      </c>
      <c r="BT245" s="1602">
        <v>15</v>
      </c>
      <c r="BU245" s="1602">
        <v>15</v>
      </c>
      <c r="BV245" s="1602">
        <v>15</v>
      </c>
      <c r="BW245" s="1602">
        <v>15</v>
      </c>
      <c r="BX245" s="1362">
        <f t="shared" si="199"/>
        <v>60647.407506589887</v>
      </c>
      <c r="BY245" s="1362">
        <f t="shared" si="200"/>
        <v>60647.407506589887</v>
      </c>
      <c r="BZ245" s="1362">
        <f t="shared" si="201"/>
        <v>60647.407506589887</v>
      </c>
      <c r="CA245" s="1362">
        <f t="shared" si="202"/>
        <v>60647.407506589887</v>
      </c>
      <c r="CB245" s="1362">
        <f t="shared" si="203"/>
        <v>242589.63002635955</v>
      </c>
      <c r="CC245" s="1360">
        <v>15</v>
      </c>
      <c r="CD245" s="1360">
        <v>15</v>
      </c>
      <c r="CE245" s="1360">
        <v>15</v>
      </c>
      <c r="CF245" s="1360">
        <v>15</v>
      </c>
      <c r="CG245" s="1604">
        <f t="shared" si="183"/>
        <v>148500.57614566051</v>
      </c>
      <c r="CH245" s="1604">
        <f t="shared" si="184"/>
        <v>148500.57614566051</v>
      </c>
      <c r="CI245" s="1604">
        <f t="shared" si="185"/>
        <v>148500.57614566051</v>
      </c>
      <c r="CJ245" s="1604">
        <f t="shared" si="186"/>
        <v>148500.57614566051</v>
      </c>
      <c r="CK245" s="1521">
        <f t="shared" si="187"/>
        <v>594002.30458264204</v>
      </c>
      <c r="CL245" s="1132">
        <v>238</v>
      </c>
      <c r="CM245" s="1132" t="s">
        <v>356</v>
      </c>
      <c r="CN245" s="1359">
        <v>1</v>
      </c>
      <c r="CO245" s="1360">
        <v>2451.3680417956039</v>
      </c>
      <c r="CP245" s="1360">
        <v>2451.3680417956039</v>
      </c>
      <c r="CQ245" s="1360">
        <v>2451.3680417956039</v>
      </c>
      <c r="CR245" s="1360">
        <v>2451.3680417956039</v>
      </c>
      <c r="CS245" s="1362">
        <f t="shared" si="188"/>
        <v>2137.1992125675697</v>
      </c>
      <c r="CT245" s="1362">
        <f t="shared" si="189"/>
        <v>2137.1992125675697</v>
      </c>
      <c r="CU245" s="1362">
        <f t="shared" si="190"/>
        <v>2137.1992125675697</v>
      </c>
      <c r="CV245" s="1362">
        <f t="shared" si="191"/>
        <v>2137.1992125675697</v>
      </c>
      <c r="CW245" s="1362">
        <f t="shared" si="192"/>
        <v>8548.7968502702788</v>
      </c>
      <c r="CY245" s="2887"/>
    </row>
    <row r="246" spans="1:103" s="1143" customFormat="1" ht="50.25" customHeight="1" x14ac:dyDescent="0.35">
      <c r="A246" s="1132" t="s">
        <v>109</v>
      </c>
      <c r="B246" s="1132" t="s">
        <v>686</v>
      </c>
      <c r="C246" s="1132" t="s">
        <v>706</v>
      </c>
      <c r="D246" s="1359" t="s">
        <v>707</v>
      </c>
      <c r="E246" s="1359">
        <v>1</v>
      </c>
      <c r="F246" s="2564" t="s">
        <v>708</v>
      </c>
      <c r="G246" s="1132" t="s">
        <v>328</v>
      </c>
      <c r="H246" s="1360">
        <v>430.97845000000001</v>
      </c>
      <c r="I246" s="1360">
        <v>430.97845000000001</v>
      </c>
      <c r="J246" s="1360">
        <v>430.97845000000001</v>
      </c>
      <c r="K246" s="1360">
        <v>430.97845000000001</v>
      </c>
      <c r="L246" s="1132" t="s">
        <v>709</v>
      </c>
      <c r="M246" s="1132" t="str">
        <f t="shared" si="154"/>
        <v>Nicor Gas PY11-PY14 Adjustable Goals Template_2025-03-01, Tab 5.3.11</v>
      </c>
      <c r="N246" s="1361">
        <v>62.31</v>
      </c>
      <c r="O246" s="1361">
        <v>62.31</v>
      </c>
      <c r="P246" s="1361">
        <v>62.31</v>
      </c>
      <c r="Q246" s="1361">
        <v>62.31</v>
      </c>
      <c r="R246" s="1781">
        <v>0.81</v>
      </c>
      <c r="S246" s="1781">
        <v>0.81</v>
      </c>
      <c r="T246" s="1781">
        <v>0.81</v>
      </c>
      <c r="U246" s="1781">
        <v>0.81</v>
      </c>
      <c r="V246" s="1781">
        <v>0.81</v>
      </c>
      <c r="W246" s="1781">
        <v>0.81</v>
      </c>
      <c r="X246" s="1781">
        <v>0.81</v>
      </c>
      <c r="Y246" s="1781">
        <v>0.81</v>
      </c>
      <c r="Z246" s="1359">
        <v>0</v>
      </c>
      <c r="AA246" s="1781">
        <f t="shared" si="155"/>
        <v>0.81</v>
      </c>
      <c r="AB246" s="1781">
        <f t="shared" si="156"/>
        <v>0.81</v>
      </c>
      <c r="AC246" s="1781">
        <f t="shared" si="157"/>
        <v>0.81</v>
      </c>
      <c r="AD246" s="1781">
        <f t="shared" si="158"/>
        <v>0.81</v>
      </c>
      <c r="AE246" s="1781">
        <f t="shared" si="159"/>
        <v>0.81</v>
      </c>
      <c r="AF246" s="1781">
        <f t="shared" si="160"/>
        <v>0.81</v>
      </c>
      <c r="AG246" s="1781">
        <f t="shared" si="161"/>
        <v>0.81</v>
      </c>
      <c r="AH246" s="1781">
        <f t="shared" si="162"/>
        <v>0.81</v>
      </c>
      <c r="AI246" s="1362">
        <f t="shared" si="193"/>
        <v>21751.956447795004</v>
      </c>
      <c r="AJ246" s="1362">
        <f t="shared" si="194"/>
        <v>21751.956447795004</v>
      </c>
      <c r="AK246" s="1362">
        <f t="shared" si="195"/>
        <v>21751.956447795004</v>
      </c>
      <c r="AL246" s="1362">
        <f t="shared" si="196"/>
        <v>21751.956447795004</v>
      </c>
      <c r="AM246" s="1362">
        <f t="shared" si="197"/>
        <v>87007.825791180017</v>
      </c>
      <c r="AN246" s="1132" t="str">
        <f t="shared" si="163"/>
        <v>RS-HVC-PROG-V05-190101</v>
      </c>
      <c r="AO246" s="1132" t="str">
        <f t="shared" si="164"/>
        <v>Nicor Gas PY11-PY14 Adjustable Goals Template_2025-03-01, Tab 5.3.11</v>
      </c>
      <c r="AP246" s="2247">
        <f>'5.3.11'!$Q$10</f>
        <v>62.31</v>
      </c>
      <c r="AQ246" s="2505"/>
      <c r="AR246" s="2505">
        <f t="shared" si="165"/>
        <v>21751.956447795004</v>
      </c>
      <c r="AS246" s="2505">
        <f t="shared" si="166"/>
        <v>0</v>
      </c>
      <c r="AT246" s="1132" t="str">
        <f t="shared" si="167"/>
        <v>RS-HVC-PROG-V05-190101</v>
      </c>
      <c r="AU246" s="1132" t="str">
        <f t="shared" si="168"/>
        <v>Nicor Gas PY11-PY14 Adjustable Goals Template_2025-03-01, Tab 5.3.11</v>
      </c>
      <c r="AV246" s="2247">
        <f>'5.3.11'!$Q$10</f>
        <v>62.31</v>
      </c>
      <c r="AW246" s="2505"/>
      <c r="AX246" s="1362">
        <f t="shared" si="169"/>
        <v>21751.956447795004</v>
      </c>
      <c r="AY246" s="1360">
        <f t="shared" si="170"/>
        <v>0</v>
      </c>
      <c r="AZ246" s="1132" t="str">
        <f t="shared" si="171"/>
        <v>RS-HVC-PROG-V05-190101</v>
      </c>
      <c r="BA246" s="1132" t="str">
        <f t="shared" si="172"/>
        <v>Nicor Gas PY11-PY14 Adjustable Goals Template_2025-03-01, Tab 5.3.11</v>
      </c>
      <c r="BB246" s="2247">
        <f>'5.3.11'!$Q$10</f>
        <v>62.31</v>
      </c>
      <c r="BC246" s="2505"/>
      <c r="BD246" s="1362">
        <f t="shared" si="173"/>
        <v>21751.956447795004</v>
      </c>
      <c r="BE246" s="1360">
        <f t="shared" si="174"/>
        <v>0</v>
      </c>
      <c r="BF246" s="1132" t="str">
        <f t="shared" si="175"/>
        <v>RS-HVC-PROG-V05-190101</v>
      </c>
      <c r="BG246" s="1132" t="str">
        <f t="shared" si="176"/>
        <v>Nicor Gas PY11-PY14 Adjustable Goals Template_2025-03-01, Tab 5.3.11</v>
      </c>
      <c r="BH246" s="2247">
        <f>'5.3.11'!$Q$10</f>
        <v>62.31</v>
      </c>
      <c r="BI246" s="2505"/>
      <c r="BJ246" s="1362">
        <f t="shared" si="198"/>
        <v>21751.956447795004</v>
      </c>
      <c r="BK246" s="1360">
        <f t="shared" si="177"/>
        <v>0</v>
      </c>
      <c r="BL246" s="1601">
        <f t="shared" si="178"/>
        <v>21751.956447795004</v>
      </c>
      <c r="BM246" s="1601">
        <f t="shared" si="179"/>
        <v>21751.956447795004</v>
      </c>
      <c r="BN246" s="1601">
        <f t="shared" si="180"/>
        <v>21751.956447795004</v>
      </c>
      <c r="BO246" s="1601">
        <f t="shared" si="181"/>
        <v>21751.956447795004</v>
      </c>
      <c r="BP246" s="1602">
        <f t="shared" si="182"/>
        <v>87007.825791180017</v>
      </c>
      <c r="BQ246" s="1605"/>
      <c r="BR246" s="1605" t="s">
        <v>708</v>
      </c>
      <c r="BS246" s="1602">
        <v>0</v>
      </c>
      <c r="BT246" s="1602">
        <v>8</v>
      </c>
      <c r="BU246" s="1602">
        <v>8</v>
      </c>
      <c r="BV246" s="1602">
        <v>8</v>
      </c>
      <c r="BW246" s="1602">
        <v>8</v>
      </c>
      <c r="BX246" s="1362">
        <f t="shared" si="199"/>
        <v>174015.65158236003</v>
      </c>
      <c r="BY246" s="1362">
        <f t="shared" si="200"/>
        <v>174015.65158236003</v>
      </c>
      <c r="BZ246" s="1362">
        <f t="shared" si="201"/>
        <v>174015.65158236003</v>
      </c>
      <c r="CA246" s="1362">
        <f t="shared" si="202"/>
        <v>174015.65158236003</v>
      </c>
      <c r="CB246" s="1362">
        <f t="shared" si="203"/>
        <v>696062.60632944014</v>
      </c>
      <c r="CC246" s="1360">
        <v>8</v>
      </c>
      <c r="CD246" s="1360">
        <v>8</v>
      </c>
      <c r="CE246" s="1360">
        <v>8</v>
      </c>
      <c r="CF246" s="1360">
        <v>8</v>
      </c>
      <c r="CG246" s="1604">
        <f t="shared" si="183"/>
        <v>174015.65158236003</v>
      </c>
      <c r="CH246" s="1604">
        <f t="shared" si="184"/>
        <v>174015.65158236003</v>
      </c>
      <c r="CI246" s="1604">
        <f t="shared" si="185"/>
        <v>174015.65158236003</v>
      </c>
      <c r="CJ246" s="1604">
        <f t="shared" si="186"/>
        <v>174015.65158236003</v>
      </c>
      <c r="CK246" s="1521">
        <f t="shared" si="187"/>
        <v>696062.60632944014</v>
      </c>
      <c r="CL246" s="1132">
        <v>239</v>
      </c>
      <c r="CM246" s="1132" t="s">
        <v>328</v>
      </c>
      <c r="CN246" s="1359">
        <v>1</v>
      </c>
      <c r="CO246" s="1360">
        <v>227.81438874939502</v>
      </c>
      <c r="CP246" s="1360">
        <v>227.81438874939502</v>
      </c>
      <c r="CQ246" s="1360">
        <v>227.81438874939502</v>
      </c>
      <c r="CR246" s="1360">
        <v>227.81438874939502</v>
      </c>
      <c r="CS246" s="1362">
        <f t="shared" si="188"/>
        <v>11498.042796009593</v>
      </c>
      <c r="CT246" s="1362">
        <f t="shared" si="189"/>
        <v>11498.042796009593</v>
      </c>
      <c r="CU246" s="1362">
        <f t="shared" si="190"/>
        <v>11498.042796009593</v>
      </c>
      <c r="CV246" s="1362">
        <f t="shared" si="191"/>
        <v>11498.042796009593</v>
      </c>
      <c r="CW246" s="1362">
        <f t="shared" si="192"/>
        <v>45992.171184038372</v>
      </c>
      <c r="CY246" s="2887"/>
    </row>
    <row r="247" spans="1:103" s="1143" customFormat="1" ht="81.75" customHeight="1" x14ac:dyDescent="0.35">
      <c r="A247" s="1132" t="s">
        <v>109</v>
      </c>
      <c r="B247" s="1132" t="s">
        <v>686</v>
      </c>
      <c r="C247" s="1132" t="s">
        <v>710</v>
      </c>
      <c r="D247" s="1359" t="s">
        <v>711</v>
      </c>
      <c r="E247" s="1359">
        <v>1</v>
      </c>
      <c r="F247" s="1780" t="s">
        <v>708</v>
      </c>
      <c r="G247" s="1132" t="s">
        <v>328</v>
      </c>
      <c r="H247" s="1360">
        <v>463.18492500000002</v>
      </c>
      <c r="I247" s="1360">
        <v>463.18492500000002</v>
      </c>
      <c r="J247" s="1360">
        <v>463.18492500000002</v>
      </c>
      <c r="K247" s="1360">
        <v>463.18492500000002</v>
      </c>
      <c r="L247" s="1132" t="s">
        <v>709</v>
      </c>
      <c r="M247" s="1132" t="str">
        <f t="shared" si="154"/>
        <v>Nicor Gas PY11-PY14 Adjustable Goals Template_2025-03-01, Tab 5.3.11</v>
      </c>
      <c r="N247" s="1361">
        <v>62.31</v>
      </c>
      <c r="O247" s="1361">
        <v>62.31</v>
      </c>
      <c r="P247" s="1361">
        <v>62.31</v>
      </c>
      <c r="Q247" s="1361">
        <v>62.31</v>
      </c>
      <c r="R247" s="1781">
        <v>0.85</v>
      </c>
      <c r="S247" s="1781">
        <v>0.85</v>
      </c>
      <c r="T247" s="1781">
        <v>0.85</v>
      </c>
      <c r="U247" s="1781">
        <v>0.85</v>
      </c>
      <c r="V247" s="1781">
        <v>0.85</v>
      </c>
      <c r="W247" s="1781">
        <v>0.85</v>
      </c>
      <c r="X247" s="1781">
        <v>0.85</v>
      </c>
      <c r="Y247" s="1781">
        <v>0.85</v>
      </c>
      <c r="Z247" s="1359">
        <v>0</v>
      </c>
      <c r="AA247" s="1781">
        <f t="shared" si="155"/>
        <v>0.85</v>
      </c>
      <c r="AB247" s="1781">
        <f t="shared" si="156"/>
        <v>0.85</v>
      </c>
      <c r="AC247" s="1781">
        <f t="shared" si="157"/>
        <v>0.85</v>
      </c>
      <c r="AD247" s="1781">
        <f t="shared" si="158"/>
        <v>0.85</v>
      </c>
      <c r="AE247" s="1781">
        <f t="shared" si="159"/>
        <v>0.85</v>
      </c>
      <c r="AF247" s="1781">
        <f t="shared" si="160"/>
        <v>0.85</v>
      </c>
      <c r="AG247" s="1781">
        <f t="shared" si="161"/>
        <v>0.85</v>
      </c>
      <c r="AH247" s="1781">
        <f t="shared" si="162"/>
        <v>0.85</v>
      </c>
      <c r="AI247" s="1362">
        <f t="shared" si="193"/>
        <v>24531.894775237499</v>
      </c>
      <c r="AJ247" s="1362">
        <f t="shared" si="194"/>
        <v>24531.894775237499</v>
      </c>
      <c r="AK247" s="1362">
        <f t="shared" si="195"/>
        <v>24531.894775237499</v>
      </c>
      <c r="AL247" s="1362">
        <f t="shared" si="196"/>
        <v>24531.894775237499</v>
      </c>
      <c r="AM247" s="1362">
        <f t="shared" si="197"/>
        <v>98127.579100949995</v>
      </c>
      <c r="AN247" s="1132" t="str">
        <f t="shared" si="163"/>
        <v>RS-HVC-PROG-V05-190101</v>
      </c>
      <c r="AO247" s="1132" t="str">
        <f t="shared" si="164"/>
        <v>Nicor Gas PY11-PY14 Adjustable Goals Template_2025-03-01, Tab 5.3.11</v>
      </c>
      <c r="AP247" s="2247">
        <f>'5.3.11'!$Q$11</f>
        <v>62.31</v>
      </c>
      <c r="AQ247" s="2505"/>
      <c r="AR247" s="2505">
        <f t="shared" si="165"/>
        <v>24531.894775237499</v>
      </c>
      <c r="AS247" s="2505">
        <f t="shared" si="166"/>
        <v>0</v>
      </c>
      <c r="AT247" s="1132" t="str">
        <f t="shared" si="167"/>
        <v>RS-HVC-PROG-V05-190101</v>
      </c>
      <c r="AU247" s="1132" t="str">
        <f t="shared" si="168"/>
        <v>Nicor Gas PY11-PY14 Adjustable Goals Template_2025-03-01, Tab 5.3.11</v>
      </c>
      <c r="AV247" s="2247">
        <f>'5.3.11'!$Q$11</f>
        <v>62.31</v>
      </c>
      <c r="AW247" s="2505"/>
      <c r="AX247" s="1362">
        <f t="shared" si="169"/>
        <v>24531.894775237499</v>
      </c>
      <c r="AY247" s="1360">
        <f t="shared" si="170"/>
        <v>0</v>
      </c>
      <c r="AZ247" s="1132" t="str">
        <f t="shared" si="171"/>
        <v>RS-HVC-PROG-V05-190101</v>
      </c>
      <c r="BA247" s="1132" t="str">
        <f t="shared" si="172"/>
        <v>Nicor Gas PY11-PY14 Adjustable Goals Template_2025-03-01, Tab 5.3.11</v>
      </c>
      <c r="BB247" s="2247">
        <f>'5.3.11'!$Q$11</f>
        <v>62.31</v>
      </c>
      <c r="BC247" s="2505"/>
      <c r="BD247" s="1362">
        <f t="shared" si="173"/>
        <v>24531.894775237499</v>
      </c>
      <c r="BE247" s="1360">
        <f t="shared" si="174"/>
        <v>0</v>
      </c>
      <c r="BF247" s="1132" t="str">
        <f t="shared" si="175"/>
        <v>RS-HVC-PROG-V05-190101</v>
      </c>
      <c r="BG247" s="1132" t="str">
        <f t="shared" si="176"/>
        <v>Nicor Gas PY11-PY14 Adjustable Goals Template_2025-03-01, Tab 5.3.11</v>
      </c>
      <c r="BH247" s="2247">
        <f>'5.3.11'!$Q$11</f>
        <v>62.31</v>
      </c>
      <c r="BI247" s="2505"/>
      <c r="BJ247" s="1362">
        <f t="shared" si="198"/>
        <v>24531.894775237499</v>
      </c>
      <c r="BK247" s="1360">
        <f t="shared" si="177"/>
        <v>0</v>
      </c>
      <c r="BL247" s="1601">
        <f t="shared" si="178"/>
        <v>24531.894775237499</v>
      </c>
      <c r="BM247" s="1601">
        <f t="shared" si="179"/>
        <v>24531.894775237499</v>
      </c>
      <c r="BN247" s="1601">
        <f t="shared" si="180"/>
        <v>24531.894775237499</v>
      </c>
      <c r="BO247" s="1601">
        <f t="shared" si="181"/>
        <v>24531.894775237499</v>
      </c>
      <c r="BP247" s="1602">
        <f t="shared" si="182"/>
        <v>98127.579100949995</v>
      </c>
      <c r="BQ247" s="1605"/>
      <c r="BR247" s="1605" t="s">
        <v>708</v>
      </c>
      <c r="BS247" s="1602">
        <v>0</v>
      </c>
      <c r="BT247" s="1602">
        <v>2</v>
      </c>
      <c r="BU247" s="1602">
        <v>2</v>
      </c>
      <c r="BV247" s="1602">
        <v>2</v>
      </c>
      <c r="BW247" s="1602">
        <v>2</v>
      </c>
      <c r="BX247" s="1362">
        <f t="shared" si="199"/>
        <v>49063.789550474998</v>
      </c>
      <c r="BY247" s="1362">
        <f t="shared" si="200"/>
        <v>49063.789550474998</v>
      </c>
      <c r="BZ247" s="1362">
        <f t="shared" si="201"/>
        <v>49063.789550474998</v>
      </c>
      <c r="CA247" s="1362">
        <f t="shared" si="202"/>
        <v>49063.789550474998</v>
      </c>
      <c r="CB247" s="1362">
        <f t="shared" si="203"/>
        <v>196255.15820189999</v>
      </c>
      <c r="CC247" s="1360">
        <v>2</v>
      </c>
      <c r="CD247" s="1360">
        <v>2</v>
      </c>
      <c r="CE247" s="1360">
        <v>2</v>
      </c>
      <c r="CF247" s="1360">
        <v>2</v>
      </c>
      <c r="CG247" s="1604">
        <f t="shared" si="183"/>
        <v>49063.789550475005</v>
      </c>
      <c r="CH247" s="1604">
        <f t="shared" si="184"/>
        <v>49063.789550475005</v>
      </c>
      <c r="CI247" s="1604">
        <f t="shared" si="185"/>
        <v>49063.789550475005</v>
      </c>
      <c r="CJ247" s="1604">
        <f t="shared" si="186"/>
        <v>49063.789550475005</v>
      </c>
      <c r="CK247" s="1521">
        <f t="shared" si="187"/>
        <v>196255.15820190002</v>
      </c>
      <c r="CL247" s="1132">
        <v>240</v>
      </c>
      <c r="CM247" s="1132" t="s">
        <v>328</v>
      </c>
      <c r="CN247" s="1359">
        <v>1</v>
      </c>
      <c r="CO247" s="1360">
        <v>244.83642651941761</v>
      </c>
      <c r="CP247" s="1360">
        <v>244.83642651941761</v>
      </c>
      <c r="CQ247" s="1360">
        <v>244.83642651941761</v>
      </c>
      <c r="CR247" s="1360">
        <v>244.83642651941761</v>
      </c>
      <c r="CS247" s="1362">
        <f t="shared" si="188"/>
        <v>12967.394075961174</v>
      </c>
      <c r="CT247" s="1362">
        <f t="shared" si="189"/>
        <v>12967.394075961174</v>
      </c>
      <c r="CU247" s="1362">
        <f t="shared" si="190"/>
        <v>12967.394075961174</v>
      </c>
      <c r="CV247" s="1362">
        <f t="shared" si="191"/>
        <v>12967.394075961174</v>
      </c>
      <c r="CW247" s="1362">
        <f t="shared" si="192"/>
        <v>51869.576303844697</v>
      </c>
      <c r="CY247" s="2887"/>
    </row>
    <row r="248" spans="1:103" s="1143" customFormat="1" ht="15" customHeight="1" x14ac:dyDescent="0.35">
      <c r="A248" s="1132" t="s">
        <v>109</v>
      </c>
      <c r="B248" s="1132" t="s">
        <v>686</v>
      </c>
      <c r="C248" s="1132" t="s">
        <v>712</v>
      </c>
      <c r="D248" s="1359" t="s">
        <v>713</v>
      </c>
      <c r="E248" s="1359">
        <v>1</v>
      </c>
      <c r="F248" s="1780" t="s">
        <v>649</v>
      </c>
      <c r="G248" s="1132" t="s">
        <v>356</v>
      </c>
      <c r="H248" s="1360">
        <v>393.71850000000001</v>
      </c>
      <c r="I248" s="1360">
        <v>393.71850000000001</v>
      </c>
      <c r="J248" s="1360">
        <v>393.71850000000001</v>
      </c>
      <c r="K248" s="1360">
        <v>393.71850000000001</v>
      </c>
      <c r="L248" s="1132" t="s">
        <v>650</v>
      </c>
      <c r="M248" s="1132" t="str">
        <f t="shared" si="154"/>
        <v>Nicor Gas PY11-PY14 Adjustable Goals Template_2025-03-01, Tab 5.3.16</v>
      </c>
      <c r="N248" s="1361">
        <v>85.399500000000003</v>
      </c>
      <c r="O248" s="1361">
        <v>85.399500000000003</v>
      </c>
      <c r="P248" s="1361">
        <v>85.399500000000003</v>
      </c>
      <c r="Q248" s="1361">
        <v>85.399500000000003</v>
      </c>
      <c r="R248" s="1781">
        <v>0.9</v>
      </c>
      <c r="S248" s="1781">
        <v>0.9</v>
      </c>
      <c r="T248" s="1781">
        <v>0.9</v>
      </c>
      <c r="U248" s="1781">
        <v>0.9</v>
      </c>
      <c r="V248" s="1781">
        <v>0.9</v>
      </c>
      <c r="W248" s="1781">
        <v>0.9</v>
      </c>
      <c r="X248" s="1781">
        <v>0.9</v>
      </c>
      <c r="Y248" s="1781">
        <v>0.9</v>
      </c>
      <c r="Z248" s="1359">
        <v>0</v>
      </c>
      <c r="AA248" s="1781">
        <f t="shared" si="155"/>
        <v>0.9</v>
      </c>
      <c r="AB248" s="1781">
        <f t="shared" si="156"/>
        <v>0.9</v>
      </c>
      <c r="AC248" s="1781">
        <f t="shared" si="157"/>
        <v>0.9</v>
      </c>
      <c r="AD248" s="1781">
        <f t="shared" si="158"/>
        <v>0.9</v>
      </c>
      <c r="AE248" s="1781">
        <f t="shared" si="159"/>
        <v>0.9</v>
      </c>
      <c r="AF248" s="1781">
        <f t="shared" si="160"/>
        <v>0.9</v>
      </c>
      <c r="AG248" s="1781">
        <f t="shared" si="161"/>
        <v>0.9</v>
      </c>
      <c r="AH248" s="1781">
        <f t="shared" si="162"/>
        <v>0.9</v>
      </c>
      <c r="AI248" s="1362">
        <f t="shared" si="193"/>
        <v>30261.026736675001</v>
      </c>
      <c r="AJ248" s="1362">
        <f t="shared" si="194"/>
        <v>30261.026736675001</v>
      </c>
      <c r="AK248" s="1362">
        <f t="shared" si="195"/>
        <v>30261.026736675001</v>
      </c>
      <c r="AL248" s="1362">
        <f t="shared" si="196"/>
        <v>30261.026736675001</v>
      </c>
      <c r="AM248" s="1362">
        <f t="shared" si="197"/>
        <v>121044.10694670001</v>
      </c>
      <c r="AN248" s="1132" t="str">
        <f t="shared" si="163"/>
        <v>RS-HVC-ADTH-V03-190101</v>
      </c>
      <c r="AO248" s="1132" t="str">
        <f t="shared" si="164"/>
        <v>Nicor Gas PY11-PY14 Adjustable Goals Template_2025-03-01, Tab 5.3.16</v>
      </c>
      <c r="AP248" s="2247">
        <f>'5.3.16'!$S$14</f>
        <v>85.399500000000003</v>
      </c>
      <c r="AQ248" s="2505"/>
      <c r="AR248" s="2505">
        <f t="shared" si="165"/>
        <v>30261.026736675001</v>
      </c>
      <c r="AS248" s="2505">
        <f t="shared" si="166"/>
        <v>0</v>
      </c>
      <c r="AT248" s="1132" t="str">
        <f t="shared" si="167"/>
        <v>RS-HVC-ADTH-V03-190101</v>
      </c>
      <c r="AU248" s="1132" t="str">
        <f t="shared" si="168"/>
        <v>Nicor Gas PY11-PY14 Adjustable Goals Template_2025-03-01, Tab 5.3.16</v>
      </c>
      <c r="AV248" s="2247">
        <f>'5.3.16'!$S$14</f>
        <v>85.399500000000003</v>
      </c>
      <c r="AW248" s="2505"/>
      <c r="AX248" s="1362">
        <f t="shared" si="169"/>
        <v>30261.026736675001</v>
      </c>
      <c r="AY248" s="1360">
        <f t="shared" si="170"/>
        <v>0</v>
      </c>
      <c r="AZ248" s="1132" t="str">
        <f t="shared" si="171"/>
        <v>RS-HVC-ADTH-V03-190101</v>
      </c>
      <c r="BA248" s="1132" t="str">
        <f t="shared" si="172"/>
        <v>Nicor Gas PY11-PY14 Adjustable Goals Template_2025-03-01, Tab 5.3.16</v>
      </c>
      <c r="BB248" s="2247">
        <f>'5.3.16'!$S$14</f>
        <v>85.399500000000003</v>
      </c>
      <c r="BC248" s="2505"/>
      <c r="BD248" s="1362">
        <f t="shared" si="173"/>
        <v>30261.026736675001</v>
      </c>
      <c r="BE248" s="1360">
        <f t="shared" si="174"/>
        <v>0</v>
      </c>
      <c r="BF248" s="1132" t="str">
        <f t="shared" si="175"/>
        <v>RS-HVC-ADTH-V03-190101</v>
      </c>
      <c r="BG248" s="1132" t="str">
        <f t="shared" si="176"/>
        <v>Nicor Gas PY11-PY14 Adjustable Goals Template_2025-03-01, Tab 5.3.16</v>
      </c>
      <c r="BH248" s="2247">
        <f>'5.3.16'!$S$14</f>
        <v>85.399500000000003</v>
      </c>
      <c r="BI248" s="2505"/>
      <c r="BJ248" s="1362">
        <f t="shared" si="198"/>
        <v>30261.026736675001</v>
      </c>
      <c r="BK248" s="1360">
        <f t="shared" si="177"/>
        <v>0</v>
      </c>
      <c r="BL248" s="1601">
        <f t="shared" si="178"/>
        <v>30261.026736675001</v>
      </c>
      <c r="BM248" s="1601">
        <f t="shared" si="179"/>
        <v>30261.026736675001</v>
      </c>
      <c r="BN248" s="1601">
        <f t="shared" si="180"/>
        <v>30261.026736675001</v>
      </c>
      <c r="BO248" s="1601">
        <f t="shared" si="181"/>
        <v>30261.026736675001</v>
      </c>
      <c r="BP248" s="1602">
        <f t="shared" si="182"/>
        <v>121044.10694670001</v>
      </c>
      <c r="BQ248" s="1605"/>
      <c r="BR248" s="1605" t="s">
        <v>649</v>
      </c>
      <c r="BS248" s="1602">
        <v>0</v>
      </c>
      <c r="BT248" s="1602">
        <v>11</v>
      </c>
      <c r="BU248" s="1602">
        <v>11</v>
      </c>
      <c r="BV248" s="1602">
        <v>11</v>
      </c>
      <c r="BW248" s="1602">
        <v>11</v>
      </c>
      <c r="BX248" s="1362">
        <f t="shared" si="199"/>
        <v>332871.294103425</v>
      </c>
      <c r="BY248" s="1362">
        <f t="shared" si="200"/>
        <v>332871.294103425</v>
      </c>
      <c r="BZ248" s="1362">
        <f t="shared" si="201"/>
        <v>332871.294103425</v>
      </c>
      <c r="CA248" s="1362">
        <f t="shared" si="202"/>
        <v>332871.294103425</v>
      </c>
      <c r="CB248" s="1362">
        <f t="shared" si="203"/>
        <v>1331485.1764137</v>
      </c>
      <c r="CC248" s="1360">
        <v>11</v>
      </c>
      <c r="CD248" s="1360">
        <v>11</v>
      </c>
      <c r="CE248" s="1360">
        <v>11</v>
      </c>
      <c r="CF248" s="1360">
        <v>11</v>
      </c>
      <c r="CG248" s="1604">
        <f t="shared" si="183"/>
        <v>332871.294103425</v>
      </c>
      <c r="CH248" s="1604">
        <f t="shared" si="184"/>
        <v>332871.294103425</v>
      </c>
      <c r="CI248" s="1604">
        <f t="shared" si="185"/>
        <v>332871.294103425</v>
      </c>
      <c r="CJ248" s="1604">
        <f t="shared" si="186"/>
        <v>332871.294103425</v>
      </c>
      <c r="CK248" s="1521">
        <f t="shared" si="187"/>
        <v>1331485.1764137</v>
      </c>
      <c r="CL248" s="1132">
        <v>241</v>
      </c>
      <c r="CM248" s="1132" t="s">
        <v>356</v>
      </c>
      <c r="CN248" s="1359">
        <v>1</v>
      </c>
      <c r="CO248" s="1360">
        <v>204.75802846929864</v>
      </c>
      <c r="CP248" s="1360">
        <v>204.75802846929864</v>
      </c>
      <c r="CQ248" s="1360">
        <v>204.75802846929864</v>
      </c>
      <c r="CR248" s="1360">
        <v>204.75802846929864</v>
      </c>
      <c r="CS248" s="1362">
        <f t="shared" si="188"/>
        <v>15737.609927037482</v>
      </c>
      <c r="CT248" s="1362">
        <f t="shared" si="189"/>
        <v>15737.609927037482</v>
      </c>
      <c r="CU248" s="1362">
        <f t="shared" si="190"/>
        <v>15737.609927037482</v>
      </c>
      <c r="CV248" s="1362">
        <f t="shared" si="191"/>
        <v>15737.609927037482</v>
      </c>
      <c r="CW248" s="1362">
        <f t="shared" si="192"/>
        <v>62950.439708149926</v>
      </c>
      <c r="CY248" s="2887"/>
    </row>
    <row r="249" spans="1:103" s="1143" customFormat="1" ht="85.5" customHeight="1" x14ac:dyDescent="0.35">
      <c r="A249" s="1132" t="s">
        <v>109</v>
      </c>
      <c r="B249" s="1132" t="s">
        <v>686</v>
      </c>
      <c r="C249" s="1132" t="s">
        <v>714</v>
      </c>
      <c r="D249" s="1359" t="s">
        <v>715</v>
      </c>
      <c r="E249" s="1359">
        <v>1</v>
      </c>
      <c r="F249" s="2807" t="s">
        <v>715</v>
      </c>
      <c r="G249" s="1132" t="s">
        <v>356</v>
      </c>
      <c r="H249" s="1360">
        <v>1224.7813200000003</v>
      </c>
      <c r="I249" s="1360">
        <v>1224.7813200000003</v>
      </c>
      <c r="J249" s="1360">
        <v>1224.7813200000003</v>
      </c>
      <c r="K249" s="1360">
        <v>1224.7813200000003</v>
      </c>
      <c r="L249" s="1132" t="s">
        <v>716</v>
      </c>
      <c r="M249" s="1132" t="str">
        <f t="shared" si="154"/>
        <v>Nicor Gas PY11-PY14 Adjustable Goals Template_2025-03-01, Tab 5.6.1,5.4.9</v>
      </c>
      <c r="N249" s="1361">
        <v>16.686086958201138</v>
      </c>
      <c r="O249" s="1361">
        <v>16.686086958201138</v>
      </c>
      <c r="P249" s="1361">
        <v>16.686086958201138</v>
      </c>
      <c r="Q249" s="1361">
        <v>16.686086958201138</v>
      </c>
      <c r="R249" s="1781">
        <v>0.87</v>
      </c>
      <c r="S249" s="1781">
        <v>0.87</v>
      </c>
      <c r="T249" s="1781">
        <v>0.87</v>
      </c>
      <c r="U249" s="1781">
        <v>0.87</v>
      </c>
      <c r="V249" s="2567">
        <v>0.99</v>
      </c>
      <c r="W249" s="2567">
        <v>0.99</v>
      </c>
      <c r="X249" s="2567">
        <v>0.99</v>
      </c>
      <c r="Y249" s="2567">
        <v>0.99</v>
      </c>
      <c r="Z249" s="1359">
        <v>0</v>
      </c>
      <c r="AA249" s="2567">
        <f t="shared" si="155"/>
        <v>0.99</v>
      </c>
      <c r="AB249" s="2567">
        <f t="shared" si="156"/>
        <v>0.99</v>
      </c>
      <c r="AC249" s="2567">
        <f t="shared" si="157"/>
        <v>0.99</v>
      </c>
      <c r="AD249" s="2567">
        <f t="shared" si="158"/>
        <v>0.99</v>
      </c>
      <c r="AE249" s="2567">
        <f t="shared" si="159"/>
        <v>0.99</v>
      </c>
      <c r="AF249" s="2567">
        <f t="shared" si="160"/>
        <v>0.99</v>
      </c>
      <c r="AG249" s="2567">
        <f t="shared" si="161"/>
        <v>0.99</v>
      </c>
      <c r="AH249" s="2567">
        <f t="shared" si="162"/>
        <v>0.99</v>
      </c>
      <c r="AI249" s="1362">
        <f t="shared" si="193"/>
        <v>17780.022620961332</v>
      </c>
      <c r="AJ249" s="1362">
        <f t="shared" si="194"/>
        <v>17780.022620961332</v>
      </c>
      <c r="AK249" s="1362">
        <f t="shared" si="195"/>
        <v>17780.022620961332</v>
      </c>
      <c r="AL249" s="1362">
        <f t="shared" si="196"/>
        <v>17780.022620961332</v>
      </c>
      <c r="AM249" s="1362">
        <f t="shared" si="197"/>
        <v>71120.090483845328</v>
      </c>
      <c r="AN249" s="1132" t="str">
        <f t="shared" si="163"/>
        <v>C239</v>
      </c>
      <c r="AO249" s="1132" t="str">
        <f t="shared" si="164"/>
        <v>Nicor Gas PY11-PY14 Adjustable Goals Template_2025-03-01, Tab 5.6.1,5.4.9</v>
      </c>
      <c r="AP249" s="2247">
        <f>Kits!$E$62</f>
        <v>12.156813685736552</v>
      </c>
      <c r="AQ249" s="2568" t="s">
        <v>717</v>
      </c>
      <c r="AR249" s="2505">
        <f t="shared" si="165"/>
        <v>14740.543929880376</v>
      </c>
      <c r="AS249" s="2505">
        <f t="shared" si="166"/>
        <v>-3039.4786910809562</v>
      </c>
      <c r="AT249" s="1132" t="str">
        <f t="shared" si="167"/>
        <v>C239</v>
      </c>
      <c r="AU249" s="1132" t="str">
        <f t="shared" si="168"/>
        <v>Nicor Gas PY11-PY14 Adjustable Goals Template_2025-03-01, Tab 5.6.1,5.4.9</v>
      </c>
      <c r="AV249" s="2247">
        <f>Kits!$E$62</f>
        <v>12.156813685736552</v>
      </c>
      <c r="AW249" s="2568" t="s">
        <v>717</v>
      </c>
      <c r="AX249" s="1362">
        <f t="shared" si="169"/>
        <v>14740.543929880376</v>
      </c>
      <c r="AY249" s="1360">
        <f t="shared" si="170"/>
        <v>-3039.4786910809562</v>
      </c>
      <c r="AZ249" s="1132" t="str">
        <f t="shared" si="171"/>
        <v>C239</v>
      </c>
      <c r="BA249" s="1132" t="str">
        <f t="shared" si="172"/>
        <v>Nicor Gas PY11-PY14 Adjustable Goals Template_2025-03-01, Tab 5.6.1,5.4.9</v>
      </c>
      <c r="BB249" s="2247">
        <f>Kits!$E$62</f>
        <v>12.156813685736552</v>
      </c>
      <c r="BC249" s="2568" t="s">
        <v>717</v>
      </c>
      <c r="BD249" s="1362">
        <f t="shared" si="173"/>
        <v>14740.543929880376</v>
      </c>
      <c r="BE249" s="1360">
        <f t="shared" si="174"/>
        <v>-3039.4786910809562</v>
      </c>
      <c r="BF249" s="1132" t="str">
        <f t="shared" si="175"/>
        <v>C239</v>
      </c>
      <c r="BG249" s="1132" t="str">
        <f t="shared" si="176"/>
        <v>Nicor Gas PY11-PY14 Adjustable Goals Template_2025-03-01, Tab 5.6.1,5.4.9</v>
      </c>
      <c r="BH249" s="2247">
        <f>Kits!$E$62</f>
        <v>12.156813685736552</v>
      </c>
      <c r="BI249" s="2568" t="s">
        <v>717</v>
      </c>
      <c r="BJ249" s="1362">
        <f t="shared" si="198"/>
        <v>14740.543929880376</v>
      </c>
      <c r="BK249" s="1360">
        <f t="shared" si="177"/>
        <v>-3039.4786910809562</v>
      </c>
      <c r="BL249" s="1601">
        <f t="shared" si="178"/>
        <v>14740.543929880376</v>
      </c>
      <c r="BM249" s="1601">
        <f t="shared" si="179"/>
        <v>14740.543929880376</v>
      </c>
      <c r="BN249" s="1601">
        <f t="shared" si="180"/>
        <v>14740.543929880376</v>
      </c>
      <c r="BO249" s="1601">
        <f t="shared" si="181"/>
        <v>14740.543929880376</v>
      </c>
      <c r="BP249" s="1602">
        <f t="shared" si="182"/>
        <v>58962.175719521503</v>
      </c>
      <c r="BQ249" s="1605"/>
      <c r="BR249" s="1605" t="s">
        <v>715</v>
      </c>
      <c r="BS249" s="1602">
        <v>0</v>
      </c>
      <c r="BT249" s="1602">
        <v>16.640700399798025</v>
      </c>
      <c r="BU249" s="1602">
        <v>16.640700399798025</v>
      </c>
      <c r="BV249" s="1602">
        <v>16.640700399798025</v>
      </c>
      <c r="BW249" s="1602">
        <v>16.640700399798025</v>
      </c>
      <c r="BX249" s="1362">
        <f t="shared" si="199"/>
        <v>295872.02953704918</v>
      </c>
      <c r="BY249" s="1362">
        <f t="shared" si="200"/>
        <v>295872.02953704918</v>
      </c>
      <c r="BZ249" s="1362">
        <f t="shared" si="201"/>
        <v>295872.02953704918</v>
      </c>
      <c r="CA249" s="1362">
        <f t="shared" si="202"/>
        <v>295872.02953704918</v>
      </c>
      <c r="CB249" s="1362">
        <f t="shared" si="203"/>
        <v>1183488.1181481967</v>
      </c>
      <c r="CC249" s="1360">
        <v>16.640700399798025</v>
      </c>
      <c r="CD249" s="1360">
        <v>16.640700399798025</v>
      </c>
      <c r="CE249" s="1360">
        <v>16.640700399798025</v>
      </c>
      <c r="CF249" s="1360">
        <v>16.640700399798025</v>
      </c>
      <c r="CG249" s="1604">
        <f t="shared" si="183"/>
        <v>245292.97526720073</v>
      </c>
      <c r="CH249" s="1604">
        <f t="shared" si="184"/>
        <v>245292.97526720073</v>
      </c>
      <c r="CI249" s="1604">
        <f t="shared" si="185"/>
        <v>245292.97526720073</v>
      </c>
      <c r="CJ249" s="1604">
        <f t="shared" si="186"/>
        <v>245292.97526720073</v>
      </c>
      <c r="CK249" s="1521">
        <f t="shared" si="187"/>
        <v>981171.90106880292</v>
      </c>
      <c r="CL249" s="1132">
        <v>242</v>
      </c>
      <c r="CM249" s="1132" t="s">
        <v>356</v>
      </c>
      <c r="CN249" s="1359">
        <v>1</v>
      </c>
      <c r="CO249" s="1360">
        <v>649.87322305882367</v>
      </c>
      <c r="CP249" s="1360">
        <v>649.87322305882367</v>
      </c>
      <c r="CQ249" s="1360">
        <v>649.87322305882367</v>
      </c>
      <c r="CR249" s="1360">
        <v>649.87322305882367</v>
      </c>
      <c r="CS249" s="1362">
        <f t="shared" si="188"/>
        <v>10735.402700648316</v>
      </c>
      <c r="CT249" s="1362">
        <f t="shared" si="189"/>
        <v>10735.402700648316</v>
      </c>
      <c r="CU249" s="1362">
        <f t="shared" si="190"/>
        <v>10735.402700648316</v>
      </c>
      <c r="CV249" s="1362">
        <f t="shared" si="191"/>
        <v>10735.402700648316</v>
      </c>
      <c r="CW249" s="1362">
        <f t="shared" si="192"/>
        <v>42941.610802593263</v>
      </c>
      <c r="CY249" s="2887"/>
    </row>
    <row r="250" spans="1:103" s="1143" customFormat="1" ht="33.65" customHeight="1" x14ac:dyDescent="0.35">
      <c r="A250" s="1132" t="s">
        <v>109</v>
      </c>
      <c r="B250" s="1132" t="s">
        <v>686</v>
      </c>
      <c r="C250" s="1132" t="s">
        <v>718</v>
      </c>
      <c r="D250" s="1359" t="s">
        <v>105</v>
      </c>
      <c r="E250" s="1359">
        <f t="shared" ref="E250:E255" si="204">IF(AI250-AR250=0,0,1)</f>
        <v>0</v>
      </c>
      <c r="F250" s="1132" t="s">
        <v>105</v>
      </c>
      <c r="G250" s="1132" t="s">
        <v>328</v>
      </c>
      <c r="H250" s="1360">
        <v>543.06000000000006</v>
      </c>
      <c r="I250" s="1360">
        <v>543.06000000000006</v>
      </c>
      <c r="J250" s="1360">
        <v>543.06000000000006</v>
      </c>
      <c r="K250" s="1360">
        <v>543.06000000000006</v>
      </c>
      <c r="L250" s="1132" t="s">
        <v>105</v>
      </c>
      <c r="M250" s="1132" t="str">
        <f t="shared" si="154"/>
        <v/>
      </c>
      <c r="N250" s="1361">
        <v>0</v>
      </c>
      <c r="O250" s="1361">
        <v>0</v>
      </c>
      <c r="P250" s="1361">
        <v>0</v>
      </c>
      <c r="Q250" s="1361">
        <v>0</v>
      </c>
      <c r="R250" s="1781">
        <v>0.98</v>
      </c>
      <c r="S250" s="1781">
        <v>0.98</v>
      </c>
      <c r="T250" s="1781">
        <v>0.98</v>
      </c>
      <c r="U250" s="1781">
        <v>0.98</v>
      </c>
      <c r="V250" s="1781">
        <v>0.98</v>
      </c>
      <c r="W250" s="1781">
        <v>0.98</v>
      </c>
      <c r="X250" s="1781">
        <v>0.98</v>
      </c>
      <c r="Y250" s="1781">
        <v>0.98</v>
      </c>
      <c r="Z250" s="1359">
        <v>0</v>
      </c>
      <c r="AA250" s="1781">
        <f t="shared" si="155"/>
        <v>0.98</v>
      </c>
      <c r="AB250" s="1781">
        <f t="shared" si="156"/>
        <v>0.98</v>
      </c>
      <c r="AC250" s="1781">
        <f t="shared" si="157"/>
        <v>0.98</v>
      </c>
      <c r="AD250" s="1781">
        <f t="shared" si="158"/>
        <v>0.98</v>
      </c>
      <c r="AE250" s="1781">
        <f t="shared" si="159"/>
        <v>0.98</v>
      </c>
      <c r="AF250" s="1781">
        <f t="shared" si="160"/>
        <v>0.98</v>
      </c>
      <c r="AG250" s="1781">
        <f t="shared" si="161"/>
        <v>0.98</v>
      </c>
      <c r="AH250" s="1781">
        <f t="shared" si="162"/>
        <v>0.98</v>
      </c>
      <c r="AI250" s="1362">
        <f t="shared" si="193"/>
        <v>0</v>
      </c>
      <c r="AJ250" s="1362">
        <f t="shared" si="194"/>
        <v>0</v>
      </c>
      <c r="AK250" s="1362">
        <f t="shared" si="195"/>
        <v>0</v>
      </c>
      <c r="AL250" s="1362">
        <f t="shared" si="196"/>
        <v>0</v>
      </c>
      <c r="AM250" s="1362">
        <f t="shared" si="197"/>
        <v>0</v>
      </c>
      <c r="AN250" s="1132" t="str">
        <f t="shared" si="163"/>
        <v>Custom</v>
      </c>
      <c r="AO250" s="1132" t="str">
        <f t="shared" si="164"/>
        <v/>
      </c>
      <c r="AP250" s="2505">
        <v>0</v>
      </c>
      <c r="AQ250" s="2505"/>
      <c r="AR250" s="2505">
        <f t="shared" si="165"/>
        <v>0</v>
      </c>
      <c r="AS250" s="2505">
        <f t="shared" si="166"/>
        <v>0</v>
      </c>
      <c r="AT250" s="1132" t="str">
        <f t="shared" si="167"/>
        <v>Custom</v>
      </c>
      <c r="AU250" s="1132" t="str">
        <f t="shared" si="168"/>
        <v/>
      </c>
      <c r="AV250" s="2505">
        <v>0</v>
      </c>
      <c r="AW250" s="2505"/>
      <c r="AX250" s="1362">
        <f t="shared" si="169"/>
        <v>0</v>
      </c>
      <c r="AY250" s="1360">
        <f t="shared" si="170"/>
        <v>0</v>
      </c>
      <c r="AZ250" s="1132" t="str">
        <f t="shared" si="171"/>
        <v>Custom</v>
      </c>
      <c r="BA250" s="1132" t="str">
        <f t="shared" si="172"/>
        <v/>
      </c>
      <c r="BB250" s="2505">
        <v>0</v>
      </c>
      <c r="BC250" s="2505"/>
      <c r="BD250" s="1362">
        <f t="shared" si="173"/>
        <v>0</v>
      </c>
      <c r="BE250" s="1360">
        <f t="shared" si="174"/>
        <v>0</v>
      </c>
      <c r="BF250" s="1132" t="str">
        <f t="shared" si="175"/>
        <v>Custom</v>
      </c>
      <c r="BG250" s="1132" t="str">
        <f t="shared" si="176"/>
        <v/>
      </c>
      <c r="BH250" s="2505">
        <v>0</v>
      </c>
      <c r="BI250" s="2505"/>
      <c r="BJ250" s="1362">
        <f t="shared" si="198"/>
        <v>0</v>
      </c>
      <c r="BK250" s="1360">
        <f t="shared" si="177"/>
        <v>0</v>
      </c>
      <c r="BL250" s="1601">
        <f t="shared" si="178"/>
        <v>0</v>
      </c>
      <c r="BM250" s="1601">
        <f t="shared" si="179"/>
        <v>0</v>
      </c>
      <c r="BN250" s="1601">
        <f t="shared" si="180"/>
        <v>0</v>
      </c>
      <c r="BO250" s="1601">
        <f t="shared" si="181"/>
        <v>0</v>
      </c>
      <c r="BP250" s="1602">
        <f t="shared" si="182"/>
        <v>0</v>
      </c>
      <c r="BQ250" s="1605"/>
      <c r="BR250" s="1605"/>
      <c r="BS250" s="1602">
        <v>0</v>
      </c>
      <c r="BT250" s="1602">
        <v>0</v>
      </c>
      <c r="BU250" s="1602">
        <v>0</v>
      </c>
      <c r="BV250" s="1602">
        <v>0</v>
      </c>
      <c r="BW250" s="1602">
        <v>0</v>
      </c>
      <c r="BX250" s="1362">
        <f t="shared" si="199"/>
        <v>0</v>
      </c>
      <c r="BY250" s="1362">
        <f t="shared" si="200"/>
        <v>0</v>
      </c>
      <c r="BZ250" s="1362">
        <f t="shared" si="201"/>
        <v>0</v>
      </c>
      <c r="CA250" s="1362">
        <f t="shared" si="202"/>
        <v>0</v>
      </c>
      <c r="CB250" s="1362">
        <f t="shared" si="203"/>
        <v>0</v>
      </c>
      <c r="CC250" s="1360">
        <v>0</v>
      </c>
      <c r="CD250" s="1360">
        <v>0</v>
      </c>
      <c r="CE250" s="1360">
        <v>0</v>
      </c>
      <c r="CF250" s="1360">
        <v>0</v>
      </c>
      <c r="CG250" s="1604">
        <f t="shared" si="183"/>
        <v>0</v>
      </c>
      <c r="CH250" s="1604">
        <f t="shared" si="184"/>
        <v>0</v>
      </c>
      <c r="CI250" s="1604">
        <f t="shared" si="185"/>
        <v>0</v>
      </c>
      <c r="CJ250" s="1604">
        <f t="shared" si="186"/>
        <v>0</v>
      </c>
      <c r="CK250" s="1521">
        <f t="shared" si="187"/>
        <v>0</v>
      </c>
      <c r="CL250" s="1132">
        <v>243</v>
      </c>
      <c r="CM250" s="1132" t="s">
        <v>328</v>
      </c>
      <c r="CN250" s="1359">
        <v>1</v>
      </c>
      <c r="CO250" s="1360">
        <v>287.06339322929182</v>
      </c>
      <c r="CP250" s="1360">
        <v>287.06339322929182</v>
      </c>
      <c r="CQ250" s="1360">
        <v>287.06339322929182</v>
      </c>
      <c r="CR250" s="1360">
        <v>287.06339322929182</v>
      </c>
      <c r="CS250" s="1362">
        <f t="shared" si="188"/>
        <v>0</v>
      </c>
      <c r="CT250" s="1362">
        <f t="shared" si="189"/>
        <v>0</v>
      </c>
      <c r="CU250" s="1362">
        <f t="shared" si="190"/>
        <v>0</v>
      </c>
      <c r="CV250" s="1362">
        <f t="shared" si="191"/>
        <v>0</v>
      </c>
      <c r="CW250" s="1362">
        <f t="shared" si="192"/>
        <v>0</v>
      </c>
      <c r="CY250" s="2887"/>
    </row>
    <row r="251" spans="1:103" s="1143" customFormat="1" ht="45.75" customHeight="1" x14ac:dyDescent="0.35">
      <c r="A251" s="1132" t="s">
        <v>109</v>
      </c>
      <c r="B251" s="1132" t="s">
        <v>686</v>
      </c>
      <c r="C251" s="1132" t="s">
        <v>719</v>
      </c>
      <c r="D251" s="1359" t="s">
        <v>105</v>
      </c>
      <c r="E251" s="1359">
        <f t="shared" si="204"/>
        <v>0</v>
      </c>
      <c r="F251" s="1132" t="s">
        <v>105</v>
      </c>
      <c r="G251" s="1132" t="s">
        <v>328</v>
      </c>
      <c r="H251" s="1360">
        <v>543.06000000000006</v>
      </c>
      <c r="I251" s="1360">
        <v>543.06000000000006</v>
      </c>
      <c r="J251" s="1360">
        <v>543.06000000000006</v>
      </c>
      <c r="K251" s="1360">
        <v>543.06000000000006</v>
      </c>
      <c r="L251" s="1132" t="s">
        <v>105</v>
      </c>
      <c r="M251" s="1132" t="str">
        <f t="shared" si="154"/>
        <v/>
      </c>
      <c r="N251" s="1361">
        <v>0</v>
      </c>
      <c r="O251" s="1361">
        <v>0</v>
      </c>
      <c r="P251" s="1361">
        <v>0</v>
      </c>
      <c r="Q251" s="1361">
        <v>0</v>
      </c>
      <c r="R251" s="1781">
        <v>0.98</v>
      </c>
      <c r="S251" s="1781">
        <v>0.98</v>
      </c>
      <c r="T251" s="1781">
        <v>0.98</v>
      </c>
      <c r="U251" s="1781">
        <v>0.98</v>
      </c>
      <c r="V251" s="1781">
        <v>0.98</v>
      </c>
      <c r="W251" s="1781">
        <v>0.98</v>
      </c>
      <c r="X251" s="1781">
        <v>0.98</v>
      </c>
      <c r="Y251" s="1781">
        <v>0.98</v>
      </c>
      <c r="Z251" s="1359">
        <v>0</v>
      </c>
      <c r="AA251" s="1781">
        <f t="shared" si="155"/>
        <v>0.98</v>
      </c>
      <c r="AB251" s="1781">
        <f t="shared" si="156"/>
        <v>0.98</v>
      </c>
      <c r="AC251" s="1781">
        <f t="shared" si="157"/>
        <v>0.98</v>
      </c>
      <c r="AD251" s="1781">
        <f t="shared" si="158"/>
        <v>0.98</v>
      </c>
      <c r="AE251" s="1781">
        <f t="shared" si="159"/>
        <v>0.98</v>
      </c>
      <c r="AF251" s="1781">
        <f t="shared" si="160"/>
        <v>0.98</v>
      </c>
      <c r="AG251" s="1781">
        <f t="shared" si="161"/>
        <v>0.98</v>
      </c>
      <c r="AH251" s="1781">
        <f t="shared" si="162"/>
        <v>0.98</v>
      </c>
      <c r="AI251" s="1362">
        <f t="shared" si="193"/>
        <v>0</v>
      </c>
      <c r="AJ251" s="1362">
        <f t="shared" si="194"/>
        <v>0</v>
      </c>
      <c r="AK251" s="1362">
        <f t="shared" si="195"/>
        <v>0</v>
      </c>
      <c r="AL251" s="1362">
        <f t="shared" si="196"/>
        <v>0</v>
      </c>
      <c r="AM251" s="1362">
        <f t="shared" si="197"/>
        <v>0</v>
      </c>
      <c r="AN251" s="1132" t="str">
        <f t="shared" si="163"/>
        <v>Custom</v>
      </c>
      <c r="AO251" s="1132" t="str">
        <f t="shared" si="164"/>
        <v/>
      </c>
      <c r="AP251" s="2505">
        <v>0</v>
      </c>
      <c r="AQ251" s="2505"/>
      <c r="AR251" s="2505">
        <f t="shared" si="165"/>
        <v>0</v>
      </c>
      <c r="AS251" s="2505">
        <f t="shared" si="166"/>
        <v>0</v>
      </c>
      <c r="AT251" s="1132" t="str">
        <f t="shared" si="167"/>
        <v>Custom</v>
      </c>
      <c r="AU251" s="1132" t="str">
        <f t="shared" si="168"/>
        <v/>
      </c>
      <c r="AV251" s="2505">
        <v>0</v>
      </c>
      <c r="AW251" s="2505"/>
      <c r="AX251" s="1362">
        <f t="shared" si="169"/>
        <v>0</v>
      </c>
      <c r="AY251" s="1360">
        <f t="shared" si="170"/>
        <v>0</v>
      </c>
      <c r="AZ251" s="1132" t="str">
        <f t="shared" si="171"/>
        <v>Custom</v>
      </c>
      <c r="BA251" s="1132" t="str">
        <f t="shared" si="172"/>
        <v/>
      </c>
      <c r="BB251" s="2505">
        <v>0</v>
      </c>
      <c r="BC251" s="2505"/>
      <c r="BD251" s="1362">
        <f t="shared" si="173"/>
        <v>0</v>
      </c>
      <c r="BE251" s="1360">
        <f t="shared" si="174"/>
        <v>0</v>
      </c>
      <c r="BF251" s="1132" t="str">
        <f t="shared" si="175"/>
        <v>Custom</v>
      </c>
      <c r="BG251" s="1132" t="str">
        <f t="shared" si="176"/>
        <v/>
      </c>
      <c r="BH251" s="2505">
        <v>0</v>
      </c>
      <c r="BI251" s="2505"/>
      <c r="BJ251" s="1362">
        <f t="shared" si="198"/>
        <v>0</v>
      </c>
      <c r="BK251" s="1360">
        <f t="shared" si="177"/>
        <v>0</v>
      </c>
      <c r="BL251" s="1601">
        <f t="shared" si="178"/>
        <v>0</v>
      </c>
      <c r="BM251" s="1601">
        <f t="shared" si="179"/>
        <v>0</v>
      </c>
      <c r="BN251" s="1601">
        <f t="shared" si="180"/>
        <v>0</v>
      </c>
      <c r="BO251" s="1601">
        <f t="shared" si="181"/>
        <v>0</v>
      </c>
      <c r="BP251" s="1602">
        <f t="shared" si="182"/>
        <v>0</v>
      </c>
      <c r="BQ251" s="1605"/>
      <c r="BR251" s="1605"/>
      <c r="BS251" s="1602">
        <v>0</v>
      </c>
      <c r="BT251" s="1602">
        <v>0</v>
      </c>
      <c r="BU251" s="1602">
        <v>0</v>
      </c>
      <c r="BV251" s="1602">
        <v>0</v>
      </c>
      <c r="BW251" s="1602">
        <v>0</v>
      </c>
      <c r="BX251" s="1362">
        <f t="shared" si="199"/>
        <v>0</v>
      </c>
      <c r="BY251" s="1362">
        <f t="shared" si="200"/>
        <v>0</v>
      </c>
      <c r="BZ251" s="1362">
        <f t="shared" si="201"/>
        <v>0</v>
      </c>
      <c r="CA251" s="1362">
        <f t="shared" si="202"/>
        <v>0</v>
      </c>
      <c r="CB251" s="1362">
        <f t="shared" si="203"/>
        <v>0</v>
      </c>
      <c r="CC251" s="1360">
        <v>0</v>
      </c>
      <c r="CD251" s="1360">
        <v>0</v>
      </c>
      <c r="CE251" s="1360">
        <v>0</v>
      </c>
      <c r="CF251" s="1360">
        <v>0</v>
      </c>
      <c r="CG251" s="1604">
        <f t="shared" si="183"/>
        <v>0</v>
      </c>
      <c r="CH251" s="1604">
        <f t="shared" si="184"/>
        <v>0</v>
      </c>
      <c r="CI251" s="1604">
        <f t="shared" si="185"/>
        <v>0</v>
      </c>
      <c r="CJ251" s="1604">
        <f t="shared" si="186"/>
        <v>0</v>
      </c>
      <c r="CK251" s="1521">
        <f t="shared" si="187"/>
        <v>0</v>
      </c>
      <c r="CL251" s="1132">
        <v>244</v>
      </c>
      <c r="CM251" s="1132" t="s">
        <v>328</v>
      </c>
      <c r="CN251" s="1359">
        <v>1</v>
      </c>
      <c r="CO251" s="1360">
        <v>287.06339322929182</v>
      </c>
      <c r="CP251" s="1360">
        <v>287.06339322929182</v>
      </c>
      <c r="CQ251" s="1360">
        <v>287.06339322929182</v>
      </c>
      <c r="CR251" s="1360">
        <v>287.06339322929182</v>
      </c>
      <c r="CS251" s="1362">
        <f t="shared" si="188"/>
        <v>0</v>
      </c>
      <c r="CT251" s="1362">
        <f t="shared" si="189"/>
        <v>0</v>
      </c>
      <c r="CU251" s="1362">
        <f t="shared" si="190"/>
        <v>0</v>
      </c>
      <c r="CV251" s="1362">
        <f t="shared" si="191"/>
        <v>0</v>
      </c>
      <c r="CW251" s="1362">
        <f t="shared" si="192"/>
        <v>0</v>
      </c>
      <c r="CY251" s="2887"/>
    </row>
    <row r="252" spans="1:103" s="1143" customFormat="1" ht="61.5" customHeight="1" x14ac:dyDescent="0.35">
      <c r="A252" s="1132" t="s">
        <v>109</v>
      </c>
      <c r="B252" s="1132" t="s">
        <v>686</v>
      </c>
      <c r="C252" s="1132" t="s">
        <v>720</v>
      </c>
      <c r="D252" s="1359" t="s">
        <v>105</v>
      </c>
      <c r="E252" s="1359">
        <f t="shared" si="204"/>
        <v>0</v>
      </c>
      <c r="F252" s="1132" t="s">
        <v>105</v>
      </c>
      <c r="G252" s="1132" t="s">
        <v>328</v>
      </c>
      <c r="H252" s="1360">
        <v>97.470034285714306</v>
      </c>
      <c r="I252" s="1360">
        <v>97.470034285714306</v>
      </c>
      <c r="J252" s="1360">
        <v>97.470034285714306</v>
      </c>
      <c r="K252" s="1360">
        <v>97.470034285714306</v>
      </c>
      <c r="L252" s="1132" t="s">
        <v>105</v>
      </c>
      <c r="M252" s="1132" t="str">
        <f t="shared" si="154"/>
        <v/>
      </c>
      <c r="N252" s="1361">
        <v>0</v>
      </c>
      <c r="O252" s="1361">
        <v>0</v>
      </c>
      <c r="P252" s="1361">
        <v>0</v>
      </c>
      <c r="Q252" s="1361">
        <v>0</v>
      </c>
      <c r="R252" s="1781">
        <v>0.98</v>
      </c>
      <c r="S252" s="1781">
        <v>0.98</v>
      </c>
      <c r="T252" s="1781">
        <v>0.98</v>
      </c>
      <c r="U252" s="1781">
        <v>0.98</v>
      </c>
      <c r="V252" s="1781">
        <v>0.98</v>
      </c>
      <c r="W252" s="1781">
        <v>0.98</v>
      </c>
      <c r="X252" s="1781">
        <v>0.98</v>
      </c>
      <c r="Y252" s="1781">
        <v>0.98</v>
      </c>
      <c r="Z252" s="1359">
        <v>0</v>
      </c>
      <c r="AA252" s="1781">
        <f t="shared" si="155"/>
        <v>0.98</v>
      </c>
      <c r="AB252" s="1781">
        <f t="shared" si="156"/>
        <v>0.98</v>
      </c>
      <c r="AC252" s="1781">
        <f t="shared" si="157"/>
        <v>0.98</v>
      </c>
      <c r="AD252" s="1781">
        <f t="shared" si="158"/>
        <v>0.98</v>
      </c>
      <c r="AE252" s="1781">
        <f t="shared" si="159"/>
        <v>0.98</v>
      </c>
      <c r="AF252" s="1781">
        <f t="shared" si="160"/>
        <v>0.98</v>
      </c>
      <c r="AG252" s="1781">
        <f t="shared" si="161"/>
        <v>0.98</v>
      </c>
      <c r="AH252" s="1781">
        <f t="shared" si="162"/>
        <v>0.98</v>
      </c>
      <c r="AI252" s="1362">
        <f t="shared" si="193"/>
        <v>0</v>
      </c>
      <c r="AJ252" s="1362">
        <f t="shared" si="194"/>
        <v>0</v>
      </c>
      <c r="AK252" s="1362">
        <f t="shared" si="195"/>
        <v>0</v>
      </c>
      <c r="AL252" s="1362">
        <f t="shared" si="196"/>
        <v>0</v>
      </c>
      <c r="AM252" s="1362">
        <f t="shared" si="197"/>
        <v>0</v>
      </c>
      <c r="AN252" s="1132" t="str">
        <f t="shared" si="163"/>
        <v>Custom</v>
      </c>
      <c r="AO252" s="1132" t="str">
        <f t="shared" si="164"/>
        <v/>
      </c>
      <c r="AP252" s="2505">
        <v>0</v>
      </c>
      <c r="AQ252" s="2505"/>
      <c r="AR252" s="2505">
        <f t="shared" si="165"/>
        <v>0</v>
      </c>
      <c r="AS252" s="2505">
        <f t="shared" si="166"/>
        <v>0</v>
      </c>
      <c r="AT252" s="1132" t="str">
        <f t="shared" si="167"/>
        <v>Custom</v>
      </c>
      <c r="AU252" s="1132" t="str">
        <f t="shared" si="168"/>
        <v/>
      </c>
      <c r="AV252" s="2505">
        <v>0</v>
      </c>
      <c r="AW252" s="2505"/>
      <c r="AX252" s="1362">
        <f t="shared" si="169"/>
        <v>0</v>
      </c>
      <c r="AY252" s="1360">
        <f t="shared" si="170"/>
        <v>0</v>
      </c>
      <c r="AZ252" s="1132" t="str">
        <f t="shared" si="171"/>
        <v>Custom</v>
      </c>
      <c r="BA252" s="1132" t="str">
        <f t="shared" si="172"/>
        <v/>
      </c>
      <c r="BB252" s="2505">
        <v>0</v>
      </c>
      <c r="BC252" s="2505"/>
      <c r="BD252" s="1362">
        <f t="shared" si="173"/>
        <v>0</v>
      </c>
      <c r="BE252" s="1360">
        <f t="shared" si="174"/>
        <v>0</v>
      </c>
      <c r="BF252" s="1132" t="str">
        <f t="shared" si="175"/>
        <v>Custom</v>
      </c>
      <c r="BG252" s="1132" t="str">
        <f t="shared" si="176"/>
        <v/>
      </c>
      <c r="BH252" s="2505">
        <v>0</v>
      </c>
      <c r="BI252" s="2505"/>
      <c r="BJ252" s="1362">
        <f t="shared" si="198"/>
        <v>0</v>
      </c>
      <c r="BK252" s="1360">
        <f t="shared" si="177"/>
        <v>0</v>
      </c>
      <c r="BL252" s="1601">
        <f t="shared" si="178"/>
        <v>0</v>
      </c>
      <c r="BM252" s="1601">
        <f t="shared" si="179"/>
        <v>0</v>
      </c>
      <c r="BN252" s="1601">
        <f t="shared" si="180"/>
        <v>0</v>
      </c>
      <c r="BO252" s="1601">
        <f t="shared" si="181"/>
        <v>0</v>
      </c>
      <c r="BP252" s="1602">
        <f t="shared" si="182"/>
        <v>0</v>
      </c>
      <c r="BQ252" s="1605"/>
      <c r="BR252" s="1605"/>
      <c r="BS252" s="1602">
        <v>0</v>
      </c>
      <c r="BT252" s="1602">
        <v>0</v>
      </c>
      <c r="BU252" s="1602">
        <v>0</v>
      </c>
      <c r="BV252" s="1602">
        <v>0</v>
      </c>
      <c r="BW252" s="1602">
        <v>0</v>
      </c>
      <c r="BX252" s="1362">
        <f t="shared" si="199"/>
        <v>0</v>
      </c>
      <c r="BY252" s="1362">
        <f t="shared" si="200"/>
        <v>0</v>
      </c>
      <c r="BZ252" s="1362">
        <f t="shared" si="201"/>
        <v>0</v>
      </c>
      <c r="CA252" s="1362">
        <f t="shared" si="202"/>
        <v>0</v>
      </c>
      <c r="CB252" s="1362">
        <f t="shared" si="203"/>
        <v>0</v>
      </c>
      <c r="CC252" s="1360">
        <v>0</v>
      </c>
      <c r="CD252" s="1360">
        <v>0</v>
      </c>
      <c r="CE252" s="1360">
        <v>0</v>
      </c>
      <c r="CF252" s="1360">
        <v>0</v>
      </c>
      <c r="CG252" s="1604">
        <f t="shared" si="183"/>
        <v>0</v>
      </c>
      <c r="CH252" s="1604">
        <f t="shared" si="184"/>
        <v>0</v>
      </c>
      <c r="CI252" s="1604">
        <f t="shared" si="185"/>
        <v>0</v>
      </c>
      <c r="CJ252" s="1604">
        <f t="shared" si="186"/>
        <v>0</v>
      </c>
      <c r="CK252" s="1521">
        <f t="shared" si="187"/>
        <v>0</v>
      </c>
      <c r="CL252" s="1132">
        <v>245</v>
      </c>
      <c r="CM252" s="1132" t="s">
        <v>328</v>
      </c>
      <c r="CN252" s="1359">
        <v>1</v>
      </c>
      <c r="CO252" s="1360">
        <v>51.71793878511405</v>
      </c>
      <c r="CP252" s="1360">
        <v>51.71793878511405</v>
      </c>
      <c r="CQ252" s="1360">
        <v>51.71793878511405</v>
      </c>
      <c r="CR252" s="1360">
        <v>51.71793878511405</v>
      </c>
      <c r="CS252" s="1362">
        <f t="shared" si="188"/>
        <v>0</v>
      </c>
      <c r="CT252" s="1362">
        <f t="shared" si="189"/>
        <v>0</v>
      </c>
      <c r="CU252" s="1362">
        <f t="shared" si="190"/>
        <v>0</v>
      </c>
      <c r="CV252" s="1362">
        <f t="shared" si="191"/>
        <v>0</v>
      </c>
      <c r="CW252" s="1362">
        <f t="shared" si="192"/>
        <v>0</v>
      </c>
      <c r="CY252" s="2887"/>
    </row>
    <row r="253" spans="1:103" s="1143" customFormat="1" ht="31" x14ac:dyDescent="0.35">
      <c r="A253" s="1132" t="s">
        <v>112</v>
      </c>
      <c r="B253" s="1132" t="s">
        <v>112</v>
      </c>
      <c r="C253" s="1132" t="s">
        <v>721</v>
      </c>
      <c r="D253" s="1359" t="s">
        <v>105</v>
      </c>
      <c r="E253" s="1359">
        <f t="shared" si="204"/>
        <v>0</v>
      </c>
      <c r="F253" s="1132" t="s">
        <v>105</v>
      </c>
      <c r="G253" s="1132" t="s">
        <v>606</v>
      </c>
      <c r="H253" s="1360">
        <v>135899.16886828665</v>
      </c>
      <c r="I253" s="1360">
        <v>135899.16886828665</v>
      </c>
      <c r="J253" s="1360">
        <v>135899.16886828665</v>
      </c>
      <c r="K253" s="1360">
        <v>135899.16886828665</v>
      </c>
      <c r="L253" s="1132" t="s">
        <v>105</v>
      </c>
      <c r="M253" s="1132" t="str">
        <f t="shared" si="154"/>
        <v/>
      </c>
      <c r="N253" s="1361">
        <v>0.37</v>
      </c>
      <c r="O253" s="1361">
        <v>0.37</v>
      </c>
      <c r="P253" s="1361">
        <v>0.37</v>
      </c>
      <c r="Q253" s="1361">
        <v>0.37</v>
      </c>
      <c r="R253" s="1781">
        <v>1</v>
      </c>
      <c r="S253" s="1781">
        <v>1</v>
      </c>
      <c r="T253" s="1781">
        <v>1</v>
      </c>
      <c r="U253" s="1781">
        <v>1</v>
      </c>
      <c r="V253" s="1781">
        <v>1</v>
      </c>
      <c r="W253" s="1781">
        <v>1</v>
      </c>
      <c r="X253" s="1781">
        <v>1</v>
      </c>
      <c r="Y253" s="1781">
        <v>1</v>
      </c>
      <c r="Z253" s="1359">
        <v>0</v>
      </c>
      <c r="AA253" s="1781">
        <f t="shared" si="155"/>
        <v>1</v>
      </c>
      <c r="AB253" s="1781">
        <f t="shared" si="156"/>
        <v>1</v>
      </c>
      <c r="AC253" s="1781">
        <f t="shared" si="157"/>
        <v>1</v>
      </c>
      <c r="AD253" s="1781">
        <f t="shared" si="158"/>
        <v>1</v>
      </c>
      <c r="AE253" s="1781">
        <f t="shared" si="159"/>
        <v>1</v>
      </c>
      <c r="AF253" s="1781">
        <f t="shared" si="160"/>
        <v>1</v>
      </c>
      <c r="AG253" s="1781">
        <f t="shared" si="161"/>
        <v>1</v>
      </c>
      <c r="AH253" s="1781">
        <f t="shared" si="162"/>
        <v>1</v>
      </c>
      <c r="AI253" s="1362">
        <f t="shared" si="193"/>
        <v>50282.692481266058</v>
      </c>
      <c r="AJ253" s="1362">
        <f t="shared" si="194"/>
        <v>50282.692481266058</v>
      </c>
      <c r="AK253" s="1362">
        <f t="shared" si="195"/>
        <v>50282.692481266058</v>
      </c>
      <c r="AL253" s="1362">
        <f t="shared" si="196"/>
        <v>50282.692481266058</v>
      </c>
      <c r="AM253" s="1362">
        <f t="shared" si="197"/>
        <v>201130.76992506423</v>
      </c>
      <c r="AN253" s="1132" t="str">
        <f t="shared" si="163"/>
        <v>Custom</v>
      </c>
      <c r="AO253" s="1132" t="str">
        <f t="shared" si="164"/>
        <v/>
      </c>
      <c r="AP253" s="2247">
        <v>0.37</v>
      </c>
      <c r="AQ253" s="2505"/>
      <c r="AR253" s="2505">
        <f t="shared" si="165"/>
        <v>50282.692481266058</v>
      </c>
      <c r="AS253" s="2505">
        <f t="shared" si="166"/>
        <v>0</v>
      </c>
      <c r="AT253" s="1132" t="str">
        <f t="shared" si="167"/>
        <v>Custom</v>
      </c>
      <c r="AU253" s="1132" t="str">
        <f t="shared" si="168"/>
        <v/>
      </c>
      <c r="AV253" s="2247">
        <v>0.37</v>
      </c>
      <c r="AW253" s="2505"/>
      <c r="AX253" s="1362">
        <f t="shared" si="169"/>
        <v>50282.692481266058</v>
      </c>
      <c r="AY253" s="1360">
        <f t="shared" si="170"/>
        <v>0</v>
      </c>
      <c r="AZ253" s="1132" t="str">
        <f t="shared" si="171"/>
        <v>Custom</v>
      </c>
      <c r="BA253" s="1132" t="str">
        <f t="shared" si="172"/>
        <v/>
      </c>
      <c r="BB253" s="2247">
        <v>0.37</v>
      </c>
      <c r="BC253" s="2505"/>
      <c r="BD253" s="1362">
        <f t="shared" si="173"/>
        <v>50282.692481266058</v>
      </c>
      <c r="BE253" s="1360">
        <f t="shared" si="174"/>
        <v>0</v>
      </c>
      <c r="BF253" s="1132" t="str">
        <f t="shared" si="175"/>
        <v>Custom</v>
      </c>
      <c r="BG253" s="1132" t="str">
        <f t="shared" si="176"/>
        <v/>
      </c>
      <c r="BH253" s="2247">
        <v>0.37</v>
      </c>
      <c r="BI253" s="2505"/>
      <c r="BJ253" s="1362">
        <f t="shared" si="198"/>
        <v>50282.692481266058</v>
      </c>
      <c r="BK253" s="1360">
        <f t="shared" si="177"/>
        <v>0</v>
      </c>
      <c r="BL253" s="1601">
        <f t="shared" si="178"/>
        <v>50282.692481266058</v>
      </c>
      <c r="BM253" s="1601">
        <f t="shared" si="179"/>
        <v>50282.692481266058</v>
      </c>
      <c r="BN253" s="1601">
        <f t="shared" si="180"/>
        <v>50282.692481266058</v>
      </c>
      <c r="BO253" s="1601">
        <f t="shared" si="181"/>
        <v>50282.692481266058</v>
      </c>
      <c r="BP253" s="1602">
        <f t="shared" si="182"/>
        <v>201130.76992506423</v>
      </c>
      <c r="BQ253" s="1605"/>
      <c r="BR253" s="1605"/>
      <c r="BS253" s="1602">
        <v>0</v>
      </c>
      <c r="BT253" s="1602">
        <v>20.6</v>
      </c>
      <c r="BU253" s="1602">
        <v>20.6</v>
      </c>
      <c r="BV253" s="1602">
        <v>20.6</v>
      </c>
      <c r="BW253" s="1602">
        <v>20.6</v>
      </c>
      <c r="BX253" s="1362">
        <f t="shared" si="199"/>
        <v>1035823.4651140808</v>
      </c>
      <c r="BY253" s="1362">
        <f t="shared" si="200"/>
        <v>1035823.4651140808</v>
      </c>
      <c r="BZ253" s="1362">
        <f t="shared" si="201"/>
        <v>1035823.4651140808</v>
      </c>
      <c r="CA253" s="1362">
        <f t="shared" si="202"/>
        <v>1035823.4651140808</v>
      </c>
      <c r="CB253" s="1362">
        <f t="shared" si="203"/>
        <v>4143293.8604563233</v>
      </c>
      <c r="CC253" s="1360">
        <v>20.6</v>
      </c>
      <c r="CD253" s="1360">
        <v>20.6</v>
      </c>
      <c r="CE253" s="1360">
        <v>20.6</v>
      </c>
      <c r="CF253" s="1360">
        <v>20.6</v>
      </c>
      <c r="CG253" s="1604">
        <f t="shared" si="183"/>
        <v>1035823.4651140808</v>
      </c>
      <c r="CH253" s="1604">
        <f t="shared" si="184"/>
        <v>1035823.4651140808</v>
      </c>
      <c r="CI253" s="1604">
        <f t="shared" si="185"/>
        <v>1035823.4651140808</v>
      </c>
      <c r="CJ253" s="1604">
        <f t="shared" si="186"/>
        <v>1035823.4651140808</v>
      </c>
      <c r="CK253" s="1521">
        <f t="shared" si="187"/>
        <v>4143293.8604563233</v>
      </c>
      <c r="CL253" s="1132">
        <v>246</v>
      </c>
      <c r="CM253" s="1132" t="s">
        <v>606</v>
      </c>
      <c r="CN253" s="1359">
        <v>1</v>
      </c>
      <c r="CO253" s="1360">
        <v>23585.806167223302</v>
      </c>
      <c r="CP253" s="1360">
        <v>23585.806167223302</v>
      </c>
      <c r="CQ253" s="1360">
        <v>23585.806167223302</v>
      </c>
      <c r="CR253" s="1360">
        <v>23585.806167223302</v>
      </c>
      <c r="CS253" s="1362">
        <f t="shared" si="188"/>
        <v>8726.7482818726221</v>
      </c>
      <c r="CT253" s="1362">
        <f t="shared" si="189"/>
        <v>8726.7482818726221</v>
      </c>
      <c r="CU253" s="1362">
        <f t="shared" si="190"/>
        <v>8726.7482818726221</v>
      </c>
      <c r="CV253" s="1362">
        <f t="shared" si="191"/>
        <v>8726.7482818726221</v>
      </c>
      <c r="CW253" s="1362">
        <f t="shared" si="192"/>
        <v>34906.993127490488</v>
      </c>
      <c r="CY253" s="2887"/>
    </row>
    <row r="254" spans="1:103" s="1143" customFormat="1" ht="45.75" customHeight="1" x14ac:dyDescent="0.35">
      <c r="A254" s="1132" t="s">
        <v>110</v>
      </c>
      <c r="B254" s="1132" t="s">
        <v>722</v>
      </c>
      <c r="C254" s="1132" t="s">
        <v>652</v>
      </c>
      <c r="D254" s="1359" t="s">
        <v>105</v>
      </c>
      <c r="E254" s="1359">
        <f t="shared" si="204"/>
        <v>0</v>
      </c>
      <c r="F254" s="1132" t="s">
        <v>105</v>
      </c>
      <c r="G254" s="1132" t="s">
        <v>356</v>
      </c>
      <c r="H254" s="1360">
        <v>1392.7717439999999</v>
      </c>
      <c r="I254" s="1360">
        <v>1392.7717439999999</v>
      </c>
      <c r="J254" s="1360">
        <v>1392.7717439999999</v>
      </c>
      <c r="K254" s="1360">
        <v>1392.7717439999999</v>
      </c>
      <c r="L254" s="1132" t="s">
        <v>105</v>
      </c>
      <c r="M254" s="1132" t="str">
        <f t="shared" si="154"/>
        <v/>
      </c>
      <c r="N254" s="1361">
        <v>0</v>
      </c>
      <c r="O254" s="1361">
        <v>0</v>
      </c>
      <c r="P254" s="1361">
        <v>0</v>
      </c>
      <c r="Q254" s="1361">
        <v>0</v>
      </c>
      <c r="R254" s="1781">
        <v>1</v>
      </c>
      <c r="S254" s="1781">
        <v>1</v>
      </c>
      <c r="T254" s="1781">
        <v>1</v>
      </c>
      <c r="U254" s="1781">
        <v>1</v>
      </c>
      <c r="V254" s="1781">
        <v>1</v>
      </c>
      <c r="W254" s="1781">
        <v>1</v>
      </c>
      <c r="X254" s="1781">
        <v>1</v>
      </c>
      <c r="Y254" s="1781">
        <v>1</v>
      </c>
      <c r="Z254" s="1359">
        <v>0</v>
      </c>
      <c r="AA254" s="1781">
        <f t="shared" si="155"/>
        <v>1</v>
      </c>
      <c r="AB254" s="1781">
        <f t="shared" si="156"/>
        <v>1</v>
      </c>
      <c r="AC254" s="1781">
        <f t="shared" si="157"/>
        <v>1</v>
      </c>
      <c r="AD254" s="1781">
        <f t="shared" si="158"/>
        <v>1</v>
      </c>
      <c r="AE254" s="1781">
        <f t="shared" si="159"/>
        <v>1</v>
      </c>
      <c r="AF254" s="1781">
        <f t="shared" si="160"/>
        <v>1</v>
      </c>
      <c r="AG254" s="1781">
        <f t="shared" si="161"/>
        <v>1</v>
      </c>
      <c r="AH254" s="1781">
        <f t="shared" si="162"/>
        <v>1</v>
      </c>
      <c r="AI254" s="1362">
        <f t="shared" si="193"/>
        <v>0</v>
      </c>
      <c r="AJ254" s="1362">
        <f t="shared" si="194"/>
        <v>0</v>
      </c>
      <c r="AK254" s="1362">
        <f t="shared" si="195"/>
        <v>0</v>
      </c>
      <c r="AL254" s="1362">
        <f t="shared" si="196"/>
        <v>0</v>
      </c>
      <c r="AM254" s="1362">
        <f t="shared" si="197"/>
        <v>0</v>
      </c>
      <c r="AN254" s="1132" t="str">
        <f t="shared" si="163"/>
        <v>Custom</v>
      </c>
      <c r="AO254" s="1132" t="str">
        <f t="shared" si="164"/>
        <v/>
      </c>
      <c r="AP254" s="2505">
        <v>0</v>
      </c>
      <c r="AQ254" s="2505"/>
      <c r="AR254" s="2505">
        <f t="shared" si="165"/>
        <v>0</v>
      </c>
      <c r="AS254" s="2505">
        <f t="shared" si="166"/>
        <v>0</v>
      </c>
      <c r="AT254" s="1132" t="str">
        <f t="shared" si="167"/>
        <v>Custom</v>
      </c>
      <c r="AU254" s="1132" t="str">
        <f t="shared" si="168"/>
        <v/>
      </c>
      <c r="AV254" s="2505">
        <v>0</v>
      </c>
      <c r="AW254" s="2505"/>
      <c r="AX254" s="1362">
        <f t="shared" si="169"/>
        <v>0</v>
      </c>
      <c r="AY254" s="1360">
        <f t="shared" si="170"/>
        <v>0</v>
      </c>
      <c r="AZ254" s="1132" t="str">
        <f t="shared" si="171"/>
        <v>Custom</v>
      </c>
      <c r="BA254" s="1132" t="str">
        <f t="shared" si="172"/>
        <v/>
      </c>
      <c r="BB254" s="2505">
        <v>0</v>
      </c>
      <c r="BC254" s="2505"/>
      <c r="BD254" s="1362">
        <f t="shared" si="173"/>
        <v>0</v>
      </c>
      <c r="BE254" s="1360">
        <f t="shared" si="174"/>
        <v>0</v>
      </c>
      <c r="BF254" s="1132" t="str">
        <f t="shared" si="175"/>
        <v>Custom</v>
      </c>
      <c r="BG254" s="1132" t="str">
        <f t="shared" si="176"/>
        <v/>
      </c>
      <c r="BH254" s="2505">
        <v>0</v>
      </c>
      <c r="BI254" s="2505"/>
      <c r="BJ254" s="1362">
        <f t="shared" si="198"/>
        <v>0</v>
      </c>
      <c r="BK254" s="1360">
        <f t="shared" si="177"/>
        <v>0</v>
      </c>
      <c r="BL254" s="1601">
        <f t="shared" si="178"/>
        <v>0</v>
      </c>
      <c r="BM254" s="1601">
        <f t="shared" si="179"/>
        <v>0</v>
      </c>
      <c r="BN254" s="1601">
        <f t="shared" si="180"/>
        <v>0</v>
      </c>
      <c r="BO254" s="1601">
        <f t="shared" si="181"/>
        <v>0</v>
      </c>
      <c r="BP254" s="1602">
        <f t="shared" si="182"/>
        <v>0</v>
      </c>
      <c r="BQ254" s="1605"/>
      <c r="BR254" s="1605"/>
      <c r="BS254" s="1602">
        <v>0</v>
      </c>
      <c r="BT254" s="1602">
        <v>1</v>
      </c>
      <c r="BU254" s="1602">
        <v>1</v>
      </c>
      <c r="BV254" s="1602">
        <v>1</v>
      </c>
      <c r="BW254" s="1602">
        <v>1</v>
      </c>
      <c r="BX254" s="1362">
        <f t="shared" si="199"/>
        <v>0</v>
      </c>
      <c r="BY254" s="1362">
        <f t="shared" si="200"/>
        <v>0</v>
      </c>
      <c r="BZ254" s="1362">
        <f t="shared" si="201"/>
        <v>0</v>
      </c>
      <c r="CA254" s="1362">
        <f t="shared" si="202"/>
        <v>0</v>
      </c>
      <c r="CB254" s="1362">
        <f t="shared" si="203"/>
        <v>0</v>
      </c>
      <c r="CC254" s="1360">
        <v>1</v>
      </c>
      <c r="CD254" s="1360">
        <v>1</v>
      </c>
      <c r="CE254" s="1360">
        <v>1</v>
      </c>
      <c r="CF254" s="1360">
        <v>1</v>
      </c>
      <c r="CG254" s="1604">
        <f t="shared" si="183"/>
        <v>0</v>
      </c>
      <c r="CH254" s="1604">
        <f t="shared" si="184"/>
        <v>0</v>
      </c>
      <c r="CI254" s="1604">
        <f t="shared" si="185"/>
        <v>0</v>
      </c>
      <c r="CJ254" s="1604">
        <f t="shared" si="186"/>
        <v>0</v>
      </c>
      <c r="CK254" s="1521">
        <f t="shared" si="187"/>
        <v>0</v>
      </c>
      <c r="CL254" s="1132">
        <v>247</v>
      </c>
      <c r="CM254" s="1132" t="s">
        <v>356</v>
      </c>
      <c r="CN254" s="1359">
        <v>1</v>
      </c>
      <c r="CO254" s="1360">
        <v>1319.0411040000001</v>
      </c>
      <c r="CP254" s="1360">
        <v>1319.0411040000001</v>
      </c>
      <c r="CQ254" s="1360">
        <v>1319.0411040000001</v>
      </c>
      <c r="CR254" s="1360">
        <v>1319.0411040000001</v>
      </c>
      <c r="CS254" s="1362">
        <f t="shared" si="188"/>
        <v>0</v>
      </c>
      <c r="CT254" s="1362">
        <f t="shared" si="189"/>
        <v>0</v>
      </c>
      <c r="CU254" s="1362">
        <f t="shared" si="190"/>
        <v>0</v>
      </c>
      <c r="CV254" s="1362">
        <f t="shared" si="191"/>
        <v>0</v>
      </c>
      <c r="CW254" s="1362">
        <f t="shared" si="192"/>
        <v>0</v>
      </c>
      <c r="CY254" s="2887"/>
    </row>
    <row r="255" spans="1:103" s="1143" customFormat="1" ht="45.75" customHeight="1" x14ac:dyDescent="0.35">
      <c r="A255" s="1132" t="s">
        <v>110</v>
      </c>
      <c r="B255" s="1132" t="s">
        <v>722</v>
      </c>
      <c r="C255" s="1132" t="s">
        <v>723</v>
      </c>
      <c r="D255" s="1359" t="s">
        <v>105</v>
      </c>
      <c r="E255" s="1359">
        <f t="shared" si="204"/>
        <v>0</v>
      </c>
      <c r="F255" s="1132" t="s">
        <v>105</v>
      </c>
      <c r="G255" s="1132" t="s">
        <v>356</v>
      </c>
      <c r="H255" s="1360">
        <v>69.638587200000003</v>
      </c>
      <c r="I255" s="1360">
        <v>69.638587200000003</v>
      </c>
      <c r="J255" s="1360">
        <v>69.638587200000003</v>
      </c>
      <c r="K255" s="1360">
        <v>69.638587200000003</v>
      </c>
      <c r="L255" s="1132" t="s">
        <v>105</v>
      </c>
      <c r="M255" s="1132" t="str">
        <f t="shared" si="154"/>
        <v/>
      </c>
      <c r="N255" s="1361">
        <v>0</v>
      </c>
      <c r="O255" s="1361">
        <v>0</v>
      </c>
      <c r="P255" s="1361">
        <v>0</v>
      </c>
      <c r="Q255" s="1361">
        <v>0</v>
      </c>
      <c r="R255" s="1781">
        <v>1</v>
      </c>
      <c r="S255" s="1781">
        <v>1</v>
      </c>
      <c r="T255" s="1781">
        <v>1</v>
      </c>
      <c r="U255" s="1781">
        <v>1</v>
      </c>
      <c r="V255" s="1781">
        <v>1</v>
      </c>
      <c r="W255" s="1781">
        <v>1</v>
      </c>
      <c r="X255" s="1781">
        <v>1</v>
      </c>
      <c r="Y255" s="1781">
        <v>1</v>
      </c>
      <c r="Z255" s="1359">
        <v>0</v>
      </c>
      <c r="AA255" s="1781">
        <f t="shared" si="155"/>
        <v>1</v>
      </c>
      <c r="AB255" s="1781">
        <f t="shared" si="156"/>
        <v>1</v>
      </c>
      <c r="AC255" s="1781">
        <f t="shared" si="157"/>
        <v>1</v>
      </c>
      <c r="AD255" s="1781">
        <f t="shared" si="158"/>
        <v>1</v>
      </c>
      <c r="AE255" s="1781">
        <f t="shared" si="159"/>
        <v>1</v>
      </c>
      <c r="AF255" s="1781">
        <f t="shared" si="160"/>
        <v>1</v>
      </c>
      <c r="AG255" s="1781">
        <f t="shared" si="161"/>
        <v>1</v>
      </c>
      <c r="AH255" s="1781">
        <f t="shared" si="162"/>
        <v>1</v>
      </c>
      <c r="AI255" s="1362">
        <f t="shared" si="193"/>
        <v>0</v>
      </c>
      <c r="AJ255" s="1362">
        <f t="shared" si="194"/>
        <v>0</v>
      </c>
      <c r="AK255" s="1362">
        <f t="shared" si="195"/>
        <v>0</v>
      </c>
      <c r="AL255" s="1362">
        <f t="shared" si="196"/>
        <v>0</v>
      </c>
      <c r="AM255" s="1362">
        <f t="shared" si="197"/>
        <v>0</v>
      </c>
      <c r="AN255" s="1132" t="str">
        <f t="shared" si="163"/>
        <v>Custom</v>
      </c>
      <c r="AO255" s="1132" t="str">
        <f t="shared" si="164"/>
        <v/>
      </c>
      <c r="AP255" s="2505">
        <v>0</v>
      </c>
      <c r="AQ255" s="2505"/>
      <c r="AR255" s="2505">
        <f t="shared" si="165"/>
        <v>0</v>
      </c>
      <c r="AS255" s="2505">
        <f t="shared" si="166"/>
        <v>0</v>
      </c>
      <c r="AT255" s="1132" t="str">
        <f t="shared" si="167"/>
        <v>Custom</v>
      </c>
      <c r="AU255" s="1132" t="str">
        <f t="shared" si="168"/>
        <v/>
      </c>
      <c r="AV255" s="2505">
        <v>0</v>
      </c>
      <c r="AW255" s="2505"/>
      <c r="AX255" s="1362">
        <f t="shared" si="169"/>
        <v>0</v>
      </c>
      <c r="AY255" s="1360">
        <f t="shared" si="170"/>
        <v>0</v>
      </c>
      <c r="AZ255" s="1132" t="str">
        <f t="shared" si="171"/>
        <v>Custom</v>
      </c>
      <c r="BA255" s="1132" t="str">
        <f t="shared" si="172"/>
        <v/>
      </c>
      <c r="BB255" s="2505">
        <v>0</v>
      </c>
      <c r="BC255" s="2505"/>
      <c r="BD255" s="1362">
        <f t="shared" si="173"/>
        <v>0</v>
      </c>
      <c r="BE255" s="1360">
        <f t="shared" si="174"/>
        <v>0</v>
      </c>
      <c r="BF255" s="1132" t="str">
        <f t="shared" si="175"/>
        <v>Custom</v>
      </c>
      <c r="BG255" s="1132" t="str">
        <f t="shared" si="176"/>
        <v/>
      </c>
      <c r="BH255" s="2505">
        <v>0</v>
      </c>
      <c r="BI255" s="2505"/>
      <c r="BJ255" s="1362">
        <f t="shared" si="198"/>
        <v>0</v>
      </c>
      <c r="BK255" s="1360">
        <f t="shared" si="177"/>
        <v>0</v>
      </c>
      <c r="BL255" s="1601">
        <f t="shared" si="178"/>
        <v>0</v>
      </c>
      <c r="BM255" s="1601">
        <f t="shared" si="179"/>
        <v>0</v>
      </c>
      <c r="BN255" s="1601">
        <f t="shared" si="180"/>
        <v>0</v>
      </c>
      <c r="BO255" s="1601">
        <f t="shared" si="181"/>
        <v>0</v>
      </c>
      <c r="BP255" s="1602">
        <f t="shared" si="182"/>
        <v>0</v>
      </c>
      <c r="BQ255" s="1605"/>
      <c r="BR255" s="1605"/>
      <c r="BS255" s="1602">
        <v>0</v>
      </c>
      <c r="BT255" s="1602">
        <v>0</v>
      </c>
      <c r="BU255" s="1602">
        <v>0</v>
      </c>
      <c r="BV255" s="1602">
        <v>0</v>
      </c>
      <c r="BW255" s="1602">
        <v>0</v>
      </c>
      <c r="BX255" s="1362">
        <f t="shared" si="199"/>
        <v>0</v>
      </c>
      <c r="BY255" s="1362">
        <f t="shared" si="200"/>
        <v>0</v>
      </c>
      <c r="BZ255" s="1362">
        <f t="shared" si="201"/>
        <v>0</v>
      </c>
      <c r="CA255" s="1362">
        <f t="shared" si="202"/>
        <v>0</v>
      </c>
      <c r="CB255" s="1362">
        <f t="shared" si="203"/>
        <v>0</v>
      </c>
      <c r="CC255" s="1360">
        <v>0</v>
      </c>
      <c r="CD255" s="1360">
        <v>0</v>
      </c>
      <c r="CE255" s="1360">
        <v>0</v>
      </c>
      <c r="CF255" s="1360">
        <v>0</v>
      </c>
      <c r="CG255" s="1604">
        <f t="shared" si="183"/>
        <v>0</v>
      </c>
      <c r="CH255" s="1604">
        <f t="shared" si="184"/>
        <v>0</v>
      </c>
      <c r="CI255" s="1604">
        <f t="shared" si="185"/>
        <v>0</v>
      </c>
      <c r="CJ255" s="1604">
        <f t="shared" si="186"/>
        <v>0</v>
      </c>
      <c r="CK255" s="1521">
        <f t="shared" si="187"/>
        <v>0</v>
      </c>
      <c r="CL255" s="1132">
        <v>248</v>
      </c>
      <c r="CM255" s="1132" t="s">
        <v>356</v>
      </c>
      <c r="CN255" s="1359">
        <v>1</v>
      </c>
      <c r="CO255" s="1360">
        <v>65.952055200000004</v>
      </c>
      <c r="CP255" s="1360">
        <v>65.952055200000004</v>
      </c>
      <c r="CQ255" s="1360">
        <v>65.952055200000004</v>
      </c>
      <c r="CR255" s="1360">
        <v>65.952055200000004</v>
      </c>
      <c r="CS255" s="1362">
        <f t="shared" si="188"/>
        <v>0</v>
      </c>
      <c r="CT255" s="1362">
        <f t="shared" si="189"/>
        <v>0</v>
      </c>
      <c r="CU255" s="1362">
        <f t="shared" si="190"/>
        <v>0</v>
      </c>
      <c r="CV255" s="1362">
        <f t="shared" si="191"/>
        <v>0</v>
      </c>
      <c r="CW255" s="1362">
        <f t="shared" si="192"/>
        <v>0</v>
      </c>
      <c r="CY255" s="2887"/>
    </row>
    <row r="256" spans="1:103" s="1143" customFormat="1" ht="46.5" x14ac:dyDescent="0.35">
      <c r="A256" s="1132" t="s">
        <v>110</v>
      </c>
      <c r="B256" s="1132" t="s">
        <v>722</v>
      </c>
      <c r="C256" s="1132" t="s">
        <v>724</v>
      </c>
      <c r="D256" s="1359" t="s">
        <v>725</v>
      </c>
      <c r="E256" s="1359">
        <v>1</v>
      </c>
      <c r="F256" s="2807" t="s">
        <v>691</v>
      </c>
      <c r="G256" s="1132" t="s">
        <v>328</v>
      </c>
      <c r="H256" s="1360">
        <v>125.1731567392405</v>
      </c>
      <c r="I256" s="1360">
        <v>125.1731567392405</v>
      </c>
      <c r="J256" s="1360">
        <v>125.1731567392405</v>
      </c>
      <c r="K256" s="1360">
        <v>125.1731567392405</v>
      </c>
      <c r="L256" s="1132" t="s">
        <v>692</v>
      </c>
      <c r="M256" s="1132" t="str">
        <f t="shared" si="154"/>
        <v>Nicor Gas PY11-PY14 Adjustable Goals Template_2025-03-01, Tab 5.4.5</v>
      </c>
      <c r="N256" s="2245">
        <v>11.317119452100005</v>
      </c>
      <c r="O256" s="1361">
        <v>11.317119452100005</v>
      </c>
      <c r="P256" s="1361">
        <v>11.317119452100005</v>
      </c>
      <c r="Q256" s="1361">
        <v>11.317119452100005</v>
      </c>
      <c r="R256" s="1781">
        <v>1</v>
      </c>
      <c r="S256" s="1781">
        <v>1</v>
      </c>
      <c r="T256" s="1781">
        <v>1</v>
      </c>
      <c r="U256" s="1781">
        <v>1</v>
      </c>
      <c r="V256" s="1781">
        <v>1</v>
      </c>
      <c r="W256" s="1781">
        <v>1</v>
      </c>
      <c r="X256" s="1781">
        <v>1</v>
      </c>
      <c r="Y256" s="1781">
        <v>1</v>
      </c>
      <c r="Z256" s="1359">
        <v>0</v>
      </c>
      <c r="AA256" s="1781">
        <f t="shared" si="155"/>
        <v>1</v>
      </c>
      <c r="AB256" s="1781">
        <f t="shared" si="156"/>
        <v>1</v>
      </c>
      <c r="AC256" s="1781">
        <f t="shared" si="157"/>
        <v>1</v>
      </c>
      <c r="AD256" s="1781">
        <f t="shared" si="158"/>
        <v>1</v>
      </c>
      <c r="AE256" s="1781">
        <f t="shared" si="159"/>
        <v>1</v>
      </c>
      <c r="AF256" s="1781">
        <f t="shared" si="160"/>
        <v>1</v>
      </c>
      <c r="AG256" s="1781">
        <f t="shared" si="161"/>
        <v>1</v>
      </c>
      <c r="AH256" s="1781">
        <f t="shared" si="162"/>
        <v>1</v>
      </c>
      <c r="AI256" s="1362">
        <f t="shared" si="193"/>
        <v>1416.5995670144216</v>
      </c>
      <c r="AJ256" s="1362">
        <f t="shared" si="194"/>
        <v>1416.5995670144216</v>
      </c>
      <c r="AK256" s="1362">
        <f t="shared" si="195"/>
        <v>1416.5995670144216</v>
      </c>
      <c r="AL256" s="1362">
        <f t="shared" si="196"/>
        <v>1416.5995670144216</v>
      </c>
      <c r="AM256" s="1362">
        <f t="shared" si="197"/>
        <v>5666.3982680576864</v>
      </c>
      <c r="AN256" s="1132" t="str">
        <f t="shared" si="163"/>
        <v>RS-HWE-LFSH-V06-190101</v>
      </c>
      <c r="AO256" s="1132" t="str">
        <f t="shared" si="164"/>
        <v>Nicor Gas PY11-PY14 Adjustable Goals Template_2025-03-01, Tab 5.4.5</v>
      </c>
      <c r="AP256" s="2737">
        <f>'5.4.5'!$P$15</f>
        <v>12.229477281000005</v>
      </c>
      <c r="AQ256" s="2568" t="s">
        <v>557</v>
      </c>
      <c r="AR256" s="2505">
        <f t="shared" si="165"/>
        <v>1530.8022765335943</v>
      </c>
      <c r="AS256" s="2505">
        <f t="shared" si="166"/>
        <v>114.20270951917269</v>
      </c>
      <c r="AT256" s="1132" t="str">
        <f t="shared" si="167"/>
        <v>RS-HWE-LFSH-V06-190101</v>
      </c>
      <c r="AU256" s="1132" t="str">
        <f t="shared" si="168"/>
        <v>Nicor Gas PY11-PY14 Adjustable Goals Template_2025-03-01, Tab 5.4.5</v>
      </c>
      <c r="AV256" s="2508">
        <f>'5.4.5'!$P$15</f>
        <v>12.229477281000005</v>
      </c>
      <c r="AW256" s="2568" t="s">
        <v>557</v>
      </c>
      <c r="AX256" s="1362">
        <f t="shared" si="169"/>
        <v>1530.8022765335943</v>
      </c>
      <c r="AY256" s="1360">
        <f t="shared" si="170"/>
        <v>114.20270951917269</v>
      </c>
      <c r="AZ256" s="1132" t="str">
        <f t="shared" si="171"/>
        <v>RS-HWE-LFSH-V06-190101</v>
      </c>
      <c r="BA256" s="1132" t="str">
        <f t="shared" si="172"/>
        <v>Nicor Gas PY11-PY14 Adjustable Goals Template_2025-03-01, Tab 5.4.5</v>
      </c>
      <c r="BB256" s="2508">
        <f>'5.4.5'!$P$15</f>
        <v>12.229477281000005</v>
      </c>
      <c r="BC256" s="2568" t="s">
        <v>557</v>
      </c>
      <c r="BD256" s="1362">
        <f t="shared" si="173"/>
        <v>1530.8022765335943</v>
      </c>
      <c r="BE256" s="1360">
        <f t="shared" si="174"/>
        <v>114.20270951917269</v>
      </c>
      <c r="BF256" s="1132" t="str">
        <f t="shared" si="175"/>
        <v>RS-HWE-LFSH-V06-190101</v>
      </c>
      <c r="BG256" s="1132" t="str">
        <f t="shared" si="176"/>
        <v>Nicor Gas PY11-PY14 Adjustable Goals Template_2025-03-01, Tab 5.4.5</v>
      </c>
      <c r="BH256" s="2508">
        <f>'5.4.5'!$P$15</f>
        <v>12.229477281000005</v>
      </c>
      <c r="BI256" s="2568" t="s">
        <v>557</v>
      </c>
      <c r="BJ256" s="1362">
        <f t="shared" si="198"/>
        <v>1530.8022765335943</v>
      </c>
      <c r="BK256" s="1360">
        <f t="shared" si="177"/>
        <v>114.20270951917269</v>
      </c>
      <c r="BL256" s="1601">
        <f t="shared" si="178"/>
        <v>1530.8022765335943</v>
      </c>
      <c r="BM256" s="1601">
        <f t="shared" si="179"/>
        <v>1530.8022765335943</v>
      </c>
      <c r="BN256" s="1601">
        <f t="shared" si="180"/>
        <v>1530.8022765335943</v>
      </c>
      <c r="BO256" s="1601">
        <f t="shared" si="181"/>
        <v>1530.8022765335943</v>
      </c>
      <c r="BP256" s="1602">
        <f t="shared" si="182"/>
        <v>6123.2091061343772</v>
      </c>
      <c r="BQ256" s="1605"/>
      <c r="BR256" s="1605" t="s">
        <v>691</v>
      </c>
      <c r="BS256" s="1602">
        <v>0</v>
      </c>
      <c r="BT256" s="1602">
        <v>10</v>
      </c>
      <c r="BU256" s="1602">
        <v>10</v>
      </c>
      <c r="BV256" s="1602">
        <v>10</v>
      </c>
      <c r="BW256" s="1602">
        <v>10</v>
      </c>
      <c r="BX256" s="1362">
        <f t="shared" si="199"/>
        <v>14165.995670144217</v>
      </c>
      <c r="BY256" s="1362">
        <f t="shared" si="200"/>
        <v>14165.995670144217</v>
      </c>
      <c r="BZ256" s="1362">
        <f t="shared" si="201"/>
        <v>14165.995670144217</v>
      </c>
      <c r="CA256" s="1362">
        <f t="shared" si="202"/>
        <v>14165.995670144217</v>
      </c>
      <c r="CB256" s="1362">
        <f t="shared" si="203"/>
        <v>56663.982680576868</v>
      </c>
      <c r="CC256" s="1360">
        <v>10</v>
      </c>
      <c r="CD256" s="1360">
        <v>10</v>
      </c>
      <c r="CE256" s="1360">
        <v>10</v>
      </c>
      <c r="CF256" s="1360">
        <v>10</v>
      </c>
      <c r="CG256" s="1604">
        <f t="shared" si="183"/>
        <v>15308.022765335943</v>
      </c>
      <c r="CH256" s="1604">
        <f t="shared" si="184"/>
        <v>15308.022765335943</v>
      </c>
      <c r="CI256" s="1604">
        <f t="shared" si="185"/>
        <v>15308.022765335943</v>
      </c>
      <c r="CJ256" s="1604">
        <f t="shared" si="186"/>
        <v>15308.022765335943</v>
      </c>
      <c r="CK256" s="1521">
        <f t="shared" si="187"/>
        <v>61232.091061343774</v>
      </c>
      <c r="CL256" s="1132">
        <v>249</v>
      </c>
      <c r="CM256" s="1132" t="s">
        <v>328</v>
      </c>
      <c r="CN256" s="1359">
        <v>1</v>
      </c>
      <c r="CO256" s="1360">
        <v>118.54673213164557</v>
      </c>
      <c r="CP256" s="1360">
        <v>118.54673213164557</v>
      </c>
      <c r="CQ256" s="1360">
        <v>118.54673213164557</v>
      </c>
      <c r="CR256" s="1360">
        <v>118.54673213164557</v>
      </c>
      <c r="CS256" s="1362">
        <f t="shared" si="188"/>
        <v>1341.6075281899348</v>
      </c>
      <c r="CT256" s="1362">
        <f t="shared" si="189"/>
        <v>1341.6075281899348</v>
      </c>
      <c r="CU256" s="1362">
        <f t="shared" si="190"/>
        <v>1341.6075281899348</v>
      </c>
      <c r="CV256" s="1362">
        <f t="shared" si="191"/>
        <v>1341.6075281899348</v>
      </c>
      <c r="CW256" s="1362">
        <f t="shared" si="192"/>
        <v>5366.4301127597391</v>
      </c>
      <c r="CY256" s="2887"/>
    </row>
    <row r="257" spans="1:103" s="1143" customFormat="1" ht="15" customHeight="1" x14ac:dyDescent="0.35">
      <c r="A257" s="1132" t="s">
        <v>110</v>
      </c>
      <c r="B257" s="1132" t="s">
        <v>722</v>
      </c>
      <c r="C257" s="1132" t="s">
        <v>726</v>
      </c>
      <c r="D257" s="1359" t="s">
        <v>727</v>
      </c>
      <c r="E257" s="1359">
        <v>1</v>
      </c>
      <c r="F257" s="2807" t="s">
        <v>697</v>
      </c>
      <c r="G257" s="1132" t="s">
        <v>328</v>
      </c>
      <c r="H257" s="1360">
        <v>1926.0799117974684</v>
      </c>
      <c r="I257" s="1360">
        <v>1926.0799117974684</v>
      </c>
      <c r="J257" s="1360">
        <v>1926.0799117974684</v>
      </c>
      <c r="K257" s="1360">
        <v>1926.0799117974684</v>
      </c>
      <c r="L257" s="1132" t="s">
        <v>698</v>
      </c>
      <c r="M257" s="1132" t="str">
        <f t="shared" si="154"/>
        <v>Nicor Gas PY11-PY14 Adjustable Goals Template_2025-03-01, Tab 5.4.4</v>
      </c>
      <c r="N257" s="1361">
        <v>1.5579651031560005</v>
      </c>
      <c r="O257" s="1361">
        <v>1.5579651031560005</v>
      </c>
      <c r="P257" s="1361">
        <v>1.5579651031560005</v>
      </c>
      <c r="Q257" s="1361">
        <v>1.5579651031560005</v>
      </c>
      <c r="R257" s="1781">
        <v>1</v>
      </c>
      <c r="S257" s="1781">
        <v>1</v>
      </c>
      <c r="T257" s="1781">
        <v>1</v>
      </c>
      <c r="U257" s="1781">
        <v>1</v>
      </c>
      <c r="V257" s="1781">
        <v>1</v>
      </c>
      <c r="W257" s="1781">
        <v>1</v>
      </c>
      <c r="X257" s="1781">
        <v>1</v>
      </c>
      <c r="Y257" s="1781">
        <v>1</v>
      </c>
      <c r="Z257" s="1359">
        <v>0</v>
      </c>
      <c r="AA257" s="1781">
        <f t="shared" si="155"/>
        <v>1</v>
      </c>
      <c r="AB257" s="1781">
        <f t="shared" si="156"/>
        <v>1</v>
      </c>
      <c r="AC257" s="1781">
        <f t="shared" si="157"/>
        <v>1</v>
      </c>
      <c r="AD257" s="1781">
        <f t="shared" si="158"/>
        <v>1</v>
      </c>
      <c r="AE257" s="1781">
        <f t="shared" si="159"/>
        <v>1</v>
      </c>
      <c r="AF257" s="1781">
        <f t="shared" si="160"/>
        <v>1</v>
      </c>
      <c r="AG257" s="1781">
        <f t="shared" si="161"/>
        <v>1</v>
      </c>
      <c r="AH257" s="1781">
        <f t="shared" si="162"/>
        <v>1</v>
      </c>
      <c r="AI257" s="1362">
        <f t="shared" si="193"/>
        <v>3000.7652884702429</v>
      </c>
      <c r="AJ257" s="1362">
        <f t="shared" si="194"/>
        <v>3000.7652884702429</v>
      </c>
      <c r="AK257" s="1362">
        <f t="shared" si="195"/>
        <v>3000.7652884702429</v>
      </c>
      <c r="AL257" s="1362">
        <f t="shared" si="196"/>
        <v>3000.7652884702429</v>
      </c>
      <c r="AM257" s="1362">
        <f t="shared" si="197"/>
        <v>12003.061153880972</v>
      </c>
      <c r="AN257" s="1132" t="str">
        <f t="shared" si="163"/>
        <v>RS-HWE-LFFA-V07-190101</v>
      </c>
      <c r="AO257" s="1132" t="str">
        <f t="shared" si="164"/>
        <v>Nicor Gas PY11-PY14 Adjustable Goals Template_2025-03-01, Tab 5.4.4</v>
      </c>
      <c r="AP257" s="2738">
        <f>'5.4.4'!$O$14</f>
        <v>1.7267119531200008</v>
      </c>
      <c r="AQ257" s="2568" t="s">
        <v>481</v>
      </c>
      <c r="AR257" s="2505">
        <f t="shared" si="165"/>
        <v>3325.7852063650057</v>
      </c>
      <c r="AS257" s="2505">
        <f t="shared" si="166"/>
        <v>325.01991789476278</v>
      </c>
      <c r="AT257" s="1132" t="str">
        <f t="shared" si="167"/>
        <v>RS-HWE-LFFA-V07-190101</v>
      </c>
      <c r="AU257" s="1132" t="str">
        <f t="shared" si="168"/>
        <v>Nicor Gas PY11-PY14 Adjustable Goals Template_2025-03-01, Tab 5.4.4</v>
      </c>
      <c r="AV257" s="2247">
        <f>'5.4.4'!$O$14</f>
        <v>1.7267119531200008</v>
      </c>
      <c r="AW257" s="2568" t="s">
        <v>481</v>
      </c>
      <c r="AX257" s="1362">
        <f t="shared" si="169"/>
        <v>3325.7852063650057</v>
      </c>
      <c r="AY257" s="1360">
        <f t="shared" si="170"/>
        <v>325.01991789476278</v>
      </c>
      <c r="AZ257" s="1132" t="str">
        <f t="shared" si="171"/>
        <v>RS-HWE-LFFA-V07-190101</v>
      </c>
      <c r="BA257" s="1132" t="str">
        <f t="shared" si="172"/>
        <v>Nicor Gas PY11-PY14 Adjustable Goals Template_2025-03-01, Tab 5.4.4</v>
      </c>
      <c r="BB257" s="2247">
        <f>'5.4.4'!$O$14</f>
        <v>1.7267119531200008</v>
      </c>
      <c r="BC257" s="2568" t="s">
        <v>481</v>
      </c>
      <c r="BD257" s="1362">
        <f t="shared" si="173"/>
        <v>3325.7852063650057</v>
      </c>
      <c r="BE257" s="1360">
        <f t="shared" si="174"/>
        <v>325.01991789476278</v>
      </c>
      <c r="BF257" s="1132" t="str">
        <f t="shared" si="175"/>
        <v>RS-HWE-LFFA-V07-190101</v>
      </c>
      <c r="BG257" s="1132" t="str">
        <f t="shared" si="176"/>
        <v>Nicor Gas PY11-PY14 Adjustable Goals Template_2025-03-01, Tab 5.4.4</v>
      </c>
      <c r="BH257" s="2247">
        <f>'5.4.4'!$O$14</f>
        <v>1.7267119531200008</v>
      </c>
      <c r="BI257" s="2568" t="s">
        <v>481</v>
      </c>
      <c r="BJ257" s="1362">
        <f t="shared" si="198"/>
        <v>3325.7852063650057</v>
      </c>
      <c r="BK257" s="1360">
        <f t="shared" si="177"/>
        <v>325.01991789476278</v>
      </c>
      <c r="BL257" s="1601">
        <f t="shared" si="178"/>
        <v>3325.7852063650057</v>
      </c>
      <c r="BM257" s="1601">
        <f t="shared" si="179"/>
        <v>3325.7852063650057</v>
      </c>
      <c r="BN257" s="1601">
        <f t="shared" si="180"/>
        <v>3325.7852063650057</v>
      </c>
      <c r="BO257" s="1601">
        <f t="shared" si="181"/>
        <v>3325.7852063650057</v>
      </c>
      <c r="BP257" s="1602">
        <f t="shared" si="182"/>
        <v>13303.140825460023</v>
      </c>
      <c r="BQ257" s="1605"/>
      <c r="BR257" s="1605" t="s">
        <v>697</v>
      </c>
      <c r="BS257" s="1602">
        <v>0</v>
      </c>
      <c r="BT257" s="1602">
        <v>10</v>
      </c>
      <c r="BU257" s="1602">
        <v>10</v>
      </c>
      <c r="BV257" s="1602">
        <v>10</v>
      </c>
      <c r="BW257" s="1602">
        <v>10</v>
      </c>
      <c r="BX257" s="1362">
        <f t="shared" si="199"/>
        <v>30007.652884702431</v>
      </c>
      <c r="BY257" s="1362">
        <f t="shared" si="200"/>
        <v>30007.652884702431</v>
      </c>
      <c r="BZ257" s="1362">
        <f t="shared" si="201"/>
        <v>30007.652884702431</v>
      </c>
      <c r="CA257" s="1362">
        <f t="shared" si="202"/>
        <v>30007.652884702431</v>
      </c>
      <c r="CB257" s="1362">
        <f t="shared" si="203"/>
        <v>120030.61153880972</v>
      </c>
      <c r="CC257" s="1360">
        <v>10</v>
      </c>
      <c r="CD257" s="1360">
        <v>10</v>
      </c>
      <c r="CE257" s="1360">
        <v>10</v>
      </c>
      <c r="CF257" s="1360">
        <v>10</v>
      </c>
      <c r="CG257" s="1604">
        <f t="shared" si="183"/>
        <v>33257.852063650054</v>
      </c>
      <c r="CH257" s="1604">
        <f t="shared" si="184"/>
        <v>33257.852063650054</v>
      </c>
      <c r="CI257" s="1604">
        <f t="shared" si="185"/>
        <v>33257.852063650054</v>
      </c>
      <c r="CJ257" s="1604">
        <f t="shared" si="186"/>
        <v>33257.852063650054</v>
      </c>
      <c r="CK257" s="1521">
        <f t="shared" si="187"/>
        <v>133031.40825460022</v>
      </c>
      <c r="CL257" s="1132">
        <v>250</v>
      </c>
      <c r="CM257" s="1132" t="s">
        <v>328</v>
      </c>
      <c r="CN257" s="1359">
        <v>1</v>
      </c>
      <c r="CO257" s="1360">
        <v>1824.1169697721521</v>
      </c>
      <c r="CP257" s="1360">
        <v>1824.1169697721521</v>
      </c>
      <c r="CQ257" s="1360">
        <v>1824.1169697721521</v>
      </c>
      <c r="CR257" s="1360">
        <v>1824.1169697721521</v>
      </c>
      <c r="CS257" s="1362">
        <f t="shared" si="188"/>
        <v>2841.9105829796817</v>
      </c>
      <c r="CT257" s="1362">
        <f t="shared" si="189"/>
        <v>2841.9105829796817</v>
      </c>
      <c r="CU257" s="1362">
        <f t="shared" si="190"/>
        <v>2841.9105829796817</v>
      </c>
      <c r="CV257" s="1362">
        <f t="shared" si="191"/>
        <v>2841.9105829796817</v>
      </c>
      <c r="CW257" s="1362">
        <f t="shared" si="192"/>
        <v>11367.642331918727</v>
      </c>
      <c r="CY257" s="2887"/>
    </row>
    <row r="258" spans="1:103" s="1143" customFormat="1" ht="45" customHeight="1" x14ac:dyDescent="0.35">
      <c r="A258" s="1132" t="s">
        <v>110</v>
      </c>
      <c r="B258" s="1132" t="s">
        <v>722</v>
      </c>
      <c r="C258" s="1132" t="s">
        <v>728</v>
      </c>
      <c r="D258" s="1359" t="s">
        <v>729</v>
      </c>
      <c r="E258" s="1359">
        <v>1</v>
      </c>
      <c r="F258" s="2807" t="s">
        <v>697</v>
      </c>
      <c r="G258" s="1132" t="s">
        <v>328</v>
      </c>
      <c r="H258" s="1360">
        <v>1614.0285210531642</v>
      </c>
      <c r="I258" s="1360">
        <v>1614.0285210531642</v>
      </c>
      <c r="J258" s="1360">
        <v>1614.0285210531642</v>
      </c>
      <c r="K258" s="1360">
        <v>1614.0285210531642</v>
      </c>
      <c r="L258" s="1132" t="s">
        <v>698</v>
      </c>
      <c r="M258" s="1132" t="str">
        <f t="shared" si="154"/>
        <v>Nicor Gas PY11-PY14 Adjustable Goals Template_2025-03-01, Tab 5.4.4</v>
      </c>
      <c r="N258" s="1361">
        <v>2.5539833919599975</v>
      </c>
      <c r="O258" s="1361">
        <v>2.5539833919599975</v>
      </c>
      <c r="P258" s="1361">
        <v>2.5539833919599975</v>
      </c>
      <c r="Q258" s="1361">
        <v>2.5539833919599975</v>
      </c>
      <c r="R258" s="1781">
        <v>1</v>
      </c>
      <c r="S258" s="1781">
        <v>1</v>
      </c>
      <c r="T258" s="1781">
        <v>1</v>
      </c>
      <c r="U258" s="1781">
        <v>1</v>
      </c>
      <c r="V258" s="1781">
        <v>1</v>
      </c>
      <c r="W258" s="1781">
        <v>1</v>
      </c>
      <c r="X258" s="1781">
        <v>1</v>
      </c>
      <c r="Y258" s="1781">
        <v>1</v>
      </c>
      <c r="Z258" s="1359">
        <v>0</v>
      </c>
      <c r="AA258" s="1781">
        <f t="shared" si="155"/>
        <v>1</v>
      </c>
      <c r="AB258" s="1781">
        <f t="shared" si="156"/>
        <v>1</v>
      </c>
      <c r="AC258" s="1781">
        <f t="shared" si="157"/>
        <v>1</v>
      </c>
      <c r="AD258" s="1781">
        <f t="shared" si="158"/>
        <v>1</v>
      </c>
      <c r="AE258" s="1781">
        <f t="shared" si="159"/>
        <v>1</v>
      </c>
      <c r="AF258" s="1781">
        <f t="shared" si="160"/>
        <v>1</v>
      </c>
      <c r="AG258" s="1781">
        <f t="shared" si="161"/>
        <v>1</v>
      </c>
      <c r="AH258" s="1781">
        <f t="shared" si="162"/>
        <v>1</v>
      </c>
      <c r="AI258" s="1362">
        <f t="shared" si="193"/>
        <v>4122.2020369195388</v>
      </c>
      <c r="AJ258" s="1362">
        <f t="shared" si="194"/>
        <v>4122.2020369195388</v>
      </c>
      <c r="AK258" s="1362">
        <f t="shared" si="195"/>
        <v>4122.2020369195388</v>
      </c>
      <c r="AL258" s="1362">
        <f t="shared" si="196"/>
        <v>4122.2020369195388</v>
      </c>
      <c r="AM258" s="1362">
        <f t="shared" si="197"/>
        <v>16488.808147678155</v>
      </c>
      <c r="AN258" s="1132" t="str">
        <f t="shared" si="163"/>
        <v>RS-HWE-LFFA-V07-190101</v>
      </c>
      <c r="AO258" s="1132" t="str">
        <f t="shared" si="164"/>
        <v>Nicor Gas PY11-PY14 Adjustable Goals Template_2025-03-01, Tab 5.4.4</v>
      </c>
      <c r="AP258" s="2738">
        <f>'5.4.4'!$O$15</f>
        <v>2.7967173506999976</v>
      </c>
      <c r="AQ258" s="2568" t="s">
        <v>481</v>
      </c>
      <c r="AR258" s="2505">
        <f t="shared" si="165"/>
        <v>4513.9815693540404</v>
      </c>
      <c r="AS258" s="2505">
        <f t="shared" si="166"/>
        <v>391.77953243450156</v>
      </c>
      <c r="AT258" s="1132" t="str">
        <f t="shared" si="167"/>
        <v>RS-HWE-LFFA-V07-190101</v>
      </c>
      <c r="AU258" s="1132" t="str">
        <f t="shared" si="168"/>
        <v>Nicor Gas PY11-PY14 Adjustable Goals Template_2025-03-01, Tab 5.4.4</v>
      </c>
      <c r="AV258" s="2247">
        <f>'5.4.4'!$O$15</f>
        <v>2.7967173506999976</v>
      </c>
      <c r="AW258" s="2568" t="s">
        <v>481</v>
      </c>
      <c r="AX258" s="1362">
        <f t="shared" si="169"/>
        <v>4513.9815693540404</v>
      </c>
      <c r="AY258" s="1360">
        <f t="shared" si="170"/>
        <v>391.77953243450156</v>
      </c>
      <c r="AZ258" s="1132" t="str">
        <f t="shared" si="171"/>
        <v>RS-HWE-LFFA-V07-190101</v>
      </c>
      <c r="BA258" s="1132" t="str">
        <f t="shared" si="172"/>
        <v>Nicor Gas PY11-PY14 Adjustable Goals Template_2025-03-01, Tab 5.4.4</v>
      </c>
      <c r="BB258" s="2247">
        <f>'5.4.4'!$O$15</f>
        <v>2.7967173506999976</v>
      </c>
      <c r="BC258" s="2568" t="s">
        <v>481</v>
      </c>
      <c r="BD258" s="1362">
        <f t="shared" si="173"/>
        <v>4513.9815693540404</v>
      </c>
      <c r="BE258" s="1360">
        <f t="shared" si="174"/>
        <v>391.77953243450156</v>
      </c>
      <c r="BF258" s="1132" t="str">
        <f t="shared" si="175"/>
        <v>RS-HWE-LFFA-V07-190101</v>
      </c>
      <c r="BG258" s="1132" t="str">
        <f t="shared" si="176"/>
        <v>Nicor Gas PY11-PY14 Adjustable Goals Template_2025-03-01, Tab 5.4.4</v>
      </c>
      <c r="BH258" s="2247">
        <f>'5.4.4'!$O$15</f>
        <v>2.7967173506999976</v>
      </c>
      <c r="BI258" s="2568" t="s">
        <v>481</v>
      </c>
      <c r="BJ258" s="1362">
        <f t="shared" si="198"/>
        <v>4513.9815693540404</v>
      </c>
      <c r="BK258" s="1360">
        <f t="shared" si="177"/>
        <v>391.77953243450156</v>
      </c>
      <c r="BL258" s="1601">
        <f t="shared" si="178"/>
        <v>4513.9815693540404</v>
      </c>
      <c r="BM258" s="1601">
        <f t="shared" si="179"/>
        <v>4513.9815693540404</v>
      </c>
      <c r="BN258" s="1601">
        <f t="shared" si="180"/>
        <v>4513.9815693540404</v>
      </c>
      <c r="BO258" s="1601">
        <f t="shared" si="181"/>
        <v>4513.9815693540404</v>
      </c>
      <c r="BP258" s="1602">
        <f t="shared" si="182"/>
        <v>18055.926277416162</v>
      </c>
      <c r="BQ258" s="1605"/>
      <c r="BR258" s="1605" t="s">
        <v>697</v>
      </c>
      <c r="BS258" s="1602">
        <v>0</v>
      </c>
      <c r="BT258" s="1602">
        <v>10</v>
      </c>
      <c r="BU258" s="1602">
        <v>10</v>
      </c>
      <c r="BV258" s="1602">
        <v>10</v>
      </c>
      <c r="BW258" s="1602">
        <v>10</v>
      </c>
      <c r="BX258" s="1362">
        <f t="shared" si="199"/>
        <v>41222.020369195387</v>
      </c>
      <c r="BY258" s="1362">
        <f t="shared" si="200"/>
        <v>41222.020369195387</v>
      </c>
      <c r="BZ258" s="1362">
        <f t="shared" si="201"/>
        <v>41222.020369195387</v>
      </c>
      <c r="CA258" s="1362">
        <f t="shared" si="202"/>
        <v>41222.020369195387</v>
      </c>
      <c r="CB258" s="1362">
        <f t="shared" si="203"/>
        <v>164888.08147678155</v>
      </c>
      <c r="CC258" s="1360">
        <v>10</v>
      </c>
      <c r="CD258" s="1360">
        <v>10</v>
      </c>
      <c r="CE258" s="1360">
        <v>10</v>
      </c>
      <c r="CF258" s="1360">
        <v>10</v>
      </c>
      <c r="CG258" s="1604">
        <f t="shared" si="183"/>
        <v>45139.815693540404</v>
      </c>
      <c r="CH258" s="1604">
        <f t="shared" si="184"/>
        <v>45139.815693540404</v>
      </c>
      <c r="CI258" s="1604">
        <f t="shared" si="185"/>
        <v>45139.815693540404</v>
      </c>
      <c r="CJ258" s="1604">
        <f t="shared" si="186"/>
        <v>45139.815693540404</v>
      </c>
      <c r="CK258" s="1521">
        <f t="shared" si="187"/>
        <v>180559.26277416162</v>
      </c>
      <c r="CL258" s="1132">
        <v>251</v>
      </c>
      <c r="CM258" s="1132" t="s">
        <v>328</v>
      </c>
      <c r="CN258" s="1359">
        <v>1</v>
      </c>
      <c r="CO258" s="1360">
        <v>1528.5849755848101</v>
      </c>
      <c r="CP258" s="1360">
        <v>1528.5849755848101</v>
      </c>
      <c r="CQ258" s="1360">
        <v>1528.5849755848101</v>
      </c>
      <c r="CR258" s="1360">
        <v>1528.5849755848101</v>
      </c>
      <c r="CS258" s="1362">
        <f t="shared" si="188"/>
        <v>3903.9806408431832</v>
      </c>
      <c r="CT258" s="1362">
        <f t="shared" si="189"/>
        <v>3903.9806408431832</v>
      </c>
      <c r="CU258" s="1362">
        <f t="shared" si="190"/>
        <v>3903.9806408431832</v>
      </c>
      <c r="CV258" s="1362">
        <f t="shared" si="191"/>
        <v>3903.9806408431832</v>
      </c>
      <c r="CW258" s="1362">
        <f t="shared" si="192"/>
        <v>15615.922563372733</v>
      </c>
      <c r="CY258" s="2887"/>
    </row>
    <row r="259" spans="1:103" s="1143" customFormat="1" ht="46.5" x14ac:dyDescent="0.35">
      <c r="A259" s="1132" t="s">
        <v>110</v>
      </c>
      <c r="B259" s="1132" t="s">
        <v>722</v>
      </c>
      <c r="C259" s="1132" t="s">
        <v>724</v>
      </c>
      <c r="D259" s="1359" t="s">
        <v>725</v>
      </c>
      <c r="E259" s="1359">
        <v>1</v>
      </c>
      <c r="F259" s="2807" t="s">
        <v>691</v>
      </c>
      <c r="G259" s="1132" t="s">
        <v>328</v>
      </c>
      <c r="H259" s="1360">
        <v>1490.6183665215187</v>
      </c>
      <c r="I259" s="1360">
        <v>1490.6183665215187</v>
      </c>
      <c r="J259" s="1360">
        <v>1490.6183665215187</v>
      </c>
      <c r="K259" s="1360">
        <v>1490.6183665215187</v>
      </c>
      <c r="L259" s="1132" t="s">
        <v>692</v>
      </c>
      <c r="M259" s="1132" t="str">
        <f t="shared" si="154"/>
        <v>Nicor Gas PY11-PY14 Adjustable Goals Template_2025-03-01, Tab 5.4.5</v>
      </c>
      <c r="N259" s="2245">
        <v>11.317119452100005</v>
      </c>
      <c r="O259" s="1361">
        <v>11.317119452100005</v>
      </c>
      <c r="P259" s="1361">
        <v>11.317119452100005</v>
      </c>
      <c r="Q259" s="1361">
        <v>11.317119452100005</v>
      </c>
      <c r="R259" s="1781">
        <v>1</v>
      </c>
      <c r="S259" s="1781">
        <v>1</v>
      </c>
      <c r="T259" s="1781">
        <v>1</v>
      </c>
      <c r="U259" s="1781">
        <v>1</v>
      </c>
      <c r="V259" s="1781">
        <v>1</v>
      </c>
      <c r="W259" s="1781">
        <v>1</v>
      </c>
      <c r="X259" s="1781">
        <v>1</v>
      </c>
      <c r="Y259" s="1781">
        <v>1</v>
      </c>
      <c r="Z259" s="1359">
        <v>0</v>
      </c>
      <c r="AA259" s="1781">
        <f t="shared" si="155"/>
        <v>1</v>
      </c>
      <c r="AB259" s="1781">
        <f t="shared" si="156"/>
        <v>1</v>
      </c>
      <c r="AC259" s="1781">
        <f t="shared" si="157"/>
        <v>1</v>
      </c>
      <c r="AD259" s="1781">
        <f t="shared" si="158"/>
        <v>1</v>
      </c>
      <c r="AE259" s="1781">
        <f t="shared" si="159"/>
        <v>1</v>
      </c>
      <c r="AF259" s="1781">
        <f t="shared" si="160"/>
        <v>1</v>
      </c>
      <c r="AG259" s="1781">
        <f t="shared" si="161"/>
        <v>1</v>
      </c>
      <c r="AH259" s="1781">
        <f t="shared" si="162"/>
        <v>1</v>
      </c>
      <c r="AI259" s="1362">
        <f t="shared" si="193"/>
        <v>16869.506111418214</v>
      </c>
      <c r="AJ259" s="1362">
        <f t="shared" si="194"/>
        <v>16869.506111418214</v>
      </c>
      <c r="AK259" s="1362">
        <f t="shared" si="195"/>
        <v>16869.506111418214</v>
      </c>
      <c r="AL259" s="1362">
        <f t="shared" si="196"/>
        <v>16869.506111418214</v>
      </c>
      <c r="AM259" s="1362">
        <f t="shared" si="197"/>
        <v>67478.024445672854</v>
      </c>
      <c r="AN259" s="1132" t="str">
        <f t="shared" si="163"/>
        <v>RS-HWE-LFSH-V06-190101</v>
      </c>
      <c r="AO259" s="1132" t="str">
        <f t="shared" si="164"/>
        <v>Nicor Gas PY11-PY14 Adjustable Goals Template_2025-03-01, Tab 5.4.5</v>
      </c>
      <c r="AP259" s="2737">
        <f>'5.4.5'!$P$15</f>
        <v>12.229477281000005</v>
      </c>
      <c r="AQ259" s="2568" t="s">
        <v>557</v>
      </c>
      <c r="AR259" s="2505">
        <f t="shared" si="165"/>
        <v>18229.48344801625</v>
      </c>
      <c r="AS259" s="2505">
        <f t="shared" si="166"/>
        <v>1359.9773365980363</v>
      </c>
      <c r="AT259" s="1132" t="str">
        <f t="shared" si="167"/>
        <v>RS-HWE-LFSH-V06-190101</v>
      </c>
      <c r="AU259" s="1132" t="str">
        <f t="shared" si="168"/>
        <v>Nicor Gas PY11-PY14 Adjustable Goals Template_2025-03-01, Tab 5.4.5</v>
      </c>
      <c r="AV259" s="2508">
        <f>'5.4.5'!$P$15</f>
        <v>12.229477281000005</v>
      </c>
      <c r="AW259" s="2568" t="s">
        <v>557</v>
      </c>
      <c r="AX259" s="1362">
        <f t="shared" si="169"/>
        <v>18229.48344801625</v>
      </c>
      <c r="AY259" s="1360">
        <f t="shared" si="170"/>
        <v>1359.9773365980363</v>
      </c>
      <c r="AZ259" s="1132" t="str">
        <f t="shared" si="171"/>
        <v>RS-HWE-LFSH-V06-190101</v>
      </c>
      <c r="BA259" s="1132" t="str">
        <f t="shared" si="172"/>
        <v>Nicor Gas PY11-PY14 Adjustable Goals Template_2025-03-01, Tab 5.4.5</v>
      </c>
      <c r="BB259" s="2508">
        <f>'5.4.5'!$P$15</f>
        <v>12.229477281000005</v>
      </c>
      <c r="BC259" s="2568" t="s">
        <v>557</v>
      </c>
      <c r="BD259" s="1362">
        <f t="shared" si="173"/>
        <v>18229.48344801625</v>
      </c>
      <c r="BE259" s="1360">
        <f t="shared" si="174"/>
        <v>1359.9773365980363</v>
      </c>
      <c r="BF259" s="1132" t="str">
        <f t="shared" si="175"/>
        <v>RS-HWE-LFSH-V06-190101</v>
      </c>
      <c r="BG259" s="1132" t="str">
        <f t="shared" si="176"/>
        <v>Nicor Gas PY11-PY14 Adjustable Goals Template_2025-03-01, Tab 5.4.5</v>
      </c>
      <c r="BH259" s="2508">
        <f>'5.4.5'!$P$15</f>
        <v>12.229477281000005</v>
      </c>
      <c r="BI259" s="2568" t="s">
        <v>557</v>
      </c>
      <c r="BJ259" s="1362">
        <f t="shared" si="198"/>
        <v>18229.48344801625</v>
      </c>
      <c r="BK259" s="1360">
        <f t="shared" si="177"/>
        <v>1359.9773365980363</v>
      </c>
      <c r="BL259" s="1601">
        <f t="shared" si="178"/>
        <v>18229.48344801625</v>
      </c>
      <c r="BM259" s="1601">
        <f t="shared" si="179"/>
        <v>18229.48344801625</v>
      </c>
      <c r="BN259" s="1601">
        <f t="shared" si="180"/>
        <v>18229.48344801625</v>
      </c>
      <c r="BO259" s="1601">
        <f t="shared" si="181"/>
        <v>18229.48344801625</v>
      </c>
      <c r="BP259" s="1602">
        <f t="shared" si="182"/>
        <v>72917.933792065</v>
      </c>
      <c r="BQ259" s="1605"/>
      <c r="BR259" s="1605" t="s">
        <v>691</v>
      </c>
      <c r="BS259" s="1602">
        <v>0</v>
      </c>
      <c r="BT259" s="1602">
        <v>10</v>
      </c>
      <c r="BU259" s="1602">
        <v>10</v>
      </c>
      <c r="BV259" s="1602">
        <v>10</v>
      </c>
      <c r="BW259" s="1602">
        <v>10</v>
      </c>
      <c r="BX259" s="1362">
        <f t="shared" si="199"/>
        <v>168695.06111418214</v>
      </c>
      <c r="BY259" s="1362">
        <f t="shared" si="200"/>
        <v>168695.06111418214</v>
      </c>
      <c r="BZ259" s="1362">
        <f t="shared" si="201"/>
        <v>168695.06111418214</v>
      </c>
      <c r="CA259" s="1362">
        <f t="shared" si="202"/>
        <v>168695.06111418214</v>
      </c>
      <c r="CB259" s="1362">
        <f t="shared" si="203"/>
        <v>674780.24445672857</v>
      </c>
      <c r="CC259" s="1360">
        <v>10</v>
      </c>
      <c r="CD259" s="1360">
        <v>10</v>
      </c>
      <c r="CE259" s="1360">
        <v>10</v>
      </c>
      <c r="CF259" s="1360">
        <v>10</v>
      </c>
      <c r="CG259" s="1604">
        <f t="shared" si="183"/>
        <v>182294.83448016251</v>
      </c>
      <c r="CH259" s="1604">
        <f t="shared" si="184"/>
        <v>182294.83448016251</v>
      </c>
      <c r="CI259" s="1604">
        <f t="shared" si="185"/>
        <v>182294.83448016251</v>
      </c>
      <c r="CJ259" s="1604">
        <f t="shared" si="186"/>
        <v>182294.83448016251</v>
      </c>
      <c r="CK259" s="1521">
        <f t="shared" si="187"/>
        <v>729179.33792065002</v>
      </c>
      <c r="CL259" s="1132">
        <v>252</v>
      </c>
      <c r="CM259" s="1132" t="s">
        <v>328</v>
      </c>
      <c r="CN259" s="1359">
        <v>1</v>
      </c>
      <c r="CO259" s="1360">
        <v>1411.7079157367089</v>
      </c>
      <c r="CP259" s="1360">
        <v>1411.7079157367089</v>
      </c>
      <c r="CQ259" s="1360">
        <v>1411.7079157367089</v>
      </c>
      <c r="CR259" s="1360">
        <v>1411.7079157367089</v>
      </c>
      <c r="CS259" s="1362">
        <f t="shared" si="188"/>
        <v>15976.467113867464</v>
      </c>
      <c r="CT259" s="1362">
        <f t="shared" si="189"/>
        <v>15976.467113867464</v>
      </c>
      <c r="CU259" s="1362">
        <f t="shared" si="190"/>
        <v>15976.467113867464</v>
      </c>
      <c r="CV259" s="1362">
        <f t="shared" si="191"/>
        <v>15976.467113867464</v>
      </c>
      <c r="CW259" s="1362">
        <f t="shared" si="192"/>
        <v>63905.868455469856</v>
      </c>
      <c r="CY259" s="2887"/>
    </row>
    <row r="260" spans="1:103" s="1143" customFormat="1" ht="46.5" x14ac:dyDescent="0.35">
      <c r="A260" s="1132" t="s">
        <v>110</v>
      </c>
      <c r="B260" s="1132" t="s">
        <v>722</v>
      </c>
      <c r="C260" s="1132" t="s">
        <v>730</v>
      </c>
      <c r="D260" s="1359" t="s">
        <v>731</v>
      </c>
      <c r="E260" s="1359">
        <v>1</v>
      </c>
      <c r="F260" s="2564" t="s">
        <v>655</v>
      </c>
      <c r="G260" s="1132" t="s">
        <v>337</v>
      </c>
      <c r="H260" s="1360">
        <v>198469.97352</v>
      </c>
      <c r="I260" s="1360">
        <v>198469.97352</v>
      </c>
      <c r="J260" s="1360">
        <v>198469.97352</v>
      </c>
      <c r="K260" s="1360">
        <v>198469.97352</v>
      </c>
      <c r="L260" s="1132" t="s">
        <v>732</v>
      </c>
      <c r="M260" s="1132" t="str">
        <f t="shared" si="154"/>
        <v>Nicor Gas PY11-PY14 Adjustable Goals Template_2025-03-01, Tab 5.6.1</v>
      </c>
      <c r="N260" s="1361">
        <v>0.52</v>
      </c>
      <c r="O260" s="1361">
        <v>0.52</v>
      </c>
      <c r="P260" s="1361">
        <v>0.52</v>
      </c>
      <c r="Q260" s="1361">
        <v>0.52</v>
      </c>
      <c r="R260" s="1781">
        <v>1</v>
      </c>
      <c r="S260" s="1781">
        <v>1</v>
      </c>
      <c r="T260" s="1781">
        <v>1</v>
      </c>
      <c r="U260" s="1781">
        <v>1</v>
      </c>
      <c r="V260" s="1781">
        <v>1</v>
      </c>
      <c r="W260" s="1781">
        <v>1</v>
      </c>
      <c r="X260" s="1781">
        <v>1</v>
      </c>
      <c r="Y260" s="1781">
        <v>1</v>
      </c>
      <c r="Z260" s="1359">
        <v>0</v>
      </c>
      <c r="AA260" s="1781">
        <f t="shared" si="155"/>
        <v>1</v>
      </c>
      <c r="AB260" s="1781">
        <f t="shared" si="156"/>
        <v>1</v>
      </c>
      <c r="AC260" s="1781">
        <f t="shared" si="157"/>
        <v>1</v>
      </c>
      <c r="AD260" s="1781">
        <f t="shared" si="158"/>
        <v>1</v>
      </c>
      <c r="AE260" s="1781">
        <f t="shared" si="159"/>
        <v>1</v>
      </c>
      <c r="AF260" s="1781">
        <f t="shared" si="160"/>
        <v>1</v>
      </c>
      <c r="AG260" s="1781">
        <f t="shared" si="161"/>
        <v>1</v>
      </c>
      <c r="AH260" s="1781">
        <f t="shared" si="162"/>
        <v>1</v>
      </c>
      <c r="AI260" s="1362">
        <f t="shared" si="193"/>
        <v>103204.38623040001</v>
      </c>
      <c r="AJ260" s="1362">
        <f t="shared" si="194"/>
        <v>103204.38623040001</v>
      </c>
      <c r="AK260" s="1362">
        <f t="shared" si="195"/>
        <v>103204.38623040001</v>
      </c>
      <c r="AL260" s="1362">
        <f t="shared" si="196"/>
        <v>103204.38623040001</v>
      </c>
      <c r="AM260" s="1362">
        <f t="shared" si="197"/>
        <v>412817.54492160003</v>
      </c>
      <c r="AN260" s="1132" t="str">
        <f t="shared" si="163"/>
        <v>C254</v>
      </c>
      <c r="AO260" s="1132" t="str">
        <f t="shared" si="164"/>
        <v>Nicor Gas PY11-PY14 Adjustable Goals Template_2025-03-01, Tab 5.6.1</v>
      </c>
      <c r="AP260" s="2247">
        <f>'5.6.1'!$V$14</f>
        <v>0.52</v>
      </c>
      <c r="AQ260" s="2505"/>
      <c r="AR260" s="2505">
        <f t="shared" si="165"/>
        <v>103204.38623040001</v>
      </c>
      <c r="AS260" s="2505">
        <f t="shared" si="166"/>
        <v>0</v>
      </c>
      <c r="AT260" s="1132" t="str">
        <f t="shared" si="167"/>
        <v>C254</v>
      </c>
      <c r="AU260" s="1132" t="str">
        <f t="shared" si="168"/>
        <v>Nicor Gas PY11-PY14 Adjustable Goals Template_2025-03-01, Tab 5.6.1</v>
      </c>
      <c r="AV260" s="2247">
        <f>'5.6.1'!$V$14</f>
        <v>0.52</v>
      </c>
      <c r="AW260" s="2505"/>
      <c r="AX260" s="1362">
        <f t="shared" si="169"/>
        <v>103204.38623040001</v>
      </c>
      <c r="AY260" s="1360">
        <f t="shared" si="170"/>
        <v>0</v>
      </c>
      <c r="AZ260" s="1132" t="str">
        <f t="shared" si="171"/>
        <v>C254</v>
      </c>
      <c r="BA260" s="1132" t="str">
        <f t="shared" si="172"/>
        <v>Nicor Gas PY11-PY14 Adjustable Goals Template_2025-03-01, Tab 5.6.1</v>
      </c>
      <c r="BB260" s="2247">
        <f>'5.6.1'!$V$14</f>
        <v>0.52</v>
      </c>
      <c r="BC260" s="2505"/>
      <c r="BD260" s="1362">
        <f t="shared" si="173"/>
        <v>103204.38623040001</v>
      </c>
      <c r="BE260" s="1360">
        <f t="shared" si="174"/>
        <v>0</v>
      </c>
      <c r="BF260" s="1132" t="str">
        <f t="shared" si="175"/>
        <v>C254</v>
      </c>
      <c r="BG260" s="1132" t="str">
        <f t="shared" si="176"/>
        <v>Nicor Gas PY11-PY14 Adjustable Goals Template_2025-03-01, Tab 5.6.1</v>
      </c>
      <c r="BH260" s="2247">
        <f>'5.6.1'!$V$14</f>
        <v>0.52</v>
      </c>
      <c r="BI260" s="2505"/>
      <c r="BJ260" s="1362">
        <f t="shared" si="198"/>
        <v>103204.38623040001</v>
      </c>
      <c r="BK260" s="1360">
        <f t="shared" si="177"/>
        <v>0</v>
      </c>
      <c r="BL260" s="1601">
        <f t="shared" si="178"/>
        <v>103204.38623040001</v>
      </c>
      <c r="BM260" s="1601">
        <f t="shared" si="179"/>
        <v>103204.38623040001</v>
      </c>
      <c r="BN260" s="1601">
        <f t="shared" si="180"/>
        <v>103204.38623040001</v>
      </c>
      <c r="BO260" s="1601">
        <f t="shared" si="181"/>
        <v>103204.38623040001</v>
      </c>
      <c r="BP260" s="1602">
        <f t="shared" si="182"/>
        <v>412817.54492160003</v>
      </c>
      <c r="BQ260" s="1605"/>
      <c r="BR260" s="1605" t="s">
        <v>655</v>
      </c>
      <c r="BS260" s="1602">
        <v>0</v>
      </c>
      <c r="BT260" s="1602">
        <v>20</v>
      </c>
      <c r="BU260" s="1602">
        <v>20</v>
      </c>
      <c r="BV260" s="1602">
        <v>20</v>
      </c>
      <c r="BW260" s="1602">
        <v>20</v>
      </c>
      <c r="BX260" s="1362">
        <f t="shared" si="199"/>
        <v>2064087.7246080001</v>
      </c>
      <c r="BY260" s="1362">
        <f t="shared" si="200"/>
        <v>2064087.7246080001</v>
      </c>
      <c r="BZ260" s="1362">
        <f t="shared" si="201"/>
        <v>2064087.7246080001</v>
      </c>
      <c r="CA260" s="1362">
        <f t="shared" si="202"/>
        <v>2064087.7246080001</v>
      </c>
      <c r="CB260" s="1362">
        <f t="shared" si="203"/>
        <v>8256350.8984320005</v>
      </c>
      <c r="CC260" s="1360">
        <v>20</v>
      </c>
      <c r="CD260" s="1360">
        <v>20</v>
      </c>
      <c r="CE260" s="1360">
        <v>20</v>
      </c>
      <c r="CF260" s="1360">
        <v>20</v>
      </c>
      <c r="CG260" s="1604">
        <f t="shared" si="183"/>
        <v>2064087.7246080001</v>
      </c>
      <c r="CH260" s="1604">
        <f t="shared" si="184"/>
        <v>2064087.7246080001</v>
      </c>
      <c r="CI260" s="1604">
        <f t="shared" si="185"/>
        <v>2064087.7246080001</v>
      </c>
      <c r="CJ260" s="1604">
        <f t="shared" si="186"/>
        <v>2064087.7246080001</v>
      </c>
      <c r="CK260" s="1521">
        <f t="shared" si="187"/>
        <v>8256350.8984320005</v>
      </c>
      <c r="CL260" s="1132">
        <v>253</v>
      </c>
      <c r="CM260" s="1132" t="s">
        <v>337</v>
      </c>
      <c r="CN260" s="1359">
        <v>1</v>
      </c>
      <c r="CO260" s="1360">
        <v>187963.35732000001</v>
      </c>
      <c r="CP260" s="1360">
        <v>187963.35732000001</v>
      </c>
      <c r="CQ260" s="1360">
        <v>187963.35732000001</v>
      </c>
      <c r="CR260" s="1360">
        <v>187963.35732000001</v>
      </c>
      <c r="CS260" s="1362">
        <f t="shared" si="188"/>
        <v>97740.945806400006</v>
      </c>
      <c r="CT260" s="1362">
        <f t="shared" si="189"/>
        <v>97740.945806400006</v>
      </c>
      <c r="CU260" s="1362">
        <f t="shared" si="190"/>
        <v>97740.945806400006</v>
      </c>
      <c r="CV260" s="1362">
        <f t="shared" si="191"/>
        <v>97740.945806400006</v>
      </c>
      <c r="CW260" s="1362">
        <f t="shared" si="192"/>
        <v>390963.78322560003</v>
      </c>
      <c r="CY260" s="2887"/>
    </row>
    <row r="261" spans="1:103" s="1143" customFormat="1" ht="46.5" x14ac:dyDescent="0.35">
      <c r="A261" s="1132" t="s">
        <v>110</v>
      </c>
      <c r="B261" s="1132" t="s">
        <v>722</v>
      </c>
      <c r="C261" s="1132" t="s">
        <v>733</v>
      </c>
      <c r="D261" s="1359" t="s">
        <v>734</v>
      </c>
      <c r="E261" s="1359">
        <v>1</v>
      </c>
      <c r="F261" s="2564" t="s">
        <v>655</v>
      </c>
      <c r="G261" s="1132" t="s">
        <v>328</v>
      </c>
      <c r="H261" s="1360">
        <v>34.378543048101271</v>
      </c>
      <c r="I261" s="1360">
        <v>34.378543048101271</v>
      </c>
      <c r="J261" s="1360">
        <v>34.378543048101271</v>
      </c>
      <c r="K261" s="1360">
        <v>34.378543048101271</v>
      </c>
      <c r="L261" s="1132" t="s">
        <v>656</v>
      </c>
      <c r="M261" s="1132" t="str">
        <f t="shared" si="154"/>
        <v>Nicor Gas PY11-PY14 Adjustable Goals Template_2025-03-01, Tab 5.6.1</v>
      </c>
      <c r="N261" s="1361">
        <v>166.94873030176103</v>
      </c>
      <c r="O261" s="1361">
        <v>166.94873030176103</v>
      </c>
      <c r="P261" s="1361">
        <v>166.94873030176103</v>
      </c>
      <c r="Q261" s="1361">
        <v>166.94873030176103</v>
      </c>
      <c r="R261" s="1781">
        <v>1</v>
      </c>
      <c r="S261" s="1781">
        <v>1</v>
      </c>
      <c r="T261" s="1781">
        <v>1</v>
      </c>
      <c r="U261" s="1781">
        <v>1</v>
      </c>
      <c r="V261" s="1781">
        <v>1</v>
      </c>
      <c r="W261" s="1781">
        <v>1</v>
      </c>
      <c r="X261" s="1781">
        <v>1</v>
      </c>
      <c r="Y261" s="1781">
        <v>1</v>
      </c>
      <c r="Z261" s="1359">
        <v>0</v>
      </c>
      <c r="AA261" s="1781">
        <f t="shared" si="155"/>
        <v>1</v>
      </c>
      <c r="AB261" s="1781">
        <f t="shared" si="156"/>
        <v>1</v>
      </c>
      <c r="AC261" s="1781">
        <f t="shared" si="157"/>
        <v>1</v>
      </c>
      <c r="AD261" s="1781">
        <f t="shared" si="158"/>
        <v>1</v>
      </c>
      <c r="AE261" s="1781">
        <f t="shared" si="159"/>
        <v>1</v>
      </c>
      <c r="AF261" s="1781">
        <f t="shared" si="160"/>
        <v>1</v>
      </c>
      <c r="AG261" s="1781">
        <f t="shared" si="161"/>
        <v>1</v>
      </c>
      <c r="AH261" s="1781">
        <f t="shared" si="162"/>
        <v>1</v>
      </c>
      <c r="AI261" s="1362">
        <f t="shared" si="193"/>
        <v>5739.4541115049406</v>
      </c>
      <c r="AJ261" s="1362">
        <f t="shared" si="194"/>
        <v>5739.4541115049406</v>
      </c>
      <c r="AK261" s="1362">
        <f t="shared" si="195"/>
        <v>5739.4541115049406</v>
      </c>
      <c r="AL261" s="1362">
        <f t="shared" si="196"/>
        <v>5739.4541115049406</v>
      </c>
      <c r="AM261" s="1362">
        <f t="shared" si="197"/>
        <v>22957.816446019762</v>
      </c>
      <c r="AN261" s="1132" t="str">
        <f t="shared" si="163"/>
        <v>RS-SHL-AIRS-V07-190101</v>
      </c>
      <c r="AO261" s="1132" t="str">
        <f t="shared" si="164"/>
        <v>Nicor Gas PY11-PY14 Adjustable Goals Template_2025-03-01, Tab 5.6.1</v>
      </c>
      <c r="AP261" s="2247">
        <f>'5.6.1'!$V$12</f>
        <v>166.94873030176103</v>
      </c>
      <c r="AQ261" s="2505"/>
      <c r="AR261" s="2505">
        <f t="shared" si="165"/>
        <v>5739.4541115049406</v>
      </c>
      <c r="AS261" s="2505">
        <f t="shared" si="166"/>
        <v>0</v>
      </c>
      <c r="AT261" s="1132" t="str">
        <f t="shared" si="167"/>
        <v>RS-SHL-AIRS-V07-190101</v>
      </c>
      <c r="AU261" s="1132" t="str">
        <f t="shared" si="168"/>
        <v>Nicor Gas PY11-PY14 Adjustable Goals Template_2025-03-01, Tab 5.6.1</v>
      </c>
      <c r="AV261" s="2247">
        <f>'5.6.1'!$V$12</f>
        <v>166.94873030176103</v>
      </c>
      <c r="AW261" s="2505"/>
      <c r="AX261" s="1362">
        <f t="shared" si="169"/>
        <v>5739.4541115049406</v>
      </c>
      <c r="AY261" s="1360">
        <f t="shared" si="170"/>
        <v>0</v>
      </c>
      <c r="AZ261" s="1132" t="str">
        <f t="shared" si="171"/>
        <v>RS-SHL-AIRS-V07-190101</v>
      </c>
      <c r="BA261" s="1132" t="str">
        <f t="shared" si="172"/>
        <v>Nicor Gas PY11-PY14 Adjustable Goals Template_2025-03-01, Tab 5.6.1</v>
      </c>
      <c r="BB261" s="2247">
        <f>'5.6.1'!$V$12</f>
        <v>166.94873030176103</v>
      </c>
      <c r="BC261" s="2505"/>
      <c r="BD261" s="1362">
        <f t="shared" si="173"/>
        <v>5739.4541115049406</v>
      </c>
      <c r="BE261" s="1360">
        <f t="shared" si="174"/>
        <v>0</v>
      </c>
      <c r="BF261" s="1132" t="str">
        <f t="shared" si="175"/>
        <v>RS-SHL-AIRS-V07-190101</v>
      </c>
      <c r="BG261" s="1132" t="str">
        <f t="shared" si="176"/>
        <v>Nicor Gas PY11-PY14 Adjustable Goals Template_2025-03-01, Tab 5.6.1</v>
      </c>
      <c r="BH261" s="2247">
        <f>'5.6.1'!$V$12</f>
        <v>166.94873030176103</v>
      </c>
      <c r="BI261" s="2505"/>
      <c r="BJ261" s="1362">
        <f t="shared" si="198"/>
        <v>5739.4541115049406</v>
      </c>
      <c r="BK261" s="1360">
        <f t="shared" si="177"/>
        <v>0</v>
      </c>
      <c r="BL261" s="1601">
        <f t="shared" si="178"/>
        <v>5739.4541115049406</v>
      </c>
      <c r="BM261" s="1601">
        <f t="shared" si="179"/>
        <v>5739.4541115049406</v>
      </c>
      <c r="BN261" s="1601">
        <f t="shared" si="180"/>
        <v>5739.4541115049406</v>
      </c>
      <c r="BO261" s="1601">
        <f t="shared" si="181"/>
        <v>5739.4541115049406</v>
      </c>
      <c r="BP261" s="1602">
        <f t="shared" si="182"/>
        <v>22957.816446019762</v>
      </c>
      <c r="BQ261" s="1605"/>
      <c r="BR261" s="1605" t="s">
        <v>655</v>
      </c>
      <c r="BS261" s="2773">
        <v>1</v>
      </c>
      <c r="BT261" s="1602">
        <v>19.411764705882355</v>
      </c>
      <c r="BU261" s="1602">
        <v>19.411764705882355</v>
      </c>
      <c r="BV261" s="1602">
        <v>19.411764705882355</v>
      </c>
      <c r="BW261" s="1602">
        <v>19.411764705882355</v>
      </c>
      <c r="BX261" s="1362">
        <f t="shared" si="199"/>
        <v>111412.93275274297</v>
      </c>
      <c r="BY261" s="1362">
        <f t="shared" si="200"/>
        <v>111412.93275274297</v>
      </c>
      <c r="BZ261" s="1362">
        <f t="shared" si="201"/>
        <v>111412.93275274297</v>
      </c>
      <c r="CA261" s="1362">
        <f t="shared" si="202"/>
        <v>111412.93275274297</v>
      </c>
      <c r="CB261" s="1362">
        <f t="shared" si="203"/>
        <v>445651.73101097188</v>
      </c>
      <c r="CC261" s="2775">
        <v>20</v>
      </c>
      <c r="CD261" s="2775">
        <v>20</v>
      </c>
      <c r="CE261" s="2775">
        <v>20</v>
      </c>
      <c r="CF261" s="2775">
        <v>20</v>
      </c>
      <c r="CG261" s="1604">
        <f t="shared" si="183"/>
        <v>114789.08223009881</v>
      </c>
      <c r="CH261" s="1604">
        <f t="shared" si="184"/>
        <v>114789.08223009881</v>
      </c>
      <c r="CI261" s="1604">
        <f t="shared" si="185"/>
        <v>114789.08223009881</v>
      </c>
      <c r="CJ261" s="1604">
        <f t="shared" si="186"/>
        <v>114789.08223009881</v>
      </c>
      <c r="CK261" s="1521">
        <f t="shared" si="187"/>
        <v>459156.32892039523</v>
      </c>
      <c r="CL261" s="1132">
        <v>254</v>
      </c>
      <c r="CM261" s="1132" t="s">
        <v>328</v>
      </c>
      <c r="CN261" s="1359">
        <v>1</v>
      </c>
      <c r="CO261" s="1360">
        <v>32.55860952911393</v>
      </c>
      <c r="CP261" s="1360">
        <v>32.55860952911393</v>
      </c>
      <c r="CQ261" s="1360">
        <v>32.55860952911393</v>
      </c>
      <c r="CR261" s="1360">
        <v>32.55860952911393</v>
      </c>
      <c r="CS261" s="1362">
        <f t="shared" si="188"/>
        <v>5435.6185212763885</v>
      </c>
      <c r="CT261" s="1362">
        <f t="shared" si="189"/>
        <v>5435.6185212763885</v>
      </c>
      <c r="CU261" s="1362">
        <f t="shared" si="190"/>
        <v>5435.6185212763885</v>
      </c>
      <c r="CV261" s="1362">
        <f t="shared" si="191"/>
        <v>5435.6185212763885</v>
      </c>
      <c r="CW261" s="1362">
        <f t="shared" si="192"/>
        <v>21742.474085105554</v>
      </c>
      <c r="CY261" s="2887"/>
    </row>
    <row r="262" spans="1:103" s="1143" customFormat="1" ht="44.15" customHeight="1" x14ac:dyDescent="0.35">
      <c r="A262" s="1132" t="s">
        <v>110</v>
      </c>
      <c r="B262" s="1132" t="s">
        <v>722</v>
      </c>
      <c r="C262" s="1132" t="s">
        <v>735</v>
      </c>
      <c r="D262" s="1359" t="s">
        <v>736</v>
      </c>
      <c r="E262" s="1359">
        <v>1</v>
      </c>
      <c r="F262" s="1132" t="s">
        <v>659</v>
      </c>
      <c r="G262" s="1132" t="s">
        <v>328</v>
      </c>
      <c r="H262" s="1360">
        <v>34.378543048101271</v>
      </c>
      <c r="I262" s="1360">
        <v>34.378543048101271</v>
      </c>
      <c r="J262" s="1360">
        <v>34.378543048101271</v>
      </c>
      <c r="K262" s="1360">
        <v>34.378543048101271</v>
      </c>
      <c r="L262" s="1132" t="s">
        <v>660</v>
      </c>
      <c r="M262" s="1132" t="str">
        <f t="shared" si="154"/>
        <v>Nicor Gas PY11-PY14 Adjustable Goals Template_2025-03-01, Tab 5.6.5</v>
      </c>
      <c r="N262" s="1361">
        <v>542.84426044081624</v>
      </c>
      <c r="O262" s="1361">
        <v>542.84426044081624</v>
      </c>
      <c r="P262" s="1361">
        <v>542.84426044081624</v>
      </c>
      <c r="Q262" s="1361">
        <v>542.84426044081624</v>
      </c>
      <c r="R262" s="1781">
        <v>1</v>
      </c>
      <c r="S262" s="1781">
        <v>1</v>
      </c>
      <c r="T262" s="1781">
        <v>1</v>
      </c>
      <c r="U262" s="1781">
        <v>1</v>
      </c>
      <c r="V262" s="1781">
        <v>1</v>
      </c>
      <c r="W262" s="1781">
        <v>1</v>
      </c>
      <c r="X262" s="1781">
        <v>1</v>
      </c>
      <c r="Y262" s="1781">
        <v>1</v>
      </c>
      <c r="Z262" s="1359">
        <v>0</v>
      </c>
      <c r="AA262" s="1781">
        <f t="shared" si="155"/>
        <v>1</v>
      </c>
      <c r="AB262" s="1781">
        <f t="shared" si="156"/>
        <v>1</v>
      </c>
      <c r="AC262" s="1781">
        <f t="shared" si="157"/>
        <v>1</v>
      </c>
      <c r="AD262" s="1781">
        <f t="shared" si="158"/>
        <v>1</v>
      </c>
      <c r="AE262" s="1781">
        <f t="shared" si="159"/>
        <v>1</v>
      </c>
      <c r="AF262" s="1781">
        <f t="shared" si="160"/>
        <v>1</v>
      </c>
      <c r="AG262" s="1781">
        <f t="shared" si="161"/>
        <v>1</v>
      </c>
      <c r="AH262" s="1781">
        <f t="shared" si="162"/>
        <v>1</v>
      </c>
      <c r="AI262" s="1362">
        <f t="shared" si="193"/>
        <v>18662.1947759793</v>
      </c>
      <c r="AJ262" s="1362">
        <f t="shared" si="194"/>
        <v>18662.1947759793</v>
      </c>
      <c r="AK262" s="1362">
        <f t="shared" si="195"/>
        <v>18662.1947759793</v>
      </c>
      <c r="AL262" s="1362">
        <f t="shared" si="196"/>
        <v>18662.1947759793</v>
      </c>
      <c r="AM262" s="1362">
        <f t="shared" si="197"/>
        <v>74648.779103917201</v>
      </c>
      <c r="AN262" s="1132" t="str">
        <f t="shared" si="163"/>
        <v>RS-SHL-AINS-V07-180101</v>
      </c>
      <c r="AO262" s="1132" t="str">
        <f t="shared" si="164"/>
        <v>Nicor Gas PY11-PY14 Adjustable Goals Template_2025-03-01, Tab 5.6.5</v>
      </c>
      <c r="AP262" s="2247">
        <f>'5.6.4&amp;5.6.5'!$X$12</f>
        <v>542.84426044081624</v>
      </c>
      <c r="AQ262" s="2505"/>
      <c r="AR262" s="2505">
        <f t="shared" si="165"/>
        <v>18662.1947759793</v>
      </c>
      <c r="AS262" s="2505">
        <f t="shared" si="166"/>
        <v>0</v>
      </c>
      <c r="AT262" s="1132" t="str">
        <f t="shared" si="167"/>
        <v>RS-SHL-AINS-V07-180101</v>
      </c>
      <c r="AU262" s="1132" t="str">
        <f t="shared" si="168"/>
        <v>Nicor Gas PY11-PY14 Adjustable Goals Template_2025-03-01, Tab 5.6.5</v>
      </c>
      <c r="AV262" s="2247">
        <f>'5.6.4&amp;5.6.5'!$X$12</f>
        <v>542.84426044081624</v>
      </c>
      <c r="AW262" s="2505"/>
      <c r="AX262" s="1362">
        <f t="shared" si="169"/>
        <v>18662.1947759793</v>
      </c>
      <c r="AY262" s="1360">
        <f t="shared" si="170"/>
        <v>0</v>
      </c>
      <c r="AZ262" s="1132" t="str">
        <f t="shared" si="171"/>
        <v>RS-SHL-AINS-V07-180101</v>
      </c>
      <c r="BA262" s="1132" t="str">
        <f t="shared" si="172"/>
        <v>Nicor Gas PY11-PY14 Adjustable Goals Template_2025-03-01, Tab 5.6.5</v>
      </c>
      <c r="BB262" s="2247">
        <f>'5.6.4&amp;5.6.5'!$X$12</f>
        <v>542.84426044081624</v>
      </c>
      <c r="BC262" s="2505"/>
      <c r="BD262" s="1362">
        <f t="shared" si="173"/>
        <v>18662.1947759793</v>
      </c>
      <c r="BE262" s="1360">
        <f t="shared" si="174"/>
        <v>0</v>
      </c>
      <c r="BF262" s="1132" t="str">
        <f t="shared" si="175"/>
        <v>RS-SHL-AINS-V07-180101</v>
      </c>
      <c r="BG262" s="1132" t="str">
        <f t="shared" si="176"/>
        <v>Nicor Gas PY11-PY14 Adjustable Goals Template_2025-03-01, Tab 5.6.5</v>
      </c>
      <c r="BH262" s="2247">
        <f>'5.6.4&amp;5.6.5'!$X$12</f>
        <v>542.84426044081624</v>
      </c>
      <c r="BI262" s="2505"/>
      <c r="BJ262" s="1362">
        <f t="shared" si="198"/>
        <v>18662.1947759793</v>
      </c>
      <c r="BK262" s="1360">
        <f t="shared" si="177"/>
        <v>0</v>
      </c>
      <c r="BL262" s="1601">
        <f t="shared" si="178"/>
        <v>18662.1947759793</v>
      </c>
      <c r="BM262" s="1601">
        <f t="shared" si="179"/>
        <v>18662.1947759793</v>
      </c>
      <c r="BN262" s="1601">
        <f t="shared" si="180"/>
        <v>18662.1947759793</v>
      </c>
      <c r="BO262" s="1601">
        <f t="shared" si="181"/>
        <v>18662.1947759793</v>
      </c>
      <c r="BP262" s="1602">
        <f t="shared" si="182"/>
        <v>74648.779103917201</v>
      </c>
      <c r="BQ262" s="1605"/>
      <c r="BR262" s="1605" t="s">
        <v>659</v>
      </c>
      <c r="BS262" s="2773">
        <v>1</v>
      </c>
      <c r="BT262" s="1602">
        <v>19.411764705882355</v>
      </c>
      <c r="BU262" s="1602">
        <v>19.411764705882355</v>
      </c>
      <c r="BV262" s="1602">
        <v>19.411764705882355</v>
      </c>
      <c r="BW262" s="1602">
        <v>19.411764705882355</v>
      </c>
      <c r="BX262" s="1362">
        <f t="shared" si="199"/>
        <v>362266.13388665701</v>
      </c>
      <c r="BY262" s="1362">
        <f t="shared" si="200"/>
        <v>362266.13388665701</v>
      </c>
      <c r="BZ262" s="1362">
        <f t="shared" si="201"/>
        <v>362266.13388665701</v>
      </c>
      <c r="CA262" s="1362">
        <f t="shared" si="202"/>
        <v>362266.13388665701</v>
      </c>
      <c r="CB262" s="1362">
        <f t="shared" si="203"/>
        <v>1449064.5355466281</v>
      </c>
      <c r="CC262" s="2775">
        <v>20</v>
      </c>
      <c r="CD262" s="2775">
        <v>20</v>
      </c>
      <c r="CE262" s="2775">
        <v>20</v>
      </c>
      <c r="CF262" s="2775">
        <v>20</v>
      </c>
      <c r="CG262" s="1604">
        <f t="shared" si="183"/>
        <v>373243.89551958599</v>
      </c>
      <c r="CH262" s="1604">
        <f t="shared" si="184"/>
        <v>373243.89551958599</v>
      </c>
      <c r="CI262" s="1604">
        <f t="shared" si="185"/>
        <v>373243.89551958599</v>
      </c>
      <c r="CJ262" s="1604">
        <f t="shared" si="186"/>
        <v>373243.89551958599</v>
      </c>
      <c r="CK262" s="1521">
        <f t="shared" si="187"/>
        <v>1492975.582078344</v>
      </c>
      <c r="CL262" s="1132">
        <v>255</v>
      </c>
      <c r="CM262" s="1132" t="s">
        <v>328</v>
      </c>
      <c r="CN262" s="1359">
        <v>1</v>
      </c>
      <c r="CO262" s="1360">
        <v>32.55860952911393</v>
      </c>
      <c r="CP262" s="1360">
        <v>32.55860952911393</v>
      </c>
      <c r="CQ262" s="1360">
        <v>32.55860952911393</v>
      </c>
      <c r="CR262" s="1360">
        <v>32.55860952911393</v>
      </c>
      <c r="CS262" s="1362">
        <f t="shared" si="188"/>
        <v>17674.254310813165</v>
      </c>
      <c r="CT262" s="1362">
        <f t="shared" si="189"/>
        <v>17674.254310813165</v>
      </c>
      <c r="CU262" s="1362">
        <f t="shared" si="190"/>
        <v>17674.254310813165</v>
      </c>
      <c r="CV262" s="1362">
        <f t="shared" si="191"/>
        <v>17674.254310813165</v>
      </c>
      <c r="CW262" s="1362">
        <f t="shared" si="192"/>
        <v>70697.01724325266</v>
      </c>
      <c r="CY262" s="2887"/>
    </row>
    <row r="263" spans="1:103" s="1143" customFormat="1" ht="61.5" customHeight="1" x14ac:dyDescent="0.35">
      <c r="A263" s="1132" t="s">
        <v>110</v>
      </c>
      <c r="B263" s="1132" t="s">
        <v>722</v>
      </c>
      <c r="C263" s="1132" t="s">
        <v>737</v>
      </c>
      <c r="D263" s="1359" t="s">
        <v>738</v>
      </c>
      <c r="E263" s="1359">
        <v>1</v>
      </c>
      <c r="F263" s="2564" t="s">
        <v>739</v>
      </c>
      <c r="G263" s="1132" t="s">
        <v>328</v>
      </c>
      <c r="H263" s="1360">
        <v>1557.6124504101265</v>
      </c>
      <c r="I263" s="1360">
        <v>1557.6124504101265</v>
      </c>
      <c r="J263" s="1360">
        <v>1557.6124504101265</v>
      </c>
      <c r="K263" s="1360">
        <v>1557.6124504101265</v>
      </c>
      <c r="L263" s="1132" t="s">
        <v>740</v>
      </c>
      <c r="M263" s="1132" t="str">
        <f t="shared" si="154"/>
        <v>Nicor Gas PY11-PY14 Adjustable Goals Template_2025-03-01, Tab 5.3.13</v>
      </c>
      <c r="N263" s="2517">
        <v>15.182208249899112</v>
      </c>
      <c r="O263" s="1361">
        <v>15.182208249899112</v>
      </c>
      <c r="P263" s="1361">
        <v>15.182208249899112</v>
      </c>
      <c r="Q263" s="1361">
        <v>15.182208249899112</v>
      </c>
      <c r="R263" s="1781">
        <v>1</v>
      </c>
      <c r="S263" s="1781">
        <v>1</v>
      </c>
      <c r="T263" s="1781">
        <v>1</v>
      </c>
      <c r="U263" s="1781">
        <v>1</v>
      </c>
      <c r="V263" s="1781">
        <v>1</v>
      </c>
      <c r="W263" s="1781">
        <v>1</v>
      </c>
      <c r="X263" s="1781">
        <v>1</v>
      </c>
      <c r="Y263" s="1781">
        <v>1</v>
      </c>
      <c r="Z263" s="1359">
        <v>0</v>
      </c>
      <c r="AA263" s="1781">
        <f t="shared" si="155"/>
        <v>1</v>
      </c>
      <c r="AB263" s="1781">
        <f t="shared" si="156"/>
        <v>1</v>
      </c>
      <c r="AC263" s="1781">
        <f t="shared" si="157"/>
        <v>1</v>
      </c>
      <c r="AD263" s="1781">
        <f t="shared" si="158"/>
        <v>1</v>
      </c>
      <c r="AE263" s="1781">
        <f t="shared" si="159"/>
        <v>1</v>
      </c>
      <c r="AF263" s="1781">
        <f t="shared" si="160"/>
        <v>1</v>
      </c>
      <c r="AG263" s="1781">
        <f t="shared" si="161"/>
        <v>1</v>
      </c>
      <c r="AH263" s="1781">
        <f t="shared" si="162"/>
        <v>1</v>
      </c>
      <c r="AI263" s="1362">
        <f t="shared" si="193"/>
        <v>23647.996594762193</v>
      </c>
      <c r="AJ263" s="1362">
        <f t="shared" si="194"/>
        <v>23647.996594762193</v>
      </c>
      <c r="AK263" s="1362">
        <f t="shared" si="195"/>
        <v>23647.996594762193</v>
      </c>
      <c r="AL263" s="1362">
        <f t="shared" si="196"/>
        <v>23647.996594762193</v>
      </c>
      <c r="AM263" s="1362">
        <f t="shared" si="197"/>
        <v>94591.986379048773</v>
      </c>
      <c r="AN263" s="1132" t="str">
        <f t="shared" si="163"/>
        <v>RS-HVC-FTUN-V03-180101</v>
      </c>
      <c r="AO263" s="1132" t="str">
        <f t="shared" si="164"/>
        <v>Nicor Gas PY11-PY14 Adjustable Goals Template_2025-03-01, Tab 5.3.13</v>
      </c>
      <c r="AP263" s="2507">
        <f>'5.3.13'!$Q$4</f>
        <v>15.182208249899112</v>
      </c>
      <c r="AQ263" s="2531"/>
      <c r="AR263" s="2505">
        <f t="shared" si="165"/>
        <v>23647.996594762193</v>
      </c>
      <c r="AS263" s="2247">
        <f t="shared" si="166"/>
        <v>0</v>
      </c>
      <c r="AT263" s="1132" t="str">
        <f t="shared" si="167"/>
        <v>RS-HVC-FTUN-V03-180101</v>
      </c>
      <c r="AU263" s="1132" t="str">
        <f t="shared" si="168"/>
        <v>Nicor Gas PY11-PY14 Adjustable Goals Template_2025-03-01, Tab 5.3.13</v>
      </c>
      <c r="AV263" s="2507">
        <f>'5.3.13'!$Q$4</f>
        <v>15.182208249899112</v>
      </c>
      <c r="AW263" s="2531"/>
      <c r="AX263" s="1362">
        <f t="shared" si="169"/>
        <v>23647.996594762193</v>
      </c>
      <c r="AY263" s="1360">
        <f t="shared" si="170"/>
        <v>0</v>
      </c>
      <c r="AZ263" s="1132" t="str">
        <f t="shared" si="171"/>
        <v>RS-HVC-FTUN-V03-180101</v>
      </c>
      <c r="BA263" s="1132" t="str">
        <f t="shared" si="172"/>
        <v>Nicor Gas PY11-PY14 Adjustable Goals Template_2025-03-01, Tab 5.3.13</v>
      </c>
      <c r="BB263" s="2507">
        <f>'5.3.13'!$Q$4</f>
        <v>15.182208249899112</v>
      </c>
      <c r="BC263" s="2531"/>
      <c r="BD263" s="1362">
        <f t="shared" si="173"/>
        <v>23647.996594762193</v>
      </c>
      <c r="BE263" s="1360">
        <f t="shared" si="174"/>
        <v>0</v>
      </c>
      <c r="BF263" s="1132" t="str">
        <f t="shared" si="175"/>
        <v>RS-HVC-FTUN-V03-180101</v>
      </c>
      <c r="BG263" s="1132" t="str">
        <f t="shared" si="176"/>
        <v>Nicor Gas PY11-PY14 Adjustable Goals Template_2025-03-01, Tab 5.3.13</v>
      </c>
      <c r="BH263" s="2507">
        <f>'5.3.13'!$Q$4</f>
        <v>15.182208249899112</v>
      </c>
      <c r="BI263" s="2531"/>
      <c r="BJ263" s="1362">
        <f t="shared" si="198"/>
        <v>23647.996594762193</v>
      </c>
      <c r="BK263" s="1360">
        <f t="shared" si="177"/>
        <v>0</v>
      </c>
      <c r="BL263" s="1601">
        <f t="shared" si="178"/>
        <v>23647.996594762193</v>
      </c>
      <c r="BM263" s="1601">
        <f t="shared" si="179"/>
        <v>23647.996594762193</v>
      </c>
      <c r="BN263" s="1601">
        <f t="shared" si="180"/>
        <v>23647.996594762193</v>
      </c>
      <c r="BO263" s="1601">
        <f t="shared" si="181"/>
        <v>23647.996594762193</v>
      </c>
      <c r="BP263" s="1602">
        <f t="shared" si="182"/>
        <v>94591.986379048773</v>
      </c>
      <c r="BQ263" s="1605"/>
      <c r="BR263" s="1605" t="s">
        <v>739</v>
      </c>
      <c r="BS263" s="1602">
        <v>0</v>
      </c>
      <c r="BT263" s="1602">
        <v>3</v>
      </c>
      <c r="BU263" s="1602">
        <v>3</v>
      </c>
      <c r="BV263" s="1602">
        <v>3</v>
      </c>
      <c r="BW263" s="1602">
        <v>3</v>
      </c>
      <c r="BX263" s="1362">
        <f t="shared" si="199"/>
        <v>70943.989784286576</v>
      </c>
      <c r="BY263" s="1362">
        <f t="shared" si="200"/>
        <v>70943.989784286576</v>
      </c>
      <c r="BZ263" s="1362">
        <f t="shared" si="201"/>
        <v>70943.989784286576</v>
      </c>
      <c r="CA263" s="1362">
        <f t="shared" si="202"/>
        <v>70943.989784286576</v>
      </c>
      <c r="CB263" s="1362">
        <f t="shared" si="203"/>
        <v>283775.9591371463</v>
      </c>
      <c r="CC263" s="1360">
        <v>3</v>
      </c>
      <c r="CD263" s="1360">
        <v>3</v>
      </c>
      <c r="CE263" s="1360">
        <v>3</v>
      </c>
      <c r="CF263" s="1360">
        <v>3</v>
      </c>
      <c r="CG263" s="1604">
        <f t="shared" si="183"/>
        <v>70943.989784286576</v>
      </c>
      <c r="CH263" s="1604">
        <f t="shared" si="184"/>
        <v>70943.989784286576</v>
      </c>
      <c r="CI263" s="1604">
        <f t="shared" si="185"/>
        <v>70943.989784286576</v>
      </c>
      <c r="CJ263" s="1604">
        <f t="shared" si="186"/>
        <v>70943.989784286576</v>
      </c>
      <c r="CK263" s="1521">
        <f t="shared" si="187"/>
        <v>283775.9591371463</v>
      </c>
      <c r="CL263" s="1132">
        <v>256</v>
      </c>
      <c r="CM263" s="1132" t="s">
        <v>328</v>
      </c>
      <c r="CN263" s="1359">
        <v>1</v>
      </c>
      <c r="CO263" s="1360">
        <v>1475.1554625113924</v>
      </c>
      <c r="CP263" s="1360">
        <v>1475.1554625113924</v>
      </c>
      <c r="CQ263" s="1360">
        <v>1475.1554625113924</v>
      </c>
      <c r="CR263" s="1360">
        <v>1475.1554625113924</v>
      </c>
      <c r="CS263" s="1362">
        <f t="shared" si="188"/>
        <v>22396.117432824201</v>
      </c>
      <c r="CT263" s="1362">
        <f t="shared" si="189"/>
        <v>22396.117432824201</v>
      </c>
      <c r="CU263" s="1362">
        <f t="shared" si="190"/>
        <v>22396.117432824201</v>
      </c>
      <c r="CV263" s="1362">
        <f t="shared" si="191"/>
        <v>22396.117432824201</v>
      </c>
      <c r="CW263" s="1362">
        <f t="shared" si="192"/>
        <v>89584.469731296806</v>
      </c>
      <c r="CY263" s="2887"/>
    </row>
    <row r="264" spans="1:103" s="1143" customFormat="1" ht="30" customHeight="1" x14ac:dyDescent="0.35">
      <c r="A264" s="1132" t="s">
        <v>110</v>
      </c>
      <c r="B264" s="1132" t="s">
        <v>722</v>
      </c>
      <c r="C264" s="1132" t="s">
        <v>741</v>
      </c>
      <c r="D264" s="1359" t="s">
        <v>105</v>
      </c>
      <c r="E264" s="1359">
        <f>IF(AI264-AR264=0,0,1)</f>
        <v>0</v>
      </c>
      <c r="F264" s="1132" t="s">
        <v>105</v>
      </c>
      <c r="G264" s="1132" t="s">
        <v>356</v>
      </c>
      <c r="H264" s="1360">
        <v>1392.7717439999999</v>
      </c>
      <c r="I264" s="1360">
        <v>1392.7717439999999</v>
      </c>
      <c r="J264" s="1360">
        <v>1392.7717439999999</v>
      </c>
      <c r="K264" s="1360">
        <v>1392.7717439999999</v>
      </c>
      <c r="L264" s="1132" t="s">
        <v>105</v>
      </c>
      <c r="M264" s="1132" t="str">
        <f t="shared" ref="M264:M327" si="205">IF(F264&lt;&gt;"Custom",CONCATENATE($I$1,", ",$J$1," ",F264),"")</f>
        <v/>
      </c>
      <c r="N264" s="1361">
        <v>0</v>
      </c>
      <c r="O264" s="1361">
        <v>0</v>
      </c>
      <c r="P264" s="1361">
        <v>0</v>
      </c>
      <c r="Q264" s="1361">
        <v>0</v>
      </c>
      <c r="R264" s="1781">
        <v>1</v>
      </c>
      <c r="S264" s="1781">
        <v>1</v>
      </c>
      <c r="T264" s="1781">
        <v>1</v>
      </c>
      <c r="U264" s="1781">
        <v>1</v>
      </c>
      <c r="V264" s="1781">
        <v>1</v>
      </c>
      <c r="W264" s="1781">
        <v>1</v>
      </c>
      <c r="X264" s="1781">
        <v>1</v>
      </c>
      <c r="Y264" s="1781">
        <v>1</v>
      </c>
      <c r="Z264" s="1359">
        <v>0</v>
      </c>
      <c r="AA264" s="1781">
        <f t="shared" ref="AA264:AA327" si="206">V264</f>
        <v>1</v>
      </c>
      <c r="AB264" s="1781">
        <f t="shared" ref="AB264:AB327" si="207">W264</f>
        <v>1</v>
      </c>
      <c r="AC264" s="1781">
        <f t="shared" ref="AC264:AC327" si="208">X264</f>
        <v>1</v>
      </c>
      <c r="AD264" s="1781">
        <f t="shared" ref="AD264:AD327" si="209">Y264</f>
        <v>1</v>
      </c>
      <c r="AE264" s="1781">
        <f t="shared" ref="AE264:AE327" si="210">V264</f>
        <v>1</v>
      </c>
      <c r="AF264" s="1781">
        <f t="shared" ref="AF264:AF327" si="211">W264</f>
        <v>1</v>
      </c>
      <c r="AG264" s="1781">
        <f t="shared" ref="AG264:AG327" si="212">X264</f>
        <v>1</v>
      </c>
      <c r="AH264" s="1781">
        <f t="shared" ref="AH264:AH327" si="213">Y264</f>
        <v>1</v>
      </c>
      <c r="AI264" s="1362">
        <f t="shared" si="193"/>
        <v>0</v>
      </c>
      <c r="AJ264" s="1362">
        <f t="shared" si="194"/>
        <v>0</v>
      </c>
      <c r="AK264" s="1362">
        <f t="shared" si="195"/>
        <v>0</v>
      </c>
      <c r="AL264" s="1362">
        <f t="shared" si="196"/>
        <v>0</v>
      </c>
      <c r="AM264" s="1362">
        <f t="shared" si="197"/>
        <v>0</v>
      </c>
      <c r="AN264" s="1132" t="str">
        <f t="shared" ref="AN264:AN327" si="214">L264</f>
        <v>Custom</v>
      </c>
      <c r="AO264" s="1132" t="str">
        <f t="shared" ref="AO264:AO327" si="215">M264</f>
        <v/>
      </c>
      <c r="AP264" s="2247">
        <v>0</v>
      </c>
      <c r="AQ264" s="2505"/>
      <c r="AR264" s="2505">
        <f t="shared" ref="AR264:AR327" si="216">H264*AP264*V264</f>
        <v>0</v>
      </c>
      <c r="AS264" s="2505">
        <f t="shared" ref="AS264:AS327" si="217">AR264-AI264</f>
        <v>0</v>
      </c>
      <c r="AT264" s="1132" t="str">
        <f t="shared" ref="AT264:AT327" si="218">L264</f>
        <v>Custom</v>
      </c>
      <c r="AU264" s="1132" t="str">
        <f t="shared" ref="AU264:AU327" si="219">M264</f>
        <v/>
      </c>
      <c r="AV264" s="2247">
        <v>0</v>
      </c>
      <c r="AW264" s="2505"/>
      <c r="AX264" s="1362">
        <f t="shared" ref="AX264:AX327" si="220">I264*AV264*W264</f>
        <v>0</v>
      </c>
      <c r="AY264" s="1360">
        <f t="shared" ref="AY264:AY327" si="221">AX264-AJ264</f>
        <v>0</v>
      </c>
      <c r="AZ264" s="1132" t="str">
        <f t="shared" ref="AZ264:AZ327" si="222">L264</f>
        <v>Custom</v>
      </c>
      <c r="BA264" s="1132" t="str">
        <f t="shared" ref="BA264:BA327" si="223">M264</f>
        <v/>
      </c>
      <c r="BB264" s="2247">
        <v>0</v>
      </c>
      <c r="BC264" s="2505"/>
      <c r="BD264" s="1362">
        <f t="shared" ref="BD264:BD327" si="224">J264*BB264*X264</f>
        <v>0</v>
      </c>
      <c r="BE264" s="1360">
        <f t="shared" ref="BE264:BE327" si="225">BD264-AK264</f>
        <v>0</v>
      </c>
      <c r="BF264" s="1132" t="str">
        <f t="shared" ref="BF264:BF327" si="226">L264</f>
        <v>Custom</v>
      </c>
      <c r="BG264" s="1132" t="str">
        <f t="shared" ref="BG264:BG327" si="227">M264</f>
        <v/>
      </c>
      <c r="BH264" s="2247">
        <v>0</v>
      </c>
      <c r="BI264" s="2505"/>
      <c r="BJ264" s="1362">
        <f t="shared" si="198"/>
        <v>0</v>
      </c>
      <c r="BK264" s="1360">
        <f t="shared" ref="BK264:BK327" si="228">BJ264-AL264</f>
        <v>0</v>
      </c>
      <c r="BL264" s="1601">
        <f t="shared" ref="BL264:BL327" si="229">IF($BL$2=2022,IF($E264=1,AR264,AR264),IF($E264=1,AR264,AI264))</f>
        <v>0</v>
      </c>
      <c r="BM264" s="1601">
        <f t="shared" ref="BM264:BM327" si="230">IF($BL$2=2022,IF($E264=1,AX264,AX264),IF($E264=1,AX264,AJ264))</f>
        <v>0</v>
      </c>
      <c r="BN264" s="1601">
        <f t="shared" ref="BN264:BN327" si="231">IF($BL$2=2022,IF($E264=1,BD264,BD264),IF($E264=1,BD264,AK264))</f>
        <v>0</v>
      </c>
      <c r="BO264" s="1601">
        <f t="shared" ref="BO264:BO327" si="232">IF($BL$2=2022,IF($E264=1,BJ264,BJ264),IF($E264=1,BJ264,AL264))</f>
        <v>0</v>
      </c>
      <c r="BP264" s="1602">
        <f t="shared" ref="BP264:BP327" si="233">SUM(BL264:BO264)</f>
        <v>0</v>
      </c>
      <c r="BQ264" s="1605"/>
      <c r="BR264" s="1605"/>
      <c r="BS264" s="1602">
        <v>0</v>
      </c>
      <c r="BT264" s="1602">
        <v>1</v>
      </c>
      <c r="BU264" s="1602">
        <v>1</v>
      </c>
      <c r="BV264" s="1602">
        <v>1</v>
      </c>
      <c r="BW264" s="1602">
        <v>1</v>
      </c>
      <c r="BX264" s="1362">
        <f t="shared" si="199"/>
        <v>0</v>
      </c>
      <c r="BY264" s="1362">
        <f t="shared" si="200"/>
        <v>0</v>
      </c>
      <c r="BZ264" s="1362">
        <f t="shared" si="201"/>
        <v>0</v>
      </c>
      <c r="CA264" s="1362">
        <f t="shared" si="202"/>
        <v>0</v>
      </c>
      <c r="CB264" s="1362">
        <f t="shared" si="203"/>
        <v>0</v>
      </c>
      <c r="CC264" s="1360">
        <v>1</v>
      </c>
      <c r="CD264" s="1360">
        <v>1</v>
      </c>
      <c r="CE264" s="1360">
        <v>1</v>
      </c>
      <c r="CF264" s="1360">
        <v>1</v>
      </c>
      <c r="CG264" s="1604">
        <f t="shared" ref="CG264:CG327" si="234">H264*V264*AP264*CC264</f>
        <v>0</v>
      </c>
      <c r="CH264" s="1604">
        <f t="shared" ref="CH264:CH327" si="235">I264*W264*AV264*CD264</f>
        <v>0</v>
      </c>
      <c r="CI264" s="1604">
        <f t="shared" ref="CI264:CI327" si="236">J264*X264*BB264*CE264</f>
        <v>0</v>
      </c>
      <c r="CJ264" s="1604">
        <f t="shared" ref="CJ264:CJ327" si="237">K264*Y264*BH264*CF264</f>
        <v>0</v>
      </c>
      <c r="CK264" s="1521">
        <f t="shared" ref="CK264:CK327" si="238">SUM(CG264:CJ264)</f>
        <v>0</v>
      </c>
      <c r="CL264" s="1132">
        <v>257</v>
      </c>
      <c r="CM264" s="1132" t="s">
        <v>356</v>
      </c>
      <c r="CN264" s="1359">
        <v>1</v>
      </c>
      <c r="CO264" s="1360">
        <v>1319.0411040000001</v>
      </c>
      <c r="CP264" s="1360">
        <v>1319.0411040000001</v>
      </c>
      <c r="CQ264" s="1360">
        <v>1319.0411040000001</v>
      </c>
      <c r="CR264" s="1360">
        <v>1319.0411040000001</v>
      </c>
      <c r="CS264" s="1362">
        <f t="shared" ref="CS264:CS327" si="239">IF($CN264=1,CO264*N264*AE264,BL264)</f>
        <v>0</v>
      </c>
      <c r="CT264" s="1362">
        <f t="shared" ref="CT264:CT327" si="240">IF($CN264=1,CP264*O264*AF264,BM264)</f>
        <v>0</v>
      </c>
      <c r="CU264" s="1362">
        <f t="shared" ref="CU264:CU327" si="241">IF($CN264=1,CQ264*P264*AG264,BN264)</f>
        <v>0</v>
      </c>
      <c r="CV264" s="1362">
        <f t="shared" ref="CV264:CV327" si="242">IF($CN264=1,CR264*Q264*AH264,BO264)</f>
        <v>0</v>
      </c>
      <c r="CW264" s="1362">
        <f t="shared" ref="CW264:CW327" si="243">+SUM(CS264:CV264)</f>
        <v>0</v>
      </c>
      <c r="CY264" s="2887"/>
    </row>
    <row r="265" spans="1:103" s="1143" customFormat="1" ht="42.75" customHeight="1" x14ac:dyDescent="0.35">
      <c r="A265" s="1132" t="s">
        <v>110</v>
      </c>
      <c r="B265" s="1132" t="s">
        <v>722</v>
      </c>
      <c r="C265" s="1132" t="s">
        <v>742</v>
      </c>
      <c r="D265" s="1359" t="s">
        <v>743</v>
      </c>
      <c r="E265" s="1359">
        <v>1</v>
      </c>
      <c r="F265" s="2564" t="s">
        <v>708</v>
      </c>
      <c r="G265" s="1132" t="s">
        <v>328</v>
      </c>
      <c r="H265" s="1360">
        <v>176.3002207594937</v>
      </c>
      <c r="I265" s="1360">
        <v>176.3002207594937</v>
      </c>
      <c r="J265" s="1360">
        <v>176.3002207594937</v>
      </c>
      <c r="K265" s="1360">
        <v>176.3002207594937</v>
      </c>
      <c r="L265" s="1132" t="s">
        <v>709</v>
      </c>
      <c r="M265" s="1132" t="str">
        <f t="shared" si="205"/>
        <v>Nicor Gas PY11-PY14 Adjustable Goals Template_2025-03-01, Tab 5.3.11</v>
      </c>
      <c r="N265" s="1361">
        <v>40.5015</v>
      </c>
      <c r="O265" s="1361">
        <v>40.5015</v>
      </c>
      <c r="P265" s="1361">
        <v>40.5015</v>
      </c>
      <c r="Q265" s="1361">
        <v>40.5015</v>
      </c>
      <c r="R265" s="1781">
        <v>1</v>
      </c>
      <c r="S265" s="1781">
        <v>1</v>
      </c>
      <c r="T265" s="1781">
        <v>1</v>
      </c>
      <c r="U265" s="1781">
        <v>1</v>
      </c>
      <c r="V265" s="1781">
        <v>1</v>
      </c>
      <c r="W265" s="1781">
        <v>1</v>
      </c>
      <c r="X265" s="1781">
        <v>1</v>
      </c>
      <c r="Y265" s="1781">
        <v>1</v>
      </c>
      <c r="Z265" s="1359">
        <v>0</v>
      </c>
      <c r="AA265" s="1781">
        <f t="shared" si="206"/>
        <v>1</v>
      </c>
      <c r="AB265" s="1781">
        <f t="shared" si="207"/>
        <v>1</v>
      </c>
      <c r="AC265" s="1781">
        <f t="shared" si="208"/>
        <v>1</v>
      </c>
      <c r="AD265" s="1781">
        <f t="shared" si="209"/>
        <v>1</v>
      </c>
      <c r="AE265" s="1781">
        <f t="shared" si="210"/>
        <v>1</v>
      </c>
      <c r="AF265" s="1781">
        <f t="shared" si="211"/>
        <v>1</v>
      </c>
      <c r="AG265" s="1781">
        <f t="shared" si="212"/>
        <v>1</v>
      </c>
      <c r="AH265" s="1781">
        <f t="shared" si="213"/>
        <v>1</v>
      </c>
      <c r="AI265" s="1362">
        <f t="shared" ref="AI265:AI328" si="244">H265*N265*R265</f>
        <v>7140.4233910906341</v>
      </c>
      <c r="AJ265" s="1362">
        <f t="shared" ref="AJ265:AJ328" si="245">I265*O265*S265</f>
        <v>7140.4233910906341</v>
      </c>
      <c r="AK265" s="1362">
        <f t="shared" ref="AK265:AK328" si="246">J265*P265*T265</f>
        <v>7140.4233910906341</v>
      </c>
      <c r="AL265" s="1362">
        <f t="shared" ref="AL265:AL328" si="247">K265*Q265*U265</f>
        <v>7140.4233910906341</v>
      </c>
      <c r="AM265" s="1362">
        <f t="shared" ref="AM265:AM328" si="248">SUM(AI265:AL265)</f>
        <v>28561.693564362537</v>
      </c>
      <c r="AN265" s="1132" t="str">
        <f t="shared" si="214"/>
        <v>RS-HVC-PROG-V05-190101</v>
      </c>
      <c r="AO265" s="1132" t="str">
        <f t="shared" si="215"/>
        <v>Nicor Gas PY11-PY14 Adjustable Goals Template_2025-03-01, Tab 5.3.11</v>
      </c>
      <c r="AP265" s="2247">
        <f>'5.3.11'!$Q$12</f>
        <v>40.5015</v>
      </c>
      <c r="AQ265" s="2505"/>
      <c r="AR265" s="2505">
        <f t="shared" si="216"/>
        <v>7140.4233910906341</v>
      </c>
      <c r="AS265" s="2505">
        <f t="shared" si="217"/>
        <v>0</v>
      </c>
      <c r="AT265" s="1132" t="str">
        <f t="shared" si="218"/>
        <v>RS-HVC-PROG-V05-190101</v>
      </c>
      <c r="AU265" s="1132" t="str">
        <f t="shared" si="219"/>
        <v>Nicor Gas PY11-PY14 Adjustable Goals Template_2025-03-01, Tab 5.3.11</v>
      </c>
      <c r="AV265" s="2247">
        <f>'5.3.11'!$Q$12</f>
        <v>40.5015</v>
      </c>
      <c r="AW265" s="2505"/>
      <c r="AX265" s="1362">
        <f t="shared" si="220"/>
        <v>7140.4233910906341</v>
      </c>
      <c r="AY265" s="1360">
        <f t="shared" si="221"/>
        <v>0</v>
      </c>
      <c r="AZ265" s="1132" t="str">
        <f t="shared" si="222"/>
        <v>RS-HVC-PROG-V05-190101</v>
      </c>
      <c r="BA265" s="1132" t="str">
        <f t="shared" si="223"/>
        <v>Nicor Gas PY11-PY14 Adjustable Goals Template_2025-03-01, Tab 5.3.11</v>
      </c>
      <c r="BB265" s="2247">
        <f>'5.3.11'!$Q$12</f>
        <v>40.5015</v>
      </c>
      <c r="BC265" s="2505"/>
      <c r="BD265" s="1362">
        <f t="shared" si="224"/>
        <v>7140.4233910906341</v>
      </c>
      <c r="BE265" s="1360">
        <f t="shared" si="225"/>
        <v>0</v>
      </c>
      <c r="BF265" s="1132" t="str">
        <f t="shared" si="226"/>
        <v>RS-HVC-PROG-V05-190101</v>
      </c>
      <c r="BG265" s="1132" t="str">
        <f t="shared" si="227"/>
        <v>Nicor Gas PY11-PY14 Adjustable Goals Template_2025-03-01, Tab 5.3.11</v>
      </c>
      <c r="BH265" s="2247">
        <f>'5.3.11'!$Q$12</f>
        <v>40.5015</v>
      </c>
      <c r="BI265" s="2505"/>
      <c r="BJ265" s="1362">
        <f t="shared" ref="BJ265:BJ328" si="249">K265*BH265*Y265</f>
        <v>7140.4233910906341</v>
      </c>
      <c r="BK265" s="1360">
        <f t="shared" si="228"/>
        <v>0</v>
      </c>
      <c r="BL265" s="1601">
        <f t="shared" si="229"/>
        <v>7140.4233910906341</v>
      </c>
      <c r="BM265" s="1601">
        <f t="shared" si="230"/>
        <v>7140.4233910906341</v>
      </c>
      <c r="BN265" s="1601">
        <f t="shared" si="231"/>
        <v>7140.4233910906341</v>
      </c>
      <c r="BO265" s="1601">
        <f t="shared" si="232"/>
        <v>7140.4233910906341</v>
      </c>
      <c r="BP265" s="1602">
        <f t="shared" si="233"/>
        <v>28561.693564362537</v>
      </c>
      <c r="BQ265" s="1605"/>
      <c r="BR265" s="1605" t="s">
        <v>708</v>
      </c>
      <c r="BS265" s="1602">
        <v>0</v>
      </c>
      <c r="BT265" s="1602">
        <v>8</v>
      </c>
      <c r="BU265" s="1602">
        <v>8</v>
      </c>
      <c r="BV265" s="1602">
        <v>8</v>
      </c>
      <c r="BW265" s="1602">
        <v>8</v>
      </c>
      <c r="BX265" s="1362">
        <f t="shared" ref="BX265:BX328" si="250">H265*N265*R265*BT265</f>
        <v>57123.387128725073</v>
      </c>
      <c r="BY265" s="1362">
        <f t="shared" ref="BY265:BY328" si="251">I265*O265*S265*BU265</f>
        <v>57123.387128725073</v>
      </c>
      <c r="BZ265" s="1362">
        <f t="shared" ref="BZ265:BZ328" si="252">J265*P265*T265*BV265</f>
        <v>57123.387128725073</v>
      </c>
      <c r="CA265" s="1362">
        <f t="shared" ref="CA265:CA328" si="253">K265*Q265*U265*BW265</f>
        <v>57123.387128725073</v>
      </c>
      <c r="CB265" s="1362">
        <f t="shared" ref="CB265:CB328" si="254">SUM(BX265:CA265)</f>
        <v>228493.54851490029</v>
      </c>
      <c r="CC265" s="1360">
        <v>8</v>
      </c>
      <c r="CD265" s="1360">
        <v>8</v>
      </c>
      <c r="CE265" s="1360">
        <v>8</v>
      </c>
      <c r="CF265" s="1360">
        <v>8</v>
      </c>
      <c r="CG265" s="1604">
        <f t="shared" si="234"/>
        <v>57123.387128725073</v>
      </c>
      <c r="CH265" s="1604">
        <f t="shared" si="235"/>
        <v>57123.387128725073</v>
      </c>
      <c r="CI265" s="1604">
        <f t="shared" si="236"/>
        <v>57123.387128725073</v>
      </c>
      <c r="CJ265" s="1604">
        <f t="shared" si="237"/>
        <v>57123.387128725073</v>
      </c>
      <c r="CK265" s="1521">
        <f t="shared" si="238"/>
        <v>228493.54851490029</v>
      </c>
      <c r="CL265" s="1132">
        <v>258</v>
      </c>
      <c r="CM265" s="1132" t="s">
        <v>328</v>
      </c>
      <c r="CN265" s="1359">
        <v>1</v>
      </c>
      <c r="CO265" s="1360">
        <v>166.9672283544304</v>
      </c>
      <c r="CP265" s="1360">
        <v>166.9672283544304</v>
      </c>
      <c r="CQ265" s="1360">
        <v>166.9672283544304</v>
      </c>
      <c r="CR265" s="1360">
        <v>166.9672283544304</v>
      </c>
      <c r="CS265" s="1362">
        <f t="shared" si="239"/>
        <v>6762.4231991969627</v>
      </c>
      <c r="CT265" s="1362">
        <f t="shared" si="240"/>
        <v>6762.4231991969627</v>
      </c>
      <c r="CU265" s="1362">
        <f t="shared" si="241"/>
        <v>6762.4231991969627</v>
      </c>
      <c r="CV265" s="1362">
        <f t="shared" si="242"/>
        <v>6762.4231991969627</v>
      </c>
      <c r="CW265" s="1362">
        <f t="shared" si="243"/>
        <v>27049.692796787851</v>
      </c>
      <c r="CY265" s="2887"/>
    </row>
    <row r="266" spans="1:103" s="1143" customFormat="1" ht="93" customHeight="1" x14ac:dyDescent="0.35">
      <c r="A266" s="1132" t="s">
        <v>110</v>
      </c>
      <c r="B266" s="1132" t="s">
        <v>722</v>
      </c>
      <c r="C266" s="1132" t="s">
        <v>744</v>
      </c>
      <c r="D266" s="1359" t="s">
        <v>745</v>
      </c>
      <c r="E266" s="1359">
        <v>1</v>
      </c>
      <c r="F266" s="1780" t="s">
        <v>649</v>
      </c>
      <c r="G266" s="1132" t="s">
        <v>356</v>
      </c>
      <c r="H266" s="1360">
        <v>34.819293600000002</v>
      </c>
      <c r="I266" s="1360">
        <v>34.819293600000002</v>
      </c>
      <c r="J266" s="1360">
        <v>34.819293600000002</v>
      </c>
      <c r="K266" s="1360">
        <v>34.819293600000002</v>
      </c>
      <c r="L266" s="1132" t="s">
        <v>650</v>
      </c>
      <c r="M266" s="1132" t="str">
        <f t="shared" si="205"/>
        <v>Nicor Gas PY11-PY14 Adjustable Goals Template_2025-03-01, Tab 5.3.16</v>
      </c>
      <c r="N266" s="1361">
        <v>55.509675000000001</v>
      </c>
      <c r="O266" s="1361">
        <v>55.509675000000001</v>
      </c>
      <c r="P266" s="1361">
        <v>55.509675000000001</v>
      </c>
      <c r="Q266" s="1361">
        <v>55.509675000000001</v>
      </c>
      <c r="R266" s="1781">
        <v>1</v>
      </c>
      <c r="S266" s="1781">
        <v>1</v>
      </c>
      <c r="T266" s="1781">
        <v>1</v>
      </c>
      <c r="U266" s="1781">
        <v>1</v>
      </c>
      <c r="V266" s="1781">
        <v>1</v>
      </c>
      <c r="W266" s="1781">
        <v>1</v>
      </c>
      <c r="X266" s="1781">
        <v>1</v>
      </c>
      <c r="Y266" s="1781">
        <v>1</v>
      </c>
      <c r="Z266" s="1359">
        <v>0</v>
      </c>
      <c r="AA266" s="1781">
        <f t="shared" si="206"/>
        <v>1</v>
      </c>
      <c r="AB266" s="1781">
        <f t="shared" si="207"/>
        <v>1</v>
      </c>
      <c r="AC266" s="1781">
        <f t="shared" si="208"/>
        <v>1</v>
      </c>
      <c r="AD266" s="1781">
        <f t="shared" si="209"/>
        <v>1</v>
      </c>
      <c r="AE266" s="1781">
        <f t="shared" si="210"/>
        <v>1</v>
      </c>
      <c r="AF266" s="1781">
        <f t="shared" si="211"/>
        <v>1</v>
      </c>
      <c r="AG266" s="1781">
        <f t="shared" si="212"/>
        <v>1</v>
      </c>
      <c r="AH266" s="1781">
        <f t="shared" si="213"/>
        <v>1</v>
      </c>
      <c r="AI266" s="1362">
        <f t="shared" si="244"/>
        <v>1932.8076714655801</v>
      </c>
      <c r="AJ266" s="1362">
        <f t="shared" si="245"/>
        <v>1932.8076714655801</v>
      </c>
      <c r="AK266" s="1362">
        <f t="shared" si="246"/>
        <v>1932.8076714655801</v>
      </c>
      <c r="AL266" s="1362">
        <f t="shared" si="247"/>
        <v>1932.8076714655801</v>
      </c>
      <c r="AM266" s="1362">
        <f t="shared" si="248"/>
        <v>7731.2306858623206</v>
      </c>
      <c r="AN266" s="1132" t="str">
        <f t="shared" si="214"/>
        <v>RS-HVC-ADTH-V03-190101</v>
      </c>
      <c r="AO266" s="1132" t="str">
        <f t="shared" si="215"/>
        <v>Nicor Gas PY11-PY14 Adjustable Goals Template_2025-03-01, Tab 5.3.16</v>
      </c>
      <c r="AP266" s="2247">
        <f>'5.3.16'!$S$15</f>
        <v>55.509675000000001</v>
      </c>
      <c r="AQ266" s="2505"/>
      <c r="AR266" s="2505">
        <f t="shared" si="216"/>
        <v>1932.8076714655801</v>
      </c>
      <c r="AS266" s="2505">
        <f t="shared" si="217"/>
        <v>0</v>
      </c>
      <c r="AT266" s="1132" t="str">
        <f t="shared" si="218"/>
        <v>RS-HVC-ADTH-V03-190101</v>
      </c>
      <c r="AU266" s="1132" t="str">
        <f t="shared" si="219"/>
        <v>Nicor Gas PY11-PY14 Adjustable Goals Template_2025-03-01, Tab 5.3.16</v>
      </c>
      <c r="AV266" s="2247">
        <f>'5.3.16'!$S$15</f>
        <v>55.509675000000001</v>
      </c>
      <c r="AW266" s="2505"/>
      <c r="AX266" s="1362">
        <f t="shared" si="220"/>
        <v>1932.8076714655801</v>
      </c>
      <c r="AY266" s="1360">
        <f t="shared" si="221"/>
        <v>0</v>
      </c>
      <c r="AZ266" s="1132" t="str">
        <f t="shared" si="222"/>
        <v>RS-HVC-ADTH-V03-190101</v>
      </c>
      <c r="BA266" s="1132" t="str">
        <f t="shared" si="223"/>
        <v>Nicor Gas PY11-PY14 Adjustable Goals Template_2025-03-01, Tab 5.3.16</v>
      </c>
      <c r="BB266" s="2247">
        <f>'5.3.16'!$S$15</f>
        <v>55.509675000000001</v>
      </c>
      <c r="BC266" s="2505"/>
      <c r="BD266" s="1362">
        <f t="shared" si="224"/>
        <v>1932.8076714655801</v>
      </c>
      <c r="BE266" s="1360">
        <f t="shared" si="225"/>
        <v>0</v>
      </c>
      <c r="BF266" s="1132" t="str">
        <f t="shared" si="226"/>
        <v>RS-HVC-ADTH-V03-190101</v>
      </c>
      <c r="BG266" s="1132" t="str">
        <f t="shared" si="227"/>
        <v>Nicor Gas PY11-PY14 Adjustable Goals Template_2025-03-01, Tab 5.3.16</v>
      </c>
      <c r="BH266" s="2247">
        <f>'5.3.16'!$S$15</f>
        <v>55.509675000000001</v>
      </c>
      <c r="BI266" s="2505"/>
      <c r="BJ266" s="1362">
        <f t="shared" si="249"/>
        <v>1932.8076714655801</v>
      </c>
      <c r="BK266" s="1360">
        <f t="shared" si="228"/>
        <v>0</v>
      </c>
      <c r="BL266" s="1601">
        <f t="shared" si="229"/>
        <v>1932.8076714655801</v>
      </c>
      <c r="BM266" s="1601">
        <f t="shared" si="230"/>
        <v>1932.8076714655801</v>
      </c>
      <c r="BN266" s="1601">
        <f t="shared" si="231"/>
        <v>1932.8076714655801</v>
      </c>
      <c r="BO266" s="1601">
        <f t="shared" si="232"/>
        <v>1932.8076714655801</v>
      </c>
      <c r="BP266" s="1602">
        <f t="shared" si="233"/>
        <v>7731.2306858623206</v>
      </c>
      <c r="BQ266" s="1605"/>
      <c r="BR266" s="1605" t="s">
        <v>649</v>
      </c>
      <c r="BS266" s="1602">
        <v>0</v>
      </c>
      <c r="BT266" s="1602">
        <v>11</v>
      </c>
      <c r="BU266" s="1602">
        <v>11</v>
      </c>
      <c r="BV266" s="1602">
        <v>11</v>
      </c>
      <c r="BW266" s="1602">
        <v>11</v>
      </c>
      <c r="BX266" s="1362">
        <f t="shared" si="250"/>
        <v>21260.884386121383</v>
      </c>
      <c r="BY266" s="1362">
        <f t="shared" si="251"/>
        <v>21260.884386121383</v>
      </c>
      <c r="BZ266" s="1362">
        <f t="shared" si="252"/>
        <v>21260.884386121383</v>
      </c>
      <c r="CA266" s="1362">
        <f t="shared" si="253"/>
        <v>21260.884386121383</v>
      </c>
      <c r="CB266" s="1362">
        <f t="shared" si="254"/>
        <v>85043.537544485531</v>
      </c>
      <c r="CC266" s="1360">
        <v>11</v>
      </c>
      <c r="CD266" s="1360">
        <v>11</v>
      </c>
      <c r="CE266" s="1360">
        <v>11</v>
      </c>
      <c r="CF266" s="1360">
        <v>11</v>
      </c>
      <c r="CG266" s="1604">
        <f t="shared" si="234"/>
        <v>21260.884386121383</v>
      </c>
      <c r="CH266" s="1604">
        <f t="shared" si="235"/>
        <v>21260.884386121383</v>
      </c>
      <c r="CI266" s="1604">
        <f t="shared" si="236"/>
        <v>21260.884386121383</v>
      </c>
      <c r="CJ266" s="1604">
        <f t="shared" si="237"/>
        <v>21260.884386121383</v>
      </c>
      <c r="CK266" s="1521">
        <f t="shared" si="238"/>
        <v>85043.537544485531</v>
      </c>
      <c r="CL266" s="1132">
        <v>259</v>
      </c>
      <c r="CM266" s="1132" t="s">
        <v>356</v>
      </c>
      <c r="CN266" s="1359">
        <v>1</v>
      </c>
      <c r="CO266" s="1360">
        <v>32.976027600000002</v>
      </c>
      <c r="CP266" s="1360">
        <v>32.976027600000002</v>
      </c>
      <c r="CQ266" s="1360">
        <v>32.976027600000002</v>
      </c>
      <c r="CR266" s="1360">
        <v>32.976027600000002</v>
      </c>
      <c r="CS266" s="1362">
        <f t="shared" si="239"/>
        <v>1830.4885748670301</v>
      </c>
      <c r="CT266" s="1362">
        <f t="shared" si="240"/>
        <v>1830.4885748670301</v>
      </c>
      <c r="CU266" s="1362">
        <f t="shared" si="241"/>
        <v>1830.4885748670301</v>
      </c>
      <c r="CV266" s="1362">
        <f t="shared" si="242"/>
        <v>1830.4885748670301</v>
      </c>
      <c r="CW266" s="1362">
        <f t="shared" si="243"/>
        <v>7321.9542994681206</v>
      </c>
      <c r="CY266" s="2887"/>
    </row>
    <row r="267" spans="1:103" s="1143" customFormat="1" ht="31.5" customHeight="1" x14ac:dyDescent="0.35">
      <c r="A267" s="1132" t="s">
        <v>110</v>
      </c>
      <c r="B267" s="1132" t="s">
        <v>722</v>
      </c>
      <c r="C267" s="1132" t="s">
        <v>688</v>
      </c>
      <c r="D267" s="1359" t="s">
        <v>105</v>
      </c>
      <c r="E267" s="1359">
        <f>IF(AI267-AR267=0,0,1)</f>
        <v>0</v>
      </c>
      <c r="F267" s="1132" t="s">
        <v>105</v>
      </c>
      <c r="G267" s="1132" t="s">
        <v>356</v>
      </c>
      <c r="H267" s="1360">
        <v>326.14071672</v>
      </c>
      <c r="I267" s="1360">
        <v>326.14071672</v>
      </c>
      <c r="J267" s="1360">
        <v>326.14071672</v>
      </c>
      <c r="K267" s="1360">
        <v>326.14071672</v>
      </c>
      <c r="L267" s="1132" t="s">
        <v>105</v>
      </c>
      <c r="M267" s="1132" t="str">
        <f t="shared" si="205"/>
        <v/>
      </c>
      <c r="N267" s="1361">
        <v>0</v>
      </c>
      <c r="O267" s="1361">
        <v>0</v>
      </c>
      <c r="P267" s="1361">
        <v>0</v>
      </c>
      <c r="Q267" s="1361">
        <v>0</v>
      </c>
      <c r="R267" s="1781">
        <v>1</v>
      </c>
      <c r="S267" s="1781">
        <v>1</v>
      </c>
      <c r="T267" s="1781">
        <v>1</v>
      </c>
      <c r="U267" s="1781">
        <v>1</v>
      </c>
      <c r="V267" s="1781">
        <v>1</v>
      </c>
      <c r="W267" s="1781">
        <v>1</v>
      </c>
      <c r="X267" s="1781">
        <v>1</v>
      </c>
      <c r="Y267" s="1781">
        <v>1</v>
      </c>
      <c r="Z267" s="1359">
        <v>0</v>
      </c>
      <c r="AA267" s="1781">
        <f t="shared" si="206"/>
        <v>1</v>
      </c>
      <c r="AB267" s="1781">
        <f t="shared" si="207"/>
        <v>1</v>
      </c>
      <c r="AC267" s="1781">
        <f t="shared" si="208"/>
        <v>1</v>
      </c>
      <c r="AD267" s="1781">
        <f t="shared" si="209"/>
        <v>1</v>
      </c>
      <c r="AE267" s="1781">
        <f t="shared" si="210"/>
        <v>1</v>
      </c>
      <c r="AF267" s="1781">
        <f t="shared" si="211"/>
        <v>1</v>
      </c>
      <c r="AG267" s="1781">
        <f t="shared" si="212"/>
        <v>1</v>
      </c>
      <c r="AH267" s="1781">
        <f t="shared" si="213"/>
        <v>1</v>
      </c>
      <c r="AI267" s="1362">
        <f t="shared" si="244"/>
        <v>0</v>
      </c>
      <c r="AJ267" s="1362">
        <f t="shared" si="245"/>
        <v>0</v>
      </c>
      <c r="AK267" s="1362">
        <f t="shared" si="246"/>
        <v>0</v>
      </c>
      <c r="AL267" s="1362">
        <f t="shared" si="247"/>
        <v>0</v>
      </c>
      <c r="AM267" s="1362">
        <f t="shared" si="248"/>
        <v>0</v>
      </c>
      <c r="AN267" s="1132" t="str">
        <f t="shared" si="214"/>
        <v>Custom</v>
      </c>
      <c r="AO267" s="1132" t="str">
        <f t="shared" si="215"/>
        <v/>
      </c>
      <c r="AP267" s="2505">
        <v>0</v>
      </c>
      <c r="AQ267" s="2505"/>
      <c r="AR267" s="2505">
        <f t="shared" si="216"/>
        <v>0</v>
      </c>
      <c r="AS267" s="2505">
        <f t="shared" si="217"/>
        <v>0</v>
      </c>
      <c r="AT267" s="1132" t="str">
        <f t="shared" si="218"/>
        <v>Custom</v>
      </c>
      <c r="AU267" s="1132" t="str">
        <f t="shared" si="219"/>
        <v/>
      </c>
      <c r="AV267" s="2505">
        <v>0</v>
      </c>
      <c r="AW267" s="2505"/>
      <c r="AX267" s="1362">
        <f t="shared" si="220"/>
        <v>0</v>
      </c>
      <c r="AY267" s="1360">
        <f t="shared" si="221"/>
        <v>0</v>
      </c>
      <c r="AZ267" s="1132" t="str">
        <f t="shared" si="222"/>
        <v>Custom</v>
      </c>
      <c r="BA267" s="1132" t="str">
        <f t="shared" si="223"/>
        <v/>
      </c>
      <c r="BB267" s="2505">
        <v>0</v>
      </c>
      <c r="BC267" s="2505"/>
      <c r="BD267" s="1362">
        <f t="shared" si="224"/>
        <v>0</v>
      </c>
      <c r="BE267" s="1360">
        <f t="shared" si="225"/>
        <v>0</v>
      </c>
      <c r="BF267" s="1132" t="str">
        <f t="shared" si="226"/>
        <v>Custom</v>
      </c>
      <c r="BG267" s="1132" t="str">
        <f t="shared" si="227"/>
        <v/>
      </c>
      <c r="BH267" s="2505">
        <v>0</v>
      </c>
      <c r="BI267" s="2505"/>
      <c r="BJ267" s="1362">
        <f t="shared" si="249"/>
        <v>0</v>
      </c>
      <c r="BK267" s="1360">
        <f t="shared" si="228"/>
        <v>0</v>
      </c>
      <c r="BL267" s="1601">
        <f t="shared" si="229"/>
        <v>0</v>
      </c>
      <c r="BM267" s="1601">
        <f t="shared" si="230"/>
        <v>0</v>
      </c>
      <c r="BN267" s="1601">
        <f t="shared" si="231"/>
        <v>0</v>
      </c>
      <c r="BO267" s="1601">
        <f t="shared" si="232"/>
        <v>0</v>
      </c>
      <c r="BP267" s="1602">
        <f t="shared" si="233"/>
        <v>0</v>
      </c>
      <c r="BQ267" s="1605"/>
      <c r="BR267" s="1605"/>
      <c r="BS267" s="1602">
        <v>0</v>
      </c>
      <c r="BT267" s="1602">
        <v>1</v>
      </c>
      <c r="BU267" s="1602">
        <v>1</v>
      </c>
      <c r="BV267" s="1602">
        <v>1</v>
      </c>
      <c r="BW267" s="1602">
        <v>1</v>
      </c>
      <c r="BX267" s="1362">
        <f t="shared" si="250"/>
        <v>0</v>
      </c>
      <c r="BY267" s="1362">
        <f t="shared" si="251"/>
        <v>0</v>
      </c>
      <c r="BZ267" s="1362">
        <f t="shared" si="252"/>
        <v>0</v>
      </c>
      <c r="CA267" s="1362">
        <f t="shared" si="253"/>
        <v>0</v>
      </c>
      <c r="CB267" s="1362">
        <f t="shared" si="254"/>
        <v>0</v>
      </c>
      <c r="CC267" s="1360">
        <v>1</v>
      </c>
      <c r="CD267" s="1360">
        <v>1</v>
      </c>
      <c r="CE267" s="1360">
        <v>1</v>
      </c>
      <c r="CF267" s="1360">
        <v>1</v>
      </c>
      <c r="CG267" s="1604">
        <f t="shared" si="234"/>
        <v>0</v>
      </c>
      <c r="CH267" s="1604">
        <f t="shared" si="235"/>
        <v>0</v>
      </c>
      <c r="CI267" s="1604">
        <f t="shared" si="236"/>
        <v>0</v>
      </c>
      <c r="CJ267" s="1604">
        <f t="shared" si="237"/>
        <v>0</v>
      </c>
      <c r="CK267" s="1521">
        <f t="shared" si="238"/>
        <v>0</v>
      </c>
      <c r="CL267" s="1132">
        <v>260</v>
      </c>
      <c r="CM267" s="1132" t="s">
        <v>356</v>
      </c>
      <c r="CN267" s="1359">
        <v>1</v>
      </c>
      <c r="CO267" s="1360">
        <v>308.87545852</v>
      </c>
      <c r="CP267" s="1360">
        <v>308.87545852</v>
      </c>
      <c r="CQ267" s="1360">
        <v>308.87545852</v>
      </c>
      <c r="CR267" s="1360">
        <v>308.87545852</v>
      </c>
      <c r="CS267" s="1362">
        <f t="shared" si="239"/>
        <v>0</v>
      </c>
      <c r="CT267" s="1362">
        <f t="shared" si="240"/>
        <v>0</v>
      </c>
      <c r="CU267" s="1362">
        <f t="shared" si="241"/>
        <v>0</v>
      </c>
      <c r="CV267" s="1362">
        <f t="shared" si="242"/>
        <v>0</v>
      </c>
      <c r="CW267" s="1362">
        <f t="shared" si="243"/>
        <v>0</v>
      </c>
      <c r="CY267" s="2887"/>
    </row>
    <row r="268" spans="1:103" s="1143" customFormat="1" ht="33" customHeight="1" x14ac:dyDescent="0.35">
      <c r="A268" s="1132" t="s">
        <v>110</v>
      </c>
      <c r="B268" s="1132" t="s">
        <v>722</v>
      </c>
      <c r="C268" s="1132" t="s">
        <v>746</v>
      </c>
      <c r="D268" s="1359" t="s">
        <v>105</v>
      </c>
      <c r="E268" s="1359">
        <f>IF(AI268-AR268=0,0,1)</f>
        <v>0</v>
      </c>
      <c r="F268" s="1132" t="s">
        <v>105</v>
      </c>
      <c r="G268" s="1132" t="s">
        <v>356</v>
      </c>
      <c r="H268" s="1360">
        <v>70.799230319999992</v>
      </c>
      <c r="I268" s="1360">
        <v>70.799230319999992</v>
      </c>
      <c r="J268" s="1360">
        <v>70.799230319999992</v>
      </c>
      <c r="K268" s="1360">
        <v>70.799230319999992</v>
      </c>
      <c r="L268" s="1132" t="s">
        <v>105</v>
      </c>
      <c r="M268" s="1132" t="str">
        <f t="shared" si="205"/>
        <v/>
      </c>
      <c r="N268" s="1361">
        <v>0</v>
      </c>
      <c r="O268" s="1361">
        <v>0</v>
      </c>
      <c r="P268" s="1361">
        <v>0</v>
      </c>
      <c r="Q268" s="1361">
        <v>0</v>
      </c>
      <c r="R268" s="1781">
        <v>1</v>
      </c>
      <c r="S268" s="1781">
        <v>1</v>
      </c>
      <c r="T268" s="1781">
        <v>1</v>
      </c>
      <c r="U268" s="1781">
        <v>1</v>
      </c>
      <c r="V268" s="1781">
        <v>1</v>
      </c>
      <c r="W268" s="1781">
        <v>1</v>
      </c>
      <c r="X268" s="1781">
        <v>1</v>
      </c>
      <c r="Y268" s="1781">
        <v>1</v>
      </c>
      <c r="Z268" s="1359">
        <v>0</v>
      </c>
      <c r="AA268" s="1781">
        <f t="shared" si="206"/>
        <v>1</v>
      </c>
      <c r="AB268" s="1781">
        <f t="shared" si="207"/>
        <v>1</v>
      </c>
      <c r="AC268" s="1781">
        <f t="shared" si="208"/>
        <v>1</v>
      </c>
      <c r="AD268" s="1781">
        <f t="shared" si="209"/>
        <v>1</v>
      </c>
      <c r="AE268" s="1781">
        <f t="shared" si="210"/>
        <v>1</v>
      </c>
      <c r="AF268" s="1781">
        <f t="shared" si="211"/>
        <v>1</v>
      </c>
      <c r="AG268" s="1781">
        <f t="shared" si="212"/>
        <v>1</v>
      </c>
      <c r="AH268" s="1781">
        <f t="shared" si="213"/>
        <v>1</v>
      </c>
      <c r="AI268" s="1362">
        <f t="shared" si="244"/>
        <v>0</v>
      </c>
      <c r="AJ268" s="1362">
        <f t="shared" si="245"/>
        <v>0</v>
      </c>
      <c r="AK268" s="1362">
        <f t="shared" si="246"/>
        <v>0</v>
      </c>
      <c r="AL268" s="1362">
        <f t="shared" si="247"/>
        <v>0</v>
      </c>
      <c r="AM268" s="1362">
        <f t="shared" si="248"/>
        <v>0</v>
      </c>
      <c r="AN268" s="1132" t="str">
        <f t="shared" si="214"/>
        <v>Custom</v>
      </c>
      <c r="AO268" s="1132" t="str">
        <f t="shared" si="215"/>
        <v/>
      </c>
      <c r="AP268" s="2505">
        <v>0</v>
      </c>
      <c r="AQ268" s="2505"/>
      <c r="AR268" s="2505">
        <f t="shared" si="216"/>
        <v>0</v>
      </c>
      <c r="AS268" s="2505">
        <f t="shared" si="217"/>
        <v>0</v>
      </c>
      <c r="AT268" s="1132" t="str">
        <f t="shared" si="218"/>
        <v>Custom</v>
      </c>
      <c r="AU268" s="1132" t="str">
        <f t="shared" si="219"/>
        <v/>
      </c>
      <c r="AV268" s="2505">
        <v>0</v>
      </c>
      <c r="AW268" s="2505"/>
      <c r="AX268" s="1362">
        <f t="shared" si="220"/>
        <v>0</v>
      </c>
      <c r="AY268" s="1360">
        <f t="shared" si="221"/>
        <v>0</v>
      </c>
      <c r="AZ268" s="1132" t="str">
        <f t="shared" si="222"/>
        <v>Custom</v>
      </c>
      <c r="BA268" s="1132" t="str">
        <f t="shared" si="223"/>
        <v/>
      </c>
      <c r="BB268" s="2505">
        <v>0</v>
      </c>
      <c r="BC268" s="2505"/>
      <c r="BD268" s="1362">
        <f t="shared" si="224"/>
        <v>0</v>
      </c>
      <c r="BE268" s="1360">
        <f t="shared" si="225"/>
        <v>0</v>
      </c>
      <c r="BF268" s="1132" t="str">
        <f t="shared" si="226"/>
        <v>Custom</v>
      </c>
      <c r="BG268" s="1132" t="str">
        <f t="shared" si="227"/>
        <v/>
      </c>
      <c r="BH268" s="2505">
        <v>0</v>
      </c>
      <c r="BI268" s="2505"/>
      <c r="BJ268" s="1362">
        <f t="shared" si="249"/>
        <v>0</v>
      </c>
      <c r="BK268" s="1360">
        <f t="shared" si="228"/>
        <v>0</v>
      </c>
      <c r="BL268" s="1601">
        <f t="shared" si="229"/>
        <v>0</v>
      </c>
      <c r="BM268" s="1601">
        <f t="shared" si="230"/>
        <v>0</v>
      </c>
      <c r="BN268" s="1601">
        <f t="shared" si="231"/>
        <v>0</v>
      </c>
      <c r="BO268" s="1601">
        <f t="shared" si="232"/>
        <v>0</v>
      </c>
      <c r="BP268" s="1602">
        <f t="shared" si="233"/>
        <v>0</v>
      </c>
      <c r="BQ268" s="1605"/>
      <c r="BR268" s="1605"/>
      <c r="BS268" s="1602">
        <v>0</v>
      </c>
      <c r="BT268" s="1602">
        <v>0</v>
      </c>
      <c r="BU268" s="1602">
        <v>0</v>
      </c>
      <c r="BV268" s="1602">
        <v>0</v>
      </c>
      <c r="BW268" s="1602">
        <v>0</v>
      </c>
      <c r="BX268" s="1362">
        <f t="shared" si="250"/>
        <v>0</v>
      </c>
      <c r="BY268" s="1362">
        <f t="shared" si="251"/>
        <v>0</v>
      </c>
      <c r="BZ268" s="1362">
        <f t="shared" si="252"/>
        <v>0</v>
      </c>
      <c r="CA268" s="1362">
        <f t="shared" si="253"/>
        <v>0</v>
      </c>
      <c r="CB268" s="1362">
        <f t="shared" si="254"/>
        <v>0</v>
      </c>
      <c r="CC268" s="1360">
        <v>0</v>
      </c>
      <c r="CD268" s="1360">
        <v>0</v>
      </c>
      <c r="CE268" s="1360">
        <v>0</v>
      </c>
      <c r="CF268" s="1360">
        <v>0</v>
      </c>
      <c r="CG268" s="1604">
        <f t="shared" si="234"/>
        <v>0</v>
      </c>
      <c r="CH268" s="1604">
        <f t="shared" si="235"/>
        <v>0</v>
      </c>
      <c r="CI268" s="1604">
        <f t="shared" si="236"/>
        <v>0</v>
      </c>
      <c r="CJ268" s="1604">
        <f t="shared" si="237"/>
        <v>0</v>
      </c>
      <c r="CK268" s="1521">
        <f t="shared" si="238"/>
        <v>0</v>
      </c>
      <c r="CL268" s="1132">
        <v>261</v>
      </c>
      <c r="CM268" s="1132" t="s">
        <v>356</v>
      </c>
      <c r="CN268" s="1359">
        <v>1</v>
      </c>
      <c r="CO268" s="1360">
        <v>67.051256120000005</v>
      </c>
      <c r="CP268" s="1360">
        <v>67.051256120000005</v>
      </c>
      <c r="CQ268" s="1360">
        <v>67.051256120000005</v>
      </c>
      <c r="CR268" s="1360">
        <v>67.051256120000005</v>
      </c>
      <c r="CS268" s="1362">
        <f t="shared" si="239"/>
        <v>0</v>
      </c>
      <c r="CT268" s="1362">
        <f t="shared" si="240"/>
        <v>0</v>
      </c>
      <c r="CU268" s="1362">
        <f t="shared" si="241"/>
        <v>0</v>
      </c>
      <c r="CV268" s="1362">
        <f t="shared" si="242"/>
        <v>0</v>
      </c>
      <c r="CW268" s="1362">
        <f t="shared" si="243"/>
        <v>0</v>
      </c>
      <c r="CY268" s="2887"/>
    </row>
    <row r="269" spans="1:103" s="1143" customFormat="1" ht="61.5" customHeight="1" x14ac:dyDescent="0.35">
      <c r="A269" s="1132" t="s">
        <v>110</v>
      </c>
      <c r="B269" s="1132" t="s">
        <v>722</v>
      </c>
      <c r="C269" s="1132" t="s">
        <v>370</v>
      </c>
      <c r="D269" s="1359" t="s">
        <v>105</v>
      </c>
      <c r="E269" s="1359">
        <f>IF(AI269-AR269=0,0,1)</f>
        <v>0</v>
      </c>
      <c r="F269" s="1132" t="s">
        <v>105</v>
      </c>
      <c r="G269" s="1132" t="s">
        <v>356</v>
      </c>
      <c r="H269" s="1360">
        <v>10.44578808</v>
      </c>
      <c r="I269" s="1360">
        <v>10.44578808</v>
      </c>
      <c r="J269" s="1360">
        <v>10.44578808</v>
      </c>
      <c r="K269" s="1360">
        <v>10.44578808</v>
      </c>
      <c r="L269" s="1132" t="s">
        <v>105</v>
      </c>
      <c r="M269" s="1132" t="str">
        <f t="shared" si="205"/>
        <v/>
      </c>
      <c r="N269" s="1361">
        <v>0</v>
      </c>
      <c r="O269" s="1361">
        <v>0</v>
      </c>
      <c r="P269" s="1361">
        <v>0</v>
      </c>
      <c r="Q269" s="1361">
        <v>0</v>
      </c>
      <c r="R269" s="1781">
        <v>1</v>
      </c>
      <c r="S269" s="1781">
        <v>1</v>
      </c>
      <c r="T269" s="1781">
        <v>1</v>
      </c>
      <c r="U269" s="1781">
        <v>1</v>
      </c>
      <c r="V269" s="1781">
        <v>1</v>
      </c>
      <c r="W269" s="1781">
        <v>1</v>
      </c>
      <c r="X269" s="1781">
        <v>1</v>
      </c>
      <c r="Y269" s="1781">
        <v>1</v>
      </c>
      <c r="Z269" s="1359">
        <v>0</v>
      </c>
      <c r="AA269" s="1781">
        <f t="shared" si="206"/>
        <v>1</v>
      </c>
      <c r="AB269" s="1781">
        <f t="shared" si="207"/>
        <v>1</v>
      </c>
      <c r="AC269" s="1781">
        <f t="shared" si="208"/>
        <v>1</v>
      </c>
      <c r="AD269" s="1781">
        <f t="shared" si="209"/>
        <v>1</v>
      </c>
      <c r="AE269" s="1781">
        <f t="shared" si="210"/>
        <v>1</v>
      </c>
      <c r="AF269" s="1781">
        <f t="shared" si="211"/>
        <v>1</v>
      </c>
      <c r="AG269" s="1781">
        <f t="shared" si="212"/>
        <v>1</v>
      </c>
      <c r="AH269" s="1781">
        <f t="shared" si="213"/>
        <v>1</v>
      </c>
      <c r="AI269" s="1362">
        <f t="shared" si="244"/>
        <v>0</v>
      </c>
      <c r="AJ269" s="1362">
        <f t="shared" si="245"/>
        <v>0</v>
      </c>
      <c r="AK269" s="1362">
        <f t="shared" si="246"/>
        <v>0</v>
      </c>
      <c r="AL269" s="1362">
        <f t="shared" si="247"/>
        <v>0</v>
      </c>
      <c r="AM269" s="1362">
        <f t="shared" si="248"/>
        <v>0</v>
      </c>
      <c r="AN269" s="1132" t="str">
        <f t="shared" si="214"/>
        <v>Custom</v>
      </c>
      <c r="AO269" s="1132" t="str">
        <f t="shared" si="215"/>
        <v/>
      </c>
      <c r="AP269" s="2505">
        <v>0</v>
      </c>
      <c r="AQ269" s="2505"/>
      <c r="AR269" s="2505">
        <f t="shared" si="216"/>
        <v>0</v>
      </c>
      <c r="AS269" s="2505">
        <f t="shared" si="217"/>
        <v>0</v>
      </c>
      <c r="AT269" s="1132" t="str">
        <f t="shared" si="218"/>
        <v>Custom</v>
      </c>
      <c r="AU269" s="1132" t="str">
        <f t="shared" si="219"/>
        <v/>
      </c>
      <c r="AV269" s="2505">
        <v>0</v>
      </c>
      <c r="AW269" s="2505"/>
      <c r="AX269" s="1362">
        <f t="shared" si="220"/>
        <v>0</v>
      </c>
      <c r="AY269" s="1360">
        <f t="shared" si="221"/>
        <v>0</v>
      </c>
      <c r="AZ269" s="1132" t="str">
        <f t="shared" si="222"/>
        <v>Custom</v>
      </c>
      <c r="BA269" s="1132" t="str">
        <f t="shared" si="223"/>
        <v/>
      </c>
      <c r="BB269" s="2505">
        <v>0</v>
      </c>
      <c r="BC269" s="2505"/>
      <c r="BD269" s="1362">
        <f t="shared" si="224"/>
        <v>0</v>
      </c>
      <c r="BE269" s="1360">
        <f t="shared" si="225"/>
        <v>0</v>
      </c>
      <c r="BF269" s="1132" t="str">
        <f t="shared" si="226"/>
        <v>Custom</v>
      </c>
      <c r="BG269" s="1132" t="str">
        <f t="shared" si="227"/>
        <v/>
      </c>
      <c r="BH269" s="2505">
        <v>0</v>
      </c>
      <c r="BI269" s="2505"/>
      <c r="BJ269" s="1362">
        <f t="shared" si="249"/>
        <v>0</v>
      </c>
      <c r="BK269" s="1360">
        <f t="shared" si="228"/>
        <v>0</v>
      </c>
      <c r="BL269" s="1601">
        <f t="shared" si="229"/>
        <v>0</v>
      </c>
      <c r="BM269" s="1601">
        <f t="shared" si="230"/>
        <v>0</v>
      </c>
      <c r="BN269" s="1601">
        <f t="shared" si="231"/>
        <v>0</v>
      </c>
      <c r="BO269" s="1601">
        <f t="shared" si="232"/>
        <v>0</v>
      </c>
      <c r="BP269" s="1602">
        <f t="shared" si="233"/>
        <v>0</v>
      </c>
      <c r="BQ269" s="1605"/>
      <c r="BR269" s="1605"/>
      <c r="BS269" s="1602">
        <v>0</v>
      </c>
      <c r="BT269" s="1602">
        <v>0</v>
      </c>
      <c r="BU269" s="1602">
        <v>0</v>
      </c>
      <c r="BV269" s="1602">
        <v>0</v>
      </c>
      <c r="BW269" s="1602">
        <v>0</v>
      </c>
      <c r="BX269" s="1362">
        <f t="shared" si="250"/>
        <v>0</v>
      </c>
      <c r="BY269" s="1362">
        <f t="shared" si="251"/>
        <v>0</v>
      </c>
      <c r="BZ269" s="1362">
        <f t="shared" si="252"/>
        <v>0</v>
      </c>
      <c r="CA269" s="1362">
        <f t="shared" si="253"/>
        <v>0</v>
      </c>
      <c r="CB269" s="1362">
        <f t="shared" si="254"/>
        <v>0</v>
      </c>
      <c r="CC269" s="1360">
        <v>0</v>
      </c>
      <c r="CD269" s="1360">
        <v>0</v>
      </c>
      <c r="CE269" s="1360">
        <v>0</v>
      </c>
      <c r="CF269" s="1360">
        <v>0</v>
      </c>
      <c r="CG269" s="1604">
        <f t="shared" si="234"/>
        <v>0</v>
      </c>
      <c r="CH269" s="1604">
        <f t="shared" si="235"/>
        <v>0</v>
      </c>
      <c r="CI269" s="1604">
        <f t="shared" si="236"/>
        <v>0</v>
      </c>
      <c r="CJ269" s="1604">
        <f t="shared" si="237"/>
        <v>0</v>
      </c>
      <c r="CK269" s="1521">
        <f t="shared" si="238"/>
        <v>0</v>
      </c>
      <c r="CL269" s="1132">
        <v>262</v>
      </c>
      <c r="CM269" s="1132" t="s">
        <v>356</v>
      </c>
      <c r="CN269" s="1359">
        <v>1</v>
      </c>
      <c r="CO269" s="1360">
        <v>9.8928082800000006</v>
      </c>
      <c r="CP269" s="1360">
        <v>9.8928082800000006</v>
      </c>
      <c r="CQ269" s="1360">
        <v>9.8928082800000006</v>
      </c>
      <c r="CR269" s="1360">
        <v>9.8928082800000006</v>
      </c>
      <c r="CS269" s="1362">
        <f t="shared" si="239"/>
        <v>0</v>
      </c>
      <c r="CT269" s="1362">
        <f t="shared" si="240"/>
        <v>0</v>
      </c>
      <c r="CU269" s="1362">
        <f t="shared" si="241"/>
        <v>0</v>
      </c>
      <c r="CV269" s="1362">
        <f t="shared" si="242"/>
        <v>0</v>
      </c>
      <c r="CW269" s="1362">
        <f t="shared" si="243"/>
        <v>0</v>
      </c>
      <c r="CY269" s="2887"/>
    </row>
    <row r="270" spans="1:103" s="1143" customFormat="1" ht="15" customHeight="1" x14ac:dyDescent="0.35">
      <c r="A270" s="1132" t="s">
        <v>110</v>
      </c>
      <c r="B270" s="1132" t="s">
        <v>722</v>
      </c>
      <c r="C270" s="1132" t="s">
        <v>747</v>
      </c>
      <c r="D270" s="1359" t="s">
        <v>748</v>
      </c>
      <c r="E270" s="1359">
        <v>1</v>
      </c>
      <c r="F270" s="2564" t="s">
        <v>355</v>
      </c>
      <c r="G270" s="1132" t="s">
        <v>356</v>
      </c>
      <c r="H270" s="1360">
        <v>261.144702</v>
      </c>
      <c r="I270" s="1360">
        <v>261.144702</v>
      </c>
      <c r="J270" s="1360">
        <v>261.144702</v>
      </c>
      <c r="K270" s="1360">
        <v>261.144702</v>
      </c>
      <c r="L270" s="1132" t="s">
        <v>357</v>
      </c>
      <c r="M270" s="1132" t="str">
        <f t="shared" si="205"/>
        <v>Nicor Gas PY11-PY14 Adjustable Goals Template_2025-03-01, Tab 4.4.16</v>
      </c>
      <c r="N270" s="1360">
        <v>102.13709764839483</v>
      </c>
      <c r="O270" s="1361">
        <v>102.13709764839483</v>
      </c>
      <c r="P270" s="1361">
        <v>102.13709764839483</v>
      </c>
      <c r="Q270" s="1361">
        <v>102.13709764839483</v>
      </c>
      <c r="R270" s="1781">
        <v>1</v>
      </c>
      <c r="S270" s="1781">
        <v>1</v>
      </c>
      <c r="T270" s="1781">
        <v>1</v>
      </c>
      <c r="U270" s="1781">
        <v>1</v>
      </c>
      <c r="V270" s="1781">
        <v>1</v>
      </c>
      <c r="W270" s="1781">
        <v>1</v>
      </c>
      <c r="X270" s="1781">
        <v>1</v>
      </c>
      <c r="Y270" s="1781">
        <v>1</v>
      </c>
      <c r="Z270" s="1359">
        <v>0</v>
      </c>
      <c r="AA270" s="1781">
        <f t="shared" si="206"/>
        <v>1</v>
      </c>
      <c r="AB270" s="1781">
        <f t="shared" si="207"/>
        <v>1</v>
      </c>
      <c r="AC270" s="1781">
        <f t="shared" si="208"/>
        <v>1</v>
      </c>
      <c r="AD270" s="1781">
        <f t="shared" si="209"/>
        <v>1</v>
      </c>
      <c r="AE270" s="1781">
        <f t="shared" si="210"/>
        <v>1</v>
      </c>
      <c r="AF270" s="1781">
        <f t="shared" si="211"/>
        <v>1</v>
      </c>
      <c r="AG270" s="1781">
        <f t="shared" si="212"/>
        <v>1</v>
      </c>
      <c r="AH270" s="1781">
        <f t="shared" si="213"/>
        <v>1</v>
      </c>
      <c r="AI270" s="1362">
        <f t="shared" si="244"/>
        <v>26672.561928534968</v>
      </c>
      <c r="AJ270" s="1362">
        <f t="shared" si="245"/>
        <v>26672.561928534968</v>
      </c>
      <c r="AK270" s="1362">
        <f t="shared" si="246"/>
        <v>26672.561928534968</v>
      </c>
      <c r="AL270" s="1362">
        <f t="shared" si="247"/>
        <v>26672.561928534968</v>
      </c>
      <c r="AM270" s="1362">
        <f t="shared" si="248"/>
        <v>106690.24771413987</v>
      </c>
      <c r="AN270" s="1132" t="str">
        <f t="shared" si="214"/>
        <v>CI-HVC-STRE-V05-180101</v>
      </c>
      <c r="AO270" s="1132" t="str">
        <f t="shared" si="215"/>
        <v>Nicor Gas PY11-PY14 Adjustable Goals Template_2025-03-01, Tab 4.4.16</v>
      </c>
      <c r="AP270" s="2247">
        <f>'4.4.16'!$O$14</f>
        <v>102.13709764839483</v>
      </c>
      <c r="AQ270" s="2532"/>
      <c r="AR270" s="2505">
        <f t="shared" si="216"/>
        <v>26672.561928534968</v>
      </c>
      <c r="AS270" s="2505">
        <f t="shared" si="217"/>
        <v>0</v>
      </c>
      <c r="AT270" s="1132" t="str">
        <f t="shared" si="218"/>
        <v>CI-HVC-STRE-V05-180101</v>
      </c>
      <c r="AU270" s="1132" t="str">
        <f t="shared" si="219"/>
        <v>Nicor Gas PY11-PY14 Adjustable Goals Template_2025-03-01, Tab 4.4.16</v>
      </c>
      <c r="AV270" s="2247">
        <f>'4.4.16'!$O$14</f>
        <v>102.13709764839483</v>
      </c>
      <c r="AW270" s="2532"/>
      <c r="AX270" s="1362">
        <f t="shared" si="220"/>
        <v>26672.561928534968</v>
      </c>
      <c r="AY270" s="1360">
        <f t="shared" si="221"/>
        <v>0</v>
      </c>
      <c r="AZ270" s="1132" t="str">
        <f t="shared" si="222"/>
        <v>CI-HVC-STRE-V05-180101</v>
      </c>
      <c r="BA270" s="1132" t="str">
        <f t="shared" si="223"/>
        <v>Nicor Gas PY11-PY14 Adjustable Goals Template_2025-03-01, Tab 4.4.16</v>
      </c>
      <c r="BB270" s="2247">
        <f>'4.4.16'!$O$14</f>
        <v>102.13709764839483</v>
      </c>
      <c r="BC270" s="2532"/>
      <c r="BD270" s="1362">
        <f t="shared" si="224"/>
        <v>26672.561928534968</v>
      </c>
      <c r="BE270" s="1360">
        <f t="shared" si="225"/>
        <v>0</v>
      </c>
      <c r="BF270" s="1132" t="str">
        <f t="shared" si="226"/>
        <v>CI-HVC-STRE-V05-180101</v>
      </c>
      <c r="BG270" s="1132" t="str">
        <f t="shared" si="227"/>
        <v>Nicor Gas PY11-PY14 Adjustable Goals Template_2025-03-01, Tab 4.4.16</v>
      </c>
      <c r="BH270" s="2247">
        <f>'4.4.16'!$O$14</f>
        <v>102.13709764839483</v>
      </c>
      <c r="BI270" s="2532"/>
      <c r="BJ270" s="1362">
        <f t="shared" si="249"/>
        <v>26672.561928534968</v>
      </c>
      <c r="BK270" s="1360">
        <f t="shared" si="228"/>
        <v>0</v>
      </c>
      <c r="BL270" s="1601">
        <f t="shared" si="229"/>
        <v>26672.561928534968</v>
      </c>
      <c r="BM270" s="1601">
        <f t="shared" si="230"/>
        <v>26672.561928534968</v>
      </c>
      <c r="BN270" s="1601">
        <f t="shared" si="231"/>
        <v>26672.561928534968</v>
      </c>
      <c r="BO270" s="1601">
        <f t="shared" si="232"/>
        <v>26672.561928534968</v>
      </c>
      <c r="BP270" s="1602">
        <f t="shared" si="233"/>
        <v>106690.24771413987</v>
      </c>
      <c r="BQ270" s="1605"/>
      <c r="BR270" s="1605" t="s">
        <v>355</v>
      </c>
      <c r="BS270" s="1602">
        <v>0</v>
      </c>
      <c r="BT270" s="1602">
        <v>6</v>
      </c>
      <c r="BU270" s="1602">
        <v>6</v>
      </c>
      <c r="BV270" s="1602">
        <v>6</v>
      </c>
      <c r="BW270" s="1602">
        <v>6</v>
      </c>
      <c r="BX270" s="1362">
        <f t="shared" si="250"/>
        <v>160035.37157120981</v>
      </c>
      <c r="BY270" s="1362">
        <f t="shared" si="251"/>
        <v>160035.37157120981</v>
      </c>
      <c r="BZ270" s="1362">
        <f t="shared" si="252"/>
        <v>160035.37157120981</v>
      </c>
      <c r="CA270" s="1362">
        <f t="shared" si="253"/>
        <v>160035.37157120981</v>
      </c>
      <c r="CB270" s="1362">
        <f t="shared" si="254"/>
        <v>640141.48628483922</v>
      </c>
      <c r="CC270" s="1360">
        <v>6</v>
      </c>
      <c r="CD270" s="1360">
        <v>6</v>
      </c>
      <c r="CE270" s="1360">
        <v>6</v>
      </c>
      <c r="CF270" s="1360">
        <v>6</v>
      </c>
      <c r="CG270" s="1604">
        <f t="shared" si="234"/>
        <v>160035.37157120981</v>
      </c>
      <c r="CH270" s="1604">
        <f t="shared" si="235"/>
        <v>160035.37157120981</v>
      </c>
      <c r="CI270" s="1604">
        <f t="shared" si="236"/>
        <v>160035.37157120981</v>
      </c>
      <c r="CJ270" s="1604">
        <f t="shared" si="237"/>
        <v>160035.37157120981</v>
      </c>
      <c r="CK270" s="1521">
        <f t="shared" si="238"/>
        <v>640141.48628483922</v>
      </c>
      <c r="CL270" s="1132">
        <v>263</v>
      </c>
      <c r="CM270" s="1132" t="s">
        <v>356</v>
      </c>
      <c r="CN270" s="1359">
        <v>1</v>
      </c>
      <c r="CO270" s="1360">
        <v>247.32020700000001</v>
      </c>
      <c r="CP270" s="1360">
        <v>247.32020700000001</v>
      </c>
      <c r="CQ270" s="1360">
        <v>247.32020700000001</v>
      </c>
      <c r="CR270" s="1360">
        <v>247.32020700000001</v>
      </c>
      <c r="CS270" s="1362">
        <f t="shared" si="239"/>
        <v>25260.568132780223</v>
      </c>
      <c r="CT270" s="1362">
        <f t="shared" si="240"/>
        <v>25260.568132780223</v>
      </c>
      <c r="CU270" s="1362">
        <f t="shared" si="241"/>
        <v>25260.568132780223</v>
      </c>
      <c r="CV270" s="1362">
        <f t="shared" si="242"/>
        <v>25260.568132780223</v>
      </c>
      <c r="CW270" s="1362">
        <f t="shared" si="243"/>
        <v>101042.27253112089</v>
      </c>
      <c r="CY270" s="2887"/>
    </row>
    <row r="271" spans="1:103" s="1143" customFormat="1" ht="114" customHeight="1" x14ac:dyDescent="0.35">
      <c r="A271" s="1132" t="s">
        <v>110</v>
      </c>
      <c r="B271" s="1132" t="s">
        <v>722</v>
      </c>
      <c r="C271" s="1132" t="s">
        <v>426</v>
      </c>
      <c r="D271" s="1359" t="s">
        <v>427</v>
      </c>
      <c r="E271" s="1359">
        <v>1</v>
      </c>
      <c r="F271" s="1780" t="s">
        <v>428</v>
      </c>
      <c r="G271" s="1132" t="s">
        <v>328</v>
      </c>
      <c r="H271" s="1360">
        <v>5.8032155999999997</v>
      </c>
      <c r="I271" s="1360">
        <v>5.8032155999999997</v>
      </c>
      <c r="J271" s="1360">
        <v>5.8032155999999997</v>
      </c>
      <c r="K271" s="1360">
        <v>5.8032155999999997</v>
      </c>
      <c r="L271" s="1132" t="s">
        <v>429</v>
      </c>
      <c r="M271" s="1132" t="str">
        <f t="shared" si="205"/>
        <v>Nicor Gas PY11-PY14 Adjustable Goals Template_2025-03-01, Tab 4.4.4</v>
      </c>
      <c r="N271" s="1361">
        <v>400.87199999999996</v>
      </c>
      <c r="O271" s="1361">
        <v>400.87199999999996</v>
      </c>
      <c r="P271" s="1361">
        <v>400.87199999999996</v>
      </c>
      <c r="Q271" s="1361">
        <v>400.87199999999996</v>
      </c>
      <c r="R271" s="1781">
        <v>1</v>
      </c>
      <c r="S271" s="1781">
        <v>1</v>
      </c>
      <c r="T271" s="1781">
        <v>1</v>
      </c>
      <c r="U271" s="1781">
        <v>1</v>
      </c>
      <c r="V271" s="1781">
        <v>1</v>
      </c>
      <c r="W271" s="1781">
        <v>1</v>
      </c>
      <c r="X271" s="1781">
        <v>1</v>
      </c>
      <c r="Y271" s="1781">
        <v>1</v>
      </c>
      <c r="Z271" s="1359">
        <v>0</v>
      </c>
      <c r="AA271" s="1781">
        <f t="shared" si="206"/>
        <v>1</v>
      </c>
      <c r="AB271" s="1781">
        <f t="shared" si="207"/>
        <v>1</v>
      </c>
      <c r="AC271" s="1781">
        <f t="shared" si="208"/>
        <v>1</v>
      </c>
      <c r="AD271" s="1781">
        <f t="shared" si="209"/>
        <v>1</v>
      </c>
      <c r="AE271" s="1781">
        <f t="shared" si="210"/>
        <v>1</v>
      </c>
      <c r="AF271" s="1781">
        <f t="shared" si="211"/>
        <v>1</v>
      </c>
      <c r="AG271" s="1781">
        <f t="shared" si="212"/>
        <v>1</v>
      </c>
      <c r="AH271" s="1781">
        <f t="shared" si="213"/>
        <v>1</v>
      </c>
      <c r="AI271" s="1362">
        <f t="shared" si="244"/>
        <v>2326.3466440031998</v>
      </c>
      <c r="AJ271" s="1362">
        <f t="shared" si="245"/>
        <v>2326.3466440031998</v>
      </c>
      <c r="AK271" s="1362">
        <f t="shared" si="246"/>
        <v>2326.3466440031998</v>
      </c>
      <c r="AL271" s="1362">
        <f t="shared" si="247"/>
        <v>2326.3466440031998</v>
      </c>
      <c r="AM271" s="1362">
        <f t="shared" si="248"/>
        <v>9305.3865760127992</v>
      </c>
      <c r="AN271" s="1132" t="str">
        <f t="shared" si="214"/>
        <v>CI-HVC-BLRC-V03-150601</v>
      </c>
      <c r="AO271" s="1132" t="str">
        <f t="shared" si="215"/>
        <v>Nicor Gas PY11-PY14 Adjustable Goals Template_2025-03-01, Tab 4.4.4</v>
      </c>
      <c r="AP271" s="2505">
        <f>'4.4.4'!$N$4</f>
        <v>400.87199999999996</v>
      </c>
      <c r="AQ271" s="2505"/>
      <c r="AR271" s="2505">
        <f t="shared" si="216"/>
        <v>2326.3466440031998</v>
      </c>
      <c r="AS271" s="2505">
        <f t="shared" si="217"/>
        <v>0</v>
      </c>
      <c r="AT271" s="1132" t="str">
        <f t="shared" si="218"/>
        <v>CI-HVC-BLRC-V03-150601</v>
      </c>
      <c r="AU271" s="1132" t="str">
        <f t="shared" si="219"/>
        <v>Nicor Gas PY11-PY14 Adjustable Goals Template_2025-03-01, Tab 4.4.4</v>
      </c>
      <c r="AV271" s="2505">
        <f>'4.4.4'!$N$4</f>
        <v>400.87199999999996</v>
      </c>
      <c r="AW271" s="2505"/>
      <c r="AX271" s="1362">
        <f t="shared" si="220"/>
        <v>2326.3466440031998</v>
      </c>
      <c r="AY271" s="1360">
        <f t="shared" si="221"/>
        <v>0</v>
      </c>
      <c r="AZ271" s="1132" t="str">
        <f t="shared" si="222"/>
        <v>CI-HVC-BLRC-V03-150601</v>
      </c>
      <c r="BA271" s="1132" t="str">
        <f t="shared" si="223"/>
        <v>Nicor Gas PY11-PY14 Adjustable Goals Template_2025-03-01, Tab 4.4.4</v>
      </c>
      <c r="BB271" s="2505">
        <f>'4.4.4'!$N$4</f>
        <v>400.87199999999996</v>
      </c>
      <c r="BC271" s="2505"/>
      <c r="BD271" s="1362">
        <f t="shared" si="224"/>
        <v>2326.3466440031998</v>
      </c>
      <c r="BE271" s="1360">
        <f t="shared" si="225"/>
        <v>0</v>
      </c>
      <c r="BF271" s="1132" t="str">
        <f t="shared" si="226"/>
        <v>CI-HVC-BLRC-V03-150601</v>
      </c>
      <c r="BG271" s="1132" t="str">
        <f t="shared" si="227"/>
        <v>Nicor Gas PY11-PY14 Adjustable Goals Template_2025-03-01, Tab 4.4.4</v>
      </c>
      <c r="BH271" s="2505">
        <f>'4.4.4'!$N$4</f>
        <v>400.87199999999996</v>
      </c>
      <c r="BI271" s="2505"/>
      <c r="BJ271" s="1362">
        <f t="shared" si="249"/>
        <v>2326.3466440031998</v>
      </c>
      <c r="BK271" s="1360">
        <f t="shared" si="228"/>
        <v>0</v>
      </c>
      <c r="BL271" s="1601">
        <f t="shared" si="229"/>
        <v>2326.3466440031998</v>
      </c>
      <c r="BM271" s="1601">
        <f t="shared" si="230"/>
        <v>2326.3466440031998</v>
      </c>
      <c r="BN271" s="1601">
        <f t="shared" si="231"/>
        <v>2326.3466440031998</v>
      </c>
      <c r="BO271" s="1601">
        <f t="shared" si="232"/>
        <v>2326.3466440031998</v>
      </c>
      <c r="BP271" s="1602">
        <f t="shared" si="233"/>
        <v>9305.3865760127992</v>
      </c>
      <c r="BQ271" s="1605"/>
      <c r="BR271" s="1605" t="s">
        <v>428</v>
      </c>
      <c r="BS271" s="1602">
        <v>0</v>
      </c>
      <c r="BT271" s="1602">
        <v>16</v>
      </c>
      <c r="BU271" s="1602">
        <v>16</v>
      </c>
      <c r="BV271" s="1602">
        <v>16</v>
      </c>
      <c r="BW271" s="1602">
        <v>16</v>
      </c>
      <c r="BX271" s="1362">
        <f t="shared" si="250"/>
        <v>37221.546304051197</v>
      </c>
      <c r="BY271" s="1362">
        <f t="shared" si="251"/>
        <v>37221.546304051197</v>
      </c>
      <c r="BZ271" s="1362">
        <f t="shared" si="252"/>
        <v>37221.546304051197</v>
      </c>
      <c r="CA271" s="1362">
        <f t="shared" si="253"/>
        <v>37221.546304051197</v>
      </c>
      <c r="CB271" s="1362">
        <f t="shared" si="254"/>
        <v>148886.18521620479</v>
      </c>
      <c r="CC271" s="1360">
        <v>16</v>
      </c>
      <c r="CD271" s="1360">
        <v>16</v>
      </c>
      <c r="CE271" s="1360">
        <v>16</v>
      </c>
      <c r="CF271" s="1360">
        <v>16</v>
      </c>
      <c r="CG271" s="1604">
        <f t="shared" si="234"/>
        <v>37221.546304051197</v>
      </c>
      <c r="CH271" s="1604">
        <f t="shared" si="235"/>
        <v>37221.546304051197</v>
      </c>
      <c r="CI271" s="1604">
        <f t="shared" si="236"/>
        <v>37221.546304051197</v>
      </c>
      <c r="CJ271" s="1604">
        <f t="shared" si="237"/>
        <v>37221.546304051197</v>
      </c>
      <c r="CK271" s="1521">
        <f t="shared" si="238"/>
        <v>148886.18521620479</v>
      </c>
      <c r="CL271" s="1132">
        <v>264</v>
      </c>
      <c r="CM271" s="1132" t="s">
        <v>328</v>
      </c>
      <c r="CN271" s="1359">
        <v>1</v>
      </c>
      <c r="CO271" s="1360">
        <v>5.4960046</v>
      </c>
      <c r="CP271" s="1360">
        <v>5.4960046</v>
      </c>
      <c r="CQ271" s="1360">
        <v>5.4960046</v>
      </c>
      <c r="CR271" s="1360">
        <v>5.4960046</v>
      </c>
      <c r="CS271" s="1362">
        <f t="shared" si="239"/>
        <v>2203.1943560111999</v>
      </c>
      <c r="CT271" s="1362">
        <f t="shared" si="240"/>
        <v>2203.1943560111999</v>
      </c>
      <c r="CU271" s="1362">
        <f t="shared" si="241"/>
        <v>2203.1943560111999</v>
      </c>
      <c r="CV271" s="1362">
        <f t="shared" si="242"/>
        <v>2203.1943560111999</v>
      </c>
      <c r="CW271" s="1362">
        <f t="shared" si="243"/>
        <v>8812.7774240447998</v>
      </c>
      <c r="CY271" s="2887"/>
    </row>
    <row r="272" spans="1:103" s="1143" customFormat="1" ht="114.75" customHeight="1" x14ac:dyDescent="0.35">
      <c r="A272" s="1132" t="s">
        <v>110</v>
      </c>
      <c r="B272" s="1132" t="s">
        <v>722</v>
      </c>
      <c r="C272" s="1132" t="s">
        <v>749</v>
      </c>
      <c r="D272" s="1359" t="s">
        <v>750</v>
      </c>
      <c r="E272" s="1359">
        <v>1</v>
      </c>
      <c r="F272" s="1780" t="s">
        <v>332</v>
      </c>
      <c r="G272" s="1132" t="s">
        <v>328</v>
      </c>
      <c r="H272" s="1360">
        <v>45.688961132710837</v>
      </c>
      <c r="I272" s="1360">
        <v>45.688961132710837</v>
      </c>
      <c r="J272" s="1360">
        <v>45.688961132710837</v>
      </c>
      <c r="K272" s="1360">
        <v>45.688961132710837</v>
      </c>
      <c r="L272" s="1132" t="s">
        <v>333</v>
      </c>
      <c r="M272" s="1132" t="str">
        <f t="shared" si="205"/>
        <v>Nicor Gas PY11-PY14 Adjustable Goals Template_2025-03-01, Tab 4.4.2</v>
      </c>
      <c r="N272" s="1361">
        <v>377.09840490797626</v>
      </c>
      <c r="O272" s="1361">
        <v>377.09840490797626</v>
      </c>
      <c r="P272" s="1361">
        <v>377.09840490797626</v>
      </c>
      <c r="Q272" s="1361">
        <v>377.09840490797626</v>
      </c>
      <c r="R272" s="1781">
        <v>1</v>
      </c>
      <c r="S272" s="1781">
        <v>1</v>
      </c>
      <c r="T272" s="1781">
        <v>1</v>
      </c>
      <c r="U272" s="1781">
        <v>1</v>
      </c>
      <c r="V272" s="1781">
        <v>1</v>
      </c>
      <c r="W272" s="1781">
        <v>1</v>
      </c>
      <c r="X272" s="1781">
        <v>1</v>
      </c>
      <c r="Y272" s="1781">
        <v>1</v>
      </c>
      <c r="Z272" s="1359">
        <v>0</v>
      </c>
      <c r="AA272" s="1781">
        <f t="shared" si="206"/>
        <v>1</v>
      </c>
      <c r="AB272" s="1781">
        <f t="shared" si="207"/>
        <v>1</v>
      </c>
      <c r="AC272" s="1781">
        <f t="shared" si="208"/>
        <v>1</v>
      </c>
      <c r="AD272" s="1781">
        <f t="shared" si="209"/>
        <v>1</v>
      </c>
      <c r="AE272" s="1781">
        <f t="shared" si="210"/>
        <v>1</v>
      </c>
      <c r="AF272" s="1781">
        <f t="shared" si="211"/>
        <v>1</v>
      </c>
      <c r="AG272" s="1781">
        <f t="shared" si="212"/>
        <v>1</v>
      </c>
      <c r="AH272" s="1781">
        <f t="shared" si="213"/>
        <v>1</v>
      </c>
      <c r="AI272" s="1362">
        <f t="shared" si="244"/>
        <v>17229.234365047781</v>
      </c>
      <c r="AJ272" s="1362">
        <f t="shared" si="245"/>
        <v>17229.234365047781</v>
      </c>
      <c r="AK272" s="1362">
        <f t="shared" si="246"/>
        <v>17229.234365047781</v>
      </c>
      <c r="AL272" s="1362">
        <f t="shared" si="247"/>
        <v>17229.234365047781</v>
      </c>
      <c r="AM272" s="1362">
        <f t="shared" si="248"/>
        <v>68916.937460191126</v>
      </c>
      <c r="AN272" s="1132" t="str">
        <f t="shared" si="214"/>
        <v>CI-HVC-BLRT-V06-160601</v>
      </c>
      <c r="AO272" s="1132" t="str">
        <f t="shared" si="215"/>
        <v>Nicor Gas PY11-PY14 Adjustable Goals Template_2025-03-01, Tab 4.4.2</v>
      </c>
      <c r="AP272" s="2505">
        <f>'4.4.2'!$O$9</f>
        <v>377.09840490797626</v>
      </c>
      <c r="AQ272" s="2505"/>
      <c r="AR272" s="2505">
        <f t="shared" si="216"/>
        <v>17229.234365047781</v>
      </c>
      <c r="AS272" s="2505">
        <f t="shared" si="217"/>
        <v>0</v>
      </c>
      <c r="AT272" s="1132" t="str">
        <f t="shared" si="218"/>
        <v>CI-HVC-BLRT-V06-160601</v>
      </c>
      <c r="AU272" s="1132" t="str">
        <f t="shared" si="219"/>
        <v>Nicor Gas PY11-PY14 Adjustable Goals Template_2025-03-01, Tab 4.4.2</v>
      </c>
      <c r="AV272" s="2505">
        <f>'4.4.2'!$O$9</f>
        <v>377.09840490797626</v>
      </c>
      <c r="AW272" s="2505"/>
      <c r="AX272" s="1362">
        <f t="shared" si="220"/>
        <v>17229.234365047781</v>
      </c>
      <c r="AY272" s="1360">
        <f t="shared" si="221"/>
        <v>0</v>
      </c>
      <c r="AZ272" s="1132" t="str">
        <f t="shared" si="222"/>
        <v>CI-HVC-BLRT-V06-160601</v>
      </c>
      <c r="BA272" s="1132" t="str">
        <f t="shared" si="223"/>
        <v>Nicor Gas PY11-PY14 Adjustable Goals Template_2025-03-01, Tab 4.4.2</v>
      </c>
      <c r="BB272" s="2505">
        <f>'4.4.2'!$O$9</f>
        <v>377.09840490797626</v>
      </c>
      <c r="BC272" s="2505"/>
      <c r="BD272" s="1362">
        <f t="shared" si="224"/>
        <v>17229.234365047781</v>
      </c>
      <c r="BE272" s="1360">
        <f t="shared" si="225"/>
        <v>0</v>
      </c>
      <c r="BF272" s="1132" t="str">
        <f t="shared" si="226"/>
        <v>CI-HVC-BLRT-V06-160601</v>
      </c>
      <c r="BG272" s="1132" t="str">
        <f t="shared" si="227"/>
        <v>Nicor Gas PY11-PY14 Adjustable Goals Template_2025-03-01, Tab 4.4.2</v>
      </c>
      <c r="BH272" s="2505">
        <f>'4.4.2'!$O$9</f>
        <v>377.09840490797626</v>
      </c>
      <c r="BI272" s="2505"/>
      <c r="BJ272" s="1362">
        <f t="shared" si="249"/>
        <v>17229.234365047781</v>
      </c>
      <c r="BK272" s="1360">
        <f t="shared" si="228"/>
        <v>0</v>
      </c>
      <c r="BL272" s="1601">
        <f t="shared" si="229"/>
        <v>17229.234365047781</v>
      </c>
      <c r="BM272" s="1601">
        <f t="shared" si="230"/>
        <v>17229.234365047781</v>
      </c>
      <c r="BN272" s="1601">
        <f t="shared" si="231"/>
        <v>17229.234365047781</v>
      </c>
      <c r="BO272" s="1601">
        <f t="shared" si="232"/>
        <v>17229.234365047781</v>
      </c>
      <c r="BP272" s="1602">
        <f t="shared" si="233"/>
        <v>68916.937460191126</v>
      </c>
      <c r="BQ272" s="1605"/>
      <c r="BR272" s="1605" t="s">
        <v>332</v>
      </c>
      <c r="BS272" s="1602">
        <v>0</v>
      </c>
      <c r="BT272" s="1602">
        <v>3</v>
      </c>
      <c r="BU272" s="1602">
        <v>3</v>
      </c>
      <c r="BV272" s="1602">
        <v>3</v>
      </c>
      <c r="BW272" s="1602">
        <v>3</v>
      </c>
      <c r="BX272" s="1362">
        <f t="shared" si="250"/>
        <v>51687.703095143341</v>
      </c>
      <c r="BY272" s="1362">
        <f t="shared" si="251"/>
        <v>51687.703095143341</v>
      </c>
      <c r="BZ272" s="1362">
        <f t="shared" si="252"/>
        <v>51687.703095143341</v>
      </c>
      <c r="CA272" s="1362">
        <f t="shared" si="253"/>
        <v>51687.703095143341</v>
      </c>
      <c r="CB272" s="1362">
        <f t="shared" si="254"/>
        <v>206750.81238057336</v>
      </c>
      <c r="CC272" s="1360">
        <v>3</v>
      </c>
      <c r="CD272" s="1360">
        <v>3</v>
      </c>
      <c r="CE272" s="1360">
        <v>3</v>
      </c>
      <c r="CF272" s="1360">
        <v>3</v>
      </c>
      <c r="CG272" s="1604">
        <f t="shared" si="234"/>
        <v>51687.703095143341</v>
      </c>
      <c r="CH272" s="1604">
        <f t="shared" si="235"/>
        <v>51687.703095143341</v>
      </c>
      <c r="CI272" s="1604">
        <f t="shared" si="236"/>
        <v>51687.703095143341</v>
      </c>
      <c r="CJ272" s="1604">
        <f t="shared" si="237"/>
        <v>51687.703095143341</v>
      </c>
      <c r="CK272" s="1521">
        <f t="shared" si="238"/>
        <v>206750.81238057336</v>
      </c>
      <c r="CL272" s="1132">
        <v>265</v>
      </c>
      <c r="CM272" s="1132" t="s">
        <v>328</v>
      </c>
      <c r="CN272" s="1359">
        <v>1</v>
      </c>
      <c r="CO272" s="1360">
        <v>43.270275975030117</v>
      </c>
      <c r="CP272" s="1360">
        <v>43.270275975030117</v>
      </c>
      <c r="CQ272" s="1360">
        <v>43.270275975030117</v>
      </c>
      <c r="CR272" s="1360">
        <v>43.270275975030117</v>
      </c>
      <c r="CS272" s="1362">
        <f t="shared" si="239"/>
        <v>16317.152050111785</v>
      </c>
      <c r="CT272" s="1362">
        <f t="shared" si="240"/>
        <v>16317.152050111785</v>
      </c>
      <c r="CU272" s="1362">
        <f t="shared" si="241"/>
        <v>16317.152050111785</v>
      </c>
      <c r="CV272" s="1362">
        <f t="shared" si="242"/>
        <v>16317.152050111785</v>
      </c>
      <c r="CW272" s="1362">
        <f t="shared" si="243"/>
        <v>65268.608200447139</v>
      </c>
      <c r="CY272" s="2887"/>
    </row>
    <row r="273" spans="1:118" s="1143" customFormat="1" ht="41.15" customHeight="1" x14ac:dyDescent="0.35">
      <c r="A273" s="1132" t="s">
        <v>110</v>
      </c>
      <c r="B273" s="1132" t="s">
        <v>722</v>
      </c>
      <c r="C273" s="1132" t="s">
        <v>751</v>
      </c>
      <c r="D273" s="1359" t="s">
        <v>752</v>
      </c>
      <c r="E273" s="1359">
        <v>1</v>
      </c>
      <c r="F273" s="2564" t="s">
        <v>336</v>
      </c>
      <c r="G273" s="1132" t="s">
        <v>337</v>
      </c>
      <c r="H273" s="1360">
        <v>1954.0677295919825</v>
      </c>
      <c r="I273" s="1360">
        <v>1954.0677295919825</v>
      </c>
      <c r="J273" s="1360">
        <v>1954.0677295919825</v>
      </c>
      <c r="K273" s="1360">
        <v>1954.0677295919825</v>
      </c>
      <c r="L273" s="1132" t="s">
        <v>338</v>
      </c>
      <c r="M273" s="1132" t="str">
        <f t="shared" si="205"/>
        <v>Nicor Gas PY11-PY14 Adjustable Goals Template_2025-03-01, Tab 4.4.14</v>
      </c>
      <c r="N273" s="1361">
        <v>3.9669999999999996</v>
      </c>
      <c r="O273" s="1361">
        <v>3.9669999999999996</v>
      </c>
      <c r="P273" s="1361">
        <v>3.9669999999999996</v>
      </c>
      <c r="Q273" s="1361">
        <v>3.9669999999999996</v>
      </c>
      <c r="R273" s="1781">
        <v>1</v>
      </c>
      <c r="S273" s="1781">
        <v>1</v>
      </c>
      <c r="T273" s="1781">
        <v>1</v>
      </c>
      <c r="U273" s="1781">
        <v>1</v>
      </c>
      <c r="V273" s="1781">
        <v>1</v>
      </c>
      <c r="W273" s="1781">
        <v>1</v>
      </c>
      <c r="X273" s="1781">
        <v>1</v>
      </c>
      <c r="Y273" s="1781">
        <v>1</v>
      </c>
      <c r="Z273" s="1359">
        <v>0</v>
      </c>
      <c r="AA273" s="1781">
        <f t="shared" si="206"/>
        <v>1</v>
      </c>
      <c r="AB273" s="1781">
        <f t="shared" si="207"/>
        <v>1</v>
      </c>
      <c r="AC273" s="1781">
        <f t="shared" si="208"/>
        <v>1</v>
      </c>
      <c r="AD273" s="1781">
        <f t="shared" si="209"/>
        <v>1</v>
      </c>
      <c r="AE273" s="1781">
        <f t="shared" si="210"/>
        <v>1</v>
      </c>
      <c r="AF273" s="1781">
        <f t="shared" si="211"/>
        <v>1</v>
      </c>
      <c r="AG273" s="1781">
        <f t="shared" si="212"/>
        <v>1</v>
      </c>
      <c r="AH273" s="1781">
        <f t="shared" si="213"/>
        <v>1</v>
      </c>
      <c r="AI273" s="1362">
        <f t="shared" si="244"/>
        <v>7751.7866832913942</v>
      </c>
      <c r="AJ273" s="1362">
        <f t="shared" si="245"/>
        <v>7751.7866832913942</v>
      </c>
      <c r="AK273" s="1362">
        <f t="shared" si="246"/>
        <v>7751.7866832913942</v>
      </c>
      <c r="AL273" s="1362">
        <f t="shared" si="247"/>
        <v>7751.7866832913942</v>
      </c>
      <c r="AM273" s="1362">
        <f t="shared" si="248"/>
        <v>31007.146733165577</v>
      </c>
      <c r="AN273" s="1132" t="str">
        <f t="shared" si="214"/>
        <v>CI-HVC-PINS-V05-190101</v>
      </c>
      <c r="AO273" s="1132" t="str">
        <f t="shared" si="215"/>
        <v>Nicor Gas PY11-PY14 Adjustable Goals Template_2025-03-01, Tab 4.4.14</v>
      </c>
      <c r="AP273" s="2505">
        <f>'4.4.14'!$T$22</f>
        <v>3.9669999999999996</v>
      </c>
      <c r="AQ273" s="2505"/>
      <c r="AR273" s="2505">
        <f t="shared" si="216"/>
        <v>7751.7866832913942</v>
      </c>
      <c r="AS273" s="2505">
        <f t="shared" si="217"/>
        <v>0</v>
      </c>
      <c r="AT273" s="1132" t="str">
        <f t="shared" si="218"/>
        <v>CI-HVC-PINS-V05-190101</v>
      </c>
      <c r="AU273" s="1132" t="str">
        <f t="shared" si="219"/>
        <v>Nicor Gas PY11-PY14 Adjustable Goals Template_2025-03-01, Tab 4.4.14</v>
      </c>
      <c r="AV273" s="2505">
        <f>'4.4.14'!$T$22</f>
        <v>3.9669999999999996</v>
      </c>
      <c r="AW273" s="2505"/>
      <c r="AX273" s="1362">
        <f t="shared" si="220"/>
        <v>7751.7866832913942</v>
      </c>
      <c r="AY273" s="1360">
        <f t="shared" si="221"/>
        <v>0</v>
      </c>
      <c r="AZ273" s="1132" t="str">
        <f t="shared" si="222"/>
        <v>CI-HVC-PINS-V05-190101</v>
      </c>
      <c r="BA273" s="1132" t="str">
        <f t="shared" si="223"/>
        <v>Nicor Gas PY11-PY14 Adjustable Goals Template_2025-03-01, Tab 4.4.14</v>
      </c>
      <c r="BB273" s="2505">
        <f>'4.4.14'!$T$22</f>
        <v>3.9669999999999996</v>
      </c>
      <c r="BC273" s="2505"/>
      <c r="BD273" s="1362">
        <f t="shared" si="224"/>
        <v>7751.7866832913942</v>
      </c>
      <c r="BE273" s="1360">
        <f t="shared" si="225"/>
        <v>0</v>
      </c>
      <c r="BF273" s="1132" t="str">
        <f t="shared" si="226"/>
        <v>CI-HVC-PINS-V05-190101</v>
      </c>
      <c r="BG273" s="1132" t="str">
        <f t="shared" si="227"/>
        <v>Nicor Gas PY11-PY14 Adjustable Goals Template_2025-03-01, Tab 4.4.14</v>
      </c>
      <c r="BH273" s="2505">
        <f>'4.4.14'!$T$22</f>
        <v>3.9669999999999996</v>
      </c>
      <c r="BI273" s="2505"/>
      <c r="BJ273" s="1362">
        <f t="shared" si="249"/>
        <v>7751.7866832913942</v>
      </c>
      <c r="BK273" s="1360">
        <f t="shared" si="228"/>
        <v>0</v>
      </c>
      <c r="BL273" s="1601">
        <f t="shared" si="229"/>
        <v>7751.7866832913942</v>
      </c>
      <c r="BM273" s="1601">
        <f t="shared" si="230"/>
        <v>7751.7866832913942</v>
      </c>
      <c r="BN273" s="1601">
        <f t="shared" si="231"/>
        <v>7751.7866832913942</v>
      </c>
      <c r="BO273" s="1601">
        <f t="shared" si="232"/>
        <v>7751.7866832913942</v>
      </c>
      <c r="BP273" s="1602">
        <f t="shared" si="233"/>
        <v>31007.146733165577</v>
      </c>
      <c r="BQ273" s="1605"/>
      <c r="BR273" s="1605" t="s">
        <v>336</v>
      </c>
      <c r="BS273" s="1602">
        <v>0</v>
      </c>
      <c r="BT273" s="1602">
        <v>15</v>
      </c>
      <c r="BU273" s="1602">
        <v>15</v>
      </c>
      <c r="BV273" s="1602">
        <v>15</v>
      </c>
      <c r="BW273" s="1602">
        <v>15</v>
      </c>
      <c r="BX273" s="1362">
        <f t="shared" si="250"/>
        <v>116276.80024937091</v>
      </c>
      <c r="BY273" s="1362">
        <f t="shared" si="251"/>
        <v>116276.80024937091</v>
      </c>
      <c r="BZ273" s="1362">
        <f t="shared" si="252"/>
        <v>116276.80024937091</v>
      </c>
      <c r="CA273" s="1362">
        <f t="shared" si="253"/>
        <v>116276.80024937091</v>
      </c>
      <c r="CB273" s="1362">
        <f t="shared" si="254"/>
        <v>465107.20099748363</v>
      </c>
      <c r="CC273" s="1360">
        <v>15</v>
      </c>
      <c r="CD273" s="1360">
        <v>15</v>
      </c>
      <c r="CE273" s="1360">
        <v>15</v>
      </c>
      <c r="CF273" s="1360">
        <v>15</v>
      </c>
      <c r="CG273" s="1604">
        <f t="shared" si="234"/>
        <v>116276.80024937091</v>
      </c>
      <c r="CH273" s="1604">
        <f t="shared" si="235"/>
        <v>116276.80024937091</v>
      </c>
      <c r="CI273" s="1604">
        <f t="shared" si="236"/>
        <v>116276.80024937091</v>
      </c>
      <c r="CJ273" s="1604">
        <f t="shared" si="237"/>
        <v>116276.80024937091</v>
      </c>
      <c r="CK273" s="1521">
        <f t="shared" si="238"/>
        <v>465107.20099748363</v>
      </c>
      <c r="CL273" s="1132">
        <v>266</v>
      </c>
      <c r="CM273" s="1132" t="s">
        <v>337</v>
      </c>
      <c r="CN273" s="1359">
        <v>1</v>
      </c>
      <c r="CO273" s="1360">
        <v>1850.6231666714386</v>
      </c>
      <c r="CP273" s="1360">
        <v>1850.6231666714386</v>
      </c>
      <c r="CQ273" s="1360">
        <v>1850.6231666714386</v>
      </c>
      <c r="CR273" s="1360">
        <v>1850.6231666714386</v>
      </c>
      <c r="CS273" s="1362">
        <f t="shared" si="239"/>
        <v>7341.4221021855965</v>
      </c>
      <c r="CT273" s="1362">
        <f t="shared" si="240"/>
        <v>7341.4221021855965</v>
      </c>
      <c r="CU273" s="1362">
        <f t="shared" si="241"/>
        <v>7341.4221021855965</v>
      </c>
      <c r="CV273" s="1362">
        <f t="shared" si="242"/>
        <v>7341.4221021855965</v>
      </c>
      <c r="CW273" s="1362">
        <f t="shared" si="243"/>
        <v>29365.688408742386</v>
      </c>
      <c r="CY273" s="2887"/>
    </row>
    <row r="274" spans="1:118" s="1143" customFormat="1" ht="39.65" customHeight="1" x14ac:dyDescent="0.35">
      <c r="A274" s="1132" t="s">
        <v>110</v>
      </c>
      <c r="B274" s="1132" t="s">
        <v>722</v>
      </c>
      <c r="C274" s="1132" t="s">
        <v>753</v>
      </c>
      <c r="D274" s="1359" t="s">
        <v>754</v>
      </c>
      <c r="E274" s="1359">
        <v>1</v>
      </c>
      <c r="F274" s="2564" t="s">
        <v>336</v>
      </c>
      <c r="G274" s="1132" t="s">
        <v>337</v>
      </c>
      <c r="H274" s="1360">
        <v>845.35030393700777</v>
      </c>
      <c r="I274" s="1360">
        <v>845.35030393700777</v>
      </c>
      <c r="J274" s="1360">
        <v>845.35030393700777</v>
      </c>
      <c r="K274" s="1360">
        <v>845.35030393700777</v>
      </c>
      <c r="L274" s="1132" t="s">
        <v>338</v>
      </c>
      <c r="M274" s="1132" t="str">
        <f t="shared" si="205"/>
        <v>Nicor Gas PY11-PY14 Adjustable Goals Template_2025-03-01, Tab 4.4.14</v>
      </c>
      <c r="N274" s="1361">
        <v>3.1360000000000015</v>
      </c>
      <c r="O274" s="1361">
        <v>3.1360000000000015</v>
      </c>
      <c r="P274" s="1361">
        <v>3.1360000000000015</v>
      </c>
      <c r="Q274" s="1361">
        <v>3.1360000000000015</v>
      </c>
      <c r="R274" s="1781">
        <v>1</v>
      </c>
      <c r="S274" s="1781">
        <v>1</v>
      </c>
      <c r="T274" s="1781">
        <v>1</v>
      </c>
      <c r="U274" s="1781">
        <v>1</v>
      </c>
      <c r="V274" s="1781">
        <v>1</v>
      </c>
      <c r="W274" s="1781">
        <v>1</v>
      </c>
      <c r="X274" s="1781">
        <v>1</v>
      </c>
      <c r="Y274" s="1781">
        <v>1</v>
      </c>
      <c r="Z274" s="1359">
        <v>0</v>
      </c>
      <c r="AA274" s="1781">
        <f t="shared" si="206"/>
        <v>1</v>
      </c>
      <c r="AB274" s="1781">
        <f t="shared" si="207"/>
        <v>1</v>
      </c>
      <c r="AC274" s="1781">
        <f t="shared" si="208"/>
        <v>1</v>
      </c>
      <c r="AD274" s="1781">
        <f t="shared" si="209"/>
        <v>1</v>
      </c>
      <c r="AE274" s="1781">
        <f t="shared" si="210"/>
        <v>1</v>
      </c>
      <c r="AF274" s="1781">
        <f t="shared" si="211"/>
        <v>1</v>
      </c>
      <c r="AG274" s="1781">
        <f t="shared" si="212"/>
        <v>1</v>
      </c>
      <c r="AH274" s="1781">
        <f t="shared" si="213"/>
        <v>1</v>
      </c>
      <c r="AI274" s="1362">
        <f t="shared" si="244"/>
        <v>2651.0185531464576</v>
      </c>
      <c r="AJ274" s="1362">
        <f t="shared" si="245"/>
        <v>2651.0185531464576</v>
      </c>
      <c r="AK274" s="1362">
        <f t="shared" si="246"/>
        <v>2651.0185531464576</v>
      </c>
      <c r="AL274" s="1362">
        <f t="shared" si="247"/>
        <v>2651.0185531464576</v>
      </c>
      <c r="AM274" s="1362">
        <f t="shared" si="248"/>
        <v>10604.074212585831</v>
      </c>
      <c r="AN274" s="1132" t="str">
        <f t="shared" si="214"/>
        <v>CI-HVC-PINS-V05-190101</v>
      </c>
      <c r="AO274" s="1132" t="str">
        <f t="shared" si="215"/>
        <v>Nicor Gas PY11-PY14 Adjustable Goals Template_2025-03-01, Tab 4.4.14</v>
      </c>
      <c r="AP274" s="2505">
        <f>'4.4.14'!$T$23</f>
        <v>3.1360000000000015</v>
      </c>
      <c r="AQ274" s="2505"/>
      <c r="AR274" s="2505">
        <f t="shared" si="216"/>
        <v>2651.0185531464576</v>
      </c>
      <c r="AS274" s="2505">
        <f t="shared" si="217"/>
        <v>0</v>
      </c>
      <c r="AT274" s="1132" t="str">
        <f t="shared" si="218"/>
        <v>CI-HVC-PINS-V05-190101</v>
      </c>
      <c r="AU274" s="1132" t="str">
        <f t="shared" si="219"/>
        <v>Nicor Gas PY11-PY14 Adjustable Goals Template_2025-03-01, Tab 4.4.14</v>
      </c>
      <c r="AV274" s="2505">
        <f>'4.4.14'!$T$23</f>
        <v>3.1360000000000015</v>
      </c>
      <c r="AW274" s="2505"/>
      <c r="AX274" s="1362">
        <f t="shared" si="220"/>
        <v>2651.0185531464576</v>
      </c>
      <c r="AY274" s="1360">
        <f t="shared" si="221"/>
        <v>0</v>
      </c>
      <c r="AZ274" s="1132" t="str">
        <f t="shared" si="222"/>
        <v>CI-HVC-PINS-V05-190101</v>
      </c>
      <c r="BA274" s="1132" t="str">
        <f t="shared" si="223"/>
        <v>Nicor Gas PY11-PY14 Adjustable Goals Template_2025-03-01, Tab 4.4.14</v>
      </c>
      <c r="BB274" s="2505">
        <f>'4.4.14'!$T$23</f>
        <v>3.1360000000000015</v>
      </c>
      <c r="BC274" s="2505"/>
      <c r="BD274" s="1362">
        <f t="shared" si="224"/>
        <v>2651.0185531464576</v>
      </c>
      <c r="BE274" s="1360">
        <f t="shared" si="225"/>
        <v>0</v>
      </c>
      <c r="BF274" s="1132" t="str">
        <f t="shared" si="226"/>
        <v>CI-HVC-PINS-V05-190101</v>
      </c>
      <c r="BG274" s="1132" t="str">
        <f t="shared" si="227"/>
        <v>Nicor Gas PY11-PY14 Adjustable Goals Template_2025-03-01, Tab 4.4.14</v>
      </c>
      <c r="BH274" s="2505">
        <f>'4.4.14'!$T$23</f>
        <v>3.1360000000000015</v>
      </c>
      <c r="BI274" s="2505"/>
      <c r="BJ274" s="1362">
        <f t="shared" si="249"/>
        <v>2651.0185531464576</v>
      </c>
      <c r="BK274" s="1360">
        <f t="shared" si="228"/>
        <v>0</v>
      </c>
      <c r="BL274" s="1601">
        <f t="shared" si="229"/>
        <v>2651.0185531464576</v>
      </c>
      <c r="BM274" s="1601">
        <f t="shared" si="230"/>
        <v>2651.0185531464576</v>
      </c>
      <c r="BN274" s="1601">
        <f t="shared" si="231"/>
        <v>2651.0185531464576</v>
      </c>
      <c r="BO274" s="1601">
        <f t="shared" si="232"/>
        <v>2651.0185531464576</v>
      </c>
      <c r="BP274" s="1602">
        <f t="shared" si="233"/>
        <v>10604.074212585831</v>
      </c>
      <c r="BQ274" s="1605"/>
      <c r="BR274" s="1605" t="s">
        <v>336</v>
      </c>
      <c r="BS274" s="1602">
        <v>0</v>
      </c>
      <c r="BT274" s="1602">
        <v>15</v>
      </c>
      <c r="BU274" s="1602">
        <v>15</v>
      </c>
      <c r="BV274" s="1602">
        <v>15</v>
      </c>
      <c r="BW274" s="1602">
        <v>15</v>
      </c>
      <c r="BX274" s="1362">
        <f t="shared" si="250"/>
        <v>39765.278297196863</v>
      </c>
      <c r="BY274" s="1362">
        <f t="shared" si="251"/>
        <v>39765.278297196863</v>
      </c>
      <c r="BZ274" s="1362">
        <f t="shared" si="252"/>
        <v>39765.278297196863</v>
      </c>
      <c r="CA274" s="1362">
        <f t="shared" si="253"/>
        <v>39765.278297196863</v>
      </c>
      <c r="CB274" s="1362">
        <f t="shared" si="254"/>
        <v>159061.11318878745</v>
      </c>
      <c r="CC274" s="1360">
        <v>15</v>
      </c>
      <c r="CD274" s="1360">
        <v>15</v>
      </c>
      <c r="CE274" s="1360">
        <v>15</v>
      </c>
      <c r="CF274" s="1360">
        <v>15</v>
      </c>
      <c r="CG274" s="1604">
        <f t="shared" si="234"/>
        <v>39765.278297196863</v>
      </c>
      <c r="CH274" s="1604">
        <f t="shared" si="235"/>
        <v>39765.278297196863</v>
      </c>
      <c r="CI274" s="1604">
        <f t="shared" si="236"/>
        <v>39765.278297196863</v>
      </c>
      <c r="CJ274" s="1604">
        <f t="shared" si="237"/>
        <v>39765.278297196863</v>
      </c>
      <c r="CK274" s="1521">
        <f t="shared" si="238"/>
        <v>159061.11318878745</v>
      </c>
      <c r="CL274" s="1132">
        <v>267</v>
      </c>
      <c r="CM274" s="1132" t="s">
        <v>337</v>
      </c>
      <c r="CN274" s="1359">
        <v>1</v>
      </c>
      <c r="CO274" s="1360">
        <v>800.59909527559057</v>
      </c>
      <c r="CP274" s="1360">
        <v>800.59909527559057</v>
      </c>
      <c r="CQ274" s="1360">
        <v>800.59909527559057</v>
      </c>
      <c r="CR274" s="1360">
        <v>800.59909527559057</v>
      </c>
      <c r="CS274" s="1362">
        <f t="shared" si="239"/>
        <v>2510.6787627842532</v>
      </c>
      <c r="CT274" s="1362">
        <f t="shared" si="240"/>
        <v>2510.6787627842532</v>
      </c>
      <c r="CU274" s="1362">
        <f t="shared" si="241"/>
        <v>2510.6787627842532</v>
      </c>
      <c r="CV274" s="1362">
        <f t="shared" si="242"/>
        <v>2510.6787627842532</v>
      </c>
      <c r="CW274" s="1362">
        <f t="shared" si="243"/>
        <v>10042.715051137013</v>
      </c>
      <c r="CY274" s="2887"/>
    </row>
    <row r="275" spans="1:118" s="1143" customFormat="1" ht="46.5" x14ac:dyDescent="0.35">
      <c r="A275" s="1132" t="s">
        <v>110</v>
      </c>
      <c r="B275" s="1132" t="s">
        <v>722</v>
      </c>
      <c r="C275" s="1132" t="s">
        <v>755</v>
      </c>
      <c r="D275" s="1359" t="s">
        <v>756</v>
      </c>
      <c r="E275" s="1359">
        <v>1</v>
      </c>
      <c r="F275" s="2564" t="s">
        <v>336</v>
      </c>
      <c r="G275" s="1132" t="s">
        <v>337</v>
      </c>
      <c r="H275" s="1360">
        <v>1433.1491639226915</v>
      </c>
      <c r="I275" s="1360">
        <v>1433.1491639226915</v>
      </c>
      <c r="J275" s="1360">
        <v>1433.1491639226915</v>
      </c>
      <c r="K275" s="1360">
        <v>1433.1491639226915</v>
      </c>
      <c r="L275" s="1132" t="s">
        <v>338</v>
      </c>
      <c r="M275" s="1132" t="str">
        <f t="shared" si="205"/>
        <v>Nicor Gas PY11-PY14 Adjustable Goals Template_2025-03-01, Tab 4.4.14</v>
      </c>
      <c r="N275" s="1361">
        <v>4.2520000000000007</v>
      </c>
      <c r="O275" s="1361">
        <v>4.2520000000000007</v>
      </c>
      <c r="P275" s="1361">
        <v>4.2520000000000007</v>
      </c>
      <c r="Q275" s="1361">
        <v>4.2520000000000007</v>
      </c>
      <c r="R275" s="1781">
        <v>1</v>
      </c>
      <c r="S275" s="1781">
        <v>1</v>
      </c>
      <c r="T275" s="1781">
        <v>1</v>
      </c>
      <c r="U275" s="1781">
        <v>1</v>
      </c>
      <c r="V275" s="1781">
        <v>1</v>
      </c>
      <c r="W275" s="1781">
        <v>1</v>
      </c>
      <c r="X275" s="1781">
        <v>1</v>
      </c>
      <c r="Y275" s="1781">
        <v>1</v>
      </c>
      <c r="Z275" s="1359">
        <v>0</v>
      </c>
      <c r="AA275" s="1781">
        <f t="shared" si="206"/>
        <v>1</v>
      </c>
      <c r="AB275" s="1781">
        <f t="shared" si="207"/>
        <v>1</v>
      </c>
      <c r="AC275" s="1781">
        <f t="shared" si="208"/>
        <v>1</v>
      </c>
      <c r="AD275" s="1781">
        <f t="shared" si="209"/>
        <v>1</v>
      </c>
      <c r="AE275" s="1781">
        <f t="shared" si="210"/>
        <v>1</v>
      </c>
      <c r="AF275" s="1781">
        <f t="shared" si="211"/>
        <v>1</v>
      </c>
      <c r="AG275" s="1781">
        <f t="shared" si="212"/>
        <v>1</v>
      </c>
      <c r="AH275" s="1781">
        <f t="shared" si="213"/>
        <v>1</v>
      </c>
      <c r="AI275" s="1362">
        <f t="shared" si="244"/>
        <v>6093.7502449992853</v>
      </c>
      <c r="AJ275" s="1362">
        <f t="shared" si="245"/>
        <v>6093.7502449992853</v>
      </c>
      <c r="AK275" s="1362">
        <f t="shared" si="246"/>
        <v>6093.7502449992853</v>
      </c>
      <c r="AL275" s="1362">
        <f t="shared" si="247"/>
        <v>6093.7502449992853</v>
      </c>
      <c r="AM275" s="1362">
        <f t="shared" si="248"/>
        <v>24375.000979997141</v>
      </c>
      <c r="AN275" s="1132" t="str">
        <f t="shared" si="214"/>
        <v>CI-HVC-PINS-V05-190101</v>
      </c>
      <c r="AO275" s="1132" t="str">
        <f t="shared" si="215"/>
        <v>Nicor Gas PY11-PY14 Adjustable Goals Template_2025-03-01, Tab 4.4.14</v>
      </c>
      <c r="AP275" s="2505">
        <f>'4.4.14'!$T$24</f>
        <v>4.2520000000000007</v>
      </c>
      <c r="AQ275" s="2505"/>
      <c r="AR275" s="2505">
        <f t="shared" si="216"/>
        <v>6093.7502449992853</v>
      </c>
      <c r="AS275" s="2505">
        <f t="shared" si="217"/>
        <v>0</v>
      </c>
      <c r="AT275" s="1132" t="str">
        <f t="shared" si="218"/>
        <v>CI-HVC-PINS-V05-190101</v>
      </c>
      <c r="AU275" s="1132" t="str">
        <f t="shared" si="219"/>
        <v>Nicor Gas PY11-PY14 Adjustable Goals Template_2025-03-01, Tab 4.4.14</v>
      </c>
      <c r="AV275" s="2505">
        <f>'4.4.14'!$T$24</f>
        <v>4.2520000000000007</v>
      </c>
      <c r="AW275" s="2505"/>
      <c r="AX275" s="1362">
        <f t="shared" si="220"/>
        <v>6093.7502449992853</v>
      </c>
      <c r="AY275" s="1360">
        <f t="shared" si="221"/>
        <v>0</v>
      </c>
      <c r="AZ275" s="1132" t="str">
        <f t="shared" si="222"/>
        <v>CI-HVC-PINS-V05-190101</v>
      </c>
      <c r="BA275" s="1132" t="str">
        <f t="shared" si="223"/>
        <v>Nicor Gas PY11-PY14 Adjustable Goals Template_2025-03-01, Tab 4.4.14</v>
      </c>
      <c r="BB275" s="2505">
        <f>'4.4.14'!$T$24</f>
        <v>4.2520000000000007</v>
      </c>
      <c r="BC275" s="2505"/>
      <c r="BD275" s="1362">
        <f t="shared" si="224"/>
        <v>6093.7502449992853</v>
      </c>
      <c r="BE275" s="1360">
        <f t="shared" si="225"/>
        <v>0</v>
      </c>
      <c r="BF275" s="1132" t="str">
        <f t="shared" si="226"/>
        <v>CI-HVC-PINS-V05-190101</v>
      </c>
      <c r="BG275" s="1132" t="str">
        <f t="shared" si="227"/>
        <v>Nicor Gas PY11-PY14 Adjustable Goals Template_2025-03-01, Tab 4.4.14</v>
      </c>
      <c r="BH275" s="2505">
        <f>'4.4.14'!$T$24</f>
        <v>4.2520000000000007</v>
      </c>
      <c r="BI275" s="2505"/>
      <c r="BJ275" s="1362">
        <f t="shared" si="249"/>
        <v>6093.7502449992853</v>
      </c>
      <c r="BK275" s="1360">
        <f t="shared" si="228"/>
        <v>0</v>
      </c>
      <c r="BL275" s="1601">
        <f t="shared" si="229"/>
        <v>6093.7502449992853</v>
      </c>
      <c r="BM275" s="1601">
        <f t="shared" si="230"/>
        <v>6093.7502449992853</v>
      </c>
      <c r="BN275" s="1601">
        <f t="shared" si="231"/>
        <v>6093.7502449992853</v>
      </c>
      <c r="BO275" s="1601">
        <f t="shared" si="232"/>
        <v>6093.7502449992853</v>
      </c>
      <c r="BP275" s="1602">
        <f t="shared" si="233"/>
        <v>24375.000979997141</v>
      </c>
      <c r="BQ275" s="1605"/>
      <c r="BR275" s="1605" t="s">
        <v>336</v>
      </c>
      <c r="BS275" s="1602">
        <v>0</v>
      </c>
      <c r="BT275" s="1602">
        <v>15</v>
      </c>
      <c r="BU275" s="1602">
        <v>15</v>
      </c>
      <c r="BV275" s="1602">
        <v>15</v>
      </c>
      <c r="BW275" s="1602">
        <v>15</v>
      </c>
      <c r="BX275" s="1362">
        <f t="shared" si="250"/>
        <v>91406.253674989275</v>
      </c>
      <c r="BY275" s="1362">
        <f t="shared" si="251"/>
        <v>91406.253674989275</v>
      </c>
      <c r="BZ275" s="1362">
        <f t="shared" si="252"/>
        <v>91406.253674989275</v>
      </c>
      <c r="CA275" s="1362">
        <f t="shared" si="253"/>
        <v>91406.253674989275</v>
      </c>
      <c r="CB275" s="1362">
        <f t="shared" si="254"/>
        <v>365625.0146999571</v>
      </c>
      <c r="CC275" s="1360">
        <v>15</v>
      </c>
      <c r="CD275" s="1360">
        <v>15</v>
      </c>
      <c r="CE275" s="1360">
        <v>15</v>
      </c>
      <c r="CF275" s="1360">
        <v>15</v>
      </c>
      <c r="CG275" s="1604">
        <f t="shared" si="234"/>
        <v>91406.253674989275</v>
      </c>
      <c r="CH275" s="1604">
        <f t="shared" si="235"/>
        <v>91406.253674989275</v>
      </c>
      <c r="CI275" s="1604">
        <f t="shared" si="236"/>
        <v>91406.253674989275</v>
      </c>
      <c r="CJ275" s="1604">
        <f t="shared" si="237"/>
        <v>91406.253674989275</v>
      </c>
      <c r="CK275" s="1521">
        <f t="shared" si="238"/>
        <v>365625.0146999571</v>
      </c>
      <c r="CL275" s="1132">
        <v>268</v>
      </c>
      <c r="CM275" s="1132" t="s">
        <v>337</v>
      </c>
      <c r="CN275" s="1359">
        <v>1</v>
      </c>
      <c r="CO275" s="1360">
        <v>1357.2810214745884</v>
      </c>
      <c r="CP275" s="1360">
        <v>1357.2810214745884</v>
      </c>
      <c r="CQ275" s="1360">
        <v>1357.2810214745884</v>
      </c>
      <c r="CR275" s="1360">
        <v>1357.2810214745884</v>
      </c>
      <c r="CS275" s="1362">
        <f t="shared" si="239"/>
        <v>5771.1589033099508</v>
      </c>
      <c r="CT275" s="1362">
        <f t="shared" si="240"/>
        <v>5771.1589033099508</v>
      </c>
      <c r="CU275" s="1362">
        <f t="shared" si="241"/>
        <v>5771.1589033099508</v>
      </c>
      <c r="CV275" s="1362">
        <f t="shared" si="242"/>
        <v>5771.1589033099508</v>
      </c>
      <c r="CW275" s="1362">
        <f t="shared" si="243"/>
        <v>23084.635613239803</v>
      </c>
      <c r="CY275" s="2887"/>
    </row>
    <row r="276" spans="1:118" s="1143" customFormat="1" ht="61.5" customHeight="1" x14ac:dyDescent="0.35">
      <c r="A276" s="1132" t="s">
        <v>110</v>
      </c>
      <c r="B276" s="1132" t="s">
        <v>722</v>
      </c>
      <c r="C276" s="1132" t="s">
        <v>757</v>
      </c>
      <c r="D276" s="1359" t="s">
        <v>758</v>
      </c>
      <c r="E276" s="1359">
        <v>1</v>
      </c>
      <c r="F276" s="2564" t="s">
        <v>336</v>
      </c>
      <c r="G276" s="1132" t="s">
        <v>606</v>
      </c>
      <c r="H276" s="1360">
        <v>1235.4184470588234</v>
      </c>
      <c r="I276" s="1360">
        <v>1235.4184470588234</v>
      </c>
      <c r="J276" s="1360">
        <v>1235.4184470588234</v>
      </c>
      <c r="K276" s="1360">
        <v>1235.4184470588234</v>
      </c>
      <c r="L276" s="1132" t="s">
        <v>759</v>
      </c>
      <c r="M276" s="1132" t="str">
        <f t="shared" si="205"/>
        <v>Nicor Gas PY11-PY14 Adjustable Goals Template_2025-03-01, Tab 4.4.14</v>
      </c>
      <c r="N276" s="1361">
        <v>5.3550000000000022</v>
      </c>
      <c r="O276" s="1361">
        <v>5.3550000000000022</v>
      </c>
      <c r="P276" s="1361">
        <v>5.3550000000000022</v>
      </c>
      <c r="Q276" s="1361">
        <v>5.3550000000000022</v>
      </c>
      <c r="R276" s="1781">
        <v>1</v>
      </c>
      <c r="S276" s="1781">
        <v>1</v>
      </c>
      <c r="T276" s="1781">
        <v>1</v>
      </c>
      <c r="U276" s="1781">
        <v>1</v>
      </c>
      <c r="V276" s="1781">
        <v>1</v>
      </c>
      <c r="W276" s="1781">
        <v>1</v>
      </c>
      <c r="X276" s="1781">
        <v>1</v>
      </c>
      <c r="Y276" s="1781">
        <v>1</v>
      </c>
      <c r="Z276" s="1359">
        <v>0</v>
      </c>
      <c r="AA276" s="1781">
        <f t="shared" si="206"/>
        <v>1</v>
      </c>
      <c r="AB276" s="1781">
        <f t="shared" si="207"/>
        <v>1</v>
      </c>
      <c r="AC276" s="1781">
        <f t="shared" si="208"/>
        <v>1</v>
      </c>
      <c r="AD276" s="1781">
        <f t="shared" si="209"/>
        <v>1</v>
      </c>
      <c r="AE276" s="1781">
        <f t="shared" si="210"/>
        <v>1</v>
      </c>
      <c r="AF276" s="1781">
        <f t="shared" si="211"/>
        <v>1</v>
      </c>
      <c r="AG276" s="1781">
        <f t="shared" si="212"/>
        <v>1</v>
      </c>
      <c r="AH276" s="1781">
        <f t="shared" si="213"/>
        <v>1</v>
      </c>
      <c r="AI276" s="1362">
        <f t="shared" si="244"/>
        <v>6615.6657840000016</v>
      </c>
      <c r="AJ276" s="1362">
        <f t="shared" si="245"/>
        <v>6615.6657840000016</v>
      </c>
      <c r="AK276" s="1362">
        <f t="shared" si="246"/>
        <v>6615.6657840000016</v>
      </c>
      <c r="AL276" s="1362">
        <f t="shared" si="247"/>
        <v>6615.6657840000016</v>
      </c>
      <c r="AM276" s="1362">
        <f t="shared" si="248"/>
        <v>26462.663136000006</v>
      </c>
      <c r="AN276" s="1132" t="str">
        <f t="shared" si="214"/>
        <v>C246</v>
      </c>
      <c r="AO276" s="1132" t="str">
        <f t="shared" si="215"/>
        <v>Nicor Gas PY11-PY14 Adjustable Goals Template_2025-03-01, Tab 4.4.14</v>
      </c>
      <c r="AP276" s="2505">
        <f>'4.4.14'!$T$25</f>
        <v>5.3550000000000022</v>
      </c>
      <c r="AQ276" s="2505"/>
      <c r="AR276" s="2505">
        <f t="shared" si="216"/>
        <v>6615.6657840000016</v>
      </c>
      <c r="AS276" s="2505">
        <f t="shared" si="217"/>
        <v>0</v>
      </c>
      <c r="AT276" s="1132" t="str">
        <f t="shared" si="218"/>
        <v>C246</v>
      </c>
      <c r="AU276" s="1132" t="str">
        <f t="shared" si="219"/>
        <v>Nicor Gas PY11-PY14 Adjustable Goals Template_2025-03-01, Tab 4.4.14</v>
      </c>
      <c r="AV276" s="2505">
        <f>'4.4.14'!$T$25</f>
        <v>5.3550000000000022</v>
      </c>
      <c r="AW276" s="2505"/>
      <c r="AX276" s="1362">
        <f t="shared" si="220"/>
        <v>6615.6657840000016</v>
      </c>
      <c r="AY276" s="1360">
        <f t="shared" si="221"/>
        <v>0</v>
      </c>
      <c r="AZ276" s="1132" t="str">
        <f t="shared" si="222"/>
        <v>C246</v>
      </c>
      <c r="BA276" s="1132" t="str">
        <f t="shared" si="223"/>
        <v>Nicor Gas PY11-PY14 Adjustable Goals Template_2025-03-01, Tab 4.4.14</v>
      </c>
      <c r="BB276" s="2505">
        <f>'4.4.14'!$T$25</f>
        <v>5.3550000000000022</v>
      </c>
      <c r="BC276" s="2505"/>
      <c r="BD276" s="1362">
        <f t="shared" si="224"/>
        <v>6615.6657840000016</v>
      </c>
      <c r="BE276" s="1360">
        <f t="shared" si="225"/>
        <v>0</v>
      </c>
      <c r="BF276" s="1132" t="str">
        <f t="shared" si="226"/>
        <v>C246</v>
      </c>
      <c r="BG276" s="1132" t="str">
        <f t="shared" si="227"/>
        <v>Nicor Gas PY11-PY14 Adjustable Goals Template_2025-03-01, Tab 4.4.14</v>
      </c>
      <c r="BH276" s="2505">
        <f>'4.4.14'!$T$25</f>
        <v>5.3550000000000022</v>
      </c>
      <c r="BI276" s="2505"/>
      <c r="BJ276" s="1362">
        <f t="shared" si="249"/>
        <v>6615.6657840000016</v>
      </c>
      <c r="BK276" s="1360">
        <f t="shared" si="228"/>
        <v>0</v>
      </c>
      <c r="BL276" s="1601">
        <f t="shared" si="229"/>
        <v>6615.6657840000016</v>
      </c>
      <c r="BM276" s="1601">
        <f t="shared" si="230"/>
        <v>6615.6657840000016</v>
      </c>
      <c r="BN276" s="1601">
        <f t="shared" si="231"/>
        <v>6615.6657840000016</v>
      </c>
      <c r="BO276" s="1601">
        <f t="shared" si="232"/>
        <v>6615.6657840000016</v>
      </c>
      <c r="BP276" s="1602">
        <f t="shared" si="233"/>
        <v>26462.663136000006</v>
      </c>
      <c r="BQ276" s="1602"/>
      <c r="BR276" s="1602" t="s">
        <v>336</v>
      </c>
      <c r="BS276" s="1602">
        <v>0</v>
      </c>
      <c r="BT276" s="1602">
        <v>15</v>
      </c>
      <c r="BU276" s="1602">
        <v>15</v>
      </c>
      <c r="BV276" s="1602">
        <v>15</v>
      </c>
      <c r="BW276" s="1602">
        <v>15</v>
      </c>
      <c r="BX276" s="1362">
        <f t="shared" si="250"/>
        <v>99234.986760000029</v>
      </c>
      <c r="BY276" s="1362">
        <f t="shared" si="251"/>
        <v>99234.986760000029</v>
      </c>
      <c r="BZ276" s="1362">
        <f t="shared" si="252"/>
        <v>99234.986760000029</v>
      </c>
      <c r="CA276" s="1362">
        <f t="shared" si="253"/>
        <v>99234.986760000029</v>
      </c>
      <c r="CB276" s="1362">
        <f t="shared" si="254"/>
        <v>396939.94704000012</v>
      </c>
      <c r="CC276" s="1360">
        <v>15</v>
      </c>
      <c r="CD276" s="1360">
        <v>15</v>
      </c>
      <c r="CE276" s="1360">
        <v>15</v>
      </c>
      <c r="CF276" s="1360">
        <v>15</v>
      </c>
      <c r="CG276" s="1604">
        <f t="shared" si="234"/>
        <v>99234.986760000029</v>
      </c>
      <c r="CH276" s="1604">
        <f t="shared" si="235"/>
        <v>99234.986760000029</v>
      </c>
      <c r="CI276" s="1604">
        <f t="shared" si="236"/>
        <v>99234.986760000029</v>
      </c>
      <c r="CJ276" s="1604">
        <f t="shared" si="237"/>
        <v>99234.986760000029</v>
      </c>
      <c r="CK276" s="1521">
        <f t="shared" si="238"/>
        <v>396939.94704000012</v>
      </c>
      <c r="CL276" s="1132">
        <v>269</v>
      </c>
      <c r="CM276" s="1132" t="s">
        <v>606</v>
      </c>
      <c r="CN276" s="1359">
        <v>1</v>
      </c>
      <c r="CO276" s="1360">
        <v>1170.0177859943979</v>
      </c>
      <c r="CP276" s="1360">
        <v>1170.0177859943979</v>
      </c>
      <c r="CQ276" s="1360">
        <v>1170.0177859943979</v>
      </c>
      <c r="CR276" s="1360">
        <v>1170.0177859943979</v>
      </c>
      <c r="CS276" s="1362">
        <f t="shared" si="239"/>
        <v>6265.4452440000032</v>
      </c>
      <c r="CT276" s="1362">
        <f t="shared" si="240"/>
        <v>6265.4452440000032</v>
      </c>
      <c r="CU276" s="1362">
        <f t="shared" si="241"/>
        <v>6265.4452440000032</v>
      </c>
      <c r="CV276" s="1362">
        <f t="shared" si="242"/>
        <v>6265.4452440000032</v>
      </c>
      <c r="CW276" s="1362">
        <f t="shared" si="243"/>
        <v>25061.780976000013</v>
      </c>
      <c r="CY276" s="2887"/>
      <c r="DN276" s="1715"/>
    </row>
    <row r="277" spans="1:118" s="1143" customFormat="1" ht="38.5" customHeight="1" x14ac:dyDescent="0.35">
      <c r="A277" s="1132" t="s">
        <v>110</v>
      </c>
      <c r="B277" s="1132" t="s">
        <v>722</v>
      </c>
      <c r="C277" s="1132" t="s">
        <v>760</v>
      </c>
      <c r="D277" s="1359" t="s">
        <v>761</v>
      </c>
      <c r="E277" s="1359">
        <v>1</v>
      </c>
      <c r="F277" s="2564" t="s">
        <v>336</v>
      </c>
      <c r="G277" s="1132" t="s">
        <v>606</v>
      </c>
      <c r="H277" s="1360">
        <v>180.85595948578106</v>
      </c>
      <c r="I277" s="1360">
        <v>180.85595948578106</v>
      </c>
      <c r="J277" s="1360">
        <v>180.85595948578106</v>
      </c>
      <c r="K277" s="1360">
        <v>180.85595948578106</v>
      </c>
      <c r="L277" s="1132" t="s">
        <v>762</v>
      </c>
      <c r="M277" s="1132" t="str">
        <f t="shared" si="205"/>
        <v>Nicor Gas PY11-PY14 Adjustable Goals Template_2025-03-01, Tab 4.4.14</v>
      </c>
      <c r="N277" s="1361">
        <v>7.7009999999999987</v>
      </c>
      <c r="O277" s="1361">
        <v>7.7009999999999987</v>
      </c>
      <c r="P277" s="1361">
        <v>7.7009999999999987</v>
      </c>
      <c r="Q277" s="1361">
        <v>7.7009999999999987</v>
      </c>
      <c r="R277" s="1781">
        <v>1</v>
      </c>
      <c r="S277" s="1781">
        <v>1</v>
      </c>
      <c r="T277" s="1781">
        <v>1</v>
      </c>
      <c r="U277" s="1781">
        <v>1</v>
      </c>
      <c r="V277" s="1781">
        <v>1</v>
      </c>
      <c r="W277" s="1781">
        <v>1</v>
      </c>
      <c r="X277" s="1781">
        <v>1</v>
      </c>
      <c r="Y277" s="1781">
        <v>1</v>
      </c>
      <c r="Z277" s="1359">
        <v>0</v>
      </c>
      <c r="AA277" s="1781">
        <f t="shared" si="206"/>
        <v>1</v>
      </c>
      <c r="AB277" s="1781">
        <f t="shared" si="207"/>
        <v>1</v>
      </c>
      <c r="AC277" s="1781">
        <f t="shared" si="208"/>
        <v>1</v>
      </c>
      <c r="AD277" s="1781">
        <f t="shared" si="209"/>
        <v>1</v>
      </c>
      <c r="AE277" s="1781">
        <f t="shared" si="210"/>
        <v>1</v>
      </c>
      <c r="AF277" s="1781">
        <f t="shared" si="211"/>
        <v>1</v>
      </c>
      <c r="AG277" s="1781">
        <f t="shared" si="212"/>
        <v>1</v>
      </c>
      <c r="AH277" s="1781">
        <f t="shared" si="213"/>
        <v>1</v>
      </c>
      <c r="AI277" s="1362">
        <f t="shared" si="244"/>
        <v>1392.7717439999997</v>
      </c>
      <c r="AJ277" s="1362">
        <f t="shared" si="245"/>
        <v>1392.7717439999997</v>
      </c>
      <c r="AK277" s="1362">
        <f t="shared" si="246"/>
        <v>1392.7717439999997</v>
      </c>
      <c r="AL277" s="1362">
        <f t="shared" si="247"/>
        <v>1392.7717439999997</v>
      </c>
      <c r="AM277" s="1362">
        <f t="shared" si="248"/>
        <v>5571.0869759999987</v>
      </c>
      <c r="AN277" s="1132" t="str">
        <f t="shared" si="214"/>
        <v>C247</v>
      </c>
      <c r="AO277" s="1132" t="str">
        <f t="shared" si="215"/>
        <v>Nicor Gas PY11-PY14 Adjustable Goals Template_2025-03-01, Tab 4.4.14</v>
      </c>
      <c r="AP277" s="2505">
        <f>'4.4.14'!$T$26</f>
        <v>7.7009999999999987</v>
      </c>
      <c r="AQ277" s="2505"/>
      <c r="AR277" s="2505">
        <f t="shared" si="216"/>
        <v>1392.7717439999997</v>
      </c>
      <c r="AS277" s="2247">
        <f t="shared" si="217"/>
        <v>0</v>
      </c>
      <c r="AT277" s="1132" t="str">
        <f t="shared" si="218"/>
        <v>C247</v>
      </c>
      <c r="AU277" s="1132" t="str">
        <f t="shared" si="219"/>
        <v>Nicor Gas PY11-PY14 Adjustable Goals Template_2025-03-01, Tab 4.4.14</v>
      </c>
      <c r="AV277" s="2505">
        <f>'4.4.14'!$T$26</f>
        <v>7.7009999999999987</v>
      </c>
      <c r="AW277" s="2505"/>
      <c r="AX277" s="1362">
        <f t="shared" si="220"/>
        <v>1392.7717439999997</v>
      </c>
      <c r="AY277" s="1360">
        <f t="shared" si="221"/>
        <v>0</v>
      </c>
      <c r="AZ277" s="1132" t="str">
        <f t="shared" si="222"/>
        <v>C247</v>
      </c>
      <c r="BA277" s="1132" t="str">
        <f t="shared" si="223"/>
        <v>Nicor Gas PY11-PY14 Adjustable Goals Template_2025-03-01, Tab 4.4.14</v>
      </c>
      <c r="BB277" s="2505">
        <f>'4.4.14'!$T$26</f>
        <v>7.7009999999999987</v>
      </c>
      <c r="BC277" s="2505"/>
      <c r="BD277" s="1362">
        <f t="shared" si="224"/>
        <v>1392.7717439999997</v>
      </c>
      <c r="BE277" s="1360">
        <f t="shared" si="225"/>
        <v>0</v>
      </c>
      <c r="BF277" s="1132" t="str">
        <f t="shared" si="226"/>
        <v>C247</v>
      </c>
      <c r="BG277" s="1132" t="str">
        <f t="shared" si="227"/>
        <v>Nicor Gas PY11-PY14 Adjustable Goals Template_2025-03-01, Tab 4.4.14</v>
      </c>
      <c r="BH277" s="2505">
        <f>'4.4.14'!$T$26</f>
        <v>7.7009999999999987</v>
      </c>
      <c r="BI277" s="2505"/>
      <c r="BJ277" s="1362">
        <f t="shared" si="249"/>
        <v>1392.7717439999997</v>
      </c>
      <c r="BK277" s="1360">
        <f t="shared" si="228"/>
        <v>0</v>
      </c>
      <c r="BL277" s="1601">
        <f t="shared" si="229"/>
        <v>1392.7717439999997</v>
      </c>
      <c r="BM277" s="1601">
        <f t="shared" si="230"/>
        <v>1392.7717439999997</v>
      </c>
      <c r="BN277" s="1601">
        <f t="shared" si="231"/>
        <v>1392.7717439999997</v>
      </c>
      <c r="BO277" s="1601">
        <f t="shared" si="232"/>
        <v>1392.7717439999997</v>
      </c>
      <c r="BP277" s="1602">
        <f t="shared" si="233"/>
        <v>5571.0869759999987</v>
      </c>
      <c r="BQ277" s="1602"/>
      <c r="BR277" s="1602" t="s">
        <v>336</v>
      </c>
      <c r="BS277" s="1602">
        <v>0</v>
      </c>
      <c r="BT277" s="1602">
        <v>15</v>
      </c>
      <c r="BU277" s="1602">
        <v>15</v>
      </c>
      <c r="BV277" s="1602">
        <v>15</v>
      </c>
      <c r="BW277" s="1602">
        <v>15</v>
      </c>
      <c r="BX277" s="1362">
        <f t="shared" si="250"/>
        <v>20891.576159999997</v>
      </c>
      <c r="BY277" s="1362">
        <f t="shared" si="251"/>
        <v>20891.576159999997</v>
      </c>
      <c r="BZ277" s="1362">
        <f t="shared" si="252"/>
        <v>20891.576159999997</v>
      </c>
      <c r="CA277" s="1362">
        <f t="shared" si="253"/>
        <v>20891.576159999997</v>
      </c>
      <c r="CB277" s="1362">
        <f t="shared" si="254"/>
        <v>83566.304639999988</v>
      </c>
      <c r="CC277" s="1360">
        <v>15</v>
      </c>
      <c r="CD277" s="1360">
        <v>15</v>
      </c>
      <c r="CE277" s="1360">
        <v>15</v>
      </c>
      <c r="CF277" s="1360">
        <v>15</v>
      </c>
      <c r="CG277" s="1604">
        <f t="shared" si="234"/>
        <v>20891.576159999997</v>
      </c>
      <c r="CH277" s="1604">
        <f t="shared" si="235"/>
        <v>20891.576159999997</v>
      </c>
      <c r="CI277" s="1604">
        <f t="shared" si="236"/>
        <v>20891.576159999997</v>
      </c>
      <c r="CJ277" s="1604">
        <f t="shared" si="237"/>
        <v>20891.576159999997</v>
      </c>
      <c r="CK277" s="1521">
        <f t="shared" si="238"/>
        <v>83566.304639999988</v>
      </c>
      <c r="CL277" s="1132">
        <v>270</v>
      </c>
      <c r="CM277" s="1132" t="s">
        <v>606</v>
      </c>
      <c r="CN277" s="1359">
        <v>1</v>
      </c>
      <c r="CO277" s="1360">
        <v>171.28179509154657</v>
      </c>
      <c r="CP277" s="1360">
        <v>171.28179509154657</v>
      </c>
      <c r="CQ277" s="1360">
        <v>171.28179509154657</v>
      </c>
      <c r="CR277" s="1360">
        <v>171.28179509154657</v>
      </c>
      <c r="CS277" s="1362">
        <f t="shared" si="239"/>
        <v>1319.0411039999999</v>
      </c>
      <c r="CT277" s="1362">
        <f t="shared" si="240"/>
        <v>1319.0411039999999</v>
      </c>
      <c r="CU277" s="1362">
        <f t="shared" si="241"/>
        <v>1319.0411039999999</v>
      </c>
      <c r="CV277" s="1362">
        <f t="shared" si="242"/>
        <v>1319.0411039999999</v>
      </c>
      <c r="CW277" s="1362">
        <f t="shared" si="243"/>
        <v>5276.1644159999996</v>
      </c>
      <c r="CY277" s="2887"/>
      <c r="DN277" s="1715"/>
    </row>
    <row r="278" spans="1:118" s="1143" customFormat="1" ht="46.5" x14ac:dyDescent="0.35">
      <c r="A278" s="1132" t="s">
        <v>110</v>
      </c>
      <c r="B278" s="1132" t="s">
        <v>722</v>
      </c>
      <c r="C278" s="1132" t="s">
        <v>763</v>
      </c>
      <c r="D278" s="1359" t="s">
        <v>764</v>
      </c>
      <c r="E278" s="1359">
        <v>1</v>
      </c>
      <c r="F278" s="2564" t="s">
        <v>489</v>
      </c>
      <c r="G278" s="1132" t="s">
        <v>356</v>
      </c>
      <c r="H278" s="1360">
        <v>2514.7205886642205</v>
      </c>
      <c r="I278" s="1360">
        <v>2514.7205886642205</v>
      </c>
      <c r="J278" s="1360">
        <v>2514.7205886642205</v>
      </c>
      <c r="K278" s="1360">
        <v>2514.7205886642205</v>
      </c>
      <c r="L278" s="1132" t="s">
        <v>765</v>
      </c>
      <c r="M278" s="1132" t="str">
        <f t="shared" si="205"/>
        <v>Nicor Gas PY11-PY14 Adjustable Goals Template_2025-03-01, Tab 4.3.8</v>
      </c>
      <c r="N278" s="2510">
        <v>62.687100553999997</v>
      </c>
      <c r="O278" s="1361">
        <v>62.687100553999997</v>
      </c>
      <c r="P278" s="1361">
        <v>62.687100553999997</v>
      </c>
      <c r="Q278" s="1361">
        <v>62.687100553999997</v>
      </c>
      <c r="R278" s="1781">
        <v>1</v>
      </c>
      <c r="S278" s="1781">
        <v>1</v>
      </c>
      <c r="T278" s="1781">
        <v>1</v>
      </c>
      <c r="U278" s="1781">
        <v>1</v>
      </c>
      <c r="V278" s="1781">
        <v>1</v>
      </c>
      <c r="W278" s="1781">
        <v>1</v>
      </c>
      <c r="X278" s="1781">
        <v>1</v>
      </c>
      <c r="Y278" s="1781">
        <v>1</v>
      </c>
      <c r="Z278" s="1359">
        <v>0</v>
      </c>
      <c r="AA278" s="1781">
        <f t="shared" si="206"/>
        <v>1</v>
      </c>
      <c r="AB278" s="1781">
        <f t="shared" si="207"/>
        <v>1</v>
      </c>
      <c r="AC278" s="1781">
        <f t="shared" si="208"/>
        <v>1</v>
      </c>
      <c r="AD278" s="1781">
        <f t="shared" si="209"/>
        <v>1</v>
      </c>
      <c r="AE278" s="1781">
        <f t="shared" si="210"/>
        <v>1</v>
      </c>
      <c r="AF278" s="1781">
        <f t="shared" si="211"/>
        <v>1</v>
      </c>
      <c r="AG278" s="1781">
        <f t="shared" si="212"/>
        <v>1</v>
      </c>
      <c r="AH278" s="1781">
        <f t="shared" si="213"/>
        <v>1</v>
      </c>
      <c r="AI278" s="1362">
        <f t="shared" si="244"/>
        <v>157640.54240680806</v>
      </c>
      <c r="AJ278" s="1362">
        <f t="shared" si="245"/>
        <v>157640.54240680806</v>
      </c>
      <c r="AK278" s="1362">
        <f t="shared" si="246"/>
        <v>157640.54240680806</v>
      </c>
      <c r="AL278" s="1362">
        <f t="shared" si="247"/>
        <v>157640.54240680806</v>
      </c>
      <c r="AM278" s="1362">
        <f t="shared" si="248"/>
        <v>630562.16962723224</v>
      </c>
      <c r="AN278" s="1132" t="str">
        <f t="shared" si="214"/>
        <v>C248</v>
      </c>
      <c r="AO278" s="1132" t="str">
        <f t="shared" si="215"/>
        <v>Nicor Gas PY11-PY14 Adjustable Goals Template_2025-03-01, Tab 4.3.8</v>
      </c>
      <c r="AP278" s="2507">
        <f>'4.3.8'!$M$9</f>
        <v>62.687100553999997</v>
      </c>
      <c r="AQ278" s="2531"/>
      <c r="AR278" s="2505">
        <f t="shared" si="216"/>
        <v>157640.54240680806</v>
      </c>
      <c r="AS278" s="2247">
        <f t="shared" si="217"/>
        <v>0</v>
      </c>
      <c r="AT278" s="1132" t="str">
        <f t="shared" si="218"/>
        <v>C248</v>
      </c>
      <c r="AU278" s="1132" t="str">
        <f t="shared" si="219"/>
        <v>Nicor Gas PY11-PY14 Adjustable Goals Template_2025-03-01, Tab 4.3.8</v>
      </c>
      <c r="AV278" s="2507">
        <f>'4.3.8'!$M$9</f>
        <v>62.687100553999997</v>
      </c>
      <c r="AW278" s="2531"/>
      <c r="AX278" s="1362">
        <f t="shared" si="220"/>
        <v>157640.54240680806</v>
      </c>
      <c r="AY278" s="1360">
        <f t="shared" si="221"/>
        <v>0</v>
      </c>
      <c r="AZ278" s="1132" t="str">
        <f t="shared" si="222"/>
        <v>C248</v>
      </c>
      <c r="BA278" s="1132" t="str">
        <f t="shared" si="223"/>
        <v>Nicor Gas PY11-PY14 Adjustable Goals Template_2025-03-01, Tab 4.3.8</v>
      </c>
      <c r="BB278" s="2507">
        <f>'4.3.8'!$M$9</f>
        <v>62.687100553999997</v>
      </c>
      <c r="BC278" s="2531"/>
      <c r="BD278" s="1362">
        <f t="shared" si="224"/>
        <v>157640.54240680806</v>
      </c>
      <c r="BE278" s="1360">
        <f t="shared" si="225"/>
        <v>0</v>
      </c>
      <c r="BF278" s="1132" t="str">
        <f t="shared" si="226"/>
        <v>C248</v>
      </c>
      <c r="BG278" s="1132" t="str">
        <f t="shared" si="227"/>
        <v>Nicor Gas PY11-PY14 Adjustable Goals Template_2025-03-01, Tab 4.3.8</v>
      </c>
      <c r="BH278" s="2507">
        <f>'4.3.8'!$M$9</f>
        <v>62.687100553999997</v>
      </c>
      <c r="BI278" s="2531"/>
      <c r="BJ278" s="1362">
        <f t="shared" si="249"/>
        <v>157640.54240680806</v>
      </c>
      <c r="BK278" s="1360">
        <f t="shared" si="228"/>
        <v>0</v>
      </c>
      <c r="BL278" s="1601">
        <f t="shared" si="229"/>
        <v>157640.54240680806</v>
      </c>
      <c r="BM278" s="1601">
        <f t="shared" si="230"/>
        <v>157640.54240680806</v>
      </c>
      <c r="BN278" s="1601">
        <f t="shared" si="231"/>
        <v>157640.54240680806</v>
      </c>
      <c r="BO278" s="1601">
        <f t="shared" si="232"/>
        <v>157640.54240680806</v>
      </c>
      <c r="BP278" s="1602">
        <f t="shared" si="233"/>
        <v>630562.16962723224</v>
      </c>
      <c r="BQ278" s="1602"/>
      <c r="BR278" s="1602" t="s">
        <v>489</v>
      </c>
      <c r="BS278" s="1602">
        <v>0</v>
      </c>
      <c r="BT278" s="1602">
        <v>15</v>
      </c>
      <c r="BU278" s="1602">
        <v>15</v>
      </c>
      <c r="BV278" s="1602">
        <v>15</v>
      </c>
      <c r="BW278" s="1602">
        <v>15</v>
      </c>
      <c r="BX278" s="1362">
        <f t="shared" si="250"/>
        <v>2364608.1361021209</v>
      </c>
      <c r="BY278" s="1362">
        <f t="shared" si="251"/>
        <v>2364608.1361021209</v>
      </c>
      <c r="BZ278" s="1362">
        <f t="shared" si="252"/>
        <v>2364608.1361021209</v>
      </c>
      <c r="CA278" s="1362">
        <f t="shared" si="253"/>
        <v>2364608.1361021209</v>
      </c>
      <c r="CB278" s="1362">
        <f t="shared" si="254"/>
        <v>9458432.5444084834</v>
      </c>
      <c r="CC278" s="1360">
        <v>15</v>
      </c>
      <c r="CD278" s="1360">
        <v>15</v>
      </c>
      <c r="CE278" s="1360">
        <v>15</v>
      </c>
      <c r="CF278" s="1360">
        <v>15</v>
      </c>
      <c r="CG278" s="1604">
        <f t="shared" si="234"/>
        <v>2364608.1361021209</v>
      </c>
      <c r="CH278" s="1604">
        <f t="shared" si="235"/>
        <v>2364608.1361021209</v>
      </c>
      <c r="CI278" s="1604">
        <f t="shared" si="236"/>
        <v>2364608.1361021209</v>
      </c>
      <c r="CJ278" s="1604">
        <f t="shared" si="237"/>
        <v>2364608.1361021209</v>
      </c>
      <c r="CK278" s="1521">
        <f t="shared" si="238"/>
        <v>9458432.5444084834</v>
      </c>
      <c r="CL278" s="1132">
        <v>271</v>
      </c>
      <c r="CM278" s="1132" t="s">
        <v>356</v>
      </c>
      <c r="CN278" s="1359">
        <v>1</v>
      </c>
      <c r="CO278" s="1360">
        <v>2381.5961486961237</v>
      </c>
      <c r="CP278" s="1360">
        <v>2381.5961486961237</v>
      </c>
      <c r="CQ278" s="1360">
        <v>2381.5961486961237</v>
      </c>
      <c r="CR278" s="1360">
        <v>2381.5961486961237</v>
      </c>
      <c r="CS278" s="1362">
        <f t="shared" si="239"/>
        <v>149295.35725233302</v>
      </c>
      <c r="CT278" s="1362">
        <f t="shared" si="240"/>
        <v>149295.35725233302</v>
      </c>
      <c r="CU278" s="1362">
        <f t="shared" si="241"/>
        <v>149295.35725233302</v>
      </c>
      <c r="CV278" s="1362">
        <f t="shared" si="242"/>
        <v>149295.35725233302</v>
      </c>
      <c r="CW278" s="1362">
        <f t="shared" si="243"/>
        <v>597181.42900933209</v>
      </c>
      <c r="CY278" s="2887"/>
    </row>
    <row r="279" spans="1:118" s="1143" customFormat="1" ht="61.5" customHeight="1" x14ac:dyDescent="0.35">
      <c r="A279" s="1132" t="s">
        <v>110</v>
      </c>
      <c r="B279" s="1132" t="s">
        <v>722</v>
      </c>
      <c r="C279" s="1132" t="s">
        <v>766</v>
      </c>
      <c r="D279" s="1359" t="s">
        <v>767</v>
      </c>
      <c r="E279" s="1359">
        <v>1</v>
      </c>
      <c r="F279" s="2564" t="s">
        <v>768</v>
      </c>
      <c r="G279" s="1132" t="s">
        <v>356</v>
      </c>
      <c r="H279" s="1360">
        <v>278.59671392013331</v>
      </c>
      <c r="I279" s="1360">
        <v>278.59671392013331</v>
      </c>
      <c r="J279" s="1360">
        <v>278.59671392013331</v>
      </c>
      <c r="K279" s="1360">
        <v>278.59671392013331</v>
      </c>
      <c r="L279" s="1132" t="s">
        <v>769</v>
      </c>
      <c r="M279" s="1132" t="str">
        <f t="shared" si="205"/>
        <v>Nicor Gas PY11-PY14 Adjustable Goals Template_2025-03-01, Tab 4.4.36</v>
      </c>
      <c r="N279" s="1361">
        <v>50.408999999999999</v>
      </c>
      <c r="O279" s="1361">
        <v>50.408999999999999</v>
      </c>
      <c r="P279" s="1361">
        <v>50.408999999999999</v>
      </c>
      <c r="Q279" s="1361">
        <v>50.408999999999999</v>
      </c>
      <c r="R279" s="1781">
        <v>1</v>
      </c>
      <c r="S279" s="1781">
        <v>1</v>
      </c>
      <c r="T279" s="1781">
        <v>1</v>
      </c>
      <c r="U279" s="1781">
        <v>1</v>
      </c>
      <c r="V279" s="1781">
        <v>1</v>
      </c>
      <c r="W279" s="1781">
        <v>1</v>
      </c>
      <c r="X279" s="1781">
        <v>1</v>
      </c>
      <c r="Y279" s="1781">
        <v>1</v>
      </c>
      <c r="Z279" s="1359">
        <v>0</v>
      </c>
      <c r="AA279" s="1781">
        <f t="shared" si="206"/>
        <v>1</v>
      </c>
      <c r="AB279" s="1781">
        <f t="shared" si="207"/>
        <v>1</v>
      </c>
      <c r="AC279" s="1781">
        <f t="shared" si="208"/>
        <v>1</v>
      </c>
      <c r="AD279" s="1781">
        <f t="shared" si="209"/>
        <v>1</v>
      </c>
      <c r="AE279" s="1781">
        <f t="shared" si="210"/>
        <v>1</v>
      </c>
      <c r="AF279" s="1781">
        <f t="shared" si="211"/>
        <v>1</v>
      </c>
      <c r="AG279" s="1781">
        <f t="shared" si="212"/>
        <v>1</v>
      </c>
      <c r="AH279" s="1781">
        <f t="shared" si="213"/>
        <v>1</v>
      </c>
      <c r="AI279" s="1362">
        <f t="shared" si="244"/>
        <v>14043.781751999999</v>
      </c>
      <c r="AJ279" s="1362">
        <f t="shared" si="245"/>
        <v>14043.781751999999</v>
      </c>
      <c r="AK279" s="1362">
        <f t="shared" si="246"/>
        <v>14043.781751999999</v>
      </c>
      <c r="AL279" s="1362">
        <f t="shared" si="247"/>
        <v>14043.781751999999</v>
      </c>
      <c r="AM279" s="1362">
        <f t="shared" si="248"/>
        <v>56175.127007999996</v>
      </c>
      <c r="AN279" s="1132" t="str">
        <f t="shared" si="214"/>
        <v>C249</v>
      </c>
      <c r="AO279" s="1132" t="str">
        <f t="shared" si="215"/>
        <v>Nicor Gas PY11-PY14 Adjustable Goals Template_2025-03-01, Tab 4.4.36</v>
      </c>
      <c r="AP279" s="2247">
        <f>'4.4.36'!$O$4</f>
        <v>50.408999999999999</v>
      </c>
      <c r="AQ279" s="2505"/>
      <c r="AR279" s="2505">
        <f t="shared" si="216"/>
        <v>14043.781751999999</v>
      </c>
      <c r="AS279" s="2505">
        <f t="shared" si="217"/>
        <v>0</v>
      </c>
      <c r="AT279" s="1132" t="str">
        <f t="shared" si="218"/>
        <v>C249</v>
      </c>
      <c r="AU279" s="1132" t="str">
        <f t="shared" si="219"/>
        <v>Nicor Gas PY11-PY14 Adjustable Goals Template_2025-03-01, Tab 4.4.36</v>
      </c>
      <c r="AV279" s="2247">
        <f>'4.4.36'!$O$4</f>
        <v>50.408999999999999</v>
      </c>
      <c r="AW279" s="2505"/>
      <c r="AX279" s="1362">
        <f t="shared" si="220"/>
        <v>14043.781751999999</v>
      </c>
      <c r="AY279" s="1360">
        <f t="shared" si="221"/>
        <v>0</v>
      </c>
      <c r="AZ279" s="1132" t="str">
        <f t="shared" si="222"/>
        <v>C249</v>
      </c>
      <c r="BA279" s="1132" t="str">
        <f t="shared" si="223"/>
        <v>Nicor Gas PY11-PY14 Adjustable Goals Template_2025-03-01, Tab 4.4.36</v>
      </c>
      <c r="BB279" s="2247">
        <f>'4.4.36'!$O$4</f>
        <v>50.408999999999999</v>
      </c>
      <c r="BC279" s="2505"/>
      <c r="BD279" s="1362">
        <f t="shared" si="224"/>
        <v>14043.781751999999</v>
      </c>
      <c r="BE279" s="1360">
        <f t="shared" si="225"/>
        <v>0</v>
      </c>
      <c r="BF279" s="1132" t="str">
        <f t="shared" si="226"/>
        <v>C249</v>
      </c>
      <c r="BG279" s="1132" t="str">
        <f t="shared" si="227"/>
        <v>Nicor Gas PY11-PY14 Adjustable Goals Template_2025-03-01, Tab 4.4.36</v>
      </c>
      <c r="BH279" s="2247">
        <f>'4.4.36'!$O$4</f>
        <v>50.408999999999999</v>
      </c>
      <c r="BI279" s="2505"/>
      <c r="BJ279" s="1362">
        <f t="shared" si="249"/>
        <v>14043.781751999999</v>
      </c>
      <c r="BK279" s="1360">
        <f t="shared" si="228"/>
        <v>0</v>
      </c>
      <c r="BL279" s="1601">
        <f t="shared" si="229"/>
        <v>14043.781751999999</v>
      </c>
      <c r="BM279" s="1601">
        <f t="shared" si="230"/>
        <v>14043.781751999999</v>
      </c>
      <c r="BN279" s="1601">
        <f t="shared" si="231"/>
        <v>14043.781751999999</v>
      </c>
      <c r="BO279" s="1601">
        <f t="shared" si="232"/>
        <v>14043.781751999999</v>
      </c>
      <c r="BP279" s="1602">
        <f t="shared" si="233"/>
        <v>56175.127007999996</v>
      </c>
      <c r="BQ279" s="1602"/>
      <c r="BR279" s="1602" t="s">
        <v>768</v>
      </c>
      <c r="BS279" s="1602">
        <v>0</v>
      </c>
      <c r="BT279" s="1602">
        <v>15</v>
      </c>
      <c r="BU279" s="1602">
        <v>15</v>
      </c>
      <c r="BV279" s="1602">
        <v>15</v>
      </c>
      <c r="BW279" s="1602">
        <v>15</v>
      </c>
      <c r="BX279" s="1362">
        <f t="shared" si="250"/>
        <v>210656.72627999997</v>
      </c>
      <c r="BY279" s="1362">
        <f t="shared" si="251"/>
        <v>210656.72627999997</v>
      </c>
      <c r="BZ279" s="1362">
        <f t="shared" si="252"/>
        <v>210656.72627999997</v>
      </c>
      <c r="CA279" s="1362">
        <f t="shared" si="253"/>
        <v>210656.72627999997</v>
      </c>
      <c r="CB279" s="1362">
        <f t="shared" si="254"/>
        <v>842626.90511999989</v>
      </c>
      <c r="CC279" s="1360">
        <v>15</v>
      </c>
      <c r="CD279" s="1360">
        <v>15</v>
      </c>
      <c r="CE279" s="1360">
        <v>15</v>
      </c>
      <c r="CF279" s="1360">
        <v>15</v>
      </c>
      <c r="CG279" s="1604">
        <f t="shared" si="234"/>
        <v>210656.72627999997</v>
      </c>
      <c r="CH279" s="1604">
        <f t="shared" si="235"/>
        <v>210656.72627999997</v>
      </c>
      <c r="CI279" s="1604">
        <f t="shared" si="236"/>
        <v>210656.72627999997</v>
      </c>
      <c r="CJ279" s="1604">
        <f t="shared" si="237"/>
        <v>210656.72627999997</v>
      </c>
      <c r="CK279" s="1521">
        <f t="shared" si="238"/>
        <v>842626.90511999989</v>
      </c>
      <c r="CL279" s="1132">
        <v>272</v>
      </c>
      <c r="CM279" s="1132" t="s">
        <v>356</v>
      </c>
      <c r="CN279" s="1359">
        <v>1</v>
      </c>
      <c r="CO279" s="1360">
        <v>263.8483431926839</v>
      </c>
      <c r="CP279" s="1360">
        <v>263.8483431926839</v>
      </c>
      <c r="CQ279" s="1360">
        <v>263.8483431926839</v>
      </c>
      <c r="CR279" s="1360">
        <v>263.8483431926839</v>
      </c>
      <c r="CS279" s="1362">
        <f t="shared" si="239"/>
        <v>13300.331132000003</v>
      </c>
      <c r="CT279" s="1362">
        <f t="shared" si="240"/>
        <v>13300.331132000003</v>
      </c>
      <c r="CU279" s="1362">
        <f t="shared" si="241"/>
        <v>13300.331132000003</v>
      </c>
      <c r="CV279" s="1362">
        <f t="shared" si="242"/>
        <v>13300.331132000003</v>
      </c>
      <c r="CW279" s="1362">
        <f t="shared" si="243"/>
        <v>53201.324528000012</v>
      </c>
      <c r="CY279" s="2887"/>
    </row>
    <row r="280" spans="1:118" s="1143" customFormat="1" ht="61.5" customHeight="1" x14ac:dyDescent="0.35">
      <c r="A280" s="1132" t="s">
        <v>110</v>
      </c>
      <c r="B280" s="1132" t="s">
        <v>722</v>
      </c>
      <c r="C280" s="1132" t="s">
        <v>770</v>
      </c>
      <c r="D280" s="1359" t="s">
        <v>771</v>
      </c>
      <c r="E280" s="1359">
        <v>1</v>
      </c>
      <c r="F280" s="2807" t="s">
        <v>772</v>
      </c>
      <c r="G280" s="1132" t="s">
        <v>356</v>
      </c>
      <c r="H280" s="1360">
        <v>4.6425724800000001</v>
      </c>
      <c r="I280" s="1360">
        <v>4.6425724800000001</v>
      </c>
      <c r="J280" s="1360">
        <v>4.6425724800000001</v>
      </c>
      <c r="K280" s="1360">
        <v>4.6425724800000001</v>
      </c>
      <c r="L280" s="1132" t="s">
        <v>773</v>
      </c>
      <c r="M280" s="1132" t="str">
        <f t="shared" si="205"/>
        <v>Nicor Gas PY11-PY14 Adjustable Goals Template_2025-03-01, Tab 5.4.11</v>
      </c>
      <c r="N280" s="1361">
        <v>93.772701509759997</v>
      </c>
      <c r="O280" s="1361">
        <v>93.772701509759997</v>
      </c>
      <c r="P280" s="1361">
        <v>93.772701509759997</v>
      </c>
      <c r="Q280" s="1361">
        <v>93.772701509759997</v>
      </c>
      <c r="R280" s="1781">
        <v>1</v>
      </c>
      <c r="S280" s="1781">
        <v>1</v>
      </c>
      <c r="T280" s="1781">
        <v>1</v>
      </c>
      <c r="U280" s="1781">
        <v>1</v>
      </c>
      <c r="V280" s="1781">
        <v>1</v>
      </c>
      <c r="W280" s="1781">
        <v>1</v>
      </c>
      <c r="X280" s="1781">
        <v>1</v>
      </c>
      <c r="Y280" s="1781">
        <v>1</v>
      </c>
      <c r="Z280" s="1359">
        <v>0</v>
      </c>
      <c r="AA280" s="1781">
        <f t="shared" si="206"/>
        <v>1</v>
      </c>
      <c r="AB280" s="1781">
        <f t="shared" si="207"/>
        <v>1</v>
      </c>
      <c r="AC280" s="1781">
        <f t="shared" si="208"/>
        <v>1</v>
      </c>
      <c r="AD280" s="1781">
        <f t="shared" si="209"/>
        <v>1</v>
      </c>
      <c r="AE280" s="1781">
        <f t="shared" si="210"/>
        <v>1</v>
      </c>
      <c r="AF280" s="1781">
        <f t="shared" si="211"/>
        <v>1</v>
      </c>
      <c r="AG280" s="1781">
        <f t="shared" si="212"/>
        <v>1</v>
      </c>
      <c r="AH280" s="1781">
        <f t="shared" si="213"/>
        <v>1</v>
      </c>
      <c r="AI280" s="1362">
        <f t="shared" si="244"/>
        <v>435.34656340446622</v>
      </c>
      <c r="AJ280" s="1362">
        <f t="shared" si="245"/>
        <v>435.34656340446622</v>
      </c>
      <c r="AK280" s="1362">
        <f t="shared" si="246"/>
        <v>435.34656340446622</v>
      </c>
      <c r="AL280" s="1362">
        <f t="shared" si="247"/>
        <v>435.34656340446622</v>
      </c>
      <c r="AM280" s="1362">
        <f t="shared" si="248"/>
        <v>1741.3862536178649</v>
      </c>
      <c r="AN280" s="1132" t="str">
        <f t="shared" si="214"/>
        <v>RS-DHW-DWHR-V01-210101</v>
      </c>
      <c r="AO280" s="1132" t="str">
        <f t="shared" si="215"/>
        <v>Nicor Gas PY11-PY14 Adjustable Goals Template_2025-03-01, Tab 5.4.11</v>
      </c>
      <c r="AP280" s="2738">
        <f>'5.4.11'!$P$4</f>
        <v>100.57072251473197</v>
      </c>
      <c r="AQ280" s="2568" t="s">
        <v>481</v>
      </c>
      <c r="AR280" s="2505">
        <f t="shared" si="216"/>
        <v>466.90686864061104</v>
      </c>
      <c r="AS280" s="2505">
        <f t="shared" si="217"/>
        <v>31.560305236144814</v>
      </c>
      <c r="AT280" s="1132" t="str">
        <f t="shared" si="218"/>
        <v>RS-DHW-DWHR-V01-210101</v>
      </c>
      <c r="AU280" s="1132" t="str">
        <f t="shared" si="219"/>
        <v>Nicor Gas PY11-PY14 Adjustable Goals Template_2025-03-01, Tab 5.4.11</v>
      </c>
      <c r="AV280" s="2247">
        <f>'5.4.11'!$P$4</f>
        <v>100.57072251473197</v>
      </c>
      <c r="AW280" s="2568" t="s">
        <v>481</v>
      </c>
      <c r="AX280" s="1362">
        <f t="shared" si="220"/>
        <v>466.90686864061104</v>
      </c>
      <c r="AY280" s="1360">
        <f t="shared" si="221"/>
        <v>31.560305236144814</v>
      </c>
      <c r="AZ280" s="1132" t="str">
        <f t="shared" si="222"/>
        <v>RS-DHW-DWHR-V01-210101</v>
      </c>
      <c r="BA280" s="1132" t="str">
        <f t="shared" si="223"/>
        <v>Nicor Gas PY11-PY14 Adjustable Goals Template_2025-03-01, Tab 5.4.11</v>
      </c>
      <c r="BB280" s="2247">
        <f>'5.4.11'!$P$4</f>
        <v>100.57072251473197</v>
      </c>
      <c r="BC280" s="2568" t="s">
        <v>481</v>
      </c>
      <c r="BD280" s="1362">
        <f t="shared" si="224"/>
        <v>466.90686864061104</v>
      </c>
      <c r="BE280" s="1360">
        <f t="shared" si="225"/>
        <v>31.560305236144814</v>
      </c>
      <c r="BF280" s="1132" t="str">
        <f t="shared" si="226"/>
        <v>RS-DHW-DWHR-V01-210101</v>
      </c>
      <c r="BG280" s="1132" t="str">
        <f t="shared" si="227"/>
        <v>Nicor Gas PY11-PY14 Adjustable Goals Template_2025-03-01, Tab 5.4.11</v>
      </c>
      <c r="BH280" s="2247">
        <f>'5.4.11'!$P$4</f>
        <v>100.57072251473197</v>
      </c>
      <c r="BI280" s="2568" t="s">
        <v>481</v>
      </c>
      <c r="BJ280" s="1362">
        <f t="shared" si="249"/>
        <v>466.90686864061104</v>
      </c>
      <c r="BK280" s="1360">
        <f t="shared" si="228"/>
        <v>31.560305236144814</v>
      </c>
      <c r="BL280" s="1601">
        <f t="shared" si="229"/>
        <v>466.90686864061104</v>
      </c>
      <c r="BM280" s="1601">
        <f t="shared" si="230"/>
        <v>466.90686864061104</v>
      </c>
      <c r="BN280" s="1601">
        <f t="shared" si="231"/>
        <v>466.90686864061104</v>
      </c>
      <c r="BO280" s="1601">
        <f t="shared" si="232"/>
        <v>466.90686864061104</v>
      </c>
      <c r="BP280" s="1602">
        <f t="shared" si="233"/>
        <v>1867.6274745624441</v>
      </c>
      <c r="BQ280" s="1602"/>
      <c r="BR280" s="1602" t="s">
        <v>772</v>
      </c>
      <c r="BS280" s="1602">
        <v>0</v>
      </c>
      <c r="BT280" s="1602">
        <v>30</v>
      </c>
      <c r="BU280" s="1602">
        <v>30</v>
      </c>
      <c r="BV280" s="1602">
        <v>30</v>
      </c>
      <c r="BW280" s="1602">
        <v>30</v>
      </c>
      <c r="BX280" s="1362">
        <f t="shared" si="250"/>
        <v>13060.396902133987</v>
      </c>
      <c r="BY280" s="1362">
        <f t="shared" si="251"/>
        <v>13060.396902133987</v>
      </c>
      <c r="BZ280" s="1362">
        <f t="shared" si="252"/>
        <v>13060.396902133987</v>
      </c>
      <c r="CA280" s="1362">
        <f t="shared" si="253"/>
        <v>13060.396902133987</v>
      </c>
      <c r="CB280" s="1362">
        <f t="shared" si="254"/>
        <v>52241.587608535949</v>
      </c>
      <c r="CC280" s="1360">
        <v>30</v>
      </c>
      <c r="CD280" s="1360">
        <v>30</v>
      </c>
      <c r="CE280" s="1360">
        <v>30</v>
      </c>
      <c r="CF280" s="1360">
        <v>30</v>
      </c>
      <c r="CG280" s="1604">
        <f t="shared" si="234"/>
        <v>14007.206059218332</v>
      </c>
      <c r="CH280" s="1604">
        <f t="shared" si="235"/>
        <v>14007.206059218332</v>
      </c>
      <c r="CI280" s="1604">
        <f t="shared" si="236"/>
        <v>14007.206059218332</v>
      </c>
      <c r="CJ280" s="1604">
        <f t="shared" si="237"/>
        <v>14007.206059218332</v>
      </c>
      <c r="CK280" s="1521">
        <f t="shared" si="238"/>
        <v>56028.824236873326</v>
      </c>
      <c r="CL280" s="1132">
        <v>273</v>
      </c>
      <c r="CM280" s="1132" t="s">
        <v>356</v>
      </c>
      <c r="CN280" s="1359">
        <v>1</v>
      </c>
      <c r="CO280" s="1360">
        <v>4.3968036800000005</v>
      </c>
      <c r="CP280" s="1360">
        <v>4.3968036800000005</v>
      </c>
      <c r="CQ280" s="1360">
        <v>4.3968036800000005</v>
      </c>
      <c r="CR280" s="1360">
        <v>4.3968036800000005</v>
      </c>
      <c r="CS280" s="1362">
        <f t="shared" si="239"/>
        <v>412.30015908165439</v>
      </c>
      <c r="CT280" s="1362">
        <f t="shared" si="240"/>
        <v>412.30015908165439</v>
      </c>
      <c r="CU280" s="1362">
        <f t="shared" si="241"/>
        <v>412.30015908165439</v>
      </c>
      <c r="CV280" s="1362">
        <f t="shared" si="242"/>
        <v>412.30015908165439</v>
      </c>
      <c r="CW280" s="1362">
        <f t="shared" si="243"/>
        <v>1649.2006363266175</v>
      </c>
      <c r="CY280" s="2887"/>
    </row>
    <row r="281" spans="1:118" s="1143" customFormat="1" ht="61.5" customHeight="1" x14ac:dyDescent="0.35">
      <c r="A281" s="1132" t="s">
        <v>110</v>
      </c>
      <c r="B281" s="1132" t="s">
        <v>722</v>
      </c>
      <c r="C281" s="1132" t="s">
        <v>581</v>
      </c>
      <c r="D281" s="1359" t="s">
        <v>582</v>
      </c>
      <c r="E281" s="1359">
        <v>1</v>
      </c>
      <c r="F281" s="2564" t="s">
        <v>583</v>
      </c>
      <c r="G281" s="1132" t="s">
        <v>328</v>
      </c>
      <c r="H281" s="1360">
        <v>2.3212862400000001</v>
      </c>
      <c r="I281" s="1360">
        <v>2.3212862400000001</v>
      </c>
      <c r="J281" s="1360">
        <v>2.3212862400000001</v>
      </c>
      <c r="K281" s="1360">
        <v>2.3212862400000001</v>
      </c>
      <c r="L281" s="1132" t="s">
        <v>584</v>
      </c>
      <c r="M281" s="1132" t="str">
        <f t="shared" si="205"/>
        <v>Nicor Gas PY11-PY14 Adjustable Goals Template_2025-03-01, Tab 4.4.49</v>
      </c>
      <c r="N281" s="1361">
        <v>288.1875</v>
      </c>
      <c r="O281" s="1361">
        <v>288.1875</v>
      </c>
      <c r="P281" s="1361">
        <v>288.1875</v>
      </c>
      <c r="Q281" s="1361">
        <v>288.1875</v>
      </c>
      <c r="R281" s="1781">
        <v>1</v>
      </c>
      <c r="S281" s="1781">
        <v>1</v>
      </c>
      <c r="T281" s="1781">
        <v>1</v>
      </c>
      <c r="U281" s="1781">
        <v>1</v>
      </c>
      <c r="V281" s="1781">
        <v>1</v>
      </c>
      <c r="W281" s="1781">
        <v>1</v>
      </c>
      <c r="X281" s="1781">
        <v>1</v>
      </c>
      <c r="Y281" s="1781">
        <v>1</v>
      </c>
      <c r="Z281" s="1359">
        <v>0</v>
      </c>
      <c r="AA281" s="1781">
        <f t="shared" si="206"/>
        <v>1</v>
      </c>
      <c r="AB281" s="1781">
        <f t="shared" si="207"/>
        <v>1</v>
      </c>
      <c r="AC281" s="1781">
        <f t="shared" si="208"/>
        <v>1</v>
      </c>
      <c r="AD281" s="1781">
        <f t="shared" si="209"/>
        <v>1</v>
      </c>
      <c r="AE281" s="1781">
        <f t="shared" si="210"/>
        <v>1</v>
      </c>
      <c r="AF281" s="1781">
        <f t="shared" si="211"/>
        <v>1</v>
      </c>
      <c r="AG281" s="1781">
        <f t="shared" si="212"/>
        <v>1</v>
      </c>
      <c r="AH281" s="1781">
        <f t="shared" si="213"/>
        <v>1</v>
      </c>
      <c r="AI281" s="1362">
        <f t="shared" si="244"/>
        <v>668.96567829000003</v>
      </c>
      <c r="AJ281" s="1362">
        <f t="shared" si="245"/>
        <v>668.96567829000003</v>
      </c>
      <c r="AK281" s="1362">
        <f t="shared" si="246"/>
        <v>668.96567829000003</v>
      </c>
      <c r="AL281" s="1362">
        <f t="shared" si="247"/>
        <v>668.96567829000003</v>
      </c>
      <c r="AM281" s="1362">
        <f t="shared" si="248"/>
        <v>2675.8627131600001</v>
      </c>
      <c r="AN281" s="1132" t="str">
        <f t="shared" si="214"/>
        <v>CI-HVC-BCHD-V01-210101</v>
      </c>
      <c r="AO281" s="1132" t="str">
        <f t="shared" si="215"/>
        <v>Nicor Gas PY11-PY14 Adjustable Goals Template_2025-03-01, Tab 4.4.49</v>
      </c>
      <c r="AP281" s="2505">
        <f>'4.4.49'!$Q$4</f>
        <v>288.1875</v>
      </c>
      <c r="AQ281" s="2505"/>
      <c r="AR281" s="2505">
        <f t="shared" si="216"/>
        <v>668.96567829000003</v>
      </c>
      <c r="AS281" s="2505">
        <f t="shared" si="217"/>
        <v>0</v>
      </c>
      <c r="AT281" s="1132" t="str">
        <f t="shared" si="218"/>
        <v>CI-HVC-BCHD-V01-210101</v>
      </c>
      <c r="AU281" s="1132" t="str">
        <f t="shared" si="219"/>
        <v>Nicor Gas PY11-PY14 Adjustable Goals Template_2025-03-01, Tab 4.4.49</v>
      </c>
      <c r="AV281" s="2505">
        <f>'4.4.49'!$Q$4</f>
        <v>288.1875</v>
      </c>
      <c r="AW281" s="2505"/>
      <c r="AX281" s="1362">
        <f t="shared" si="220"/>
        <v>668.96567829000003</v>
      </c>
      <c r="AY281" s="1360">
        <f t="shared" si="221"/>
        <v>0</v>
      </c>
      <c r="AZ281" s="1132" t="str">
        <f t="shared" si="222"/>
        <v>CI-HVC-BCHD-V01-210101</v>
      </c>
      <c r="BA281" s="1132" t="str">
        <f t="shared" si="223"/>
        <v>Nicor Gas PY11-PY14 Adjustable Goals Template_2025-03-01, Tab 4.4.49</v>
      </c>
      <c r="BB281" s="2505">
        <f>'4.4.49'!$Q$4</f>
        <v>288.1875</v>
      </c>
      <c r="BC281" s="2505"/>
      <c r="BD281" s="1362">
        <f t="shared" si="224"/>
        <v>668.96567829000003</v>
      </c>
      <c r="BE281" s="1360">
        <f t="shared" si="225"/>
        <v>0</v>
      </c>
      <c r="BF281" s="1132" t="str">
        <f t="shared" si="226"/>
        <v>CI-HVC-BCHD-V01-210101</v>
      </c>
      <c r="BG281" s="1132" t="str">
        <f t="shared" si="227"/>
        <v>Nicor Gas PY11-PY14 Adjustable Goals Template_2025-03-01, Tab 4.4.49</v>
      </c>
      <c r="BH281" s="2505">
        <f>'4.4.49'!$Q$4</f>
        <v>288.1875</v>
      </c>
      <c r="BI281" s="2505"/>
      <c r="BJ281" s="1362">
        <f t="shared" si="249"/>
        <v>668.96567829000003</v>
      </c>
      <c r="BK281" s="1360">
        <f t="shared" si="228"/>
        <v>0</v>
      </c>
      <c r="BL281" s="1601">
        <f t="shared" si="229"/>
        <v>668.96567829000003</v>
      </c>
      <c r="BM281" s="1601">
        <f t="shared" si="230"/>
        <v>668.96567829000003</v>
      </c>
      <c r="BN281" s="1601">
        <f t="shared" si="231"/>
        <v>668.96567829000003</v>
      </c>
      <c r="BO281" s="1601">
        <f t="shared" si="232"/>
        <v>668.96567829000003</v>
      </c>
      <c r="BP281" s="1602">
        <f t="shared" si="233"/>
        <v>2675.8627131600001</v>
      </c>
      <c r="BQ281" s="1602"/>
      <c r="BR281" s="1602" t="s">
        <v>583</v>
      </c>
      <c r="BS281" s="1602">
        <v>0</v>
      </c>
      <c r="BT281" s="1602">
        <v>2</v>
      </c>
      <c r="BU281" s="1602">
        <v>2</v>
      </c>
      <c r="BV281" s="1602">
        <v>2</v>
      </c>
      <c r="BW281" s="1602">
        <v>2</v>
      </c>
      <c r="BX281" s="1362">
        <f t="shared" si="250"/>
        <v>1337.9313565800001</v>
      </c>
      <c r="BY281" s="1362">
        <f t="shared" si="251"/>
        <v>1337.9313565800001</v>
      </c>
      <c r="BZ281" s="1362">
        <f t="shared" si="252"/>
        <v>1337.9313565800001</v>
      </c>
      <c r="CA281" s="1362">
        <f t="shared" si="253"/>
        <v>1337.9313565800001</v>
      </c>
      <c r="CB281" s="1362">
        <f t="shared" si="254"/>
        <v>5351.7254263200002</v>
      </c>
      <c r="CC281" s="1360">
        <v>2</v>
      </c>
      <c r="CD281" s="1360">
        <v>2</v>
      </c>
      <c r="CE281" s="1360">
        <v>2</v>
      </c>
      <c r="CF281" s="1360">
        <v>2</v>
      </c>
      <c r="CG281" s="1604">
        <f t="shared" si="234"/>
        <v>1337.9313565800001</v>
      </c>
      <c r="CH281" s="1604">
        <f t="shared" si="235"/>
        <v>1337.9313565800001</v>
      </c>
      <c r="CI281" s="1604">
        <f t="shared" si="236"/>
        <v>1337.9313565800001</v>
      </c>
      <c r="CJ281" s="1604">
        <f t="shared" si="237"/>
        <v>1337.9313565800001</v>
      </c>
      <c r="CK281" s="1521">
        <f t="shared" si="238"/>
        <v>5351.7254263200002</v>
      </c>
      <c r="CL281" s="1132">
        <v>274</v>
      </c>
      <c r="CM281" s="1132" t="s">
        <v>328</v>
      </c>
      <c r="CN281" s="1359">
        <v>1</v>
      </c>
      <c r="CO281" s="1360">
        <v>2.1984018400000003</v>
      </c>
      <c r="CP281" s="1360">
        <v>2.1984018400000003</v>
      </c>
      <c r="CQ281" s="1360">
        <v>2.1984018400000003</v>
      </c>
      <c r="CR281" s="1360">
        <v>2.1984018400000003</v>
      </c>
      <c r="CS281" s="1362">
        <f t="shared" si="239"/>
        <v>633.55193026500012</v>
      </c>
      <c r="CT281" s="1362">
        <f t="shared" si="240"/>
        <v>633.55193026500012</v>
      </c>
      <c r="CU281" s="1362">
        <f t="shared" si="241"/>
        <v>633.55193026500012</v>
      </c>
      <c r="CV281" s="1362">
        <f t="shared" si="242"/>
        <v>633.55193026500012</v>
      </c>
      <c r="CW281" s="1362">
        <f t="shared" si="243"/>
        <v>2534.2077210600005</v>
      </c>
      <c r="CY281" s="2887"/>
    </row>
    <row r="282" spans="1:118" s="1143" customFormat="1" ht="46.5" x14ac:dyDescent="0.35">
      <c r="A282" s="1132" t="s">
        <v>110</v>
      </c>
      <c r="B282" s="1132" t="s">
        <v>722</v>
      </c>
      <c r="C282" s="1132" t="s">
        <v>774</v>
      </c>
      <c r="D282" s="1359" t="s">
        <v>775</v>
      </c>
      <c r="E282" s="1359">
        <v>1</v>
      </c>
      <c r="F282" s="2564" t="s">
        <v>776</v>
      </c>
      <c r="G282" s="1132" t="s">
        <v>356</v>
      </c>
      <c r="H282" s="1360">
        <v>11.606431199999999</v>
      </c>
      <c r="I282" s="1360">
        <v>11.606431199999999</v>
      </c>
      <c r="J282" s="1360">
        <v>11.606431199999999</v>
      </c>
      <c r="K282" s="1360">
        <v>11.606431199999999</v>
      </c>
      <c r="L282" s="1132" t="s">
        <v>777</v>
      </c>
      <c r="M282" s="1132" t="str">
        <f t="shared" si="205"/>
        <v>Nicor Gas PY11-PY14 Adjustable Goals Template_2025-03-01, Tab 5.3.19</v>
      </c>
      <c r="N282" s="1361">
        <v>21.68</v>
      </c>
      <c r="O282" s="1361">
        <v>21.68</v>
      </c>
      <c r="P282" s="1361">
        <v>21.68</v>
      </c>
      <c r="Q282" s="1361">
        <v>21.68</v>
      </c>
      <c r="R282" s="1781">
        <v>1</v>
      </c>
      <c r="S282" s="1781">
        <v>1</v>
      </c>
      <c r="T282" s="1781">
        <v>1</v>
      </c>
      <c r="U282" s="1781">
        <v>1</v>
      </c>
      <c r="V282" s="1781">
        <v>1</v>
      </c>
      <c r="W282" s="1781">
        <v>1</v>
      </c>
      <c r="X282" s="1781">
        <v>1</v>
      </c>
      <c r="Y282" s="1781">
        <v>1</v>
      </c>
      <c r="Z282" s="1359">
        <v>0</v>
      </c>
      <c r="AA282" s="1781">
        <f t="shared" si="206"/>
        <v>1</v>
      </c>
      <c r="AB282" s="1781">
        <f t="shared" si="207"/>
        <v>1</v>
      </c>
      <c r="AC282" s="1781">
        <f t="shared" si="208"/>
        <v>1</v>
      </c>
      <c r="AD282" s="1781">
        <f t="shared" si="209"/>
        <v>1</v>
      </c>
      <c r="AE282" s="1781">
        <f t="shared" si="210"/>
        <v>1</v>
      </c>
      <c r="AF282" s="1781">
        <f t="shared" si="211"/>
        <v>1</v>
      </c>
      <c r="AG282" s="1781">
        <f t="shared" si="212"/>
        <v>1</v>
      </c>
      <c r="AH282" s="1781">
        <f t="shared" si="213"/>
        <v>1</v>
      </c>
      <c r="AI282" s="1362">
        <f t="shared" si="244"/>
        <v>251.62742841599999</v>
      </c>
      <c r="AJ282" s="1362">
        <f t="shared" si="245"/>
        <v>251.62742841599999</v>
      </c>
      <c r="AK282" s="1362">
        <f t="shared" si="246"/>
        <v>251.62742841599999</v>
      </c>
      <c r="AL282" s="1362">
        <f t="shared" si="247"/>
        <v>251.62742841599999</v>
      </c>
      <c r="AM282" s="1362">
        <f t="shared" si="248"/>
        <v>1006.5097136639999</v>
      </c>
      <c r="AN282" s="1132" t="str">
        <f t="shared" si="214"/>
        <v>RS-HVC-TRVS-V01-210101</v>
      </c>
      <c r="AO282" s="1132" t="str">
        <f t="shared" si="215"/>
        <v>Nicor Gas PY11-PY14 Adjustable Goals Template_2025-03-01, Tab 5.3.19</v>
      </c>
      <c r="AP282" s="2505">
        <f>'5.3.19'!$O$4</f>
        <v>21.68</v>
      </c>
      <c r="AQ282" s="2505"/>
      <c r="AR282" s="2505">
        <f t="shared" si="216"/>
        <v>251.62742841599999</v>
      </c>
      <c r="AS282" s="2505">
        <f t="shared" si="217"/>
        <v>0</v>
      </c>
      <c r="AT282" s="1132" t="str">
        <f t="shared" si="218"/>
        <v>RS-HVC-TRVS-V01-210101</v>
      </c>
      <c r="AU282" s="1132" t="str">
        <f t="shared" si="219"/>
        <v>Nicor Gas PY11-PY14 Adjustable Goals Template_2025-03-01, Tab 5.3.19</v>
      </c>
      <c r="AV282" s="2505">
        <f>'5.3.19'!$O$4</f>
        <v>21.68</v>
      </c>
      <c r="AW282" s="2505"/>
      <c r="AX282" s="1362">
        <f t="shared" si="220"/>
        <v>251.62742841599999</v>
      </c>
      <c r="AY282" s="1360">
        <f t="shared" si="221"/>
        <v>0</v>
      </c>
      <c r="AZ282" s="1132" t="str">
        <f t="shared" si="222"/>
        <v>RS-HVC-TRVS-V01-210101</v>
      </c>
      <c r="BA282" s="1132" t="str">
        <f t="shared" si="223"/>
        <v>Nicor Gas PY11-PY14 Adjustable Goals Template_2025-03-01, Tab 5.3.19</v>
      </c>
      <c r="BB282" s="2505">
        <f>'5.3.19'!$O$4</f>
        <v>21.68</v>
      </c>
      <c r="BC282" s="2505"/>
      <c r="BD282" s="1362">
        <f t="shared" si="224"/>
        <v>251.62742841599999</v>
      </c>
      <c r="BE282" s="1360">
        <f t="shared" si="225"/>
        <v>0</v>
      </c>
      <c r="BF282" s="1132" t="str">
        <f t="shared" si="226"/>
        <v>RS-HVC-TRVS-V01-210101</v>
      </c>
      <c r="BG282" s="1132" t="str">
        <f t="shared" si="227"/>
        <v>Nicor Gas PY11-PY14 Adjustable Goals Template_2025-03-01, Tab 5.3.19</v>
      </c>
      <c r="BH282" s="2505">
        <f>'5.3.19'!$O$4</f>
        <v>21.68</v>
      </c>
      <c r="BI282" s="2505"/>
      <c r="BJ282" s="1362">
        <f t="shared" si="249"/>
        <v>251.62742841599999</v>
      </c>
      <c r="BK282" s="1360">
        <f t="shared" si="228"/>
        <v>0</v>
      </c>
      <c r="BL282" s="1601">
        <f t="shared" si="229"/>
        <v>251.62742841599999</v>
      </c>
      <c r="BM282" s="1601">
        <f t="shared" si="230"/>
        <v>251.62742841599999</v>
      </c>
      <c r="BN282" s="1601">
        <f t="shared" si="231"/>
        <v>251.62742841599999</v>
      </c>
      <c r="BO282" s="1601">
        <f t="shared" si="232"/>
        <v>251.62742841599999</v>
      </c>
      <c r="BP282" s="1602">
        <f t="shared" si="233"/>
        <v>1006.5097136639999</v>
      </c>
      <c r="BQ282" s="1602"/>
      <c r="BR282" s="1602" t="s">
        <v>776</v>
      </c>
      <c r="BS282" s="1602">
        <v>0</v>
      </c>
      <c r="BT282" s="1602">
        <v>15</v>
      </c>
      <c r="BU282" s="1602">
        <v>15</v>
      </c>
      <c r="BV282" s="1602">
        <v>15</v>
      </c>
      <c r="BW282" s="1602">
        <v>15</v>
      </c>
      <c r="BX282" s="1362">
        <f t="shared" si="250"/>
        <v>3774.4114262399999</v>
      </c>
      <c r="BY282" s="1362">
        <f t="shared" si="251"/>
        <v>3774.4114262399999</v>
      </c>
      <c r="BZ282" s="1362">
        <f t="shared" si="252"/>
        <v>3774.4114262399999</v>
      </c>
      <c r="CA282" s="1362">
        <f t="shared" si="253"/>
        <v>3774.4114262399999</v>
      </c>
      <c r="CB282" s="1362">
        <f t="shared" si="254"/>
        <v>15097.645704959999</v>
      </c>
      <c r="CC282" s="1360">
        <v>15</v>
      </c>
      <c r="CD282" s="1360">
        <v>15</v>
      </c>
      <c r="CE282" s="1360">
        <v>15</v>
      </c>
      <c r="CF282" s="1360">
        <v>15</v>
      </c>
      <c r="CG282" s="1604">
        <f t="shared" si="234"/>
        <v>3774.4114262399999</v>
      </c>
      <c r="CH282" s="1604">
        <f t="shared" si="235"/>
        <v>3774.4114262399999</v>
      </c>
      <c r="CI282" s="1604">
        <f t="shared" si="236"/>
        <v>3774.4114262399999</v>
      </c>
      <c r="CJ282" s="1604">
        <f t="shared" si="237"/>
        <v>3774.4114262399999</v>
      </c>
      <c r="CK282" s="1521">
        <f t="shared" si="238"/>
        <v>15097.645704959999</v>
      </c>
      <c r="CL282" s="1132">
        <v>275</v>
      </c>
      <c r="CM282" s="1132" t="s">
        <v>356</v>
      </c>
      <c r="CN282" s="1359">
        <v>1</v>
      </c>
      <c r="CO282" s="1360">
        <v>10.9920092</v>
      </c>
      <c r="CP282" s="1360">
        <v>10.9920092</v>
      </c>
      <c r="CQ282" s="1360">
        <v>10.9920092</v>
      </c>
      <c r="CR282" s="1360">
        <v>10.9920092</v>
      </c>
      <c r="CS282" s="1362">
        <f t="shared" si="239"/>
        <v>238.30675945600001</v>
      </c>
      <c r="CT282" s="1362">
        <f t="shared" si="240"/>
        <v>238.30675945600001</v>
      </c>
      <c r="CU282" s="1362">
        <f t="shared" si="241"/>
        <v>238.30675945600001</v>
      </c>
      <c r="CV282" s="1362">
        <f t="shared" si="242"/>
        <v>238.30675945600001</v>
      </c>
      <c r="CW282" s="1362">
        <f t="shared" si="243"/>
        <v>953.22703782400004</v>
      </c>
      <c r="CY282" s="2887"/>
      <c r="DN282" s="1715"/>
    </row>
    <row r="283" spans="1:118" s="1143" customFormat="1" ht="15" customHeight="1" x14ac:dyDescent="0.35">
      <c r="A283" s="1132" t="s">
        <v>110</v>
      </c>
      <c r="B283" s="1132" t="s">
        <v>722</v>
      </c>
      <c r="C283" s="1132" t="s">
        <v>778</v>
      </c>
      <c r="D283" s="1359" t="s">
        <v>779</v>
      </c>
      <c r="E283" s="1359">
        <v>1</v>
      </c>
      <c r="F283" s="2564" t="s">
        <v>683</v>
      </c>
      <c r="G283" s="1132" t="s">
        <v>356</v>
      </c>
      <c r="H283" s="1360">
        <v>37.140579840000001</v>
      </c>
      <c r="I283" s="1360">
        <v>37.140579840000001</v>
      </c>
      <c r="J283" s="1360">
        <v>37.140579840000001</v>
      </c>
      <c r="K283" s="1360">
        <v>37.140579840000001</v>
      </c>
      <c r="L283" s="1132" t="s">
        <v>780</v>
      </c>
      <c r="M283" s="1132" t="str">
        <f t="shared" si="205"/>
        <v>Nicor Gas PY11-PY14 Adjustable Goals Template_2025-03-01, Tab 5.6.7</v>
      </c>
      <c r="N283" s="1361">
        <v>9.1319999999999979</v>
      </c>
      <c r="O283" s="1361">
        <v>9.1319999999999979</v>
      </c>
      <c r="P283" s="1361">
        <v>9.1319999999999979</v>
      </c>
      <c r="Q283" s="1361">
        <v>9.1319999999999979</v>
      </c>
      <c r="R283" s="1781">
        <v>1</v>
      </c>
      <c r="S283" s="1781">
        <v>1</v>
      </c>
      <c r="T283" s="1781">
        <v>1</v>
      </c>
      <c r="U283" s="1781">
        <v>1</v>
      </c>
      <c r="V283" s="1781">
        <v>1</v>
      </c>
      <c r="W283" s="1781">
        <v>1</v>
      </c>
      <c r="X283" s="1781">
        <v>1</v>
      </c>
      <c r="Y283" s="1781">
        <v>1</v>
      </c>
      <c r="Z283" s="1359">
        <v>0</v>
      </c>
      <c r="AA283" s="1781">
        <f t="shared" si="206"/>
        <v>1</v>
      </c>
      <c r="AB283" s="1781">
        <f t="shared" si="207"/>
        <v>1</v>
      </c>
      <c r="AC283" s="1781">
        <f t="shared" si="208"/>
        <v>1</v>
      </c>
      <c r="AD283" s="1781">
        <f t="shared" si="209"/>
        <v>1</v>
      </c>
      <c r="AE283" s="1781">
        <f t="shared" si="210"/>
        <v>1</v>
      </c>
      <c r="AF283" s="1781">
        <f t="shared" si="211"/>
        <v>1</v>
      </c>
      <c r="AG283" s="1781">
        <f t="shared" si="212"/>
        <v>1</v>
      </c>
      <c r="AH283" s="1781">
        <f t="shared" si="213"/>
        <v>1</v>
      </c>
      <c r="AI283" s="1362">
        <f t="shared" si="244"/>
        <v>339.16777509887993</v>
      </c>
      <c r="AJ283" s="1362">
        <f t="shared" si="245"/>
        <v>339.16777509887993</v>
      </c>
      <c r="AK283" s="1362">
        <f t="shared" si="246"/>
        <v>339.16777509887993</v>
      </c>
      <c r="AL283" s="1362">
        <f t="shared" si="247"/>
        <v>339.16777509887993</v>
      </c>
      <c r="AM283" s="1362">
        <f t="shared" si="248"/>
        <v>1356.6711003955197</v>
      </c>
      <c r="AN283" s="1132" t="str">
        <f t="shared" si="214"/>
        <v>RS-SHL-LESW-V01-210103</v>
      </c>
      <c r="AO283" s="1132" t="str">
        <f t="shared" si="215"/>
        <v>Nicor Gas PY11-PY14 Adjustable Goals Template_2025-03-01, Tab 5.6.7</v>
      </c>
      <c r="AP283" s="2505">
        <f>'5.6.7'!$R$7</f>
        <v>9.1319999999999979</v>
      </c>
      <c r="AQ283" s="2505"/>
      <c r="AR283" s="2505">
        <f t="shared" si="216"/>
        <v>339.16777509887993</v>
      </c>
      <c r="AS283" s="2505">
        <f t="shared" si="217"/>
        <v>0</v>
      </c>
      <c r="AT283" s="1132" t="str">
        <f t="shared" si="218"/>
        <v>RS-SHL-LESW-V01-210103</v>
      </c>
      <c r="AU283" s="1132" t="str">
        <f t="shared" si="219"/>
        <v>Nicor Gas PY11-PY14 Adjustable Goals Template_2025-03-01, Tab 5.6.7</v>
      </c>
      <c r="AV283" s="2505">
        <f>'5.6.7'!$R$7</f>
        <v>9.1319999999999979</v>
      </c>
      <c r="AW283" s="2505"/>
      <c r="AX283" s="1362">
        <f t="shared" si="220"/>
        <v>339.16777509887993</v>
      </c>
      <c r="AY283" s="1360">
        <f t="shared" si="221"/>
        <v>0</v>
      </c>
      <c r="AZ283" s="1132" t="str">
        <f t="shared" si="222"/>
        <v>RS-SHL-LESW-V01-210103</v>
      </c>
      <c r="BA283" s="1132" t="str">
        <f t="shared" si="223"/>
        <v>Nicor Gas PY11-PY14 Adjustable Goals Template_2025-03-01, Tab 5.6.7</v>
      </c>
      <c r="BB283" s="2505">
        <f>'5.6.7'!$R$7</f>
        <v>9.1319999999999979</v>
      </c>
      <c r="BC283" s="2505"/>
      <c r="BD283" s="1362">
        <f t="shared" si="224"/>
        <v>339.16777509887993</v>
      </c>
      <c r="BE283" s="1360">
        <f t="shared" si="225"/>
        <v>0</v>
      </c>
      <c r="BF283" s="1132" t="str">
        <f t="shared" si="226"/>
        <v>RS-SHL-LESW-V01-210103</v>
      </c>
      <c r="BG283" s="1132" t="str">
        <f t="shared" si="227"/>
        <v>Nicor Gas PY11-PY14 Adjustable Goals Template_2025-03-01, Tab 5.6.7</v>
      </c>
      <c r="BH283" s="2505">
        <f>'5.6.7'!$R$7</f>
        <v>9.1319999999999979</v>
      </c>
      <c r="BI283" s="2505"/>
      <c r="BJ283" s="1362">
        <f t="shared" si="249"/>
        <v>339.16777509887993</v>
      </c>
      <c r="BK283" s="1360">
        <f t="shared" si="228"/>
        <v>0</v>
      </c>
      <c r="BL283" s="1601">
        <f t="shared" si="229"/>
        <v>339.16777509887993</v>
      </c>
      <c r="BM283" s="1601">
        <f t="shared" si="230"/>
        <v>339.16777509887993</v>
      </c>
      <c r="BN283" s="1601">
        <f t="shared" si="231"/>
        <v>339.16777509887993</v>
      </c>
      <c r="BO283" s="1601">
        <f t="shared" si="232"/>
        <v>339.16777509887993</v>
      </c>
      <c r="BP283" s="1602">
        <f t="shared" si="233"/>
        <v>1356.6711003955197</v>
      </c>
      <c r="BQ283" s="1602"/>
      <c r="BR283" s="1602" t="s">
        <v>683</v>
      </c>
      <c r="BS283" s="1602">
        <v>0</v>
      </c>
      <c r="BT283" s="1602">
        <v>20</v>
      </c>
      <c r="BU283" s="1602">
        <v>20</v>
      </c>
      <c r="BV283" s="1602">
        <v>20</v>
      </c>
      <c r="BW283" s="1602">
        <v>20</v>
      </c>
      <c r="BX283" s="1362">
        <f t="shared" si="250"/>
        <v>6783.3555019775986</v>
      </c>
      <c r="BY283" s="1362">
        <f t="shared" si="251"/>
        <v>6783.3555019775986</v>
      </c>
      <c r="BZ283" s="1362">
        <f t="shared" si="252"/>
        <v>6783.3555019775986</v>
      </c>
      <c r="CA283" s="1362">
        <f t="shared" si="253"/>
        <v>6783.3555019775986</v>
      </c>
      <c r="CB283" s="1362">
        <f t="shared" si="254"/>
        <v>27133.422007910394</v>
      </c>
      <c r="CC283" s="1360">
        <v>20</v>
      </c>
      <c r="CD283" s="1360">
        <v>20</v>
      </c>
      <c r="CE283" s="1360">
        <v>20</v>
      </c>
      <c r="CF283" s="1360">
        <v>20</v>
      </c>
      <c r="CG283" s="1604">
        <f t="shared" si="234"/>
        <v>6783.3555019775986</v>
      </c>
      <c r="CH283" s="1604">
        <f t="shared" si="235"/>
        <v>6783.3555019775986</v>
      </c>
      <c r="CI283" s="1604">
        <f t="shared" si="236"/>
        <v>6783.3555019775986</v>
      </c>
      <c r="CJ283" s="1604">
        <f t="shared" si="237"/>
        <v>6783.3555019775986</v>
      </c>
      <c r="CK283" s="1521">
        <f t="shared" si="238"/>
        <v>27133.422007910394</v>
      </c>
      <c r="CL283" s="1132">
        <v>276</v>
      </c>
      <c r="CM283" s="1132" t="s">
        <v>356</v>
      </c>
      <c r="CN283" s="1359">
        <v>1</v>
      </c>
      <c r="CO283" s="1360">
        <v>35.174429440000004</v>
      </c>
      <c r="CP283" s="1360">
        <v>35.174429440000004</v>
      </c>
      <c r="CQ283" s="1360">
        <v>35.174429440000004</v>
      </c>
      <c r="CR283" s="1360">
        <v>35.174429440000004</v>
      </c>
      <c r="CS283" s="1362">
        <f t="shared" si="239"/>
        <v>321.21288964607999</v>
      </c>
      <c r="CT283" s="1362">
        <f t="shared" si="240"/>
        <v>321.21288964607999</v>
      </c>
      <c r="CU283" s="1362">
        <f t="shared" si="241"/>
        <v>321.21288964607999</v>
      </c>
      <c r="CV283" s="1362">
        <f t="shared" si="242"/>
        <v>321.21288964607999</v>
      </c>
      <c r="CW283" s="1362">
        <f t="shared" si="243"/>
        <v>1284.8515585843199</v>
      </c>
      <c r="CY283" s="2887"/>
      <c r="DN283" s="1715"/>
    </row>
    <row r="284" spans="1:118" s="1143" customFormat="1" ht="45.75" customHeight="1" x14ac:dyDescent="0.35">
      <c r="A284" s="1132" t="s">
        <v>110</v>
      </c>
      <c r="B284" s="1132" t="s">
        <v>781</v>
      </c>
      <c r="C284" s="1132" t="s">
        <v>652</v>
      </c>
      <c r="D284" s="1359" t="s">
        <v>105</v>
      </c>
      <c r="E284" s="1359">
        <f>IF(AI284-AR284=0,0,1)</f>
        <v>0</v>
      </c>
      <c r="F284" s="1132" t="s">
        <v>105</v>
      </c>
      <c r="G284" s="1132" t="s">
        <v>356</v>
      </c>
      <c r="H284" s="1360">
        <v>220.685</v>
      </c>
      <c r="I284" s="1360">
        <v>220.685</v>
      </c>
      <c r="J284" s="1360">
        <v>220.685</v>
      </c>
      <c r="K284" s="1360">
        <v>220.685</v>
      </c>
      <c r="L284" s="1132" t="s">
        <v>105</v>
      </c>
      <c r="M284" s="1132" t="str">
        <f t="shared" si="205"/>
        <v/>
      </c>
      <c r="N284" s="1361">
        <v>0</v>
      </c>
      <c r="O284" s="1361">
        <v>0</v>
      </c>
      <c r="P284" s="1361">
        <v>0</v>
      </c>
      <c r="Q284" s="1361">
        <v>0</v>
      </c>
      <c r="R284" s="1781">
        <v>1</v>
      </c>
      <c r="S284" s="1781">
        <v>1</v>
      </c>
      <c r="T284" s="1781">
        <v>1</v>
      </c>
      <c r="U284" s="1781">
        <v>1</v>
      </c>
      <c r="V284" s="1781">
        <v>1</v>
      </c>
      <c r="W284" s="1781">
        <v>1</v>
      </c>
      <c r="X284" s="1781">
        <v>1</v>
      </c>
      <c r="Y284" s="1781">
        <v>1</v>
      </c>
      <c r="Z284" s="1359">
        <v>0</v>
      </c>
      <c r="AA284" s="1781">
        <f t="shared" si="206"/>
        <v>1</v>
      </c>
      <c r="AB284" s="1781">
        <f t="shared" si="207"/>
        <v>1</v>
      </c>
      <c r="AC284" s="1781">
        <f t="shared" si="208"/>
        <v>1</v>
      </c>
      <c r="AD284" s="1781">
        <f t="shared" si="209"/>
        <v>1</v>
      </c>
      <c r="AE284" s="1781">
        <f t="shared" si="210"/>
        <v>1</v>
      </c>
      <c r="AF284" s="1781">
        <f t="shared" si="211"/>
        <v>1</v>
      </c>
      <c r="AG284" s="1781">
        <f t="shared" si="212"/>
        <v>1</v>
      </c>
      <c r="AH284" s="1781">
        <f t="shared" si="213"/>
        <v>1</v>
      </c>
      <c r="AI284" s="1362">
        <f t="shared" si="244"/>
        <v>0</v>
      </c>
      <c r="AJ284" s="1362">
        <f t="shared" si="245"/>
        <v>0</v>
      </c>
      <c r="AK284" s="1362">
        <f t="shared" si="246"/>
        <v>0</v>
      </c>
      <c r="AL284" s="1362">
        <f t="shared" si="247"/>
        <v>0</v>
      </c>
      <c r="AM284" s="1362">
        <f t="shared" si="248"/>
        <v>0</v>
      </c>
      <c r="AN284" s="1132" t="str">
        <f t="shared" si="214"/>
        <v>Custom</v>
      </c>
      <c r="AO284" s="1132" t="str">
        <f t="shared" si="215"/>
        <v/>
      </c>
      <c r="AP284" s="2505">
        <v>0</v>
      </c>
      <c r="AQ284" s="2505"/>
      <c r="AR284" s="2505">
        <f t="shared" si="216"/>
        <v>0</v>
      </c>
      <c r="AS284" s="2505">
        <f t="shared" si="217"/>
        <v>0</v>
      </c>
      <c r="AT284" s="1132" t="str">
        <f t="shared" si="218"/>
        <v>Custom</v>
      </c>
      <c r="AU284" s="1132" t="str">
        <f t="shared" si="219"/>
        <v/>
      </c>
      <c r="AV284" s="2505">
        <v>0</v>
      </c>
      <c r="AW284" s="2505"/>
      <c r="AX284" s="1362">
        <f t="shared" si="220"/>
        <v>0</v>
      </c>
      <c r="AY284" s="1360">
        <f t="shared" si="221"/>
        <v>0</v>
      </c>
      <c r="AZ284" s="1132" t="str">
        <f t="shared" si="222"/>
        <v>Custom</v>
      </c>
      <c r="BA284" s="1132" t="str">
        <f t="shared" si="223"/>
        <v/>
      </c>
      <c r="BB284" s="2505">
        <v>0</v>
      </c>
      <c r="BC284" s="2505"/>
      <c r="BD284" s="1362">
        <f t="shared" si="224"/>
        <v>0</v>
      </c>
      <c r="BE284" s="1360">
        <f t="shared" si="225"/>
        <v>0</v>
      </c>
      <c r="BF284" s="1132" t="str">
        <f t="shared" si="226"/>
        <v>Custom</v>
      </c>
      <c r="BG284" s="1132" t="str">
        <f t="shared" si="227"/>
        <v/>
      </c>
      <c r="BH284" s="2505">
        <v>0</v>
      </c>
      <c r="BI284" s="2505"/>
      <c r="BJ284" s="1362">
        <f t="shared" si="249"/>
        <v>0</v>
      </c>
      <c r="BK284" s="1360">
        <f t="shared" si="228"/>
        <v>0</v>
      </c>
      <c r="BL284" s="1601">
        <f t="shared" si="229"/>
        <v>0</v>
      </c>
      <c r="BM284" s="1601">
        <f t="shared" si="230"/>
        <v>0</v>
      </c>
      <c r="BN284" s="1601">
        <f t="shared" si="231"/>
        <v>0</v>
      </c>
      <c r="BO284" s="1601">
        <f t="shared" si="232"/>
        <v>0</v>
      </c>
      <c r="BP284" s="1602">
        <f t="shared" si="233"/>
        <v>0</v>
      </c>
      <c r="BQ284" s="1602"/>
      <c r="BR284" s="1602"/>
      <c r="BS284" s="1602">
        <v>0</v>
      </c>
      <c r="BT284" s="1602">
        <v>1</v>
      </c>
      <c r="BU284" s="1602">
        <v>1</v>
      </c>
      <c r="BV284" s="1602">
        <v>1</v>
      </c>
      <c r="BW284" s="1602">
        <v>1</v>
      </c>
      <c r="BX284" s="1362">
        <f t="shared" si="250"/>
        <v>0</v>
      </c>
      <c r="BY284" s="1362">
        <f t="shared" si="251"/>
        <v>0</v>
      </c>
      <c r="BZ284" s="1362">
        <f t="shared" si="252"/>
        <v>0</v>
      </c>
      <c r="CA284" s="1362">
        <f t="shared" si="253"/>
        <v>0</v>
      </c>
      <c r="CB284" s="1362">
        <f t="shared" si="254"/>
        <v>0</v>
      </c>
      <c r="CC284" s="1360">
        <v>1</v>
      </c>
      <c r="CD284" s="1360">
        <v>1</v>
      </c>
      <c r="CE284" s="1360">
        <v>1</v>
      </c>
      <c r="CF284" s="1360">
        <v>1</v>
      </c>
      <c r="CG284" s="1604">
        <f t="shared" si="234"/>
        <v>0</v>
      </c>
      <c r="CH284" s="1604">
        <f t="shared" si="235"/>
        <v>0</v>
      </c>
      <c r="CI284" s="1604">
        <f t="shared" si="236"/>
        <v>0</v>
      </c>
      <c r="CJ284" s="1604">
        <f t="shared" si="237"/>
        <v>0</v>
      </c>
      <c r="CK284" s="1521">
        <f t="shared" si="238"/>
        <v>0</v>
      </c>
      <c r="CL284" s="1132">
        <v>277</v>
      </c>
      <c r="CM284" s="1132" t="s">
        <v>356</v>
      </c>
      <c r="CN284" s="1359">
        <v>1</v>
      </c>
      <c r="CO284" s="1360">
        <v>207.10000000000002</v>
      </c>
      <c r="CP284" s="1360">
        <v>207.10000000000002</v>
      </c>
      <c r="CQ284" s="1360">
        <v>207.10000000000002</v>
      </c>
      <c r="CR284" s="1360">
        <v>207.10000000000002</v>
      </c>
      <c r="CS284" s="1362">
        <f t="shared" si="239"/>
        <v>0</v>
      </c>
      <c r="CT284" s="1362">
        <f t="shared" si="240"/>
        <v>0</v>
      </c>
      <c r="CU284" s="1362">
        <f t="shared" si="241"/>
        <v>0</v>
      </c>
      <c r="CV284" s="1362">
        <f t="shared" si="242"/>
        <v>0</v>
      </c>
      <c r="CW284" s="1362">
        <f t="shared" si="243"/>
        <v>0</v>
      </c>
      <c r="CY284" s="2887"/>
    </row>
    <row r="285" spans="1:118" s="1143" customFormat="1" ht="45.75" customHeight="1" x14ac:dyDescent="0.35">
      <c r="A285" s="1132" t="s">
        <v>110</v>
      </c>
      <c r="B285" s="1132" t="s">
        <v>781</v>
      </c>
      <c r="C285" s="1132" t="s">
        <v>688</v>
      </c>
      <c r="D285" s="1359" t="s">
        <v>105</v>
      </c>
      <c r="E285" s="1359">
        <f>IF(AI285-AR285=0,0,1)</f>
        <v>0</v>
      </c>
      <c r="F285" s="1132" t="s">
        <v>105</v>
      </c>
      <c r="G285" s="1132" t="s">
        <v>356</v>
      </c>
      <c r="H285" s="1360">
        <v>220.685</v>
      </c>
      <c r="I285" s="1360">
        <v>220.685</v>
      </c>
      <c r="J285" s="1360">
        <v>220.685</v>
      </c>
      <c r="K285" s="1360">
        <v>220.685</v>
      </c>
      <c r="L285" s="1132" t="s">
        <v>105</v>
      </c>
      <c r="M285" s="1132" t="str">
        <f t="shared" si="205"/>
        <v/>
      </c>
      <c r="N285" s="1361">
        <v>0</v>
      </c>
      <c r="O285" s="1361">
        <v>0</v>
      </c>
      <c r="P285" s="1361">
        <v>0</v>
      </c>
      <c r="Q285" s="1361">
        <v>0</v>
      </c>
      <c r="R285" s="1781">
        <v>1</v>
      </c>
      <c r="S285" s="1781">
        <v>1</v>
      </c>
      <c r="T285" s="1781">
        <v>1</v>
      </c>
      <c r="U285" s="1781">
        <v>1</v>
      </c>
      <c r="V285" s="1781">
        <v>1</v>
      </c>
      <c r="W285" s="1781">
        <v>1</v>
      </c>
      <c r="X285" s="1781">
        <v>1</v>
      </c>
      <c r="Y285" s="1781">
        <v>1</v>
      </c>
      <c r="Z285" s="1359">
        <v>0</v>
      </c>
      <c r="AA285" s="1781">
        <f t="shared" si="206"/>
        <v>1</v>
      </c>
      <c r="AB285" s="1781">
        <f t="shared" si="207"/>
        <v>1</v>
      </c>
      <c r="AC285" s="1781">
        <f t="shared" si="208"/>
        <v>1</v>
      </c>
      <c r="AD285" s="1781">
        <f t="shared" si="209"/>
        <v>1</v>
      </c>
      <c r="AE285" s="1781">
        <f t="shared" si="210"/>
        <v>1</v>
      </c>
      <c r="AF285" s="1781">
        <f t="shared" si="211"/>
        <v>1</v>
      </c>
      <c r="AG285" s="1781">
        <f t="shared" si="212"/>
        <v>1</v>
      </c>
      <c r="AH285" s="1781">
        <f t="shared" si="213"/>
        <v>1</v>
      </c>
      <c r="AI285" s="1362">
        <f t="shared" si="244"/>
        <v>0</v>
      </c>
      <c r="AJ285" s="1362">
        <f t="shared" si="245"/>
        <v>0</v>
      </c>
      <c r="AK285" s="1362">
        <f t="shared" si="246"/>
        <v>0</v>
      </c>
      <c r="AL285" s="1362">
        <f t="shared" si="247"/>
        <v>0</v>
      </c>
      <c r="AM285" s="1362">
        <f t="shared" si="248"/>
        <v>0</v>
      </c>
      <c r="AN285" s="1132" t="str">
        <f t="shared" si="214"/>
        <v>Custom</v>
      </c>
      <c r="AO285" s="1132" t="str">
        <f t="shared" si="215"/>
        <v/>
      </c>
      <c r="AP285" s="2505">
        <v>0</v>
      </c>
      <c r="AQ285" s="2505"/>
      <c r="AR285" s="2505">
        <f t="shared" si="216"/>
        <v>0</v>
      </c>
      <c r="AS285" s="2505">
        <f t="shared" si="217"/>
        <v>0</v>
      </c>
      <c r="AT285" s="1132" t="str">
        <f t="shared" si="218"/>
        <v>Custom</v>
      </c>
      <c r="AU285" s="1132" t="str">
        <f t="shared" si="219"/>
        <v/>
      </c>
      <c r="AV285" s="2505">
        <v>0</v>
      </c>
      <c r="AW285" s="2505"/>
      <c r="AX285" s="1362">
        <f t="shared" si="220"/>
        <v>0</v>
      </c>
      <c r="AY285" s="1360">
        <f t="shared" si="221"/>
        <v>0</v>
      </c>
      <c r="AZ285" s="1132" t="str">
        <f t="shared" si="222"/>
        <v>Custom</v>
      </c>
      <c r="BA285" s="1132" t="str">
        <f t="shared" si="223"/>
        <v/>
      </c>
      <c r="BB285" s="2505">
        <v>0</v>
      </c>
      <c r="BC285" s="2505"/>
      <c r="BD285" s="1362">
        <f t="shared" si="224"/>
        <v>0</v>
      </c>
      <c r="BE285" s="1360">
        <f t="shared" si="225"/>
        <v>0</v>
      </c>
      <c r="BF285" s="1132" t="str">
        <f t="shared" si="226"/>
        <v>Custom</v>
      </c>
      <c r="BG285" s="1132" t="str">
        <f t="shared" si="227"/>
        <v/>
      </c>
      <c r="BH285" s="2505">
        <v>0</v>
      </c>
      <c r="BI285" s="2505"/>
      <c r="BJ285" s="1362">
        <f t="shared" si="249"/>
        <v>0</v>
      </c>
      <c r="BK285" s="1360">
        <f t="shared" si="228"/>
        <v>0</v>
      </c>
      <c r="BL285" s="1601">
        <f t="shared" si="229"/>
        <v>0</v>
      </c>
      <c r="BM285" s="1601">
        <f t="shared" si="230"/>
        <v>0</v>
      </c>
      <c r="BN285" s="1601">
        <f t="shared" si="231"/>
        <v>0</v>
      </c>
      <c r="BO285" s="1601">
        <f t="shared" si="232"/>
        <v>0</v>
      </c>
      <c r="BP285" s="1602">
        <f t="shared" si="233"/>
        <v>0</v>
      </c>
      <c r="BQ285" s="1602"/>
      <c r="BR285" s="1602"/>
      <c r="BS285" s="1602">
        <v>0</v>
      </c>
      <c r="BT285" s="1602">
        <v>1</v>
      </c>
      <c r="BU285" s="1602">
        <v>1</v>
      </c>
      <c r="BV285" s="1602">
        <v>1</v>
      </c>
      <c r="BW285" s="1602">
        <v>1</v>
      </c>
      <c r="BX285" s="1362">
        <f t="shared" si="250"/>
        <v>0</v>
      </c>
      <c r="BY285" s="1362">
        <f t="shared" si="251"/>
        <v>0</v>
      </c>
      <c r="BZ285" s="1362">
        <f t="shared" si="252"/>
        <v>0</v>
      </c>
      <c r="CA285" s="1362">
        <f t="shared" si="253"/>
        <v>0</v>
      </c>
      <c r="CB285" s="1362">
        <f t="shared" si="254"/>
        <v>0</v>
      </c>
      <c r="CC285" s="1360">
        <v>1</v>
      </c>
      <c r="CD285" s="1360">
        <v>1</v>
      </c>
      <c r="CE285" s="1360">
        <v>1</v>
      </c>
      <c r="CF285" s="1360">
        <v>1</v>
      </c>
      <c r="CG285" s="1604">
        <f t="shared" si="234"/>
        <v>0</v>
      </c>
      <c r="CH285" s="1604">
        <f t="shared" si="235"/>
        <v>0</v>
      </c>
      <c r="CI285" s="1604">
        <f t="shared" si="236"/>
        <v>0</v>
      </c>
      <c r="CJ285" s="1604">
        <f t="shared" si="237"/>
        <v>0</v>
      </c>
      <c r="CK285" s="1521">
        <f t="shared" si="238"/>
        <v>0</v>
      </c>
      <c r="CL285" s="1132">
        <v>278</v>
      </c>
      <c r="CM285" s="1132" t="s">
        <v>356</v>
      </c>
      <c r="CN285" s="1359">
        <v>1</v>
      </c>
      <c r="CO285" s="1360">
        <v>207.10000000000002</v>
      </c>
      <c r="CP285" s="1360">
        <v>207.10000000000002</v>
      </c>
      <c r="CQ285" s="1360">
        <v>207.10000000000002</v>
      </c>
      <c r="CR285" s="1360">
        <v>207.10000000000002</v>
      </c>
      <c r="CS285" s="1362">
        <f t="shared" si="239"/>
        <v>0</v>
      </c>
      <c r="CT285" s="1362">
        <f t="shared" si="240"/>
        <v>0</v>
      </c>
      <c r="CU285" s="1362">
        <f t="shared" si="241"/>
        <v>0</v>
      </c>
      <c r="CV285" s="1362">
        <f t="shared" si="242"/>
        <v>0</v>
      </c>
      <c r="CW285" s="1362">
        <f t="shared" si="243"/>
        <v>0</v>
      </c>
      <c r="CY285" s="2887"/>
      <c r="DN285" s="1715"/>
    </row>
    <row r="286" spans="1:118" s="1143" customFormat="1" ht="96.75" customHeight="1" x14ac:dyDescent="0.35">
      <c r="A286" s="1132" t="s">
        <v>110</v>
      </c>
      <c r="B286" s="1132" t="s">
        <v>781</v>
      </c>
      <c r="C286" s="1132" t="s">
        <v>782</v>
      </c>
      <c r="D286" s="1359" t="s">
        <v>783</v>
      </c>
      <c r="E286" s="1359">
        <v>1</v>
      </c>
      <c r="F286" s="1780" t="s">
        <v>649</v>
      </c>
      <c r="G286" s="1132" t="s">
        <v>356</v>
      </c>
      <c r="H286" s="1360">
        <v>2.323</v>
      </c>
      <c r="I286" s="1360">
        <v>2.323</v>
      </c>
      <c r="J286" s="1360">
        <v>2.323</v>
      </c>
      <c r="K286" s="1360">
        <v>2.323</v>
      </c>
      <c r="L286" s="1132" t="s">
        <v>784</v>
      </c>
      <c r="M286" s="1132" t="str">
        <f t="shared" si="205"/>
        <v>Nicor Gas PY11-PY14 Adjustable Goals Template_2025-03-01, Tab 5.3.16</v>
      </c>
      <c r="N286" s="1361">
        <v>102.47939999999998</v>
      </c>
      <c r="O286" s="1361">
        <v>102.47939999999998</v>
      </c>
      <c r="P286" s="1361">
        <v>102.47939999999998</v>
      </c>
      <c r="Q286" s="1361">
        <v>102.47939999999998</v>
      </c>
      <c r="R286" s="1781">
        <v>1</v>
      </c>
      <c r="S286" s="1781">
        <v>1</v>
      </c>
      <c r="T286" s="1781">
        <v>1</v>
      </c>
      <c r="U286" s="1781">
        <v>1</v>
      </c>
      <c r="V286" s="1781">
        <v>1</v>
      </c>
      <c r="W286" s="1781">
        <v>1</v>
      </c>
      <c r="X286" s="1781">
        <v>1</v>
      </c>
      <c r="Y286" s="1781">
        <v>1</v>
      </c>
      <c r="Z286" s="1359">
        <v>0</v>
      </c>
      <c r="AA286" s="1781">
        <f t="shared" si="206"/>
        <v>1</v>
      </c>
      <c r="AB286" s="1781">
        <f t="shared" si="207"/>
        <v>1</v>
      </c>
      <c r="AC286" s="1781">
        <f t="shared" si="208"/>
        <v>1</v>
      </c>
      <c r="AD286" s="1781">
        <f t="shared" si="209"/>
        <v>1</v>
      </c>
      <c r="AE286" s="1781">
        <f t="shared" si="210"/>
        <v>1</v>
      </c>
      <c r="AF286" s="1781">
        <f t="shared" si="211"/>
        <v>1</v>
      </c>
      <c r="AG286" s="1781">
        <f t="shared" si="212"/>
        <v>1</v>
      </c>
      <c r="AH286" s="1781">
        <f t="shared" si="213"/>
        <v>1</v>
      </c>
      <c r="AI286" s="1362">
        <f t="shared" si="244"/>
        <v>238.05964619999995</v>
      </c>
      <c r="AJ286" s="1362">
        <f t="shared" si="245"/>
        <v>238.05964619999995</v>
      </c>
      <c r="AK286" s="1362">
        <f t="shared" si="246"/>
        <v>238.05964619999995</v>
      </c>
      <c r="AL286" s="1362">
        <f t="shared" si="247"/>
        <v>238.05964619999995</v>
      </c>
      <c r="AM286" s="1362">
        <f t="shared" si="248"/>
        <v>952.23858479999978</v>
      </c>
      <c r="AN286" s="1132" t="str">
        <f t="shared" si="214"/>
        <v>RS-HVC-ADTH-V03-190102</v>
      </c>
      <c r="AO286" s="1132" t="str">
        <f t="shared" si="215"/>
        <v>Nicor Gas PY11-PY14 Adjustable Goals Template_2025-03-01, Tab 5.3.16</v>
      </c>
      <c r="AP286" s="2247">
        <f>'5.3.16'!$S$21</f>
        <v>102.47939999999998</v>
      </c>
      <c r="AQ286" s="2505"/>
      <c r="AR286" s="2505">
        <f t="shared" si="216"/>
        <v>238.05964619999995</v>
      </c>
      <c r="AS286" s="2505">
        <f t="shared" si="217"/>
        <v>0</v>
      </c>
      <c r="AT286" s="1132" t="str">
        <f t="shared" si="218"/>
        <v>RS-HVC-ADTH-V03-190102</v>
      </c>
      <c r="AU286" s="1132" t="str">
        <f t="shared" si="219"/>
        <v>Nicor Gas PY11-PY14 Adjustable Goals Template_2025-03-01, Tab 5.3.16</v>
      </c>
      <c r="AV286" s="2247">
        <f>'5.3.16'!$S$21</f>
        <v>102.47939999999998</v>
      </c>
      <c r="AW286" s="2505"/>
      <c r="AX286" s="1362">
        <f t="shared" si="220"/>
        <v>238.05964619999995</v>
      </c>
      <c r="AY286" s="1360">
        <f t="shared" si="221"/>
        <v>0</v>
      </c>
      <c r="AZ286" s="1132" t="str">
        <f t="shared" si="222"/>
        <v>RS-HVC-ADTH-V03-190102</v>
      </c>
      <c r="BA286" s="1132" t="str">
        <f t="shared" si="223"/>
        <v>Nicor Gas PY11-PY14 Adjustable Goals Template_2025-03-01, Tab 5.3.16</v>
      </c>
      <c r="BB286" s="2247">
        <f>'5.3.16'!$S$21</f>
        <v>102.47939999999998</v>
      </c>
      <c r="BC286" s="2505"/>
      <c r="BD286" s="1362">
        <f t="shared" si="224"/>
        <v>238.05964619999995</v>
      </c>
      <c r="BE286" s="1360">
        <f t="shared" si="225"/>
        <v>0</v>
      </c>
      <c r="BF286" s="1132" t="str">
        <f t="shared" si="226"/>
        <v>RS-HVC-ADTH-V03-190102</v>
      </c>
      <c r="BG286" s="1132" t="str">
        <f t="shared" si="227"/>
        <v>Nicor Gas PY11-PY14 Adjustable Goals Template_2025-03-01, Tab 5.3.16</v>
      </c>
      <c r="BH286" s="2247">
        <f>'5.3.16'!$S$21</f>
        <v>102.47939999999998</v>
      </c>
      <c r="BI286" s="2505"/>
      <c r="BJ286" s="1362">
        <f t="shared" si="249"/>
        <v>238.05964619999995</v>
      </c>
      <c r="BK286" s="1360">
        <f t="shared" si="228"/>
        <v>0</v>
      </c>
      <c r="BL286" s="1601">
        <f t="shared" si="229"/>
        <v>238.05964619999995</v>
      </c>
      <c r="BM286" s="1601">
        <f t="shared" si="230"/>
        <v>238.05964619999995</v>
      </c>
      <c r="BN286" s="1601">
        <f t="shared" si="231"/>
        <v>238.05964619999995</v>
      </c>
      <c r="BO286" s="1601">
        <f t="shared" si="232"/>
        <v>238.05964619999995</v>
      </c>
      <c r="BP286" s="1602">
        <f t="shared" si="233"/>
        <v>952.23858479999978</v>
      </c>
      <c r="BQ286" s="1602"/>
      <c r="BR286" s="1602" t="s">
        <v>649</v>
      </c>
      <c r="BS286" s="1602">
        <v>0</v>
      </c>
      <c r="BT286" s="1602">
        <v>11</v>
      </c>
      <c r="BU286" s="1602">
        <v>11</v>
      </c>
      <c r="BV286" s="1602">
        <v>11</v>
      </c>
      <c r="BW286" s="1602">
        <v>11</v>
      </c>
      <c r="BX286" s="1362">
        <f t="shared" si="250"/>
        <v>2618.6561081999994</v>
      </c>
      <c r="BY286" s="1362">
        <f t="shared" si="251"/>
        <v>2618.6561081999994</v>
      </c>
      <c r="BZ286" s="1362">
        <f t="shared" si="252"/>
        <v>2618.6561081999994</v>
      </c>
      <c r="CA286" s="1362">
        <f t="shared" si="253"/>
        <v>2618.6561081999994</v>
      </c>
      <c r="CB286" s="1362">
        <f t="shared" si="254"/>
        <v>10474.624432799998</v>
      </c>
      <c r="CC286" s="1360">
        <v>11</v>
      </c>
      <c r="CD286" s="1360">
        <v>11</v>
      </c>
      <c r="CE286" s="1360">
        <v>11</v>
      </c>
      <c r="CF286" s="1360">
        <v>11</v>
      </c>
      <c r="CG286" s="1604">
        <f t="shared" si="234"/>
        <v>2618.6561081999994</v>
      </c>
      <c r="CH286" s="1604">
        <f t="shared" si="235"/>
        <v>2618.6561081999994</v>
      </c>
      <c r="CI286" s="1604">
        <f t="shared" si="236"/>
        <v>2618.6561081999994</v>
      </c>
      <c r="CJ286" s="1604">
        <f t="shared" si="237"/>
        <v>2618.6561081999994</v>
      </c>
      <c r="CK286" s="1521">
        <f t="shared" si="238"/>
        <v>10474.624432799998</v>
      </c>
      <c r="CL286" s="1132">
        <v>279</v>
      </c>
      <c r="CM286" s="1132" t="s">
        <v>356</v>
      </c>
      <c r="CN286" s="1359">
        <v>1</v>
      </c>
      <c r="CO286" s="1360">
        <v>2.1800000000000002</v>
      </c>
      <c r="CP286" s="1360">
        <v>2.1800000000000002</v>
      </c>
      <c r="CQ286" s="1360">
        <v>2.1800000000000002</v>
      </c>
      <c r="CR286" s="1360">
        <v>2.1800000000000002</v>
      </c>
      <c r="CS286" s="1362">
        <f t="shared" si="239"/>
        <v>223.40509199999997</v>
      </c>
      <c r="CT286" s="1362">
        <f t="shared" si="240"/>
        <v>223.40509199999997</v>
      </c>
      <c r="CU286" s="1362">
        <f t="shared" si="241"/>
        <v>223.40509199999997</v>
      </c>
      <c r="CV286" s="1362">
        <f t="shared" si="242"/>
        <v>223.40509199999997</v>
      </c>
      <c r="CW286" s="1362">
        <f t="shared" si="243"/>
        <v>893.62036799999987</v>
      </c>
      <c r="CY286" s="2887"/>
      <c r="DN286" s="1715"/>
    </row>
    <row r="287" spans="1:118" s="1143" customFormat="1" ht="92.25" customHeight="1" x14ac:dyDescent="0.35">
      <c r="A287" s="1132" t="s">
        <v>110</v>
      </c>
      <c r="B287" s="1132" t="s">
        <v>781</v>
      </c>
      <c r="C287" s="1132" t="s">
        <v>785</v>
      </c>
      <c r="D287" s="1359" t="s">
        <v>786</v>
      </c>
      <c r="E287" s="1359">
        <v>1</v>
      </c>
      <c r="F287" s="1780" t="s">
        <v>649</v>
      </c>
      <c r="G287" s="1132" t="s">
        <v>356</v>
      </c>
      <c r="H287" s="1360">
        <v>65.043999999999997</v>
      </c>
      <c r="I287" s="1360">
        <v>65.043999999999997</v>
      </c>
      <c r="J287" s="1360">
        <v>65.043999999999997</v>
      </c>
      <c r="K287" s="1360">
        <v>65.043999999999997</v>
      </c>
      <c r="L287" s="1132" t="s">
        <v>787</v>
      </c>
      <c r="M287" s="1132" t="str">
        <f t="shared" si="205"/>
        <v>Nicor Gas PY11-PY14 Adjustable Goals Template_2025-03-01, Tab 5.3.16</v>
      </c>
      <c r="N287" s="1361">
        <v>71.333699999999993</v>
      </c>
      <c r="O287" s="1361">
        <v>71.333699999999993</v>
      </c>
      <c r="P287" s="1361">
        <v>71.333699999999993</v>
      </c>
      <c r="Q287" s="1361">
        <v>71.333699999999993</v>
      </c>
      <c r="R287" s="1781">
        <v>1</v>
      </c>
      <c r="S287" s="1781">
        <v>1</v>
      </c>
      <c r="T287" s="1781">
        <v>1</v>
      </c>
      <c r="U287" s="1781">
        <v>1</v>
      </c>
      <c r="V287" s="1781">
        <v>1</v>
      </c>
      <c r="W287" s="1781">
        <v>1</v>
      </c>
      <c r="X287" s="1781">
        <v>1</v>
      </c>
      <c r="Y287" s="1781">
        <v>1</v>
      </c>
      <c r="Z287" s="1359">
        <v>0</v>
      </c>
      <c r="AA287" s="1781">
        <f t="shared" si="206"/>
        <v>1</v>
      </c>
      <c r="AB287" s="1781">
        <f t="shared" si="207"/>
        <v>1</v>
      </c>
      <c r="AC287" s="1781">
        <f t="shared" si="208"/>
        <v>1</v>
      </c>
      <c r="AD287" s="1781">
        <f t="shared" si="209"/>
        <v>1</v>
      </c>
      <c r="AE287" s="1781">
        <f t="shared" si="210"/>
        <v>1</v>
      </c>
      <c r="AF287" s="1781">
        <f t="shared" si="211"/>
        <v>1</v>
      </c>
      <c r="AG287" s="1781">
        <f t="shared" si="212"/>
        <v>1</v>
      </c>
      <c r="AH287" s="1781">
        <f t="shared" si="213"/>
        <v>1</v>
      </c>
      <c r="AI287" s="1362">
        <f t="shared" si="244"/>
        <v>4639.8291827999992</v>
      </c>
      <c r="AJ287" s="1362">
        <f t="shared" si="245"/>
        <v>4639.8291827999992</v>
      </c>
      <c r="AK287" s="1362">
        <f t="shared" si="246"/>
        <v>4639.8291827999992</v>
      </c>
      <c r="AL287" s="1362">
        <f t="shared" si="247"/>
        <v>4639.8291827999992</v>
      </c>
      <c r="AM287" s="1362">
        <f t="shared" si="248"/>
        <v>18559.316731199997</v>
      </c>
      <c r="AN287" s="1132" t="str">
        <f t="shared" si="214"/>
        <v>RS-HVC-ADTH-V03-190103</v>
      </c>
      <c r="AO287" s="1132" t="str">
        <f t="shared" si="215"/>
        <v>Nicor Gas PY11-PY14 Adjustable Goals Template_2025-03-01, Tab 5.3.16</v>
      </c>
      <c r="AP287" s="2247">
        <f>'5.3.16'!$S$22</f>
        <v>71.333699999999993</v>
      </c>
      <c r="AQ287" s="2505"/>
      <c r="AR287" s="2505">
        <f t="shared" si="216"/>
        <v>4639.8291827999992</v>
      </c>
      <c r="AS287" s="2505">
        <f t="shared" si="217"/>
        <v>0</v>
      </c>
      <c r="AT287" s="1132" t="str">
        <f t="shared" si="218"/>
        <v>RS-HVC-ADTH-V03-190103</v>
      </c>
      <c r="AU287" s="1132" t="str">
        <f t="shared" si="219"/>
        <v>Nicor Gas PY11-PY14 Adjustable Goals Template_2025-03-01, Tab 5.3.16</v>
      </c>
      <c r="AV287" s="2247">
        <f>'5.3.16'!$S$22</f>
        <v>71.333699999999993</v>
      </c>
      <c r="AW287" s="2505"/>
      <c r="AX287" s="1362">
        <f t="shared" si="220"/>
        <v>4639.8291827999992</v>
      </c>
      <c r="AY287" s="1360">
        <f t="shared" si="221"/>
        <v>0</v>
      </c>
      <c r="AZ287" s="1132" t="str">
        <f t="shared" si="222"/>
        <v>RS-HVC-ADTH-V03-190103</v>
      </c>
      <c r="BA287" s="1132" t="str">
        <f t="shared" si="223"/>
        <v>Nicor Gas PY11-PY14 Adjustable Goals Template_2025-03-01, Tab 5.3.16</v>
      </c>
      <c r="BB287" s="2247">
        <f>'5.3.16'!$S$22</f>
        <v>71.333699999999993</v>
      </c>
      <c r="BC287" s="2505"/>
      <c r="BD287" s="1362">
        <f t="shared" si="224"/>
        <v>4639.8291827999992</v>
      </c>
      <c r="BE287" s="1360">
        <f t="shared" si="225"/>
        <v>0</v>
      </c>
      <c r="BF287" s="1132" t="str">
        <f t="shared" si="226"/>
        <v>RS-HVC-ADTH-V03-190103</v>
      </c>
      <c r="BG287" s="1132" t="str">
        <f t="shared" si="227"/>
        <v>Nicor Gas PY11-PY14 Adjustable Goals Template_2025-03-01, Tab 5.3.16</v>
      </c>
      <c r="BH287" s="2247">
        <f>'5.3.16'!$S$22</f>
        <v>71.333699999999993</v>
      </c>
      <c r="BI287" s="2505"/>
      <c r="BJ287" s="1362">
        <f t="shared" si="249"/>
        <v>4639.8291827999992</v>
      </c>
      <c r="BK287" s="1360">
        <f t="shared" si="228"/>
        <v>0</v>
      </c>
      <c r="BL287" s="1601">
        <f t="shared" si="229"/>
        <v>4639.8291827999992</v>
      </c>
      <c r="BM287" s="1601">
        <f t="shared" si="230"/>
        <v>4639.8291827999992</v>
      </c>
      <c r="BN287" s="1601">
        <f t="shared" si="231"/>
        <v>4639.8291827999992</v>
      </c>
      <c r="BO287" s="1601">
        <f t="shared" si="232"/>
        <v>4639.8291827999992</v>
      </c>
      <c r="BP287" s="1602">
        <f t="shared" si="233"/>
        <v>18559.316731199997</v>
      </c>
      <c r="BQ287" s="1602"/>
      <c r="BR287" s="1602" t="s">
        <v>649</v>
      </c>
      <c r="BS287" s="1602">
        <v>0</v>
      </c>
      <c r="BT287" s="1602">
        <v>11</v>
      </c>
      <c r="BU287" s="1602">
        <v>11</v>
      </c>
      <c r="BV287" s="1602">
        <v>11</v>
      </c>
      <c r="BW287" s="1602">
        <v>11</v>
      </c>
      <c r="BX287" s="1362">
        <f t="shared" si="250"/>
        <v>51038.121010799994</v>
      </c>
      <c r="BY287" s="1362">
        <f t="shared" si="251"/>
        <v>51038.121010799994</v>
      </c>
      <c r="BZ287" s="1362">
        <f t="shared" si="252"/>
        <v>51038.121010799994</v>
      </c>
      <c r="CA287" s="1362">
        <f t="shared" si="253"/>
        <v>51038.121010799994</v>
      </c>
      <c r="CB287" s="1362">
        <f t="shared" si="254"/>
        <v>204152.48404319998</v>
      </c>
      <c r="CC287" s="1360">
        <v>11</v>
      </c>
      <c r="CD287" s="1360">
        <v>11</v>
      </c>
      <c r="CE287" s="1360">
        <v>11</v>
      </c>
      <c r="CF287" s="1360">
        <v>11</v>
      </c>
      <c r="CG287" s="1604">
        <f t="shared" si="234"/>
        <v>51038.121010799994</v>
      </c>
      <c r="CH287" s="1604">
        <f t="shared" si="235"/>
        <v>51038.121010799994</v>
      </c>
      <c r="CI287" s="1604">
        <f t="shared" si="236"/>
        <v>51038.121010799994</v>
      </c>
      <c r="CJ287" s="1604">
        <f t="shared" si="237"/>
        <v>51038.121010799994</v>
      </c>
      <c r="CK287" s="1521">
        <f t="shared" si="238"/>
        <v>204152.48404319998</v>
      </c>
      <c r="CL287" s="1132">
        <v>280</v>
      </c>
      <c r="CM287" s="1132" t="s">
        <v>356</v>
      </c>
      <c r="CN287" s="1359">
        <v>1</v>
      </c>
      <c r="CO287" s="1360">
        <v>61.040000000000006</v>
      </c>
      <c r="CP287" s="1360">
        <v>61.040000000000006</v>
      </c>
      <c r="CQ287" s="1360">
        <v>61.040000000000006</v>
      </c>
      <c r="CR287" s="1360">
        <v>61.040000000000006</v>
      </c>
      <c r="CS287" s="1362">
        <f t="shared" si="239"/>
        <v>4354.2090479999997</v>
      </c>
      <c r="CT287" s="1362">
        <f t="shared" si="240"/>
        <v>4354.2090479999997</v>
      </c>
      <c r="CU287" s="1362">
        <f t="shared" si="241"/>
        <v>4354.2090479999997</v>
      </c>
      <c r="CV287" s="1362">
        <f t="shared" si="242"/>
        <v>4354.2090479999997</v>
      </c>
      <c r="CW287" s="1362">
        <f t="shared" si="243"/>
        <v>17416.836191999999</v>
      </c>
      <c r="CY287" s="2887"/>
      <c r="DN287" s="1715"/>
    </row>
    <row r="288" spans="1:118" s="1143" customFormat="1" ht="15" customHeight="1" x14ac:dyDescent="0.35">
      <c r="A288" s="1132" t="s">
        <v>110</v>
      </c>
      <c r="B288" s="1132" t="s">
        <v>781</v>
      </c>
      <c r="C288" s="1132" t="s">
        <v>712</v>
      </c>
      <c r="D288" s="1359" t="s">
        <v>713</v>
      </c>
      <c r="E288" s="1359">
        <v>1</v>
      </c>
      <c r="F288" s="1780" t="s">
        <v>649</v>
      </c>
      <c r="G288" s="1132" t="s">
        <v>356</v>
      </c>
      <c r="H288" s="1360">
        <v>67.367000000000004</v>
      </c>
      <c r="I288" s="1360">
        <v>67.367000000000004</v>
      </c>
      <c r="J288" s="1360">
        <v>67.367000000000004</v>
      </c>
      <c r="K288" s="1360">
        <v>67.367000000000004</v>
      </c>
      <c r="L288" s="1132" t="s">
        <v>650</v>
      </c>
      <c r="M288" s="1132" t="str">
        <f t="shared" si="205"/>
        <v>Nicor Gas PY11-PY14 Adjustable Goals Template_2025-03-01, Tab 5.3.16</v>
      </c>
      <c r="N288" s="1361">
        <v>85.399500000000003</v>
      </c>
      <c r="O288" s="1361">
        <v>85.399500000000003</v>
      </c>
      <c r="P288" s="1361">
        <v>85.399500000000003</v>
      </c>
      <c r="Q288" s="1361">
        <v>85.399500000000003</v>
      </c>
      <c r="R288" s="1781">
        <v>1</v>
      </c>
      <c r="S288" s="1781">
        <v>1</v>
      </c>
      <c r="T288" s="1781">
        <v>1</v>
      </c>
      <c r="U288" s="1781">
        <v>1</v>
      </c>
      <c r="V288" s="1781">
        <v>1</v>
      </c>
      <c r="W288" s="1781">
        <v>1</v>
      </c>
      <c r="X288" s="1781">
        <v>1</v>
      </c>
      <c r="Y288" s="1781">
        <v>1</v>
      </c>
      <c r="Z288" s="1359">
        <v>0</v>
      </c>
      <c r="AA288" s="1781">
        <f t="shared" si="206"/>
        <v>1</v>
      </c>
      <c r="AB288" s="1781">
        <f t="shared" si="207"/>
        <v>1</v>
      </c>
      <c r="AC288" s="1781">
        <f t="shared" si="208"/>
        <v>1</v>
      </c>
      <c r="AD288" s="1781">
        <f t="shared" si="209"/>
        <v>1</v>
      </c>
      <c r="AE288" s="1781">
        <f t="shared" si="210"/>
        <v>1</v>
      </c>
      <c r="AF288" s="1781">
        <f t="shared" si="211"/>
        <v>1</v>
      </c>
      <c r="AG288" s="1781">
        <f t="shared" si="212"/>
        <v>1</v>
      </c>
      <c r="AH288" s="1781">
        <f t="shared" si="213"/>
        <v>1</v>
      </c>
      <c r="AI288" s="1362">
        <f t="shared" si="244"/>
        <v>5753.1081165000005</v>
      </c>
      <c r="AJ288" s="1362">
        <f t="shared" si="245"/>
        <v>5753.1081165000005</v>
      </c>
      <c r="AK288" s="1362">
        <f t="shared" si="246"/>
        <v>5753.1081165000005</v>
      </c>
      <c r="AL288" s="1362">
        <f t="shared" si="247"/>
        <v>5753.1081165000005</v>
      </c>
      <c r="AM288" s="1362">
        <f t="shared" si="248"/>
        <v>23012.432466000002</v>
      </c>
      <c r="AN288" s="1132" t="str">
        <f t="shared" si="214"/>
        <v>RS-HVC-ADTH-V03-190101</v>
      </c>
      <c r="AO288" s="1132" t="str">
        <f t="shared" si="215"/>
        <v>Nicor Gas PY11-PY14 Adjustable Goals Template_2025-03-01, Tab 5.3.16</v>
      </c>
      <c r="AP288" s="2247">
        <f>'5.3.16'!$S$14</f>
        <v>85.399500000000003</v>
      </c>
      <c r="AQ288" s="2505"/>
      <c r="AR288" s="2505">
        <f t="shared" si="216"/>
        <v>5753.1081165000005</v>
      </c>
      <c r="AS288" s="2505">
        <f t="shared" si="217"/>
        <v>0</v>
      </c>
      <c r="AT288" s="1132" t="str">
        <f t="shared" si="218"/>
        <v>RS-HVC-ADTH-V03-190101</v>
      </c>
      <c r="AU288" s="1132" t="str">
        <f t="shared" si="219"/>
        <v>Nicor Gas PY11-PY14 Adjustable Goals Template_2025-03-01, Tab 5.3.16</v>
      </c>
      <c r="AV288" s="2247">
        <f>'5.3.16'!$S$14</f>
        <v>85.399500000000003</v>
      </c>
      <c r="AW288" s="2505"/>
      <c r="AX288" s="1362">
        <f t="shared" si="220"/>
        <v>5753.1081165000005</v>
      </c>
      <c r="AY288" s="1360">
        <f t="shared" si="221"/>
        <v>0</v>
      </c>
      <c r="AZ288" s="1132" t="str">
        <f t="shared" si="222"/>
        <v>RS-HVC-ADTH-V03-190101</v>
      </c>
      <c r="BA288" s="1132" t="str">
        <f t="shared" si="223"/>
        <v>Nicor Gas PY11-PY14 Adjustable Goals Template_2025-03-01, Tab 5.3.16</v>
      </c>
      <c r="BB288" s="2247">
        <f>'5.3.16'!$S$14</f>
        <v>85.399500000000003</v>
      </c>
      <c r="BC288" s="2505"/>
      <c r="BD288" s="1362">
        <f t="shared" si="224"/>
        <v>5753.1081165000005</v>
      </c>
      <c r="BE288" s="1360">
        <f t="shared" si="225"/>
        <v>0</v>
      </c>
      <c r="BF288" s="1132" t="str">
        <f t="shared" si="226"/>
        <v>RS-HVC-ADTH-V03-190101</v>
      </c>
      <c r="BG288" s="1132" t="str">
        <f t="shared" si="227"/>
        <v>Nicor Gas PY11-PY14 Adjustable Goals Template_2025-03-01, Tab 5.3.16</v>
      </c>
      <c r="BH288" s="2247">
        <f>'5.3.16'!$S$14</f>
        <v>85.399500000000003</v>
      </c>
      <c r="BI288" s="2505"/>
      <c r="BJ288" s="1362">
        <f t="shared" si="249"/>
        <v>5753.1081165000005</v>
      </c>
      <c r="BK288" s="1360">
        <f t="shared" si="228"/>
        <v>0</v>
      </c>
      <c r="BL288" s="1601">
        <f t="shared" si="229"/>
        <v>5753.1081165000005</v>
      </c>
      <c r="BM288" s="1601">
        <f t="shared" si="230"/>
        <v>5753.1081165000005</v>
      </c>
      <c r="BN288" s="1601">
        <f t="shared" si="231"/>
        <v>5753.1081165000005</v>
      </c>
      <c r="BO288" s="1601">
        <f t="shared" si="232"/>
        <v>5753.1081165000005</v>
      </c>
      <c r="BP288" s="1602">
        <f t="shared" si="233"/>
        <v>23012.432466000002</v>
      </c>
      <c r="BQ288" s="1602"/>
      <c r="BR288" s="1602" t="s">
        <v>649</v>
      </c>
      <c r="BS288" s="1602">
        <v>0</v>
      </c>
      <c r="BT288" s="1602">
        <v>11</v>
      </c>
      <c r="BU288" s="1602">
        <v>11</v>
      </c>
      <c r="BV288" s="1602">
        <v>11</v>
      </c>
      <c r="BW288" s="1602">
        <v>11</v>
      </c>
      <c r="BX288" s="1362">
        <f t="shared" si="250"/>
        <v>63284.189281500003</v>
      </c>
      <c r="BY288" s="1362">
        <f t="shared" si="251"/>
        <v>63284.189281500003</v>
      </c>
      <c r="BZ288" s="1362">
        <f t="shared" si="252"/>
        <v>63284.189281500003</v>
      </c>
      <c r="CA288" s="1362">
        <f t="shared" si="253"/>
        <v>63284.189281500003</v>
      </c>
      <c r="CB288" s="1362">
        <f t="shared" si="254"/>
        <v>253136.75712600001</v>
      </c>
      <c r="CC288" s="1360">
        <v>11</v>
      </c>
      <c r="CD288" s="1360">
        <v>11</v>
      </c>
      <c r="CE288" s="1360">
        <v>11</v>
      </c>
      <c r="CF288" s="1360">
        <v>11</v>
      </c>
      <c r="CG288" s="1604">
        <f t="shared" si="234"/>
        <v>63284.189281500003</v>
      </c>
      <c r="CH288" s="1604">
        <f t="shared" si="235"/>
        <v>63284.189281500003</v>
      </c>
      <c r="CI288" s="1604">
        <f t="shared" si="236"/>
        <v>63284.189281500003</v>
      </c>
      <c r="CJ288" s="1604">
        <f t="shared" si="237"/>
        <v>63284.189281500003</v>
      </c>
      <c r="CK288" s="1521">
        <f t="shared" si="238"/>
        <v>253136.75712600001</v>
      </c>
      <c r="CL288" s="1132">
        <v>281</v>
      </c>
      <c r="CM288" s="1132" t="s">
        <v>356</v>
      </c>
      <c r="CN288" s="1359">
        <v>1</v>
      </c>
      <c r="CO288" s="1360">
        <v>63.220000000000006</v>
      </c>
      <c r="CP288" s="1360">
        <v>63.220000000000006</v>
      </c>
      <c r="CQ288" s="1360">
        <v>63.220000000000006</v>
      </c>
      <c r="CR288" s="1360">
        <v>63.220000000000006</v>
      </c>
      <c r="CS288" s="1362">
        <f t="shared" si="239"/>
        <v>5398.9563900000003</v>
      </c>
      <c r="CT288" s="1362">
        <f t="shared" si="240"/>
        <v>5398.9563900000003</v>
      </c>
      <c r="CU288" s="1362">
        <f t="shared" si="241"/>
        <v>5398.9563900000003</v>
      </c>
      <c r="CV288" s="1362">
        <f t="shared" si="242"/>
        <v>5398.9563900000003</v>
      </c>
      <c r="CW288" s="1362">
        <f t="shared" si="243"/>
        <v>21595.825560000001</v>
      </c>
      <c r="CY288" s="2887"/>
    </row>
    <row r="289" spans="1:103" s="1143" customFormat="1" ht="45" customHeight="1" x14ac:dyDescent="0.35">
      <c r="A289" s="1132" t="s">
        <v>110</v>
      </c>
      <c r="B289" s="1132" t="s">
        <v>781</v>
      </c>
      <c r="C289" s="1132" t="s">
        <v>788</v>
      </c>
      <c r="D289" s="1359" t="s">
        <v>789</v>
      </c>
      <c r="E289" s="1359">
        <v>1</v>
      </c>
      <c r="F289" s="2564" t="s">
        <v>655</v>
      </c>
      <c r="G289" s="1132" t="s">
        <v>328</v>
      </c>
      <c r="H289" s="1360">
        <v>146.34899999999999</v>
      </c>
      <c r="I289" s="1360">
        <v>146.34899999999999</v>
      </c>
      <c r="J289" s="1360">
        <v>146.34899999999999</v>
      </c>
      <c r="K289" s="1360">
        <v>146.34899999999999</v>
      </c>
      <c r="L289" s="1132" t="s">
        <v>656</v>
      </c>
      <c r="M289" s="1132" t="str">
        <f t="shared" si="205"/>
        <v>Nicor Gas PY11-PY14 Adjustable Goals Template_2025-03-01, Tab 5.6.1</v>
      </c>
      <c r="N289" s="1361">
        <v>61.518888303197848</v>
      </c>
      <c r="O289" s="1361">
        <v>61.518888303197848</v>
      </c>
      <c r="P289" s="1361">
        <v>61.518888303197848</v>
      </c>
      <c r="Q289" s="1361">
        <v>61.518888303197848</v>
      </c>
      <c r="R289" s="1781">
        <v>1</v>
      </c>
      <c r="S289" s="1781">
        <v>1</v>
      </c>
      <c r="T289" s="1781">
        <v>1</v>
      </c>
      <c r="U289" s="1781">
        <v>1</v>
      </c>
      <c r="V289" s="1781">
        <v>1</v>
      </c>
      <c r="W289" s="1781">
        <v>1</v>
      </c>
      <c r="X289" s="1781">
        <v>1</v>
      </c>
      <c r="Y289" s="1781">
        <v>1</v>
      </c>
      <c r="Z289" s="1359">
        <v>0</v>
      </c>
      <c r="AA289" s="1781">
        <f t="shared" si="206"/>
        <v>1</v>
      </c>
      <c r="AB289" s="1781">
        <f t="shared" si="207"/>
        <v>1</v>
      </c>
      <c r="AC289" s="1781">
        <f t="shared" si="208"/>
        <v>1</v>
      </c>
      <c r="AD289" s="1781">
        <f t="shared" si="209"/>
        <v>1</v>
      </c>
      <c r="AE289" s="1781">
        <f t="shared" si="210"/>
        <v>1</v>
      </c>
      <c r="AF289" s="1781">
        <f t="shared" si="211"/>
        <v>1</v>
      </c>
      <c r="AG289" s="1781">
        <f t="shared" si="212"/>
        <v>1</v>
      </c>
      <c r="AH289" s="1781">
        <f t="shared" si="213"/>
        <v>1</v>
      </c>
      <c r="AI289" s="1362">
        <f t="shared" si="244"/>
        <v>9003.2277842847016</v>
      </c>
      <c r="AJ289" s="1362">
        <f t="shared" si="245"/>
        <v>9003.2277842847016</v>
      </c>
      <c r="AK289" s="1362">
        <f t="shared" si="246"/>
        <v>9003.2277842847016</v>
      </c>
      <c r="AL289" s="1362">
        <f t="shared" si="247"/>
        <v>9003.2277842847016</v>
      </c>
      <c r="AM289" s="1362">
        <f t="shared" si="248"/>
        <v>36012.911137138806</v>
      </c>
      <c r="AN289" s="1132" t="str">
        <f t="shared" si="214"/>
        <v>RS-SHL-AIRS-V07-190101</v>
      </c>
      <c r="AO289" s="1132" t="str">
        <f t="shared" si="215"/>
        <v>Nicor Gas PY11-PY14 Adjustable Goals Template_2025-03-01, Tab 5.6.1</v>
      </c>
      <c r="AP289" s="2247">
        <f>'5.6.1'!$V$10</f>
        <v>61.518888303197848</v>
      </c>
      <c r="AQ289" s="2505"/>
      <c r="AR289" s="2505">
        <f t="shared" si="216"/>
        <v>9003.2277842847016</v>
      </c>
      <c r="AS289" s="2505">
        <f t="shared" si="217"/>
        <v>0</v>
      </c>
      <c r="AT289" s="1132" t="str">
        <f t="shared" si="218"/>
        <v>RS-SHL-AIRS-V07-190101</v>
      </c>
      <c r="AU289" s="1132" t="str">
        <f t="shared" si="219"/>
        <v>Nicor Gas PY11-PY14 Adjustable Goals Template_2025-03-01, Tab 5.6.1</v>
      </c>
      <c r="AV289" s="2247">
        <f>'5.6.1'!$V$10</f>
        <v>61.518888303197848</v>
      </c>
      <c r="AW289" s="2505"/>
      <c r="AX289" s="1362">
        <f t="shared" si="220"/>
        <v>9003.2277842847016</v>
      </c>
      <c r="AY289" s="1360">
        <f t="shared" si="221"/>
        <v>0</v>
      </c>
      <c r="AZ289" s="1132" t="str">
        <f t="shared" si="222"/>
        <v>RS-SHL-AIRS-V07-190101</v>
      </c>
      <c r="BA289" s="1132" t="str">
        <f t="shared" si="223"/>
        <v>Nicor Gas PY11-PY14 Adjustable Goals Template_2025-03-01, Tab 5.6.1</v>
      </c>
      <c r="BB289" s="2247">
        <f>'5.6.1'!$V$10</f>
        <v>61.518888303197848</v>
      </c>
      <c r="BC289" s="2505"/>
      <c r="BD289" s="1362">
        <f t="shared" si="224"/>
        <v>9003.2277842847016</v>
      </c>
      <c r="BE289" s="1360">
        <f t="shared" si="225"/>
        <v>0</v>
      </c>
      <c r="BF289" s="1132" t="str">
        <f t="shared" si="226"/>
        <v>RS-SHL-AIRS-V07-190101</v>
      </c>
      <c r="BG289" s="1132" t="str">
        <f t="shared" si="227"/>
        <v>Nicor Gas PY11-PY14 Adjustable Goals Template_2025-03-01, Tab 5.6.1</v>
      </c>
      <c r="BH289" s="2247">
        <f>'5.6.1'!$V$10</f>
        <v>61.518888303197848</v>
      </c>
      <c r="BI289" s="2505"/>
      <c r="BJ289" s="1362">
        <f t="shared" si="249"/>
        <v>9003.2277842847016</v>
      </c>
      <c r="BK289" s="1360">
        <f t="shared" si="228"/>
        <v>0</v>
      </c>
      <c r="BL289" s="1601">
        <f t="shared" si="229"/>
        <v>9003.2277842847016</v>
      </c>
      <c r="BM289" s="1601">
        <f t="shared" si="230"/>
        <v>9003.2277842847016</v>
      </c>
      <c r="BN289" s="1601">
        <f t="shared" si="231"/>
        <v>9003.2277842847016</v>
      </c>
      <c r="BO289" s="1601">
        <f t="shared" si="232"/>
        <v>9003.2277842847016</v>
      </c>
      <c r="BP289" s="1602">
        <f t="shared" si="233"/>
        <v>36012.911137138806</v>
      </c>
      <c r="BQ289" s="1602"/>
      <c r="BR289" s="1602" t="s">
        <v>655</v>
      </c>
      <c r="BS289" s="2773">
        <v>1</v>
      </c>
      <c r="BT289" s="1602">
        <v>19.411764705882348</v>
      </c>
      <c r="BU289" s="1602">
        <v>19.411764705882348</v>
      </c>
      <c r="BV289" s="1602">
        <v>19.411764705882348</v>
      </c>
      <c r="BW289" s="1602">
        <v>19.411764705882348</v>
      </c>
      <c r="BX289" s="1362">
        <f t="shared" si="250"/>
        <v>174768.53934199709</v>
      </c>
      <c r="BY289" s="1362">
        <f t="shared" si="251"/>
        <v>174768.53934199709</v>
      </c>
      <c r="BZ289" s="1362">
        <f t="shared" si="252"/>
        <v>174768.53934199709</v>
      </c>
      <c r="CA289" s="1362">
        <f t="shared" si="253"/>
        <v>174768.53934199709</v>
      </c>
      <c r="CB289" s="1362">
        <f t="shared" si="254"/>
        <v>699074.15736798837</v>
      </c>
      <c r="CC289" s="2775">
        <v>20</v>
      </c>
      <c r="CD289" s="2775">
        <v>20</v>
      </c>
      <c r="CE289" s="2775">
        <v>20</v>
      </c>
      <c r="CF289" s="2775">
        <v>20</v>
      </c>
      <c r="CG289" s="1604">
        <f t="shared" si="234"/>
        <v>180064.55568569404</v>
      </c>
      <c r="CH289" s="1604">
        <f t="shared" si="235"/>
        <v>180064.55568569404</v>
      </c>
      <c r="CI289" s="1604">
        <f t="shared" si="236"/>
        <v>180064.55568569404</v>
      </c>
      <c r="CJ289" s="1604">
        <f t="shared" si="237"/>
        <v>180064.55568569404</v>
      </c>
      <c r="CK289" s="1521">
        <f t="shared" si="238"/>
        <v>720258.22274277615</v>
      </c>
      <c r="CL289" s="1132">
        <v>282</v>
      </c>
      <c r="CM289" s="1132" t="s">
        <v>328</v>
      </c>
      <c r="CN289" s="1359">
        <v>1</v>
      </c>
      <c r="CO289" s="1360">
        <v>137.34</v>
      </c>
      <c r="CP289" s="1360">
        <v>137.34</v>
      </c>
      <c r="CQ289" s="1360">
        <v>137.34</v>
      </c>
      <c r="CR289" s="1360">
        <v>137.34</v>
      </c>
      <c r="CS289" s="1362">
        <f t="shared" si="239"/>
        <v>8449.0041195611921</v>
      </c>
      <c r="CT289" s="1362">
        <f t="shared" si="240"/>
        <v>8449.0041195611921</v>
      </c>
      <c r="CU289" s="1362">
        <f t="shared" si="241"/>
        <v>8449.0041195611921</v>
      </c>
      <c r="CV289" s="1362">
        <f t="shared" si="242"/>
        <v>8449.0041195611921</v>
      </c>
      <c r="CW289" s="1362">
        <f t="shared" si="243"/>
        <v>33796.016478244768</v>
      </c>
      <c r="CY289" s="2887"/>
    </row>
    <row r="290" spans="1:103" s="1143" customFormat="1" ht="45.75" customHeight="1" x14ac:dyDescent="0.35">
      <c r="A290" s="1132" t="s">
        <v>110</v>
      </c>
      <c r="B290" s="1132" t="s">
        <v>781</v>
      </c>
      <c r="C290" s="1132" t="s">
        <v>790</v>
      </c>
      <c r="D290" s="1359" t="s">
        <v>791</v>
      </c>
      <c r="E290" s="1359">
        <v>1</v>
      </c>
      <c r="F290" s="1132" t="s">
        <v>659</v>
      </c>
      <c r="G290" s="1132" t="s">
        <v>328</v>
      </c>
      <c r="H290" s="1360">
        <v>132.411</v>
      </c>
      <c r="I290" s="1360">
        <v>132.411</v>
      </c>
      <c r="J290" s="1360">
        <v>132.411</v>
      </c>
      <c r="K290" s="1360">
        <v>132.411</v>
      </c>
      <c r="L290" s="1132" t="s">
        <v>660</v>
      </c>
      <c r="M290" s="1132" t="str">
        <f t="shared" si="205"/>
        <v>Nicor Gas PY11-PY14 Adjustable Goals Template_2025-03-01, Tab 5.6.5</v>
      </c>
      <c r="N290" s="1361">
        <v>92.52358102112359</v>
      </c>
      <c r="O290" s="1361">
        <v>92.52358102112359</v>
      </c>
      <c r="P290" s="1361">
        <v>92.52358102112359</v>
      </c>
      <c r="Q290" s="1361">
        <v>92.52358102112359</v>
      </c>
      <c r="R290" s="1781">
        <v>1</v>
      </c>
      <c r="S290" s="1781">
        <v>1</v>
      </c>
      <c r="T290" s="1781">
        <v>1</v>
      </c>
      <c r="U290" s="1781">
        <v>1</v>
      </c>
      <c r="V290" s="1781">
        <v>1</v>
      </c>
      <c r="W290" s="1781">
        <v>1</v>
      </c>
      <c r="X290" s="1781">
        <v>1</v>
      </c>
      <c r="Y290" s="1781">
        <v>1</v>
      </c>
      <c r="Z290" s="1359">
        <v>0</v>
      </c>
      <c r="AA290" s="1781">
        <f t="shared" si="206"/>
        <v>1</v>
      </c>
      <c r="AB290" s="1781">
        <f t="shared" si="207"/>
        <v>1</v>
      </c>
      <c r="AC290" s="1781">
        <f t="shared" si="208"/>
        <v>1</v>
      </c>
      <c r="AD290" s="1781">
        <f t="shared" si="209"/>
        <v>1</v>
      </c>
      <c r="AE290" s="1781">
        <f t="shared" si="210"/>
        <v>1</v>
      </c>
      <c r="AF290" s="1781">
        <f t="shared" si="211"/>
        <v>1</v>
      </c>
      <c r="AG290" s="1781">
        <f t="shared" si="212"/>
        <v>1</v>
      </c>
      <c r="AH290" s="1781">
        <f t="shared" si="213"/>
        <v>1</v>
      </c>
      <c r="AI290" s="1362">
        <f t="shared" si="244"/>
        <v>12251.139886587996</v>
      </c>
      <c r="AJ290" s="1362">
        <f t="shared" si="245"/>
        <v>12251.139886587996</v>
      </c>
      <c r="AK290" s="1362">
        <f t="shared" si="246"/>
        <v>12251.139886587996</v>
      </c>
      <c r="AL290" s="1362">
        <f t="shared" si="247"/>
        <v>12251.139886587996</v>
      </c>
      <c r="AM290" s="1362">
        <f t="shared" si="248"/>
        <v>49004.559546351986</v>
      </c>
      <c r="AN290" s="1132" t="str">
        <f t="shared" si="214"/>
        <v>RS-SHL-AINS-V07-180101</v>
      </c>
      <c r="AO290" s="1132" t="str">
        <f t="shared" si="215"/>
        <v>Nicor Gas PY11-PY14 Adjustable Goals Template_2025-03-01, Tab 5.6.5</v>
      </c>
      <c r="AP290" s="2505">
        <f>'5.6.4&amp;5.6.5'!$X$9</f>
        <v>92.52358102112359</v>
      </c>
      <c r="AQ290" s="2505"/>
      <c r="AR290" s="2505">
        <f t="shared" si="216"/>
        <v>12251.139886587996</v>
      </c>
      <c r="AS290" s="2505">
        <f t="shared" si="217"/>
        <v>0</v>
      </c>
      <c r="AT290" s="1132" t="str">
        <f t="shared" si="218"/>
        <v>RS-SHL-AINS-V07-180101</v>
      </c>
      <c r="AU290" s="1132" t="str">
        <f t="shared" si="219"/>
        <v>Nicor Gas PY11-PY14 Adjustable Goals Template_2025-03-01, Tab 5.6.5</v>
      </c>
      <c r="AV290" s="2505">
        <f>'5.6.4&amp;5.6.5'!$X$9</f>
        <v>92.52358102112359</v>
      </c>
      <c r="AW290" s="2505"/>
      <c r="AX290" s="1362">
        <f t="shared" si="220"/>
        <v>12251.139886587996</v>
      </c>
      <c r="AY290" s="1360">
        <f t="shared" si="221"/>
        <v>0</v>
      </c>
      <c r="AZ290" s="1132" t="str">
        <f t="shared" si="222"/>
        <v>RS-SHL-AINS-V07-180101</v>
      </c>
      <c r="BA290" s="1132" t="str">
        <f t="shared" si="223"/>
        <v>Nicor Gas PY11-PY14 Adjustable Goals Template_2025-03-01, Tab 5.6.5</v>
      </c>
      <c r="BB290" s="2505">
        <f>'5.6.4&amp;5.6.5'!$X$9</f>
        <v>92.52358102112359</v>
      </c>
      <c r="BC290" s="2505"/>
      <c r="BD290" s="1362">
        <f t="shared" si="224"/>
        <v>12251.139886587996</v>
      </c>
      <c r="BE290" s="1360">
        <f t="shared" si="225"/>
        <v>0</v>
      </c>
      <c r="BF290" s="1132" t="str">
        <f t="shared" si="226"/>
        <v>RS-SHL-AINS-V07-180101</v>
      </c>
      <c r="BG290" s="1132" t="str">
        <f t="shared" si="227"/>
        <v>Nicor Gas PY11-PY14 Adjustable Goals Template_2025-03-01, Tab 5.6.5</v>
      </c>
      <c r="BH290" s="2505">
        <f>'5.6.4&amp;5.6.5'!$X$9</f>
        <v>92.52358102112359</v>
      </c>
      <c r="BI290" s="2505"/>
      <c r="BJ290" s="1362">
        <f t="shared" si="249"/>
        <v>12251.139886587996</v>
      </c>
      <c r="BK290" s="1360">
        <f t="shared" si="228"/>
        <v>0</v>
      </c>
      <c r="BL290" s="1601">
        <f t="shared" si="229"/>
        <v>12251.139886587996</v>
      </c>
      <c r="BM290" s="1601">
        <f t="shared" si="230"/>
        <v>12251.139886587996</v>
      </c>
      <c r="BN290" s="1601">
        <f t="shared" si="231"/>
        <v>12251.139886587996</v>
      </c>
      <c r="BO290" s="1601">
        <f t="shared" si="232"/>
        <v>12251.139886587996</v>
      </c>
      <c r="BP290" s="1602">
        <f t="shared" si="233"/>
        <v>49004.559546351986</v>
      </c>
      <c r="BQ290" s="1602"/>
      <c r="BR290" s="1602" t="s">
        <v>659</v>
      </c>
      <c r="BS290" s="2773">
        <v>1</v>
      </c>
      <c r="BT290" s="1602">
        <v>19.411764705882351</v>
      </c>
      <c r="BU290" s="1602">
        <v>19.411764705882351</v>
      </c>
      <c r="BV290" s="1602">
        <v>19.411764705882351</v>
      </c>
      <c r="BW290" s="1602">
        <v>19.411764705882351</v>
      </c>
      <c r="BX290" s="1362">
        <f t="shared" si="250"/>
        <v>237816.24485729638</v>
      </c>
      <c r="BY290" s="1362">
        <f t="shared" si="251"/>
        <v>237816.24485729638</v>
      </c>
      <c r="BZ290" s="1362">
        <f t="shared" si="252"/>
        <v>237816.24485729638</v>
      </c>
      <c r="CA290" s="1362">
        <f t="shared" si="253"/>
        <v>237816.24485729638</v>
      </c>
      <c r="CB290" s="1362">
        <f t="shared" si="254"/>
        <v>951264.97942918551</v>
      </c>
      <c r="CC290" s="2775">
        <v>20</v>
      </c>
      <c r="CD290" s="2775">
        <v>20</v>
      </c>
      <c r="CE290" s="2775">
        <v>20</v>
      </c>
      <c r="CF290" s="2775">
        <v>20</v>
      </c>
      <c r="CG290" s="1604">
        <f t="shared" si="234"/>
        <v>245022.79773175993</v>
      </c>
      <c r="CH290" s="1604">
        <f t="shared" si="235"/>
        <v>245022.79773175993</v>
      </c>
      <c r="CI290" s="1604">
        <f t="shared" si="236"/>
        <v>245022.79773175993</v>
      </c>
      <c r="CJ290" s="1604">
        <f t="shared" si="237"/>
        <v>245022.79773175993</v>
      </c>
      <c r="CK290" s="1521">
        <f t="shared" si="238"/>
        <v>980091.19092703972</v>
      </c>
      <c r="CL290" s="1132">
        <v>283</v>
      </c>
      <c r="CM290" s="1132" t="s">
        <v>328</v>
      </c>
      <c r="CN290" s="1359">
        <v>1</v>
      </c>
      <c r="CO290" s="1360">
        <v>124.26</v>
      </c>
      <c r="CP290" s="1360">
        <v>124.26</v>
      </c>
      <c r="CQ290" s="1360">
        <v>124.26</v>
      </c>
      <c r="CR290" s="1360">
        <v>124.26</v>
      </c>
      <c r="CS290" s="1362">
        <f t="shared" si="239"/>
        <v>11496.980177684818</v>
      </c>
      <c r="CT290" s="1362">
        <f t="shared" si="240"/>
        <v>11496.980177684818</v>
      </c>
      <c r="CU290" s="1362">
        <f t="shared" si="241"/>
        <v>11496.980177684818</v>
      </c>
      <c r="CV290" s="1362">
        <f t="shared" si="242"/>
        <v>11496.980177684818</v>
      </c>
      <c r="CW290" s="1362">
        <f t="shared" si="243"/>
        <v>45987.920710739272</v>
      </c>
      <c r="CY290" s="2887"/>
    </row>
    <row r="291" spans="1:103" s="1143" customFormat="1" ht="46.5" x14ac:dyDescent="0.35">
      <c r="A291" s="1132" t="s">
        <v>110</v>
      </c>
      <c r="B291" s="1132" t="s">
        <v>781</v>
      </c>
      <c r="C291" s="1132" t="s">
        <v>695</v>
      </c>
      <c r="D291" s="1359" t="s">
        <v>696</v>
      </c>
      <c r="E291" s="1359">
        <v>1</v>
      </c>
      <c r="F291" s="2807" t="s">
        <v>697</v>
      </c>
      <c r="G291" s="1132" t="s">
        <v>328</v>
      </c>
      <c r="H291" s="1360">
        <v>264.822</v>
      </c>
      <c r="I291" s="1360">
        <v>264.822</v>
      </c>
      <c r="J291" s="1360">
        <v>264.822</v>
      </c>
      <c r="K291" s="1360">
        <v>264.822</v>
      </c>
      <c r="L291" s="1132" t="s">
        <v>698</v>
      </c>
      <c r="M291" s="1132" t="str">
        <f t="shared" si="205"/>
        <v>Nicor Gas PY11-PY14 Adjustable Goals Template_2025-03-01, Tab 5.4.4</v>
      </c>
      <c r="N291" s="1361">
        <v>0.86466343134530088</v>
      </c>
      <c r="O291" s="1361">
        <v>0.86466343134530088</v>
      </c>
      <c r="P291" s="1361">
        <v>0.86466343134530088</v>
      </c>
      <c r="Q291" s="1361">
        <v>0.86466343134530088</v>
      </c>
      <c r="R291" s="1781">
        <v>1</v>
      </c>
      <c r="S291" s="1781">
        <v>1</v>
      </c>
      <c r="T291" s="1781">
        <v>1</v>
      </c>
      <c r="U291" s="1781">
        <v>1</v>
      </c>
      <c r="V291" s="1781">
        <v>1</v>
      </c>
      <c r="W291" s="1781">
        <v>1</v>
      </c>
      <c r="X291" s="1781">
        <v>1</v>
      </c>
      <c r="Y291" s="1781">
        <v>1</v>
      </c>
      <c r="Z291" s="1359">
        <v>0</v>
      </c>
      <c r="AA291" s="1781">
        <f t="shared" si="206"/>
        <v>1</v>
      </c>
      <c r="AB291" s="1781">
        <f t="shared" si="207"/>
        <v>1</v>
      </c>
      <c r="AC291" s="1781">
        <f t="shared" si="208"/>
        <v>1</v>
      </c>
      <c r="AD291" s="1781">
        <f t="shared" si="209"/>
        <v>1</v>
      </c>
      <c r="AE291" s="1781">
        <f t="shared" si="210"/>
        <v>1</v>
      </c>
      <c r="AF291" s="1781">
        <f t="shared" si="211"/>
        <v>1</v>
      </c>
      <c r="AG291" s="1781">
        <f t="shared" si="212"/>
        <v>1</v>
      </c>
      <c r="AH291" s="1781">
        <f t="shared" si="213"/>
        <v>1</v>
      </c>
      <c r="AI291" s="1362">
        <f t="shared" si="244"/>
        <v>228.98189921572526</v>
      </c>
      <c r="AJ291" s="1362">
        <f t="shared" si="245"/>
        <v>228.98189921572526</v>
      </c>
      <c r="AK291" s="1362">
        <f t="shared" si="246"/>
        <v>228.98189921572526</v>
      </c>
      <c r="AL291" s="1362">
        <f t="shared" si="247"/>
        <v>228.98189921572526</v>
      </c>
      <c r="AM291" s="1362">
        <f t="shared" si="248"/>
        <v>915.92759686290105</v>
      </c>
      <c r="AN291" s="1132" t="str">
        <f t="shared" si="214"/>
        <v>RS-HWE-LFFA-V07-190101</v>
      </c>
      <c r="AO291" s="1132" t="str">
        <f t="shared" si="215"/>
        <v>Nicor Gas PY11-PY14 Adjustable Goals Template_2025-03-01, Tab 5.4.4</v>
      </c>
      <c r="AP291" s="2738">
        <f>'5.4.4'!$O$11</f>
        <v>0.9635545569243823</v>
      </c>
      <c r="AQ291" s="2568" t="s">
        <v>481</v>
      </c>
      <c r="AR291" s="2505">
        <f t="shared" si="216"/>
        <v>255.17044487382879</v>
      </c>
      <c r="AS291" s="2505">
        <f t="shared" si="217"/>
        <v>26.188545658103521</v>
      </c>
      <c r="AT291" s="1132" t="str">
        <f t="shared" si="218"/>
        <v>RS-HWE-LFFA-V07-190101</v>
      </c>
      <c r="AU291" s="1132" t="str">
        <f t="shared" si="219"/>
        <v>Nicor Gas PY11-PY14 Adjustable Goals Template_2025-03-01, Tab 5.4.4</v>
      </c>
      <c r="AV291" s="2247">
        <f>'5.4.4'!$O$11</f>
        <v>0.9635545569243823</v>
      </c>
      <c r="AW291" s="2568" t="s">
        <v>481</v>
      </c>
      <c r="AX291" s="1362">
        <f t="shared" si="220"/>
        <v>255.17044487382879</v>
      </c>
      <c r="AY291" s="1360">
        <f t="shared" si="221"/>
        <v>26.188545658103521</v>
      </c>
      <c r="AZ291" s="1132" t="str">
        <f t="shared" si="222"/>
        <v>RS-HWE-LFFA-V07-190101</v>
      </c>
      <c r="BA291" s="1132" t="str">
        <f t="shared" si="223"/>
        <v>Nicor Gas PY11-PY14 Adjustable Goals Template_2025-03-01, Tab 5.4.4</v>
      </c>
      <c r="BB291" s="2247">
        <f>'5.4.4'!$O$11</f>
        <v>0.9635545569243823</v>
      </c>
      <c r="BC291" s="2568" t="s">
        <v>481</v>
      </c>
      <c r="BD291" s="1362">
        <f t="shared" si="224"/>
        <v>255.17044487382879</v>
      </c>
      <c r="BE291" s="1360">
        <f t="shared" si="225"/>
        <v>26.188545658103521</v>
      </c>
      <c r="BF291" s="1132" t="str">
        <f t="shared" si="226"/>
        <v>RS-HWE-LFFA-V07-190101</v>
      </c>
      <c r="BG291" s="1132" t="str">
        <f t="shared" si="227"/>
        <v>Nicor Gas PY11-PY14 Adjustable Goals Template_2025-03-01, Tab 5.4.4</v>
      </c>
      <c r="BH291" s="2247">
        <f>'5.4.4'!$O$11</f>
        <v>0.9635545569243823</v>
      </c>
      <c r="BI291" s="2568" t="s">
        <v>481</v>
      </c>
      <c r="BJ291" s="1362">
        <f t="shared" si="249"/>
        <v>255.17044487382879</v>
      </c>
      <c r="BK291" s="1360">
        <f t="shared" si="228"/>
        <v>26.188545658103521</v>
      </c>
      <c r="BL291" s="1601">
        <f t="shared" si="229"/>
        <v>255.17044487382879</v>
      </c>
      <c r="BM291" s="1601">
        <f t="shared" si="230"/>
        <v>255.17044487382879</v>
      </c>
      <c r="BN291" s="1601">
        <f t="shared" si="231"/>
        <v>255.17044487382879</v>
      </c>
      <c r="BO291" s="1601">
        <f t="shared" si="232"/>
        <v>255.17044487382879</v>
      </c>
      <c r="BP291" s="1602">
        <f t="shared" si="233"/>
        <v>1020.6817794953151</v>
      </c>
      <c r="BQ291" s="1629"/>
      <c r="BR291" s="1629" t="s">
        <v>697</v>
      </c>
      <c r="BS291" s="1602">
        <v>0</v>
      </c>
      <c r="BT291" s="1602">
        <v>10</v>
      </c>
      <c r="BU291" s="1602">
        <v>10</v>
      </c>
      <c r="BV291" s="1602">
        <v>10</v>
      </c>
      <c r="BW291" s="1602">
        <v>10</v>
      </c>
      <c r="BX291" s="1362">
        <f t="shared" si="250"/>
        <v>2289.8189921572525</v>
      </c>
      <c r="BY291" s="1362">
        <f t="shared" si="251"/>
        <v>2289.8189921572525</v>
      </c>
      <c r="BZ291" s="1362">
        <f t="shared" si="252"/>
        <v>2289.8189921572525</v>
      </c>
      <c r="CA291" s="1362">
        <f t="shared" si="253"/>
        <v>2289.8189921572525</v>
      </c>
      <c r="CB291" s="1362">
        <f t="shared" si="254"/>
        <v>9159.2759686290101</v>
      </c>
      <c r="CC291" s="1360">
        <v>10</v>
      </c>
      <c r="CD291" s="1360">
        <v>10</v>
      </c>
      <c r="CE291" s="1360">
        <v>10</v>
      </c>
      <c r="CF291" s="1360">
        <v>10</v>
      </c>
      <c r="CG291" s="1604">
        <f t="shared" si="234"/>
        <v>2551.7044487382877</v>
      </c>
      <c r="CH291" s="1604">
        <f t="shared" si="235"/>
        <v>2551.7044487382877</v>
      </c>
      <c r="CI291" s="1604">
        <f t="shared" si="236"/>
        <v>2551.7044487382877</v>
      </c>
      <c r="CJ291" s="1604">
        <f t="shared" si="237"/>
        <v>2551.7044487382877</v>
      </c>
      <c r="CK291" s="1521">
        <f t="shared" si="238"/>
        <v>10206.817794953151</v>
      </c>
      <c r="CL291" s="1132">
        <v>284</v>
      </c>
      <c r="CM291" s="1132" t="s">
        <v>328</v>
      </c>
      <c r="CN291" s="1359">
        <v>1</v>
      </c>
      <c r="CO291" s="1360">
        <v>248.52</v>
      </c>
      <c r="CP291" s="1360">
        <v>248.52</v>
      </c>
      <c r="CQ291" s="1360">
        <v>248.52</v>
      </c>
      <c r="CR291" s="1360">
        <v>248.52</v>
      </c>
      <c r="CS291" s="1362">
        <f t="shared" si="239"/>
        <v>214.88615595793419</v>
      </c>
      <c r="CT291" s="1362">
        <f t="shared" si="240"/>
        <v>214.88615595793419</v>
      </c>
      <c r="CU291" s="1362">
        <f t="shared" si="241"/>
        <v>214.88615595793419</v>
      </c>
      <c r="CV291" s="1362">
        <f t="shared" si="242"/>
        <v>214.88615595793419</v>
      </c>
      <c r="CW291" s="1362">
        <f t="shared" si="243"/>
        <v>859.54462383173677</v>
      </c>
      <c r="CY291" s="2887"/>
    </row>
    <row r="292" spans="1:103" s="1143" customFormat="1" ht="46.5" x14ac:dyDescent="0.35">
      <c r="A292" s="1132" t="s">
        <v>110</v>
      </c>
      <c r="B292" s="1132" t="s">
        <v>781</v>
      </c>
      <c r="C292" s="1132" t="s">
        <v>635</v>
      </c>
      <c r="D292" s="1359" t="s">
        <v>636</v>
      </c>
      <c r="E292" s="1359">
        <v>1</v>
      </c>
      <c r="F292" s="2564" t="s">
        <v>637</v>
      </c>
      <c r="G292" s="1132" t="s">
        <v>356</v>
      </c>
      <c r="H292" s="1360">
        <v>4.6459999999999999</v>
      </c>
      <c r="I292" s="1360">
        <v>4.6459999999999999</v>
      </c>
      <c r="J292" s="1360">
        <v>4.6459999999999999</v>
      </c>
      <c r="K292" s="1360">
        <v>4.6459999999999999</v>
      </c>
      <c r="L292" s="1132" t="s">
        <v>638</v>
      </c>
      <c r="M292" s="1132" t="str">
        <f t="shared" si="205"/>
        <v>Nicor Gas PY11-PY14 Adjustable Goals Template_2025-03-01, Tab 5.3.6</v>
      </c>
      <c r="N292" s="2511">
        <v>200.87617986470349</v>
      </c>
      <c r="O292" s="1361">
        <v>200.87617986470349</v>
      </c>
      <c r="P292" s="1361">
        <v>200.87617986470349</v>
      </c>
      <c r="Q292" s="1361">
        <v>200.87617986470349</v>
      </c>
      <c r="R292" s="1781">
        <v>1</v>
      </c>
      <c r="S292" s="1781">
        <v>1</v>
      </c>
      <c r="T292" s="1781">
        <v>1</v>
      </c>
      <c r="U292" s="1781">
        <v>1</v>
      </c>
      <c r="V292" s="1781">
        <v>1</v>
      </c>
      <c r="W292" s="1781">
        <v>1</v>
      </c>
      <c r="X292" s="1781">
        <v>1</v>
      </c>
      <c r="Y292" s="1781">
        <v>1</v>
      </c>
      <c r="Z292" s="1359">
        <v>0</v>
      </c>
      <c r="AA292" s="1781">
        <f t="shared" si="206"/>
        <v>1</v>
      </c>
      <c r="AB292" s="1781">
        <f t="shared" si="207"/>
        <v>1</v>
      </c>
      <c r="AC292" s="1781">
        <f t="shared" si="208"/>
        <v>1</v>
      </c>
      <c r="AD292" s="1781">
        <f t="shared" si="209"/>
        <v>1</v>
      </c>
      <c r="AE292" s="1781">
        <f t="shared" si="210"/>
        <v>1</v>
      </c>
      <c r="AF292" s="1781">
        <f t="shared" si="211"/>
        <v>1</v>
      </c>
      <c r="AG292" s="1781">
        <f t="shared" si="212"/>
        <v>1</v>
      </c>
      <c r="AH292" s="1781">
        <f t="shared" si="213"/>
        <v>1</v>
      </c>
      <c r="AI292" s="1362">
        <f t="shared" si="244"/>
        <v>933.27073165141235</v>
      </c>
      <c r="AJ292" s="1362">
        <f t="shared" si="245"/>
        <v>933.27073165141235</v>
      </c>
      <c r="AK292" s="1362">
        <f t="shared" si="246"/>
        <v>933.27073165141235</v>
      </c>
      <c r="AL292" s="1362">
        <f t="shared" si="247"/>
        <v>933.27073165141235</v>
      </c>
      <c r="AM292" s="1362">
        <f t="shared" si="248"/>
        <v>3733.0829266056494</v>
      </c>
      <c r="AN292" s="1132" t="str">
        <f t="shared" si="214"/>
        <v>RS-HVC-GHEB-V07-190101</v>
      </c>
      <c r="AO292" s="1132" t="str">
        <f t="shared" si="215"/>
        <v>Nicor Gas PY11-PY14 Adjustable Goals Template_2025-03-01, Tab 5.3.6</v>
      </c>
      <c r="AP292" s="2505">
        <f>'5.3.6'!$P$4</f>
        <v>200.87617986470349</v>
      </c>
      <c r="AQ292" s="2531"/>
      <c r="AR292" s="2505">
        <f t="shared" si="216"/>
        <v>933.27073165141235</v>
      </c>
      <c r="AS292" s="2247">
        <f t="shared" si="217"/>
        <v>0</v>
      </c>
      <c r="AT292" s="1132" t="str">
        <f t="shared" si="218"/>
        <v>RS-HVC-GHEB-V07-190101</v>
      </c>
      <c r="AU292" s="1132" t="str">
        <f t="shared" si="219"/>
        <v>Nicor Gas PY11-PY14 Adjustable Goals Template_2025-03-01, Tab 5.3.6</v>
      </c>
      <c r="AV292" s="2505">
        <f>'5.3.6'!$P$4</f>
        <v>200.87617986470349</v>
      </c>
      <c r="AW292" s="2531"/>
      <c r="AX292" s="1362">
        <f t="shared" si="220"/>
        <v>933.27073165141235</v>
      </c>
      <c r="AY292" s="1360">
        <f t="shared" si="221"/>
        <v>0</v>
      </c>
      <c r="AZ292" s="1132" t="str">
        <f t="shared" si="222"/>
        <v>RS-HVC-GHEB-V07-190101</v>
      </c>
      <c r="BA292" s="1132" t="str">
        <f t="shared" si="223"/>
        <v>Nicor Gas PY11-PY14 Adjustable Goals Template_2025-03-01, Tab 5.3.6</v>
      </c>
      <c r="BB292" s="2505">
        <f>'5.3.6'!$P$4</f>
        <v>200.87617986470349</v>
      </c>
      <c r="BC292" s="2531"/>
      <c r="BD292" s="1362">
        <f t="shared" si="224"/>
        <v>933.27073165141235</v>
      </c>
      <c r="BE292" s="1360">
        <f t="shared" si="225"/>
        <v>0</v>
      </c>
      <c r="BF292" s="1132" t="str">
        <f t="shared" si="226"/>
        <v>RS-HVC-GHEB-V07-190101</v>
      </c>
      <c r="BG292" s="1132" t="str">
        <f t="shared" si="227"/>
        <v>Nicor Gas PY11-PY14 Adjustable Goals Template_2025-03-01, Tab 5.3.6</v>
      </c>
      <c r="BH292" s="2505">
        <f>'5.3.6'!$P$4</f>
        <v>200.87617986470349</v>
      </c>
      <c r="BI292" s="2531"/>
      <c r="BJ292" s="1362">
        <f t="shared" si="249"/>
        <v>933.27073165141235</v>
      </c>
      <c r="BK292" s="1360">
        <f t="shared" si="228"/>
        <v>0</v>
      </c>
      <c r="BL292" s="1601">
        <f t="shared" si="229"/>
        <v>933.27073165141235</v>
      </c>
      <c r="BM292" s="1601">
        <f t="shared" si="230"/>
        <v>933.27073165141235</v>
      </c>
      <c r="BN292" s="1601">
        <f t="shared" si="231"/>
        <v>933.27073165141235</v>
      </c>
      <c r="BO292" s="1601">
        <f t="shared" si="232"/>
        <v>933.27073165141235</v>
      </c>
      <c r="BP292" s="1602">
        <f t="shared" si="233"/>
        <v>3733.0829266056494</v>
      </c>
      <c r="BQ292" s="1629"/>
      <c r="BR292" s="1629" t="s">
        <v>637</v>
      </c>
      <c r="BS292" s="1602">
        <v>0</v>
      </c>
      <c r="BT292" s="1602">
        <v>25</v>
      </c>
      <c r="BU292" s="1602">
        <v>25</v>
      </c>
      <c r="BV292" s="1602">
        <v>25</v>
      </c>
      <c r="BW292" s="1602">
        <v>25</v>
      </c>
      <c r="BX292" s="1362">
        <f t="shared" si="250"/>
        <v>23331.768291285309</v>
      </c>
      <c r="BY292" s="1362">
        <f t="shared" si="251"/>
        <v>23331.768291285309</v>
      </c>
      <c r="BZ292" s="1362">
        <f t="shared" si="252"/>
        <v>23331.768291285309</v>
      </c>
      <c r="CA292" s="1362">
        <f t="shared" si="253"/>
        <v>23331.768291285309</v>
      </c>
      <c r="CB292" s="1362">
        <f t="shared" si="254"/>
        <v>93327.073165141235</v>
      </c>
      <c r="CC292" s="1360">
        <v>25</v>
      </c>
      <c r="CD292" s="1360">
        <v>25</v>
      </c>
      <c r="CE292" s="1360">
        <v>25</v>
      </c>
      <c r="CF292" s="1360">
        <v>25</v>
      </c>
      <c r="CG292" s="1604">
        <f t="shared" si="234"/>
        <v>23331.768291285309</v>
      </c>
      <c r="CH292" s="1604">
        <f t="shared" si="235"/>
        <v>23331.768291285309</v>
      </c>
      <c r="CI292" s="1604">
        <f t="shared" si="236"/>
        <v>23331.768291285309</v>
      </c>
      <c r="CJ292" s="1604">
        <f t="shared" si="237"/>
        <v>23331.768291285309</v>
      </c>
      <c r="CK292" s="1521">
        <f t="shared" si="238"/>
        <v>93327.073165141235</v>
      </c>
      <c r="CL292" s="1132">
        <v>285</v>
      </c>
      <c r="CM292" s="1132" t="s">
        <v>356</v>
      </c>
      <c r="CN292" s="1359">
        <v>1</v>
      </c>
      <c r="CO292" s="1360">
        <v>4.3600000000000003</v>
      </c>
      <c r="CP292" s="1360">
        <v>4.3600000000000003</v>
      </c>
      <c r="CQ292" s="1360">
        <v>4.3600000000000003</v>
      </c>
      <c r="CR292" s="1360">
        <v>4.3600000000000003</v>
      </c>
      <c r="CS292" s="1362">
        <f t="shared" si="239"/>
        <v>875.82014421010729</v>
      </c>
      <c r="CT292" s="1362">
        <f t="shared" si="240"/>
        <v>875.82014421010729</v>
      </c>
      <c r="CU292" s="1362">
        <f t="shared" si="241"/>
        <v>875.82014421010729</v>
      </c>
      <c r="CV292" s="1362">
        <f t="shared" si="242"/>
        <v>875.82014421010729</v>
      </c>
      <c r="CW292" s="1362">
        <f t="shared" si="243"/>
        <v>3503.2805768404291</v>
      </c>
      <c r="CY292" s="2887"/>
    </row>
    <row r="293" spans="1:103" s="1143" customFormat="1" ht="46.5" x14ac:dyDescent="0.35">
      <c r="A293" s="1132" t="s">
        <v>110</v>
      </c>
      <c r="B293" s="1132" t="s">
        <v>781</v>
      </c>
      <c r="C293" s="1132" t="s">
        <v>669</v>
      </c>
      <c r="D293" s="1359" t="s">
        <v>670</v>
      </c>
      <c r="E293" s="1359">
        <v>1</v>
      </c>
      <c r="F293" s="2564" t="s">
        <v>671</v>
      </c>
      <c r="G293" s="1132" t="s">
        <v>328</v>
      </c>
      <c r="H293" s="1360">
        <v>104.535</v>
      </c>
      <c r="I293" s="1360">
        <v>104.535</v>
      </c>
      <c r="J293" s="1360">
        <v>104.535</v>
      </c>
      <c r="K293" s="1360">
        <v>104.535</v>
      </c>
      <c r="L293" s="1132" t="s">
        <v>672</v>
      </c>
      <c r="M293" s="1132" t="str">
        <f t="shared" si="205"/>
        <v>Nicor Gas PY11-PY14 Adjustable Goals Template_2025-03-01, Tab 5.3.4</v>
      </c>
      <c r="N293" s="1361">
        <v>126.70426992521378</v>
      </c>
      <c r="O293" s="1361">
        <v>126.70426992521378</v>
      </c>
      <c r="P293" s="1361">
        <v>126.70426992521378</v>
      </c>
      <c r="Q293" s="1361">
        <v>126.70426992521378</v>
      </c>
      <c r="R293" s="1781">
        <v>1</v>
      </c>
      <c r="S293" s="1781">
        <v>1</v>
      </c>
      <c r="T293" s="1781">
        <v>1</v>
      </c>
      <c r="U293" s="1781">
        <v>1</v>
      </c>
      <c r="V293" s="1781">
        <v>1</v>
      </c>
      <c r="W293" s="1781">
        <v>1</v>
      </c>
      <c r="X293" s="1781">
        <v>1</v>
      </c>
      <c r="Y293" s="1781">
        <v>1</v>
      </c>
      <c r="Z293" s="1359">
        <v>0</v>
      </c>
      <c r="AA293" s="1781">
        <f t="shared" si="206"/>
        <v>1</v>
      </c>
      <c r="AB293" s="1781">
        <f t="shared" si="207"/>
        <v>1</v>
      </c>
      <c r="AC293" s="1781">
        <f t="shared" si="208"/>
        <v>1</v>
      </c>
      <c r="AD293" s="1781">
        <f t="shared" si="209"/>
        <v>1</v>
      </c>
      <c r="AE293" s="1781">
        <f t="shared" si="210"/>
        <v>1</v>
      </c>
      <c r="AF293" s="1781">
        <f t="shared" si="211"/>
        <v>1</v>
      </c>
      <c r="AG293" s="1781">
        <f t="shared" si="212"/>
        <v>1</v>
      </c>
      <c r="AH293" s="1781">
        <f t="shared" si="213"/>
        <v>1</v>
      </c>
      <c r="AI293" s="1362">
        <f t="shared" si="244"/>
        <v>13245.030856632222</v>
      </c>
      <c r="AJ293" s="1362">
        <f t="shared" si="245"/>
        <v>13245.030856632222</v>
      </c>
      <c r="AK293" s="1362">
        <f t="shared" si="246"/>
        <v>13245.030856632222</v>
      </c>
      <c r="AL293" s="1362">
        <f t="shared" si="247"/>
        <v>13245.030856632222</v>
      </c>
      <c r="AM293" s="1362">
        <f t="shared" si="248"/>
        <v>52980.123426528888</v>
      </c>
      <c r="AN293" s="1132" t="str">
        <f t="shared" si="214"/>
        <v>RS-HVC-DINS-V07-190101</v>
      </c>
      <c r="AO293" s="1132" t="str">
        <f t="shared" si="215"/>
        <v>Nicor Gas PY11-PY14 Adjustable Goals Template_2025-03-01, Tab 5.3.4</v>
      </c>
      <c r="AP293" s="2505">
        <f>'5.3.4'!$T$6</f>
        <v>126.70426992521378</v>
      </c>
      <c r="AQ293" s="2505"/>
      <c r="AR293" s="2505">
        <f t="shared" si="216"/>
        <v>13245.030856632222</v>
      </c>
      <c r="AS293" s="2505">
        <f t="shared" si="217"/>
        <v>0</v>
      </c>
      <c r="AT293" s="1132" t="str">
        <f t="shared" si="218"/>
        <v>RS-HVC-DINS-V07-190101</v>
      </c>
      <c r="AU293" s="1132" t="str">
        <f t="shared" si="219"/>
        <v>Nicor Gas PY11-PY14 Adjustable Goals Template_2025-03-01, Tab 5.3.4</v>
      </c>
      <c r="AV293" s="2505">
        <f>'5.3.4'!$T$6</f>
        <v>126.70426992521378</v>
      </c>
      <c r="AW293" s="2505"/>
      <c r="AX293" s="1362">
        <f t="shared" si="220"/>
        <v>13245.030856632222</v>
      </c>
      <c r="AY293" s="1360">
        <f t="shared" si="221"/>
        <v>0</v>
      </c>
      <c r="AZ293" s="1132" t="str">
        <f t="shared" si="222"/>
        <v>RS-HVC-DINS-V07-190101</v>
      </c>
      <c r="BA293" s="1132" t="str">
        <f t="shared" si="223"/>
        <v>Nicor Gas PY11-PY14 Adjustable Goals Template_2025-03-01, Tab 5.3.4</v>
      </c>
      <c r="BB293" s="2505">
        <f>'5.3.4'!$T$6</f>
        <v>126.70426992521378</v>
      </c>
      <c r="BC293" s="2505"/>
      <c r="BD293" s="1362">
        <f t="shared" si="224"/>
        <v>13245.030856632222</v>
      </c>
      <c r="BE293" s="1360">
        <f t="shared" si="225"/>
        <v>0</v>
      </c>
      <c r="BF293" s="1132" t="str">
        <f t="shared" si="226"/>
        <v>RS-HVC-DINS-V07-190101</v>
      </c>
      <c r="BG293" s="1132" t="str">
        <f t="shared" si="227"/>
        <v>Nicor Gas PY11-PY14 Adjustable Goals Template_2025-03-01, Tab 5.3.4</v>
      </c>
      <c r="BH293" s="2505">
        <f>'5.3.4'!$T$6</f>
        <v>126.70426992521378</v>
      </c>
      <c r="BI293" s="2505"/>
      <c r="BJ293" s="1362">
        <f t="shared" si="249"/>
        <v>13245.030856632222</v>
      </c>
      <c r="BK293" s="1360">
        <f t="shared" si="228"/>
        <v>0</v>
      </c>
      <c r="BL293" s="1601">
        <f t="shared" si="229"/>
        <v>13245.030856632222</v>
      </c>
      <c r="BM293" s="1601">
        <f t="shared" si="230"/>
        <v>13245.030856632222</v>
      </c>
      <c r="BN293" s="1601">
        <f t="shared" si="231"/>
        <v>13245.030856632222</v>
      </c>
      <c r="BO293" s="1601">
        <f t="shared" si="232"/>
        <v>13245.030856632222</v>
      </c>
      <c r="BP293" s="1602">
        <f t="shared" si="233"/>
        <v>52980.123426528888</v>
      </c>
      <c r="BQ293" s="1629"/>
      <c r="BR293" s="1629" t="s">
        <v>671</v>
      </c>
      <c r="BS293" s="2773">
        <v>1</v>
      </c>
      <c r="BT293" s="1602">
        <v>18.512820512820507</v>
      </c>
      <c r="BU293" s="1602">
        <v>18.512820512820507</v>
      </c>
      <c r="BV293" s="1602">
        <v>18.512820512820507</v>
      </c>
      <c r="BW293" s="1602">
        <v>18.512820512820507</v>
      </c>
      <c r="BX293" s="1362">
        <f t="shared" si="250"/>
        <v>245202.87893560156</v>
      </c>
      <c r="BY293" s="1362">
        <f t="shared" si="251"/>
        <v>245202.87893560156</v>
      </c>
      <c r="BZ293" s="1362">
        <f t="shared" si="252"/>
        <v>245202.87893560156</v>
      </c>
      <c r="CA293" s="1362">
        <f t="shared" si="253"/>
        <v>245202.87893560156</v>
      </c>
      <c r="CB293" s="1362">
        <f t="shared" si="254"/>
        <v>980811.51574240625</v>
      </c>
      <c r="CC293" s="2775">
        <v>20</v>
      </c>
      <c r="CD293" s="2775">
        <v>20</v>
      </c>
      <c r="CE293" s="2775">
        <v>20</v>
      </c>
      <c r="CF293" s="2775">
        <v>20</v>
      </c>
      <c r="CG293" s="1604">
        <f t="shared" si="234"/>
        <v>264900.61713264446</v>
      </c>
      <c r="CH293" s="1604">
        <f t="shared" si="235"/>
        <v>264900.61713264446</v>
      </c>
      <c r="CI293" s="1604">
        <f t="shared" si="236"/>
        <v>264900.61713264446</v>
      </c>
      <c r="CJ293" s="1604">
        <f t="shared" si="237"/>
        <v>264900.61713264446</v>
      </c>
      <c r="CK293" s="1521">
        <f t="shared" si="238"/>
        <v>1059602.4685305778</v>
      </c>
      <c r="CL293" s="1132">
        <v>286</v>
      </c>
      <c r="CM293" s="1132" t="s">
        <v>328</v>
      </c>
      <c r="CN293" s="1359">
        <v>1</v>
      </c>
      <c r="CO293" s="1360">
        <v>98.100000000000009</v>
      </c>
      <c r="CP293" s="1360">
        <v>98.100000000000009</v>
      </c>
      <c r="CQ293" s="1360">
        <v>98.100000000000009</v>
      </c>
      <c r="CR293" s="1360">
        <v>98.100000000000009</v>
      </c>
      <c r="CS293" s="1362">
        <f t="shared" si="239"/>
        <v>12429.688879663472</v>
      </c>
      <c r="CT293" s="1362">
        <f t="shared" si="240"/>
        <v>12429.688879663472</v>
      </c>
      <c r="CU293" s="1362">
        <f t="shared" si="241"/>
        <v>12429.688879663472</v>
      </c>
      <c r="CV293" s="1362">
        <f t="shared" si="242"/>
        <v>12429.688879663472</v>
      </c>
      <c r="CW293" s="1362">
        <f t="shared" si="243"/>
        <v>49718.755518653888</v>
      </c>
      <c r="CY293" s="2887"/>
    </row>
    <row r="294" spans="1:103" s="1143" customFormat="1" ht="46.5" x14ac:dyDescent="0.35">
      <c r="A294" s="1132" t="s">
        <v>110</v>
      </c>
      <c r="B294" s="1132" t="s">
        <v>781</v>
      </c>
      <c r="C294" s="1132" t="s">
        <v>737</v>
      </c>
      <c r="D294" s="1359" t="s">
        <v>738</v>
      </c>
      <c r="E294" s="1359">
        <v>1</v>
      </c>
      <c r="F294" s="2564" t="s">
        <v>739</v>
      </c>
      <c r="G294" s="1132" t="s">
        <v>328</v>
      </c>
      <c r="H294" s="1360">
        <v>27.875999999999998</v>
      </c>
      <c r="I294" s="1360">
        <v>27.875999999999998</v>
      </c>
      <c r="J294" s="1360">
        <v>27.875999999999998</v>
      </c>
      <c r="K294" s="1360">
        <v>27.875999999999998</v>
      </c>
      <c r="L294" s="1132" t="s">
        <v>740</v>
      </c>
      <c r="M294" s="1132" t="str">
        <f t="shared" si="205"/>
        <v>Nicor Gas PY11-PY14 Adjustable Goals Template_2025-03-01, Tab 5.3.13</v>
      </c>
      <c r="N294" s="2515">
        <v>15.182208249899112</v>
      </c>
      <c r="O294" s="1361">
        <v>15.182208249899112</v>
      </c>
      <c r="P294" s="1361">
        <v>15.182208249899112</v>
      </c>
      <c r="Q294" s="1361">
        <v>15.182208249899112</v>
      </c>
      <c r="R294" s="1781">
        <v>1</v>
      </c>
      <c r="S294" s="1781">
        <v>1</v>
      </c>
      <c r="T294" s="1781">
        <v>1</v>
      </c>
      <c r="U294" s="1781">
        <v>1</v>
      </c>
      <c r="V294" s="1781">
        <v>1</v>
      </c>
      <c r="W294" s="1781">
        <v>1</v>
      </c>
      <c r="X294" s="1781">
        <v>1</v>
      </c>
      <c r="Y294" s="1781">
        <v>1</v>
      </c>
      <c r="Z294" s="1359">
        <v>0</v>
      </c>
      <c r="AA294" s="1781">
        <f t="shared" si="206"/>
        <v>1</v>
      </c>
      <c r="AB294" s="1781">
        <f t="shared" si="207"/>
        <v>1</v>
      </c>
      <c r="AC294" s="1781">
        <f t="shared" si="208"/>
        <v>1</v>
      </c>
      <c r="AD294" s="1781">
        <f t="shared" si="209"/>
        <v>1</v>
      </c>
      <c r="AE294" s="1781">
        <f t="shared" si="210"/>
        <v>1</v>
      </c>
      <c r="AF294" s="1781">
        <f t="shared" si="211"/>
        <v>1</v>
      </c>
      <c r="AG294" s="1781">
        <f t="shared" si="212"/>
        <v>1</v>
      </c>
      <c r="AH294" s="1781">
        <f t="shared" si="213"/>
        <v>1</v>
      </c>
      <c r="AI294" s="1362">
        <f t="shared" si="244"/>
        <v>423.21923717418764</v>
      </c>
      <c r="AJ294" s="1362">
        <f t="shared" si="245"/>
        <v>423.21923717418764</v>
      </c>
      <c r="AK294" s="1362">
        <f t="shared" si="246"/>
        <v>423.21923717418764</v>
      </c>
      <c r="AL294" s="1362">
        <f t="shared" si="247"/>
        <v>423.21923717418764</v>
      </c>
      <c r="AM294" s="1362">
        <f t="shared" si="248"/>
        <v>1692.8769486967506</v>
      </c>
      <c r="AN294" s="1132" t="str">
        <f t="shared" si="214"/>
        <v>RS-HVC-FTUN-V03-180101</v>
      </c>
      <c r="AO294" s="1132" t="str">
        <f t="shared" si="215"/>
        <v>Nicor Gas PY11-PY14 Adjustable Goals Template_2025-03-01, Tab 5.3.13</v>
      </c>
      <c r="AP294" s="2247">
        <f>'5.3.13'!$Q$4</f>
        <v>15.182208249899112</v>
      </c>
      <c r="AQ294" s="2531"/>
      <c r="AR294" s="2505">
        <f t="shared" si="216"/>
        <v>423.21923717418764</v>
      </c>
      <c r="AS294" s="2247">
        <f t="shared" si="217"/>
        <v>0</v>
      </c>
      <c r="AT294" s="1132" t="str">
        <f t="shared" si="218"/>
        <v>RS-HVC-FTUN-V03-180101</v>
      </c>
      <c r="AU294" s="1132" t="str">
        <f t="shared" si="219"/>
        <v>Nicor Gas PY11-PY14 Adjustable Goals Template_2025-03-01, Tab 5.3.13</v>
      </c>
      <c r="AV294" s="2247">
        <f>'5.3.13'!$Q$4</f>
        <v>15.182208249899112</v>
      </c>
      <c r="AW294" s="2531"/>
      <c r="AX294" s="1362">
        <f t="shared" si="220"/>
        <v>423.21923717418764</v>
      </c>
      <c r="AY294" s="1360">
        <f t="shared" si="221"/>
        <v>0</v>
      </c>
      <c r="AZ294" s="1132" t="str">
        <f t="shared" si="222"/>
        <v>RS-HVC-FTUN-V03-180101</v>
      </c>
      <c r="BA294" s="1132" t="str">
        <f t="shared" si="223"/>
        <v>Nicor Gas PY11-PY14 Adjustable Goals Template_2025-03-01, Tab 5.3.13</v>
      </c>
      <c r="BB294" s="2247">
        <f>'5.3.13'!$Q$4</f>
        <v>15.182208249899112</v>
      </c>
      <c r="BC294" s="2531"/>
      <c r="BD294" s="1362">
        <f t="shared" si="224"/>
        <v>423.21923717418764</v>
      </c>
      <c r="BE294" s="1360">
        <f t="shared" si="225"/>
        <v>0</v>
      </c>
      <c r="BF294" s="1132" t="str">
        <f t="shared" si="226"/>
        <v>RS-HVC-FTUN-V03-180101</v>
      </c>
      <c r="BG294" s="1132" t="str">
        <f t="shared" si="227"/>
        <v>Nicor Gas PY11-PY14 Adjustable Goals Template_2025-03-01, Tab 5.3.13</v>
      </c>
      <c r="BH294" s="2247">
        <f>'5.3.13'!$Q$4</f>
        <v>15.182208249899112</v>
      </c>
      <c r="BI294" s="2531"/>
      <c r="BJ294" s="1362">
        <f t="shared" si="249"/>
        <v>423.21923717418764</v>
      </c>
      <c r="BK294" s="1360">
        <f t="shared" si="228"/>
        <v>0</v>
      </c>
      <c r="BL294" s="1601">
        <f t="shared" si="229"/>
        <v>423.21923717418764</v>
      </c>
      <c r="BM294" s="1601">
        <f t="shared" si="230"/>
        <v>423.21923717418764</v>
      </c>
      <c r="BN294" s="1601">
        <f t="shared" si="231"/>
        <v>423.21923717418764</v>
      </c>
      <c r="BO294" s="1601">
        <f t="shared" si="232"/>
        <v>423.21923717418764</v>
      </c>
      <c r="BP294" s="1602">
        <f t="shared" si="233"/>
        <v>1692.8769486967506</v>
      </c>
      <c r="BQ294" s="1629"/>
      <c r="BR294" s="1629" t="s">
        <v>739</v>
      </c>
      <c r="BS294" s="1602">
        <v>0</v>
      </c>
      <c r="BT294" s="1602">
        <v>3</v>
      </c>
      <c r="BU294" s="1602">
        <v>3</v>
      </c>
      <c r="BV294" s="1602">
        <v>3</v>
      </c>
      <c r="BW294" s="1602">
        <v>3</v>
      </c>
      <c r="BX294" s="1362">
        <f t="shared" si="250"/>
        <v>1269.657711522563</v>
      </c>
      <c r="BY294" s="1362">
        <f t="shared" si="251"/>
        <v>1269.657711522563</v>
      </c>
      <c r="BZ294" s="1362">
        <f t="shared" si="252"/>
        <v>1269.657711522563</v>
      </c>
      <c r="CA294" s="1362">
        <f t="shared" si="253"/>
        <v>1269.657711522563</v>
      </c>
      <c r="CB294" s="1362">
        <f t="shared" si="254"/>
        <v>5078.6308460902519</v>
      </c>
      <c r="CC294" s="1360">
        <v>3</v>
      </c>
      <c r="CD294" s="1360">
        <v>3</v>
      </c>
      <c r="CE294" s="1360">
        <v>3</v>
      </c>
      <c r="CF294" s="1360">
        <v>3</v>
      </c>
      <c r="CG294" s="1604">
        <f t="shared" si="234"/>
        <v>1269.657711522563</v>
      </c>
      <c r="CH294" s="1604">
        <f t="shared" si="235"/>
        <v>1269.657711522563</v>
      </c>
      <c r="CI294" s="1604">
        <f t="shared" si="236"/>
        <v>1269.657711522563</v>
      </c>
      <c r="CJ294" s="1604">
        <f t="shared" si="237"/>
        <v>1269.657711522563</v>
      </c>
      <c r="CK294" s="1521">
        <f t="shared" si="238"/>
        <v>5078.6308460902519</v>
      </c>
      <c r="CL294" s="1132">
        <v>287</v>
      </c>
      <c r="CM294" s="1132" t="s">
        <v>328</v>
      </c>
      <c r="CN294" s="1359">
        <v>1</v>
      </c>
      <c r="CO294" s="1360">
        <v>26.160000000000004</v>
      </c>
      <c r="CP294" s="1360">
        <v>26.160000000000004</v>
      </c>
      <c r="CQ294" s="1360">
        <v>26.160000000000004</v>
      </c>
      <c r="CR294" s="1360">
        <v>26.160000000000004</v>
      </c>
      <c r="CS294" s="1362">
        <f t="shared" si="239"/>
        <v>397.16656781736083</v>
      </c>
      <c r="CT294" s="1362">
        <f t="shared" si="240"/>
        <v>397.16656781736083</v>
      </c>
      <c r="CU294" s="1362">
        <f t="shared" si="241"/>
        <v>397.16656781736083</v>
      </c>
      <c r="CV294" s="1362">
        <f t="shared" si="242"/>
        <v>397.16656781736083</v>
      </c>
      <c r="CW294" s="1362">
        <f t="shared" si="243"/>
        <v>1588.6662712694433</v>
      </c>
      <c r="CY294" s="2887"/>
    </row>
    <row r="295" spans="1:103" s="1143" customFormat="1" ht="15" customHeight="1" x14ac:dyDescent="0.35">
      <c r="A295" s="1132" t="s">
        <v>110</v>
      </c>
      <c r="B295" s="1132" t="s">
        <v>781</v>
      </c>
      <c r="C295" s="1132" t="s">
        <v>629</v>
      </c>
      <c r="D295" s="1359" t="s">
        <v>630</v>
      </c>
      <c r="E295" s="1359">
        <v>1</v>
      </c>
      <c r="F295" s="2564" t="s">
        <v>631</v>
      </c>
      <c r="G295" s="1132" t="s">
        <v>356</v>
      </c>
      <c r="H295" s="1360">
        <v>16.260999999999999</v>
      </c>
      <c r="I295" s="1360">
        <v>16.260999999999999</v>
      </c>
      <c r="J295" s="1360">
        <v>16.260999999999999</v>
      </c>
      <c r="K295" s="1360">
        <v>16.260999999999999</v>
      </c>
      <c r="L295" s="1132" t="s">
        <v>632</v>
      </c>
      <c r="M295" s="1132" t="str">
        <f t="shared" si="205"/>
        <v>Nicor Gas PY11-PY14 Adjustable Goals Template_2025-03-01, Tab 5.3.7</v>
      </c>
      <c r="N295" s="1361">
        <v>185.21062775919711</v>
      </c>
      <c r="O295" s="1361">
        <v>185.21062775919711</v>
      </c>
      <c r="P295" s="1361">
        <v>185.21062775919711</v>
      </c>
      <c r="Q295" s="1361">
        <v>185.21062775919711</v>
      </c>
      <c r="R295" s="1781">
        <v>1</v>
      </c>
      <c r="S295" s="1781">
        <v>1</v>
      </c>
      <c r="T295" s="1781">
        <v>1</v>
      </c>
      <c r="U295" s="1781">
        <v>1</v>
      </c>
      <c r="V295" s="1781">
        <v>1</v>
      </c>
      <c r="W295" s="1781">
        <v>1</v>
      </c>
      <c r="X295" s="1781">
        <v>1</v>
      </c>
      <c r="Y295" s="1781">
        <v>1</v>
      </c>
      <c r="Z295" s="1359">
        <v>0</v>
      </c>
      <c r="AA295" s="1781">
        <f t="shared" si="206"/>
        <v>1</v>
      </c>
      <c r="AB295" s="1781">
        <f t="shared" si="207"/>
        <v>1</v>
      </c>
      <c r="AC295" s="1781">
        <f t="shared" si="208"/>
        <v>1</v>
      </c>
      <c r="AD295" s="1781">
        <f t="shared" si="209"/>
        <v>1</v>
      </c>
      <c r="AE295" s="1781">
        <f t="shared" si="210"/>
        <v>1</v>
      </c>
      <c r="AF295" s="1781">
        <f t="shared" si="211"/>
        <v>1</v>
      </c>
      <c r="AG295" s="1781">
        <f t="shared" si="212"/>
        <v>1</v>
      </c>
      <c r="AH295" s="1781">
        <f t="shared" si="213"/>
        <v>1</v>
      </c>
      <c r="AI295" s="1362">
        <f t="shared" si="244"/>
        <v>3011.7100179923041</v>
      </c>
      <c r="AJ295" s="1362">
        <f t="shared" si="245"/>
        <v>3011.7100179923041</v>
      </c>
      <c r="AK295" s="1362">
        <f t="shared" si="246"/>
        <v>3011.7100179923041</v>
      </c>
      <c r="AL295" s="1362">
        <f t="shared" si="247"/>
        <v>3011.7100179923041</v>
      </c>
      <c r="AM295" s="1362">
        <f t="shared" si="248"/>
        <v>12046.840071969216</v>
      </c>
      <c r="AN295" s="1132" t="str">
        <f t="shared" si="214"/>
        <v>RS-HVC-GHEF-V08-190101</v>
      </c>
      <c r="AO295" s="1132" t="str">
        <f t="shared" si="215"/>
        <v>Nicor Gas PY11-PY14 Adjustable Goals Template_2025-03-01, Tab 5.3.7</v>
      </c>
      <c r="AP295" s="2505">
        <f>'5.3.7'!$P$4</f>
        <v>185.21062775919711</v>
      </c>
      <c r="AQ295" s="2505"/>
      <c r="AR295" s="2505">
        <f t="shared" si="216"/>
        <v>3011.7100179923041</v>
      </c>
      <c r="AS295" s="2505">
        <f t="shared" si="217"/>
        <v>0</v>
      </c>
      <c r="AT295" s="1132" t="str">
        <f t="shared" si="218"/>
        <v>RS-HVC-GHEF-V08-190101</v>
      </c>
      <c r="AU295" s="1132" t="str">
        <f t="shared" si="219"/>
        <v>Nicor Gas PY11-PY14 Adjustable Goals Template_2025-03-01, Tab 5.3.7</v>
      </c>
      <c r="AV295" s="2505">
        <f>'5.3.7'!$P$4</f>
        <v>185.21062775919711</v>
      </c>
      <c r="AW295" s="2505"/>
      <c r="AX295" s="1362">
        <f t="shared" si="220"/>
        <v>3011.7100179923041</v>
      </c>
      <c r="AY295" s="1360">
        <f t="shared" si="221"/>
        <v>0</v>
      </c>
      <c r="AZ295" s="1132" t="str">
        <f t="shared" si="222"/>
        <v>RS-HVC-GHEF-V08-190101</v>
      </c>
      <c r="BA295" s="1132" t="str">
        <f t="shared" si="223"/>
        <v>Nicor Gas PY11-PY14 Adjustable Goals Template_2025-03-01, Tab 5.3.7</v>
      </c>
      <c r="BB295" s="2505">
        <f>'5.3.7'!$P$4</f>
        <v>185.21062775919711</v>
      </c>
      <c r="BC295" s="2505"/>
      <c r="BD295" s="1362">
        <f t="shared" si="224"/>
        <v>3011.7100179923041</v>
      </c>
      <c r="BE295" s="1360">
        <f t="shared" si="225"/>
        <v>0</v>
      </c>
      <c r="BF295" s="1132" t="str">
        <f t="shared" si="226"/>
        <v>RS-HVC-GHEF-V08-190101</v>
      </c>
      <c r="BG295" s="1132" t="str">
        <f t="shared" si="227"/>
        <v>Nicor Gas PY11-PY14 Adjustable Goals Template_2025-03-01, Tab 5.3.7</v>
      </c>
      <c r="BH295" s="2505">
        <f>'5.3.7'!$P$4</f>
        <v>185.21062775919711</v>
      </c>
      <c r="BI295" s="2505"/>
      <c r="BJ295" s="1362">
        <f t="shared" si="249"/>
        <v>3011.7100179923041</v>
      </c>
      <c r="BK295" s="1360">
        <f t="shared" si="228"/>
        <v>0</v>
      </c>
      <c r="BL295" s="1601">
        <f t="shared" si="229"/>
        <v>3011.7100179923041</v>
      </c>
      <c r="BM295" s="1601">
        <f t="shared" si="230"/>
        <v>3011.7100179923041</v>
      </c>
      <c r="BN295" s="1601">
        <f t="shared" si="231"/>
        <v>3011.7100179923041</v>
      </c>
      <c r="BO295" s="1601">
        <f t="shared" si="232"/>
        <v>3011.7100179923041</v>
      </c>
      <c r="BP295" s="1602">
        <f t="shared" si="233"/>
        <v>12046.840071969216</v>
      </c>
      <c r="BQ295" s="1629"/>
      <c r="BR295" s="1629" t="s">
        <v>631</v>
      </c>
      <c r="BS295" s="1602">
        <v>0</v>
      </c>
      <c r="BT295" s="1602">
        <v>20</v>
      </c>
      <c r="BU295" s="1602">
        <v>20</v>
      </c>
      <c r="BV295" s="1602">
        <v>20</v>
      </c>
      <c r="BW295" s="1602">
        <v>20</v>
      </c>
      <c r="BX295" s="1362">
        <f t="shared" si="250"/>
        <v>60234.20035984608</v>
      </c>
      <c r="BY295" s="1362">
        <f t="shared" si="251"/>
        <v>60234.20035984608</v>
      </c>
      <c r="BZ295" s="1362">
        <f t="shared" si="252"/>
        <v>60234.20035984608</v>
      </c>
      <c r="CA295" s="1362">
        <f t="shared" si="253"/>
        <v>60234.20035984608</v>
      </c>
      <c r="CB295" s="1362">
        <f t="shared" si="254"/>
        <v>240936.80143938432</v>
      </c>
      <c r="CC295" s="1360">
        <v>20</v>
      </c>
      <c r="CD295" s="1360">
        <v>20</v>
      </c>
      <c r="CE295" s="1360">
        <v>20</v>
      </c>
      <c r="CF295" s="1360">
        <v>20</v>
      </c>
      <c r="CG295" s="1604">
        <f t="shared" si="234"/>
        <v>60234.20035984608</v>
      </c>
      <c r="CH295" s="1604">
        <f t="shared" si="235"/>
        <v>60234.20035984608</v>
      </c>
      <c r="CI295" s="1604">
        <f t="shared" si="236"/>
        <v>60234.20035984608</v>
      </c>
      <c r="CJ295" s="1604">
        <f t="shared" si="237"/>
        <v>60234.20035984608</v>
      </c>
      <c r="CK295" s="1521">
        <f t="shared" si="238"/>
        <v>240936.80143938432</v>
      </c>
      <c r="CL295" s="1132">
        <v>288</v>
      </c>
      <c r="CM295" s="1132" t="s">
        <v>356</v>
      </c>
      <c r="CN295" s="1359">
        <v>1</v>
      </c>
      <c r="CO295" s="1360">
        <v>15.260000000000002</v>
      </c>
      <c r="CP295" s="1360">
        <v>15.260000000000002</v>
      </c>
      <c r="CQ295" s="1360">
        <v>15.260000000000002</v>
      </c>
      <c r="CR295" s="1360">
        <v>15.260000000000002</v>
      </c>
      <c r="CS295" s="1362">
        <f t="shared" si="239"/>
        <v>2826.3141796053483</v>
      </c>
      <c r="CT295" s="1362">
        <f t="shared" si="240"/>
        <v>2826.3141796053483</v>
      </c>
      <c r="CU295" s="1362">
        <f t="shared" si="241"/>
        <v>2826.3141796053483</v>
      </c>
      <c r="CV295" s="1362">
        <f t="shared" si="242"/>
        <v>2826.3141796053483</v>
      </c>
      <c r="CW295" s="1362">
        <f t="shared" si="243"/>
        <v>11305.256718421393</v>
      </c>
      <c r="CY295" s="2887"/>
    </row>
    <row r="296" spans="1:103" s="1143" customFormat="1" ht="15" customHeight="1" x14ac:dyDescent="0.35">
      <c r="A296" s="1132" t="s">
        <v>110</v>
      </c>
      <c r="B296" s="1132" t="s">
        <v>781</v>
      </c>
      <c r="C296" s="1132" t="s">
        <v>693</v>
      </c>
      <c r="D296" s="1359" t="s">
        <v>694</v>
      </c>
      <c r="E296" s="1359">
        <v>1</v>
      </c>
      <c r="F296" s="2807" t="s">
        <v>691</v>
      </c>
      <c r="G296" s="1132" t="s">
        <v>328</v>
      </c>
      <c r="H296" s="1360">
        <v>44.137</v>
      </c>
      <c r="I296" s="1360">
        <v>44.137</v>
      </c>
      <c r="J296" s="1360">
        <v>44.137</v>
      </c>
      <c r="K296" s="1360">
        <v>44.137</v>
      </c>
      <c r="L296" s="1132" t="s">
        <v>692</v>
      </c>
      <c r="M296" s="1132" t="str">
        <f t="shared" si="205"/>
        <v>Nicor Gas PY11-PY14 Adjustable Goals Template_2025-03-01, Tab 5.4.5</v>
      </c>
      <c r="N296" s="2245">
        <v>8.7915245234198895</v>
      </c>
      <c r="O296" s="1361">
        <v>8.7915245234198895</v>
      </c>
      <c r="P296" s="1361">
        <v>8.7915245234198895</v>
      </c>
      <c r="Q296" s="1361">
        <v>8.7915245234198895</v>
      </c>
      <c r="R296" s="1781">
        <v>1</v>
      </c>
      <c r="S296" s="1781">
        <v>1</v>
      </c>
      <c r="T296" s="1781">
        <v>1</v>
      </c>
      <c r="U296" s="1781">
        <v>1</v>
      </c>
      <c r="V296" s="1781">
        <v>1</v>
      </c>
      <c r="W296" s="1781">
        <v>1</v>
      </c>
      <c r="X296" s="1781">
        <v>1</v>
      </c>
      <c r="Y296" s="1781">
        <v>1</v>
      </c>
      <c r="Z296" s="1359">
        <v>0</v>
      </c>
      <c r="AA296" s="1781">
        <f t="shared" si="206"/>
        <v>1</v>
      </c>
      <c r="AB296" s="1781">
        <f t="shared" si="207"/>
        <v>1</v>
      </c>
      <c r="AC296" s="1781">
        <f t="shared" si="208"/>
        <v>1</v>
      </c>
      <c r="AD296" s="1781">
        <f t="shared" si="209"/>
        <v>1</v>
      </c>
      <c r="AE296" s="1781">
        <f t="shared" si="210"/>
        <v>1</v>
      </c>
      <c r="AF296" s="1781">
        <f t="shared" si="211"/>
        <v>1</v>
      </c>
      <c r="AG296" s="1781">
        <f t="shared" si="212"/>
        <v>1</v>
      </c>
      <c r="AH296" s="1781">
        <f t="shared" si="213"/>
        <v>1</v>
      </c>
      <c r="AI296" s="1362">
        <f t="shared" si="244"/>
        <v>388.03151789018369</v>
      </c>
      <c r="AJ296" s="1362">
        <f t="shared" si="245"/>
        <v>388.03151789018369</v>
      </c>
      <c r="AK296" s="1362">
        <f t="shared" si="246"/>
        <v>388.03151789018369</v>
      </c>
      <c r="AL296" s="1362">
        <f t="shared" si="247"/>
        <v>388.03151789018369</v>
      </c>
      <c r="AM296" s="1362">
        <f t="shared" si="248"/>
        <v>1552.1260715607348</v>
      </c>
      <c r="AN296" s="1132" t="str">
        <f t="shared" si="214"/>
        <v>RS-HWE-LFSH-V06-190101</v>
      </c>
      <c r="AO296" s="1132" t="str">
        <f t="shared" si="215"/>
        <v>Nicor Gas PY11-PY14 Adjustable Goals Template_2025-03-01, Tab 5.4.5</v>
      </c>
      <c r="AP296" s="2737">
        <f>'5.4.5'!$P$13</f>
        <v>9.4758946959016797</v>
      </c>
      <c r="AQ296" s="2568" t="s">
        <v>557</v>
      </c>
      <c r="AR296" s="2505">
        <f t="shared" si="216"/>
        <v>418.23756419301242</v>
      </c>
      <c r="AS296" s="2505">
        <f t="shared" si="217"/>
        <v>30.206046302828724</v>
      </c>
      <c r="AT296" s="1132" t="str">
        <f t="shared" si="218"/>
        <v>RS-HWE-LFSH-V06-190101</v>
      </c>
      <c r="AU296" s="1132" t="str">
        <f t="shared" si="219"/>
        <v>Nicor Gas PY11-PY14 Adjustable Goals Template_2025-03-01, Tab 5.4.5</v>
      </c>
      <c r="AV296" s="2508">
        <f>'5.4.5'!$P$13</f>
        <v>9.4758946959016797</v>
      </c>
      <c r="AW296" s="2568" t="s">
        <v>557</v>
      </c>
      <c r="AX296" s="1362">
        <f t="shared" si="220"/>
        <v>418.23756419301242</v>
      </c>
      <c r="AY296" s="1360">
        <f t="shared" si="221"/>
        <v>30.206046302828724</v>
      </c>
      <c r="AZ296" s="1132" t="str">
        <f t="shared" si="222"/>
        <v>RS-HWE-LFSH-V06-190101</v>
      </c>
      <c r="BA296" s="1132" t="str">
        <f t="shared" si="223"/>
        <v>Nicor Gas PY11-PY14 Adjustable Goals Template_2025-03-01, Tab 5.4.5</v>
      </c>
      <c r="BB296" s="2508">
        <f>'5.4.5'!$P$13</f>
        <v>9.4758946959016797</v>
      </c>
      <c r="BC296" s="2568" t="s">
        <v>557</v>
      </c>
      <c r="BD296" s="1362">
        <f t="shared" si="224"/>
        <v>418.23756419301242</v>
      </c>
      <c r="BE296" s="1360">
        <f t="shared" si="225"/>
        <v>30.206046302828724</v>
      </c>
      <c r="BF296" s="1132" t="str">
        <f t="shared" si="226"/>
        <v>RS-HWE-LFSH-V06-190101</v>
      </c>
      <c r="BG296" s="1132" t="str">
        <f t="shared" si="227"/>
        <v>Nicor Gas PY11-PY14 Adjustable Goals Template_2025-03-01, Tab 5.4.5</v>
      </c>
      <c r="BH296" s="2508">
        <f>'5.4.5'!$P$13</f>
        <v>9.4758946959016797</v>
      </c>
      <c r="BI296" s="2568" t="s">
        <v>557</v>
      </c>
      <c r="BJ296" s="1362">
        <f t="shared" si="249"/>
        <v>418.23756419301242</v>
      </c>
      <c r="BK296" s="1360">
        <f t="shared" si="228"/>
        <v>30.206046302828724</v>
      </c>
      <c r="BL296" s="1601">
        <f t="shared" si="229"/>
        <v>418.23756419301242</v>
      </c>
      <c r="BM296" s="1601">
        <f t="shared" si="230"/>
        <v>418.23756419301242</v>
      </c>
      <c r="BN296" s="1601">
        <f t="shared" si="231"/>
        <v>418.23756419301242</v>
      </c>
      <c r="BO296" s="1601">
        <f t="shared" si="232"/>
        <v>418.23756419301242</v>
      </c>
      <c r="BP296" s="1602">
        <f t="shared" si="233"/>
        <v>1672.9502567720497</v>
      </c>
      <c r="BQ296" s="1629"/>
      <c r="BR296" s="1629" t="s">
        <v>691</v>
      </c>
      <c r="BS296" s="1602">
        <v>0</v>
      </c>
      <c r="BT296" s="1602">
        <v>10</v>
      </c>
      <c r="BU296" s="1602">
        <v>10</v>
      </c>
      <c r="BV296" s="1602">
        <v>10</v>
      </c>
      <c r="BW296" s="1602">
        <v>10</v>
      </c>
      <c r="BX296" s="1362">
        <f t="shared" si="250"/>
        <v>3880.315178901837</v>
      </c>
      <c r="BY296" s="1362">
        <f t="shared" si="251"/>
        <v>3880.315178901837</v>
      </c>
      <c r="BZ296" s="1362">
        <f t="shared" si="252"/>
        <v>3880.315178901837</v>
      </c>
      <c r="CA296" s="1362">
        <f t="shared" si="253"/>
        <v>3880.315178901837</v>
      </c>
      <c r="CB296" s="1362">
        <f t="shared" si="254"/>
        <v>15521.260715607348</v>
      </c>
      <c r="CC296" s="1360">
        <v>10</v>
      </c>
      <c r="CD296" s="1360">
        <v>10</v>
      </c>
      <c r="CE296" s="1360">
        <v>10</v>
      </c>
      <c r="CF296" s="1360">
        <v>10</v>
      </c>
      <c r="CG296" s="1604">
        <f t="shared" si="234"/>
        <v>4182.3756419301244</v>
      </c>
      <c r="CH296" s="1604">
        <f t="shared" si="235"/>
        <v>4182.3756419301244</v>
      </c>
      <c r="CI296" s="1604">
        <f t="shared" si="236"/>
        <v>4182.3756419301244</v>
      </c>
      <c r="CJ296" s="1604">
        <f t="shared" si="237"/>
        <v>4182.3756419301244</v>
      </c>
      <c r="CK296" s="1521">
        <f t="shared" si="238"/>
        <v>16729.502567720498</v>
      </c>
      <c r="CL296" s="1132">
        <v>289</v>
      </c>
      <c r="CM296" s="1132" t="s">
        <v>328</v>
      </c>
      <c r="CN296" s="1359">
        <v>1</v>
      </c>
      <c r="CO296" s="1360">
        <v>41.42</v>
      </c>
      <c r="CP296" s="1360">
        <v>41.42</v>
      </c>
      <c r="CQ296" s="1360">
        <v>41.42</v>
      </c>
      <c r="CR296" s="1360">
        <v>41.42</v>
      </c>
      <c r="CS296" s="1362">
        <f t="shared" si="239"/>
        <v>364.14494576005183</v>
      </c>
      <c r="CT296" s="1362">
        <f t="shared" si="240"/>
        <v>364.14494576005183</v>
      </c>
      <c r="CU296" s="1362">
        <f t="shared" si="241"/>
        <v>364.14494576005183</v>
      </c>
      <c r="CV296" s="1362">
        <f t="shared" si="242"/>
        <v>364.14494576005183</v>
      </c>
      <c r="CW296" s="1362">
        <f t="shared" si="243"/>
        <v>1456.5797830402073</v>
      </c>
      <c r="CY296" s="2887"/>
    </row>
    <row r="297" spans="1:103" s="1143" customFormat="1" ht="45.75" customHeight="1" x14ac:dyDescent="0.35">
      <c r="A297" s="1132" t="s">
        <v>110</v>
      </c>
      <c r="B297" s="1132" t="s">
        <v>781</v>
      </c>
      <c r="C297" s="1132" t="s">
        <v>741</v>
      </c>
      <c r="D297" s="1359" t="s">
        <v>105</v>
      </c>
      <c r="E297" s="1359">
        <f>IF(AI297-AR297=0,0,1)</f>
        <v>0</v>
      </c>
      <c r="F297" s="1132" t="s">
        <v>105</v>
      </c>
      <c r="G297" s="1132" t="s">
        <v>356</v>
      </c>
      <c r="H297" s="1360">
        <v>139.38</v>
      </c>
      <c r="I297" s="1360">
        <v>139.38</v>
      </c>
      <c r="J297" s="1360">
        <v>139.38</v>
      </c>
      <c r="K297" s="1360">
        <v>139.38</v>
      </c>
      <c r="L297" s="1132" t="s">
        <v>105</v>
      </c>
      <c r="M297" s="1132" t="str">
        <f t="shared" si="205"/>
        <v/>
      </c>
      <c r="N297" s="1361">
        <v>0</v>
      </c>
      <c r="O297" s="1361">
        <v>0</v>
      </c>
      <c r="P297" s="1361">
        <v>0</v>
      </c>
      <c r="Q297" s="1361">
        <v>0</v>
      </c>
      <c r="R297" s="1781">
        <v>1</v>
      </c>
      <c r="S297" s="1781">
        <v>1</v>
      </c>
      <c r="T297" s="1781">
        <v>1</v>
      </c>
      <c r="U297" s="1781">
        <v>1</v>
      </c>
      <c r="V297" s="1781">
        <v>1</v>
      </c>
      <c r="W297" s="1781">
        <v>1</v>
      </c>
      <c r="X297" s="1781">
        <v>1</v>
      </c>
      <c r="Y297" s="1781">
        <v>1</v>
      </c>
      <c r="Z297" s="1359">
        <v>0</v>
      </c>
      <c r="AA297" s="1781">
        <f t="shared" si="206"/>
        <v>1</v>
      </c>
      <c r="AB297" s="1781">
        <f t="shared" si="207"/>
        <v>1</v>
      </c>
      <c r="AC297" s="1781">
        <f t="shared" si="208"/>
        <v>1</v>
      </c>
      <c r="AD297" s="1781">
        <f t="shared" si="209"/>
        <v>1</v>
      </c>
      <c r="AE297" s="1781">
        <f t="shared" si="210"/>
        <v>1</v>
      </c>
      <c r="AF297" s="1781">
        <f t="shared" si="211"/>
        <v>1</v>
      </c>
      <c r="AG297" s="1781">
        <f t="shared" si="212"/>
        <v>1</v>
      </c>
      <c r="AH297" s="1781">
        <f t="shared" si="213"/>
        <v>1</v>
      </c>
      <c r="AI297" s="1362">
        <f t="shared" si="244"/>
        <v>0</v>
      </c>
      <c r="AJ297" s="1362">
        <f t="shared" si="245"/>
        <v>0</v>
      </c>
      <c r="AK297" s="1362">
        <f t="shared" si="246"/>
        <v>0</v>
      </c>
      <c r="AL297" s="1362">
        <f t="shared" si="247"/>
        <v>0</v>
      </c>
      <c r="AM297" s="1362">
        <f t="shared" si="248"/>
        <v>0</v>
      </c>
      <c r="AN297" s="1132" t="str">
        <f t="shared" si="214"/>
        <v>Custom</v>
      </c>
      <c r="AO297" s="1132" t="str">
        <f t="shared" si="215"/>
        <v/>
      </c>
      <c r="AP297" s="2505">
        <v>0</v>
      </c>
      <c r="AQ297" s="2505"/>
      <c r="AR297" s="2505">
        <f t="shared" si="216"/>
        <v>0</v>
      </c>
      <c r="AS297" s="2505">
        <f t="shared" si="217"/>
        <v>0</v>
      </c>
      <c r="AT297" s="1132" t="str">
        <f t="shared" si="218"/>
        <v>Custom</v>
      </c>
      <c r="AU297" s="1132" t="str">
        <f t="shared" si="219"/>
        <v/>
      </c>
      <c r="AV297" s="2505">
        <v>0</v>
      </c>
      <c r="AW297" s="2505"/>
      <c r="AX297" s="1362">
        <f t="shared" si="220"/>
        <v>0</v>
      </c>
      <c r="AY297" s="1360">
        <f t="shared" si="221"/>
        <v>0</v>
      </c>
      <c r="AZ297" s="1132" t="str">
        <f t="shared" si="222"/>
        <v>Custom</v>
      </c>
      <c r="BA297" s="1132" t="str">
        <f t="shared" si="223"/>
        <v/>
      </c>
      <c r="BB297" s="2505">
        <v>0</v>
      </c>
      <c r="BC297" s="2505"/>
      <c r="BD297" s="1362">
        <f t="shared" si="224"/>
        <v>0</v>
      </c>
      <c r="BE297" s="1360">
        <f t="shared" si="225"/>
        <v>0</v>
      </c>
      <c r="BF297" s="1132" t="str">
        <f t="shared" si="226"/>
        <v>Custom</v>
      </c>
      <c r="BG297" s="1132" t="str">
        <f t="shared" si="227"/>
        <v/>
      </c>
      <c r="BH297" s="2505">
        <v>0</v>
      </c>
      <c r="BI297" s="2505"/>
      <c r="BJ297" s="1362">
        <f t="shared" si="249"/>
        <v>0</v>
      </c>
      <c r="BK297" s="1360">
        <f t="shared" si="228"/>
        <v>0</v>
      </c>
      <c r="BL297" s="1601">
        <f t="shared" si="229"/>
        <v>0</v>
      </c>
      <c r="BM297" s="1601">
        <f t="shared" si="230"/>
        <v>0</v>
      </c>
      <c r="BN297" s="1601">
        <f t="shared" si="231"/>
        <v>0</v>
      </c>
      <c r="BO297" s="1601">
        <f t="shared" si="232"/>
        <v>0</v>
      </c>
      <c r="BP297" s="1602">
        <f t="shared" si="233"/>
        <v>0</v>
      </c>
      <c r="BQ297" s="1629"/>
      <c r="BR297" s="1629"/>
      <c r="BS297" s="1602">
        <v>0</v>
      </c>
      <c r="BT297" s="1602">
        <v>1</v>
      </c>
      <c r="BU297" s="1602">
        <v>1</v>
      </c>
      <c r="BV297" s="1602">
        <v>1</v>
      </c>
      <c r="BW297" s="1602">
        <v>1</v>
      </c>
      <c r="BX297" s="1362">
        <f t="shared" si="250"/>
        <v>0</v>
      </c>
      <c r="BY297" s="1362">
        <f t="shared" si="251"/>
        <v>0</v>
      </c>
      <c r="BZ297" s="1362">
        <f t="shared" si="252"/>
        <v>0</v>
      </c>
      <c r="CA297" s="1362">
        <f t="shared" si="253"/>
        <v>0</v>
      </c>
      <c r="CB297" s="1362">
        <f t="shared" si="254"/>
        <v>0</v>
      </c>
      <c r="CC297" s="1360">
        <v>1</v>
      </c>
      <c r="CD297" s="1360">
        <v>1</v>
      </c>
      <c r="CE297" s="1360">
        <v>1</v>
      </c>
      <c r="CF297" s="1360">
        <v>1</v>
      </c>
      <c r="CG297" s="1604">
        <f t="shared" si="234"/>
        <v>0</v>
      </c>
      <c r="CH297" s="1604">
        <f t="shared" si="235"/>
        <v>0</v>
      </c>
      <c r="CI297" s="1604">
        <f t="shared" si="236"/>
        <v>0</v>
      </c>
      <c r="CJ297" s="1604">
        <f t="shared" si="237"/>
        <v>0</v>
      </c>
      <c r="CK297" s="1521">
        <f t="shared" si="238"/>
        <v>0</v>
      </c>
      <c r="CL297" s="1132">
        <v>290</v>
      </c>
      <c r="CM297" s="1132" t="s">
        <v>356</v>
      </c>
      <c r="CN297" s="1359">
        <v>1</v>
      </c>
      <c r="CO297" s="1360">
        <v>130.80000000000001</v>
      </c>
      <c r="CP297" s="1360">
        <v>130.80000000000001</v>
      </c>
      <c r="CQ297" s="1360">
        <v>130.80000000000001</v>
      </c>
      <c r="CR297" s="1360">
        <v>130.80000000000001</v>
      </c>
      <c r="CS297" s="1362">
        <f t="shared" si="239"/>
        <v>0</v>
      </c>
      <c r="CT297" s="1362">
        <f t="shared" si="240"/>
        <v>0</v>
      </c>
      <c r="CU297" s="1362">
        <f t="shared" si="241"/>
        <v>0</v>
      </c>
      <c r="CV297" s="1362">
        <f t="shared" si="242"/>
        <v>0</v>
      </c>
      <c r="CW297" s="1362">
        <f t="shared" si="243"/>
        <v>0</v>
      </c>
      <c r="CY297" s="2887"/>
    </row>
    <row r="298" spans="1:103" s="1143" customFormat="1" ht="15" customHeight="1" x14ac:dyDescent="0.35">
      <c r="A298" s="1132" t="s">
        <v>110</v>
      </c>
      <c r="B298" s="1132" t="s">
        <v>781</v>
      </c>
      <c r="C298" s="1132" t="s">
        <v>701</v>
      </c>
      <c r="D298" s="1359" t="s">
        <v>702</v>
      </c>
      <c r="E298" s="1359">
        <v>1</v>
      </c>
      <c r="F298" s="2807" t="s">
        <v>703</v>
      </c>
      <c r="G298" s="1132" t="s">
        <v>356</v>
      </c>
      <c r="H298" s="1360">
        <v>1351.9859999999999</v>
      </c>
      <c r="I298" s="1360">
        <v>1351.9859999999999</v>
      </c>
      <c r="J298" s="1360">
        <v>1351.9859999999999</v>
      </c>
      <c r="K298" s="1360">
        <v>1351.9859999999999</v>
      </c>
      <c r="L298" s="1132" t="s">
        <v>704</v>
      </c>
      <c r="M298" s="1132" t="str">
        <f t="shared" si="205"/>
        <v>Nicor Gas PY11-PY14 Adjustable Goals Template_2025-03-01, Tab 5.4.1</v>
      </c>
      <c r="N298" s="1361">
        <v>0.88064584615384589</v>
      </c>
      <c r="O298" s="1361">
        <v>0.88064584615384589</v>
      </c>
      <c r="P298" s="1361">
        <v>0.88064584615384589</v>
      </c>
      <c r="Q298" s="1361">
        <v>0.88064584615384589</v>
      </c>
      <c r="R298" s="1781">
        <v>1</v>
      </c>
      <c r="S298" s="1781">
        <v>1</v>
      </c>
      <c r="T298" s="1781">
        <v>1</v>
      </c>
      <c r="U298" s="1781">
        <v>1</v>
      </c>
      <c r="V298" s="1781">
        <v>1</v>
      </c>
      <c r="W298" s="1781">
        <v>1</v>
      </c>
      <c r="X298" s="1781">
        <v>1</v>
      </c>
      <c r="Y298" s="1781">
        <v>1</v>
      </c>
      <c r="Z298" s="1359">
        <v>0</v>
      </c>
      <c r="AA298" s="1781">
        <f t="shared" si="206"/>
        <v>1</v>
      </c>
      <c r="AB298" s="1781">
        <f t="shared" si="207"/>
        <v>1</v>
      </c>
      <c r="AC298" s="1781">
        <f t="shared" si="208"/>
        <v>1</v>
      </c>
      <c r="AD298" s="1781">
        <f t="shared" si="209"/>
        <v>1</v>
      </c>
      <c r="AE298" s="1781">
        <f t="shared" si="210"/>
        <v>1</v>
      </c>
      <c r="AF298" s="1781">
        <f t="shared" si="211"/>
        <v>1</v>
      </c>
      <c r="AG298" s="1781">
        <f t="shared" si="212"/>
        <v>1</v>
      </c>
      <c r="AH298" s="1781">
        <f t="shared" si="213"/>
        <v>1</v>
      </c>
      <c r="AI298" s="1362">
        <f t="shared" si="244"/>
        <v>1190.6208549581534</v>
      </c>
      <c r="AJ298" s="1362">
        <f t="shared" si="245"/>
        <v>1190.6208549581534</v>
      </c>
      <c r="AK298" s="1362">
        <f t="shared" si="246"/>
        <v>1190.6208549581534</v>
      </c>
      <c r="AL298" s="1362">
        <f t="shared" si="247"/>
        <v>1190.6208549581534</v>
      </c>
      <c r="AM298" s="1362">
        <f t="shared" si="248"/>
        <v>4762.4834198326134</v>
      </c>
      <c r="AN298" s="1132" t="str">
        <f t="shared" si="214"/>
        <v>RS-HWE-PINS-V02-150601</v>
      </c>
      <c r="AO298" s="1132" t="str">
        <f t="shared" si="215"/>
        <v>Nicor Gas PY11-PY14 Adjustable Goals Template_2025-03-01, Tab 5.4.1</v>
      </c>
      <c r="AP298" s="2738">
        <f>'5.4.1'!$P$7</f>
        <v>2.1563397498882169</v>
      </c>
      <c r="AQ298" s="2568" t="s">
        <v>705</v>
      </c>
      <c r="AR298" s="2505">
        <f t="shared" si="216"/>
        <v>2915.3411530923704</v>
      </c>
      <c r="AS298" s="2505">
        <f t="shared" si="217"/>
        <v>1724.720298134217</v>
      </c>
      <c r="AT298" s="1132" t="str">
        <f t="shared" si="218"/>
        <v>RS-HWE-PINS-V02-150601</v>
      </c>
      <c r="AU298" s="1132" t="str">
        <f t="shared" si="219"/>
        <v>Nicor Gas PY11-PY14 Adjustable Goals Template_2025-03-01, Tab 5.4.1</v>
      </c>
      <c r="AV298" s="2247">
        <f>'5.4.1'!$P$7</f>
        <v>2.1563397498882169</v>
      </c>
      <c r="AW298" s="2568" t="s">
        <v>705</v>
      </c>
      <c r="AX298" s="1362">
        <f t="shared" si="220"/>
        <v>2915.3411530923704</v>
      </c>
      <c r="AY298" s="1360">
        <f t="shared" si="221"/>
        <v>1724.720298134217</v>
      </c>
      <c r="AZ298" s="1132" t="str">
        <f t="shared" si="222"/>
        <v>RS-HWE-PINS-V02-150601</v>
      </c>
      <c r="BA298" s="1132" t="str">
        <f t="shared" si="223"/>
        <v>Nicor Gas PY11-PY14 Adjustable Goals Template_2025-03-01, Tab 5.4.1</v>
      </c>
      <c r="BB298" s="2247">
        <f>'5.4.1'!$P$7</f>
        <v>2.1563397498882169</v>
      </c>
      <c r="BC298" s="2568" t="s">
        <v>705</v>
      </c>
      <c r="BD298" s="1362">
        <f t="shared" si="224"/>
        <v>2915.3411530923704</v>
      </c>
      <c r="BE298" s="1360">
        <f t="shared" si="225"/>
        <v>1724.720298134217</v>
      </c>
      <c r="BF298" s="1132" t="str">
        <f t="shared" si="226"/>
        <v>RS-HWE-PINS-V02-150601</v>
      </c>
      <c r="BG298" s="1132" t="str">
        <f t="shared" si="227"/>
        <v>Nicor Gas PY11-PY14 Adjustable Goals Template_2025-03-01, Tab 5.4.1</v>
      </c>
      <c r="BH298" s="2247">
        <f>'5.4.1'!$P$7</f>
        <v>2.1563397498882169</v>
      </c>
      <c r="BI298" s="2568" t="s">
        <v>705</v>
      </c>
      <c r="BJ298" s="1362">
        <f t="shared" si="249"/>
        <v>2915.3411530923704</v>
      </c>
      <c r="BK298" s="1360">
        <f t="shared" si="228"/>
        <v>1724.720298134217</v>
      </c>
      <c r="BL298" s="1601">
        <f t="shared" si="229"/>
        <v>2915.3411530923704</v>
      </c>
      <c r="BM298" s="1601">
        <f t="shared" si="230"/>
        <v>2915.3411530923704</v>
      </c>
      <c r="BN298" s="1601">
        <f t="shared" si="231"/>
        <v>2915.3411530923704</v>
      </c>
      <c r="BO298" s="1601">
        <f t="shared" si="232"/>
        <v>2915.3411530923704</v>
      </c>
      <c r="BP298" s="1602">
        <f t="shared" si="233"/>
        <v>11661.364612369482</v>
      </c>
      <c r="BQ298" s="1629"/>
      <c r="BR298" s="1629" t="s">
        <v>703</v>
      </c>
      <c r="BS298" s="1602">
        <v>0</v>
      </c>
      <c r="BT298" s="1602">
        <v>15</v>
      </c>
      <c r="BU298" s="1602">
        <v>15</v>
      </c>
      <c r="BV298" s="1602">
        <v>15</v>
      </c>
      <c r="BW298" s="1602">
        <v>15</v>
      </c>
      <c r="BX298" s="1362">
        <f t="shared" si="250"/>
        <v>17859.3128243723</v>
      </c>
      <c r="BY298" s="1362">
        <f t="shared" si="251"/>
        <v>17859.3128243723</v>
      </c>
      <c r="BZ298" s="1362">
        <f t="shared" si="252"/>
        <v>17859.3128243723</v>
      </c>
      <c r="CA298" s="1362">
        <f t="shared" si="253"/>
        <v>17859.3128243723</v>
      </c>
      <c r="CB298" s="1362">
        <f t="shared" si="254"/>
        <v>71437.251297489202</v>
      </c>
      <c r="CC298" s="1360">
        <v>15</v>
      </c>
      <c r="CD298" s="1360">
        <v>15</v>
      </c>
      <c r="CE298" s="1360">
        <v>15</v>
      </c>
      <c r="CF298" s="1360">
        <v>15</v>
      </c>
      <c r="CG298" s="1604">
        <f t="shared" si="234"/>
        <v>43730.117296385557</v>
      </c>
      <c r="CH298" s="1604">
        <f t="shared" si="235"/>
        <v>43730.117296385557</v>
      </c>
      <c r="CI298" s="1604">
        <f t="shared" si="236"/>
        <v>43730.117296385557</v>
      </c>
      <c r="CJ298" s="1604">
        <f t="shared" si="237"/>
        <v>43730.117296385557</v>
      </c>
      <c r="CK298" s="1521">
        <f t="shared" si="238"/>
        <v>174920.46918554223</v>
      </c>
      <c r="CL298" s="1132">
        <v>291</v>
      </c>
      <c r="CM298" s="1132" t="s">
        <v>356</v>
      </c>
      <c r="CN298" s="1359">
        <v>1</v>
      </c>
      <c r="CO298" s="1360">
        <v>1268.76</v>
      </c>
      <c r="CP298" s="1360">
        <v>1268.76</v>
      </c>
      <c r="CQ298" s="1360">
        <v>1268.76</v>
      </c>
      <c r="CR298" s="1360">
        <v>1268.76</v>
      </c>
      <c r="CS298" s="1362">
        <f t="shared" si="239"/>
        <v>1117.3282237661535</v>
      </c>
      <c r="CT298" s="1362">
        <f t="shared" si="240"/>
        <v>1117.3282237661535</v>
      </c>
      <c r="CU298" s="1362">
        <f t="shared" si="241"/>
        <v>1117.3282237661535</v>
      </c>
      <c r="CV298" s="1362">
        <f t="shared" si="242"/>
        <v>1117.3282237661535</v>
      </c>
      <c r="CW298" s="1362">
        <f t="shared" si="243"/>
        <v>4469.3128950646142</v>
      </c>
      <c r="CY298" s="2887"/>
    </row>
    <row r="299" spans="1:103" s="1143" customFormat="1" ht="46.5" x14ac:dyDescent="0.35">
      <c r="A299" s="1132" t="s">
        <v>110</v>
      </c>
      <c r="B299" s="1132" t="s">
        <v>781</v>
      </c>
      <c r="C299" s="1132" t="s">
        <v>699</v>
      </c>
      <c r="D299" s="1359" t="s">
        <v>700</v>
      </c>
      <c r="E299" s="1359">
        <v>1</v>
      </c>
      <c r="F299" s="2807" t="s">
        <v>697</v>
      </c>
      <c r="G299" s="1132" t="s">
        <v>328</v>
      </c>
      <c r="H299" s="1360">
        <v>99.888999999999996</v>
      </c>
      <c r="I299" s="1360">
        <v>99.888999999999996</v>
      </c>
      <c r="J299" s="1360">
        <v>99.888999999999996</v>
      </c>
      <c r="K299" s="1360">
        <v>99.888999999999996</v>
      </c>
      <c r="L299" s="1132" t="s">
        <v>698</v>
      </c>
      <c r="M299" s="1132" t="str">
        <f t="shared" si="205"/>
        <v>Nicor Gas PY11-PY14 Adjustable Goals Template_2025-03-01, Tab 5.4.4</v>
      </c>
      <c r="N299" s="1361">
        <v>2.7869147711999975</v>
      </c>
      <c r="O299" s="1361">
        <v>2.7869147711999975</v>
      </c>
      <c r="P299" s="1361">
        <v>2.7869147711999975</v>
      </c>
      <c r="Q299" s="1361">
        <v>2.7869147711999975</v>
      </c>
      <c r="R299" s="1781">
        <v>1</v>
      </c>
      <c r="S299" s="1781">
        <v>1</v>
      </c>
      <c r="T299" s="1781">
        <v>1</v>
      </c>
      <c r="U299" s="1781">
        <v>1</v>
      </c>
      <c r="V299" s="1781">
        <v>1</v>
      </c>
      <c r="W299" s="1781">
        <v>1</v>
      </c>
      <c r="X299" s="1781">
        <v>1</v>
      </c>
      <c r="Y299" s="1781">
        <v>1</v>
      </c>
      <c r="Z299" s="1359">
        <v>0</v>
      </c>
      <c r="AA299" s="1781">
        <f t="shared" si="206"/>
        <v>1</v>
      </c>
      <c r="AB299" s="1781">
        <f t="shared" si="207"/>
        <v>1</v>
      </c>
      <c r="AC299" s="1781">
        <f t="shared" si="208"/>
        <v>1</v>
      </c>
      <c r="AD299" s="1781">
        <f t="shared" si="209"/>
        <v>1</v>
      </c>
      <c r="AE299" s="1781">
        <f t="shared" si="210"/>
        <v>1</v>
      </c>
      <c r="AF299" s="1781">
        <f t="shared" si="211"/>
        <v>1</v>
      </c>
      <c r="AG299" s="1781">
        <f t="shared" si="212"/>
        <v>1</v>
      </c>
      <c r="AH299" s="1781">
        <f t="shared" si="213"/>
        <v>1</v>
      </c>
      <c r="AI299" s="1362">
        <f t="shared" si="244"/>
        <v>278.38212958039657</v>
      </c>
      <c r="AJ299" s="1362">
        <f t="shared" si="245"/>
        <v>278.38212958039657</v>
      </c>
      <c r="AK299" s="1362">
        <f t="shared" si="246"/>
        <v>278.38212958039657</v>
      </c>
      <c r="AL299" s="1362">
        <f t="shared" si="247"/>
        <v>278.38212958039657</v>
      </c>
      <c r="AM299" s="1362">
        <f t="shared" si="248"/>
        <v>1113.5285183215863</v>
      </c>
      <c r="AN299" s="1132" t="str">
        <f t="shared" si="214"/>
        <v>RS-HWE-LFFA-V07-190101</v>
      </c>
      <c r="AO299" s="1132" t="str">
        <f t="shared" si="215"/>
        <v>Nicor Gas PY11-PY14 Adjustable Goals Template_2025-03-01, Tab 5.4.4</v>
      </c>
      <c r="AP299" s="2738">
        <f>'5.4.4'!$O$12</f>
        <v>3.0219557759999969</v>
      </c>
      <c r="AQ299" s="2568" t="s">
        <v>481</v>
      </c>
      <c r="AR299" s="2505">
        <f t="shared" si="216"/>
        <v>301.86014050886365</v>
      </c>
      <c r="AS299" s="2505">
        <f t="shared" si="217"/>
        <v>23.478010928467086</v>
      </c>
      <c r="AT299" s="1132" t="str">
        <f t="shared" si="218"/>
        <v>RS-HWE-LFFA-V07-190101</v>
      </c>
      <c r="AU299" s="1132" t="str">
        <f t="shared" si="219"/>
        <v>Nicor Gas PY11-PY14 Adjustable Goals Template_2025-03-01, Tab 5.4.4</v>
      </c>
      <c r="AV299" s="2247">
        <f>'5.4.4'!$O$12</f>
        <v>3.0219557759999969</v>
      </c>
      <c r="AW299" s="2568" t="s">
        <v>481</v>
      </c>
      <c r="AX299" s="1362">
        <f t="shared" si="220"/>
        <v>301.86014050886365</v>
      </c>
      <c r="AY299" s="1360">
        <f t="shared" si="221"/>
        <v>23.478010928467086</v>
      </c>
      <c r="AZ299" s="1132" t="str">
        <f t="shared" si="222"/>
        <v>RS-HWE-LFFA-V07-190101</v>
      </c>
      <c r="BA299" s="1132" t="str">
        <f t="shared" si="223"/>
        <v>Nicor Gas PY11-PY14 Adjustable Goals Template_2025-03-01, Tab 5.4.4</v>
      </c>
      <c r="BB299" s="2247">
        <f>'5.4.4'!$O$12</f>
        <v>3.0219557759999969</v>
      </c>
      <c r="BC299" s="2568" t="s">
        <v>481</v>
      </c>
      <c r="BD299" s="1362">
        <f t="shared" si="224"/>
        <v>301.86014050886365</v>
      </c>
      <c r="BE299" s="1360">
        <f t="shared" si="225"/>
        <v>23.478010928467086</v>
      </c>
      <c r="BF299" s="1132" t="str">
        <f t="shared" si="226"/>
        <v>RS-HWE-LFFA-V07-190101</v>
      </c>
      <c r="BG299" s="1132" t="str">
        <f t="shared" si="227"/>
        <v>Nicor Gas PY11-PY14 Adjustable Goals Template_2025-03-01, Tab 5.4.4</v>
      </c>
      <c r="BH299" s="2247">
        <f>'5.4.4'!$O$12</f>
        <v>3.0219557759999969</v>
      </c>
      <c r="BI299" s="2568" t="s">
        <v>481</v>
      </c>
      <c r="BJ299" s="1362">
        <f t="shared" si="249"/>
        <v>301.86014050886365</v>
      </c>
      <c r="BK299" s="1360">
        <f t="shared" si="228"/>
        <v>23.478010928467086</v>
      </c>
      <c r="BL299" s="1601">
        <f t="shared" si="229"/>
        <v>301.86014050886365</v>
      </c>
      <c r="BM299" s="1601">
        <f t="shared" si="230"/>
        <v>301.86014050886365</v>
      </c>
      <c r="BN299" s="1601">
        <f t="shared" si="231"/>
        <v>301.86014050886365</v>
      </c>
      <c r="BO299" s="1601">
        <f t="shared" si="232"/>
        <v>301.86014050886365</v>
      </c>
      <c r="BP299" s="1602">
        <f t="shared" si="233"/>
        <v>1207.4405620354546</v>
      </c>
      <c r="BQ299" s="1629"/>
      <c r="BR299" s="1629" t="s">
        <v>697</v>
      </c>
      <c r="BS299" s="1602">
        <v>0</v>
      </c>
      <c r="BT299" s="1602">
        <v>10</v>
      </c>
      <c r="BU299" s="1602">
        <v>10</v>
      </c>
      <c r="BV299" s="1602">
        <v>10</v>
      </c>
      <c r="BW299" s="1602">
        <v>10</v>
      </c>
      <c r="BX299" s="1362">
        <f t="shared" si="250"/>
        <v>2783.8212958039658</v>
      </c>
      <c r="BY299" s="1362">
        <f t="shared" si="251"/>
        <v>2783.8212958039658</v>
      </c>
      <c r="BZ299" s="1362">
        <f t="shared" si="252"/>
        <v>2783.8212958039658</v>
      </c>
      <c r="CA299" s="1362">
        <f t="shared" si="253"/>
        <v>2783.8212958039658</v>
      </c>
      <c r="CB299" s="1362">
        <f t="shared" si="254"/>
        <v>11135.285183215863</v>
      </c>
      <c r="CC299" s="1360">
        <v>10</v>
      </c>
      <c r="CD299" s="1360">
        <v>10</v>
      </c>
      <c r="CE299" s="1360">
        <v>10</v>
      </c>
      <c r="CF299" s="1360">
        <v>10</v>
      </c>
      <c r="CG299" s="1604">
        <f t="shared" si="234"/>
        <v>3018.6014050886365</v>
      </c>
      <c r="CH299" s="1604">
        <f t="shared" si="235"/>
        <v>3018.6014050886365</v>
      </c>
      <c r="CI299" s="1604">
        <f t="shared" si="236"/>
        <v>3018.6014050886365</v>
      </c>
      <c r="CJ299" s="1604">
        <f t="shared" si="237"/>
        <v>3018.6014050886365</v>
      </c>
      <c r="CK299" s="1521">
        <f t="shared" si="238"/>
        <v>12074.405620354546</v>
      </c>
      <c r="CL299" s="1132">
        <v>292</v>
      </c>
      <c r="CM299" s="1132" t="s">
        <v>328</v>
      </c>
      <c r="CN299" s="1359">
        <v>1</v>
      </c>
      <c r="CO299" s="1360">
        <v>93.740000000000009</v>
      </c>
      <c r="CP299" s="1360">
        <v>93.740000000000009</v>
      </c>
      <c r="CQ299" s="1360">
        <v>93.740000000000009</v>
      </c>
      <c r="CR299" s="1360">
        <v>93.740000000000009</v>
      </c>
      <c r="CS299" s="1362">
        <f t="shared" si="239"/>
        <v>261.24539065228777</v>
      </c>
      <c r="CT299" s="1362">
        <f t="shared" si="240"/>
        <v>261.24539065228777</v>
      </c>
      <c r="CU299" s="1362">
        <f t="shared" si="241"/>
        <v>261.24539065228777</v>
      </c>
      <c r="CV299" s="1362">
        <f t="shared" si="242"/>
        <v>261.24539065228777</v>
      </c>
      <c r="CW299" s="1362">
        <f t="shared" si="243"/>
        <v>1044.9815626091511</v>
      </c>
      <c r="CY299" s="2887"/>
    </row>
    <row r="300" spans="1:103" s="1143" customFormat="1" ht="38.25" customHeight="1" x14ac:dyDescent="0.35">
      <c r="A300" s="1132" t="s">
        <v>110</v>
      </c>
      <c r="B300" s="1132" t="s">
        <v>781</v>
      </c>
      <c r="C300" s="1132" t="s">
        <v>706</v>
      </c>
      <c r="D300" s="1359" t="s">
        <v>707</v>
      </c>
      <c r="E300" s="1359">
        <v>1</v>
      </c>
      <c r="F300" s="2564" t="s">
        <v>708</v>
      </c>
      <c r="G300" s="1132" t="s">
        <v>328</v>
      </c>
      <c r="H300" s="1360">
        <v>13.937999999999999</v>
      </c>
      <c r="I300" s="1360">
        <v>13.937999999999999</v>
      </c>
      <c r="J300" s="1360">
        <v>13.937999999999999</v>
      </c>
      <c r="K300" s="1360">
        <v>13.937999999999999</v>
      </c>
      <c r="L300" s="1132" t="s">
        <v>709</v>
      </c>
      <c r="M300" s="1132" t="str">
        <f t="shared" si="205"/>
        <v>Nicor Gas PY11-PY14 Adjustable Goals Template_2025-03-01, Tab 5.3.11</v>
      </c>
      <c r="N300" s="1361">
        <v>62.31</v>
      </c>
      <c r="O300" s="1361">
        <v>62.31</v>
      </c>
      <c r="P300" s="1361">
        <v>62.31</v>
      </c>
      <c r="Q300" s="1361">
        <v>62.31</v>
      </c>
      <c r="R300" s="1781">
        <v>1</v>
      </c>
      <c r="S300" s="1781">
        <v>1</v>
      </c>
      <c r="T300" s="1781">
        <v>1</v>
      </c>
      <c r="U300" s="1781">
        <v>1</v>
      </c>
      <c r="V300" s="1781">
        <v>1</v>
      </c>
      <c r="W300" s="1781">
        <v>1</v>
      </c>
      <c r="X300" s="1781">
        <v>1</v>
      </c>
      <c r="Y300" s="1781">
        <v>1</v>
      </c>
      <c r="Z300" s="1359">
        <v>0</v>
      </c>
      <c r="AA300" s="1781">
        <f t="shared" si="206"/>
        <v>1</v>
      </c>
      <c r="AB300" s="1781">
        <f t="shared" si="207"/>
        <v>1</v>
      </c>
      <c r="AC300" s="1781">
        <f t="shared" si="208"/>
        <v>1</v>
      </c>
      <c r="AD300" s="1781">
        <f t="shared" si="209"/>
        <v>1</v>
      </c>
      <c r="AE300" s="1781">
        <f t="shared" si="210"/>
        <v>1</v>
      </c>
      <c r="AF300" s="1781">
        <f t="shared" si="211"/>
        <v>1</v>
      </c>
      <c r="AG300" s="1781">
        <f t="shared" si="212"/>
        <v>1</v>
      </c>
      <c r="AH300" s="1781">
        <f t="shared" si="213"/>
        <v>1</v>
      </c>
      <c r="AI300" s="1362">
        <f t="shared" si="244"/>
        <v>868.47677999999996</v>
      </c>
      <c r="AJ300" s="1362">
        <f t="shared" si="245"/>
        <v>868.47677999999996</v>
      </c>
      <c r="AK300" s="1362">
        <f t="shared" si="246"/>
        <v>868.47677999999996</v>
      </c>
      <c r="AL300" s="1362">
        <f t="shared" si="247"/>
        <v>868.47677999999996</v>
      </c>
      <c r="AM300" s="1362">
        <f t="shared" si="248"/>
        <v>3473.9071199999998</v>
      </c>
      <c r="AN300" s="1132" t="str">
        <f t="shared" si="214"/>
        <v>RS-HVC-PROG-V05-190101</v>
      </c>
      <c r="AO300" s="1132" t="str">
        <f t="shared" si="215"/>
        <v>Nicor Gas PY11-PY14 Adjustable Goals Template_2025-03-01, Tab 5.3.11</v>
      </c>
      <c r="AP300" s="2247">
        <f>'5.3.11'!$Q$10</f>
        <v>62.31</v>
      </c>
      <c r="AQ300" s="2505"/>
      <c r="AR300" s="2505">
        <f t="shared" si="216"/>
        <v>868.47677999999996</v>
      </c>
      <c r="AS300" s="2505">
        <f t="shared" si="217"/>
        <v>0</v>
      </c>
      <c r="AT300" s="1132" t="str">
        <f t="shared" si="218"/>
        <v>RS-HVC-PROG-V05-190101</v>
      </c>
      <c r="AU300" s="1132" t="str">
        <f t="shared" si="219"/>
        <v>Nicor Gas PY11-PY14 Adjustable Goals Template_2025-03-01, Tab 5.3.11</v>
      </c>
      <c r="AV300" s="2247">
        <f>'5.3.11'!$Q$10</f>
        <v>62.31</v>
      </c>
      <c r="AW300" s="2505"/>
      <c r="AX300" s="1362">
        <f t="shared" si="220"/>
        <v>868.47677999999996</v>
      </c>
      <c r="AY300" s="1360">
        <f t="shared" si="221"/>
        <v>0</v>
      </c>
      <c r="AZ300" s="1132" t="str">
        <f t="shared" si="222"/>
        <v>RS-HVC-PROG-V05-190101</v>
      </c>
      <c r="BA300" s="1132" t="str">
        <f t="shared" si="223"/>
        <v>Nicor Gas PY11-PY14 Adjustable Goals Template_2025-03-01, Tab 5.3.11</v>
      </c>
      <c r="BB300" s="2247">
        <f>'5.3.11'!$Q$10</f>
        <v>62.31</v>
      </c>
      <c r="BC300" s="2505"/>
      <c r="BD300" s="1362">
        <f t="shared" si="224"/>
        <v>868.47677999999996</v>
      </c>
      <c r="BE300" s="1360">
        <f t="shared" si="225"/>
        <v>0</v>
      </c>
      <c r="BF300" s="1132" t="str">
        <f t="shared" si="226"/>
        <v>RS-HVC-PROG-V05-190101</v>
      </c>
      <c r="BG300" s="1132" t="str">
        <f t="shared" si="227"/>
        <v>Nicor Gas PY11-PY14 Adjustable Goals Template_2025-03-01, Tab 5.3.11</v>
      </c>
      <c r="BH300" s="2247">
        <f>'5.3.11'!$Q$10</f>
        <v>62.31</v>
      </c>
      <c r="BI300" s="2505"/>
      <c r="BJ300" s="1362">
        <f t="shared" si="249"/>
        <v>868.47677999999996</v>
      </c>
      <c r="BK300" s="1360">
        <f t="shared" si="228"/>
        <v>0</v>
      </c>
      <c r="BL300" s="1601">
        <f t="shared" si="229"/>
        <v>868.47677999999996</v>
      </c>
      <c r="BM300" s="1601">
        <f t="shared" si="230"/>
        <v>868.47677999999996</v>
      </c>
      <c r="BN300" s="1601">
        <f t="shared" si="231"/>
        <v>868.47677999999996</v>
      </c>
      <c r="BO300" s="1601">
        <f t="shared" si="232"/>
        <v>868.47677999999996</v>
      </c>
      <c r="BP300" s="1602">
        <f t="shared" si="233"/>
        <v>3473.9071199999998</v>
      </c>
      <c r="BQ300" s="1629"/>
      <c r="BR300" s="1629" t="s">
        <v>708</v>
      </c>
      <c r="BS300" s="1602">
        <v>0</v>
      </c>
      <c r="BT300" s="1602">
        <v>8</v>
      </c>
      <c r="BU300" s="1602">
        <v>8</v>
      </c>
      <c r="BV300" s="1602">
        <v>8</v>
      </c>
      <c r="BW300" s="1602">
        <v>8</v>
      </c>
      <c r="BX300" s="1362">
        <f t="shared" si="250"/>
        <v>6947.8142399999997</v>
      </c>
      <c r="BY300" s="1362">
        <f t="shared" si="251"/>
        <v>6947.8142399999997</v>
      </c>
      <c r="BZ300" s="1362">
        <f t="shared" si="252"/>
        <v>6947.8142399999997</v>
      </c>
      <c r="CA300" s="1362">
        <f t="shared" si="253"/>
        <v>6947.8142399999997</v>
      </c>
      <c r="CB300" s="1362">
        <f t="shared" si="254"/>
        <v>27791.256959999999</v>
      </c>
      <c r="CC300" s="1360">
        <v>8</v>
      </c>
      <c r="CD300" s="1360">
        <v>8</v>
      </c>
      <c r="CE300" s="1360">
        <v>8</v>
      </c>
      <c r="CF300" s="1360">
        <v>8</v>
      </c>
      <c r="CG300" s="1604">
        <f t="shared" si="234"/>
        <v>6947.8142399999997</v>
      </c>
      <c r="CH300" s="1604">
        <f t="shared" si="235"/>
        <v>6947.8142399999997</v>
      </c>
      <c r="CI300" s="1604">
        <f t="shared" si="236"/>
        <v>6947.8142399999997</v>
      </c>
      <c r="CJ300" s="1604">
        <f t="shared" si="237"/>
        <v>6947.8142399999997</v>
      </c>
      <c r="CK300" s="1521">
        <f t="shared" si="238"/>
        <v>27791.256959999999</v>
      </c>
      <c r="CL300" s="1132">
        <v>293</v>
      </c>
      <c r="CM300" s="1132" t="s">
        <v>328</v>
      </c>
      <c r="CN300" s="1359">
        <v>1</v>
      </c>
      <c r="CO300" s="1360">
        <v>13.080000000000002</v>
      </c>
      <c r="CP300" s="1360">
        <v>13.080000000000002</v>
      </c>
      <c r="CQ300" s="1360">
        <v>13.080000000000002</v>
      </c>
      <c r="CR300" s="1360">
        <v>13.080000000000002</v>
      </c>
      <c r="CS300" s="1362">
        <f t="shared" si="239"/>
        <v>815.01480000000015</v>
      </c>
      <c r="CT300" s="1362">
        <f t="shared" si="240"/>
        <v>815.01480000000015</v>
      </c>
      <c r="CU300" s="1362">
        <f t="shared" si="241"/>
        <v>815.01480000000015</v>
      </c>
      <c r="CV300" s="1362">
        <f t="shared" si="242"/>
        <v>815.01480000000015</v>
      </c>
      <c r="CW300" s="1362">
        <f t="shared" si="243"/>
        <v>3260.0592000000006</v>
      </c>
      <c r="CY300" s="2887"/>
    </row>
    <row r="301" spans="1:103" s="1143" customFormat="1" ht="46.5" x14ac:dyDescent="0.35">
      <c r="A301" s="1132" t="s">
        <v>110</v>
      </c>
      <c r="B301" s="1132" t="s">
        <v>781</v>
      </c>
      <c r="C301" s="1132" t="s">
        <v>792</v>
      </c>
      <c r="D301" s="1359" t="s">
        <v>793</v>
      </c>
      <c r="E301" s="1359">
        <v>1</v>
      </c>
      <c r="F301" s="2564" t="s">
        <v>794</v>
      </c>
      <c r="G301" s="1132" t="s">
        <v>328</v>
      </c>
      <c r="H301" s="1360">
        <v>51.106000000000002</v>
      </c>
      <c r="I301" s="1360">
        <v>51.106000000000002</v>
      </c>
      <c r="J301" s="1360">
        <v>51.106000000000002</v>
      </c>
      <c r="K301" s="1360">
        <v>51.106000000000002</v>
      </c>
      <c r="L301" s="1132" t="s">
        <v>795</v>
      </c>
      <c r="M301" s="1132" t="str">
        <f t="shared" si="205"/>
        <v>Nicor Gas PY11-PY14 Adjustable Goals Template_2025-03-01, Tab 5.6.6</v>
      </c>
      <c r="N301" s="1361">
        <v>2.6601827175792221</v>
      </c>
      <c r="O301" s="1361">
        <v>2.6601827175792221</v>
      </c>
      <c r="P301" s="1361">
        <v>2.6601827175792221</v>
      </c>
      <c r="Q301" s="1361">
        <v>2.6601827175792221</v>
      </c>
      <c r="R301" s="1781">
        <v>1</v>
      </c>
      <c r="S301" s="1781">
        <v>1</v>
      </c>
      <c r="T301" s="1781">
        <v>1</v>
      </c>
      <c r="U301" s="1781">
        <v>1</v>
      </c>
      <c r="V301" s="1781">
        <v>1</v>
      </c>
      <c r="W301" s="1781">
        <v>1</v>
      </c>
      <c r="X301" s="1781">
        <v>1</v>
      </c>
      <c r="Y301" s="1781">
        <v>1</v>
      </c>
      <c r="Z301" s="1359">
        <v>0</v>
      </c>
      <c r="AA301" s="1781">
        <f t="shared" si="206"/>
        <v>1</v>
      </c>
      <c r="AB301" s="1781">
        <f t="shared" si="207"/>
        <v>1</v>
      </c>
      <c r="AC301" s="1781">
        <f t="shared" si="208"/>
        <v>1</v>
      </c>
      <c r="AD301" s="1781">
        <f t="shared" si="209"/>
        <v>1</v>
      </c>
      <c r="AE301" s="1781">
        <f t="shared" si="210"/>
        <v>1</v>
      </c>
      <c r="AF301" s="1781">
        <f t="shared" si="211"/>
        <v>1</v>
      </c>
      <c r="AG301" s="1781">
        <f t="shared" si="212"/>
        <v>1</v>
      </c>
      <c r="AH301" s="1781">
        <f t="shared" si="213"/>
        <v>1</v>
      </c>
      <c r="AI301" s="1362">
        <f t="shared" si="244"/>
        <v>135.95129796460373</v>
      </c>
      <c r="AJ301" s="1362">
        <f t="shared" si="245"/>
        <v>135.95129796460373</v>
      </c>
      <c r="AK301" s="1362">
        <f t="shared" si="246"/>
        <v>135.95129796460373</v>
      </c>
      <c r="AL301" s="1362">
        <f t="shared" si="247"/>
        <v>135.95129796460373</v>
      </c>
      <c r="AM301" s="1362">
        <f t="shared" si="248"/>
        <v>543.8051918584149</v>
      </c>
      <c r="AN301" s="1132" t="str">
        <f t="shared" si="214"/>
        <v>RS-SHL-RINS-V01-190101</v>
      </c>
      <c r="AO301" s="1132" t="str">
        <f t="shared" si="215"/>
        <v>Nicor Gas PY11-PY14 Adjustable Goals Template_2025-03-01, Tab 5.6.6</v>
      </c>
      <c r="AP301" s="2247">
        <f>'5.6.6'!$X$6</f>
        <v>2.6601827175792221</v>
      </c>
      <c r="AQ301" s="2505"/>
      <c r="AR301" s="2505">
        <f t="shared" si="216"/>
        <v>135.95129796460373</v>
      </c>
      <c r="AS301" s="2505">
        <f t="shared" si="217"/>
        <v>0</v>
      </c>
      <c r="AT301" s="1132" t="str">
        <f t="shared" si="218"/>
        <v>RS-SHL-RINS-V01-190101</v>
      </c>
      <c r="AU301" s="1132" t="str">
        <f t="shared" si="219"/>
        <v>Nicor Gas PY11-PY14 Adjustable Goals Template_2025-03-01, Tab 5.6.6</v>
      </c>
      <c r="AV301" s="2247">
        <f>'5.6.6'!$X$6</f>
        <v>2.6601827175792221</v>
      </c>
      <c r="AW301" s="2505"/>
      <c r="AX301" s="1362">
        <f t="shared" si="220"/>
        <v>135.95129796460373</v>
      </c>
      <c r="AY301" s="1360">
        <f t="shared" si="221"/>
        <v>0</v>
      </c>
      <c r="AZ301" s="1132" t="str">
        <f t="shared" si="222"/>
        <v>RS-SHL-RINS-V01-190101</v>
      </c>
      <c r="BA301" s="1132" t="str">
        <f t="shared" si="223"/>
        <v>Nicor Gas PY11-PY14 Adjustable Goals Template_2025-03-01, Tab 5.6.6</v>
      </c>
      <c r="BB301" s="2247">
        <f>'5.6.6'!$X$6</f>
        <v>2.6601827175792221</v>
      </c>
      <c r="BC301" s="2505"/>
      <c r="BD301" s="1362">
        <f t="shared" si="224"/>
        <v>135.95129796460373</v>
      </c>
      <c r="BE301" s="1360">
        <f t="shared" si="225"/>
        <v>0</v>
      </c>
      <c r="BF301" s="1132" t="str">
        <f t="shared" si="226"/>
        <v>RS-SHL-RINS-V01-190101</v>
      </c>
      <c r="BG301" s="1132" t="str">
        <f t="shared" si="227"/>
        <v>Nicor Gas PY11-PY14 Adjustable Goals Template_2025-03-01, Tab 5.6.6</v>
      </c>
      <c r="BH301" s="2247">
        <f>'5.6.6'!$X$6</f>
        <v>2.6601827175792221</v>
      </c>
      <c r="BI301" s="2505"/>
      <c r="BJ301" s="1362">
        <f t="shared" si="249"/>
        <v>135.95129796460373</v>
      </c>
      <c r="BK301" s="1360">
        <f t="shared" si="228"/>
        <v>0</v>
      </c>
      <c r="BL301" s="1601">
        <f t="shared" si="229"/>
        <v>135.95129796460373</v>
      </c>
      <c r="BM301" s="1601">
        <f t="shared" si="230"/>
        <v>135.95129796460373</v>
      </c>
      <c r="BN301" s="1601">
        <f t="shared" si="231"/>
        <v>135.95129796460373</v>
      </c>
      <c r="BO301" s="1601">
        <f t="shared" si="232"/>
        <v>135.95129796460373</v>
      </c>
      <c r="BP301" s="1602">
        <f t="shared" si="233"/>
        <v>543.8051918584149</v>
      </c>
      <c r="BQ301" s="1629"/>
      <c r="BR301" s="1629" t="s">
        <v>794</v>
      </c>
      <c r="BS301" s="2773">
        <v>1</v>
      </c>
      <c r="BT301" s="1602">
        <v>19.41176471</v>
      </c>
      <c r="BU301" s="1602">
        <v>19.41176471</v>
      </c>
      <c r="BV301" s="1602">
        <v>19.41176471</v>
      </c>
      <c r="BW301" s="1602">
        <v>19.41176471</v>
      </c>
      <c r="BX301" s="1362">
        <f t="shared" si="250"/>
        <v>2639.0546081079892</v>
      </c>
      <c r="BY301" s="1362">
        <f t="shared" si="251"/>
        <v>2639.0546081079892</v>
      </c>
      <c r="BZ301" s="1362">
        <f t="shared" si="252"/>
        <v>2639.0546081079892</v>
      </c>
      <c r="CA301" s="1362">
        <f t="shared" si="253"/>
        <v>2639.0546081079892</v>
      </c>
      <c r="CB301" s="1362">
        <f t="shared" si="254"/>
        <v>10556.218432431957</v>
      </c>
      <c r="CC301" s="2775">
        <v>20</v>
      </c>
      <c r="CD301" s="2775">
        <v>20</v>
      </c>
      <c r="CE301" s="2775">
        <v>20</v>
      </c>
      <c r="CF301" s="2775">
        <v>20</v>
      </c>
      <c r="CG301" s="1604">
        <f t="shared" si="234"/>
        <v>2719.0259592920747</v>
      </c>
      <c r="CH301" s="1604">
        <f t="shared" si="235"/>
        <v>2719.0259592920747</v>
      </c>
      <c r="CI301" s="1604">
        <f t="shared" si="236"/>
        <v>2719.0259592920747</v>
      </c>
      <c r="CJ301" s="1604">
        <f t="shared" si="237"/>
        <v>2719.0259592920747</v>
      </c>
      <c r="CK301" s="1521">
        <f t="shared" si="238"/>
        <v>10876.103837168299</v>
      </c>
      <c r="CL301" s="1132">
        <v>294</v>
      </c>
      <c r="CM301" s="1132" t="s">
        <v>328</v>
      </c>
      <c r="CN301" s="1359">
        <v>1</v>
      </c>
      <c r="CO301" s="1360">
        <v>47.96</v>
      </c>
      <c r="CP301" s="1360">
        <v>47.96</v>
      </c>
      <c r="CQ301" s="1360">
        <v>47.96</v>
      </c>
      <c r="CR301" s="1360">
        <v>47.96</v>
      </c>
      <c r="CS301" s="1362">
        <f t="shared" si="239"/>
        <v>127.5823631350995</v>
      </c>
      <c r="CT301" s="1362">
        <f t="shared" si="240"/>
        <v>127.5823631350995</v>
      </c>
      <c r="CU301" s="1362">
        <f t="shared" si="241"/>
        <v>127.5823631350995</v>
      </c>
      <c r="CV301" s="1362">
        <f t="shared" si="242"/>
        <v>127.5823631350995</v>
      </c>
      <c r="CW301" s="1362">
        <f t="shared" si="243"/>
        <v>510.32945254039799</v>
      </c>
      <c r="CY301" s="2887"/>
    </row>
    <row r="302" spans="1:103" s="1143" customFormat="1" ht="15" customHeight="1" x14ac:dyDescent="0.35">
      <c r="A302" s="1132" t="s">
        <v>110</v>
      </c>
      <c r="B302" s="1132" t="s">
        <v>781</v>
      </c>
      <c r="C302" s="1132" t="s">
        <v>796</v>
      </c>
      <c r="D302" s="1359" t="s">
        <v>797</v>
      </c>
      <c r="E302" s="1359">
        <v>1</v>
      </c>
      <c r="F302" s="2807" t="s">
        <v>691</v>
      </c>
      <c r="G302" s="1132" t="s">
        <v>328</v>
      </c>
      <c r="H302" s="1360">
        <v>155.64099999999999</v>
      </c>
      <c r="I302" s="1360">
        <v>155.64099999999999</v>
      </c>
      <c r="J302" s="1360">
        <v>155.64099999999999</v>
      </c>
      <c r="K302" s="1360">
        <v>155.64099999999999</v>
      </c>
      <c r="L302" s="1132" t="s">
        <v>692</v>
      </c>
      <c r="M302" s="1132" t="str">
        <f t="shared" si="205"/>
        <v>Nicor Gas PY11-PY14 Adjustable Goals Template_2025-03-01, Tab 5.4.5</v>
      </c>
      <c r="N302" s="2245">
        <v>2.8513052508388848</v>
      </c>
      <c r="O302" s="1361">
        <v>2.8513052508388848</v>
      </c>
      <c r="P302" s="1361">
        <v>2.8513052508388848</v>
      </c>
      <c r="Q302" s="1361">
        <v>2.8513052508388848</v>
      </c>
      <c r="R302" s="1781">
        <v>1</v>
      </c>
      <c r="S302" s="1781">
        <v>1</v>
      </c>
      <c r="T302" s="1781">
        <v>1</v>
      </c>
      <c r="U302" s="1781">
        <v>1</v>
      </c>
      <c r="V302" s="1781">
        <v>1</v>
      </c>
      <c r="W302" s="1781">
        <v>1</v>
      </c>
      <c r="X302" s="1781">
        <v>1</v>
      </c>
      <c r="Y302" s="1781">
        <v>1</v>
      </c>
      <c r="Z302" s="1359">
        <v>0</v>
      </c>
      <c r="AA302" s="1781">
        <f t="shared" si="206"/>
        <v>1</v>
      </c>
      <c r="AB302" s="1781">
        <f t="shared" si="207"/>
        <v>1</v>
      </c>
      <c r="AC302" s="1781">
        <f t="shared" si="208"/>
        <v>1</v>
      </c>
      <c r="AD302" s="1781">
        <f t="shared" si="209"/>
        <v>1</v>
      </c>
      <c r="AE302" s="1781">
        <f t="shared" si="210"/>
        <v>1</v>
      </c>
      <c r="AF302" s="1781">
        <f t="shared" si="211"/>
        <v>1</v>
      </c>
      <c r="AG302" s="1781">
        <f t="shared" si="212"/>
        <v>1</v>
      </c>
      <c r="AH302" s="1781">
        <f t="shared" si="213"/>
        <v>1</v>
      </c>
      <c r="AI302" s="1362">
        <f t="shared" si="244"/>
        <v>443.78000054581486</v>
      </c>
      <c r="AJ302" s="1362">
        <f t="shared" si="245"/>
        <v>443.78000054581486</v>
      </c>
      <c r="AK302" s="1362">
        <f t="shared" si="246"/>
        <v>443.78000054581486</v>
      </c>
      <c r="AL302" s="1362">
        <f t="shared" si="247"/>
        <v>443.78000054581486</v>
      </c>
      <c r="AM302" s="1362">
        <f t="shared" si="248"/>
        <v>1775.1200021832594</v>
      </c>
      <c r="AN302" s="1132" t="str">
        <f t="shared" si="214"/>
        <v>RS-HWE-LFSH-V06-190101</v>
      </c>
      <c r="AO302" s="1132" t="str">
        <f t="shared" si="215"/>
        <v>Nicor Gas PY11-PY14 Adjustable Goals Template_2025-03-01, Tab 5.4.5</v>
      </c>
      <c r="AP302" s="2737">
        <f>'5.4.5'!$P$18</f>
        <v>3.0732631446167629</v>
      </c>
      <c r="AQ302" s="2568" t="s">
        <v>557</v>
      </c>
      <c r="AR302" s="2505">
        <f t="shared" si="216"/>
        <v>478.32574909129755</v>
      </c>
      <c r="AS302" s="2505">
        <f t="shared" si="217"/>
        <v>34.545748545482695</v>
      </c>
      <c r="AT302" s="1132" t="str">
        <f t="shared" si="218"/>
        <v>RS-HWE-LFSH-V06-190101</v>
      </c>
      <c r="AU302" s="1132" t="str">
        <f t="shared" si="219"/>
        <v>Nicor Gas PY11-PY14 Adjustable Goals Template_2025-03-01, Tab 5.4.5</v>
      </c>
      <c r="AV302" s="2508">
        <f>'5.4.5'!$P$18</f>
        <v>3.0732631446167629</v>
      </c>
      <c r="AW302" s="2568" t="s">
        <v>557</v>
      </c>
      <c r="AX302" s="1362">
        <f t="shared" si="220"/>
        <v>478.32574909129755</v>
      </c>
      <c r="AY302" s="1360">
        <f t="shared" si="221"/>
        <v>34.545748545482695</v>
      </c>
      <c r="AZ302" s="1132" t="str">
        <f t="shared" si="222"/>
        <v>RS-HWE-LFSH-V06-190101</v>
      </c>
      <c r="BA302" s="1132" t="str">
        <f t="shared" si="223"/>
        <v>Nicor Gas PY11-PY14 Adjustable Goals Template_2025-03-01, Tab 5.4.5</v>
      </c>
      <c r="BB302" s="2508">
        <f>'5.4.5'!$P$18</f>
        <v>3.0732631446167629</v>
      </c>
      <c r="BC302" s="2568" t="s">
        <v>557</v>
      </c>
      <c r="BD302" s="1362">
        <f t="shared" si="224"/>
        <v>478.32574909129755</v>
      </c>
      <c r="BE302" s="1360">
        <f t="shared" si="225"/>
        <v>34.545748545482695</v>
      </c>
      <c r="BF302" s="1132" t="str">
        <f t="shared" si="226"/>
        <v>RS-HWE-LFSH-V06-190101</v>
      </c>
      <c r="BG302" s="1132" t="str">
        <f t="shared" si="227"/>
        <v>Nicor Gas PY11-PY14 Adjustable Goals Template_2025-03-01, Tab 5.4.5</v>
      </c>
      <c r="BH302" s="2508">
        <f>'5.4.5'!$P$18</f>
        <v>3.0732631446167629</v>
      </c>
      <c r="BI302" s="2568" t="s">
        <v>557</v>
      </c>
      <c r="BJ302" s="1362">
        <f t="shared" si="249"/>
        <v>478.32574909129755</v>
      </c>
      <c r="BK302" s="1360">
        <f t="shared" si="228"/>
        <v>34.545748545482695</v>
      </c>
      <c r="BL302" s="1601">
        <f t="shared" si="229"/>
        <v>478.32574909129755</v>
      </c>
      <c r="BM302" s="1601">
        <f t="shared" si="230"/>
        <v>478.32574909129755</v>
      </c>
      <c r="BN302" s="1601">
        <f t="shared" si="231"/>
        <v>478.32574909129755</v>
      </c>
      <c r="BO302" s="1601">
        <f t="shared" si="232"/>
        <v>478.32574909129755</v>
      </c>
      <c r="BP302" s="1602">
        <f t="shared" si="233"/>
        <v>1913.3029963651902</v>
      </c>
      <c r="BQ302" s="1629"/>
      <c r="BR302" s="1629" t="s">
        <v>691</v>
      </c>
      <c r="BS302" s="1602">
        <v>0</v>
      </c>
      <c r="BT302" s="1602">
        <v>10</v>
      </c>
      <c r="BU302" s="1602">
        <v>10</v>
      </c>
      <c r="BV302" s="1602">
        <v>10</v>
      </c>
      <c r="BW302" s="1602">
        <v>10</v>
      </c>
      <c r="BX302" s="1362">
        <f t="shared" si="250"/>
        <v>4437.8000054581489</v>
      </c>
      <c r="BY302" s="1362">
        <f t="shared" si="251"/>
        <v>4437.8000054581489</v>
      </c>
      <c r="BZ302" s="1362">
        <f t="shared" si="252"/>
        <v>4437.8000054581489</v>
      </c>
      <c r="CA302" s="1362">
        <f t="shared" si="253"/>
        <v>4437.8000054581489</v>
      </c>
      <c r="CB302" s="1362">
        <f t="shared" si="254"/>
        <v>17751.200021832596</v>
      </c>
      <c r="CC302" s="1360">
        <v>10</v>
      </c>
      <c r="CD302" s="1360">
        <v>10</v>
      </c>
      <c r="CE302" s="1360">
        <v>10</v>
      </c>
      <c r="CF302" s="1360">
        <v>10</v>
      </c>
      <c r="CG302" s="1604">
        <f t="shared" si="234"/>
        <v>4783.2574909129753</v>
      </c>
      <c r="CH302" s="1604">
        <f t="shared" si="235"/>
        <v>4783.2574909129753</v>
      </c>
      <c r="CI302" s="1604">
        <f t="shared" si="236"/>
        <v>4783.2574909129753</v>
      </c>
      <c r="CJ302" s="1604">
        <f t="shared" si="237"/>
        <v>4783.2574909129753</v>
      </c>
      <c r="CK302" s="1521">
        <f t="shared" si="238"/>
        <v>19133.029963651901</v>
      </c>
      <c r="CL302" s="1132">
        <v>295</v>
      </c>
      <c r="CM302" s="1132" t="s">
        <v>328</v>
      </c>
      <c r="CN302" s="1359">
        <v>1</v>
      </c>
      <c r="CO302" s="1360">
        <v>146.06</v>
      </c>
      <c r="CP302" s="1360">
        <v>146.06</v>
      </c>
      <c r="CQ302" s="1360">
        <v>146.06</v>
      </c>
      <c r="CR302" s="1360">
        <v>146.06</v>
      </c>
      <c r="CS302" s="1362">
        <f t="shared" si="239"/>
        <v>416.46164493752752</v>
      </c>
      <c r="CT302" s="1362">
        <f t="shared" si="240"/>
        <v>416.46164493752752</v>
      </c>
      <c r="CU302" s="1362">
        <f t="shared" si="241"/>
        <v>416.46164493752752</v>
      </c>
      <c r="CV302" s="1362">
        <f t="shared" si="242"/>
        <v>416.46164493752752</v>
      </c>
      <c r="CW302" s="1362">
        <f t="shared" si="243"/>
        <v>1665.8465797501101</v>
      </c>
      <c r="CY302" s="2887"/>
    </row>
    <row r="303" spans="1:103" s="1143" customFormat="1" ht="46.5" x14ac:dyDescent="0.35">
      <c r="A303" s="1132" t="s">
        <v>110</v>
      </c>
      <c r="B303" s="1132" t="s">
        <v>781</v>
      </c>
      <c r="C303" s="1132" t="s">
        <v>477</v>
      </c>
      <c r="D303" s="1359" t="s">
        <v>478</v>
      </c>
      <c r="E303" s="1359">
        <v>1</v>
      </c>
      <c r="F303" s="2807" t="s">
        <v>479</v>
      </c>
      <c r="G303" s="1132" t="s">
        <v>356</v>
      </c>
      <c r="H303" s="1360">
        <v>4.6459999999999999</v>
      </c>
      <c r="I303" s="1360">
        <v>4.6459999999999999</v>
      </c>
      <c r="J303" s="1360">
        <v>4.6459999999999999</v>
      </c>
      <c r="K303" s="1360">
        <v>4.6459999999999999</v>
      </c>
      <c r="L303" s="1132" t="s">
        <v>480</v>
      </c>
      <c r="M303" s="1132" t="str">
        <f t="shared" si="205"/>
        <v>Nicor Gas PY11-PY14 Adjustable Goals Template_2025-03-01, Tab 4.3.1</v>
      </c>
      <c r="N303" s="1361">
        <v>48.22116686119378</v>
      </c>
      <c r="O303" s="1361">
        <v>48.22116686119378</v>
      </c>
      <c r="P303" s="1361">
        <v>48.22116686119378</v>
      </c>
      <c r="Q303" s="1361">
        <v>48.22116686119378</v>
      </c>
      <c r="R303" s="1781">
        <v>1</v>
      </c>
      <c r="S303" s="1781">
        <v>1</v>
      </c>
      <c r="T303" s="1781">
        <v>1</v>
      </c>
      <c r="U303" s="1781">
        <v>1</v>
      </c>
      <c r="V303" s="1781">
        <v>1</v>
      </c>
      <c r="W303" s="1781">
        <v>1</v>
      </c>
      <c r="X303" s="1781">
        <v>1</v>
      </c>
      <c r="Y303" s="1781">
        <v>1</v>
      </c>
      <c r="Z303" s="1359">
        <v>0</v>
      </c>
      <c r="AA303" s="1781">
        <f t="shared" si="206"/>
        <v>1</v>
      </c>
      <c r="AB303" s="1781">
        <f t="shared" si="207"/>
        <v>1</v>
      </c>
      <c r="AC303" s="1781">
        <f t="shared" si="208"/>
        <v>1</v>
      </c>
      <c r="AD303" s="1781">
        <f t="shared" si="209"/>
        <v>1</v>
      </c>
      <c r="AE303" s="1781">
        <f t="shared" si="210"/>
        <v>1</v>
      </c>
      <c r="AF303" s="1781">
        <f t="shared" si="211"/>
        <v>1</v>
      </c>
      <c r="AG303" s="1781">
        <f t="shared" si="212"/>
        <v>1</v>
      </c>
      <c r="AH303" s="1781">
        <f t="shared" si="213"/>
        <v>1</v>
      </c>
      <c r="AI303" s="1362">
        <f t="shared" si="244"/>
        <v>224.03554123710629</v>
      </c>
      <c r="AJ303" s="1362">
        <f t="shared" si="245"/>
        <v>224.03554123710629</v>
      </c>
      <c r="AK303" s="1362">
        <f t="shared" si="246"/>
        <v>224.03554123710629</v>
      </c>
      <c r="AL303" s="1362">
        <f t="shared" si="247"/>
        <v>224.03554123710629</v>
      </c>
      <c r="AM303" s="1362">
        <f t="shared" si="248"/>
        <v>896.14216494842515</v>
      </c>
      <c r="AN303" s="1132" t="str">
        <f t="shared" si="214"/>
        <v>CI-HW_-HWE-V03-190101</v>
      </c>
      <c r="AO303" s="1132" t="str">
        <f t="shared" si="215"/>
        <v>Nicor Gas PY11-PY14 Adjustable Goals Template_2025-03-01, Tab 4.3.1</v>
      </c>
      <c r="AP303" s="2568">
        <f>'4.3.1'!$Q$4</f>
        <v>50.462432363192917</v>
      </c>
      <c r="AQ303" s="2568" t="s">
        <v>481</v>
      </c>
      <c r="AR303" s="2505">
        <f t="shared" si="216"/>
        <v>234.44846075939429</v>
      </c>
      <c r="AS303" s="2505">
        <f t="shared" si="217"/>
        <v>10.412919522288007</v>
      </c>
      <c r="AT303" s="1132" t="str">
        <f t="shared" si="218"/>
        <v>CI-HW_-HWE-V03-190101</v>
      </c>
      <c r="AU303" s="1132" t="str">
        <f t="shared" si="219"/>
        <v>Nicor Gas PY11-PY14 Adjustable Goals Template_2025-03-01, Tab 4.3.1</v>
      </c>
      <c r="AV303" s="2505">
        <f>'4.3.1'!$Q$4</f>
        <v>50.462432363192917</v>
      </c>
      <c r="AW303" s="2568" t="s">
        <v>481</v>
      </c>
      <c r="AX303" s="1362">
        <f t="shared" si="220"/>
        <v>234.44846075939429</v>
      </c>
      <c r="AY303" s="1360">
        <f t="shared" si="221"/>
        <v>10.412919522288007</v>
      </c>
      <c r="AZ303" s="1132" t="str">
        <f t="shared" si="222"/>
        <v>CI-HW_-HWE-V03-190101</v>
      </c>
      <c r="BA303" s="1132" t="str">
        <f t="shared" si="223"/>
        <v>Nicor Gas PY11-PY14 Adjustable Goals Template_2025-03-01, Tab 4.3.1</v>
      </c>
      <c r="BB303" s="2505">
        <f>'4.3.1'!$Q$4</f>
        <v>50.462432363192917</v>
      </c>
      <c r="BC303" s="2568" t="s">
        <v>481</v>
      </c>
      <c r="BD303" s="1362">
        <f t="shared" si="224"/>
        <v>234.44846075939429</v>
      </c>
      <c r="BE303" s="1360">
        <f t="shared" si="225"/>
        <v>10.412919522288007</v>
      </c>
      <c r="BF303" s="1132" t="str">
        <f t="shared" si="226"/>
        <v>CI-HW_-HWE-V03-190101</v>
      </c>
      <c r="BG303" s="1132" t="str">
        <f t="shared" si="227"/>
        <v>Nicor Gas PY11-PY14 Adjustable Goals Template_2025-03-01, Tab 4.3.1</v>
      </c>
      <c r="BH303" s="2505">
        <f>'4.3.1'!$Q$4</f>
        <v>50.462432363192917</v>
      </c>
      <c r="BI303" s="2568" t="s">
        <v>481</v>
      </c>
      <c r="BJ303" s="1362">
        <f t="shared" si="249"/>
        <v>234.44846075939429</v>
      </c>
      <c r="BK303" s="1360">
        <f t="shared" si="228"/>
        <v>10.412919522288007</v>
      </c>
      <c r="BL303" s="1601">
        <f t="shared" si="229"/>
        <v>234.44846075939429</v>
      </c>
      <c r="BM303" s="1601">
        <f t="shared" si="230"/>
        <v>234.44846075939429</v>
      </c>
      <c r="BN303" s="1601">
        <f t="shared" si="231"/>
        <v>234.44846075939429</v>
      </c>
      <c r="BO303" s="1601">
        <f t="shared" si="232"/>
        <v>234.44846075939429</v>
      </c>
      <c r="BP303" s="1602">
        <f t="shared" si="233"/>
        <v>937.79384303757718</v>
      </c>
      <c r="BQ303" s="1629"/>
      <c r="BR303" s="1629" t="s">
        <v>479</v>
      </c>
      <c r="BS303" s="1602">
        <v>0</v>
      </c>
      <c r="BT303" s="1602">
        <v>15</v>
      </c>
      <c r="BU303" s="1602">
        <v>15</v>
      </c>
      <c r="BV303" s="1602">
        <v>15</v>
      </c>
      <c r="BW303" s="1602">
        <v>15</v>
      </c>
      <c r="BX303" s="1362">
        <f t="shared" si="250"/>
        <v>3360.5331185565942</v>
      </c>
      <c r="BY303" s="1362">
        <f t="shared" si="251"/>
        <v>3360.5331185565942</v>
      </c>
      <c r="BZ303" s="1362">
        <f t="shared" si="252"/>
        <v>3360.5331185565942</v>
      </c>
      <c r="CA303" s="1362">
        <f t="shared" si="253"/>
        <v>3360.5331185565942</v>
      </c>
      <c r="CB303" s="1362">
        <f t="shared" si="254"/>
        <v>13442.132474226377</v>
      </c>
      <c r="CC303" s="1360">
        <v>15</v>
      </c>
      <c r="CD303" s="1360">
        <v>15</v>
      </c>
      <c r="CE303" s="1360">
        <v>15</v>
      </c>
      <c r="CF303" s="1360">
        <v>15</v>
      </c>
      <c r="CG303" s="1604">
        <f t="shared" si="234"/>
        <v>3516.7269113909142</v>
      </c>
      <c r="CH303" s="1604">
        <f t="shared" si="235"/>
        <v>3516.7269113909142</v>
      </c>
      <c r="CI303" s="1604">
        <f t="shared" si="236"/>
        <v>3516.7269113909142</v>
      </c>
      <c r="CJ303" s="1604">
        <f t="shared" si="237"/>
        <v>3516.7269113909142</v>
      </c>
      <c r="CK303" s="1521">
        <f t="shared" si="238"/>
        <v>14066.907645563657</v>
      </c>
      <c r="CL303" s="1132">
        <v>296</v>
      </c>
      <c r="CM303" s="1132" t="s">
        <v>356</v>
      </c>
      <c r="CN303" s="1359">
        <v>1</v>
      </c>
      <c r="CO303" s="1360">
        <v>4.3600000000000003</v>
      </c>
      <c r="CP303" s="1360">
        <v>4.3600000000000003</v>
      </c>
      <c r="CQ303" s="1360">
        <v>4.3600000000000003</v>
      </c>
      <c r="CR303" s="1360">
        <v>4.3600000000000003</v>
      </c>
      <c r="CS303" s="1362">
        <f t="shared" si="239"/>
        <v>210.24428751480488</v>
      </c>
      <c r="CT303" s="1362">
        <f t="shared" si="240"/>
        <v>210.24428751480488</v>
      </c>
      <c r="CU303" s="1362">
        <f t="shared" si="241"/>
        <v>210.24428751480488</v>
      </c>
      <c r="CV303" s="1362">
        <f t="shared" si="242"/>
        <v>210.24428751480488</v>
      </c>
      <c r="CW303" s="1362">
        <f t="shared" si="243"/>
        <v>840.97715005921953</v>
      </c>
      <c r="CY303" s="2887"/>
    </row>
    <row r="304" spans="1:103" s="1143" customFormat="1" ht="46.5" x14ac:dyDescent="0.35">
      <c r="A304" s="1132" t="s">
        <v>110</v>
      </c>
      <c r="B304" s="1132" t="s">
        <v>781</v>
      </c>
      <c r="C304" s="1132" t="s">
        <v>798</v>
      </c>
      <c r="D304" s="1359" t="s">
        <v>799</v>
      </c>
      <c r="E304" s="1359">
        <v>1</v>
      </c>
      <c r="F304" s="2564" t="s">
        <v>679</v>
      </c>
      <c r="G304" s="1132" t="s">
        <v>328</v>
      </c>
      <c r="H304" s="1360">
        <v>2.323</v>
      </c>
      <c r="I304" s="1360">
        <v>2.323</v>
      </c>
      <c r="J304" s="1360">
        <v>2.323</v>
      </c>
      <c r="K304" s="1360">
        <v>2.323</v>
      </c>
      <c r="L304" s="1132" t="s">
        <v>660</v>
      </c>
      <c r="M304" s="1132" t="str">
        <f t="shared" si="205"/>
        <v>Nicor Gas PY11-PY14 Adjustable Goals Template_2025-03-01, Tab 5.6.4</v>
      </c>
      <c r="N304" s="1361">
        <v>82.567153846153829</v>
      </c>
      <c r="O304" s="1361">
        <v>82.567153846153829</v>
      </c>
      <c r="P304" s="1361">
        <v>82.567153846153829</v>
      </c>
      <c r="Q304" s="1361">
        <v>82.567153846153829</v>
      </c>
      <c r="R304" s="1781">
        <v>1</v>
      </c>
      <c r="S304" s="1781">
        <v>1</v>
      </c>
      <c r="T304" s="1781">
        <v>1</v>
      </c>
      <c r="U304" s="1781">
        <v>1</v>
      </c>
      <c r="V304" s="1781">
        <v>1</v>
      </c>
      <c r="W304" s="1781">
        <v>1</v>
      </c>
      <c r="X304" s="1781">
        <v>1</v>
      </c>
      <c r="Y304" s="1781">
        <v>1</v>
      </c>
      <c r="Z304" s="1359">
        <v>0</v>
      </c>
      <c r="AA304" s="1781">
        <f t="shared" si="206"/>
        <v>1</v>
      </c>
      <c r="AB304" s="1781">
        <f t="shared" si="207"/>
        <v>1</v>
      </c>
      <c r="AC304" s="1781">
        <f t="shared" si="208"/>
        <v>1</v>
      </c>
      <c r="AD304" s="1781">
        <f t="shared" si="209"/>
        <v>1</v>
      </c>
      <c r="AE304" s="1781">
        <f t="shared" si="210"/>
        <v>1</v>
      </c>
      <c r="AF304" s="1781">
        <f t="shared" si="211"/>
        <v>1</v>
      </c>
      <c r="AG304" s="1781">
        <f t="shared" si="212"/>
        <v>1</v>
      </c>
      <c r="AH304" s="1781">
        <f t="shared" si="213"/>
        <v>1</v>
      </c>
      <c r="AI304" s="1362">
        <f t="shared" si="244"/>
        <v>191.80349838461535</v>
      </c>
      <c r="AJ304" s="1362">
        <f t="shared" si="245"/>
        <v>191.80349838461535</v>
      </c>
      <c r="AK304" s="1362">
        <f t="shared" si="246"/>
        <v>191.80349838461535</v>
      </c>
      <c r="AL304" s="1362">
        <f t="shared" si="247"/>
        <v>191.80349838461535</v>
      </c>
      <c r="AM304" s="1362">
        <f t="shared" si="248"/>
        <v>767.21399353846141</v>
      </c>
      <c r="AN304" s="1132" t="str">
        <f t="shared" si="214"/>
        <v>RS-SHL-AINS-V07-180101</v>
      </c>
      <c r="AO304" s="1132" t="str">
        <f t="shared" si="215"/>
        <v>Nicor Gas PY11-PY14 Adjustable Goals Template_2025-03-01, Tab 5.6.4</v>
      </c>
      <c r="AP304" s="2505">
        <f>'5.6.4&amp;5.6.5'!$X$22</f>
        <v>82.567153846153829</v>
      </c>
      <c r="AQ304" s="2505"/>
      <c r="AR304" s="2505">
        <f t="shared" si="216"/>
        <v>191.80349838461535</v>
      </c>
      <c r="AS304" s="2505">
        <f t="shared" si="217"/>
        <v>0</v>
      </c>
      <c r="AT304" s="1132" t="str">
        <f t="shared" si="218"/>
        <v>RS-SHL-AINS-V07-180101</v>
      </c>
      <c r="AU304" s="1132" t="str">
        <f t="shared" si="219"/>
        <v>Nicor Gas PY11-PY14 Adjustable Goals Template_2025-03-01, Tab 5.6.4</v>
      </c>
      <c r="AV304" s="2505">
        <f>'5.6.4&amp;5.6.5'!$X$22</f>
        <v>82.567153846153829</v>
      </c>
      <c r="AW304" s="2505"/>
      <c r="AX304" s="1362">
        <f t="shared" si="220"/>
        <v>191.80349838461535</v>
      </c>
      <c r="AY304" s="1360">
        <f t="shared" si="221"/>
        <v>0</v>
      </c>
      <c r="AZ304" s="1132" t="str">
        <f t="shared" si="222"/>
        <v>RS-SHL-AINS-V07-180101</v>
      </c>
      <c r="BA304" s="1132" t="str">
        <f t="shared" si="223"/>
        <v>Nicor Gas PY11-PY14 Adjustable Goals Template_2025-03-01, Tab 5.6.4</v>
      </c>
      <c r="BB304" s="2505">
        <f>'5.6.4&amp;5.6.5'!$X$22</f>
        <v>82.567153846153829</v>
      </c>
      <c r="BC304" s="2505"/>
      <c r="BD304" s="1362">
        <f t="shared" si="224"/>
        <v>191.80349838461535</v>
      </c>
      <c r="BE304" s="1360">
        <f t="shared" si="225"/>
        <v>0</v>
      </c>
      <c r="BF304" s="1132" t="str">
        <f t="shared" si="226"/>
        <v>RS-SHL-AINS-V07-180101</v>
      </c>
      <c r="BG304" s="1132" t="str">
        <f t="shared" si="227"/>
        <v>Nicor Gas PY11-PY14 Adjustable Goals Template_2025-03-01, Tab 5.6.4</v>
      </c>
      <c r="BH304" s="2505">
        <f>'5.6.4&amp;5.6.5'!$X$22</f>
        <v>82.567153846153829</v>
      </c>
      <c r="BI304" s="2505"/>
      <c r="BJ304" s="1362">
        <f t="shared" si="249"/>
        <v>191.80349838461535</v>
      </c>
      <c r="BK304" s="1360">
        <f t="shared" si="228"/>
        <v>0</v>
      </c>
      <c r="BL304" s="1601">
        <f t="shared" si="229"/>
        <v>191.80349838461535</v>
      </c>
      <c r="BM304" s="1601">
        <f t="shared" si="230"/>
        <v>191.80349838461535</v>
      </c>
      <c r="BN304" s="1601">
        <f t="shared" si="231"/>
        <v>191.80349838461535</v>
      </c>
      <c r="BO304" s="1601">
        <f t="shared" si="232"/>
        <v>191.80349838461535</v>
      </c>
      <c r="BP304" s="1602">
        <f t="shared" si="233"/>
        <v>767.21399353846141</v>
      </c>
      <c r="BQ304" s="1629"/>
      <c r="BR304" s="1629" t="s">
        <v>679</v>
      </c>
      <c r="BS304" s="2773">
        <v>1</v>
      </c>
      <c r="BT304" s="1602">
        <v>19.41176471</v>
      </c>
      <c r="BU304" s="1602">
        <v>19.41176471</v>
      </c>
      <c r="BV304" s="1602">
        <v>19.41176471</v>
      </c>
      <c r="BW304" s="1602">
        <v>19.41176471</v>
      </c>
      <c r="BX304" s="1362">
        <f t="shared" si="250"/>
        <v>3723.2443811970184</v>
      </c>
      <c r="BY304" s="1362">
        <f t="shared" si="251"/>
        <v>3723.2443811970184</v>
      </c>
      <c r="BZ304" s="1362">
        <f t="shared" si="252"/>
        <v>3723.2443811970184</v>
      </c>
      <c r="CA304" s="1362">
        <f t="shared" si="253"/>
        <v>3723.2443811970184</v>
      </c>
      <c r="CB304" s="1362">
        <f t="shared" si="254"/>
        <v>14892.977524788073</v>
      </c>
      <c r="CC304" s="2775">
        <v>20</v>
      </c>
      <c r="CD304" s="2775">
        <v>20</v>
      </c>
      <c r="CE304" s="2775">
        <v>20</v>
      </c>
      <c r="CF304" s="2775">
        <v>20</v>
      </c>
      <c r="CG304" s="1604">
        <f t="shared" si="234"/>
        <v>3836.0699676923068</v>
      </c>
      <c r="CH304" s="1604">
        <f t="shared" si="235"/>
        <v>3836.0699676923068</v>
      </c>
      <c r="CI304" s="1604">
        <f t="shared" si="236"/>
        <v>3836.0699676923068</v>
      </c>
      <c r="CJ304" s="1604">
        <f t="shared" si="237"/>
        <v>3836.0699676923068</v>
      </c>
      <c r="CK304" s="1521">
        <f t="shared" si="238"/>
        <v>15344.279870769227</v>
      </c>
      <c r="CL304" s="1132">
        <v>297</v>
      </c>
      <c r="CM304" s="1132" t="s">
        <v>328</v>
      </c>
      <c r="CN304" s="1359">
        <v>1</v>
      </c>
      <c r="CO304" s="1360">
        <v>2.1800000000000002</v>
      </c>
      <c r="CP304" s="1360">
        <v>2.1800000000000002</v>
      </c>
      <c r="CQ304" s="1360">
        <v>2.1800000000000002</v>
      </c>
      <c r="CR304" s="1360">
        <v>2.1800000000000002</v>
      </c>
      <c r="CS304" s="1362">
        <f t="shared" si="239"/>
        <v>179.99639538461537</v>
      </c>
      <c r="CT304" s="1362">
        <f t="shared" si="240"/>
        <v>179.99639538461537</v>
      </c>
      <c r="CU304" s="1362">
        <f t="shared" si="241"/>
        <v>179.99639538461537</v>
      </c>
      <c r="CV304" s="1362">
        <f t="shared" si="242"/>
        <v>179.99639538461537</v>
      </c>
      <c r="CW304" s="1362">
        <f t="shared" si="243"/>
        <v>719.98558153846147</v>
      </c>
      <c r="CY304" s="2887"/>
    </row>
    <row r="305" spans="1:103" s="1143" customFormat="1" ht="46.5" x14ac:dyDescent="0.35">
      <c r="A305" s="1132" t="s">
        <v>110</v>
      </c>
      <c r="B305" s="1132" t="s">
        <v>781</v>
      </c>
      <c r="C305" s="1132" t="s">
        <v>800</v>
      </c>
      <c r="D305" s="1359" t="s">
        <v>801</v>
      </c>
      <c r="E305" s="1359">
        <v>1</v>
      </c>
      <c r="F305" s="2564" t="s">
        <v>683</v>
      </c>
      <c r="G305" s="1132" t="s">
        <v>356</v>
      </c>
      <c r="H305" s="1360">
        <v>74.335999999999999</v>
      </c>
      <c r="I305" s="1360">
        <v>74.335999999999999</v>
      </c>
      <c r="J305" s="1360">
        <v>74.335999999999999</v>
      </c>
      <c r="K305" s="1360">
        <v>74.335999999999999</v>
      </c>
      <c r="L305" s="1132" t="s">
        <v>802</v>
      </c>
      <c r="M305" s="1132" t="str">
        <f t="shared" si="205"/>
        <v>Nicor Gas PY11-PY14 Adjustable Goals Template_2025-03-01, Tab 5.6.7</v>
      </c>
      <c r="N305" s="1361">
        <v>9.1319999999999979</v>
      </c>
      <c r="O305" s="1361">
        <v>9.1319999999999979</v>
      </c>
      <c r="P305" s="1361">
        <v>9.1319999999999979</v>
      </c>
      <c r="Q305" s="1361">
        <v>9.1319999999999979</v>
      </c>
      <c r="R305" s="1781">
        <v>1</v>
      </c>
      <c r="S305" s="1781">
        <v>1</v>
      </c>
      <c r="T305" s="1781">
        <v>1</v>
      </c>
      <c r="U305" s="1781">
        <v>1</v>
      </c>
      <c r="V305" s="1781">
        <v>1</v>
      </c>
      <c r="W305" s="1781">
        <v>1</v>
      </c>
      <c r="X305" s="1781">
        <v>1</v>
      </c>
      <c r="Y305" s="1781">
        <v>1</v>
      </c>
      <c r="Z305" s="1359">
        <v>0</v>
      </c>
      <c r="AA305" s="1781">
        <f t="shared" si="206"/>
        <v>1</v>
      </c>
      <c r="AB305" s="1781">
        <f t="shared" si="207"/>
        <v>1</v>
      </c>
      <c r="AC305" s="1781">
        <f t="shared" si="208"/>
        <v>1</v>
      </c>
      <c r="AD305" s="1781">
        <f t="shared" si="209"/>
        <v>1</v>
      </c>
      <c r="AE305" s="1781">
        <f t="shared" si="210"/>
        <v>1</v>
      </c>
      <c r="AF305" s="1781">
        <f t="shared" si="211"/>
        <v>1</v>
      </c>
      <c r="AG305" s="1781">
        <f t="shared" si="212"/>
        <v>1</v>
      </c>
      <c r="AH305" s="1781">
        <f t="shared" si="213"/>
        <v>1</v>
      </c>
      <c r="AI305" s="1362">
        <f t="shared" si="244"/>
        <v>678.83635199999981</v>
      </c>
      <c r="AJ305" s="1362">
        <f t="shared" si="245"/>
        <v>678.83635199999981</v>
      </c>
      <c r="AK305" s="1362">
        <f t="shared" si="246"/>
        <v>678.83635199999981</v>
      </c>
      <c r="AL305" s="1362">
        <f t="shared" si="247"/>
        <v>678.83635199999981</v>
      </c>
      <c r="AM305" s="1362">
        <f t="shared" si="248"/>
        <v>2715.3454079999992</v>
      </c>
      <c r="AN305" s="1132" t="str">
        <f t="shared" si="214"/>
        <v>RS-SHL-LESW-V01-210102</v>
      </c>
      <c r="AO305" s="1132" t="str">
        <f t="shared" si="215"/>
        <v>Nicor Gas PY11-PY14 Adjustable Goals Template_2025-03-01, Tab 5.6.7</v>
      </c>
      <c r="AP305" s="2505">
        <f>'5.6.7'!$R$6</f>
        <v>9.1319999999999979</v>
      </c>
      <c r="AQ305" s="2505"/>
      <c r="AR305" s="2505">
        <f t="shared" si="216"/>
        <v>678.83635199999981</v>
      </c>
      <c r="AS305" s="2505">
        <f t="shared" si="217"/>
        <v>0</v>
      </c>
      <c r="AT305" s="1132" t="str">
        <f t="shared" si="218"/>
        <v>RS-SHL-LESW-V01-210102</v>
      </c>
      <c r="AU305" s="1132" t="str">
        <f t="shared" si="219"/>
        <v>Nicor Gas PY11-PY14 Adjustable Goals Template_2025-03-01, Tab 5.6.7</v>
      </c>
      <c r="AV305" s="2505">
        <f>'5.6.7'!$R$6</f>
        <v>9.1319999999999979</v>
      </c>
      <c r="AW305" s="2505"/>
      <c r="AX305" s="1362">
        <f t="shared" si="220"/>
        <v>678.83635199999981</v>
      </c>
      <c r="AY305" s="1360">
        <f t="shared" si="221"/>
        <v>0</v>
      </c>
      <c r="AZ305" s="1132" t="str">
        <f t="shared" si="222"/>
        <v>RS-SHL-LESW-V01-210102</v>
      </c>
      <c r="BA305" s="1132" t="str">
        <f t="shared" si="223"/>
        <v>Nicor Gas PY11-PY14 Adjustable Goals Template_2025-03-01, Tab 5.6.7</v>
      </c>
      <c r="BB305" s="2505">
        <f>'5.6.7'!$R$6</f>
        <v>9.1319999999999979</v>
      </c>
      <c r="BC305" s="2505"/>
      <c r="BD305" s="1362">
        <f t="shared" si="224"/>
        <v>678.83635199999981</v>
      </c>
      <c r="BE305" s="1360">
        <f t="shared" si="225"/>
        <v>0</v>
      </c>
      <c r="BF305" s="1132" t="str">
        <f t="shared" si="226"/>
        <v>RS-SHL-LESW-V01-210102</v>
      </c>
      <c r="BG305" s="1132" t="str">
        <f t="shared" si="227"/>
        <v>Nicor Gas PY11-PY14 Adjustable Goals Template_2025-03-01, Tab 5.6.7</v>
      </c>
      <c r="BH305" s="2505">
        <f>'5.6.7'!$R$6</f>
        <v>9.1319999999999979</v>
      </c>
      <c r="BI305" s="2505"/>
      <c r="BJ305" s="1362">
        <f t="shared" si="249"/>
        <v>678.83635199999981</v>
      </c>
      <c r="BK305" s="1360">
        <f t="shared" si="228"/>
        <v>0</v>
      </c>
      <c r="BL305" s="1601">
        <f t="shared" si="229"/>
        <v>678.83635199999981</v>
      </c>
      <c r="BM305" s="1601">
        <f t="shared" si="230"/>
        <v>678.83635199999981</v>
      </c>
      <c r="BN305" s="1601">
        <f t="shared" si="231"/>
        <v>678.83635199999981</v>
      </c>
      <c r="BO305" s="1601">
        <f t="shared" si="232"/>
        <v>678.83635199999981</v>
      </c>
      <c r="BP305" s="1602">
        <f t="shared" si="233"/>
        <v>2715.3454079999992</v>
      </c>
      <c r="BQ305" s="1629"/>
      <c r="BR305" s="1629" t="s">
        <v>683</v>
      </c>
      <c r="BS305" s="1602">
        <v>0</v>
      </c>
      <c r="BT305" s="1602">
        <v>20</v>
      </c>
      <c r="BU305" s="1602">
        <v>20</v>
      </c>
      <c r="BV305" s="1602">
        <v>20</v>
      </c>
      <c r="BW305" s="1602">
        <v>20</v>
      </c>
      <c r="BX305" s="1362">
        <f t="shared" si="250"/>
        <v>13576.727039999996</v>
      </c>
      <c r="BY305" s="1362">
        <f t="shared" si="251"/>
        <v>13576.727039999996</v>
      </c>
      <c r="BZ305" s="1362">
        <f t="shared" si="252"/>
        <v>13576.727039999996</v>
      </c>
      <c r="CA305" s="1362">
        <f t="shared" si="253"/>
        <v>13576.727039999996</v>
      </c>
      <c r="CB305" s="1362">
        <f t="shared" si="254"/>
        <v>54306.908159999984</v>
      </c>
      <c r="CC305" s="1360">
        <v>20</v>
      </c>
      <c r="CD305" s="1360">
        <v>20</v>
      </c>
      <c r="CE305" s="1360">
        <v>20</v>
      </c>
      <c r="CF305" s="1360">
        <v>20</v>
      </c>
      <c r="CG305" s="1604">
        <f t="shared" si="234"/>
        <v>13576.727039999996</v>
      </c>
      <c r="CH305" s="1604">
        <f t="shared" si="235"/>
        <v>13576.727039999996</v>
      </c>
      <c r="CI305" s="1604">
        <f t="shared" si="236"/>
        <v>13576.727039999996</v>
      </c>
      <c r="CJ305" s="1604">
        <f t="shared" si="237"/>
        <v>13576.727039999996</v>
      </c>
      <c r="CK305" s="1521">
        <f t="shared" si="238"/>
        <v>54306.908159999984</v>
      </c>
      <c r="CL305" s="1132">
        <v>298</v>
      </c>
      <c r="CM305" s="1132" t="s">
        <v>356</v>
      </c>
      <c r="CN305" s="1359">
        <v>1</v>
      </c>
      <c r="CO305" s="1360">
        <v>69.760000000000005</v>
      </c>
      <c r="CP305" s="1360">
        <v>69.760000000000005</v>
      </c>
      <c r="CQ305" s="1360">
        <v>69.760000000000005</v>
      </c>
      <c r="CR305" s="1360">
        <v>69.760000000000005</v>
      </c>
      <c r="CS305" s="1362">
        <f t="shared" si="239"/>
        <v>637.04831999999988</v>
      </c>
      <c r="CT305" s="1362">
        <f t="shared" si="240"/>
        <v>637.04831999999988</v>
      </c>
      <c r="CU305" s="1362">
        <f t="shared" si="241"/>
        <v>637.04831999999988</v>
      </c>
      <c r="CV305" s="1362">
        <f t="shared" si="242"/>
        <v>637.04831999999988</v>
      </c>
      <c r="CW305" s="1362">
        <f t="shared" si="243"/>
        <v>2548.1932799999995</v>
      </c>
      <c r="CY305" s="2887"/>
    </row>
    <row r="306" spans="1:103" s="1143" customFormat="1" ht="45.75" customHeight="1" x14ac:dyDescent="0.35">
      <c r="A306" s="1132" t="s">
        <v>110</v>
      </c>
      <c r="B306" s="1132" t="s">
        <v>781</v>
      </c>
      <c r="C306" s="1132" t="s">
        <v>803</v>
      </c>
      <c r="D306" s="1359" t="s">
        <v>105</v>
      </c>
      <c r="E306" s="1359">
        <f>IF(AI306-AR306=0,0,1)</f>
        <v>0</v>
      </c>
      <c r="F306" s="1132" t="s">
        <v>105</v>
      </c>
      <c r="G306" s="1132" t="s">
        <v>328</v>
      </c>
      <c r="H306" s="1360">
        <v>28.45675</v>
      </c>
      <c r="I306" s="1360">
        <v>28.45675</v>
      </c>
      <c r="J306" s="1360">
        <v>28.45675</v>
      </c>
      <c r="K306" s="1360">
        <v>28.45675</v>
      </c>
      <c r="L306" s="1132" t="s">
        <v>105</v>
      </c>
      <c r="M306" s="1132" t="str">
        <f t="shared" si="205"/>
        <v/>
      </c>
      <c r="N306" s="1361">
        <v>91.676929759551214</v>
      </c>
      <c r="O306" s="1361">
        <v>91.676929759551214</v>
      </c>
      <c r="P306" s="1361">
        <v>91.676929759551214</v>
      </c>
      <c r="Q306" s="1361">
        <v>91.676929759551214</v>
      </c>
      <c r="R306" s="1781">
        <v>1</v>
      </c>
      <c r="S306" s="1781">
        <v>1</v>
      </c>
      <c r="T306" s="1781">
        <v>1</v>
      </c>
      <c r="U306" s="1781">
        <v>1</v>
      </c>
      <c r="V306" s="1781">
        <v>1</v>
      </c>
      <c r="W306" s="1781">
        <v>1</v>
      </c>
      <c r="X306" s="1781">
        <v>1</v>
      </c>
      <c r="Y306" s="1781">
        <v>1</v>
      </c>
      <c r="Z306" s="1359">
        <v>0</v>
      </c>
      <c r="AA306" s="1781">
        <f t="shared" si="206"/>
        <v>1</v>
      </c>
      <c r="AB306" s="1781">
        <f t="shared" si="207"/>
        <v>1</v>
      </c>
      <c r="AC306" s="1781">
        <f t="shared" si="208"/>
        <v>1</v>
      </c>
      <c r="AD306" s="1781">
        <f t="shared" si="209"/>
        <v>1</v>
      </c>
      <c r="AE306" s="1781">
        <f t="shared" si="210"/>
        <v>1</v>
      </c>
      <c r="AF306" s="1781">
        <f t="shared" si="211"/>
        <v>1</v>
      </c>
      <c r="AG306" s="1781">
        <f t="shared" si="212"/>
        <v>1</v>
      </c>
      <c r="AH306" s="1781">
        <f t="shared" si="213"/>
        <v>1</v>
      </c>
      <c r="AI306" s="1362">
        <f t="shared" si="244"/>
        <v>2608.827470935109</v>
      </c>
      <c r="AJ306" s="1362">
        <f t="shared" si="245"/>
        <v>2608.827470935109</v>
      </c>
      <c r="AK306" s="1362">
        <f t="shared" si="246"/>
        <v>2608.827470935109</v>
      </c>
      <c r="AL306" s="1362">
        <f t="shared" si="247"/>
        <v>2608.827470935109</v>
      </c>
      <c r="AM306" s="1362">
        <f t="shared" si="248"/>
        <v>10435.309883740436</v>
      </c>
      <c r="AN306" s="1132" t="str">
        <f t="shared" si="214"/>
        <v>Custom</v>
      </c>
      <c r="AO306" s="1132" t="str">
        <f t="shared" si="215"/>
        <v/>
      </c>
      <c r="AP306" s="2505">
        <v>91.676929759551214</v>
      </c>
      <c r="AQ306" s="2505"/>
      <c r="AR306" s="2505">
        <f t="shared" si="216"/>
        <v>2608.827470935109</v>
      </c>
      <c r="AS306" s="2505">
        <f t="shared" si="217"/>
        <v>0</v>
      </c>
      <c r="AT306" s="1132" t="str">
        <f t="shared" si="218"/>
        <v>Custom</v>
      </c>
      <c r="AU306" s="1132" t="str">
        <f t="shared" si="219"/>
        <v/>
      </c>
      <c r="AV306" s="2505">
        <v>91.676929759551214</v>
      </c>
      <c r="AW306" s="2505"/>
      <c r="AX306" s="1362">
        <f t="shared" si="220"/>
        <v>2608.827470935109</v>
      </c>
      <c r="AY306" s="1360">
        <f t="shared" si="221"/>
        <v>0</v>
      </c>
      <c r="AZ306" s="1132" t="str">
        <f t="shared" si="222"/>
        <v>Custom</v>
      </c>
      <c r="BA306" s="1132" t="str">
        <f t="shared" si="223"/>
        <v/>
      </c>
      <c r="BB306" s="2505">
        <v>91.676929759551214</v>
      </c>
      <c r="BC306" s="2505"/>
      <c r="BD306" s="1362">
        <f t="shared" si="224"/>
        <v>2608.827470935109</v>
      </c>
      <c r="BE306" s="1360">
        <f t="shared" si="225"/>
        <v>0</v>
      </c>
      <c r="BF306" s="1132" t="str">
        <f t="shared" si="226"/>
        <v>Custom</v>
      </c>
      <c r="BG306" s="1132" t="str">
        <f t="shared" si="227"/>
        <v/>
      </c>
      <c r="BH306" s="2505">
        <v>91.676929759551214</v>
      </c>
      <c r="BI306" s="2505"/>
      <c r="BJ306" s="1362">
        <f t="shared" si="249"/>
        <v>2608.827470935109</v>
      </c>
      <c r="BK306" s="1360">
        <f t="shared" si="228"/>
        <v>0</v>
      </c>
      <c r="BL306" s="1601">
        <f t="shared" si="229"/>
        <v>2608.827470935109</v>
      </c>
      <c r="BM306" s="1601">
        <f t="shared" si="230"/>
        <v>2608.827470935109</v>
      </c>
      <c r="BN306" s="1601">
        <f t="shared" si="231"/>
        <v>2608.827470935109</v>
      </c>
      <c r="BO306" s="1601">
        <f t="shared" si="232"/>
        <v>2608.827470935109</v>
      </c>
      <c r="BP306" s="1602">
        <f t="shared" si="233"/>
        <v>10435.309883740436</v>
      </c>
      <c r="BQ306" s="1629"/>
      <c r="BR306" s="1629"/>
      <c r="BS306" s="1602">
        <v>0</v>
      </c>
      <c r="BT306" s="1602">
        <v>15</v>
      </c>
      <c r="BU306" s="1602">
        <v>15</v>
      </c>
      <c r="BV306" s="1602">
        <v>15</v>
      </c>
      <c r="BW306" s="1602">
        <v>15</v>
      </c>
      <c r="BX306" s="1362">
        <f t="shared" si="250"/>
        <v>39132.412064026634</v>
      </c>
      <c r="BY306" s="1362">
        <f t="shared" si="251"/>
        <v>39132.412064026634</v>
      </c>
      <c r="BZ306" s="1362">
        <f t="shared" si="252"/>
        <v>39132.412064026634</v>
      </c>
      <c r="CA306" s="1362">
        <f t="shared" si="253"/>
        <v>39132.412064026634</v>
      </c>
      <c r="CB306" s="1362">
        <f t="shared" si="254"/>
        <v>156529.64825610653</v>
      </c>
      <c r="CC306" s="1360">
        <v>15</v>
      </c>
      <c r="CD306" s="1360">
        <v>15</v>
      </c>
      <c r="CE306" s="1360">
        <v>15</v>
      </c>
      <c r="CF306" s="1360">
        <v>15</v>
      </c>
      <c r="CG306" s="1604">
        <f t="shared" si="234"/>
        <v>39132.412064026634</v>
      </c>
      <c r="CH306" s="1604">
        <f t="shared" si="235"/>
        <v>39132.412064026634</v>
      </c>
      <c r="CI306" s="1604">
        <f t="shared" si="236"/>
        <v>39132.412064026634</v>
      </c>
      <c r="CJ306" s="1604">
        <f t="shared" si="237"/>
        <v>39132.412064026634</v>
      </c>
      <c r="CK306" s="1521">
        <f t="shared" si="238"/>
        <v>156529.64825610653</v>
      </c>
      <c r="CL306" s="1132">
        <v>299</v>
      </c>
      <c r="CM306" s="1132" t="s">
        <v>328</v>
      </c>
      <c r="CN306" s="1359">
        <v>1</v>
      </c>
      <c r="CO306" s="1360">
        <v>26.705000000000002</v>
      </c>
      <c r="CP306" s="1360">
        <v>26.705000000000002</v>
      </c>
      <c r="CQ306" s="1360">
        <v>26.705000000000002</v>
      </c>
      <c r="CR306" s="1360">
        <v>26.705000000000002</v>
      </c>
      <c r="CS306" s="1362">
        <f t="shared" si="239"/>
        <v>2448.2324092288154</v>
      </c>
      <c r="CT306" s="1362">
        <f t="shared" si="240"/>
        <v>2448.2324092288154</v>
      </c>
      <c r="CU306" s="1362">
        <f t="shared" si="241"/>
        <v>2448.2324092288154</v>
      </c>
      <c r="CV306" s="1362">
        <f t="shared" si="242"/>
        <v>2448.2324092288154</v>
      </c>
      <c r="CW306" s="1362">
        <f t="shared" si="243"/>
        <v>9792.9296369152617</v>
      </c>
      <c r="CY306" s="2887"/>
    </row>
    <row r="307" spans="1:103" s="1143" customFormat="1" ht="15.5" x14ac:dyDescent="0.35">
      <c r="A307" s="1132" t="s">
        <v>110</v>
      </c>
      <c r="B307" s="1132" t="s">
        <v>781</v>
      </c>
      <c r="C307" s="1132" t="s">
        <v>685</v>
      </c>
      <c r="D307" s="1359" t="s">
        <v>105</v>
      </c>
      <c r="E307" s="1359">
        <f>IF(AI307-AR307=0,0,1)</f>
        <v>0</v>
      </c>
      <c r="F307" s="1132" t="s">
        <v>105</v>
      </c>
      <c r="G307" s="1132" t="s">
        <v>356</v>
      </c>
      <c r="H307" s="1360">
        <v>87.112499999999997</v>
      </c>
      <c r="I307" s="1360">
        <v>87.112499999999997</v>
      </c>
      <c r="J307" s="1360">
        <v>87.112499999999997</v>
      </c>
      <c r="K307" s="1360">
        <v>87.112499999999997</v>
      </c>
      <c r="L307" s="1132" t="s">
        <v>105</v>
      </c>
      <c r="M307" s="1132" t="str">
        <f t="shared" si="205"/>
        <v/>
      </c>
      <c r="N307" s="1361">
        <v>1.7712549049185877</v>
      </c>
      <c r="O307" s="1361">
        <v>1.7712549049185877</v>
      </c>
      <c r="P307" s="1361">
        <v>1.7712549049185877</v>
      </c>
      <c r="Q307" s="1361">
        <v>1.7712549049185877</v>
      </c>
      <c r="R307" s="1781">
        <v>1</v>
      </c>
      <c r="S307" s="1781">
        <v>1</v>
      </c>
      <c r="T307" s="1781">
        <v>1</v>
      </c>
      <c r="U307" s="1781">
        <v>1</v>
      </c>
      <c r="V307" s="1781">
        <v>1</v>
      </c>
      <c r="W307" s="1781">
        <v>1</v>
      </c>
      <c r="X307" s="1781">
        <v>1</v>
      </c>
      <c r="Y307" s="1781">
        <v>1</v>
      </c>
      <c r="Z307" s="1359">
        <v>0</v>
      </c>
      <c r="AA307" s="1781">
        <f t="shared" si="206"/>
        <v>1</v>
      </c>
      <c r="AB307" s="1781">
        <f t="shared" si="207"/>
        <v>1</v>
      </c>
      <c r="AC307" s="1781">
        <f t="shared" si="208"/>
        <v>1</v>
      </c>
      <c r="AD307" s="1781">
        <f t="shared" si="209"/>
        <v>1</v>
      </c>
      <c r="AE307" s="1781">
        <f t="shared" si="210"/>
        <v>1</v>
      </c>
      <c r="AF307" s="1781">
        <f t="shared" si="211"/>
        <v>1</v>
      </c>
      <c r="AG307" s="1781">
        <f t="shared" si="212"/>
        <v>1</v>
      </c>
      <c r="AH307" s="1781">
        <f t="shared" si="213"/>
        <v>1</v>
      </c>
      <c r="AI307" s="1362">
        <f t="shared" si="244"/>
        <v>154.29844290472047</v>
      </c>
      <c r="AJ307" s="1362">
        <f t="shared" si="245"/>
        <v>154.29844290472047</v>
      </c>
      <c r="AK307" s="1362">
        <f t="shared" si="246"/>
        <v>154.29844290472047</v>
      </c>
      <c r="AL307" s="1362">
        <f t="shared" si="247"/>
        <v>154.29844290472047</v>
      </c>
      <c r="AM307" s="1362">
        <f t="shared" si="248"/>
        <v>617.1937716188819</v>
      </c>
      <c r="AN307" s="1132" t="str">
        <f t="shared" si="214"/>
        <v>Custom</v>
      </c>
      <c r="AO307" s="1132" t="str">
        <f t="shared" si="215"/>
        <v/>
      </c>
      <c r="AP307" s="2505">
        <v>1.7712549049185877</v>
      </c>
      <c r="AQ307" s="2505"/>
      <c r="AR307" s="2505">
        <f t="shared" si="216"/>
        <v>154.29844290472047</v>
      </c>
      <c r="AS307" s="2505">
        <f t="shared" si="217"/>
        <v>0</v>
      </c>
      <c r="AT307" s="1132" t="str">
        <f t="shared" si="218"/>
        <v>Custom</v>
      </c>
      <c r="AU307" s="1132" t="str">
        <f t="shared" si="219"/>
        <v/>
      </c>
      <c r="AV307" s="2505">
        <v>1.7712549049185877</v>
      </c>
      <c r="AW307" s="2505"/>
      <c r="AX307" s="1362">
        <f t="shared" si="220"/>
        <v>154.29844290472047</v>
      </c>
      <c r="AY307" s="1360">
        <f t="shared" si="221"/>
        <v>0</v>
      </c>
      <c r="AZ307" s="1132" t="str">
        <f t="shared" si="222"/>
        <v>Custom</v>
      </c>
      <c r="BA307" s="1132" t="str">
        <f t="shared" si="223"/>
        <v/>
      </c>
      <c r="BB307" s="2505">
        <v>1.7712549049185877</v>
      </c>
      <c r="BC307" s="2505"/>
      <c r="BD307" s="1362">
        <f t="shared" si="224"/>
        <v>154.29844290472047</v>
      </c>
      <c r="BE307" s="1360">
        <f t="shared" si="225"/>
        <v>0</v>
      </c>
      <c r="BF307" s="1132" t="str">
        <f t="shared" si="226"/>
        <v>Custom</v>
      </c>
      <c r="BG307" s="1132" t="str">
        <f t="shared" si="227"/>
        <v/>
      </c>
      <c r="BH307" s="2505">
        <v>1.7712549049185877</v>
      </c>
      <c r="BI307" s="2505"/>
      <c r="BJ307" s="1362">
        <f t="shared" si="249"/>
        <v>154.29844290472047</v>
      </c>
      <c r="BK307" s="1360">
        <f t="shared" si="228"/>
        <v>0</v>
      </c>
      <c r="BL307" s="1601">
        <f t="shared" si="229"/>
        <v>154.29844290472047</v>
      </c>
      <c r="BM307" s="1601">
        <f t="shared" si="230"/>
        <v>154.29844290472047</v>
      </c>
      <c r="BN307" s="1601">
        <f t="shared" si="231"/>
        <v>154.29844290472047</v>
      </c>
      <c r="BO307" s="1601">
        <f t="shared" si="232"/>
        <v>154.29844290472047</v>
      </c>
      <c r="BP307" s="1602">
        <f t="shared" si="233"/>
        <v>617.1937716188819</v>
      </c>
      <c r="BQ307" s="1629"/>
      <c r="BR307" s="1629"/>
      <c r="BS307" s="1602">
        <v>0</v>
      </c>
      <c r="BT307" s="1602">
        <v>30</v>
      </c>
      <c r="BU307" s="1602">
        <v>30</v>
      </c>
      <c r="BV307" s="1602">
        <v>30</v>
      </c>
      <c r="BW307" s="1602">
        <v>30</v>
      </c>
      <c r="BX307" s="1362">
        <f t="shared" si="250"/>
        <v>4628.9532871416141</v>
      </c>
      <c r="BY307" s="1362">
        <f t="shared" si="251"/>
        <v>4628.9532871416141</v>
      </c>
      <c r="BZ307" s="1362">
        <f t="shared" si="252"/>
        <v>4628.9532871416141</v>
      </c>
      <c r="CA307" s="1362">
        <f t="shared" si="253"/>
        <v>4628.9532871416141</v>
      </c>
      <c r="CB307" s="1362">
        <f t="shared" si="254"/>
        <v>18515.813148566456</v>
      </c>
      <c r="CC307" s="1360">
        <v>30</v>
      </c>
      <c r="CD307" s="1360">
        <v>30</v>
      </c>
      <c r="CE307" s="1360">
        <v>30</v>
      </c>
      <c r="CF307" s="1360">
        <v>30</v>
      </c>
      <c r="CG307" s="1604">
        <f t="shared" si="234"/>
        <v>4628.9532871416141</v>
      </c>
      <c r="CH307" s="1604">
        <f t="shared" si="235"/>
        <v>4628.9532871416141</v>
      </c>
      <c r="CI307" s="1604">
        <f t="shared" si="236"/>
        <v>4628.9532871416141</v>
      </c>
      <c r="CJ307" s="1604">
        <f t="shared" si="237"/>
        <v>4628.9532871416141</v>
      </c>
      <c r="CK307" s="1521">
        <f t="shared" si="238"/>
        <v>18515.813148566456</v>
      </c>
      <c r="CL307" s="1132">
        <v>300</v>
      </c>
      <c r="CM307" s="1132" t="s">
        <v>356</v>
      </c>
      <c r="CN307" s="1359">
        <v>1</v>
      </c>
      <c r="CO307" s="1360">
        <v>81.75</v>
      </c>
      <c r="CP307" s="1360">
        <v>81.75</v>
      </c>
      <c r="CQ307" s="1360">
        <v>81.75</v>
      </c>
      <c r="CR307" s="1360">
        <v>81.75</v>
      </c>
      <c r="CS307" s="1362">
        <f t="shared" si="239"/>
        <v>144.80008847709453</v>
      </c>
      <c r="CT307" s="1362">
        <f t="shared" si="240"/>
        <v>144.80008847709453</v>
      </c>
      <c r="CU307" s="1362">
        <f t="shared" si="241"/>
        <v>144.80008847709453</v>
      </c>
      <c r="CV307" s="1362">
        <f t="shared" si="242"/>
        <v>144.80008847709453</v>
      </c>
      <c r="CW307" s="1362">
        <f t="shared" si="243"/>
        <v>579.20035390837813</v>
      </c>
      <c r="CY307" s="2887"/>
    </row>
    <row r="308" spans="1:103" s="1143" customFormat="1" ht="45.75" customHeight="1" x14ac:dyDescent="0.35">
      <c r="A308" s="1132" t="s">
        <v>110</v>
      </c>
      <c r="B308" s="1132" t="s">
        <v>781</v>
      </c>
      <c r="C308" s="1132" t="s">
        <v>645</v>
      </c>
      <c r="D308" s="1359" t="s">
        <v>105</v>
      </c>
      <c r="E308" s="1359">
        <f>IF(AI308-AR308=0,0,1)</f>
        <v>0</v>
      </c>
      <c r="F308" s="1132" t="s">
        <v>105</v>
      </c>
      <c r="G308" s="1132" t="s">
        <v>328</v>
      </c>
      <c r="H308" s="1360">
        <v>7.5497499999999995</v>
      </c>
      <c r="I308" s="1360">
        <v>7.5497499999999995</v>
      </c>
      <c r="J308" s="1360">
        <v>7.5497499999999995</v>
      </c>
      <c r="K308" s="1360">
        <v>7.5497499999999995</v>
      </c>
      <c r="L308" s="1132" t="s">
        <v>105</v>
      </c>
      <c r="M308" s="1132" t="str">
        <f t="shared" si="205"/>
        <v/>
      </c>
      <c r="N308" s="1361">
        <v>410.67692975955123</v>
      </c>
      <c r="O308" s="1361">
        <v>410.67692975955123</v>
      </c>
      <c r="P308" s="1361">
        <v>410.67692975955123</v>
      </c>
      <c r="Q308" s="1361">
        <v>410.67692975955123</v>
      </c>
      <c r="R308" s="1781">
        <v>1</v>
      </c>
      <c r="S308" s="1781">
        <v>1</v>
      </c>
      <c r="T308" s="1781">
        <v>1</v>
      </c>
      <c r="U308" s="1781">
        <v>1</v>
      </c>
      <c r="V308" s="1781">
        <v>1</v>
      </c>
      <c r="W308" s="1781">
        <v>1</v>
      </c>
      <c r="X308" s="1781">
        <v>1</v>
      </c>
      <c r="Y308" s="1781">
        <v>1</v>
      </c>
      <c r="Z308" s="1359">
        <v>0</v>
      </c>
      <c r="AA308" s="1781">
        <f t="shared" si="206"/>
        <v>1</v>
      </c>
      <c r="AB308" s="1781">
        <f t="shared" si="207"/>
        <v>1</v>
      </c>
      <c r="AC308" s="1781">
        <f t="shared" si="208"/>
        <v>1</v>
      </c>
      <c r="AD308" s="1781">
        <f t="shared" si="209"/>
        <v>1</v>
      </c>
      <c r="AE308" s="1781">
        <f t="shared" si="210"/>
        <v>1</v>
      </c>
      <c r="AF308" s="1781">
        <f t="shared" si="211"/>
        <v>1</v>
      </c>
      <c r="AG308" s="1781">
        <f t="shared" si="212"/>
        <v>1</v>
      </c>
      <c r="AH308" s="1781">
        <f t="shared" si="213"/>
        <v>1</v>
      </c>
      <c r="AI308" s="1362">
        <f t="shared" si="244"/>
        <v>3100.5081504521718</v>
      </c>
      <c r="AJ308" s="1362">
        <f t="shared" si="245"/>
        <v>3100.5081504521718</v>
      </c>
      <c r="AK308" s="1362">
        <f t="shared" si="246"/>
        <v>3100.5081504521718</v>
      </c>
      <c r="AL308" s="1362">
        <f t="shared" si="247"/>
        <v>3100.5081504521718</v>
      </c>
      <c r="AM308" s="1362">
        <f t="shared" si="248"/>
        <v>12402.032601808687</v>
      </c>
      <c r="AN308" s="1132" t="str">
        <f t="shared" si="214"/>
        <v>Custom</v>
      </c>
      <c r="AO308" s="1132" t="str">
        <f t="shared" si="215"/>
        <v/>
      </c>
      <c r="AP308" s="2505">
        <v>410.67692975955123</v>
      </c>
      <c r="AQ308" s="2505"/>
      <c r="AR308" s="2505">
        <f t="shared" si="216"/>
        <v>3100.5081504521718</v>
      </c>
      <c r="AS308" s="2505">
        <f t="shared" si="217"/>
        <v>0</v>
      </c>
      <c r="AT308" s="1132" t="str">
        <f t="shared" si="218"/>
        <v>Custom</v>
      </c>
      <c r="AU308" s="1132" t="str">
        <f t="shared" si="219"/>
        <v/>
      </c>
      <c r="AV308" s="2505">
        <v>410.67692975955123</v>
      </c>
      <c r="AW308" s="2505"/>
      <c r="AX308" s="1362">
        <f t="shared" si="220"/>
        <v>3100.5081504521718</v>
      </c>
      <c r="AY308" s="1360">
        <f t="shared" si="221"/>
        <v>0</v>
      </c>
      <c r="AZ308" s="1132" t="str">
        <f t="shared" si="222"/>
        <v>Custom</v>
      </c>
      <c r="BA308" s="1132" t="str">
        <f t="shared" si="223"/>
        <v/>
      </c>
      <c r="BB308" s="2505">
        <v>410.67692975955123</v>
      </c>
      <c r="BC308" s="2505"/>
      <c r="BD308" s="1362">
        <f t="shared" si="224"/>
        <v>3100.5081504521718</v>
      </c>
      <c r="BE308" s="1360">
        <f t="shared" si="225"/>
        <v>0</v>
      </c>
      <c r="BF308" s="1132" t="str">
        <f t="shared" si="226"/>
        <v>Custom</v>
      </c>
      <c r="BG308" s="1132" t="str">
        <f t="shared" si="227"/>
        <v/>
      </c>
      <c r="BH308" s="2505">
        <v>410.67692975955123</v>
      </c>
      <c r="BI308" s="2505"/>
      <c r="BJ308" s="1362">
        <f t="shared" si="249"/>
        <v>3100.5081504521718</v>
      </c>
      <c r="BK308" s="1360">
        <f t="shared" si="228"/>
        <v>0</v>
      </c>
      <c r="BL308" s="1601">
        <f t="shared" si="229"/>
        <v>3100.5081504521718</v>
      </c>
      <c r="BM308" s="1601">
        <f t="shared" si="230"/>
        <v>3100.5081504521718</v>
      </c>
      <c r="BN308" s="1601">
        <f t="shared" si="231"/>
        <v>3100.5081504521718</v>
      </c>
      <c r="BO308" s="1601">
        <f t="shared" si="232"/>
        <v>3100.5081504521718</v>
      </c>
      <c r="BP308" s="1602">
        <f t="shared" si="233"/>
        <v>12402.032601808687</v>
      </c>
      <c r="BQ308" s="1629"/>
      <c r="BR308" s="1629"/>
      <c r="BS308" s="1602">
        <v>0</v>
      </c>
      <c r="BT308" s="1602">
        <v>20</v>
      </c>
      <c r="BU308" s="1602">
        <v>20</v>
      </c>
      <c r="BV308" s="1602">
        <v>20</v>
      </c>
      <c r="BW308" s="1602">
        <v>20</v>
      </c>
      <c r="BX308" s="1362">
        <f t="shared" si="250"/>
        <v>62010.163009043434</v>
      </c>
      <c r="BY308" s="1362">
        <f t="shared" si="251"/>
        <v>62010.163009043434</v>
      </c>
      <c r="BZ308" s="1362">
        <f t="shared" si="252"/>
        <v>62010.163009043434</v>
      </c>
      <c r="CA308" s="1362">
        <f t="shared" si="253"/>
        <v>62010.163009043434</v>
      </c>
      <c r="CB308" s="1362">
        <f t="shared" si="254"/>
        <v>248040.65203617373</v>
      </c>
      <c r="CC308" s="1360">
        <v>20</v>
      </c>
      <c r="CD308" s="1360">
        <v>20</v>
      </c>
      <c r="CE308" s="1360">
        <v>20</v>
      </c>
      <c r="CF308" s="1360">
        <v>20</v>
      </c>
      <c r="CG308" s="1604">
        <f t="shared" si="234"/>
        <v>62010.163009043434</v>
      </c>
      <c r="CH308" s="1604">
        <f t="shared" si="235"/>
        <v>62010.163009043434</v>
      </c>
      <c r="CI308" s="1604">
        <f t="shared" si="236"/>
        <v>62010.163009043434</v>
      </c>
      <c r="CJ308" s="1604">
        <f t="shared" si="237"/>
        <v>62010.163009043434</v>
      </c>
      <c r="CK308" s="1521">
        <f t="shared" si="238"/>
        <v>248040.65203617373</v>
      </c>
      <c r="CL308" s="1132">
        <v>301</v>
      </c>
      <c r="CM308" s="1132" t="s">
        <v>328</v>
      </c>
      <c r="CN308" s="1359">
        <v>1</v>
      </c>
      <c r="CO308" s="1360">
        <v>7.0850000000000009</v>
      </c>
      <c r="CP308" s="1360">
        <v>7.0850000000000009</v>
      </c>
      <c r="CQ308" s="1360">
        <v>7.0850000000000009</v>
      </c>
      <c r="CR308" s="1360">
        <v>7.0850000000000009</v>
      </c>
      <c r="CS308" s="1362">
        <f t="shared" si="239"/>
        <v>2909.6460473464208</v>
      </c>
      <c r="CT308" s="1362">
        <f t="shared" si="240"/>
        <v>2909.6460473464208</v>
      </c>
      <c r="CU308" s="1362">
        <f t="shared" si="241"/>
        <v>2909.6460473464208</v>
      </c>
      <c r="CV308" s="1362">
        <f t="shared" si="242"/>
        <v>2909.6460473464208</v>
      </c>
      <c r="CW308" s="1362">
        <f t="shared" si="243"/>
        <v>11638.584189385683</v>
      </c>
      <c r="CY308" s="2887"/>
    </row>
    <row r="309" spans="1:103" s="1143" customFormat="1" ht="46.5" x14ac:dyDescent="0.35">
      <c r="A309" s="1132" t="s">
        <v>113</v>
      </c>
      <c r="B309" s="1132" t="s">
        <v>113</v>
      </c>
      <c r="C309" s="1132" t="s">
        <v>804</v>
      </c>
      <c r="D309" s="1359" t="s">
        <v>805</v>
      </c>
      <c r="E309" s="1359">
        <v>1</v>
      </c>
      <c r="F309" s="2807" t="s">
        <v>805</v>
      </c>
      <c r="G309" s="1132" t="s">
        <v>356</v>
      </c>
      <c r="H309" s="1360">
        <v>1666.6666666666667</v>
      </c>
      <c r="I309" s="1360">
        <v>1666.6666666666667</v>
      </c>
      <c r="J309" s="1360">
        <v>1666.6666666666667</v>
      </c>
      <c r="K309" s="1360">
        <v>1666.6666666666667</v>
      </c>
      <c r="L309" s="1132" t="s">
        <v>806</v>
      </c>
      <c r="M309" s="1132" t="str">
        <f t="shared" si="205"/>
        <v>Nicor Gas PY11-PY14 Adjustable Goals Template_2025-03-01, Tab 5.4.4, 5.4.5,  5.4.9</v>
      </c>
      <c r="N309" s="2245">
        <v>24.066567391588798</v>
      </c>
      <c r="O309" s="1361">
        <v>24.066567391588798</v>
      </c>
      <c r="P309" s="1361">
        <v>24.066567391588798</v>
      </c>
      <c r="Q309" s="1361">
        <v>24.066567391588798</v>
      </c>
      <c r="R309" s="1781">
        <v>1</v>
      </c>
      <c r="S309" s="1781">
        <v>1</v>
      </c>
      <c r="T309" s="1781">
        <v>1</v>
      </c>
      <c r="U309" s="1781">
        <v>1</v>
      </c>
      <c r="V309" s="1781">
        <v>1</v>
      </c>
      <c r="W309" s="1781">
        <v>1</v>
      </c>
      <c r="X309" s="1781">
        <v>1</v>
      </c>
      <c r="Y309" s="1781">
        <v>1</v>
      </c>
      <c r="Z309" s="1359">
        <v>0</v>
      </c>
      <c r="AA309" s="1781">
        <f t="shared" si="206"/>
        <v>1</v>
      </c>
      <c r="AB309" s="1781">
        <f t="shared" si="207"/>
        <v>1</v>
      </c>
      <c r="AC309" s="1781">
        <f t="shared" si="208"/>
        <v>1</v>
      </c>
      <c r="AD309" s="1781">
        <f t="shared" si="209"/>
        <v>1</v>
      </c>
      <c r="AE309" s="1781">
        <f t="shared" si="210"/>
        <v>1</v>
      </c>
      <c r="AF309" s="1781">
        <f t="shared" si="211"/>
        <v>1</v>
      </c>
      <c r="AG309" s="1781">
        <f t="shared" si="212"/>
        <v>1</v>
      </c>
      <c r="AH309" s="1781">
        <f t="shared" si="213"/>
        <v>1</v>
      </c>
      <c r="AI309" s="1362">
        <f t="shared" si="244"/>
        <v>40110.945652647999</v>
      </c>
      <c r="AJ309" s="1362">
        <f t="shared" si="245"/>
        <v>40110.945652647999</v>
      </c>
      <c r="AK309" s="1362">
        <f t="shared" si="246"/>
        <v>40110.945652647999</v>
      </c>
      <c r="AL309" s="1362">
        <f t="shared" si="247"/>
        <v>40110.945652647999</v>
      </c>
      <c r="AM309" s="1362">
        <f t="shared" si="248"/>
        <v>160443.782610592</v>
      </c>
      <c r="AN309" s="1132" t="str">
        <f t="shared" si="214"/>
        <v>C5</v>
      </c>
      <c r="AO309" s="1132" t="str">
        <f t="shared" si="215"/>
        <v>Nicor Gas PY11-PY14 Adjustable Goals Template_2025-03-01, Tab 5.4.4, 5.4.5,  5.4.9</v>
      </c>
      <c r="AP309" s="2738">
        <f>Kits!$C$21</f>
        <v>25.994499373559606</v>
      </c>
      <c r="AQ309" s="2568" t="s">
        <v>557</v>
      </c>
      <c r="AR309" s="2505">
        <f t="shared" si="216"/>
        <v>43324.165622599343</v>
      </c>
      <c r="AS309" s="2247">
        <f t="shared" si="217"/>
        <v>3213.219969951344</v>
      </c>
      <c r="AT309" s="1132" t="str">
        <f t="shared" si="218"/>
        <v>C5</v>
      </c>
      <c r="AU309" s="1132" t="str">
        <f t="shared" si="219"/>
        <v>Nicor Gas PY11-PY14 Adjustable Goals Template_2025-03-01, Tab 5.4.4, 5.4.5,  5.4.9</v>
      </c>
      <c r="AV309" s="2247">
        <f>Kits!$C$21</f>
        <v>25.994499373559606</v>
      </c>
      <c r="AW309" s="2568" t="s">
        <v>557</v>
      </c>
      <c r="AX309" s="1362">
        <f t="shared" si="220"/>
        <v>43324.165622599343</v>
      </c>
      <c r="AY309" s="1360">
        <f t="shared" si="221"/>
        <v>3213.219969951344</v>
      </c>
      <c r="AZ309" s="1132" t="str">
        <f t="shared" si="222"/>
        <v>C5</v>
      </c>
      <c r="BA309" s="1132" t="str">
        <f t="shared" si="223"/>
        <v>Nicor Gas PY11-PY14 Adjustable Goals Template_2025-03-01, Tab 5.4.4, 5.4.5,  5.4.9</v>
      </c>
      <c r="BB309" s="2247">
        <f>Kits!$C$21</f>
        <v>25.994499373559606</v>
      </c>
      <c r="BC309" s="2568" t="s">
        <v>557</v>
      </c>
      <c r="BD309" s="1362">
        <f t="shared" si="224"/>
        <v>43324.165622599343</v>
      </c>
      <c r="BE309" s="1360">
        <f t="shared" si="225"/>
        <v>3213.219969951344</v>
      </c>
      <c r="BF309" s="1132" t="str">
        <f t="shared" si="226"/>
        <v>C5</v>
      </c>
      <c r="BG309" s="1132" t="str">
        <f t="shared" si="227"/>
        <v>Nicor Gas PY11-PY14 Adjustable Goals Template_2025-03-01, Tab 5.4.4, 5.4.5,  5.4.9</v>
      </c>
      <c r="BH309" s="2247">
        <f>Kits!$C$21</f>
        <v>25.994499373559606</v>
      </c>
      <c r="BI309" s="2568" t="s">
        <v>557</v>
      </c>
      <c r="BJ309" s="1362">
        <f t="shared" si="249"/>
        <v>43324.165622599343</v>
      </c>
      <c r="BK309" s="1360">
        <f t="shared" si="228"/>
        <v>3213.219969951344</v>
      </c>
      <c r="BL309" s="1601">
        <f t="shared" si="229"/>
        <v>43324.165622599343</v>
      </c>
      <c r="BM309" s="1601">
        <f t="shared" si="230"/>
        <v>43324.165622599343</v>
      </c>
      <c r="BN309" s="1601">
        <f t="shared" si="231"/>
        <v>43324.165622599343</v>
      </c>
      <c r="BO309" s="1601">
        <f t="shared" si="232"/>
        <v>43324.165622599343</v>
      </c>
      <c r="BP309" s="1602">
        <f t="shared" si="233"/>
        <v>173296.66249039737</v>
      </c>
      <c r="BQ309" s="1629"/>
      <c r="BR309" s="1629" t="s">
        <v>805</v>
      </c>
      <c r="BS309" s="1602">
        <v>0</v>
      </c>
      <c r="BT309" s="1602">
        <v>8.77</v>
      </c>
      <c r="BU309" s="1602">
        <v>8.77</v>
      </c>
      <c r="BV309" s="1602">
        <v>8.77</v>
      </c>
      <c r="BW309" s="1602">
        <v>8.77</v>
      </c>
      <c r="BX309" s="1362">
        <f t="shared" si="250"/>
        <v>351772.99337372294</v>
      </c>
      <c r="BY309" s="1362">
        <f t="shared" si="251"/>
        <v>351772.99337372294</v>
      </c>
      <c r="BZ309" s="1362">
        <f t="shared" si="252"/>
        <v>351772.99337372294</v>
      </c>
      <c r="CA309" s="1362">
        <f t="shared" si="253"/>
        <v>351772.99337372294</v>
      </c>
      <c r="CB309" s="1362">
        <f t="shared" si="254"/>
        <v>1407091.9734948918</v>
      </c>
      <c r="CC309" s="1360">
        <v>8.77</v>
      </c>
      <c r="CD309" s="1360">
        <v>8.77</v>
      </c>
      <c r="CE309" s="1360">
        <v>8.77</v>
      </c>
      <c r="CF309" s="1360">
        <v>8.77</v>
      </c>
      <c r="CG309" s="1604">
        <f t="shared" si="234"/>
        <v>379952.93251019623</v>
      </c>
      <c r="CH309" s="1604">
        <f t="shared" si="235"/>
        <v>379952.93251019623</v>
      </c>
      <c r="CI309" s="1604">
        <f t="shared" si="236"/>
        <v>379952.93251019623</v>
      </c>
      <c r="CJ309" s="1604">
        <f t="shared" si="237"/>
        <v>379952.93251019623</v>
      </c>
      <c r="CK309" s="1521">
        <f t="shared" si="238"/>
        <v>1519811.7300407849</v>
      </c>
      <c r="CL309" s="1132">
        <v>302</v>
      </c>
      <c r="CM309" s="1132" t="s">
        <v>356</v>
      </c>
      <c r="CN309" s="1359">
        <v>1</v>
      </c>
      <c r="CO309" s="1360">
        <v>1666.6666666666667</v>
      </c>
      <c r="CP309" s="1360">
        <v>1666.6666666666667</v>
      </c>
      <c r="CQ309" s="1360">
        <v>1666.6666666666667</v>
      </c>
      <c r="CR309" s="1360">
        <v>1666.6666666666667</v>
      </c>
      <c r="CS309" s="1362">
        <f t="shared" si="239"/>
        <v>40110.945652647999</v>
      </c>
      <c r="CT309" s="1362">
        <f t="shared" si="240"/>
        <v>40110.945652647999</v>
      </c>
      <c r="CU309" s="1362">
        <f t="shared" si="241"/>
        <v>40110.945652647999</v>
      </c>
      <c r="CV309" s="1362">
        <f t="shared" si="242"/>
        <v>40110.945652647999</v>
      </c>
      <c r="CW309" s="1362">
        <f t="shared" si="243"/>
        <v>160443.782610592</v>
      </c>
      <c r="CY309" s="2887"/>
    </row>
    <row r="310" spans="1:103" s="1143" customFormat="1" ht="46.5" x14ac:dyDescent="0.35">
      <c r="A310" s="1132" t="s">
        <v>113</v>
      </c>
      <c r="B310" s="1132" t="s">
        <v>113</v>
      </c>
      <c r="C310" s="1132" t="s">
        <v>807</v>
      </c>
      <c r="D310" s="1359" t="s">
        <v>805</v>
      </c>
      <c r="E310" s="1359">
        <v>1</v>
      </c>
      <c r="F310" s="2807" t="s">
        <v>805</v>
      </c>
      <c r="G310" s="1132" t="s">
        <v>356</v>
      </c>
      <c r="H310" s="1360">
        <v>897.43589743589757</v>
      </c>
      <c r="I310" s="1360">
        <v>897.43589743589757</v>
      </c>
      <c r="J310" s="1360">
        <v>897.43589743589757</v>
      </c>
      <c r="K310" s="1360">
        <v>897.43589743589757</v>
      </c>
      <c r="L310" s="1132" t="s">
        <v>808</v>
      </c>
      <c r="M310" s="1132" t="str">
        <f t="shared" si="205"/>
        <v>Nicor Gas PY11-PY14 Adjustable Goals Template_2025-03-01, Tab 5.4.4, 5.4.5,  5.4.9</v>
      </c>
      <c r="N310" s="2245">
        <v>28.993261074957907</v>
      </c>
      <c r="O310" s="1361">
        <v>28.993261074957907</v>
      </c>
      <c r="P310" s="1361">
        <v>28.993261074957907</v>
      </c>
      <c r="Q310" s="1361">
        <v>28.993261074957907</v>
      </c>
      <c r="R310" s="1781">
        <v>1</v>
      </c>
      <c r="S310" s="1781">
        <v>1</v>
      </c>
      <c r="T310" s="1781">
        <v>1</v>
      </c>
      <c r="U310" s="1781">
        <v>1</v>
      </c>
      <c r="V310" s="1781">
        <v>1</v>
      </c>
      <c r="W310" s="1781">
        <v>1</v>
      </c>
      <c r="X310" s="1781">
        <v>1</v>
      </c>
      <c r="Y310" s="1781">
        <v>1</v>
      </c>
      <c r="Z310" s="1359">
        <v>0</v>
      </c>
      <c r="AA310" s="1781">
        <f t="shared" si="206"/>
        <v>1</v>
      </c>
      <c r="AB310" s="1781">
        <f t="shared" si="207"/>
        <v>1</v>
      </c>
      <c r="AC310" s="1781">
        <f t="shared" si="208"/>
        <v>1</v>
      </c>
      <c r="AD310" s="1781">
        <f t="shared" si="209"/>
        <v>1</v>
      </c>
      <c r="AE310" s="1781">
        <f t="shared" si="210"/>
        <v>1</v>
      </c>
      <c r="AF310" s="1781">
        <f t="shared" si="211"/>
        <v>1</v>
      </c>
      <c r="AG310" s="1781">
        <f t="shared" si="212"/>
        <v>1</v>
      </c>
      <c r="AH310" s="1781">
        <f t="shared" si="213"/>
        <v>1</v>
      </c>
      <c r="AI310" s="1362">
        <f t="shared" si="244"/>
        <v>26019.593272398124</v>
      </c>
      <c r="AJ310" s="1362">
        <f t="shared" si="245"/>
        <v>26019.593272398124</v>
      </c>
      <c r="AK310" s="1362">
        <f t="shared" si="246"/>
        <v>26019.593272398124</v>
      </c>
      <c r="AL310" s="1362">
        <f t="shared" si="247"/>
        <v>26019.593272398124</v>
      </c>
      <c r="AM310" s="1362">
        <f t="shared" si="248"/>
        <v>104078.3730895925</v>
      </c>
      <c r="AN310" s="1132" t="str">
        <f t="shared" si="214"/>
        <v>C175</v>
      </c>
      <c r="AO310" s="1132" t="str">
        <f t="shared" si="215"/>
        <v>Nicor Gas PY11-PY14 Adjustable Goals Template_2025-03-01, Tab 5.4.4, 5.4.5,  5.4.9</v>
      </c>
      <c r="AP310" s="2738">
        <f>Kits!$C$36</f>
        <v>31.430874474405005</v>
      </c>
      <c r="AQ310" s="2568" t="s">
        <v>557</v>
      </c>
      <c r="AR310" s="2505">
        <f t="shared" si="216"/>
        <v>28207.195041132702</v>
      </c>
      <c r="AS310" s="2505">
        <f t="shared" si="217"/>
        <v>2187.6017687345775</v>
      </c>
      <c r="AT310" s="1132" t="str">
        <f t="shared" si="218"/>
        <v>C175</v>
      </c>
      <c r="AU310" s="1132" t="str">
        <f t="shared" si="219"/>
        <v>Nicor Gas PY11-PY14 Adjustable Goals Template_2025-03-01, Tab 5.4.4, 5.4.5,  5.4.9</v>
      </c>
      <c r="AV310" s="2247">
        <f>Kits!$C$36</f>
        <v>31.430874474405005</v>
      </c>
      <c r="AW310" s="2568" t="s">
        <v>557</v>
      </c>
      <c r="AX310" s="1362">
        <f t="shared" si="220"/>
        <v>28207.195041132702</v>
      </c>
      <c r="AY310" s="1360">
        <f t="shared" si="221"/>
        <v>2187.6017687345775</v>
      </c>
      <c r="AZ310" s="1132" t="str">
        <f t="shared" si="222"/>
        <v>C175</v>
      </c>
      <c r="BA310" s="1132" t="str">
        <f t="shared" si="223"/>
        <v>Nicor Gas PY11-PY14 Adjustable Goals Template_2025-03-01, Tab 5.4.4, 5.4.5,  5.4.9</v>
      </c>
      <c r="BB310" s="2247">
        <f>Kits!$C$36</f>
        <v>31.430874474405005</v>
      </c>
      <c r="BC310" s="2568" t="s">
        <v>557</v>
      </c>
      <c r="BD310" s="1362">
        <f t="shared" si="224"/>
        <v>28207.195041132702</v>
      </c>
      <c r="BE310" s="1360">
        <f t="shared" si="225"/>
        <v>2187.6017687345775</v>
      </c>
      <c r="BF310" s="1132" t="str">
        <f t="shared" si="226"/>
        <v>C175</v>
      </c>
      <c r="BG310" s="1132" t="str">
        <f t="shared" si="227"/>
        <v>Nicor Gas PY11-PY14 Adjustable Goals Template_2025-03-01, Tab 5.4.4, 5.4.5,  5.4.9</v>
      </c>
      <c r="BH310" s="2247">
        <f>Kits!$C$36</f>
        <v>31.430874474405005</v>
      </c>
      <c r="BI310" s="2568" t="s">
        <v>557</v>
      </c>
      <c r="BJ310" s="1362">
        <f t="shared" si="249"/>
        <v>28207.195041132702</v>
      </c>
      <c r="BK310" s="1360">
        <f t="shared" si="228"/>
        <v>2187.6017687345775</v>
      </c>
      <c r="BL310" s="1601">
        <f t="shared" si="229"/>
        <v>28207.195041132702</v>
      </c>
      <c r="BM310" s="1601">
        <f t="shared" si="230"/>
        <v>28207.195041132702</v>
      </c>
      <c r="BN310" s="1601">
        <f t="shared" si="231"/>
        <v>28207.195041132702</v>
      </c>
      <c r="BO310" s="1601">
        <f t="shared" si="232"/>
        <v>28207.195041132702</v>
      </c>
      <c r="BP310" s="1602">
        <f t="shared" si="233"/>
        <v>112828.78016453081</v>
      </c>
      <c r="BQ310" s="1629"/>
      <c r="BR310" s="1629" t="s">
        <v>805</v>
      </c>
      <c r="BS310" s="1602">
        <v>0</v>
      </c>
      <c r="BT310" s="1602">
        <v>9.02</v>
      </c>
      <c r="BU310" s="1602">
        <v>9.02</v>
      </c>
      <c r="BV310" s="1602">
        <v>9.02</v>
      </c>
      <c r="BW310" s="1602">
        <v>9.02</v>
      </c>
      <c r="BX310" s="1362">
        <f t="shared" si="250"/>
        <v>234696.73131703108</v>
      </c>
      <c r="BY310" s="1362">
        <f t="shared" si="251"/>
        <v>234696.73131703108</v>
      </c>
      <c r="BZ310" s="1362">
        <f t="shared" si="252"/>
        <v>234696.73131703108</v>
      </c>
      <c r="CA310" s="1362">
        <f t="shared" si="253"/>
        <v>234696.73131703108</v>
      </c>
      <c r="CB310" s="1362">
        <f t="shared" si="254"/>
        <v>938786.92526812432</v>
      </c>
      <c r="CC310" s="1360">
        <v>9.02</v>
      </c>
      <c r="CD310" s="1360">
        <v>9.02</v>
      </c>
      <c r="CE310" s="1360">
        <v>9.02</v>
      </c>
      <c r="CF310" s="1360">
        <v>9.02</v>
      </c>
      <c r="CG310" s="1604">
        <f t="shared" si="234"/>
        <v>254428.89927101697</v>
      </c>
      <c r="CH310" s="1604">
        <f t="shared" si="235"/>
        <v>254428.89927101697</v>
      </c>
      <c r="CI310" s="1604">
        <f t="shared" si="236"/>
        <v>254428.89927101697</v>
      </c>
      <c r="CJ310" s="1604">
        <f t="shared" si="237"/>
        <v>254428.89927101697</v>
      </c>
      <c r="CK310" s="1521">
        <f t="shared" si="238"/>
        <v>1017715.5970840679</v>
      </c>
      <c r="CL310" s="1132">
        <v>303</v>
      </c>
      <c r="CM310" s="1132" t="s">
        <v>356</v>
      </c>
      <c r="CN310" s="1359">
        <v>1</v>
      </c>
      <c r="CO310" s="1360">
        <v>897.43589743589757</v>
      </c>
      <c r="CP310" s="1360">
        <v>897.43589743589757</v>
      </c>
      <c r="CQ310" s="1360">
        <v>897.43589743589757</v>
      </c>
      <c r="CR310" s="1360">
        <v>897.43589743589757</v>
      </c>
      <c r="CS310" s="1362">
        <f t="shared" si="239"/>
        <v>26019.593272398124</v>
      </c>
      <c r="CT310" s="1362">
        <f t="shared" si="240"/>
        <v>26019.593272398124</v>
      </c>
      <c r="CU310" s="1362">
        <f t="shared" si="241"/>
        <v>26019.593272398124</v>
      </c>
      <c r="CV310" s="1362">
        <f t="shared" si="242"/>
        <v>26019.593272398124</v>
      </c>
      <c r="CW310" s="1362">
        <f t="shared" si="243"/>
        <v>104078.3730895925</v>
      </c>
      <c r="CY310" s="2887"/>
    </row>
    <row r="311" spans="1:103" s="1143" customFormat="1" ht="46.5" x14ac:dyDescent="0.35">
      <c r="A311" s="1132" t="s">
        <v>113</v>
      </c>
      <c r="B311" s="1132" t="s">
        <v>113</v>
      </c>
      <c r="C311" s="1132" t="s">
        <v>809</v>
      </c>
      <c r="D311" s="1359" t="s">
        <v>655</v>
      </c>
      <c r="E311" s="1359">
        <v>1</v>
      </c>
      <c r="F311" s="2807" t="s">
        <v>655</v>
      </c>
      <c r="G311" s="1132" t="s">
        <v>356</v>
      </c>
      <c r="H311" s="1360">
        <v>4435.8974358974356</v>
      </c>
      <c r="I311" s="1360">
        <v>4435.8974358974356</v>
      </c>
      <c r="J311" s="1360">
        <v>4435.8974358974356</v>
      </c>
      <c r="K311" s="1360">
        <v>4435.8974358974356</v>
      </c>
      <c r="L311" s="1132" t="s">
        <v>810</v>
      </c>
      <c r="M311" s="1132" t="str">
        <f t="shared" si="205"/>
        <v>Nicor Gas PY11-PY14 Adjustable Goals Template_2025-03-01, Tab 5.6.1</v>
      </c>
      <c r="N311" s="1361">
        <v>35.489040000000003</v>
      </c>
      <c r="O311" s="1361">
        <v>35.489040000000003</v>
      </c>
      <c r="P311" s="1361">
        <v>35.489040000000003</v>
      </c>
      <c r="Q311" s="1361">
        <v>35.489040000000003</v>
      </c>
      <c r="R311" s="1781">
        <v>1</v>
      </c>
      <c r="S311" s="1781">
        <v>1</v>
      </c>
      <c r="T311" s="1781">
        <v>1</v>
      </c>
      <c r="U311" s="1781">
        <v>1</v>
      </c>
      <c r="V311" s="1781">
        <v>1</v>
      </c>
      <c r="W311" s="1781">
        <v>1</v>
      </c>
      <c r="X311" s="1781">
        <v>1</v>
      </c>
      <c r="Y311" s="1781">
        <v>1</v>
      </c>
      <c r="Z311" s="1359">
        <v>0</v>
      </c>
      <c r="AA311" s="1781">
        <f t="shared" si="206"/>
        <v>1</v>
      </c>
      <c r="AB311" s="1781">
        <f t="shared" si="207"/>
        <v>1</v>
      </c>
      <c r="AC311" s="1781">
        <f t="shared" si="208"/>
        <v>1</v>
      </c>
      <c r="AD311" s="1781">
        <f t="shared" si="209"/>
        <v>1</v>
      </c>
      <c r="AE311" s="1781">
        <f t="shared" si="210"/>
        <v>1</v>
      </c>
      <c r="AF311" s="1781">
        <f t="shared" si="211"/>
        <v>1</v>
      </c>
      <c r="AG311" s="1781">
        <f t="shared" si="212"/>
        <v>1</v>
      </c>
      <c r="AH311" s="1781">
        <f t="shared" si="213"/>
        <v>1</v>
      </c>
      <c r="AI311" s="1362">
        <f t="shared" si="244"/>
        <v>157425.74153846153</v>
      </c>
      <c r="AJ311" s="1362">
        <f t="shared" si="245"/>
        <v>157425.74153846153</v>
      </c>
      <c r="AK311" s="1362">
        <f t="shared" si="246"/>
        <v>157425.74153846153</v>
      </c>
      <c r="AL311" s="1362">
        <f t="shared" si="247"/>
        <v>157425.74153846153</v>
      </c>
      <c r="AM311" s="1362">
        <f t="shared" si="248"/>
        <v>629702.96615384612</v>
      </c>
      <c r="AN311" s="1132" t="str">
        <f t="shared" si="214"/>
        <v>C232</v>
      </c>
      <c r="AO311" s="1132" t="str">
        <f t="shared" si="215"/>
        <v>Nicor Gas PY11-PY14 Adjustable Goals Template_2025-03-01, Tab 5.6.1</v>
      </c>
      <c r="AP311" s="2738">
        <f>'5.6.1 Kit 4'!$C$12</f>
        <v>22.108096000000003</v>
      </c>
      <c r="AQ311" s="2568" t="s">
        <v>811</v>
      </c>
      <c r="AR311" s="2505">
        <f t="shared" si="216"/>
        <v>98069.246358974371</v>
      </c>
      <c r="AS311" s="2505">
        <f t="shared" si="217"/>
        <v>-59356.495179487159</v>
      </c>
      <c r="AT311" s="1132" t="str">
        <f t="shared" si="218"/>
        <v>C232</v>
      </c>
      <c r="AU311" s="1132" t="str">
        <f t="shared" si="219"/>
        <v>Nicor Gas PY11-PY14 Adjustable Goals Template_2025-03-01, Tab 5.6.1</v>
      </c>
      <c r="AV311" s="2247">
        <f>'5.6.1 Kit 4'!$C$12</f>
        <v>22.108096000000003</v>
      </c>
      <c r="AW311" s="2568" t="s">
        <v>811</v>
      </c>
      <c r="AX311" s="1362">
        <f t="shared" si="220"/>
        <v>98069.246358974371</v>
      </c>
      <c r="AY311" s="1360">
        <f t="shared" si="221"/>
        <v>-59356.495179487159</v>
      </c>
      <c r="AZ311" s="1132" t="str">
        <f t="shared" si="222"/>
        <v>C232</v>
      </c>
      <c r="BA311" s="1132" t="str">
        <f t="shared" si="223"/>
        <v>Nicor Gas PY11-PY14 Adjustable Goals Template_2025-03-01, Tab 5.6.1</v>
      </c>
      <c r="BB311" s="2247">
        <f>'5.6.1 Kit 4'!$C$12</f>
        <v>22.108096000000003</v>
      </c>
      <c r="BC311" s="2568" t="s">
        <v>811</v>
      </c>
      <c r="BD311" s="1362">
        <f t="shared" si="224"/>
        <v>98069.246358974371</v>
      </c>
      <c r="BE311" s="1360">
        <f t="shared" si="225"/>
        <v>-59356.495179487159</v>
      </c>
      <c r="BF311" s="1132" t="str">
        <f t="shared" si="226"/>
        <v>C232</v>
      </c>
      <c r="BG311" s="1132" t="str">
        <f t="shared" si="227"/>
        <v>Nicor Gas PY11-PY14 Adjustable Goals Template_2025-03-01, Tab 5.6.1</v>
      </c>
      <c r="BH311" s="2247">
        <f>'5.6.1 Kit 4'!$C$12</f>
        <v>22.108096000000003</v>
      </c>
      <c r="BI311" s="2568" t="s">
        <v>811</v>
      </c>
      <c r="BJ311" s="1362">
        <f t="shared" si="249"/>
        <v>98069.246358974371</v>
      </c>
      <c r="BK311" s="1360">
        <f t="shared" si="228"/>
        <v>-59356.495179487159</v>
      </c>
      <c r="BL311" s="1601">
        <f t="shared" si="229"/>
        <v>98069.246358974371</v>
      </c>
      <c r="BM311" s="1601">
        <f t="shared" si="230"/>
        <v>98069.246358974371</v>
      </c>
      <c r="BN311" s="1601">
        <f t="shared" si="231"/>
        <v>98069.246358974371</v>
      </c>
      <c r="BO311" s="1601">
        <f t="shared" si="232"/>
        <v>98069.246358974371</v>
      </c>
      <c r="BP311" s="1602">
        <f t="shared" si="233"/>
        <v>392276.98543589748</v>
      </c>
      <c r="BQ311" s="1629"/>
      <c r="BR311" s="1629" t="s">
        <v>655</v>
      </c>
      <c r="BS311" s="1602">
        <v>0</v>
      </c>
      <c r="BT311" s="1602">
        <v>20</v>
      </c>
      <c r="BU311" s="1602">
        <v>20</v>
      </c>
      <c r="BV311" s="1602">
        <v>20</v>
      </c>
      <c r="BW311" s="1602">
        <v>20</v>
      </c>
      <c r="BX311" s="1362">
        <f t="shared" si="250"/>
        <v>3148514.8307692306</v>
      </c>
      <c r="BY311" s="1362">
        <f t="shared" si="251"/>
        <v>3148514.8307692306</v>
      </c>
      <c r="BZ311" s="1362">
        <f t="shared" si="252"/>
        <v>3148514.8307692306</v>
      </c>
      <c r="CA311" s="1362">
        <f t="shared" si="253"/>
        <v>3148514.8307692306</v>
      </c>
      <c r="CB311" s="1362">
        <f t="shared" si="254"/>
        <v>12594059.323076922</v>
      </c>
      <c r="CC311" s="1360">
        <v>20</v>
      </c>
      <c r="CD311" s="1360">
        <v>20</v>
      </c>
      <c r="CE311" s="1360">
        <v>20</v>
      </c>
      <c r="CF311" s="1360">
        <v>20</v>
      </c>
      <c r="CG311" s="1604">
        <f t="shared" si="234"/>
        <v>1961384.9271794874</v>
      </c>
      <c r="CH311" s="1604">
        <f t="shared" si="235"/>
        <v>1961384.9271794874</v>
      </c>
      <c r="CI311" s="1604">
        <f t="shared" si="236"/>
        <v>1961384.9271794874</v>
      </c>
      <c r="CJ311" s="1604">
        <f t="shared" si="237"/>
        <v>1961384.9271794874</v>
      </c>
      <c r="CK311" s="1521">
        <f t="shared" si="238"/>
        <v>7845539.7087179497</v>
      </c>
      <c r="CL311" s="1132">
        <v>304</v>
      </c>
      <c r="CM311" s="1132" t="s">
        <v>356</v>
      </c>
      <c r="CN311" s="1359">
        <v>1</v>
      </c>
      <c r="CO311" s="1360">
        <v>4435.8974358974356</v>
      </c>
      <c r="CP311" s="1360">
        <v>4435.8974358974356</v>
      </c>
      <c r="CQ311" s="1360">
        <v>4435.8974358974356</v>
      </c>
      <c r="CR311" s="1360">
        <v>4435.8974358974356</v>
      </c>
      <c r="CS311" s="1362">
        <f t="shared" si="239"/>
        <v>157425.74153846153</v>
      </c>
      <c r="CT311" s="1362">
        <f t="shared" si="240"/>
        <v>157425.74153846153</v>
      </c>
      <c r="CU311" s="1362">
        <f t="shared" si="241"/>
        <v>157425.74153846153</v>
      </c>
      <c r="CV311" s="1362">
        <f t="shared" si="242"/>
        <v>157425.74153846153</v>
      </c>
      <c r="CW311" s="1362">
        <f t="shared" si="243"/>
        <v>629702.96615384612</v>
      </c>
      <c r="CY311" s="2887"/>
    </row>
    <row r="312" spans="1:103" s="1143" customFormat="1" ht="15.5" x14ac:dyDescent="0.35">
      <c r="A312" s="1132" t="s">
        <v>113</v>
      </c>
      <c r="B312" s="1132" t="s">
        <v>113</v>
      </c>
      <c r="C312" s="1132" t="s">
        <v>812</v>
      </c>
      <c r="D312" s="1359" t="s">
        <v>105</v>
      </c>
      <c r="E312" s="1359">
        <f>IF(AI312-AR312=0,0,1)</f>
        <v>0</v>
      </c>
      <c r="F312" s="1132" t="s">
        <v>105</v>
      </c>
      <c r="G312" s="1132" t="s">
        <v>356</v>
      </c>
      <c r="H312" s="1360">
        <v>30000</v>
      </c>
      <c r="I312" s="1360">
        <v>30000</v>
      </c>
      <c r="J312" s="1360">
        <v>30000</v>
      </c>
      <c r="K312" s="1360">
        <v>30000</v>
      </c>
      <c r="L312" s="1132" t="s">
        <v>813</v>
      </c>
      <c r="M312" s="1132" t="str">
        <f t="shared" si="205"/>
        <v/>
      </c>
      <c r="N312" s="1361">
        <v>10.21964</v>
      </c>
      <c r="O312" s="1361">
        <v>10.21964</v>
      </c>
      <c r="P312" s="1361">
        <v>10.21964</v>
      </c>
      <c r="Q312" s="1361">
        <v>10.21964</v>
      </c>
      <c r="R312" s="1781">
        <v>1</v>
      </c>
      <c r="S312" s="1781">
        <v>1</v>
      </c>
      <c r="T312" s="1781">
        <v>1</v>
      </c>
      <c r="U312" s="1781">
        <v>1</v>
      </c>
      <c r="V312" s="1781">
        <v>1</v>
      </c>
      <c r="W312" s="1781">
        <v>1</v>
      </c>
      <c r="X312" s="1781">
        <v>1</v>
      </c>
      <c r="Y312" s="1781">
        <v>1</v>
      </c>
      <c r="Z312" s="1359">
        <v>0</v>
      </c>
      <c r="AA312" s="1781">
        <f t="shared" si="206"/>
        <v>1</v>
      </c>
      <c r="AB312" s="1781">
        <f t="shared" si="207"/>
        <v>1</v>
      </c>
      <c r="AC312" s="1781">
        <f t="shared" si="208"/>
        <v>1</v>
      </c>
      <c r="AD312" s="1781">
        <f t="shared" si="209"/>
        <v>1</v>
      </c>
      <c r="AE312" s="1781">
        <f t="shared" si="210"/>
        <v>1</v>
      </c>
      <c r="AF312" s="1781">
        <f t="shared" si="211"/>
        <v>1</v>
      </c>
      <c r="AG312" s="1781">
        <f t="shared" si="212"/>
        <v>1</v>
      </c>
      <c r="AH312" s="1781">
        <f t="shared" si="213"/>
        <v>1</v>
      </c>
      <c r="AI312" s="1362">
        <f t="shared" si="244"/>
        <v>306589.2</v>
      </c>
      <c r="AJ312" s="1362">
        <f t="shared" si="245"/>
        <v>306589.2</v>
      </c>
      <c r="AK312" s="1362">
        <f t="shared" si="246"/>
        <v>306589.2</v>
      </c>
      <c r="AL312" s="1362">
        <f t="shared" si="247"/>
        <v>306589.2</v>
      </c>
      <c r="AM312" s="1362">
        <f t="shared" si="248"/>
        <v>1226356.8</v>
      </c>
      <c r="AN312" s="1132" t="str">
        <f t="shared" si="214"/>
        <v>C233</v>
      </c>
      <c r="AO312" s="1132" t="str">
        <f t="shared" si="215"/>
        <v/>
      </c>
      <c r="AP312" s="2247">
        <v>10.21964</v>
      </c>
      <c r="AQ312" s="2505"/>
      <c r="AR312" s="2505">
        <f t="shared" si="216"/>
        <v>306589.2</v>
      </c>
      <c r="AS312" s="2505">
        <f t="shared" si="217"/>
        <v>0</v>
      </c>
      <c r="AT312" s="1132" t="str">
        <f t="shared" si="218"/>
        <v>C233</v>
      </c>
      <c r="AU312" s="1132" t="str">
        <f t="shared" si="219"/>
        <v/>
      </c>
      <c r="AV312" s="2247">
        <v>10.21964</v>
      </c>
      <c r="AW312" s="2505"/>
      <c r="AX312" s="1362">
        <f t="shared" si="220"/>
        <v>306589.2</v>
      </c>
      <c r="AY312" s="1360">
        <f t="shared" si="221"/>
        <v>0</v>
      </c>
      <c r="AZ312" s="1132" t="str">
        <f t="shared" si="222"/>
        <v>C233</v>
      </c>
      <c r="BA312" s="1132" t="str">
        <f t="shared" si="223"/>
        <v/>
      </c>
      <c r="BB312" s="2247">
        <v>10.21964</v>
      </c>
      <c r="BC312" s="2505"/>
      <c r="BD312" s="1362">
        <f t="shared" si="224"/>
        <v>306589.2</v>
      </c>
      <c r="BE312" s="1360">
        <f t="shared" si="225"/>
        <v>0</v>
      </c>
      <c r="BF312" s="1132" t="str">
        <f t="shared" si="226"/>
        <v>C233</v>
      </c>
      <c r="BG312" s="1132" t="str">
        <f t="shared" si="227"/>
        <v/>
      </c>
      <c r="BH312" s="2247">
        <v>10.21964</v>
      </c>
      <c r="BI312" s="2505"/>
      <c r="BJ312" s="1362">
        <f t="shared" si="249"/>
        <v>306589.2</v>
      </c>
      <c r="BK312" s="1360">
        <f t="shared" si="228"/>
        <v>0</v>
      </c>
      <c r="BL312" s="1601">
        <f t="shared" si="229"/>
        <v>306589.2</v>
      </c>
      <c r="BM312" s="1601">
        <f t="shared" si="230"/>
        <v>306589.2</v>
      </c>
      <c r="BN312" s="1601">
        <f t="shared" si="231"/>
        <v>306589.2</v>
      </c>
      <c r="BO312" s="1601">
        <f t="shared" si="232"/>
        <v>306589.2</v>
      </c>
      <c r="BP312" s="1602">
        <f t="shared" si="233"/>
        <v>1226356.8</v>
      </c>
      <c r="BQ312" s="1629"/>
      <c r="BR312" s="1629"/>
      <c r="BS312" s="1602">
        <v>0</v>
      </c>
      <c r="BT312" s="1602">
        <v>10</v>
      </c>
      <c r="BU312" s="1602">
        <v>10</v>
      </c>
      <c r="BV312" s="1602">
        <v>10</v>
      </c>
      <c r="BW312" s="1602">
        <v>10</v>
      </c>
      <c r="BX312" s="1362">
        <f t="shared" si="250"/>
        <v>3065892</v>
      </c>
      <c r="BY312" s="1362">
        <f t="shared" si="251"/>
        <v>3065892</v>
      </c>
      <c r="BZ312" s="1362">
        <f t="shared" si="252"/>
        <v>3065892</v>
      </c>
      <c r="CA312" s="1362">
        <f t="shared" si="253"/>
        <v>3065892</v>
      </c>
      <c r="CB312" s="1362">
        <f t="shared" si="254"/>
        <v>12263568</v>
      </c>
      <c r="CC312" s="1360">
        <v>10</v>
      </c>
      <c r="CD312" s="1360">
        <v>10</v>
      </c>
      <c r="CE312" s="1360">
        <v>10</v>
      </c>
      <c r="CF312" s="1360">
        <v>10</v>
      </c>
      <c r="CG312" s="1604">
        <f t="shared" si="234"/>
        <v>3065892</v>
      </c>
      <c r="CH312" s="1604">
        <f t="shared" si="235"/>
        <v>3065892</v>
      </c>
      <c r="CI312" s="1604">
        <f t="shared" si="236"/>
        <v>3065892</v>
      </c>
      <c r="CJ312" s="1604">
        <f t="shared" si="237"/>
        <v>3065892</v>
      </c>
      <c r="CK312" s="1521">
        <f t="shared" si="238"/>
        <v>12263568</v>
      </c>
      <c r="CL312" s="1132">
        <v>305</v>
      </c>
      <c r="CM312" s="1132" t="s">
        <v>356</v>
      </c>
      <c r="CN312" s="1359">
        <v>1</v>
      </c>
      <c r="CO312" s="1360">
        <v>0</v>
      </c>
      <c r="CP312" s="1360">
        <v>0</v>
      </c>
      <c r="CQ312" s="1360">
        <v>0</v>
      </c>
      <c r="CR312" s="1360">
        <v>0</v>
      </c>
      <c r="CS312" s="1362">
        <f t="shared" si="239"/>
        <v>0</v>
      </c>
      <c r="CT312" s="1362">
        <f t="shared" si="240"/>
        <v>0</v>
      </c>
      <c r="CU312" s="1362">
        <f t="shared" si="241"/>
        <v>0</v>
      </c>
      <c r="CV312" s="1362">
        <f t="shared" si="242"/>
        <v>0</v>
      </c>
      <c r="CW312" s="1362">
        <f t="shared" si="243"/>
        <v>0</v>
      </c>
      <c r="CY312" s="2887"/>
    </row>
    <row r="313" spans="1:103" s="1143" customFormat="1" ht="45.75" customHeight="1" x14ac:dyDescent="0.35">
      <c r="A313" s="1132" t="s">
        <v>110</v>
      </c>
      <c r="B313" s="1132" t="s">
        <v>814</v>
      </c>
      <c r="C313" s="1132" t="s">
        <v>723</v>
      </c>
      <c r="D313" s="1359" t="s">
        <v>105</v>
      </c>
      <c r="E313" s="1359">
        <f>IF(AI313-AR313=0,0,1)</f>
        <v>0</v>
      </c>
      <c r="F313" s="1132" t="s">
        <v>105</v>
      </c>
      <c r="G313" s="1132" t="s">
        <v>356</v>
      </c>
      <c r="H313" s="1360">
        <v>112.37700000000001</v>
      </c>
      <c r="I313" s="1360">
        <v>112.37700000000001</v>
      </c>
      <c r="J313" s="1360">
        <v>112.37700000000001</v>
      </c>
      <c r="K313" s="1360">
        <v>112.37700000000001</v>
      </c>
      <c r="L313" s="1132" t="s">
        <v>105</v>
      </c>
      <c r="M313" s="1132" t="str">
        <f t="shared" si="205"/>
        <v/>
      </c>
      <c r="N313" s="1361">
        <v>0</v>
      </c>
      <c r="O313" s="1361">
        <v>0</v>
      </c>
      <c r="P313" s="1361">
        <v>0</v>
      </c>
      <c r="Q313" s="1361">
        <v>0</v>
      </c>
      <c r="R313" s="1781">
        <v>1</v>
      </c>
      <c r="S313" s="1781">
        <v>1</v>
      </c>
      <c r="T313" s="1781">
        <v>1</v>
      </c>
      <c r="U313" s="1781">
        <v>1</v>
      </c>
      <c r="V313" s="1781">
        <v>1</v>
      </c>
      <c r="W313" s="1781">
        <v>1</v>
      </c>
      <c r="X313" s="1781">
        <v>1</v>
      </c>
      <c r="Y313" s="1781">
        <v>1</v>
      </c>
      <c r="Z313" s="1359">
        <v>0</v>
      </c>
      <c r="AA313" s="1781">
        <f t="shared" si="206"/>
        <v>1</v>
      </c>
      <c r="AB313" s="1781">
        <f t="shared" si="207"/>
        <v>1</v>
      </c>
      <c r="AC313" s="1781">
        <f t="shared" si="208"/>
        <v>1</v>
      </c>
      <c r="AD313" s="1781">
        <f t="shared" si="209"/>
        <v>1</v>
      </c>
      <c r="AE313" s="1781">
        <f t="shared" si="210"/>
        <v>1</v>
      </c>
      <c r="AF313" s="1781">
        <f t="shared" si="211"/>
        <v>1</v>
      </c>
      <c r="AG313" s="1781">
        <f t="shared" si="212"/>
        <v>1</v>
      </c>
      <c r="AH313" s="1781">
        <f t="shared" si="213"/>
        <v>1</v>
      </c>
      <c r="AI313" s="1362">
        <f t="shared" si="244"/>
        <v>0</v>
      </c>
      <c r="AJ313" s="1362">
        <f t="shared" si="245"/>
        <v>0</v>
      </c>
      <c r="AK313" s="1362">
        <f t="shared" si="246"/>
        <v>0</v>
      </c>
      <c r="AL313" s="1362">
        <f t="shared" si="247"/>
        <v>0</v>
      </c>
      <c r="AM313" s="1362">
        <f t="shared" si="248"/>
        <v>0</v>
      </c>
      <c r="AN313" s="1132" t="str">
        <f t="shared" si="214"/>
        <v>Custom</v>
      </c>
      <c r="AO313" s="1132" t="str">
        <f t="shared" si="215"/>
        <v/>
      </c>
      <c r="AP313" s="2505">
        <v>0</v>
      </c>
      <c r="AQ313" s="2505"/>
      <c r="AR313" s="2505">
        <f t="shared" si="216"/>
        <v>0</v>
      </c>
      <c r="AS313" s="2505">
        <f t="shared" si="217"/>
        <v>0</v>
      </c>
      <c r="AT313" s="1132" t="str">
        <f t="shared" si="218"/>
        <v>Custom</v>
      </c>
      <c r="AU313" s="1132" t="str">
        <f t="shared" si="219"/>
        <v/>
      </c>
      <c r="AV313" s="2505">
        <v>0</v>
      </c>
      <c r="AW313" s="2505"/>
      <c r="AX313" s="1362">
        <f t="shared" si="220"/>
        <v>0</v>
      </c>
      <c r="AY313" s="1360">
        <f t="shared" si="221"/>
        <v>0</v>
      </c>
      <c r="AZ313" s="1132" t="str">
        <f t="shared" si="222"/>
        <v>Custom</v>
      </c>
      <c r="BA313" s="1132" t="str">
        <f t="shared" si="223"/>
        <v/>
      </c>
      <c r="BB313" s="2505">
        <v>0</v>
      </c>
      <c r="BC313" s="2505"/>
      <c r="BD313" s="1362">
        <f t="shared" si="224"/>
        <v>0</v>
      </c>
      <c r="BE313" s="1360">
        <f t="shared" si="225"/>
        <v>0</v>
      </c>
      <c r="BF313" s="1132" t="str">
        <f t="shared" si="226"/>
        <v>Custom</v>
      </c>
      <c r="BG313" s="1132" t="str">
        <f t="shared" si="227"/>
        <v/>
      </c>
      <c r="BH313" s="2505">
        <v>0</v>
      </c>
      <c r="BI313" s="2505"/>
      <c r="BJ313" s="1362">
        <f t="shared" si="249"/>
        <v>0</v>
      </c>
      <c r="BK313" s="1360">
        <f t="shared" si="228"/>
        <v>0</v>
      </c>
      <c r="BL313" s="1601">
        <f t="shared" si="229"/>
        <v>0</v>
      </c>
      <c r="BM313" s="1601">
        <f t="shared" si="230"/>
        <v>0</v>
      </c>
      <c r="BN313" s="1601">
        <f t="shared" si="231"/>
        <v>0</v>
      </c>
      <c r="BO313" s="1601">
        <f t="shared" si="232"/>
        <v>0</v>
      </c>
      <c r="BP313" s="1602">
        <f t="shared" si="233"/>
        <v>0</v>
      </c>
      <c r="BQ313" s="1629"/>
      <c r="BR313" s="1629"/>
      <c r="BS313" s="1602">
        <v>0</v>
      </c>
      <c r="BT313" s="1602">
        <v>0</v>
      </c>
      <c r="BU313" s="1602">
        <v>0</v>
      </c>
      <c r="BV313" s="1602">
        <v>0</v>
      </c>
      <c r="BW313" s="1602">
        <v>0</v>
      </c>
      <c r="BX313" s="1362">
        <f t="shared" si="250"/>
        <v>0</v>
      </c>
      <c r="BY313" s="1362">
        <f t="shared" si="251"/>
        <v>0</v>
      </c>
      <c r="BZ313" s="1362">
        <f t="shared" si="252"/>
        <v>0</v>
      </c>
      <c r="CA313" s="1362">
        <f t="shared" si="253"/>
        <v>0</v>
      </c>
      <c r="CB313" s="1362">
        <f t="shared" si="254"/>
        <v>0</v>
      </c>
      <c r="CC313" s="1360">
        <v>0</v>
      </c>
      <c r="CD313" s="1360">
        <v>0</v>
      </c>
      <c r="CE313" s="1360">
        <v>0</v>
      </c>
      <c r="CF313" s="1360">
        <v>0</v>
      </c>
      <c r="CG313" s="1604">
        <f t="shared" si="234"/>
        <v>0</v>
      </c>
      <c r="CH313" s="1604">
        <f t="shared" si="235"/>
        <v>0</v>
      </c>
      <c r="CI313" s="1604">
        <f t="shared" si="236"/>
        <v>0</v>
      </c>
      <c r="CJ313" s="1604">
        <f t="shared" si="237"/>
        <v>0</v>
      </c>
      <c r="CK313" s="1521">
        <f t="shared" si="238"/>
        <v>0</v>
      </c>
      <c r="CL313" s="1132">
        <v>306</v>
      </c>
      <c r="CM313" s="1132" t="s">
        <v>356</v>
      </c>
      <c r="CN313" s="1359">
        <v>1</v>
      </c>
      <c r="CO313" s="1360">
        <v>98.699999999999989</v>
      </c>
      <c r="CP313" s="1360">
        <v>98.699999999999989</v>
      </c>
      <c r="CQ313" s="1360">
        <v>98.699999999999989</v>
      </c>
      <c r="CR313" s="1360">
        <v>98.699999999999989</v>
      </c>
      <c r="CS313" s="1362">
        <f t="shared" si="239"/>
        <v>0</v>
      </c>
      <c r="CT313" s="1362">
        <f t="shared" si="240"/>
        <v>0</v>
      </c>
      <c r="CU313" s="1362">
        <f t="shared" si="241"/>
        <v>0</v>
      </c>
      <c r="CV313" s="1362">
        <f t="shared" si="242"/>
        <v>0</v>
      </c>
      <c r="CW313" s="1362">
        <f t="shared" si="243"/>
        <v>0</v>
      </c>
      <c r="CY313" s="2887"/>
    </row>
    <row r="314" spans="1:103" s="1143" customFormat="1" ht="45.75" customHeight="1" x14ac:dyDescent="0.35">
      <c r="A314" s="1132" t="s">
        <v>110</v>
      </c>
      <c r="B314" s="1132" t="s">
        <v>814</v>
      </c>
      <c r="C314" s="1132" t="s">
        <v>741</v>
      </c>
      <c r="D314" s="1359" t="s">
        <v>105</v>
      </c>
      <c r="E314" s="1359">
        <f>IF(AI314-AR314=0,0,1)</f>
        <v>0</v>
      </c>
      <c r="F314" s="1132" t="s">
        <v>105</v>
      </c>
      <c r="G314" s="1132" t="s">
        <v>356</v>
      </c>
      <c r="H314" s="1360">
        <v>112.37700000000001</v>
      </c>
      <c r="I314" s="1360">
        <v>112.37700000000001</v>
      </c>
      <c r="J314" s="1360">
        <v>112.37700000000001</v>
      </c>
      <c r="K314" s="1360">
        <v>112.37700000000001</v>
      </c>
      <c r="L314" s="1132" t="s">
        <v>105</v>
      </c>
      <c r="M314" s="1132" t="str">
        <f t="shared" si="205"/>
        <v/>
      </c>
      <c r="N314" s="1361">
        <v>0</v>
      </c>
      <c r="O314" s="1361">
        <v>0</v>
      </c>
      <c r="P314" s="1361">
        <v>0</v>
      </c>
      <c r="Q314" s="1361">
        <v>0</v>
      </c>
      <c r="R314" s="1781">
        <v>1</v>
      </c>
      <c r="S314" s="1781">
        <v>1</v>
      </c>
      <c r="T314" s="1781">
        <v>1</v>
      </c>
      <c r="U314" s="1781">
        <v>1</v>
      </c>
      <c r="V314" s="1781">
        <v>1</v>
      </c>
      <c r="W314" s="1781">
        <v>1</v>
      </c>
      <c r="X314" s="1781">
        <v>1</v>
      </c>
      <c r="Y314" s="1781">
        <v>1</v>
      </c>
      <c r="Z314" s="1359">
        <v>0</v>
      </c>
      <c r="AA314" s="1781">
        <f t="shared" si="206"/>
        <v>1</v>
      </c>
      <c r="AB314" s="1781">
        <f t="shared" si="207"/>
        <v>1</v>
      </c>
      <c r="AC314" s="1781">
        <f t="shared" si="208"/>
        <v>1</v>
      </c>
      <c r="AD314" s="1781">
        <f t="shared" si="209"/>
        <v>1</v>
      </c>
      <c r="AE314" s="1781">
        <f t="shared" si="210"/>
        <v>1</v>
      </c>
      <c r="AF314" s="1781">
        <f t="shared" si="211"/>
        <v>1</v>
      </c>
      <c r="AG314" s="1781">
        <f t="shared" si="212"/>
        <v>1</v>
      </c>
      <c r="AH314" s="1781">
        <f t="shared" si="213"/>
        <v>1</v>
      </c>
      <c r="AI314" s="1362">
        <f t="shared" si="244"/>
        <v>0</v>
      </c>
      <c r="AJ314" s="1362">
        <f t="shared" si="245"/>
        <v>0</v>
      </c>
      <c r="AK314" s="1362">
        <f t="shared" si="246"/>
        <v>0</v>
      </c>
      <c r="AL314" s="1362">
        <f t="shared" si="247"/>
        <v>0</v>
      </c>
      <c r="AM314" s="1362">
        <f t="shared" si="248"/>
        <v>0</v>
      </c>
      <c r="AN314" s="1132" t="str">
        <f t="shared" si="214"/>
        <v>Custom</v>
      </c>
      <c r="AO314" s="1132" t="str">
        <f t="shared" si="215"/>
        <v/>
      </c>
      <c r="AP314" s="2505">
        <v>0</v>
      </c>
      <c r="AQ314" s="2505"/>
      <c r="AR314" s="2505">
        <f t="shared" si="216"/>
        <v>0</v>
      </c>
      <c r="AS314" s="2505">
        <f t="shared" si="217"/>
        <v>0</v>
      </c>
      <c r="AT314" s="1132" t="str">
        <f t="shared" si="218"/>
        <v>Custom</v>
      </c>
      <c r="AU314" s="1132" t="str">
        <f t="shared" si="219"/>
        <v/>
      </c>
      <c r="AV314" s="2505">
        <v>0</v>
      </c>
      <c r="AW314" s="2505"/>
      <c r="AX314" s="1362">
        <f t="shared" si="220"/>
        <v>0</v>
      </c>
      <c r="AY314" s="1360">
        <f t="shared" si="221"/>
        <v>0</v>
      </c>
      <c r="AZ314" s="1132" t="str">
        <f t="shared" si="222"/>
        <v>Custom</v>
      </c>
      <c r="BA314" s="1132" t="str">
        <f t="shared" si="223"/>
        <v/>
      </c>
      <c r="BB314" s="2505">
        <v>0</v>
      </c>
      <c r="BC314" s="2505"/>
      <c r="BD314" s="1362">
        <f t="shared" si="224"/>
        <v>0</v>
      </c>
      <c r="BE314" s="1360">
        <f t="shared" si="225"/>
        <v>0</v>
      </c>
      <c r="BF314" s="1132" t="str">
        <f t="shared" si="226"/>
        <v>Custom</v>
      </c>
      <c r="BG314" s="1132" t="str">
        <f t="shared" si="227"/>
        <v/>
      </c>
      <c r="BH314" s="2505">
        <v>0</v>
      </c>
      <c r="BI314" s="2505"/>
      <c r="BJ314" s="1362">
        <f t="shared" si="249"/>
        <v>0</v>
      </c>
      <c r="BK314" s="1360">
        <f t="shared" si="228"/>
        <v>0</v>
      </c>
      <c r="BL314" s="1601">
        <f t="shared" si="229"/>
        <v>0</v>
      </c>
      <c r="BM314" s="1601">
        <f t="shared" si="230"/>
        <v>0</v>
      </c>
      <c r="BN314" s="1601">
        <f t="shared" si="231"/>
        <v>0</v>
      </c>
      <c r="BO314" s="1601">
        <f t="shared" si="232"/>
        <v>0</v>
      </c>
      <c r="BP314" s="1602">
        <f t="shared" si="233"/>
        <v>0</v>
      </c>
      <c r="BQ314" s="1629"/>
      <c r="BR314" s="1629"/>
      <c r="BS314" s="1602">
        <v>0</v>
      </c>
      <c r="BT314" s="1602">
        <v>1</v>
      </c>
      <c r="BU314" s="1602">
        <v>1</v>
      </c>
      <c r="BV314" s="1602">
        <v>1</v>
      </c>
      <c r="BW314" s="1602">
        <v>1</v>
      </c>
      <c r="BX314" s="1362">
        <f t="shared" si="250"/>
        <v>0</v>
      </c>
      <c r="BY314" s="1362">
        <f t="shared" si="251"/>
        <v>0</v>
      </c>
      <c r="BZ314" s="1362">
        <f t="shared" si="252"/>
        <v>0</v>
      </c>
      <c r="CA314" s="1362">
        <f t="shared" si="253"/>
        <v>0</v>
      </c>
      <c r="CB314" s="1362">
        <f t="shared" si="254"/>
        <v>0</v>
      </c>
      <c r="CC314" s="1360">
        <v>1</v>
      </c>
      <c r="CD314" s="1360">
        <v>1</v>
      </c>
      <c r="CE314" s="1360">
        <v>1</v>
      </c>
      <c r="CF314" s="1360">
        <v>1</v>
      </c>
      <c r="CG314" s="1604">
        <f t="shared" si="234"/>
        <v>0</v>
      </c>
      <c r="CH314" s="1604">
        <f t="shared" si="235"/>
        <v>0</v>
      </c>
      <c r="CI314" s="1604">
        <f t="shared" si="236"/>
        <v>0</v>
      </c>
      <c r="CJ314" s="1604">
        <f t="shared" si="237"/>
        <v>0</v>
      </c>
      <c r="CK314" s="1521">
        <f t="shared" si="238"/>
        <v>0</v>
      </c>
      <c r="CL314" s="1132">
        <v>307</v>
      </c>
      <c r="CM314" s="1132" t="s">
        <v>356</v>
      </c>
      <c r="CN314" s="1359">
        <v>1</v>
      </c>
      <c r="CO314" s="1360">
        <v>98.699999999999989</v>
      </c>
      <c r="CP314" s="1360">
        <v>98.699999999999989</v>
      </c>
      <c r="CQ314" s="1360">
        <v>98.699999999999989</v>
      </c>
      <c r="CR314" s="1360">
        <v>98.699999999999989</v>
      </c>
      <c r="CS314" s="1362">
        <f t="shared" si="239"/>
        <v>0</v>
      </c>
      <c r="CT314" s="1362">
        <f t="shared" si="240"/>
        <v>0</v>
      </c>
      <c r="CU314" s="1362">
        <f t="shared" si="241"/>
        <v>0</v>
      </c>
      <c r="CV314" s="1362">
        <f t="shared" si="242"/>
        <v>0</v>
      </c>
      <c r="CW314" s="1362">
        <f t="shared" si="243"/>
        <v>0</v>
      </c>
      <c r="CY314" s="2887"/>
    </row>
    <row r="315" spans="1:103" s="1143" customFormat="1" ht="46.5" x14ac:dyDescent="0.35">
      <c r="A315" s="1132" t="s">
        <v>110</v>
      </c>
      <c r="B315" s="1132" t="s">
        <v>814</v>
      </c>
      <c r="C315" s="1132" t="s">
        <v>744</v>
      </c>
      <c r="D315" s="1359" t="s">
        <v>745</v>
      </c>
      <c r="E315" s="1359">
        <v>1</v>
      </c>
      <c r="F315" s="1780" t="s">
        <v>649</v>
      </c>
      <c r="G315" s="1132" t="s">
        <v>356</v>
      </c>
      <c r="H315" s="1360">
        <v>100.42200000000001</v>
      </c>
      <c r="I315" s="1360">
        <v>100.42200000000001</v>
      </c>
      <c r="J315" s="1360">
        <v>100.42200000000001</v>
      </c>
      <c r="K315" s="1360">
        <v>100.42200000000001</v>
      </c>
      <c r="L315" s="1132" t="s">
        <v>650</v>
      </c>
      <c r="M315" s="1132" t="str">
        <f t="shared" si="205"/>
        <v>Nicor Gas PY11-PY14 Adjustable Goals Template_2025-03-01, Tab 5.3.16</v>
      </c>
      <c r="N315" s="1361">
        <v>55.509675000000001</v>
      </c>
      <c r="O315" s="1361">
        <v>55.509675000000001</v>
      </c>
      <c r="P315" s="1361">
        <v>55.509675000000001</v>
      </c>
      <c r="Q315" s="1361">
        <v>55.509675000000001</v>
      </c>
      <c r="R315" s="1781">
        <v>1</v>
      </c>
      <c r="S315" s="1781">
        <v>1</v>
      </c>
      <c r="T315" s="1781">
        <v>1</v>
      </c>
      <c r="U315" s="1781">
        <v>1</v>
      </c>
      <c r="V315" s="1781">
        <v>1</v>
      </c>
      <c r="W315" s="1781">
        <v>1</v>
      </c>
      <c r="X315" s="1781">
        <v>1</v>
      </c>
      <c r="Y315" s="1781">
        <v>1</v>
      </c>
      <c r="Z315" s="1359">
        <v>0</v>
      </c>
      <c r="AA315" s="1781">
        <f t="shared" si="206"/>
        <v>1</v>
      </c>
      <c r="AB315" s="1781">
        <f t="shared" si="207"/>
        <v>1</v>
      </c>
      <c r="AC315" s="1781">
        <f t="shared" si="208"/>
        <v>1</v>
      </c>
      <c r="AD315" s="1781">
        <f t="shared" si="209"/>
        <v>1</v>
      </c>
      <c r="AE315" s="1781">
        <f t="shared" si="210"/>
        <v>1</v>
      </c>
      <c r="AF315" s="1781">
        <f t="shared" si="211"/>
        <v>1</v>
      </c>
      <c r="AG315" s="1781">
        <f t="shared" si="212"/>
        <v>1</v>
      </c>
      <c r="AH315" s="1781">
        <f t="shared" si="213"/>
        <v>1</v>
      </c>
      <c r="AI315" s="1362">
        <f t="shared" si="244"/>
        <v>5574.3925828500005</v>
      </c>
      <c r="AJ315" s="1362">
        <f t="shared" si="245"/>
        <v>5574.3925828500005</v>
      </c>
      <c r="AK315" s="1362">
        <f t="shared" si="246"/>
        <v>5574.3925828500005</v>
      </c>
      <c r="AL315" s="1362">
        <f t="shared" si="247"/>
        <v>5574.3925828500005</v>
      </c>
      <c r="AM315" s="1362">
        <f t="shared" si="248"/>
        <v>22297.570331400002</v>
      </c>
      <c r="AN315" s="1132" t="str">
        <f t="shared" si="214"/>
        <v>RS-HVC-ADTH-V03-190101</v>
      </c>
      <c r="AO315" s="1132" t="str">
        <f t="shared" si="215"/>
        <v>Nicor Gas PY11-PY14 Adjustable Goals Template_2025-03-01, Tab 5.3.16</v>
      </c>
      <c r="AP315" s="2247">
        <f>'5.3.16'!$S$15</f>
        <v>55.509675000000001</v>
      </c>
      <c r="AQ315" s="2505"/>
      <c r="AR315" s="2505">
        <f t="shared" si="216"/>
        <v>5574.3925828500005</v>
      </c>
      <c r="AS315" s="2505">
        <f t="shared" si="217"/>
        <v>0</v>
      </c>
      <c r="AT315" s="1132" t="str">
        <f t="shared" si="218"/>
        <v>RS-HVC-ADTH-V03-190101</v>
      </c>
      <c r="AU315" s="1132" t="str">
        <f t="shared" si="219"/>
        <v>Nicor Gas PY11-PY14 Adjustable Goals Template_2025-03-01, Tab 5.3.16</v>
      </c>
      <c r="AV315" s="2247">
        <f>'5.3.16'!$S$15</f>
        <v>55.509675000000001</v>
      </c>
      <c r="AW315" s="2505"/>
      <c r="AX315" s="1362">
        <f t="shared" si="220"/>
        <v>5574.3925828500005</v>
      </c>
      <c r="AY315" s="1360">
        <f t="shared" si="221"/>
        <v>0</v>
      </c>
      <c r="AZ315" s="1132" t="str">
        <f t="shared" si="222"/>
        <v>RS-HVC-ADTH-V03-190101</v>
      </c>
      <c r="BA315" s="1132" t="str">
        <f t="shared" si="223"/>
        <v>Nicor Gas PY11-PY14 Adjustable Goals Template_2025-03-01, Tab 5.3.16</v>
      </c>
      <c r="BB315" s="2247">
        <f>'5.3.16'!$S$15</f>
        <v>55.509675000000001</v>
      </c>
      <c r="BC315" s="2505"/>
      <c r="BD315" s="1362">
        <f t="shared" si="224"/>
        <v>5574.3925828500005</v>
      </c>
      <c r="BE315" s="1360">
        <f t="shared" si="225"/>
        <v>0</v>
      </c>
      <c r="BF315" s="1132" t="str">
        <f t="shared" si="226"/>
        <v>RS-HVC-ADTH-V03-190101</v>
      </c>
      <c r="BG315" s="1132" t="str">
        <f t="shared" si="227"/>
        <v>Nicor Gas PY11-PY14 Adjustable Goals Template_2025-03-01, Tab 5.3.16</v>
      </c>
      <c r="BH315" s="2247">
        <f>'5.3.16'!$S$15</f>
        <v>55.509675000000001</v>
      </c>
      <c r="BI315" s="2505"/>
      <c r="BJ315" s="1362">
        <f t="shared" si="249"/>
        <v>5574.3925828500005</v>
      </c>
      <c r="BK315" s="1360">
        <f t="shared" si="228"/>
        <v>0</v>
      </c>
      <c r="BL315" s="1601">
        <f t="shared" si="229"/>
        <v>5574.3925828500005</v>
      </c>
      <c r="BM315" s="1601">
        <f t="shared" si="230"/>
        <v>5574.3925828500005</v>
      </c>
      <c r="BN315" s="1601">
        <f t="shared" si="231"/>
        <v>5574.3925828500005</v>
      </c>
      <c r="BO315" s="1601">
        <f t="shared" si="232"/>
        <v>5574.3925828500005</v>
      </c>
      <c r="BP315" s="1602">
        <f t="shared" si="233"/>
        <v>22297.570331400002</v>
      </c>
      <c r="BQ315" s="1629"/>
      <c r="BR315" s="1629" t="s">
        <v>649</v>
      </c>
      <c r="BS315" s="1602">
        <v>0</v>
      </c>
      <c r="BT315" s="1602">
        <v>11</v>
      </c>
      <c r="BU315" s="1602">
        <v>11</v>
      </c>
      <c r="BV315" s="1602">
        <v>11</v>
      </c>
      <c r="BW315" s="1602">
        <v>11</v>
      </c>
      <c r="BX315" s="1362">
        <f t="shared" si="250"/>
        <v>61318.318411350003</v>
      </c>
      <c r="BY315" s="1362">
        <f t="shared" si="251"/>
        <v>61318.318411350003</v>
      </c>
      <c r="BZ315" s="1362">
        <f t="shared" si="252"/>
        <v>61318.318411350003</v>
      </c>
      <c r="CA315" s="1362">
        <f t="shared" si="253"/>
        <v>61318.318411350003</v>
      </c>
      <c r="CB315" s="1362">
        <f t="shared" si="254"/>
        <v>245273.27364540001</v>
      </c>
      <c r="CC315" s="1360">
        <v>11</v>
      </c>
      <c r="CD315" s="1360">
        <v>11</v>
      </c>
      <c r="CE315" s="1360">
        <v>11</v>
      </c>
      <c r="CF315" s="1360">
        <v>11</v>
      </c>
      <c r="CG315" s="1604">
        <f t="shared" si="234"/>
        <v>61318.318411350003</v>
      </c>
      <c r="CH315" s="1604">
        <f t="shared" si="235"/>
        <v>61318.318411350003</v>
      </c>
      <c r="CI315" s="1604">
        <f t="shared" si="236"/>
        <v>61318.318411350003</v>
      </c>
      <c r="CJ315" s="1604">
        <f t="shared" si="237"/>
        <v>61318.318411350003</v>
      </c>
      <c r="CK315" s="1521">
        <f t="shared" si="238"/>
        <v>245273.27364540001</v>
      </c>
      <c r="CL315" s="1132">
        <v>308</v>
      </c>
      <c r="CM315" s="1132" t="s">
        <v>356</v>
      </c>
      <c r="CN315" s="1359">
        <v>1</v>
      </c>
      <c r="CO315" s="1360">
        <v>88.199999999999989</v>
      </c>
      <c r="CP315" s="1360">
        <v>88.199999999999989</v>
      </c>
      <c r="CQ315" s="1360">
        <v>88.199999999999989</v>
      </c>
      <c r="CR315" s="1360">
        <v>88.199999999999989</v>
      </c>
      <c r="CS315" s="1362">
        <f t="shared" si="239"/>
        <v>4895.9533349999992</v>
      </c>
      <c r="CT315" s="1362">
        <f t="shared" si="240"/>
        <v>4895.9533349999992</v>
      </c>
      <c r="CU315" s="1362">
        <f t="shared" si="241"/>
        <v>4895.9533349999992</v>
      </c>
      <c r="CV315" s="1362">
        <f t="shared" si="242"/>
        <v>4895.9533349999992</v>
      </c>
      <c r="CW315" s="1362">
        <f t="shared" si="243"/>
        <v>19583.813339999997</v>
      </c>
      <c r="CY315" s="2887"/>
    </row>
    <row r="316" spans="1:103" s="1143" customFormat="1" ht="45.65" customHeight="1" x14ac:dyDescent="0.35">
      <c r="A316" s="1132" t="s">
        <v>110</v>
      </c>
      <c r="B316" s="1132" t="s">
        <v>814</v>
      </c>
      <c r="C316" s="1132" t="s">
        <v>742</v>
      </c>
      <c r="D316" s="1359" t="s">
        <v>743</v>
      </c>
      <c r="E316" s="1359">
        <v>1</v>
      </c>
      <c r="F316" s="2564" t="s">
        <v>708</v>
      </c>
      <c r="G316" s="1132" t="s">
        <v>328</v>
      </c>
      <c r="H316" s="1360">
        <v>10.759500000000001</v>
      </c>
      <c r="I316" s="1360">
        <v>10.759500000000001</v>
      </c>
      <c r="J316" s="1360">
        <v>10.759500000000001</v>
      </c>
      <c r="K316" s="1360">
        <v>10.759500000000001</v>
      </c>
      <c r="L316" s="1132" t="s">
        <v>709</v>
      </c>
      <c r="M316" s="1132" t="str">
        <f t="shared" si="205"/>
        <v>Nicor Gas PY11-PY14 Adjustable Goals Template_2025-03-01, Tab 5.3.11</v>
      </c>
      <c r="N316" s="1361">
        <v>40.5015</v>
      </c>
      <c r="O316" s="1361">
        <v>40.5015</v>
      </c>
      <c r="P316" s="1361">
        <v>40.5015</v>
      </c>
      <c r="Q316" s="1361">
        <v>40.5015</v>
      </c>
      <c r="R316" s="1781">
        <v>1</v>
      </c>
      <c r="S316" s="1781">
        <v>1</v>
      </c>
      <c r="T316" s="1781">
        <v>1</v>
      </c>
      <c r="U316" s="1781">
        <v>1</v>
      </c>
      <c r="V316" s="1781">
        <v>1</v>
      </c>
      <c r="W316" s="1781">
        <v>1</v>
      </c>
      <c r="X316" s="1781">
        <v>1</v>
      </c>
      <c r="Y316" s="1781">
        <v>1</v>
      </c>
      <c r="Z316" s="1359">
        <v>0</v>
      </c>
      <c r="AA316" s="1781">
        <f t="shared" si="206"/>
        <v>1</v>
      </c>
      <c r="AB316" s="1781">
        <f t="shared" si="207"/>
        <v>1</v>
      </c>
      <c r="AC316" s="1781">
        <f t="shared" si="208"/>
        <v>1</v>
      </c>
      <c r="AD316" s="1781">
        <f t="shared" si="209"/>
        <v>1</v>
      </c>
      <c r="AE316" s="1781">
        <f t="shared" si="210"/>
        <v>1</v>
      </c>
      <c r="AF316" s="1781">
        <f t="shared" si="211"/>
        <v>1</v>
      </c>
      <c r="AG316" s="1781">
        <f t="shared" si="212"/>
        <v>1</v>
      </c>
      <c r="AH316" s="1781">
        <f t="shared" si="213"/>
        <v>1</v>
      </c>
      <c r="AI316" s="1362">
        <f t="shared" si="244"/>
        <v>435.77588925000003</v>
      </c>
      <c r="AJ316" s="1362">
        <f t="shared" si="245"/>
        <v>435.77588925000003</v>
      </c>
      <c r="AK316" s="1362">
        <f t="shared" si="246"/>
        <v>435.77588925000003</v>
      </c>
      <c r="AL316" s="1362">
        <f t="shared" si="247"/>
        <v>435.77588925000003</v>
      </c>
      <c r="AM316" s="1362">
        <f t="shared" si="248"/>
        <v>1743.1035570000001</v>
      </c>
      <c r="AN316" s="1132" t="str">
        <f t="shared" si="214"/>
        <v>RS-HVC-PROG-V05-190101</v>
      </c>
      <c r="AO316" s="1132" t="str">
        <f t="shared" si="215"/>
        <v>Nicor Gas PY11-PY14 Adjustable Goals Template_2025-03-01, Tab 5.3.11</v>
      </c>
      <c r="AP316" s="2247">
        <f>'5.3.11'!$Q$12</f>
        <v>40.5015</v>
      </c>
      <c r="AQ316" s="2505"/>
      <c r="AR316" s="2505">
        <f t="shared" si="216"/>
        <v>435.77588925000003</v>
      </c>
      <c r="AS316" s="2505">
        <f t="shared" si="217"/>
        <v>0</v>
      </c>
      <c r="AT316" s="1132" t="str">
        <f t="shared" si="218"/>
        <v>RS-HVC-PROG-V05-190101</v>
      </c>
      <c r="AU316" s="1132" t="str">
        <f t="shared" si="219"/>
        <v>Nicor Gas PY11-PY14 Adjustable Goals Template_2025-03-01, Tab 5.3.11</v>
      </c>
      <c r="AV316" s="2247">
        <f>'5.3.11'!$Q$12</f>
        <v>40.5015</v>
      </c>
      <c r="AW316" s="2505"/>
      <c r="AX316" s="1362">
        <f t="shared" si="220"/>
        <v>435.77588925000003</v>
      </c>
      <c r="AY316" s="1360">
        <f t="shared" si="221"/>
        <v>0</v>
      </c>
      <c r="AZ316" s="1132" t="str">
        <f t="shared" si="222"/>
        <v>RS-HVC-PROG-V05-190101</v>
      </c>
      <c r="BA316" s="1132" t="str">
        <f t="shared" si="223"/>
        <v>Nicor Gas PY11-PY14 Adjustable Goals Template_2025-03-01, Tab 5.3.11</v>
      </c>
      <c r="BB316" s="2247">
        <f>'5.3.11'!$Q$12</f>
        <v>40.5015</v>
      </c>
      <c r="BC316" s="2505"/>
      <c r="BD316" s="1362">
        <f t="shared" si="224"/>
        <v>435.77588925000003</v>
      </c>
      <c r="BE316" s="1360">
        <f t="shared" si="225"/>
        <v>0</v>
      </c>
      <c r="BF316" s="1132" t="str">
        <f t="shared" si="226"/>
        <v>RS-HVC-PROG-V05-190101</v>
      </c>
      <c r="BG316" s="1132" t="str">
        <f t="shared" si="227"/>
        <v>Nicor Gas PY11-PY14 Adjustable Goals Template_2025-03-01, Tab 5.3.11</v>
      </c>
      <c r="BH316" s="2247">
        <f>'5.3.11'!$Q$12</f>
        <v>40.5015</v>
      </c>
      <c r="BI316" s="2505"/>
      <c r="BJ316" s="1362">
        <f t="shared" si="249"/>
        <v>435.77588925000003</v>
      </c>
      <c r="BK316" s="1360">
        <f t="shared" si="228"/>
        <v>0</v>
      </c>
      <c r="BL316" s="1601">
        <f t="shared" si="229"/>
        <v>435.77588925000003</v>
      </c>
      <c r="BM316" s="1601">
        <f t="shared" si="230"/>
        <v>435.77588925000003</v>
      </c>
      <c r="BN316" s="1601">
        <f t="shared" si="231"/>
        <v>435.77588925000003</v>
      </c>
      <c r="BO316" s="1601">
        <f t="shared" si="232"/>
        <v>435.77588925000003</v>
      </c>
      <c r="BP316" s="1602">
        <f t="shared" si="233"/>
        <v>1743.1035570000001</v>
      </c>
      <c r="BQ316" s="1629"/>
      <c r="BR316" s="1629" t="s">
        <v>708</v>
      </c>
      <c r="BS316" s="1602">
        <v>0</v>
      </c>
      <c r="BT316" s="1602">
        <v>8</v>
      </c>
      <c r="BU316" s="1602">
        <v>8</v>
      </c>
      <c r="BV316" s="1602">
        <v>8</v>
      </c>
      <c r="BW316" s="1602">
        <v>8</v>
      </c>
      <c r="BX316" s="1362">
        <f t="shared" si="250"/>
        <v>3486.2071140000003</v>
      </c>
      <c r="BY316" s="1362">
        <f t="shared" si="251"/>
        <v>3486.2071140000003</v>
      </c>
      <c r="BZ316" s="1362">
        <f t="shared" si="252"/>
        <v>3486.2071140000003</v>
      </c>
      <c r="CA316" s="1362">
        <f t="shared" si="253"/>
        <v>3486.2071140000003</v>
      </c>
      <c r="CB316" s="1362">
        <f t="shared" si="254"/>
        <v>13944.828456000001</v>
      </c>
      <c r="CC316" s="1360">
        <v>8</v>
      </c>
      <c r="CD316" s="1360">
        <v>8</v>
      </c>
      <c r="CE316" s="1360">
        <v>8</v>
      </c>
      <c r="CF316" s="1360">
        <v>8</v>
      </c>
      <c r="CG316" s="1604">
        <f t="shared" si="234"/>
        <v>3486.2071140000003</v>
      </c>
      <c r="CH316" s="1604">
        <f t="shared" si="235"/>
        <v>3486.2071140000003</v>
      </c>
      <c r="CI316" s="1604">
        <f t="shared" si="236"/>
        <v>3486.2071140000003</v>
      </c>
      <c r="CJ316" s="1604">
        <f t="shared" si="237"/>
        <v>3486.2071140000003</v>
      </c>
      <c r="CK316" s="1521">
        <f t="shared" si="238"/>
        <v>13944.828456000001</v>
      </c>
      <c r="CL316" s="1132">
        <v>309</v>
      </c>
      <c r="CM316" s="1132" t="s">
        <v>328</v>
      </c>
      <c r="CN316" s="1359">
        <v>1</v>
      </c>
      <c r="CO316" s="1360">
        <v>9.4499999999999993</v>
      </c>
      <c r="CP316" s="1360">
        <v>9.4499999999999993</v>
      </c>
      <c r="CQ316" s="1360">
        <v>9.4499999999999993</v>
      </c>
      <c r="CR316" s="1360">
        <v>9.4499999999999993</v>
      </c>
      <c r="CS316" s="1362">
        <f t="shared" si="239"/>
        <v>382.73917499999999</v>
      </c>
      <c r="CT316" s="1362">
        <f t="shared" si="240"/>
        <v>382.73917499999999</v>
      </c>
      <c r="CU316" s="1362">
        <f t="shared" si="241"/>
        <v>382.73917499999999</v>
      </c>
      <c r="CV316" s="1362">
        <f t="shared" si="242"/>
        <v>382.73917499999999</v>
      </c>
      <c r="CW316" s="1362">
        <f t="shared" si="243"/>
        <v>1530.9567</v>
      </c>
      <c r="CY316" s="2887"/>
    </row>
    <row r="317" spans="1:103" s="1143" customFormat="1" ht="46.5" x14ac:dyDescent="0.35">
      <c r="A317" s="1132" t="s">
        <v>110</v>
      </c>
      <c r="B317" s="1132" t="s">
        <v>814</v>
      </c>
      <c r="C317" s="1132" t="s">
        <v>815</v>
      </c>
      <c r="D317" s="1359" t="s">
        <v>816</v>
      </c>
      <c r="E317" s="1359">
        <v>1</v>
      </c>
      <c r="F317" s="2807" t="s">
        <v>817</v>
      </c>
      <c r="G317" s="1132" t="s">
        <v>356</v>
      </c>
      <c r="H317" s="1360">
        <v>1.1955</v>
      </c>
      <c r="I317" s="1360">
        <v>1.1955</v>
      </c>
      <c r="J317" s="1360">
        <v>1.1955</v>
      </c>
      <c r="K317" s="1360">
        <v>1.1955</v>
      </c>
      <c r="L317" s="1132" t="s">
        <v>818</v>
      </c>
      <c r="M317" s="1132" t="str">
        <f t="shared" si="205"/>
        <v>Nicor Gas PY11-PY14 Adjustable Goals Template_2025-03-01, Tab 5.3.17</v>
      </c>
      <c r="N317" s="1361">
        <v>245.39718661758747</v>
      </c>
      <c r="O317" s="1361">
        <v>245.39718661758747</v>
      </c>
      <c r="P317" s="1361">
        <v>245.39718661758747</v>
      </c>
      <c r="Q317" s="1361">
        <v>245.39718661758747</v>
      </c>
      <c r="R317" s="1781">
        <v>1</v>
      </c>
      <c r="S317" s="1781">
        <v>1</v>
      </c>
      <c r="T317" s="1781">
        <v>1</v>
      </c>
      <c r="U317" s="1781">
        <v>1</v>
      </c>
      <c r="V317" s="1781">
        <v>1</v>
      </c>
      <c r="W317" s="1781">
        <v>1</v>
      </c>
      <c r="X317" s="1781">
        <v>1</v>
      </c>
      <c r="Y317" s="1781">
        <v>1</v>
      </c>
      <c r="Z317" s="1359">
        <v>0</v>
      </c>
      <c r="AA317" s="1781">
        <f t="shared" si="206"/>
        <v>1</v>
      </c>
      <c r="AB317" s="1781">
        <f t="shared" si="207"/>
        <v>1</v>
      </c>
      <c r="AC317" s="1781">
        <f t="shared" si="208"/>
        <v>1</v>
      </c>
      <c r="AD317" s="1781">
        <f t="shared" si="209"/>
        <v>1</v>
      </c>
      <c r="AE317" s="1781">
        <f t="shared" si="210"/>
        <v>1</v>
      </c>
      <c r="AF317" s="1781">
        <f t="shared" si="211"/>
        <v>1</v>
      </c>
      <c r="AG317" s="1781">
        <f t="shared" si="212"/>
        <v>1</v>
      </c>
      <c r="AH317" s="1781">
        <f t="shared" si="213"/>
        <v>1</v>
      </c>
      <c r="AI317" s="1362">
        <f t="shared" si="244"/>
        <v>293.3723366013258</v>
      </c>
      <c r="AJ317" s="1362">
        <f t="shared" si="245"/>
        <v>293.3723366013258</v>
      </c>
      <c r="AK317" s="1362">
        <f t="shared" si="246"/>
        <v>293.3723366013258</v>
      </c>
      <c r="AL317" s="1362">
        <f t="shared" si="247"/>
        <v>293.3723366013258</v>
      </c>
      <c r="AM317" s="1362">
        <f t="shared" si="248"/>
        <v>1173.4893464053032</v>
      </c>
      <c r="AN317" s="1132" t="str">
        <f t="shared" si="214"/>
        <v>RS-HVC-COMB-V01-190101</v>
      </c>
      <c r="AO317" s="1132" t="str">
        <f t="shared" si="215"/>
        <v>Nicor Gas PY11-PY14 Adjustable Goals Template_2025-03-01, Tab 5.3.17</v>
      </c>
      <c r="AP317" s="2568">
        <f>'5.3.17'!$M$4</f>
        <v>247.46647284694677</v>
      </c>
      <c r="AQ317" s="2568" t="s">
        <v>819</v>
      </c>
      <c r="AR317" s="2505">
        <f t="shared" si="216"/>
        <v>295.84616828852489</v>
      </c>
      <c r="AS317" s="2505">
        <f t="shared" si="217"/>
        <v>2.4738316871990946</v>
      </c>
      <c r="AT317" s="1132" t="str">
        <f t="shared" si="218"/>
        <v>RS-HVC-COMB-V01-190101</v>
      </c>
      <c r="AU317" s="1132" t="str">
        <f t="shared" si="219"/>
        <v>Nicor Gas PY11-PY14 Adjustable Goals Template_2025-03-01, Tab 5.3.17</v>
      </c>
      <c r="AV317" s="2505">
        <f>'5.3.17'!$M$4</f>
        <v>247.46647284694677</v>
      </c>
      <c r="AW317" s="2568" t="s">
        <v>819</v>
      </c>
      <c r="AX317" s="1362">
        <f t="shared" si="220"/>
        <v>295.84616828852489</v>
      </c>
      <c r="AY317" s="1360">
        <f t="shared" si="221"/>
        <v>2.4738316871990946</v>
      </c>
      <c r="AZ317" s="1132" t="str">
        <f t="shared" si="222"/>
        <v>RS-HVC-COMB-V01-190101</v>
      </c>
      <c r="BA317" s="1132" t="str">
        <f t="shared" si="223"/>
        <v>Nicor Gas PY11-PY14 Adjustable Goals Template_2025-03-01, Tab 5.3.17</v>
      </c>
      <c r="BB317" s="2505">
        <f>'5.3.17'!$M$4</f>
        <v>247.46647284694677</v>
      </c>
      <c r="BC317" s="2568" t="s">
        <v>819</v>
      </c>
      <c r="BD317" s="1362">
        <f t="shared" si="224"/>
        <v>295.84616828852489</v>
      </c>
      <c r="BE317" s="1360">
        <f t="shared" si="225"/>
        <v>2.4738316871990946</v>
      </c>
      <c r="BF317" s="1132" t="str">
        <f t="shared" si="226"/>
        <v>RS-HVC-COMB-V01-190101</v>
      </c>
      <c r="BG317" s="1132" t="str">
        <f t="shared" si="227"/>
        <v>Nicor Gas PY11-PY14 Adjustable Goals Template_2025-03-01, Tab 5.3.17</v>
      </c>
      <c r="BH317" s="2505">
        <f>'5.3.17'!$M$4</f>
        <v>247.46647284694677</v>
      </c>
      <c r="BI317" s="2568" t="s">
        <v>819</v>
      </c>
      <c r="BJ317" s="1362">
        <f t="shared" si="249"/>
        <v>295.84616828852489</v>
      </c>
      <c r="BK317" s="1360">
        <f t="shared" si="228"/>
        <v>2.4738316871990946</v>
      </c>
      <c r="BL317" s="1601">
        <f t="shared" si="229"/>
        <v>295.84616828852489</v>
      </c>
      <c r="BM317" s="1601">
        <f t="shared" si="230"/>
        <v>295.84616828852489</v>
      </c>
      <c r="BN317" s="1601">
        <f t="shared" si="231"/>
        <v>295.84616828852489</v>
      </c>
      <c r="BO317" s="1601">
        <f t="shared" si="232"/>
        <v>295.84616828852489</v>
      </c>
      <c r="BP317" s="1602">
        <f t="shared" si="233"/>
        <v>1183.3846731540996</v>
      </c>
      <c r="BQ317" s="1629"/>
      <c r="BR317" s="1629" t="s">
        <v>817</v>
      </c>
      <c r="BS317" s="1602">
        <v>0</v>
      </c>
      <c r="BT317" s="1602">
        <v>21.5</v>
      </c>
      <c r="BU317" s="1602">
        <v>21.5</v>
      </c>
      <c r="BV317" s="1602">
        <v>21.5</v>
      </c>
      <c r="BW317" s="1602">
        <v>21.5</v>
      </c>
      <c r="BX317" s="1362">
        <f t="shared" si="250"/>
        <v>6307.5052369285049</v>
      </c>
      <c r="BY317" s="1362">
        <f t="shared" si="251"/>
        <v>6307.5052369285049</v>
      </c>
      <c r="BZ317" s="1362">
        <f t="shared" si="252"/>
        <v>6307.5052369285049</v>
      </c>
      <c r="CA317" s="1362">
        <f t="shared" si="253"/>
        <v>6307.5052369285049</v>
      </c>
      <c r="CB317" s="1362">
        <f t="shared" si="254"/>
        <v>25230.02094771402</v>
      </c>
      <c r="CC317" s="1360">
        <v>21.5</v>
      </c>
      <c r="CD317" s="1360">
        <v>21.5</v>
      </c>
      <c r="CE317" s="1360">
        <v>21.5</v>
      </c>
      <c r="CF317" s="1360">
        <v>21.5</v>
      </c>
      <c r="CG317" s="1604">
        <f t="shared" si="234"/>
        <v>6360.6926182032848</v>
      </c>
      <c r="CH317" s="1604">
        <f t="shared" si="235"/>
        <v>6360.6926182032848</v>
      </c>
      <c r="CI317" s="1604">
        <f t="shared" si="236"/>
        <v>6360.6926182032848</v>
      </c>
      <c r="CJ317" s="1604">
        <f t="shared" si="237"/>
        <v>6360.6926182032848</v>
      </c>
      <c r="CK317" s="1521">
        <f t="shared" si="238"/>
        <v>25442.770472813139</v>
      </c>
      <c r="CL317" s="1132">
        <v>310</v>
      </c>
      <c r="CM317" s="1132" t="s">
        <v>356</v>
      </c>
      <c r="CN317" s="1359">
        <v>1</v>
      </c>
      <c r="CO317" s="1360">
        <v>1.0499999999999998</v>
      </c>
      <c r="CP317" s="1360">
        <v>1.0499999999999998</v>
      </c>
      <c r="CQ317" s="1360">
        <v>1.0499999999999998</v>
      </c>
      <c r="CR317" s="1360">
        <v>1.0499999999999998</v>
      </c>
      <c r="CS317" s="1362">
        <f t="shared" si="239"/>
        <v>257.66704594846681</v>
      </c>
      <c r="CT317" s="1362">
        <f t="shared" si="240"/>
        <v>257.66704594846681</v>
      </c>
      <c r="CU317" s="1362">
        <f t="shared" si="241"/>
        <v>257.66704594846681</v>
      </c>
      <c r="CV317" s="1362">
        <f t="shared" si="242"/>
        <v>257.66704594846681</v>
      </c>
      <c r="CW317" s="1362">
        <f t="shared" si="243"/>
        <v>1030.6681837938672</v>
      </c>
      <c r="CY317" s="2887"/>
    </row>
    <row r="318" spans="1:103" s="1143" customFormat="1" ht="46.5" x14ac:dyDescent="0.35">
      <c r="A318" s="1132" t="s">
        <v>110</v>
      </c>
      <c r="B318" s="1132" t="s">
        <v>814</v>
      </c>
      <c r="C318" s="1132" t="s">
        <v>629</v>
      </c>
      <c r="D318" s="1359" t="s">
        <v>630</v>
      </c>
      <c r="E318" s="1359">
        <v>1</v>
      </c>
      <c r="F318" s="2564" t="s">
        <v>631</v>
      </c>
      <c r="G318" s="1132" t="s">
        <v>356</v>
      </c>
      <c r="H318" s="1360">
        <v>3.5864999999999987</v>
      </c>
      <c r="I318" s="1360">
        <v>3.5864999999999987</v>
      </c>
      <c r="J318" s="1360">
        <v>3.5864999999999987</v>
      </c>
      <c r="K318" s="1360">
        <v>3.5864999999999987</v>
      </c>
      <c r="L318" s="1132" t="s">
        <v>632</v>
      </c>
      <c r="M318" s="1132" t="str">
        <f t="shared" si="205"/>
        <v>Nicor Gas PY11-PY14 Adjustable Goals Template_2025-03-01, Tab 5.3.7</v>
      </c>
      <c r="N318" s="1361">
        <v>185.21062775919711</v>
      </c>
      <c r="O318" s="1361">
        <v>185.21062775919711</v>
      </c>
      <c r="P318" s="1361">
        <v>185.21062775919711</v>
      </c>
      <c r="Q318" s="1361">
        <v>185.21062775919711</v>
      </c>
      <c r="R318" s="1781">
        <v>1</v>
      </c>
      <c r="S318" s="1781">
        <v>1</v>
      </c>
      <c r="T318" s="1781">
        <v>1</v>
      </c>
      <c r="U318" s="1781">
        <v>1</v>
      </c>
      <c r="V318" s="1781">
        <v>1</v>
      </c>
      <c r="W318" s="1781">
        <v>1</v>
      </c>
      <c r="X318" s="1781">
        <v>1</v>
      </c>
      <c r="Y318" s="1781">
        <v>1</v>
      </c>
      <c r="Z318" s="1359">
        <v>0</v>
      </c>
      <c r="AA318" s="1781">
        <f t="shared" si="206"/>
        <v>1</v>
      </c>
      <c r="AB318" s="1781">
        <f t="shared" si="207"/>
        <v>1</v>
      </c>
      <c r="AC318" s="1781">
        <f t="shared" si="208"/>
        <v>1</v>
      </c>
      <c r="AD318" s="1781">
        <f t="shared" si="209"/>
        <v>1</v>
      </c>
      <c r="AE318" s="1781">
        <f t="shared" si="210"/>
        <v>1</v>
      </c>
      <c r="AF318" s="1781">
        <f t="shared" si="211"/>
        <v>1</v>
      </c>
      <c r="AG318" s="1781">
        <f t="shared" si="212"/>
        <v>1</v>
      </c>
      <c r="AH318" s="1781">
        <f t="shared" si="213"/>
        <v>1</v>
      </c>
      <c r="AI318" s="1362">
        <f t="shared" si="244"/>
        <v>664.25791645836023</v>
      </c>
      <c r="AJ318" s="1362">
        <f t="shared" si="245"/>
        <v>664.25791645836023</v>
      </c>
      <c r="AK318" s="1362">
        <f t="shared" si="246"/>
        <v>664.25791645836023</v>
      </c>
      <c r="AL318" s="1362">
        <f t="shared" si="247"/>
        <v>664.25791645836023</v>
      </c>
      <c r="AM318" s="1362">
        <f t="shared" si="248"/>
        <v>2657.0316658334409</v>
      </c>
      <c r="AN318" s="1132" t="str">
        <f t="shared" si="214"/>
        <v>RS-HVC-GHEF-V08-190101</v>
      </c>
      <c r="AO318" s="1132" t="str">
        <f t="shared" si="215"/>
        <v>Nicor Gas PY11-PY14 Adjustable Goals Template_2025-03-01, Tab 5.3.7</v>
      </c>
      <c r="AP318" s="2505">
        <f>'5.3.7'!$P$4</f>
        <v>185.21062775919711</v>
      </c>
      <c r="AQ318" s="2505"/>
      <c r="AR318" s="2505">
        <f t="shared" si="216"/>
        <v>664.25791645836023</v>
      </c>
      <c r="AS318" s="2505">
        <f t="shared" si="217"/>
        <v>0</v>
      </c>
      <c r="AT318" s="1132" t="str">
        <f t="shared" si="218"/>
        <v>RS-HVC-GHEF-V08-190101</v>
      </c>
      <c r="AU318" s="1132" t="str">
        <f t="shared" si="219"/>
        <v>Nicor Gas PY11-PY14 Adjustable Goals Template_2025-03-01, Tab 5.3.7</v>
      </c>
      <c r="AV318" s="2505">
        <f>'5.3.7'!$P$4</f>
        <v>185.21062775919711</v>
      </c>
      <c r="AW318" s="2505"/>
      <c r="AX318" s="1362">
        <f t="shared" si="220"/>
        <v>664.25791645836023</v>
      </c>
      <c r="AY318" s="1360">
        <f t="shared" si="221"/>
        <v>0</v>
      </c>
      <c r="AZ318" s="1132" t="str">
        <f t="shared" si="222"/>
        <v>RS-HVC-GHEF-V08-190101</v>
      </c>
      <c r="BA318" s="1132" t="str">
        <f t="shared" si="223"/>
        <v>Nicor Gas PY11-PY14 Adjustable Goals Template_2025-03-01, Tab 5.3.7</v>
      </c>
      <c r="BB318" s="2505">
        <f>'5.3.7'!$P$4</f>
        <v>185.21062775919711</v>
      </c>
      <c r="BC318" s="2505"/>
      <c r="BD318" s="1362">
        <f t="shared" si="224"/>
        <v>664.25791645836023</v>
      </c>
      <c r="BE318" s="1360">
        <f t="shared" si="225"/>
        <v>0</v>
      </c>
      <c r="BF318" s="1132" t="str">
        <f t="shared" si="226"/>
        <v>RS-HVC-GHEF-V08-190101</v>
      </c>
      <c r="BG318" s="1132" t="str">
        <f t="shared" si="227"/>
        <v>Nicor Gas PY11-PY14 Adjustable Goals Template_2025-03-01, Tab 5.3.7</v>
      </c>
      <c r="BH318" s="2505">
        <f>'5.3.7'!$P$4</f>
        <v>185.21062775919711</v>
      </c>
      <c r="BI318" s="2505"/>
      <c r="BJ318" s="1362">
        <f t="shared" si="249"/>
        <v>664.25791645836023</v>
      </c>
      <c r="BK318" s="1360">
        <f t="shared" si="228"/>
        <v>0</v>
      </c>
      <c r="BL318" s="1601">
        <f t="shared" si="229"/>
        <v>664.25791645836023</v>
      </c>
      <c r="BM318" s="1601">
        <f t="shared" si="230"/>
        <v>664.25791645836023</v>
      </c>
      <c r="BN318" s="1601">
        <f t="shared" si="231"/>
        <v>664.25791645836023</v>
      </c>
      <c r="BO318" s="1601">
        <f t="shared" si="232"/>
        <v>664.25791645836023</v>
      </c>
      <c r="BP318" s="1602">
        <f t="shared" si="233"/>
        <v>2657.0316658334409</v>
      </c>
      <c r="BQ318" s="1629"/>
      <c r="BR318" s="1629" t="s">
        <v>631</v>
      </c>
      <c r="BS318" s="1602">
        <v>0</v>
      </c>
      <c r="BT318" s="1602">
        <v>20</v>
      </c>
      <c r="BU318" s="1602">
        <v>20</v>
      </c>
      <c r="BV318" s="1602">
        <v>20</v>
      </c>
      <c r="BW318" s="1602">
        <v>20</v>
      </c>
      <c r="BX318" s="1362">
        <f t="shared" si="250"/>
        <v>13285.158329167205</v>
      </c>
      <c r="BY318" s="1362">
        <f t="shared" si="251"/>
        <v>13285.158329167205</v>
      </c>
      <c r="BZ318" s="1362">
        <f t="shared" si="252"/>
        <v>13285.158329167205</v>
      </c>
      <c r="CA318" s="1362">
        <f t="shared" si="253"/>
        <v>13285.158329167205</v>
      </c>
      <c r="CB318" s="1362">
        <f t="shared" si="254"/>
        <v>53140.63331666882</v>
      </c>
      <c r="CC318" s="1360">
        <v>20</v>
      </c>
      <c r="CD318" s="1360">
        <v>20</v>
      </c>
      <c r="CE318" s="1360">
        <v>20</v>
      </c>
      <c r="CF318" s="1360">
        <v>20</v>
      </c>
      <c r="CG318" s="1604">
        <f t="shared" si="234"/>
        <v>13285.158329167205</v>
      </c>
      <c r="CH318" s="1604">
        <f t="shared" si="235"/>
        <v>13285.158329167205</v>
      </c>
      <c r="CI318" s="1604">
        <f t="shared" si="236"/>
        <v>13285.158329167205</v>
      </c>
      <c r="CJ318" s="1604">
        <f t="shared" si="237"/>
        <v>13285.158329167205</v>
      </c>
      <c r="CK318" s="1521">
        <f t="shared" si="238"/>
        <v>53140.63331666882</v>
      </c>
      <c r="CL318" s="1132">
        <v>311</v>
      </c>
      <c r="CM318" s="1132" t="s">
        <v>356</v>
      </c>
      <c r="CN318" s="1359">
        <v>1</v>
      </c>
      <c r="CO318" s="1360">
        <v>3.1499999999999986</v>
      </c>
      <c r="CP318" s="1360">
        <v>3.1499999999999986</v>
      </c>
      <c r="CQ318" s="1360">
        <v>3.1499999999999986</v>
      </c>
      <c r="CR318" s="1360">
        <v>3.1499999999999986</v>
      </c>
      <c r="CS318" s="1362">
        <f t="shared" si="239"/>
        <v>583.4134774414706</v>
      </c>
      <c r="CT318" s="1362">
        <f t="shared" si="240"/>
        <v>583.4134774414706</v>
      </c>
      <c r="CU318" s="1362">
        <f t="shared" si="241"/>
        <v>583.4134774414706</v>
      </c>
      <c r="CV318" s="1362">
        <f t="shared" si="242"/>
        <v>583.4134774414706</v>
      </c>
      <c r="CW318" s="1362">
        <f t="shared" si="243"/>
        <v>2333.6539097658824</v>
      </c>
      <c r="CY318" s="2887"/>
    </row>
    <row r="319" spans="1:103" s="1143" customFormat="1" ht="46.5" x14ac:dyDescent="0.35">
      <c r="A319" s="1132" t="s">
        <v>110</v>
      </c>
      <c r="B319" s="1132" t="s">
        <v>814</v>
      </c>
      <c r="C319" s="1132" t="s">
        <v>820</v>
      </c>
      <c r="D319" s="1359" t="s">
        <v>821</v>
      </c>
      <c r="E319" s="1359">
        <v>1</v>
      </c>
      <c r="F319" s="2807" t="s">
        <v>691</v>
      </c>
      <c r="G319" s="1132" t="s">
        <v>328</v>
      </c>
      <c r="H319" s="1360">
        <v>27.496500000000001</v>
      </c>
      <c r="I319" s="1360">
        <v>27.496500000000001</v>
      </c>
      <c r="J319" s="1360">
        <v>27.496500000000001</v>
      </c>
      <c r="K319" s="1360">
        <v>27.496500000000001</v>
      </c>
      <c r="L319" s="1132" t="s">
        <v>692</v>
      </c>
      <c r="M319" s="1132" t="str">
        <f t="shared" si="205"/>
        <v>Nicor Gas PY11-PY14 Adjustable Goals Template_2025-03-01, Tab 5.4.5</v>
      </c>
      <c r="N319" s="2245">
        <v>11.317119452100005</v>
      </c>
      <c r="O319" s="1361">
        <v>11.317119452100005</v>
      </c>
      <c r="P319" s="1361">
        <v>11.317119452100005</v>
      </c>
      <c r="Q319" s="1361">
        <v>11.317119452100005</v>
      </c>
      <c r="R319" s="1781">
        <v>1</v>
      </c>
      <c r="S319" s="1781">
        <v>1</v>
      </c>
      <c r="T319" s="1781">
        <v>1</v>
      </c>
      <c r="U319" s="1781">
        <v>1</v>
      </c>
      <c r="V319" s="1781">
        <v>1</v>
      </c>
      <c r="W319" s="1781">
        <v>1</v>
      </c>
      <c r="X319" s="1781">
        <v>1</v>
      </c>
      <c r="Y319" s="1781">
        <v>1</v>
      </c>
      <c r="Z319" s="1359">
        <v>0</v>
      </c>
      <c r="AA319" s="1781">
        <f t="shared" si="206"/>
        <v>1</v>
      </c>
      <c r="AB319" s="1781">
        <f t="shared" si="207"/>
        <v>1</v>
      </c>
      <c r="AC319" s="1781">
        <f t="shared" si="208"/>
        <v>1</v>
      </c>
      <c r="AD319" s="1781">
        <f t="shared" si="209"/>
        <v>1</v>
      </c>
      <c r="AE319" s="1781">
        <f t="shared" si="210"/>
        <v>1</v>
      </c>
      <c r="AF319" s="1781">
        <f t="shared" si="211"/>
        <v>1</v>
      </c>
      <c r="AG319" s="1781">
        <f t="shared" si="212"/>
        <v>1</v>
      </c>
      <c r="AH319" s="1781">
        <f t="shared" si="213"/>
        <v>1</v>
      </c>
      <c r="AI319" s="1362">
        <f t="shared" si="244"/>
        <v>311.18117501466782</v>
      </c>
      <c r="AJ319" s="1362">
        <f t="shared" si="245"/>
        <v>311.18117501466782</v>
      </c>
      <c r="AK319" s="1362">
        <f t="shared" si="246"/>
        <v>311.18117501466782</v>
      </c>
      <c r="AL319" s="1362">
        <f t="shared" si="247"/>
        <v>311.18117501466782</v>
      </c>
      <c r="AM319" s="1362">
        <f t="shared" si="248"/>
        <v>1244.7247000586713</v>
      </c>
      <c r="AN319" s="1132" t="str">
        <f t="shared" si="214"/>
        <v>RS-HWE-LFSH-V06-190101</v>
      </c>
      <c r="AO319" s="1132" t="str">
        <f t="shared" si="215"/>
        <v>Nicor Gas PY11-PY14 Adjustable Goals Template_2025-03-01, Tab 5.4.5</v>
      </c>
      <c r="AP319" s="2737">
        <f>'5.4.5'!$P$16</f>
        <v>12.229477281000005</v>
      </c>
      <c r="AQ319" s="2568" t="s">
        <v>557</v>
      </c>
      <c r="AR319" s="2505">
        <f t="shared" si="216"/>
        <v>336.26782205701664</v>
      </c>
      <c r="AS319" s="2505">
        <f t="shared" si="217"/>
        <v>25.086647042348829</v>
      </c>
      <c r="AT319" s="1132" t="str">
        <f t="shared" si="218"/>
        <v>RS-HWE-LFSH-V06-190101</v>
      </c>
      <c r="AU319" s="1132" t="str">
        <f t="shared" si="219"/>
        <v>Nicor Gas PY11-PY14 Adjustable Goals Template_2025-03-01, Tab 5.4.5</v>
      </c>
      <c r="AV319" s="2508">
        <f>'5.4.5'!$P$16</f>
        <v>12.229477281000005</v>
      </c>
      <c r="AW319" s="2568" t="s">
        <v>557</v>
      </c>
      <c r="AX319" s="1362">
        <f t="shared" si="220"/>
        <v>336.26782205701664</v>
      </c>
      <c r="AY319" s="1360">
        <f t="shared" si="221"/>
        <v>25.086647042348829</v>
      </c>
      <c r="AZ319" s="1132" t="str">
        <f t="shared" si="222"/>
        <v>RS-HWE-LFSH-V06-190101</v>
      </c>
      <c r="BA319" s="1132" t="str">
        <f t="shared" si="223"/>
        <v>Nicor Gas PY11-PY14 Adjustable Goals Template_2025-03-01, Tab 5.4.5</v>
      </c>
      <c r="BB319" s="2508">
        <f>'5.4.5'!$P$16</f>
        <v>12.229477281000005</v>
      </c>
      <c r="BC319" s="2568" t="s">
        <v>557</v>
      </c>
      <c r="BD319" s="1362">
        <f t="shared" si="224"/>
        <v>336.26782205701664</v>
      </c>
      <c r="BE319" s="1360">
        <f t="shared" si="225"/>
        <v>25.086647042348829</v>
      </c>
      <c r="BF319" s="1132" t="str">
        <f t="shared" si="226"/>
        <v>RS-HWE-LFSH-V06-190101</v>
      </c>
      <c r="BG319" s="1132" t="str">
        <f t="shared" si="227"/>
        <v>Nicor Gas PY11-PY14 Adjustable Goals Template_2025-03-01, Tab 5.4.5</v>
      </c>
      <c r="BH319" s="2508">
        <f>'5.4.5'!$P$16</f>
        <v>12.229477281000005</v>
      </c>
      <c r="BI319" s="2568" t="s">
        <v>557</v>
      </c>
      <c r="BJ319" s="1362">
        <f t="shared" si="249"/>
        <v>336.26782205701664</v>
      </c>
      <c r="BK319" s="1360">
        <f t="shared" si="228"/>
        <v>25.086647042348829</v>
      </c>
      <c r="BL319" s="1601">
        <f t="shared" si="229"/>
        <v>336.26782205701664</v>
      </c>
      <c r="BM319" s="1601">
        <f t="shared" si="230"/>
        <v>336.26782205701664</v>
      </c>
      <c r="BN319" s="1601">
        <f t="shared" si="231"/>
        <v>336.26782205701664</v>
      </c>
      <c r="BO319" s="1601">
        <f t="shared" si="232"/>
        <v>336.26782205701664</v>
      </c>
      <c r="BP319" s="1602">
        <f t="shared" si="233"/>
        <v>1345.0712882280666</v>
      </c>
      <c r="BQ319" s="1629"/>
      <c r="BR319" s="1629" t="s">
        <v>691</v>
      </c>
      <c r="BS319" s="1602">
        <v>0</v>
      </c>
      <c r="BT319" s="1602">
        <v>10</v>
      </c>
      <c r="BU319" s="1602">
        <v>10</v>
      </c>
      <c r="BV319" s="1602">
        <v>10</v>
      </c>
      <c r="BW319" s="1602">
        <v>10</v>
      </c>
      <c r="BX319" s="1362">
        <f t="shared" si="250"/>
        <v>3111.8117501466782</v>
      </c>
      <c r="BY319" s="1362">
        <f t="shared" si="251"/>
        <v>3111.8117501466782</v>
      </c>
      <c r="BZ319" s="1362">
        <f t="shared" si="252"/>
        <v>3111.8117501466782</v>
      </c>
      <c r="CA319" s="1362">
        <f t="shared" si="253"/>
        <v>3111.8117501466782</v>
      </c>
      <c r="CB319" s="1362">
        <f t="shared" si="254"/>
        <v>12447.247000586713</v>
      </c>
      <c r="CC319" s="1360">
        <v>10</v>
      </c>
      <c r="CD319" s="1360">
        <v>10</v>
      </c>
      <c r="CE319" s="1360">
        <v>10</v>
      </c>
      <c r="CF319" s="1360">
        <v>10</v>
      </c>
      <c r="CG319" s="1604">
        <f t="shared" si="234"/>
        <v>3362.6782205701666</v>
      </c>
      <c r="CH319" s="1604">
        <f t="shared" si="235"/>
        <v>3362.6782205701666</v>
      </c>
      <c r="CI319" s="1604">
        <f t="shared" si="236"/>
        <v>3362.6782205701666</v>
      </c>
      <c r="CJ319" s="1604">
        <f t="shared" si="237"/>
        <v>3362.6782205701666</v>
      </c>
      <c r="CK319" s="1521">
        <f t="shared" si="238"/>
        <v>13450.712882280666</v>
      </c>
      <c r="CL319" s="1132">
        <v>312</v>
      </c>
      <c r="CM319" s="1132" t="s">
        <v>328</v>
      </c>
      <c r="CN319" s="1359">
        <v>1</v>
      </c>
      <c r="CO319" s="1360">
        <v>24.15</v>
      </c>
      <c r="CP319" s="1360">
        <v>24.15</v>
      </c>
      <c r="CQ319" s="1360">
        <v>24.15</v>
      </c>
      <c r="CR319" s="1360">
        <v>24.15</v>
      </c>
      <c r="CS319" s="1362">
        <f t="shared" si="239"/>
        <v>273.30843476821514</v>
      </c>
      <c r="CT319" s="1362">
        <f t="shared" si="240"/>
        <v>273.30843476821514</v>
      </c>
      <c r="CU319" s="1362">
        <f t="shared" si="241"/>
        <v>273.30843476821514</v>
      </c>
      <c r="CV319" s="1362">
        <f t="shared" si="242"/>
        <v>273.30843476821514</v>
      </c>
      <c r="CW319" s="1362">
        <f t="shared" si="243"/>
        <v>1093.2337390728605</v>
      </c>
      <c r="CY319" s="2887"/>
    </row>
    <row r="320" spans="1:103" s="1143" customFormat="1" ht="46.5" x14ac:dyDescent="0.35">
      <c r="A320" s="1132" t="s">
        <v>110</v>
      </c>
      <c r="B320" s="1132" t="s">
        <v>814</v>
      </c>
      <c r="C320" s="1132" t="s">
        <v>728</v>
      </c>
      <c r="D320" s="1359" t="s">
        <v>729</v>
      </c>
      <c r="E320" s="1359">
        <v>1</v>
      </c>
      <c r="F320" s="2807" t="s">
        <v>697</v>
      </c>
      <c r="G320" s="1132" t="s">
        <v>328</v>
      </c>
      <c r="H320" s="1360">
        <v>112.37700000000001</v>
      </c>
      <c r="I320" s="1360">
        <v>112.37700000000001</v>
      </c>
      <c r="J320" s="1360">
        <v>112.37700000000001</v>
      </c>
      <c r="K320" s="1360">
        <v>112.37700000000001</v>
      </c>
      <c r="L320" s="1132" t="s">
        <v>698</v>
      </c>
      <c r="M320" s="1132" t="str">
        <f t="shared" si="205"/>
        <v>Nicor Gas PY11-PY14 Adjustable Goals Template_2025-03-01, Tab 5.4.4</v>
      </c>
      <c r="N320" s="1361">
        <v>2.5539833919599975</v>
      </c>
      <c r="O320" s="1361">
        <v>2.5539833919599975</v>
      </c>
      <c r="P320" s="1361">
        <v>2.5539833919599975</v>
      </c>
      <c r="Q320" s="1361">
        <v>2.5539833919599975</v>
      </c>
      <c r="R320" s="1781">
        <v>1</v>
      </c>
      <c r="S320" s="1781">
        <v>1</v>
      </c>
      <c r="T320" s="1781">
        <v>1</v>
      </c>
      <c r="U320" s="1781">
        <v>1</v>
      </c>
      <c r="V320" s="1781">
        <v>1</v>
      </c>
      <c r="W320" s="1781">
        <v>1</v>
      </c>
      <c r="X320" s="1781">
        <v>1</v>
      </c>
      <c r="Y320" s="1781">
        <v>1</v>
      </c>
      <c r="Z320" s="1359">
        <v>0</v>
      </c>
      <c r="AA320" s="1781">
        <f t="shared" si="206"/>
        <v>1</v>
      </c>
      <c r="AB320" s="1781">
        <f t="shared" si="207"/>
        <v>1</v>
      </c>
      <c r="AC320" s="1781">
        <f t="shared" si="208"/>
        <v>1</v>
      </c>
      <c r="AD320" s="1781">
        <f t="shared" si="209"/>
        <v>1</v>
      </c>
      <c r="AE320" s="1781">
        <f t="shared" si="210"/>
        <v>1</v>
      </c>
      <c r="AF320" s="1781">
        <f t="shared" si="211"/>
        <v>1</v>
      </c>
      <c r="AG320" s="1781">
        <f t="shared" si="212"/>
        <v>1</v>
      </c>
      <c r="AH320" s="1781">
        <f t="shared" si="213"/>
        <v>1</v>
      </c>
      <c r="AI320" s="1362">
        <f t="shared" si="244"/>
        <v>287.00899163828865</v>
      </c>
      <c r="AJ320" s="1362">
        <f t="shared" si="245"/>
        <v>287.00899163828865</v>
      </c>
      <c r="AK320" s="1362">
        <f t="shared" si="246"/>
        <v>287.00899163828865</v>
      </c>
      <c r="AL320" s="1362">
        <f t="shared" si="247"/>
        <v>287.00899163828865</v>
      </c>
      <c r="AM320" s="1362">
        <f t="shared" si="248"/>
        <v>1148.0359665531546</v>
      </c>
      <c r="AN320" s="1132" t="str">
        <f t="shared" si="214"/>
        <v>RS-HWE-LFFA-V07-190101</v>
      </c>
      <c r="AO320" s="1132" t="str">
        <f t="shared" si="215"/>
        <v>Nicor Gas PY11-PY14 Adjustable Goals Template_2025-03-01, Tab 5.4.4</v>
      </c>
      <c r="AP320" s="2738">
        <f>'5.4.4'!$O$15</f>
        <v>2.7967173506999976</v>
      </c>
      <c r="AQ320" s="2568" t="s">
        <v>481</v>
      </c>
      <c r="AR320" s="2505">
        <f t="shared" si="216"/>
        <v>314.28670571961368</v>
      </c>
      <c r="AS320" s="2505">
        <f t="shared" si="217"/>
        <v>27.27771408132503</v>
      </c>
      <c r="AT320" s="1132" t="str">
        <f t="shared" si="218"/>
        <v>RS-HWE-LFFA-V07-190101</v>
      </c>
      <c r="AU320" s="1132" t="str">
        <f t="shared" si="219"/>
        <v>Nicor Gas PY11-PY14 Adjustable Goals Template_2025-03-01, Tab 5.4.4</v>
      </c>
      <c r="AV320" s="2247">
        <f>'5.4.4'!$O$15</f>
        <v>2.7967173506999976</v>
      </c>
      <c r="AW320" s="2568" t="s">
        <v>481</v>
      </c>
      <c r="AX320" s="1362">
        <f t="shared" si="220"/>
        <v>314.28670571961368</v>
      </c>
      <c r="AY320" s="1360">
        <f t="shared" si="221"/>
        <v>27.27771408132503</v>
      </c>
      <c r="AZ320" s="1132" t="str">
        <f t="shared" si="222"/>
        <v>RS-HWE-LFFA-V07-190101</v>
      </c>
      <c r="BA320" s="1132" t="str">
        <f t="shared" si="223"/>
        <v>Nicor Gas PY11-PY14 Adjustable Goals Template_2025-03-01, Tab 5.4.4</v>
      </c>
      <c r="BB320" s="2247">
        <f>'5.4.4'!$O$15</f>
        <v>2.7967173506999976</v>
      </c>
      <c r="BC320" s="2568" t="s">
        <v>481</v>
      </c>
      <c r="BD320" s="1362">
        <f t="shared" si="224"/>
        <v>314.28670571961368</v>
      </c>
      <c r="BE320" s="1360">
        <f t="shared" si="225"/>
        <v>27.27771408132503</v>
      </c>
      <c r="BF320" s="1132" t="str">
        <f t="shared" si="226"/>
        <v>RS-HWE-LFFA-V07-190101</v>
      </c>
      <c r="BG320" s="1132" t="str">
        <f t="shared" si="227"/>
        <v>Nicor Gas PY11-PY14 Adjustable Goals Template_2025-03-01, Tab 5.4.4</v>
      </c>
      <c r="BH320" s="2247">
        <f>'5.4.4'!$O$15</f>
        <v>2.7967173506999976</v>
      </c>
      <c r="BI320" s="2568" t="s">
        <v>481</v>
      </c>
      <c r="BJ320" s="1362">
        <f t="shared" si="249"/>
        <v>314.28670571961368</v>
      </c>
      <c r="BK320" s="1360">
        <f t="shared" si="228"/>
        <v>27.27771408132503</v>
      </c>
      <c r="BL320" s="1601">
        <f t="shared" si="229"/>
        <v>314.28670571961368</v>
      </c>
      <c r="BM320" s="1601">
        <f t="shared" si="230"/>
        <v>314.28670571961368</v>
      </c>
      <c r="BN320" s="1601">
        <f t="shared" si="231"/>
        <v>314.28670571961368</v>
      </c>
      <c r="BO320" s="1601">
        <f t="shared" si="232"/>
        <v>314.28670571961368</v>
      </c>
      <c r="BP320" s="1602">
        <f t="shared" si="233"/>
        <v>1257.1468228784547</v>
      </c>
      <c r="BQ320" s="1629"/>
      <c r="BR320" s="1629" t="s">
        <v>697</v>
      </c>
      <c r="BS320" s="1602">
        <v>0</v>
      </c>
      <c r="BT320" s="1602">
        <v>10</v>
      </c>
      <c r="BU320" s="1602">
        <v>10</v>
      </c>
      <c r="BV320" s="1602">
        <v>10</v>
      </c>
      <c r="BW320" s="1602">
        <v>10</v>
      </c>
      <c r="BX320" s="1362">
        <f t="shared" si="250"/>
        <v>2870.0899163828863</v>
      </c>
      <c r="BY320" s="1362">
        <f t="shared" si="251"/>
        <v>2870.0899163828863</v>
      </c>
      <c r="BZ320" s="1362">
        <f t="shared" si="252"/>
        <v>2870.0899163828863</v>
      </c>
      <c r="CA320" s="1362">
        <f t="shared" si="253"/>
        <v>2870.0899163828863</v>
      </c>
      <c r="CB320" s="1362">
        <f t="shared" si="254"/>
        <v>11480.359665531545</v>
      </c>
      <c r="CC320" s="1360">
        <v>10</v>
      </c>
      <c r="CD320" s="1360">
        <v>10</v>
      </c>
      <c r="CE320" s="1360">
        <v>10</v>
      </c>
      <c r="CF320" s="1360">
        <v>10</v>
      </c>
      <c r="CG320" s="1604">
        <f t="shared" si="234"/>
        <v>3142.8670571961366</v>
      </c>
      <c r="CH320" s="1604">
        <f t="shared" si="235"/>
        <v>3142.8670571961366</v>
      </c>
      <c r="CI320" s="1604">
        <f t="shared" si="236"/>
        <v>3142.8670571961366</v>
      </c>
      <c r="CJ320" s="1604">
        <f t="shared" si="237"/>
        <v>3142.8670571961366</v>
      </c>
      <c r="CK320" s="1521">
        <f t="shared" si="238"/>
        <v>12571.468228784546</v>
      </c>
      <c r="CL320" s="1132">
        <v>313</v>
      </c>
      <c r="CM320" s="1132" t="s">
        <v>328</v>
      </c>
      <c r="CN320" s="1359">
        <v>1</v>
      </c>
      <c r="CO320" s="1360">
        <v>98.699999999999989</v>
      </c>
      <c r="CP320" s="1360">
        <v>98.699999999999989</v>
      </c>
      <c r="CQ320" s="1360">
        <v>98.699999999999989</v>
      </c>
      <c r="CR320" s="1360">
        <v>98.699999999999989</v>
      </c>
      <c r="CS320" s="1362">
        <f t="shared" si="239"/>
        <v>252.07816078645172</v>
      </c>
      <c r="CT320" s="1362">
        <f t="shared" si="240"/>
        <v>252.07816078645172</v>
      </c>
      <c r="CU320" s="1362">
        <f t="shared" si="241"/>
        <v>252.07816078645172</v>
      </c>
      <c r="CV320" s="1362">
        <f t="shared" si="242"/>
        <v>252.07816078645172</v>
      </c>
      <c r="CW320" s="1362">
        <f t="shared" si="243"/>
        <v>1008.3126431458069</v>
      </c>
      <c r="CY320" s="2887"/>
    </row>
    <row r="321" spans="1:103" s="1143" customFormat="1" ht="46.5" x14ac:dyDescent="0.35">
      <c r="A321" s="1132" t="s">
        <v>110</v>
      </c>
      <c r="B321" s="1132" t="s">
        <v>814</v>
      </c>
      <c r="C321" s="1132" t="s">
        <v>726</v>
      </c>
      <c r="D321" s="1359" t="s">
        <v>727</v>
      </c>
      <c r="E321" s="1359">
        <v>1</v>
      </c>
      <c r="F321" s="2807" t="s">
        <v>697</v>
      </c>
      <c r="G321" s="1132" t="s">
        <v>328</v>
      </c>
      <c r="H321" s="1360">
        <v>193.67099999999994</v>
      </c>
      <c r="I321" s="1360">
        <v>193.67099999999994</v>
      </c>
      <c r="J321" s="1360">
        <v>193.67099999999994</v>
      </c>
      <c r="K321" s="1360">
        <v>193.67099999999994</v>
      </c>
      <c r="L321" s="1132" t="s">
        <v>698</v>
      </c>
      <c r="M321" s="1132" t="str">
        <f t="shared" si="205"/>
        <v>Nicor Gas PY11-PY14 Adjustable Goals Template_2025-03-01, Tab 5.4.4</v>
      </c>
      <c r="N321" s="1361">
        <v>1.5579651031560005</v>
      </c>
      <c r="O321" s="1361">
        <v>1.5579651031560005</v>
      </c>
      <c r="P321" s="1361">
        <v>1.5579651031560005</v>
      </c>
      <c r="Q321" s="1361">
        <v>1.5579651031560005</v>
      </c>
      <c r="R321" s="1781">
        <v>1</v>
      </c>
      <c r="S321" s="1781">
        <v>1</v>
      </c>
      <c r="T321" s="1781">
        <v>1</v>
      </c>
      <c r="U321" s="1781">
        <v>1</v>
      </c>
      <c r="V321" s="1781">
        <v>1</v>
      </c>
      <c r="W321" s="1781">
        <v>1</v>
      </c>
      <c r="X321" s="1781">
        <v>1</v>
      </c>
      <c r="Y321" s="1781">
        <v>1</v>
      </c>
      <c r="Z321" s="1359">
        <v>0</v>
      </c>
      <c r="AA321" s="1781">
        <f t="shared" si="206"/>
        <v>1</v>
      </c>
      <c r="AB321" s="1781">
        <f t="shared" si="207"/>
        <v>1</v>
      </c>
      <c r="AC321" s="1781">
        <f t="shared" si="208"/>
        <v>1</v>
      </c>
      <c r="AD321" s="1781">
        <f t="shared" si="209"/>
        <v>1</v>
      </c>
      <c r="AE321" s="1781">
        <f t="shared" si="210"/>
        <v>1</v>
      </c>
      <c r="AF321" s="1781">
        <f t="shared" si="211"/>
        <v>1</v>
      </c>
      <c r="AG321" s="1781">
        <f t="shared" si="212"/>
        <v>1</v>
      </c>
      <c r="AH321" s="1781">
        <f t="shared" si="213"/>
        <v>1</v>
      </c>
      <c r="AI321" s="1362">
        <f t="shared" si="244"/>
        <v>301.73265949332568</v>
      </c>
      <c r="AJ321" s="1362">
        <f t="shared" si="245"/>
        <v>301.73265949332568</v>
      </c>
      <c r="AK321" s="1362">
        <f t="shared" si="246"/>
        <v>301.73265949332568</v>
      </c>
      <c r="AL321" s="1362">
        <f t="shared" si="247"/>
        <v>301.73265949332568</v>
      </c>
      <c r="AM321" s="1362">
        <f t="shared" si="248"/>
        <v>1206.9306379733027</v>
      </c>
      <c r="AN321" s="1132" t="str">
        <f t="shared" si="214"/>
        <v>RS-HWE-LFFA-V07-190101</v>
      </c>
      <c r="AO321" s="1132" t="str">
        <f t="shared" si="215"/>
        <v>Nicor Gas PY11-PY14 Adjustable Goals Template_2025-03-01, Tab 5.4.4</v>
      </c>
      <c r="AP321" s="2738">
        <f>'5.4.4'!$O$14</f>
        <v>1.7267119531200008</v>
      </c>
      <c r="AQ321" s="2568" t="s">
        <v>481</v>
      </c>
      <c r="AR321" s="2505">
        <f t="shared" si="216"/>
        <v>334.41403067270357</v>
      </c>
      <c r="AS321" s="2505">
        <f t="shared" si="217"/>
        <v>32.681371179377891</v>
      </c>
      <c r="AT321" s="1132" t="str">
        <f t="shared" si="218"/>
        <v>RS-HWE-LFFA-V07-190101</v>
      </c>
      <c r="AU321" s="1132" t="str">
        <f t="shared" si="219"/>
        <v>Nicor Gas PY11-PY14 Adjustable Goals Template_2025-03-01, Tab 5.4.4</v>
      </c>
      <c r="AV321" s="2247">
        <f>'5.4.4'!$O$14</f>
        <v>1.7267119531200008</v>
      </c>
      <c r="AW321" s="2568" t="s">
        <v>481</v>
      </c>
      <c r="AX321" s="1362">
        <f t="shared" si="220"/>
        <v>334.41403067270357</v>
      </c>
      <c r="AY321" s="1360">
        <f t="shared" si="221"/>
        <v>32.681371179377891</v>
      </c>
      <c r="AZ321" s="1132" t="str">
        <f t="shared" si="222"/>
        <v>RS-HWE-LFFA-V07-190101</v>
      </c>
      <c r="BA321" s="1132" t="str">
        <f t="shared" si="223"/>
        <v>Nicor Gas PY11-PY14 Adjustable Goals Template_2025-03-01, Tab 5.4.4</v>
      </c>
      <c r="BB321" s="2247">
        <f>'5.4.4'!$O$14</f>
        <v>1.7267119531200008</v>
      </c>
      <c r="BC321" s="2568" t="s">
        <v>481</v>
      </c>
      <c r="BD321" s="1362">
        <f t="shared" si="224"/>
        <v>334.41403067270357</v>
      </c>
      <c r="BE321" s="1360">
        <f t="shared" si="225"/>
        <v>32.681371179377891</v>
      </c>
      <c r="BF321" s="1132" t="str">
        <f t="shared" si="226"/>
        <v>RS-HWE-LFFA-V07-190101</v>
      </c>
      <c r="BG321" s="1132" t="str">
        <f t="shared" si="227"/>
        <v>Nicor Gas PY11-PY14 Adjustable Goals Template_2025-03-01, Tab 5.4.4</v>
      </c>
      <c r="BH321" s="2247">
        <f>'5.4.4'!$O$14</f>
        <v>1.7267119531200008</v>
      </c>
      <c r="BI321" s="2568" t="s">
        <v>481</v>
      </c>
      <c r="BJ321" s="1362">
        <f t="shared" si="249"/>
        <v>334.41403067270357</v>
      </c>
      <c r="BK321" s="1360">
        <f t="shared" si="228"/>
        <v>32.681371179377891</v>
      </c>
      <c r="BL321" s="1601">
        <f t="shared" si="229"/>
        <v>334.41403067270357</v>
      </c>
      <c r="BM321" s="1601">
        <f t="shared" si="230"/>
        <v>334.41403067270357</v>
      </c>
      <c r="BN321" s="1601">
        <f t="shared" si="231"/>
        <v>334.41403067270357</v>
      </c>
      <c r="BO321" s="1601">
        <f t="shared" si="232"/>
        <v>334.41403067270357</v>
      </c>
      <c r="BP321" s="1602">
        <f t="shared" si="233"/>
        <v>1337.6561226908143</v>
      </c>
      <c r="BQ321" s="1629"/>
      <c r="BR321" s="1629" t="s">
        <v>697</v>
      </c>
      <c r="BS321" s="1602">
        <v>0</v>
      </c>
      <c r="BT321" s="1602">
        <v>10</v>
      </c>
      <c r="BU321" s="1602">
        <v>10</v>
      </c>
      <c r="BV321" s="1602">
        <v>10</v>
      </c>
      <c r="BW321" s="1602">
        <v>10</v>
      </c>
      <c r="BX321" s="1362">
        <f t="shared" si="250"/>
        <v>3017.3265949332567</v>
      </c>
      <c r="BY321" s="1362">
        <f t="shared" si="251"/>
        <v>3017.3265949332567</v>
      </c>
      <c r="BZ321" s="1362">
        <f t="shared" si="252"/>
        <v>3017.3265949332567</v>
      </c>
      <c r="CA321" s="1362">
        <f t="shared" si="253"/>
        <v>3017.3265949332567</v>
      </c>
      <c r="CB321" s="1362">
        <f t="shared" si="254"/>
        <v>12069.306379733027</v>
      </c>
      <c r="CC321" s="1360">
        <v>10</v>
      </c>
      <c r="CD321" s="1360">
        <v>10</v>
      </c>
      <c r="CE321" s="1360">
        <v>10</v>
      </c>
      <c r="CF321" s="1360">
        <v>10</v>
      </c>
      <c r="CG321" s="1604">
        <f t="shared" si="234"/>
        <v>3344.1403067270357</v>
      </c>
      <c r="CH321" s="1604">
        <f t="shared" si="235"/>
        <v>3344.1403067270357</v>
      </c>
      <c r="CI321" s="1604">
        <f t="shared" si="236"/>
        <v>3344.1403067270357</v>
      </c>
      <c r="CJ321" s="1604">
        <f t="shared" si="237"/>
        <v>3344.1403067270357</v>
      </c>
      <c r="CK321" s="1521">
        <f t="shared" si="238"/>
        <v>13376.561226908143</v>
      </c>
      <c r="CL321" s="1132">
        <v>314</v>
      </c>
      <c r="CM321" s="1132" t="s">
        <v>328</v>
      </c>
      <c r="CN321" s="1359">
        <v>1</v>
      </c>
      <c r="CO321" s="1360">
        <v>170.09999999999994</v>
      </c>
      <c r="CP321" s="1360">
        <v>170.09999999999994</v>
      </c>
      <c r="CQ321" s="1360">
        <v>170.09999999999994</v>
      </c>
      <c r="CR321" s="1360">
        <v>170.09999999999994</v>
      </c>
      <c r="CS321" s="1362">
        <f t="shared" si="239"/>
        <v>265.00986404683556</v>
      </c>
      <c r="CT321" s="1362">
        <f t="shared" si="240"/>
        <v>265.00986404683556</v>
      </c>
      <c r="CU321" s="1362">
        <f t="shared" si="241"/>
        <v>265.00986404683556</v>
      </c>
      <c r="CV321" s="1362">
        <f t="shared" si="242"/>
        <v>265.00986404683556</v>
      </c>
      <c r="CW321" s="1362">
        <f t="shared" si="243"/>
        <v>1060.0394561873422</v>
      </c>
      <c r="CY321" s="2887"/>
    </row>
    <row r="322" spans="1:103" s="1143" customFormat="1" ht="15" customHeight="1" x14ac:dyDescent="0.35">
      <c r="A322" s="1132" t="s">
        <v>110</v>
      </c>
      <c r="B322" s="1132" t="s">
        <v>814</v>
      </c>
      <c r="C322" s="1132" t="s">
        <v>724</v>
      </c>
      <c r="D322" s="1359" t="s">
        <v>725</v>
      </c>
      <c r="E322" s="1359">
        <v>1</v>
      </c>
      <c r="F322" s="2807" t="s">
        <v>691</v>
      </c>
      <c r="G322" s="1132" t="s">
        <v>328</v>
      </c>
      <c r="H322" s="1360">
        <v>112.37700000000001</v>
      </c>
      <c r="I322" s="1360">
        <v>112.37700000000001</v>
      </c>
      <c r="J322" s="1360">
        <v>112.37700000000001</v>
      </c>
      <c r="K322" s="1360">
        <v>112.37700000000001</v>
      </c>
      <c r="L322" s="1132" t="s">
        <v>692</v>
      </c>
      <c r="M322" s="1132" t="str">
        <f t="shared" si="205"/>
        <v>Nicor Gas PY11-PY14 Adjustable Goals Template_2025-03-01, Tab 5.4.5</v>
      </c>
      <c r="N322" s="2245">
        <v>11.317119452100005</v>
      </c>
      <c r="O322" s="1361">
        <v>11.317119452100005</v>
      </c>
      <c r="P322" s="1361">
        <v>11.317119452100005</v>
      </c>
      <c r="Q322" s="1361">
        <v>11.317119452100005</v>
      </c>
      <c r="R322" s="1781">
        <v>1</v>
      </c>
      <c r="S322" s="1781">
        <v>1</v>
      </c>
      <c r="T322" s="1781">
        <v>1</v>
      </c>
      <c r="U322" s="1781">
        <v>1</v>
      </c>
      <c r="V322" s="1781">
        <v>1</v>
      </c>
      <c r="W322" s="1781">
        <v>1</v>
      </c>
      <c r="X322" s="1781">
        <v>1</v>
      </c>
      <c r="Y322" s="1781">
        <v>1</v>
      </c>
      <c r="Z322" s="1359">
        <v>0</v>
      </c>
      <c r="AA322" s="1781">
        <f t="shared" si="206"/>
        <v>1</v>
      </c>
      <c r="AB322" s="1781">
        <f t="shared" si="207"/>
        <v>1</v>
      </c>
      <c r="AC322" s="1781">
        <f t="shared" si="208"/>
        <v>1</v>
      </c>
      <c r="AD322" s="1781">
        <f t="shared" si="209"/>
        <v>1</v>
      </c>
      <c r="AE322" s="1781">
        <f t="shared" si="210"/>
        <v>1</v>
      </c>
      <c r="AF322" s="1781">
        <f t="shared" si="211"/>
        <v>1</v>
      </c>
      <c r="AG322" s="1781">
        <f t="shared" si="212"/>
        <v>1</v>
      </c>
      <c r="AH322" s="1781">
        <f t="shared" si="213"/>
        <v>1</v>
      </c>
      <c r="AI322" s="1362">
        <f t="shared" si="244"/>
        <v>1271.7839326686424</v>
      </c>
      <c r="AJ322" s="1362">
        <f t="shared" si="245"/>
        <v>1271.7839326686424</v>
      </c>
      <c r="AK322" s="1362">
        <f t="shared" si="246"/>
        <v>1271.7839326686424</v>
      </c>
      <c r="AL322" s="1362">
        <f t="shared" si="247"/>
        <v>1271.7839326686424</v>
      </c>
      <c r="AM322" s="1362">
        <f t="shared" si="248"/>
        <v>5087.1357306745695</v>
      </c>
      <c r="AN322" s="1132" t="str">
        <f t="shared" si="214"/>
        <v>RS-HWE-LFSH-V06-190101</v>
      </c>
      <c r="AO322" s="1132" t="str">
        <f t="shared" si="215"/>
        <v>Nicor Gas PY11-PY14 Adjustable Goals Template_2025-03-01, Tab 5.4.5</v>
      </c>
      <c r="AP322" s="2737">
        <f>'5.4.5'!$P$17</f>
        <v>12.229477281000005</v>
      </c>
      <c r="AQ322" s="2568" t="s">
        <v>557</v>
      </c>
      <c r="AR322" s="2505">
        <f t="shared" si="216"/>
        <v>1374.3119684069377</v>
      </c>
      <c r="AS322" s="2505">
        <f t="shared" si="217"/>
        <v>102.52803573829533</v>
      </c>
      <c r="AT322" s="1132" t="str">
        <f t="shared" si="218"/>
        <v>RS-HWE-LFSH-V06-190101</v>
      </c>
      <c r="AU322" s="1132" t="str">
        <f t="shared" si="219"/>
        <v>Nicor Gas PY11-PY14 Adjustable Goals Template_2025-03-01, Tab 5.4.5</v>
      </c>
      <c r="AV322" s="2508">
        <f>'5.4.5'!$P$17</f>
        <v>12.229477281000005</v>
      </c>
      <c r="AW322" s="2568" t="s">
        <v>557</v>
      </c>
      <c r="AX322" s="1362">
        <f t="shared" si="220"/>
        <v>1374.3119684069377</v>
      </c>
      <c r="AY322" s="1360">
        <f t="shared" si="221"/>
        <v>102.52803573829533</v>
      </c>
      <c r="AZ322" s="1132" t="str">
        <f t="shared" si="222"/>
        <v>RS-HWE-LFSH-V06-190101</v>
      </c>
      <c r="BA322" s="1132" t="str">
        <f t="shared" si="223"/>
        <v>Nicor Gas PY11-PY14 Adjustable Goals Template_2025-03-01, Tab 5.4.5</v>
      </c>
      <c r="BB322" s="2508">
        <f>'5.4.5'!$P$17</f>
        <v>12.229477281000005</v>
      </c>
      <c r="BC322" s="2568" t="s">
        <v>557</v>
      </c>
      <c r="BD322" s="1362">
        <f t="shared" si="224"/>
        <v>1374.3119684069377</v>
      </c>
      <c r="BE322" s="1360">
        <f t="shared" si="225"/>
        <v>102.52803573829533</v>
      </c>
      <c r="BF322" s="1132" t="str">
        <f t="shared" si="226"/>
        <v>RS-HWE-LFSH-V06-190101</v>
      </c>
      <c r="BG322" s="1132" t="str">
        <f t="shared" si="227"/>
        <v>Nicor Gas PY11-PY14 Adjustable Goals Template_2025-03-01, Tab 5.4.5</v>
      </c>
      <c r="BH322" s="2508">
        <f>'5.4.5'!$P$17</f>
        <v>12.229477281000005</v>
      </c>
      <c r="BI322" s="2568" t="s">
        <v>557</v>
      </c>
      <c r="BJ322" s="1362">
        <f t="shared" si="249"/>
        <v>1374.3119684069377</v>
      </c>
      <c r="BK322" s="1360">
        <f t="shared" si="228"/>
        <v>102.52803573829533</v>
      </c>
      <c r="BL322" s="1601">
        <f t="shared" si="229"/>
        <v>1374.3119684069377</v>
      </c>
      <c r="BM322" s="1601">
        <f t="shared" si="230"/>
        <v>1374.3119684069377</v>
      </c>
      <c r="BN322" s="1601">
        <f t="shared" si="231"/>
        <v>1374.3119684069377</v>
      </c>
      <c r="BO322" s="1601">
        <f t="shared" si="232"/>
        <v>1374.3119684069377</v>
      </c>
      <c r="BP322" s="1602">
        <f t="shared" si="233"/>
        <v>5497.2478736277508</v>
      </c>
      <c r="BQ322" s="1629"/>
      <c r="BR322" s="1629" t="s">
        <v>691</v>
      </c>
      <c r="BS322" s="1602">
        <v>0</v>
      </c>
      <c r="BT322" s="1602">
        <v>10</v>
      </c>
      <c r="BU322" s="1602">
        <v>10</v>
      </c>
      <c r="BV322" s="1602">
        <v>10</v>
      </c>
      <c r="BW322" s="1602">
        <v>10</v>
      </c>
      <c r="BX322" s="1362">
        <f t="shared" si="250"/>
        <v>12717.839326686424</v>
      </c>
      <c r="BY322" s="1362">
        <f t="shared" si="251"/>
        <v>12717.839326686424</v>
      </c>
      <c r="BZ322" s="1362">
        <f t="shared" si="252"/>
        <v>12717.839326686424</v>
      </c>
      <c r="CA322" s="1362">
        <f t="shared" si="253"/>
        <v>12717.839326686424</v>
      </c>
      <c r="CB322" s="1362">
        <f t="shared" si="254"/>
        <v>50871.357306745696</v>
      </c>
      <c r="CC322" s="1360">
        <v>10</v>
      </c>
      <c r="CD322" s="1360">
        <v>10</v>
      </c>
      <c r="CE322" s="1360">
        <v>10</v>
      </c>
      <c r="CF322" s="1360">
        <v>10</v>
      </c>
      <c r="CG322" s="1604">
        <f t="shared" si="234"/>
        <v>13743.119684069377</v>
      </c>
      <c r="CH322" s="1604">
        <f t="shared" si="235"/>
        <v>13743.119684069377</v>
      </c>
      <c r="CI322" s="1604">
        <f t="shared" si="236"/>
        <v>13743.119684069377</v>
      </c>
      <c r="CJ322" s="1604">
        <f t="shared" si="237"/>
        <v>13743.119684069377</v>
      </c>
      <c r="CK322" s="1521">
        <f t="shared" si="238"/>
        <v>54972.47873627751</v>
      </c>
      <c r="CL322" s="1132">
        <v>315</v>
      </c>
      <c r="CM322" s="1132" t="s">
        <v>328</v>
      </c>
      <c r="CN322" s="1359">
        <v>1</v>
      </c>
      <c r="CO322" s="1360">
        <v>98.699999999999989</v>
      </c>
      <c r="CP322" s="1360">
        <v>98.699999999999989</v>
      </c>
      <c r="CQ322" s="1360">
        <v>98.699999999999989</v>
      </c>
      <c r="CR322" s="1360">
        <v>98.699999999999989</v>
      </c>
      <c r="CS322" s="1362">
        <f t="shared" si="239"/>
        <v>1116.9996899222704</v>
      </c>
      <c r="CT322" s="1362">
        <f t="shared" si="240"/>
        <v>1116.9996899222704</v>
      </c>
      <c r="CU322" s="1362">
        <f t="shared" si="241"/>
        <v>1116.9996899222704</v>
      </c>
      <c r="CV322" s="1362">
        <f t="shared" si="242"/>
        <v>1116.9996899222704</v>
      </c>
      <c r="CW322" s="1362">
        <f t="shared" si="243"/>
        <v>4467.9987596890815</v>
      </c>
      <c r="CY322" s="2887"/>
    </row>
    <row r="323" spans="1:103" s="1143" customFormat="1" ht="46.5" x14ac:dyDescent="0.35">
      <c r="A323" s="1132" t="s">
        <v>110</v>
      </c>
      <c r="B323" s="1132" t="s">
        <v>814</v>
      </c>
      <c r="C323" s="1132" t="s">
        <v>822</v>
      </c>
      <c r="D323" s="1359" t="s">
        <v>823</v>
      </c>
      <c r="E323" s="1359">
        <v>1</v>
      </c>
      <c r="F323" s="2807" t="s">
        <v>642</v>
      </c>
      <c r="G323" s="1132" t="s">
        <v>356</v>
      </c>
      <c r="H323" s="1360">
        <v>1.1955</v>
      </c>
      <c r="I323" s="1360">
        <v>1.1955</v>
      </c>
      <c r="J323" s="1360">
        <v>1.1955</v>
      </c>
      <c r="K323" s="1360">
        <v>1.1955</v>
      </c>
      <c r="L323" s="1132" t="s">
        <v>643</v>
      </c>
      <c r="M323" s="1132" t="str">
        <f t="shared" si="205"/>
        <v>Nicor Gas PY11-PY14 Adjustable Goals Template_2025-03-01, Tab 5.4.2</v>
      </c>
      <c r="N323" s="1361">
        <v>12.834156295408611</v>
      </c>
      <c r="O323" s="1361">
        <v>12.834156295408611</v>
      </c>
      <c r="P323" s="1361">
        <v>12.834156295408611</v>
      </c>
      <c r="Q323" s="1361">
        <v>12.834156295408611</v>
      </c>
      <c r="R323" s="1781">
        <v>1</v>
      </c>
      <c r="S323" s="1781">
        <v>1</v>
      </c>
      <c r="T323" s="1781">
        <v>1</v>
      </c>
      <c r="U323" s="1781">
        <v>1</v>
      </c>
      <c r="V323" s="1781">
        <v>1</v>
      </c>
      <c r="W323" s="1781">
        <v>1</v>
      </c>
      <c r="X323" s="1781">
        <v>1</v>
      </c>
      <c r="Y323" s="1781">
        <v>1</v>
      </c>
      <c r="Z323" s="1359">
        <v>0</v>
      </c>
      <c r="AA323" s="1781">
        <f t="shared" si="206"/>
        <v>1</v>
      </c>
      <c r="AB323" s="1781">
        <f t="shared" si="207"/>
        <v>1</v>
      </c>
      <c r="AC323" s="1781">
        <f t="shared" si="208"/>
        <v>1</v>
      </c>
      <c r="AD323" s="1781">
        <f t="shared" si="209"/>
        <v>1</v>
      </c>
      <c r="AE323" s="1781">
        <f t="shared" si="210"/>
        <v>1</v>
      </c>
      <c r="AF323" s="1781">
        <f t="shared" si="211"/>
        <v>1</v>
      </c>
      <c r="AG323" s="1781">
        <f t="shared" si="212"/>
        <v>1</v>
      </c>
      <c r="AH323" s="1781">
        <f t="shared" si="213"/>
        <v>1</v>
      </c>
      <c r="AI323" s="1362">
        <f t="shared" si="244"/>
        <v>15.343233851160996</v>
      </c>
      <c r="AJ323" s="1362">
        <f t="shared" si="245"/>
        <v>15.343233851160996</v>
      </c>
      <c r="AK323" s="1362">
        <f t="shared" si="246"/>
        <v>15.343233851160996</v>
      </c>
      <c r="AL323" s="1362">
        <f t="shared" si="247"/>
        <v>15.343233851160996</v>
      </c>
      <c r="AM323" s="1362">
        <f t="shared" si="248"/>
        <v>61.372935404643982</v>
      </c>
      <c r="AN323" s="1132" t="str">
        <f t="shared" si="214"/>
        <v>RS-HWE-GWHT-V08-190101</v>
      </c>
      <c r="AO323" s="1132" t="str">
        <f t="shared" si="215"/>
        <v>Nicor Gas PY11-PY14 Adjustable Goals Template_2025-03-01, Tab 5.4.2</v>
      </c>
      <c r="AP323" s="2568">
        <f>'5.4.2'!$O$6</f>
        <v>13.430673418998024</v>
      </c>
      <c r="AQ323" s="2568" t="s">
        <v>481</v>
      </c>
      <c r="AR323" s="2505">
        <f t="shared" si="216"/>
        <v>16.05637007241214</v>
      </c>
      <c r="AS323" s="2247">
        <f t="shared" si="217"/>
        <v>0.71313622125114406</v>
      </c>
      <c r="AT323" s="1132" t="str">
        <f t="shared" si="218"/>
        <v>RS-HWE-GWHT-V08-190101</v>
      </c>
      <c r="AU323" s="1132" t="str">
        <f t="shared" si="219"/>
        <v>Nicor Gas PY11-PY14 Adjustable Goals Template_2025-03-01, Tab 5.4.2</v>
      </c>
      <c r="AV323" s="2505">
        <f>'5.4.2'!$O$6</f>
        <v>13.430673418998024</v>
      </c>
      <c r="AW323" s="2568" t="s">
        <v>481</v>
      </c>
      <c r="AX323" s="1362">
        <f t="shared" si="220"/>
        <v>16.05637007241214</v>
      </c>
      <c r="AY323" s="1360">
        <f t="shared" si="221"/>
        <v>0.71313622125114406</v>
      </c>
      <c r="AZ323" s="1132" t="str">
        <f t="shared" si="222"/>
        <v>RS-HWE-GWHT-V08-190101</v>
      </c>
      <c r="BA323" s="1132" t="str">
        <f t="shared" si="223"/>
        <v>Nicor Gas PY11-PY14 Adjustable Goals Template_2025-03-01, Tab 5.4.2</v>
      </c>
      <c r="BB323" s="2505">
        <f>'5.4.2'!$O$6</f>
        <v>13.430673418998024</v>
      </c>
      <c r="BC323" s="2568" t="s">
        <v>481</v>
      </c>
      <c r="BD323" s="1362">
        <f t="shared" si="224"/>
        <v>16.05637007241214</v>
      </c>
      <c r="BE323" s="1360">
        <f t="shared" si="225"/>
        <v>0.71313622125114406</v>
      </c>
      <c r="BF323" s="1132" t="str">
        <f t="shared" si="226"/>
        <v>RS-HWE-GWHT-V08-190101</v>
      </c>
      <c r="BG323" s="1132" t="str">
        <f t="shared" si="227"/>
        <v>Nicor Gas PY11-PY14 Adjustable Goals Template_2025-03-01, Tab 5.4.2</v>
      </c>
      <c r="BH323" s="2505">
        <f>'5.4.2'!$O$6</f>
        <v>13.430673418998024</v>
      </c>
      <c r="BI323" s="2568" t="s">
        <v>481</v>
      </c>
      <c r="BJ323" s="1362">
        <f t="shared" si="249"/>
        <v>16.05637007241214</v>
      </c>
      <c r="BK323" s="1360">
        <f t="shared" si="228"/>
        <v>0.71313622125114406</v>
      </c>
      <c r="BL323" s="1601">
        <f t="shared" si="229"/>
        <v>16.05637007241214</v>
      </c>
      <c r="BM323" s="1601">
        <f t="shared" si="230"/>
        <v>16.05637007241214</v>
      </c>
      <c r="BN323" s="1601">
        <f t="shared" si="231"/>
        <v>16.05637007241214</v>
      </c>
      <c r="BO323" s="1601">
        <f t="shared" si="232"/>
        <v>16.05637007241214</v>
      </c>
      <c r="BP323" s="1602">
        <f t="shared" si="233"/>
        <v>64.225480289648559</v>
      </c>
      <c r="BQ323" s="1629"/>
      <c r="BR323" s="1629" t="s">
        <v>642</v>
      </c>
      <c r="BS323" s="1602">
        <v>0</v>
      </c>
      <c r="BT323" s="1602">
        <v>13</v>
      </c>
      <c r="BU323" s="1602">
        <v>13</v>
      </c>
      <c r="BV323" s="1602">
        <v>13</v>
      </c>
      <c r="BW323" s="1602">
        <v>13</v>
      </c>
      <c r="BX323" s="1362">
        <f t="shared" si="250"/>
        <v>199.46204006509294</v>
      </c>
      <c r="BY323" s="1362">
        <f t="shared" si="251"/>
        <v>199.46204006509294</v>
      </c>
      <c r="BZ323" s="1362">
        <f t="shared" si="252"/>
        <v>199.46204006509294</v>
      </c>
      <c r="CA323" s="1362">
        <f t="shared" si="253"/>
        <v>199.46204006509294</v>
      </c>
      <c r="CB323" s="1362">
        <f t="shared" si="254"/>
        <v>797.84816026037174</v>
      </c>
      <c r="CC323" s="1360">
        <v>13</v>
      </c>
      <c r="CD323" s="1360">
        <v>13</v>
      </c>
      <c r="CE323" s="1360">
        <v>13</v>
      </c>
      <c r="CF323" s="1360">
        <v>13</v>
      </c>
      <c r="CG323" s="1604">
        <f t="shared" si="234"/>
        <v>208.73281094135783</v>
      </c>
      <c r="CH323" s="1604">
        <f t="shared" si="235"/>
        <v>208.73281094135783</v>
      </c>
      <c r="CI323" s="1604">
        <f t="shared" si="236"/>
        <v>208.73281094135783</v>
      </c>
      <c r="CJ323" s="1604">
        <f t="shared" si="237"/>
        <v>208.73281094135783</v>
      </c>
      <c r="CK323" s="1521">
        <f t="shared" si="238"/>
        <v>834.9312437654313</v>
      </c>
      <c r="CL323" s="1132">
        <v>316</v>
      </c>
      <c r="CM323" s="1132" t="s">
        <v>356</v>
      </c>
      <c r="CN323" s="1359">
        <v>1</v>
      </c>
      <c r="CO323" s="1360">
        <v>1.0499999999999998</v>
      </c>
      <c r="CP323" s="1360">
        <v>1.0499999999999998</v>
      </c>
      <c r="CQ323" s="1360">
        <v>1.0499999999999998</v>
      </c>
      <c r="CR323" s="1360">
        <v>1.0499999999999998</v>
      </c>
      <c r="CS323" s="1362">
        <f t="shared" si="239"/>
        <v>13.475864110179041</v>
      </c>
      <c r="CT323" s="1362">
        <f t="shared" si="240"/>
        <v>13.475864110179041</v>
      </c>
      <c r="CU323" s="1362">
        <f t="shared" si="241"/>
        <v>13.475864110179041</v>
      </c>
      <c r="CV323" s="1362">
        <f t="shared" si="242"/>
        <v>13.475864110179041</v>
      </c>
      <c r="CW323" s="1362">
        <f t="shared" si="243"/>
        <v>53.903456440716162</v>
      </c>
      <c r="CY323" s="2887"/>
    </row>
    <row r="324" spans="1:103" s="1143" customFormat="1" ht="46.5" x14ac:dyDescent="0.35">
      <c r="A324" s="1132" t="s">
        <v>110</v>
      </c>
      <c r="B324" s="1132" t="s">
        <v>814</v>
      </c>
      <c r="C324" s="1132" t="s">
        <v>669</v>
      </c>
      <c r="D324" s="1359" t="s">
        <v>670</v>
      </c>
      <c r="E324" s="1359">
        <v>1</v>
      </c>
      <c r="F324" s="2564" t="s">
        <v>671</v>
      </c>
      <c r="G324" s="1132" t="s">
        <v>328</v>
      </c>
      <c r="H324" s="1360">
        <v>89.662500000000009</v>
      </c>
      <c r="I324" s="1360">
        <v>89.662500000000009</v>
      </c>
      <c r="J324" s="1360">
        <v>89.662500000000009</v>
      </c>
      <c r="K324" s="1360">
        <v>89.662500000000009</v>
      </c>
      <c r="L324" s="1132" t="s">
        <v>672</v>
      </c>
      <c r="M324" s="1132" t="str">
        <f t="shared" si="205"/>
        <v>Nicor Gas PY11-PY14 Adjustable Goals Template_2025-03-01, Tab 5.3.4</v>
      </c>
      <c r="N324" s="1361">
        <v>126.70426992521378</v>
      </c>
      <c r="O324" s="1361">
        <v>126.70426992521378</v>
      </c>
      <c r="P324" s="1361">
        <v>126.70426992521378</v>
      </c>
      <c r="Q324" s="1361">
        <v>126.70426992521378</v>
      </c>
      <c r="R324" s="1781">
        <v>1</v>
      </c>
      <c r="S324" s="1781">
        <v>1</v>
      </c>
      <c r="T324" s="1781">
        <v>1</v>
      </c>
      <c r="U324" s="1781">
        <v>1</v>
      </c>
      <c r="V324" s="1781">
        <v>1</v>
      </c>
      <c r="W324" s="1781">
        <v>1</v>
      </c>
      <c r="X324" s="1781">
        <v>1</v>
      </c>
      <c r="Y324" s="1781">
        <v>1</v>
      </c>
      <c r="Z324" s="1359">
        <v>0</v>
      </c>
      <c r="AA324" s="1781">
        <f t="shared" si="206"/>
        <v>1</v>
      </c>
      <c r="AB324" s="1781">
        <f t="shared" si="207"/>
        <v>1</v>
      </c>
      <c r="AC324" s="1781">
        <f t="shared" si="208"/>
        <v>1</v>
      </c>
      <c r="AD324" s="1781">
        <f t="shared" si="209"/>
        <v>1</v>
      </c>
      <c r="AE324" s="1781">
        <f t="shared" si="210"/>
        <v>1</v>
      </c>
      <c r="AF324" s="1781">
        <f t="shared" si="211"/>
        <v>1</v>
      </c>
      <c r="AG324" s="1781">
        <f t="shared" si="212"/>
        <v>1</v>
      </c>
      <c r="AH324" s="1781">
        <f t="shared" si="213"/>
        <v>1</v>
      </c>
      <c r="AI324" s="1362">
        <f t="shared" si="244"/>
        <v>11360.621602169482</v>
      </c>
      <c r="AJ324" s="1362">
        <f t="shared" si="245"/>
        <v>11360.621602169482</v>
      </c>
      <c r="AK324" s="1362">
        <f t="shared" si="246"/>
        <v>11360.621602169482</v>
      </c>
      <c r="AL324" s="1362">
        <f t="shared" si="247"/>
        <v>11360.621602169482</v>
      </c>
      <c r="AM324" s="1362">
        <f t="shared" si="248"/>
        <v>45442.486408677927</v>
      </c>
      <c r="AN324" s="1132" t="str">
        <f t="shared" si="214"/>
        <v>RS-HVC-DINS-V07-190101</v>
      </c>
      <c r="AO324" s="1132" t="str">
        <f t="shared" si="215"/>
        <v>Nicor Gas PY11-PY14 Adjustable Goals Template_2025-03-01, Tab 5.3.4</v>
      </c>
      <c r="AP324" s="2505">
        <f>'5.3.4'!$T$6</f>
        <v>126.70426992521378</v>
      </c>
      <c r="AQ324" s="2505"/>
      <c r="AR324" s="2505">
        <f t="shared" si="216"/>
        <v>11360.621602169482</v>
      </c>
      <c r="AS324" s="2505">
        <f t="shared" si="217"/>
        <v>0</v>
      </c>
      <c r="AT324" s="1132" t="str">
        <f t="shared" si="218"/>
        <v>RS-HVC-DINS-V07-190101</v>
      </c>
      <c r="AU324" s="1132" t="str">
        <f t="shared" si="219"/>
        <v>Nicor Gas PY11-PY14 Adjustable Goals Template_2025-03-01, Tab 5.3.4</v>
      </c>
      <c r="AV324" s="2505">
        <f>'5.3.4'!$T$6</f>
        <v>126.70426992521378</v>
      </c>
      <c r="AW324" s="2505"/>
      <c r="AX324" s="1362">
        <f t="shared" si="220"/>
        <v>11360.621602169482</v>
      </c>
      <c r="AY324" s="1360">
        <f t="shared" si="221"/>
        <v>0</v>
      </c>
      <c r="AZ324" s="1132" t="str">
        <f t="shared" si="222"/>
        <v>RS-HVC-DINS-V07-190101</v>
      </c>
      <c r="BA324" s="1132" t="str">
        <f t="shared" si="223"/>
        <v>Nicor Gas PY11-PY14 Adjustable Goals Template_2025-03-01, Tab 5.3.4</v>
      </c>
      <c r="BB324" s="2505">
        <f>'5.3.4'!$T$6</f>
        <v>126.70426992521378</v>
      </c>
      <c r="BC324" s="2505"/>
      <c r="BD324" s="1362">
        <f t="shared" si="224"/>
        <v>11360.621602169482</v>
      </c>
      <c r="BE324" s="1360">
        <f t="shared" si="225"/>
        <v>0</v>
      </c>
      <c r="BF324" s="1132" t="str">
        <f t="shared" si="226"/>
        <v>RS-HVC-DINS-V07-190101</v>
      </c>
      <c r="BG324" s="1132" t="str">
        <f t="shared" si="227"/>
        <v>Nicor Gas PY11-PY14 Adjustable Goals Template_2025-03-01, Tab 5.3.4</v>
      </c>
      <c r="BH324" s="2505">
        <f>'5.3.4'!$T$6</f>
        <v>126.70426992521378</v>
      </c>
      <c r="BI324" s="2505"/>
      <c r="BJ324" s="1362">
        <f t="shared" si="249"/>
        <v>11360.621602169482</v>
      </c>
      <c r="BK324" s="1360">
        <f t="shared" si="228"/>
        <v>0</v>
      </c>
      <c r="BL324" s="1601">
        <f t="shared" si="229"/>
        <v>11360.621602169482</v>
      </c>
      <c r="BM324" s="1601">
        <f t="shared" si="230"/>
        <v>11360.621602169482</v>
      </c>
      <c r="BN324" s="1601">
        <f t="shared" si="231"/>
        <v>11360.621602169482</v>
      </c>
      <c r="BO324" s="1601">
        <f t="shared" si="232"/>
        <v>11360.621602169482</v>
      </c>
      <c r="BP324" s="1602">
        <f t="shared" si="233"/>
        <v>45442.486408677927</v>
      </c>
      <c r="BQ324" s="1629"/>
      <c r="BR324" s="1629" t="s">
        <v>671</v>
      </c>
      <c r="BS324" s="2773">
        <v>1</v>
      </c>
      <c r="BT324" s="1602">
        <v>18.512820512820507</v>
      </c>
      <c r="BU324" s="1602">
        <v>18.512820512820507</v>
      </c>
      <c r="BV324" s="1602">
        <v>18.512820512820507</v>
      </c>
      <c r="BW324" s="1602">
        <v>18.512820512820507</v>
      </c>
      <c r="BX324" s="1362">
        <f t="shared" si="250"/>
        <v>210317.14863503497</v>
      </c>
      <c r="BY324" s="1362">
        <f t="shared" si="251"/>
        <v>210317.14863503497</v>
      </c>
      <c r="BZ324" s="1362">
        <f t="shared" si="252"/>
        <v>210317.14863503497</v>
      </c>
      <c r="CA324" s="1362">
        <f t="shared" si="253"/>
        <v>210317.14863503497</v>
      </c>
      <c r="CB324" s="1362">
        <f t="shared" si="254"/>
        <v>841268.59454013989</v>
      </c>
      <c r="CC324" s="2775">
        <v>20</v>
      </c>
      <c r="CD324" s="2775">
        <v>20</v>
      </c>
      <c r="CE324" s="2775">
        <v>20</v>
      </c>
      <c r="CF324" s="2775">
        <v>20</v>
      </c>
      <c r="CG324" s="1604">
        <f t="shared" si="234"/>
        <v>227212.43204338965</v>
      </c>
      <c r="CH324" s="1604">
        <f t="shared" si="235"/>
        <v>227212.43204338965</v>
      </c>
      <c r="CI324" s="1604">
        <f t="shared" si="236"/>
        <v>227212.43204338965</v>
      </c>
      <c r="CJ324" s="1604">
        <f t="shared" si="237"/>
        <v>227212.43204338965</v>
      </c>
      <c r="CK324" s="1521">
        <f t="shared" si="238"/>
        <v>908849.7281735586</v>
      </c>
      <c r="CL324" s="1132">
        <v>317</v>
      </c>
      <c r="CM324" s="1132" t="s">
        <v>328</v>
      </c>
      <c r="CN324" s="1359">
        <v>1</v>
      </c>
      <c r="CO324" s="1360">
        <v>78.75</v>
      </c>
      <c r="CP324" s="1360">
        <v>78.75</v>
      </c>
      <c r="CQ324" s="1360">
        <v>78.75</v>
      </c>
      <c r="CR324" s="1360">
        <v>78.75</v>
      </c>
      <c r="CS324" s="1362">
        <f t="shared" si="239"/>
        <v>9977.9612566105843</v>
      </c>
      <c r="CT324" s="1362">
        <f t="shared" si="240"/>
        <v>9977.9612566105843</v>
      </c>
      <c r="CU324" s="1362">
        <f t="shared" si="241"/>
        <v>9977.9612566105843</v>
      </c>
      <c r="CV324" s="1362">
        <f t="shared" si="242"/>
        <v>9977.9612566105843</v>
      </c>
      <c r="CW324" s="1362">
        <f t="shared" si="243"/>
        <v>39911.845026442337</v>
      </c>
      <c r="CY324" s="2887"/>
    </row>
    <row r="325" spans="1:103" s="1143" customFormat="1" ht="46.5" x14ac:dyDescent="0.35">
      <c r="A325" s="1132" t="s">
        <v>110</v>
      </c>
      <c r="B325" s="1132" t="s">
        <v>814</v>
      </c>
      <c r="C325" s="1132" t="s">
        <v>733</v>
      </c>
      <c r="D325" s="1359" t="s">
        <v>734</v>
      </c>
      <c r="E325" s="1359">
        <v>1</v>
      </c>
      <c r="F325" s="2564" t="s">
        <v>655</v>
      </c>
      <c r="G325" s="1132" t="s">
        <v>328</v>
      </c>
      <c r="H325" s="1360">
        <v>81.294000000000025</v>
      </c>
      <c r="I325" s="1360">
        <v>81.294000000000025</v>
      </c>
      <c r="J325" s="1360">
        <v>81.294000000000025</v>
      </c>
      <c r="K325" s="1360">
        <v>81.294000000000025</v>
      </c>
      <c r="L325" s="1132" t="s">
        <v>656</v>
      </c>
      <c r="M325" s="1132" t="str">
        <f t="shared" si="205"/>
        <v>Nicor Gas PY11-PY14 Adjustable Goals Template_2025-03-01, Tab 5.6.1</v>
      </c>
      <c r="N325" s="1361">
        <v>166.94873030176103</v>
      </c>
      <c r="O325" s="1361">
        <v>166.94873030176103</v>
      </c>
      <c r="P325" s="1361">
        <v>166.94873030176103</v>
      </c>
      <c r="Q325" s="1361">
        <v>166.94873030176103</v>
      </c>
      <c r="R325" s="1781">
        <v>1</v>
      </c>
      <c r="S325" s="1781">
        <v>1</v>
      </c>
      <c r="T325" s="1781">
        <v>1</v>
      </c>
      <c r="U325" s="1781">
        <v>1</v>
      </c>
      <c r="V325" s="1781">
        <v>1</v>
      </c>
      <c r="W325" s="1781">
        <v>1</v>
      </c>
      <c r="X325" s="1781">
        <v>1</v>
      </c>
      <c r="Y325" s="1781">
        <v>1</v>
      </c>
      <c r="Z325" s="1359">
        <v>0</v>
      </c>
      <c r="AA325" s="1781">
        <f t="shared" si="206"/>
        <v>1</v>
      </c>
      <c r="AB325" s="1781">
        <f t="shared" si="207"/>
        <v>1</v>
      </c>
      <c r="AC325" s="1781">
        <f t="shared" si="208"/>
        <v>1</v>
      </c>
      <c r="AD325" s="1781">
        <f t="shared" si="209"/>
        <v>1</v>
      </c>
      <c r="AE325" s="1781">
        <f t="shared" si="210"/>
        <v>1</v>
      </c>
      <c r="AF325" s="1781">
        <f t="shared" si="211"/>
        <v>1</v>
      </c>
      <c r="AG325" s="1781">
        <f t="shared" si="212"/>
        <v>1</v>
      </c>
      <c r="AH325" s="1781">
        <f t="shared" si="213"/>
        <v>1</v>
      </c>
      <c r="AI325" s="1362">
        <f t="shared" si="244"/>
        <v>13571.930081151366</v>
      </c>
      <c r="AJ325" s="1362">
        <f t="shared" si="245"/>
        <v>13571.930081151366</v>
      </c>
      <c r="AK325" s="1362">
        <f t="shared" si="246"/>
        <v>13571.930081151366</v>
      </c>
      <c r="AL325" s="1362">
        <f t="shared" si="247"/>
        <v>13571.930081151366</v>
      </c>
      <c r="AM325" s="1362">
        <f t="shared" si="248"/>
        <v>54287.720324605463</v>
      </c>
      <c r="AN325" s="1132" t="str">
        <f t="shared" si="214"/>
        <v>RS-SHL-AIRS-V07-190101</v>
      </c>
      <c r="AO325" s="1132" t="str">
        <f t="shared" si="215"/>
        <v>Nicor Gas PY11-PY14 Adjustable Goals Template_2025-03-01, Tab 5.6.1</v>
      </c>
      <c r="AP325" s="2247">
        <f>'5.6.1'!$V$12</f>
        <v>166.94873030176103</v>
      </c>
      <c r="AQ325" s="2505"/>
      <c r="AR325" s="2505">
        <f t="shared" si="216"/>
        <v>13571.930081151366</v>
      </c>
      <c r="AS325" s="2505">
        <f t="shared" si="217"/>
        <v>0</v>
      </c>
      <c r="AT325" s="1132" t="str">
        <f t="shared" si="218"/>
        <v>RS-SHL-AIRS-V07-190101</v>
      </c>
      <c r="AU325" s="1132" t="str">
        <f t="shared" si="219"/>
        <v>Nicor Gas PY11-PY14 Adjustable Goals Template_2025-03-01, Tab 5.6.1</v>
      </c>
      <c r="AV325" s="2247">
        <f>'5.6.1'!$V$12</f>
        <v>166.94873030176103</v>
      </c>
      <c r="AW325" s="2505"/>
      <c r="AX325" s="1362">
        <f t="shared" si="220"/>
        <v>13571.930081151366</v>
      </c>
      <c r="AY325" s="1360">
        <f t="shared" si="221"/>
        <v>0</v>
      </c>
      <c r="AZ325" s="1132" t="str">
        <f t="shared" si="222"/>
        <v>RS-SHL-AIRS-V07-190101</v>
      </c>
      <c r="BA325" s="1132" t="str">
        <f t="shared" si="223"/>
        <v>Nicor Gas PY11-PY14 Adjustable Goals Template_2025-03-01, Tab 5.6.1</v>
      </c>
      <c r="BB325" s="2247">
        <f>'5.6.1'!$V$12</f>
        <v>166.94873030176103</v>
      </c>
      <c r="BC325" s="2505"/>
      <c r="BD325" s="1362">
        <f t="shared" si="224"/>
        <v>13571.930081151366</v>
      </c>
      <c r="BE325" s="1360">
        <f t="shared" si="225"/>
        <v>0</v>
      </c>
      <c r="BF325" s="1132" t="str">
        <f t="shared" si="226"/>
        <v>RS-SHL-AIRS-V07-190101</v>
      </c>
      <c r="BG325" s="1132" t="str">
        <f t="shared" si="227"/>
        <v>Nicor Gas PY11-PY14 Adjustable Goals Template_2025-03-01, Tab 5.6.1</v>
      </c>
      <c r="BH325" s="2247">
        <f>'5.6.1'!$V$12</f>
        <v>166.94873030176103</v>
      </c>
      <c r="BI325" s="2505"/>
      <c r="BJ325" s="1362">
        <f t="shared" si="249"/>
        <v>13571.930081151366</v>
      </c>
      <c r="BK325" s="1360">
        <f t="shared" si="228"/>
        <v>0</v>
      </c>
      <c r="BL325" s="1601">
        <f t="shared" si="229"/>
        <v>13571.930081151366</v>
      </c>
      <c r="BM325" s="1601">
        <f t="shared" si="230"/>
        <v>13571.930081151366</v>
      </c>
      <c r="BN325" s="1601">
        <f t="shared" si="231"/>
        <v>13571.930081151366</v>
      </c>
      <c r="BO325" s="1601">
        <f t="shared" si="232"/>
        <v>13571.930081151366</v>
      </c>
      <c r="BP325" s="1602">
        <f t="shared" si="233"/>
        <v>54287.720324605463</v>
      </c>
      <c r="BQ325" s="1629"/>
      <c r="BR325" s="1629" t="s">
        <v>655</v>
      </c>
      <c r="BS325" s="2773">
        <v>1</v>
      </c>
      <c r="BT325" s="1602">
        <v>19.411764705882355</v>
      </c>
      <c r="BU325" s="1602">
        <v>19.411764705882355</v>
      </c>
      <c r="BV325" s="1602">
        <v>19.411764705882355</v>
      </c>
      <c r="BW325" s="1602">
        <v>19.411764705882355</v>
      </c>
      <c r="BX325" s="1362">
        <f t="shared" si="250"/>
        <v>263455.11333999713</v>
      </c>
      <c r="BY325" s="1362">
        <f t="shared" si="251"/>
        <v>263455.11333999713</v>
      </c>
      <c r="BZ325" s="1362">
        <f t="shared" si="252"/>
        <v>263455.11333999713</v>
      </c>
      <c r="CA325" s="1362">
        <f t="shared" si="253"/>
        <v>263455.11333999713</v>
      </c>
      <c r="CB325" s="1362">
        <f t="shared" si="254"/>
        <v>1053820.4533599885</v>
      </c>
      <c r="CC325" s="2775">
        <v>20</v>
      </c>
      <c r="CD325" s="2775">
        <v>20</v>
      </c>
      <c r="CE325" s="2775">
        <v>20</v>
      </c>
      <c r="CF325" s="2775">
        <v>20</v>
      </c>
      <c r="CG325" s="1604">
        <f t="shared" si="234"/>
        <v>271438.60162302729</v>
      </c>
      <c r="CH325" s="1604">
        <f t="shared" si="235"/>
        <v>271438.60162302729</v>
      </c>
      <c r="CI325" s="1604">
        <f t="shared" si="236"/>
        <v>271438.60162302729</v>
      </c>
      <c r="CJ325" s="1604">
        <f t="shared" si="237"/>
        <v>271438.60162302729</v>
      </c>
      <c r="CK325" s="1521">
        <f t="shared" si="238"/>
        <v>1085754.4064921092</v>
      </c>
      <c r="CL325" s="1132">
        <v>318</v>
      </c>
      <c r="CM325" s="1132" t="s">
        <v>328</v>
      </c>
      <c r="CN325" s="1359">
        <v>1</v>
      </c>
      <c r="CO325" s="1360">
        <v>71.40000000000002</v>
      </c>
      <c r="CP325" s="1360">
        <v>71.40000000000002</v>
      </c>
      <c r="CQ325" s="1360">
        <v>71.40000000000002</v>
      </c>
      <c r="CR325" s="1360">
        <v>71.40000000000002</v>
      </c>
      <c r="CS325" s="1362">
        <f t="shared" si="239"/>
        <v>11920.139343545741</v>
      </c>
      <c r="CT325" s="1362">
        <f t="shared" si="240"/>
        <v>11920.139343545741</v>
      </c>
      <c r="CU325" s="1362">
        <f t="shared" si="241"/>
        <v>11920.139343545741</v>
      </c>
      <c r="CV325" s="1362">
        <f t="shared" si="242"/>
        <v>11920.139343545741</v>
      </c>
      <c r="CW325" s="1362">
        <f t="shared" si="243"/>
        <v>47680.557374182965</v>
      </c>
      <c r="CY325" s="2887"/>
    </row>
    <row r="326" spans="1:103" s="1143" customFormat="1" ht="46.5" x14ac:dyDescent="0.35">
      <c r="A326" s="1132" t="s">
        <v>110</v>
      </c>
      <c r="B326" s="1132" t="s">
        <v>814</v>
      </c>
      <c r="C326" s="1132" t="s">
        <v>824</v>
      </c>
      <c r="D326" s="1359" t="s">
        <v>825</v>
      </c>
      <c r="E326" s="1359">
        <v>1</v>
      </c>
      <c r="F326" s="2564" t="s">
        <v>659</v>
      </c>
      <c r="G326" s="1132" t="s">
        <v>328</v>
      </c>
      <c r="H326" s="1360">
        <v>81.294000000000025</v>
      </c>
      <c r="I326" s="1360">
        <v>81.294000000000025</v>
      </c>
      <c r="J326" s="1360">
        <v>81.294000000000025</v>
      </c>
      <c r="K326" s="1360">
        <v>81.294000000000025</v>
      </c>
      <c r="L326" s="1132" t="s">
        <v>660</v>
      </c>
      <c r="M326" s="1132" t="str">
        <f t="shared" si="205"/>
        <v>Nicor Gas PY11-PY14 Adjustable Goals Template_2025-03-01, Tab 5.6.5</v>
      </c>
      <c r="N326" s="1361">
        <v>276.68068117847861</v>
      </c>
      <c r="O326" s="1361">
        <v>276.68068117847861</v>
      </c>
      <c r="P326" s="1361">
        <v>276.68068117847861</v>
      </c>
      <c r="Q326" s="1361">
        <v>276.68068117847861</v>
      </c>
      <c r="R326" s="1781">
        <v>1</v>
      </c>
      <c r="S326" s="1781">
        <v>1</v>
      </c>
      <c r="T326" s="1781">
        <v>1</v>
      </c>
      <c r="U326" s="1781">
        <v>1</v>
      </c>
      <c r="V326" s="1781">
        <v>1</v>
      </c>
      <c r="W326" s="1781">
        <v>1</v>
      </c>
      <c r="X326" s="1781">
        <v>1</v>
      </c>
      <c r="Y326" s="1781">
        <v>1</v>
      </c>
      <c r="Z326" s="1359">
        <v>0</v>
      </c>
      <c r="AA326" s="1781">
        <f t="shared" si="206"/>
        <v>1</v>
      </c>
      <c r="AB326" s="1781">
        <f t="shared" si="207"/>
        <v>1</v>
      </c>
      <c r="AC326" s="1781">
        <f t="shared" si="208"/>
        <v>1</v>
      </c>
      <c r="AD326" s="1781">
        <f t="shared" si="209"/>
        <v>1</v>
      </c>
      <c r="AE326" s="1781">
        <f t="shared" si="210"/>
        <v>1</v>
      </c>
      <c r="AF326" s="1781">
        <f t="shared" si="211"/>
        <v>1</v>
      </c>
      <c r="AG326" s="1781">
        <f t="shared" si="212"/>
        <v>1</v>
      </c>
      <c r="AH326" s="1781">
        <f t="shared" si="213"/>
        <v>1</v>
      </c>
      <c r="AI326" s="1362">
        <f t="shared" si="244"/>
        <v>22492.479295723246</v>
      </c>
      <c r="AJ326" s="1362">
        <f t="shared" si="245"/>
        <v>22492.479295723246</v>
      </c>
      <c r="AK326" s="1362">
        <f t="shared" si="246"/>
        <v>22492.479295723246</v>
      </c>
      <c r="AL326" s="1362">
        <f t="shared" si="247"/>
        <v>22492.479295723246</v>
      </c>
      <c r="AM326" s="1362">
        <f t="shared" si="248"/>
        <v>89969.917182892983</v>
      </c>
      <c r="AN326" s="1132" t="str">
        <f t="shared" si="214"/>
        <v>RS-SHL-AINS-V07-180101</v>
      </c>
      <c r="AO326" s="1132" t="str">
        <f t="shared" si="215"/>
        <v>Nicor Gas PY11-PY14 Adjustable Goals Template_2025-03-01, Tab 5.6.5</v>
      </c>
      <c r="AP326" s="2505">
        <f>'5.6.4&amp;5.6.5'!$X$17</f>
        <v>276.68068117847861</v>
      </c>
      <c r="AQ326" s="2505"/>
      <c r="AR326" s="2505">
        <f t="shared" si="216"/>
        <v>22492.479295723246</v>
      </c>
      <c r="AS326" s="2505">
        <f t="shared" si="217"/>
        <v>0</v>
      </c>
      <c r="AT326" s="1132" t="str">
        <f t="shared" si="218"/>
        <v>RS-SHL-AINS-V07-180101</v>
      </c>
      <c r="AU326" s="1132" t="str">
        <f t="shared" si="219"/>
        <v>Nicor Gas PY11-PY14 Adjustable Goals Template_2025-03-01, Tab 5.6.5</v>
      </c>
      <c r="AV326" s="2505">
        <f>'5.6.4&amp;5.6.5'!$X$17</f>
        <v>276.68068117847861</v>
      </c>
      <c r="AW326" s="2505"/>
      <c r="AX326" s="1362">
        <f t="shared" si="220"/>
        <v>22492.479295723246</v>
      </c>
      <c r="AY326" s="1360">
        <f t="shared" si="221"/>
        <v>0</v>
      </c>
      <c r="AZ326" s="1132" t="str">
        <f t="shared" si="222"/>
        <v>RS-SHL-AINS-V07-180101</v>
      </c>
      <c r="BA326" s="1132" t="str">
        <f t="shared" si="223"/>
        <v>Nicor Gas PY11-PY14 Adjustable Goals Template_2025-03-01, Tab 5.6.5</v>
      </c>
      <c r="BB326" s="2505">
        <f>'5.6.4&amp;5.6.5'!$X$17</f>
        <v>276.68068117847861</v>
      </c>
      <c r="BC326" s="2505"/>
      <c r="BD326" s="1362">
        <f t="shared" si="224"/>
        <v>22492.479295723246</v>
      </c>
      <c r="BE326" s="1360">
        <f t="shared" si="225"/>
        <v>0</v>
      </c>
      <c r="BF326" s="1132" t="str">
        <f t="shared" si="226"/>
        <v>RS-SHL-AINS-V07-180101</v>
      </c>
      <c r="BG326" s="1132" t="str">
        <f t="shared" si="227"/>
        <v>Nicor Gas PY11-PY14 Adjustable Goals Template_2025-03-01, Tab 5.6.5</v>
      </c>
      <c r="BH326" s="2505">
        <f>'5.6.4&amp;5.6.5'!$X$17</f>
        <v>276.68068117847861</v>
      </c>
      <c r="BI326" s="2505"/>
      <c r="BJ326" s="1362">
        <f t="shared" si="249"/>
        <v>22492.479295723246</v>
      </c>
      <c r="BK326" s="1360">
        <f t="shared" si="228"/>
        <v>0</v>
      </c>
      <c r="BL326" s="1601">
        <f t="shared" si="229"/>
        <v>22492.479295723246</v>
      </c>
      <c r="BM326" s="1601">
        <f t="shared" si="230"/>
        <v>22492.479295723246</v>
      </c>
      <c r="BN326" s="1601">
        <f t="shared" si="231"/>
        <v>22492.479295723246</v>
      </c>
      <c r="BO326" s="1601">
        <f t="shared" si="232"/>
        <v>22492.479295723246</v>
      </c>
      <c r="BP326" s="1602">
        <f t="shared" si="233"/>
        <v>89969.917182892983</v>
      </c>
      <c r="BQ326" s="1629"/>
      <c r="BR326" s="1629" t="s">
        <v>659</v>
      </c>
      <c r="BS326" s="2773">
        <v>1</v>
      </c>
      <c r="BT326" s="1602">
        <v>19.411764705882355</v>
      </c>
      <c r="BU326" s="1602">
        <v>19.411764705882355</v>
      </c>
      <c r="BV326" s="1602">
        <v>19.411764705882355</v>
      </c>
      <c r="BW326" s="1602">
        <v>19.411764705882355</v>
      </c>
      <c r="BX326" s="1362">
        <f t="shared" si="250"/>
        <v>436618.71574051009</v>
      </c>
      <c r="BY326" s="1362">
        <f t="shared" si="251"/>
        <v>436618.71574051009</v>
      </c>
      <c r="BZ326" s="1362">
        <f t="shared" si="252"/>
        <v>436618.71574051009</v>
      </c>
      <c r="CA326" s="1362">
        <f t="shared" si="253"/>
        <v>436618.71574051009</v>
      </c>
      <c r="CB326" s="1362">
        <f t="shared" si="254"/>
        <v>1746474.8629620404</v>
      </c>
      <c r="CC326" s="2775">
        <v>20</v>
      </c>
      <c r="CD326" s="2775">
        <v>20</v>
      </c>
      <c r="CE326" s="2775">
        <v>20</v>
      </c>
      <c r="CF326" s="2775">
        <v>20</v>
      </c>
      <c r="CG326" s="1604">
        <f t="shared" si="234"/>
        <v>449849.5859144649</v>
      </c>
      <c r="CH326" s="1604">
        <f t="shared" si="235"/>
        <v>449849.5859144649</v>
      </c>
      <c r="CI326" s="1604">
        <f t="shared" si="236"/>
        <v>449849.5859144649</v>
      </c>
      <c r="CJ326" s="1604">
        <f t="shared" si="237"/>
        <v>449849.5859144649</v>
      </c>
      <c r="CK326" s="1521">
        <f t="shared" si="238"/>
        <v>1799398.3436578596</v>
      </c>
      <c r="CL326" s="1132">
        <v>319</v>
      </c>
      <c r="CM326" s="1132" t="s">
        <v>328</v>
      </c>
      <c r="CN326" s="1359">
        <v>1</v>
      </c>
      <c r="CO326" s="1360">
        <v>71.40000000000002</v>
      </c>
      <c r="CP326" s="1360">
        <v>71.40000000000002</v>
      </c>
      <c r="CQ326" s="1360">
        <v>71.40000000000002</v>
      </c>
      <c r="CR326" s="1360">
        <v>71.40000000000002</v>
      </c>
      <c r="CS326" s="1362">
        <f t="shared" si="239"/>
        <v>19755.000636143377</v>
      </c>
      <c r="CT326" s="1362">
        <f t="shared" si="240"/>
        <v>19755.000636143377</v>
      </c>
      <c r="CU326" s="1362">
        <f t="shared" si="241"/>
        <v>19755.000636143377</v>
      </c>
      <c r="CV326" s="1362">
        <f t="shared" si="242"/>
        <v>19755.000636143377</v>
      </c>
      <c r="CW326" s="1362">
        <f t="shared" si="243"/>
        <v>79020.002544573508</v>
      </c>
      <c r="CY326" s="2887"/>
    </row>
    <row r="327" spans="1:103" s="1143" customFormat="1" ht="46.5" x14ac:dyDescent="0.35">
      <c r="A327" s="1132" t="s">
        <v>110</v>
      </c>
      <c r="B327" s="1132" t="s">
        <v>814</v>
      </c>
      <c r="C327" s="1132" t="s">
        <v>826</v>
      </c>
      <c r="D327" s="1359" t="s">
        <v>827</v>
      </c>
      <c r="E327" s="1359">
        <v>1</v>
      </c>
      <c r="F327" s="2564" t="s">
        <v>828</v>
      </c>
      <c r="G327" s="1132" t="s">
        <v>328</v>
      </c>
      <c r="H327" s="1360">
        <v>12.401752609603342</v>
      </c>
      <c r="I327" s="1360">
        <v>12.401752609603342</v>
      </c>
      <c r="J327" s="1360">
        <v>12.401752609603342</v>
      </c>
      <c r="K327" s="1360">
        <v>12.401752609603342</v>
      </c>
      <c r="L327" s="1132" t="s">
        <v>829</v>
      </c>
      <c r="M327" s="1132" t="str">
        <f t="shared" si="205"/>
        <v>Nicor Gas PY11-PY14 Adjustable Goals Template_2025-03-01, Tab 5.6.3</v>
      </c>
      <c r="N327" s="1361">
        <v>68.676057718385039</v>
      </c>
      <c r="O327" s="1361">
        <v>68.676057718385039</v>
      </c>
      <c r="P327" s="1361">
        <v>68.676057718385039</v>
      </c>
      <c r="Q327" s="1361">
        <v>68.676057718385039</v>
      </c>
      <c r="R327" s="1781">
        <v>1</v>
      </c>
      <c r="S327" s="1781">
        <v>1</v>
      </c>
      <c r="T327" s="1781">
        <v>1</v>
      </c>
      <c r="U327" s="1781">
        <v>1</v>
      </c>
      <c r="V327" s="1781">
        <v>1</v>
      </c>
      <c r="W327" s="1781">
        <v>1</v>
      </c>
      <c r="X327" s="1781">
        <v>1</v>
      </c>
      <c r="Y327" s="1781">
        <v>1</v>
      </c>
      <c r="Z327" s="1359">
        <v>0</v>
      </c>
      <c r="AA327" s="1781">
        <f t="shared" si="206"/>
        <v>1</v>
      </c>
      <c r="AB327" s="1781">
        <f t="shared" si="207"/>
        <v>1</v>
      </c>
      <c r="AC327" s="1781">
        <f t="shared" si="208"/>
        <v>1</v>
      </c>
      <c r="AD327" s="1781">
        <f t="shared" si="209"/>
        <v>1</v>
      </c>
      <c r="AE327" s="1781">
        <f t="shared" si="210"/>
        <v>1</v>
      </c>
      <c r="AF327" s="1781">
        <f t="shared" si="211"/>
        <v>1</v>
      </c>
      <c r="AG327" s="1781">
        <f t="shared" si="212"/>
        <v>1</v>
      </c>
      <c r="AH327" s="1781">
        <f t="shared" si="213"/>
        <v>1</v>
      </c>
      <c r="AI327" s="1362">
        <f t="shared" si="244"/>
        <v>851.70347802625145</v>
      </c>
      <c r="AJ327" s="1362">
        <f t="shared" si="245"/>
        <v>851.70347802625145</v>
      </c>
      <c r="AK327" s="1362">
        <f t="shared" si="246"/>
        <v>851.70347802625145</v>
      </c>
      <c r="AL327" s="1362">
        <f t="shared" si="247"/>
        <v>851.70347802625145</v>
      </c>
      <c r="AM327" s="1362">
        <f t="shared" si="248"/>
        <v>3406.8139121050058</v>
      </c>
      <c r="AN327" s="1132" t="str">
        <f t="shared" si="214"/>
        <v>RS-SHL-FINS-V09-190101</v>
      </c>
      <c r="AO327" s="1132" t="str">
        <f t="shared" si="215"/>
        <v>Nicor Gas PY11-PY14 Adjustable Goals Template_2025-03-01, Tab 5.6.3</v>
      </c>
      <c r="AP327" s="2505">
        <f>'5.6.3'!$T$5</f>
        <v>68.676057718385039</v>
      </c>
      <c r="AQ327" s="2505"/>
      <c r="AR327" s="2505">
        <f t="shared" si="216"/>
        <v>851.70347802625145</v>
      </c>
      <c r="AS327" s="2505">
        <f t="shared" si="217"/>
        <v>0</v>
      </c>
      <c r="AT327" s="1132" t="str">
        <f t="shared" si="218"/>
        <v>RS-SHL-FINS-V09-190101</v>
      </c>
      <c r="AU327" s="1132" t="str">
        <f t="shared" si="219"/>
        <v>Nicor Gas PY11-PY14 Adjustable Goals Template_2025-03-01, Tab 5.6.3</v>
      </c>
      <c r="AV327" s="2505">
        <f>'5.6.3'!$T$5</f>
        <v>68.676057718385039</v>
      </c>
      <c r="AW327" s="2505"/>
      <c r="AX327" s="1362">
        <f t="shared" si="220"/>
        <v>851.70347802625145</v>
      </c>
      <c r="AY327" s="1360">
        <f t="shared" si="221"/>
        <v>0</v>
      </c>
      <c r="AZ327" s="1132" t="str">
        <f t="shared" si="222"/>
        <v>RS-SHL-FINS-V09-190101</v>
      </c>
      <c r="BA327" s="1132" t="str">
        <f t="shared" si="223"/>
        <v>Nicor Gas PY11-PY14 Adjustable Goals Template_2025-03-01, Tab 5.6.3</v>
      </c>
      <c r="BB327" s="2505">
        <f>'5.6.3'!$T$5</f>
        <v>68.676057718385039</v>
      </c>
      <c r="BC327" s="2505"/>
      <c r="BD327" s="1362">
        <f t="shared" si="224"/>
        <v>851.70347802625145</v>
      </c>
      <c r="BE327" s="1360">
        <f t="shared" si="225"/>
        <v>0</v>
      </c>
      <c r="BF327" s="1132" t="str">
        <f t="shared" si="226"/>
        <v>RS-SHL-FINS-V09-190101</v>
      </c>
      <c r="BG327" s="1132" t="str">
        <f t="shared" si="227"/>
        <v>Nicor Gas PY11-PY14 Adjustable Goals Template_2025-03-01, Tab 5.6.3</v>
      </c>
      <c r="BH327" s="2505">
        <f>'5.6.3'!$T$5</f>
        <v>68.676057718385039</v>
      </c>
      <c r="BI327" s="2505"/>
      <c r="BJ327" s="1362">
        <f t="shared" si="249"/>
        <v>851.70347802625145</v>
      </c>
      <c r="BK327" s="1360">
        <f t="shared" si="228"/>
        <v>0</v>
      </c>
      <c r="BL327" s="1601">
        <f t="shared" si="229"/>
        <v>851.70347802625145</v>
      </c>
      <c r="BM327" s="1601">
        <f t="shared" si="230"/>
        <v>851.70347802625145</v>
      </c>
      <c r="BN327" s="1601">
        <f t="shared" si="231"/>
        <v>851.70347802625145</v>
      </c>
      <c r="BO327" s="1601">
        <f t="shared" si="232"/>
        <v>851.70347802625145</v>
      </c>
      <c r="BP327" s="1602">
        <f t="shared" si="233"/>
        <v>3406.8139121050058</v>
      </c>
      <c r="BQ327" s="1629"/>
      <c r="BR327" s="1629" t="s">
        <v>828</v>
      </c>
      <c r="BS327" s="2773">
        <v>1</v>
      </c>
      <c r="BT327" s="1602">
        <v>19.411764705882351</v>
      </c>
      <c r="BU327" s="1602">
        <v>19.411764705882351</v>
      </c>
      <c r="BV327" s="1602">
        <v>19.411764705882351</v>
      </c>
      <c r="BW327" s="1602">
        <v>19.411764705882351</v>
      </c>
      <c r="BX327" s="1362">
        <f t="shared" si="250"/>
        <v>16533.067514627233</v>
      </c>
      <c r="BY327" s="1362">
        <f t="shared" si="251"/>
        <v>16533.067514627233</v>
      </c>
      <c r="BZ327" s="1362">
        <f t="shared" si="252"/>
        <v>16533.067514627233</v>
      </c>
      <c r="CA327" s="1362">
        <f t="shared" si="253"/>
        <v>16533.067514627233</v>
      </c>
      <c r="CB327" s="1362">
        <f t="shared" si="254"/>
        <v>66132.270058508933</v>
      </c>
      <c r="CC327" s="2775">
        <v>20</v>
      </c>
      <c r="CD327" s="2775">
        <v>20</v>
      </c>
      <c r="CE327" s="2775">
        <v>20</v>
      </c>
      <c r="CF327" s="2775">
        <v>20</v>
      </c>
      <c r="CG327" s="1604">
        <f t="shared" si="234"/>
        <v>17034.069560525029</v>
      </c>
      <c r="CH327" s="1604">
        <f t="shared" si="235"/>
        <v>17034.069560525029</v>
      </c>
      <c r="CI327" s="1604">
        <f t="shared" si="236"/>
        <v>17034.069560525029</v>
      </c>
      <c r="CJ327" s="1604">
        <f t="shared" si="237"/>
        <v>17034.069560525029</v>
      </c>
      <c r="CK327" s="1521">
        <f t="shared" si="238"/>
        <v>68136.278242100117</v>
      </c>
      <c r="CL327" s="1132">
        <v>320</v>
      </c>
      <c r="CM327" s="1132" t="s">
        <v>328</v>
      </c>
      <c r="CN327" s="1359">
        <v>1</v>
      </c>
      <c r="CO327" s="1360">
        <v>10.892379958246348</v>
      </c>
      <c r="CP327" s="1360">
        <v>10.892379958246348</v>
      </c>
      <c r="CQ327" s="1360">
        <v>10.892379958246348</v>
      </c>
      <c r="CR327" s="1360">
        <v>10.892379958246348</v>
      </c>
      <c r="CS327" s="1362">
        <f t="shared" si="239"/>
        <v>748.04571470310657</v>
      </c>
      <c r="CT327" s="1362">
        <f t="shared" si="240"/>
        <v>748.04571470310657</v>
      </c>
      <c r="CU327" s="1362">
        <f t="shared" si="241"/>
        <v>748.04571470310657</v>
      </c>
      <c r="CV327" s="1362">
        <f t="shared" si="242"/>
        <v>748.04571470310657</v>
      </c>
      <c r="CW327" s="1362">
        <f t="shared" si="243"/>
        <v>2992.1828588124263</v>
      </c>
      <c r="CY327" s="2887"/>
    </row>
    <row r="328" spans="1:103" s="1143" customFormat="1" ht="15" customHeight="1" x14ac:dyDescent="0.35">
      <c r="A328" s="1132" t="s">
        <v>110</v>
      </c>
      <c r="B328" s="1132" t="s">
        <v>814</v>
      </c>
      <c r="C328" s="1132" t="s">
        <v>701</v>
      </c>
      <c r="D328" s="1359" t="s">
        <v>702</v>
      </c>
      <c r="E328" s="1359">
        <v>1</v>
      </c>
      <c r="F328" s="2807" t="s">
        <v>703</v>
      </c>
      <c r="G328" s="1132" t="s">
        <v>356</v>
      </c>
      <c r="H328" s="1360">
        <v>1026.9345000000001</v>
      </c>
      <c r="I328" s="1360">
        <v>1026.9345000000001</v>
      </c>
      <c r="J328" s="1360">
        <v>1026.9345000000001</v>
      </c>
      <c r="K328" s="1360">
        <v>1026.9345000000001</v>
      </c>
      <c r="L328" s="1132" t="s">
        <v>704</v>
      </c>
      <c r="M328" s="1132" t="str">
        <f t="shared" ref="M328:M391" si="255">IF(F328&lt;&gt;"Custom",CONCATENATE($I$1,", ",$J$1," ",F328),"")</f>
        <v>Nicor Gas PY11-PY14 Adjustable Goals Template_2025-03-01, Tab 5.4.1</v>
      </c>
      <c r="N328" s="1361">
        <v>0.88064584615384589</v>
      </c>
      <c r="O328" s="1361">
        <v>0.88064584615384589</v>
      </c>
      <c r="P328" s="1361">
        <v>0.88064584615384589</v>
      </c>
      <c r="Q328" s="1361">
        <v>0.88064584615384589</v>
      </c>
      <c r="R328" s="1781">
        <v>1</v>
      </c>
      <c r="S328" s="1781">
        <v>1</v>
      </c>
      <c r="T328" s="1781">
        <v>1</v>
      </c>
      <c r="U328" s="1781">
        <v>1</v>
      </c>
      <c r="V328" s="1781">
        <v>1</v>
      </c>
      <c r="W328" s="1781">
        <v>1</v>
      </c>
      <c r="X328" s="1781">
        <v>1</v>
      </c>
      <c r="Y328" s="1781">
        <v>1</v>
      </c>
      <c r="Z328" s="1359">
        <v>0</v>
      </c>
      <c r="AA328" s="1781">
        <f t="shared" ref="AA328:AA391" si="256">V328</f>
        <v>1</v>
      </c>
      <c r="AB328" s="1781">
        <f t="shared" ref="AB328:AB391" si="257">W328</f>
        <v>1</v>
      </c>
      <c r="AC328" s="1781">
        <f t="shared" ref="AC328:AC391" si="258">X328</f>
        <v>1</v>
      </c>
      <c r="AD328" s="1781">
        <f t="shared" ref="AD328:AD391" si="259">Y328</f>
        <v>1</v>
      </c>
      <c r="AE328" s="1781">
        <f t="shared" ref="AE328:AE391" si="260">V328</f>
        <v>1</v>
      </c>
      <c r="AF328" s="1781">
        <f t="shared" ref="AF328:AF391" si="261">W328</f>
        <v>1</v>
      </c>
      <c r="AG328" s="1781">
        <f t="shared" ref="AG328:AG391" si="262">X328</f>
        <v>1</v>
      </c>
      <c r="AH328" s="1781">
        <f t="shared" ref="AH328:AH391" si="263">Y328</f>
        <v>1</v>
      </c>
      <c r="AI328" s="1362">
        <f t="shared" si="244"/>
        <v>904.36560169707673</v>
      </c>
      <c r="AJ328" s="1362">
        <f t="shared" si="245"/>
        <v>904.36560169707673</v>
      </c>
      <c r="AK328" s="1362">
        <f t="shared" si="246"/>
        <v>904.36560169707673</v>
      </c>
      <c r="AL328" s="1362">
        <f t="shared" si="247"/>
        <v>904.36560169707673</v>
      </c>
      <c r="AM328" s="1362">
        <f t="shared" si="248"/>
        <v>3617.4624067883069</v>
      </c>
      <c r="AN328" s="1132" t="str">
        <f t="shared" ref="AN328:AN391" si="264">L328</f>
        <v>RS-HWE-PINS-V02-150601</v>
      </c>
      <c r="AO328" s="1132" t="str">
        <f t="shared" ref="AO328:AO391" si="265">M328</f>
        <v>Nicor Gas PY11-PY14 Adjustable Goals Template_2025-03-01, Tab 5.4.1</v>
      </c>
      <c r="AP328" s="2738">
        <f>'5.4.1'!$P$7</f>
        <v>2.1563397498882169</v>
      </c>
      <c r="AQ328" s="2568" t="s">
        <v>705</v>
      </c>
      <c r="AR328" s="2505">
        <f t="shared" ref="AR328:AR391" si="266">H328*AP328*V328</f>
        <v>2214.4196828815811</v>
      </c>
      <c r="AS328" s="2505">
        <f t="shared" ref="AS328:AS391" si="267">AR328-AI328</f>
        <v>1310.0540811845044</v>
      </c>
      <c r="AT328" s="1132" t="str">
        <f t="shared" ref="AT328:AT391" si="268">L328</f>
        <v>RS-HWE-PINS-V02-150601</v>
      </c>
      <c r="AU328" s="1132" t="str">
        <f t="shared" ref="AU328:AU391" si="269">M328</f>
        <v>Nicor Gas PY11-PY14 Adjustable Goals Template_2025-03-01, Tab 5.4.1</v>
      </c>
      <c r="AV328" s="2247">
        <f>'5.4.1'!$P$7</f>
        <v>2.1563397498882169</v>
      </c>
      <c r="AW328" s="2568" t="s">
        <v>705</v>
      </c>
      <c r="AX328" s="1362">
        <f t="shared" ref="AX328:AX391" si="270">I328*AV328*W328</f>
        <v>2214.4196828815811</v>
      </c>
      <c r="AY328" s="1360">
        <f t="shared" ref="AY328:AY391" si="271">AX328-AJ328</f>
        <v>1310.0540811845044</v>
      </c>
      <c r="AZ328" s="1132" t="str">
        <f t="shared" ref="AZ328:AZ391" si="272">L328</f>
        <v>RS-HWE-PINS-V02-150601</v>
      </c>
      <c r="BA328" s="1132" t="str">
        <f t="shared" ref="BA328:BA391" si="273">M328</f>
        <v>Nicor Gas PY11-PY14 Adjustable Goals Template_2025-03-01, Tab 5.4.1</v>
      </c>
      <c r="BB328" s="2247">
        <f>'5.4.1'!$P$7</f>
        <v>2.1563397498882169</v>
      </c>
      <c r="BC328" s="2568" t="s">
        <v>705</v>
      </c>
      <c r="BD328" s="1362">
        <f t="shared" ref="BD328:BD391" si="274">J328*BB328*X328</f>
        <v>2214.4196828815811</v>
      </c>
      <c r="BE328" s="1360">
        <f t="shared" ref="BE328:BE391" si="275">BD328-AK328</f>
        <v>1310.0540811845044</v>
      </c>
      <c r="BF328" s="1132" t="str">
        <f t="shared" ref="BF328:BF391" si="276">L328</f>
        <v>RS-HWE-PINS-V02-150601</v>
      </c>
      <c r="BG328" s="1132" t="str">
        <f t="shared" ref="BG328:BG391" si="277">M328</f>
        <v>Nicor Gas PY11-PY14 Adjustable Goals Template_2025-03-01, Tab 5.4.1</v>
      </c>
      <c r="BH328" s="2247">
        <f>'5.4.1'!$P$7</f>
        <v>2.1563397498882169</v>
      </c>
      <c r="BI328" s="2568" t="s">
        <v>705</v>
      </c>
      <c r="BJ328" s="1362">
        <f t="shared" si="249"/>
        <v>2214.4196828815811</v>
      </c>
      <c r="BK328" s="1360">
        <f t="shared" ref="BK328:BK391" si="278">BJ328-AL328</f>
        <v>1310.0540811845044</v>
      </c>
      <c r="BL328" s="1601">
        <f t="shared" ref="BL328:BL391" si="279">IF($BL$2=2022,IF($E328=1,AR328,AR328),IF($E328=1,AR328,AI328))</f>
        <v>2214.4196828815811</v>
      </c>
      <c r="BM328" s="1601">
        <f t="shared" ref="BM328:BM391" si="280">IF($BL$2=2022,IF($E328=1,AX328,AX328),IF($E328=1,AX328,AJ328))</f>
        <v>2214.4196828815811</v>
      </c>
      <c r="BN328" s="1601">
        <f t="shared" ref="BN328:BN391" si="281">IF($BL$2=2022,IF($E328=1,BD328,BD328),IF($E328=1,BD328,AK328))</f>
        <v>2214.4196828815811</v>
      </c>
      <c r="BO328" s="1601">
        <f t="shared" ref="BO328:BO391" si="282">IF($BL$2=2022,IF($E328=1,BJ328,BJ328),IF($E328=1,BJ328,AL328))</f>
        <v>2214.4196828815811</v>
      </c>
      <c r="BP328" s="1602">
        <f t="shared" ref="BP328:BP391" si="283">SUM(BL328:BO328)</f>
        <v>8857.6787315263246</v>
      </c>
      <c r="BQ328" s="1629"/>
      <c r="BR328" s="1629" t="s">
        <v>703</v>
      </c>
      <c r="BS328" s="1602">
        <v>0</v>
      </c>
      <c r="BT328" s="1602">
        <v>15</v>
      </c>
      <c r="BU328" s="1602">
        <v>15</v>
      </c>
      <c r="BV328" s="1602">
        <v>15</v>
      </c>
      <c r="BW328" s="1602">
        <v>15</v>
      </c>
      <c r="BX328" s="1362">
        <f t="shared" si="250"/>
        <v>13565.484025456151</v>
      </c>
      <c r="BY328" s="1362">
        <f t="shared" si="251"/>
        <v>13565.484025456151</v>
      </c>
      <c r="BZ328" s="1362">
        <f t="shared" si="252"/>
        <v>13565.484025456151</v>
      </c>
      <c r="CA328" s="1362">
        <f t="shared" si="253"/>
        <v>13565.484025456151</v>
      </c>
      <c r="CB328" s="1362">
        <f t="shared" si="254"/>
        <v>54261.936101824605</v>
      </c>
      <c r="CC328" s="1360">
        <v>15</v>
      </c>
      <c r="CD328" s="1360">
        <v>15</v>
      </c>
      <c r="CE328" s="1360">
        <v>15</v>
      </c>
      <c r="CF328" s="1360">
        <v>15</v>
      </c>
      <c r="CG328" s="1604">
        <f t="shared" ref="CG328:CG391" si="284">H328*V328*AP328*CC328</f>
        <v>33216.295243223714</v>
      </c>
      <c r="CH328" s="1604">
        <f t="shared" ref="CH328:CH391" si="285">I328*W328*AV328*CD328</f>
        <v>33216.295243223714</v>
      </c>
      <c r="CI328" s="1604">
        <f t="shared" ref="CI328:CI391" si="286">J328*X328*BB328*CE328</f>
        <v>33216.295243223714</v>
      </c>
      <c r="CJ328" s="1604">
        <f t="shared" ref="CJ328:CJ391" si="287">K328*Y328*BH328*CF328</f>
        <v>33216.295243223714</v>
      </c>
      <c r="CK328" s="1521">
        <f t="shared" ref="CK328:CK391" si="288">SUM(CG328:CJ328)</f>
        <v>132865.18097289486</v>
      </c>
      <c r="CL328" s="1132">
        <v>321</v>
      </c>
      <c r="CM328" s="1132" t="s">
        <v>356</v>
      </c>
      <c r="CN328" s="1359">
        <v>1</v>
      </c>
      <c r="CO328" s="1360">
        <v>901.94999999999993</v>
      </c>
      <c r="CP328" s="1360">
        <v>901.94999999999993</v>
      </c>
      <c r="CQ328" s="1360">
        <v>901.94999999999993</v>
      </c>
      <c r="CR328" s="1360">
        <v>901.94999999999993</v>
      </c>
      <c r="CS328" s="1362">
        <f t="shared" ref="CS328:CS391" si="289">IF($CN328=1,CO328*N328*AE328,BL328)</f>
        <v>794.29852093846125</v>
      </c>
      <c r="CT328" s="1362">
        <f t="shared" ref="CT328:CT391" si="290">IF($CN328=1,CP328*O328*AF328,BM328)</f>
        <v>794.29852093846125</v>
      </c>
      <c r="CU328" s="1362">
        <f t="shared" ref="CU328:CU391" si="291">IF($CN328=1,CQ328*P328*AG328,BN328)</f>
        <v>794.29852093846125</v>
      </c>
      <c r="CV328" s="1362">
        <f t="shared" ref="CV328:CV391" si="292">IF($CN328=1,CR328*Q328*AH328,BO328)</f>
        <v>794.29852093846125</v>
      </c>
      <c r="CW328" s="1362">
        <f t="shared" ref="CW328:CW391" si="293">+SUM(CS328:CV328)</f>
        <v>3177.194083753845</v>
      </c>
      <c r="CY328" s="2887"/>
    </row>
    <row r="329" spans="1:103" s="1143" customFormat="1" ht="46.5" x14ac:dyDescent="0.35">
      <c r="A329" s="1132" t="s">
        <v>110</v>
      </c>
      <c r="B329" s="1132" t="s">
        <v>814</v>
      </c>
      <c r="C329" s="1132" t="s">
        <v>826</v>
      </c>
      <c r="D329" s="1359" t="s">
        <v>827</v>
      </c>
      <c r="E329" s="1359">
        <v>1</v>
      </c>
      <c r="F329" s="2564" t="s">
        <v>828</v>
      </c>
      <c r="G329" s="1132" t="s">
        <v>328</v>
      </c>
      <c r="H329" s="1360">
        <v>3.8249283707865178</v>
      </c>
      <c r="I329" s="1360">
        <v>3.8249283707865178</v>
      </c>
      <c r="J329" s="1360">
        <v>3.8249283707865178</v>
      </c>
      <c r="K329" s="1360">
        <v>3.8249283707865178</v>
      </c>
      <c r="L329" s="1132" t="s">
        <v>829</v>
      </c>
      <c r="M329" s="1132" t="str">
        <f t="shared" si="255"/>
        <v>Nicor Gas PY11-PY14 Adjustable Goals Template_2025-03-01, Tab 5.6.3</v>
      </c>
      <c r="N329" s="1361">
        <v>68.676057718385039</v>
      </c>
      <c r="O329" s="1361">
        <v>68.676057718385039</v>
      </c>
      <c r="P329" s="1361">
        <v>68.676057718385039</v>
      </c>
      <c r="Q329" s="1361">
        <v>68.676057718385039</v>
      </c>
      <c r="R329" s="1781">
        <v>1</v>
      </c>
      <c r="S329" s="1781">
        <v>1</v>
      </c>
      <c r="T329" s="1781">
        <v>1</v>
      </c>
      <c r="U329" s="1781">
        <v>1</v>
      </c>
      <c r="V329" s="1781">
        <v>1</v>
      </c>
      <c r="W329" s="1781">
        <v>1</v>
      </c>
      <c r="X329" s="1781">
        <v>1</v>
      </c>
      <c r="Y329" s="1781">
        <v>1</v>
      </c>
      <c r="Z329" s="1359">
        <v>0</v>
      </c>
      <c r="AA329" s="1781">
        <f t="shared" si="256"/>
        <v>1</v>
      </c>
      <c r="AB329" s="1781">
        <f t="shared" si="257"/>
        <v>1</v>
      </c>
      <c r="AC329" s="1781">
        <f t="shared" si="258"/>
        <v>1</v>
      </c>
      <c r="AD329" s="1781">
        <f t="shared" si="259"/>
        <v>1</v>
      </c>
      <c r="AE329" s="1781">
        <f t="shared" si="260"/>
        <v>1</v>
      </c>
      <c r="AF329" s="1781">
        <f t="shared" si="261"/>
        <v>1</v>
      </c>
      <c r="AG329" s="1781">
        <f t="shared" si="262"/>
        <v>1</v>
      </c>
      <c r="AH329" s="1781">
        <f t="shared" si="263"/>
        <v>1</v>
      </c>
      <c r="AI329" s="1362">
        <f t="shared" ref="AI329:AI392" si="294">H329*N329*R329</f>
        <v>262.68100156082335</v>
      </c>
      <c r="AJ329" s="1362">
        <f t="shared" ref="AJ329:AJ392" si="295">I329*O329*S329</f>
        <v>262.68100156082335</v>
      </c>
      <c r="AK329" s="1362">
        <f t="shared" ref="AK329:AK392" si="296">J329*P329*T329</f>
        <v>262.68100156082335</v>
      </c>
      <c r="AL329" s="1362">
        <f t="shared" ref="AL329:AL392" si="297">K329*Q329*U329</f>
        <v>262.68100156082335</v>
      </c>
      <c r="AM329" s="1362">
        <f t="shared" ref="AM329:AM392" si="298">SUM(AI329:AL329)</f>
        <v>1050.7240062432934</v>
      </c>
      <c r="AN329" s="1132" t="str">
        <f t="shared" si="264"/>
        <v>RS-SHL-FINS-V09-190101</v>
      </c>
      <c r="AO329" s="1132" t="str">
        <f t="shared" si="265"/>
        <v>Nicor Gas PY11-PY14 Adjustable Goals Template_2025-03-01, Tab 5.6.3</v>
      </c>
      <c r="AP329" s="2505">
        <f>'5.6.3'!$T$5</f>
        <v>68.676057718385039</v>
      </c>
      <c r="AQ329" s="2505"/>
      <c r="AR329" s="2505">
        <f t="shared" si="266"/>
        <v>262.68100156082335</v>
      </c>
      <c r="AS329" s="2505">
        <f t="shared" si="267"/>
        <v>0</v>
      </c>
      <c r="AT329" s="1132" t="str">
        <f t="shared" si="268"/>
        <v>RS-SHL-FINS-V09-190101</v>
      </c>
      <c r="AU329" s="1132" t="str">
        <f t="shared" si="269"/>
        <v>Nicor Gas PY11-PY14 Adjustable Goals Template_2025-03-01, Tab 5.6.3</v>
      </c>
      <c r="AV329" s="2505">
        <f>'5.6.3'!$T$5</f>
        <v>68.676057718385039</v>
      </c>
      <c r="AW329" s="2505"/>
      <c r="AX329" s="1362">
        <f t="shared" si="270"/>
        <v>262.68100156082335</v>
      </c>
      <c r="AY329" s="1360">
        <f t="shared" si="271"/>
        <v>0</v>
      </c>
      <c r="AZ329" s="1132" t="str">
        <f t="shared" si="272"/>
        <v>RS-SHL-FINS-V09-190101</v>
      </c>
      <c r="BA329" s="1132" t="str">
        <f t="shared" si="273"/>
        <v>Nicor Gas PY11-PY14 Adjustable Goals Template_2025-03-01, Tab 5.6.3</v>
      </c>
      <c r="BB329" s="2505">
        <f>'5.6.3'!$T$5</f>
        <v>68.676057718385039</v>
      </c>
      <c r="BC329" s="2505"/>
      <c r="BD329" s="1362">
        <f t="shared" si="274"/>
        <v>262.68100156082335</v>
      </c>
      <c r="BE329" s="1360">
        <f t="shared" si="275"/>
        <v>0</v>
      </c>
      <c r="BF329" s="1132" t="str">
        <f t="shared" si="276"/>
        <v>RS-SHL-FINS-V09-190101</v>
      </c>
      <c r="BG329" s="1132" t="str">
        <f t="shared" si="277"/>
        <v>Nicor Gas PY11-PY14 Adjustable Goals Template_2025-03-01, Tab 5.6.3</v>
      </c>
      <c r="BH329" s="2505">
        <f>'5.6.3'!$T$5</f>
        <v>68.676057718385039</v>
      </c>
      <c r="BI329" s="2505"/>
      <c r="BJ329" s="1362">
        <f t="shared" ref="BJ329:BJ392" si="299">K329*BH329*Y329</f>
        <v>262.68100156082335</v>
      </c>
      <c r="BK329" s="1360">
        <f t="shared" si="278"/>
        <v>0</v>
      </c>
      <c r="BL329" s="1601">
        <f t="shared" si="279"/>
        <v>262.68100156082335</v>
      </c>
      <c r="BM329" s="1601">
        <f t="shared" si="280"/>
        <v>262.68100156082335</v>
      </c>
      <c r="BN329" s="1601">
        <f t="shared" si="281"/>
        <v>262.68100156082335</v>
      </c>
      <c r="BO329" s="1601">
        <f t="shared" si="282"/>
        <v>262.68100156082335</v>
      </c>
      <c r="BP329" s="1602">
        <f t="shared" si="283"/>
        <v>1050.7240062432934</v>
      </c>
      <c r="BQ329" s="1629"/>
      <c r="BR329" s="1629" t="s">
        <v>828</v>
      </c>
      <c r="BS329" s="2773">
        <v>1</v>
      </c>
      <c r="BT329" s="1602">
        <v>19.411764705882351</v>
      </c>
      <c r="BU329" s="1602">
        <v>19.411764705882351</v>
      </c>
      <c r="BV329" s="1602">
        <v>19.411764705882351</v>
      </c>
      <c r="BW329" s="1602">
        <v>19.411764705882351</v>
      </c>
      <c r="BX329" s="1362">
        <f t="shared" ref="BX329:BX392" si="300">H329*N329*R329*BT329</f>
        <v>5099.1017950042178</v>
      </c>
      <c r="BY329" s="1362">
        <f t="shared" ref="BY329:BY392" si="301">I329*O329*S329*BU329</f>
        <v>5099.1017950042178</v>
      </c>
      <c r="BZ329" s="1362">
        <f t="shared" ref="BZ329:BZ392" si="302">J329*P329*T329*BV329</f>
        <v>5099.1017950042178</v>
      </c>
      <c r="CA329" s="1362">
        <f t="shared" ref="CA329:CA392" si="303">K329*Q329*U329*BW329</f>
        <v>5099.1017950042178</v>
      </c>
      <c r="CB329" s="1362">
        <f t="shared" ref="CB329:CB392" si="304">SUM(BX329:CA329)</f>
        <v>20396.407180016871</v>
      </c>
      <c r="CC329" s="2775">
        <v>20</v>
      </c>
      <c r="CD329" s="2775">
        <v>20</v>
      </c>
      <c r="CE329" s="2775">
        <v>20</v>
      </c>
      <c r="CF329" s="2775">
        <v>20</v>
      </c>
      <c r="CG329" s="1604">
        <f t="shared" si="284"/>
        <v>5253.6200312164674</v>
      </c>
      <c r="CH329" s="1604">
        <f t="shared" si="285"/>
        <v>5253.6200312164674</v>
      </c>
      <c r="CI329" s="1604">
        <f t="shared" si="286"/>
        <v>5253.6200312164674</v>
      </c>
      <c r="CJ329" s="1604">
        <f t="shared" si="287"/>
        <v>5253.6200312164674</v>
      </c>
      <c r="CK329" s="1521">
        <f t="shared" si="288"/>
        <v>21014.48012486587</v>
      </c>
      <c r="CL329" s="1132">
        <v>322</v>
      </c>
      <c r="CM329" s="1132" t="s">
        <v>328</v>
      </c>
      <c r="CN329" s="1359">
        <v>1</v>
      </c>
      <c r="CO329" s="1360">
        <v>3.359410112359551</v>
      </c>
      <c r="CP329" s="1360">
        <v>3.359410112359551</v>
      </c>
      <c r="CQ329" s="1360">
        <v>3.359410112359551</v>
      </c>
      <c r="CR329" s="1360">
        <v>3.359410112359551</v>
      </c>
      <c r="CS329" s="1362">
        <f t="shared" si="289"/>
        <v>230.71104277613088</v>
      </c>
      <c r="CT329" s="1362">
        <f t="shared" si="290"/>
        <v>230.71104277613088</v>
      </c>
      <c r="CU329" s="1362">
        <f t="shared" si="291"/>
        <v>230.71104277613088</v>
      </c>
      <c r="CV329" s="1362">
        <f t="shared" si="292"/>
        <v>230.71104277613088</v>
      </c>
      <c r="CW329" s="1362">
        <f t="shared" si="293"/>
        <v>922.84417110452353</v>
      </c>
      <c r="CY329" s="2887"/>
    </row>
    <row r="330" spans="1:103" s="1143" customFormat="1" ht="45.75" customHeight="1" x14ac:dyDescent="0.35">
      <c r="A330" s="1132" t="s">
        <v>110</v>
      </c>
      <c r="B330" s="1132" t="s">
        <v>830</v>
      </c>
      <c r="C330" s="1132" t="s">
        <v>741</v>
      </c>
      <c r="D330" s="1359" t="s">
        <v>105</v>
      </c>
      <c r="E330" s="1359">
        <f>IF(AI330-AR330=0,0,1)</f>
        <v>0</v>
      </c>
      <c r="F330" s="1132" t="s">
        <v>105</v>
      </c>
      <c r="G330" s="1132" t="s">
        <v>356</v>
      </c>
      <c r="H330" s="1360">
        <v>238.042125</v>
      </c>
      <c r="I330" s="1360">
        <v>238.042125</v>
      </c>
      <c r="J330" s="1360">
        <v>238.042125</v>
      </c>
      <c r="K330" s="1360">
        <v>238.042125</v>
      </c>
      <c r="L330" s="1132" t="s">
        <v>105</v>
      </c>
      <c r="M330" s="1132" t="str">
        <f t="shared" si="255"/>
        <v/>
      </c>
      <c r="N330" s="1361">
        <v>0</v>
      </c>
      <c r="O330" s="1361">
        <v>0</v>
      </c>
      <c r="P330" s="1361">
        <v>0</v>
      </c>
      <c r="Q330" s="1361">
        <v>0</v>
      </c>
      <c r="R330" s="1781">
        <v>1</v>
      </c>
      <c r="S330" s="1781">
        <v>1</v>
      </c>
      <c r="T330" s="1781">
        <v>1</v>
      </c>
      <c r="U330" s="1781">
        <v>1</v>
      </c>
      <c r="V330" s="1781">
        <v>1</v>
      </c>
      <c r="W330" s="1781">
        <v>1</v>
      </c>
      <c r="X330" s="1781">
        <v>1</v>
      </c>
      <c r="Y330" s="1781">
        <v>1</v>
      </c>
      <c r="Z330" s="1359">
        <v>0</v>
      </c>
      <c r="AA330" s="1781">
        <f t="shared" si="256"/>
        <v>1</v>
      </c>
      <c r="AB330" s="1781">
        <f t="shared" si="257"/>
        <v>1</v>
      </c>
      <c r="AC330" s="1781">
        <f t="shared" si="258"/>
        <v>1</v>
      </c>
      <c r="AD330" s="1781">
        <f t="shared" si="259"/>
        <v>1</v>
      </c>
      <c r="AE330" s="1781">
        <f t="shared" si="260"/>
        <v>1</v>
      </c>
      <c r="AF330" s="1781">
        <f t="shared" si="261"/>
        <v>1</v>
      </c>
      <c r="AG330" s="1781">
        <f t="shared" si="262"/>
        <v>1</v>
      </c>
      <c r="AH330" s="1781">
        <f t="shared" si="263"/>
        <v>1</v>
      </c>
      <c r="AI330" s="1362">
        <f t="shared" si="294"/>
        <v>0</v>
      </c>
      <c r="AJ330" s="1362">
        <f t="shared" si="295"/>
        <v>0</v>
      </c>
      <c r="AK330" s="1362">
        <f t="shared" si="296"/>
        <v>0</v>
      </c>
      <c r="AL330" s="1362">
        <f t="shared" si="297"/>
        <v>0</v>
      </c>
      <c r="AM330" s="1362">
        <f t="shared" si="298"/>
        <v>0</v>
      </c>
      <c r="AN330" s="1132" t="str">
        <f t="shared" si="264"/>
        <v>Custom</v>
      </c>
      <c r="AO330" s="1132" t="str">
        <f t="shared" si="265"/>
        <v/>
      </c>
      <c r="AP330" s="2505">
        <v>0</v>
      </c>
      <c r="AQ330" s="2505"/>
      <c r="AR330" s="2505">
        <f t="shared" si="266"/>
        <v>0</v>
      </c>
      <c r="AS330" s="2505">
        <f t="shared" si="267"/>
        <v>0</v>
      </c>
      <c r="AT330" s="1132" t="str">
        <f t="shared" si="268"/>
        <v>Custom</v>
      </c>
      <c r="AU330" s="1132" t="str">
        <f t="shared" si="269"/>
        <v/>
      </c>
      <c r="AV330" s="2505">
        <v>0</v>
      </c>
      <c r="AW330" s="2505"/>
      <c r="AX330" s="1362">
        <f t="shared" si="270"/>
        <v>0</v>
      </c>
      <c r="AY330" s="1360">
        <f t="shared" si="271"/>
        <v>0</v>
      </c>
      <c r="AZ330" s="1132" t="str">
        <f t="shared" si="272"/>
        <v>Custom</v>
      </c>
      <c r="BA330" s="1132" t="str">
        <f t="shared" si="273"/>
        <v/>
      </c>
      <c r="BB330" s="2505">
        <v>0</v>
      </c>
      <c r="BC330" s="2505"/>
      <c r="BD330" s="1362">
        <f t="shared" si="274"/>
        <v>0</v>
      </c>
      <c r="BE330" s="1360">
        <f t="shared" si="275"/>
        <v>0</v>
      </c>
      <c r="BF330" s="1132" t="str">
        <f t="shared" si="276"/>
        <v>Custom</v>
      </c>
      <c r="BG330" s="1132" t="str">
        <f t="shared" si="277"/>
        <v/>
      </c>
      <c r="BH330" s="2505">
        <v>0</v>
      </c>
      <c r="BI330" s="2505"/>
      <c r="BJ330" s="1362">
        <f t="shared" si="299"/>
        <v>0</v>
      </c>
      <c r="BK330" s="1360">
        <f t="shared" si="278"/>
        <v>0</v>
      </c>
      <c r="BL330" s="1601">
        <f t="shared" si="279"/>
        <v>0</v>
      </c>
      <c r="BM330" s="1601">
        <f t="shared" si="280"/>
        <v>0</v>
      </c>
      <c r="BN330" s="1601">
        <f t="shared" si="281"/>
        <v>0</v>
      </c>
      <c r="BO330" s="1601">
        <f t="shared" si="282"/>
        <v>0</v>
      </c>
      <c r="BP330" s="1602">
        <f t="shared" si="283"/>
        <v>0</v>
      </c>
      <c r="BQ330" s="1629"/>
      <c r="BR330" s="1629"/>
      <c r="BS330" s="1602">
        <v>0</v>
      </c>
      <c r="BT330" s="1602">
        <v>1</v>
      </c>
      <c r="BU330" s="1602">
        <v>1</v>
      </c>
      <c r="BV330" s="1602">
        <v>1</v>
      </c>
      <c r="BW330" s="1602">
        <v>1</v>
      </c>
      <c r="BX330" s="1362">
        <f t="shared" si="300"/>
        <v>0</v>
      </c>
      <c r="BY330" s="1362">
        <f t="shared" si="301"/>
        <v>0</v>
      </c>
      <c r="BZ330" s="1362">
        <f t="shared" si="302"/>
        <v>0</v>
      </c>
      <c r="CA330" s="1362">
        <f t="shared" si="303"/>
        <v>0</v>
      </c>
      <c r="CB330" s="1362">
        <f t="shared" si="304"/>
        <v>0</v>
      </c>
      <c r="CC330" s="1360">
        <v>1</v>
      </c>
      <c r="CD330" s="1360">
        <v>1</v>
      </c>
      <c r="CE330" s="1360">
        <v>1</v>
      </c>
      <c r="CF330" s="1360">
        <v>1</v>
      </c>
      <c r="CG330" s="1604">
        <f t="shared" si="284"/>
        <v>0</v>
      </c>
      <c r="CH330" s="1604">
        <f t="shared" si="285"/>
        <v>0</v>
      </c>
      <c r="CI330" s="1604">
        <f t="shared" si="286"/>
        <v>0</v>
      </c>
      <c r="CJ330" s="1604">
        <f t="shared" si="287"/>
        <v>0</v>
      </c>
      <c r="CK330" s="1521">
        <f t="shared" si="288"/>
        <v>0</v>
      </c>
      <c r="CL330" s="1132">
        <v>323</v>
      </c>
      <c r="CM330" s="1132" t="s">
        <v>356</v>
      </c>
      <c r="CN330" s="1359">
        <v>1</v>
      </c>
      <c r="CO330" s="1360">
        <v>229.71750000000003</v>
      </c>
      <c r="CP330" s="1360">
        <v>229.71750000000003</v>
      </c>
      <c r="CQ330" s="1360">
        <v>229.71750000000003</v>
      </c>
      <c r="CR330" s="1360">
        <v>229.71750000000003</v>
      </c>
      <c r="CS330" s="1362">
        <f t="shared" si="289"/>
        <v>0</v>
      </c>
      <c r="CT330" s="1362">
        <f t="shared" si="290"/>
        <v>0</v>
      </c>
      <c r="CU330" s="1362">
        <f t="shared" si="291"/>
        <v>0</v>
      </c>
      <c r="CV330" s="1362">
        <f t="shared" si="292"/>
        <v>0</v>
      </c>
      <c r="CW330" s="1362">
        <f t="shared" si="293"/>
        <v>0</v>
      </c>
      <c r="CY330" s="2887"/>
    </row>
    <row r="331" spans="1:103" s="1143" customFormat="1" ht="46.5" x14ac:dyDescent="0.35">
      <c r="A331" s="1132" t="s">
        <v>110</v>
      </c>
      <c r="B331" s="1132" t="s">
        <v>830</v>
      </c>
      <c r="C331" s="1132" t="s">
        <v>785</v>
      </c>
      <c r="D331" s="1359" t="s">
        <v>786</v>
      </c>
      <c r="E331" s="1359">
        <v>1</v>
      </c>
      <c r="F331" s="1780" t="s">
        <v>649</v>
      </c>
      <c r="G331" s="1132" t="s">
        <v>356</v>
      </c>
      <c r="H331" s="1360">
        <v>190.60312499999998</v>
      </c>
      <c r="I331" s="1360">
        <v>190.60312499999998</v>
      </c>
      <c r="J331" s="1360">
        <v>190.60312499999998</v>
      </c>
      <c r="K331" s="1360">
        <v>190.60312499999998</v>
      </c>
      <c r="L331" s="1132" t="s">
        <v>787</v>
      </c>
      <c r="M331" s="1132" t="str">
        <f t="shared" si="255"/>
        <v>Nicor Gas PY11-PY14 Adjustable Goals Template_2025-03-01, Tab 5.3.16</v>
      </c>
      <c r="N331" s="1361">
        <v>71.333699999999993</v>
      </c>
      <c r="O331" s="1361">
        <v>71.333699999999993</v>
      </c>
      <c r="P331" s="1361">
        <v>71.333699999999993</v>
      </c>
      <c r="Q331" s="1361">
        <v>71.333699999999993</v>
      </c>
      <c r="R331" s="1781">
        <v>1</v>
      </c>
      <c r="S331" s="1781">
        <v>1</v>
      </c>
      <c r="T331" s="1781">
        <v>1</v>
      </c>
      <c r="U331" s="1781">
        <v>1</v>
      </c>
      <c r="V331" s="1781">
        <v>1</v>
      </c>
      <c r="W331" s="1781">
        <v>1</v>
      </c>
      <c r="X331" s="1781">
        <v>1</v>
      </c>
      <c r="Y331" s="1781">
        <v>1</v>
      </c>
      <c r="Z331" s="1359">
        <v>0</v>
      </c>
      <c r="AA331" s="1781">
        <f t="shared" si="256"/>
        <v>1</v>
      </c>
      <c r="AB331" s="1781">
        <f t="shared" si="257"/>
        <v>1</v>
      </c>
      <c r="AC331" s="1781">
        <f t="shared" si="258"/>
        <v>1</v>
      </c>
      <c r="AD331" s="1781">
        <f t="shared" si="259"/>
        <v>1</v>
      </c>
      <c r="AE331" s="1781">
        <f t="shared" si="260"/>
        <v>1</v>
      </c>
      <c r="AF331" s="1781">
        <f t="shared" si="261"/>
        <v>1</v>
      </c>
      <c r="AG331" s="1781">
        <f t="shared" si="262"/>
        <v>1</v>
      </c>
      <c r="AH331" s="1781">
        <f t="shared" si="263"/>
        <v>1</v>
      </c>
      <c r="AI331" s="1362">
        <f t="shared" si="294"/>
        <v>13596.426137812497</v>
      </c>
      <c r="AJ331" s="1362">
        <f t="shared" si="295"/>
        <v>13596.426137812497</v>
      </c>
      <c r="AK331" s="1362">
        <f t="shared" si="296"/>
        <v>13596.426137812497</v>
      </c>
      <c r="AL331" s="1362">
        <f t="shared" si="297"/>
        <v>13596.426137812497</v>
      </c>
      <c r="AM331" s="1362">
        <f t="shared" si="298"/>
        <v>54385.70455124999</v>
      </c>
      <c r="AN331" s="1132" t="str">
        <f t="shared" si="264"/>
        <v>RS-HVC-ADTH-V03-190103</v>
      </c>
      <c r="AO331" s="1132" t="str">
        <f t="shared" si="265"/>
        <v>Nicor Gas PY11-PY14 Adjustable Goals Template_2025-03-01, Tab 5.3.16</v>
      </c>
      <c r="AP331" s="2247">
        <f>'5.3.16'!$S$22</f>
        <v>71.333699999999993</v>
      </c>
      <c r="AQ331" s="2505"/>
      <c r="AR331" s="2505">
        <f t="shared" si="266"/>
        <v>13596.426137812497</v>
      </c>
      <c r="AS331" s="2505">
        <f t="shared" si="267"/>
        <v>0</v>
      </c>
      <c r="AT331" s="1132" t="str">
        <f t="shared" si="268"/>
        <v>RS-HVC-ADTH-V03-190103</v>
      </c>
      <c r="AU331" s="1132" t="str">
        <f t="shared" si="269"/>
        <v>Nicor Gas PY11-PY14 Adjustable Goals Template_2025-03-01, Tab 5.3.16</v>
      </c>
      <c r="AV331" s="2247">
        <f>'5.3.16'!$S$22</f>
        <v>71.333699999999993</v>
      </c>
      <c r="AW331" s="2505"/>
      <c r="AX331" s="1362">
        <f t="shared" si="270"/>
        <v>13596.426137812497</v>
      </c>
      <c r="AY331" s="1360">
        <f t="shared" si="271"/>
        <v>0</v>
      </c>
      <c r="AZ331" s="1132" t="str">
        <f t="shared" si="272"/>
        <v>RS-HVC-ADTH-V03-190103</v>
      </c>
      <c r="BA331" s="1132" t="str">
        <f t="shared" si="273"/>
        <v>Nicor Gas PY11-PY14 Adjustable Goals Template_2025-03-01, Tab 5.3.16</v>
      </c>
      <c r="BB331" s="2247">
        <f>'5.3.16'!$S$22</f>
        <v>71.333699999999993</v>
      </c>
      <c r="BC331" s="2505"/>
      <c r="BD331" s="1362">
        <f t="shared" si="274"/>
        <v>13596.426137812497</v>
      </c>
      <c r="BE331" s="1360">
        <f t="shared" si="275"/>
        <v>0</v>
      </c>
      <c r="BF331" s="1132" t="str">
        <f t="shared" si="276"/>
        <v>RS-HVC-ADTH-V03-190103</v>
      </c>
      <c r="BG331" s="1132" t="str">
        <f t="shared" si="277"/>
        <v>Nicor Gas PY11-PY14 Adjustable Goals Template_2025-03-01, Tab 5.3.16</v>
      </c>
      <c r="BH331" s="2247">
        <f>'5.3.16'!$S$22</f>
        <v>71.333699999999993</v>
      </c>
      <c r="BI331" s="2505"/>
      <c r="BJ331" s="1362">
        <f t="shared" si="299"/>
        <v>13596.426137812497</v>
      </c>
      <c r="BK331" s="1360">
        <f t="shared" si="278"/>
        <v>0</v>
      </c>
      <c r="BL331" s="1601">
        <f t="shared" si="279"/>
        <v>13596.426137812497</v>
      </c>
      <c r="BM331" s="1601">
        <f t="shared" si="280"/>
        <v>13596.426137812497</v>
      </c>
      <c r="BN331" s="1601">
        <f t="shared" si="281"/>
        <v>13596.426137812497</v>
      </c>
      <c r="BO331" s="1601">
        <f t="shared" si="282"/>
        <v>13596.426137812497</v>
      </c>
      <c r="BP331" s="1602">
        <f t="shared" si="283"/>
        <v>54385.70455124999</v>
      </c>
      <c r="BQ331" s="1629"/>
      <c r="BR331" s="1629" t="s">
        <v>649</v>
      </c>
      <c r="BS331" s="1602">
        <v>0</v>
      </c>
      <c r="BT331" s="1602">
        <v>11</v>
      </c>
      <c r="BU331" s="1602">
        <v>11</v>
      </c>
      <c r="BV331" s="1602">
        <v>11</v>
      </c>
      <c r="BW331" s="1602">
        <v>11</v>
      </c>
      <c r="BX331" s="1362">
        <f t="shared" si="300"/>
        <v>149560.68751593746</v>
      </c>
      <c r="BY331" s="1362">
        <f t="shared" si="301"/>
        <v>149560.68751593746</v>
      </c>
      <c r="BZ331" s="1362">
        <f t="shared" si="302"/>
        <v>149560.68751593746</v>
      </c>
      <c r="CA331" s="1362">
        <f t="shared" si="303"/>
        <v>149560.68751593746</v>
      </c>
      <c r="CB331" s="1362">
        <f t="shared" si="304"/>
        <v>598242.75006374985</v>
      </c>
      <c r="CC331" s="1360">
        <v>11</v>
      </c>
      <c r="CD331" s="1360">
        <v>11</v>
      </c>
      <c r="CE331" s="1360">
        <v>11</v>
      </c>
      <c r="CF331" s="1360">
        <v>11</v>
      </c>
      <c r="CG331" s="1604">
        <f t="shared" si="284"/>
        <v>149560.68751593746</v>
      </c>
      <c r="CH331" s="1604">
        <f t="shared" si="285"/>
        <v>149560.68751593746</v>
      </c>
      <c r="CI331" s="1604">
        <f t="shared" si="286"/>
        <v>149560.68751593746</v>
      </c>
      <c r="CJ331" s="1604">
        <f t="shared" si="287"/>
        <v>149560.68751593746</v>
      </c>
      <c r="CK331" s="1521">
        <f t="shared" si="288"/>
        <v>598242.75006374985</v>
      </c>
      <c r="CL331" s="1132">
        <v>324</v>
      </c>
      <c r="CM331" s="1132" t="s">
        <v>356</v>
      </c>
      <c r="CN331" s="1359">
        <v>1</v>
      </c>
      <c r="CO331" s="1360">
        <v>183.9375</v>
      </c>
      <c r="CP331" s="1360">
        <v>183.9375</v>
      </c>
      <c r="CQ331" s="1360">
        <v>183.9375</v>
      </c>
      <c r="CR331" s="1360">
        <v>183.9375</v>
      </c>
      <c r="CS331" s="1362">
        <f t="shared" si="289"/>
        <v>13120.942443749998</v>
      </c>
      <c r="CT331" s="1362">
        <f t="shared" si="290"/>
        <v>13120.942443749998</v>
      </c>
      <c r="CU331" s="1362">
        <f t="shared" si="291"/>
        <v>13120.942443749998</v>
      </c>
      <c r="CV331" s="1362">
        <f t="shared" si="292"/>
        <v>13120.942443749998</v>
      </c>
      <c r="CW331" s="1362">
        <f t="shared" si="293"/>
        <v>52483.769774999993</v>
      </c>
      <c r="CY331" s="2887"/>
    </row>
    <row r="332" spans="1:103" s="1143" customFormat="1" ht="46.5" x14ac:dyDescent="0.35">
      <c r="A332" s="1132" t="s">
        <v>110</v>
      </c>
      <c r="B332" s="1132" t="s">
        <v>830</v>
      </c>
      <c r="C332" s="1132" t="s">
        <v>782</v>
      </c>
      <c r="D332" s="1359" t="s">
        <v>783</v>
      </c>
      <c r="E332" s="1359">
        <v>1</v>
      </c>
      <c r="F332" s="1780" t="s">
        <v>649</v>
      </c>
      <c r="G332" s="1132" t="s">
        <v>356</v>
      </c>
      <c r="H332" s="1360">
        <v>23.7195</v>
      </c>
      <c r="I332" s="1360">
        <v>23.7195</v>
      </c>
      <c r="J332" s="1360">
        <v>23.7195</v>
      </c>
      <c r="K332" s="1360">
        <v>23.7195</v>
      </c>
      <c r="L332" s="1132" t="s">
        <v>784</v>
      </c>
      <c r="M332" s="1132" t="str">
        <f t="shared" si="255"/>
        <v>Nicor Gas PY11-PY14 Adjustable Goals Template_2025-03-01, Tab 5.3.16</v>
      </c>
      <c r="N332" s="1361">
        <v>102.47939999999998</v>
      </c>
      <c r="O332" s="1361">
        <v>102.47939999999998</v>
      </c>
      <c r="P332" s="1361">
        <v>102.47939999999998</v>
      </c>
      <c r="Q332" s="1361">
        <v>102.47939999999998</v>
      </c>
      <c r="R332" s="1781">
        <v>1</v>
      </c>
      <c r="S332" s="1781">
        <v>1</v>
      </c>
      <c r="T332" s="1781">
        <v>1</v>
      </c>
      <c r="U332" s="1781">
        <v>1</v>
      </c>
      <c r="V332" s="1781">
        <v>1</v>
      </c>
      <c r="W332" s="1781">
        <v>1</v>
      </c>
      <c r="X332" s="1781">
        <v>1</v>
      </c>
      <c r="Y332" s="1781">
        <v>1</v>
      </c>
      <c r="Z332" s="1359">
        <v>0</v>
      </c>
      <c r="AA332" s="1781">
        <f t="shared" si="256"/>
        <v>1</v>
      </c>
      <c r="AB332" s="1781">
        <f t="shared" si="257"/>
        <v>1</v>
      </c>
      <c r="AC332" s="1781">
        <f t="shared" si="258"/>
        <v>1</v>
      </c>
      <c r="AD332" s="1781">
        <f t="shared" si="259"/>
        <v>1</v>
      </c>
      <c r="AE332" s="1781">
        <f t="shared" si="260"/>
        <v>1</v>
      </c>
      <c r="AF332" s="1781">
        <f t="shared" si="261"/>
        <v>1</v>
      </c>
      <c r="AG332" s="1781">
        <f t="shared" si="262"/>
        <v>1</v>
      </c>
      <c r="AH332" s="1781">
        <f t="shared" si="263"/>
        <v>1</v>
      </c>
      <c r="AI332" s="1362">
        <f t="shared" si="294"/>
        <v>2430.7601282999995</v>
      </c>
      <c r="AJ332" s="1362">
        <f t="shared" si="295"/>
        <v>2430.7601282999995</v>
      </c>
      <c r="AK332" s="1362">
        <f t="shared" si="296"/>
        <v>2430.7601282999995</v>
      </c>
      <c r="AL332" s="1362">
        <f t="shared" si="297"/>
        <v>2430.7601282999995</v>
      </c>
      <c r="AM332" s="1362">
        <f t="shared" si="298"/>
        <v>9723.0405131999978</v>
      </c>
      <c r="AN332" s="1132" t="str">
        <f t="shared" si="264"/>
        <v>RS-HVC-ADTH-V03-190102</v>
      </c>
      <c r="AO332" s="1132" t="str">
        <f t="shared" si="265"/>
        <v>Nicor Gas PY11-PY14 Adjustable Goals Template_2025-03-01, Tab 5.3.16</v>
      </c>
      <c r="AP332" s="2247">
        <f>'5.3.16'!$S$21</f>
        <v>102.47939999999998</v>
      </c>
      <c r="AQ332" s="2505"/>
      <c r="AR332" s="2505">
        <f t="shared" si="266"/>
        <v>2430.7601282999995</v>
      </c>
      <c r="AS332" s="2505">
        <f t="shared" si="267"/>
        <v>0</v>
      </c>
      <c r="AT332" s="1132" t="str">
        <f t="shared" si="268"/>
        <v>RS-HVC-ADTH-V03-190102</v>
      </c>
      <c r="AU332" s="1132" t="str">
        <f t="shared" si="269"/>
        <v>Nicor Gas PY11-PY14 Adjustable Goals Template_2025-03-01, Tab 5.3.16</v>
      </c>
      <c r="AV332" s="2247">
        <f>'5.3.16'!$S$21</f>
        <v>102.47939999999998</v>
      </c>
      <c r="AW332" s="2505"/>
      <c r="AX332" s="1362">
        <f t="shared" si="270"/>
        <v>2430.7601282999995</v>
      </c>
      <c r="AY332" s="1360">
        <f t="shared" si="271"/>
        <v>0</v>
      </c>
      <c r="AZ332" s="1132" t="str">
        <f t="shared" si="272"/>
        <v>RS-HVC-ADTH-V03-190102</v>
      </c>
      <c r="BA332" s="1132" t="str">
        <f t="shared" si="273"/>
        <v>Nicor Gas PY11-PY14 Adjustable Goals Template_2025-03-01, Tab 5.3.16</v>
      </c>
      <c r="BB332" s="2247">
        <f>'5.3.16'!$S$21</f>
        <v>102.47939999999998</v>
      </c>
      <c r="BC332" s="2505"/>
      <c r="BD332" s="1362">
        <f t="shared" si="274"/>
        <v>2430.7601282999995</v>
      </c>
      <c r="BE332" s="1360">
        <f t="shared" si="275"/>
        <v>0</v>
      </c>
      <c r="BF332" s="1132" t="str">
        <f t="shared" si="276"/>
        <v>RS-HVC-ADTH-V03-190102</v>
      </c>
      <c r="BG332" s="1132" t="str">
        <f t="shared" si="277"/>
        <v>Nicor Gas PY11-PY14 Adjustable Goals Template_2025-03-01, Tab 5.3.16</v>
      </c>
      <c r="BH332" s="2247">
        <f>'5.3.16'!$S$21</f>
        <v>102.47939999999998</v>
      </c>
      <c r="BI332" s="2505"/>
      <c r="BJ332" s="1362">
        <f t="shared" si="299"/>
        <v>2430.7601282999995</v>
      </c>
      <c r="BK332" s="1360">
        <f t="shared" si="278"/>
        <v>0</v>
      </c>
      <c r="BL332" s="1601">
        <f t="shared" si="279"/>
        <v>2430.7601282999995</v>
      </c>
      <c r="BM332" s="1601">
        <f t="shared" si="280"/>
        <v>2430.7601282999995</v>
      </c>
      <c r="BN332" s="1601">
        <f t="shared" si="281"/>
        <v>2430.7601282999995</v>
      </c>
      <c r="BO332" s="1601">
        <f t="shared" si="282"/>
        <v>2430.7601282999995</v>
      </c>
      <c r="BP332" s="1602">
        <f t="shared" si="283"/>
        <v>9723.0405131999978</v>
      </c>
      <c r="BQ332" s="1629"/>
      <c r="BR332" s="1629" t="s">
        <v>649</v>
      </c>
      <c r="BS332" s="1602">
        <v>0</v>
      </c>
      <c r="BT332" s="1602">
        <v>11</v>
      </c>
      <c r="BU332" s="1602">
        <v>11</v>
      </c>
      <c r="BV332" s="1602">
        <v>11</v>
      </c>
      <c r="BW332" s="1602">
        <v>11</v>
      </c>
      <c r="BX332" s="1362">
        <f t="shared" si="300"/>
        <v>26738.361411299993</v>
      </c>
      <c r="BY332" s="1362">
        <f t="shared" si="301"/>
        <v>26738.361411299993</v>
      </c>
      <c r="BZ332" s="1362">
        <f t="shared" si="302"/>
        <v>26738.361411299993</v>
      </c>
      <c r="CA332" s="1362">
        <f t="shared" si="303"/>
        <v>26738.361411299993</v>
      </c>
      <c r="CB332" s="1362">
        <f t="shared" si="304"/>
        <v>106953.44564519997</v>
      </c>
      <c r="CC332" s="1360">
        <v>11</v>
      </c>
      <c r="CD332" s="1360">
        <v>11</v>
      </c>
      <c r="CE332" s="1360">
        <v>11</v>
      </c>
      <c r="CF332" s="1360">
        <v>11</v>
      </c>
      <c r="CG332" s="1604">
        <f t="shared" si="284"/>
        <v>26738.361411299993</v>
      </c>
      <c r="CH332" s="1604">
        <f t="shared" si="285"/>
        <v>26738.361411299993</v>
      </c>
      <c r="CI332" s="1604">
        <f t="shared" si="286"/>
        <v>26738.361411299993</v>
      </c>
      <c r="CJ332" s="1604">
        <f t="shared" si="287"/>
        <v>26738.361411299993</v>
      </c>
      <c r="CK332" s="1521">
        <f t="shared" si="288"/>
        <v>106953.44564519997</v>
      </c>
      <c r="CL332" s="1132">
        <v>325</v>
      </c>
      <c r="CM332" s="1132" t="s">
        <v>356</v>
      </c>
      <c r="CN332" s="1359">
        <v>1</v>
      </c>
      <c r="CO332" s="1360">
        <v>22.89</v>
      </c>
      <c r="CP332" s="1360">
        <v>22.89</v>
      </c>
      <c r="CQ332" s="1360">
        <v>22.89</v>
      </c>
      <c r="CR332" s="1360">
        <v>22.89</v>
      </c>
      <c r="CS332" s="1362">
        <f t="shared" si="289"/>
        <v>2345.7534659999997</v>
      </c>
      <c r="CT332" s="1362">
        <f t="shared" si="290"/>
        <v>2345.7534659999997</v>
      </c>
      <c r="CU332" s="1362">
        <f t="shared" si="291"/>
        <v>2345.7534659999997</v>
      </c>
      <c r="CV332" s="1362">
        <f t="shared" si="292"/>
        <v>2345.7534659999997</v>
      </c>
      <c r="CW332" s="1362">
        <f t="shared" si="293"/>
        <v>9383.0138639999986</v>
      </c>
      <c r="CY332" s="2887"/>
    </row>
    <row r="333" spans="1:103" s="1143" customFormat="1" ht="44.25" customHeight="1" x14ac:dyDescent="0.35">
      <c r="A333" s="1132" t="s">
        <v>110</v>
      </c>
      <c r="B333" s="1132" t="s">
        <v>830</v>
      </c>
      <c r="C333" s="1132" t="s">
        <v>706</v>
      </c>
      <c r="D333" s="1359" t="s">
        <v>707</v>
      </c>
      <c r="E333" s="1359">
        <v>1</v>
      </c>
      <c r="F333" s="2564" t="s">
        <v>708</v>
      </c>
      <c r="G333" s="1132" t="s">
        <v>328</v>
      </c>
      <c r="H333" s="1360">
        <v>23.7195</v>
      </c>
      <c r="I333" s="1360">
        <v>23.7195</v>
      </c>
      <c r="J333" s="1360">
        <v>23.7195</v>
      </c>
      <c r="K333" s="1360">
        <v>23.7195</v>
      </c>
      <c r="L333" s="1132" t="s">
        <v>709</v>
      </c>
      <c r="M333" s="1132" t="str">
        <f t="shared" si="255"/>
        <v>Nicor Gas PY11-PY14 Adjustable Goals Template_2025-03-01, Tab 5.3.11</v>
      </c>
      <c r="N333" s="1361">
        <v>62.31</v>
      </c>
      <c r="O333" s="1361">
        <v>62.31</v>
      </c>
      <c r="P333" s="1361">
        <v>62.31</v>
      </c>
      <c r="Q333" s="1361">
        <v>62.31</v>
      </c>
      <c r="R333" s="1781">
        <v>1</v>
      </c>
      <c r="S333" s="1781">
        <v>1</v>
      </c>
      <c r="T333" s="1781">
        <v>1</v>
      </c>
      <c r="U333" s="1781">
        <v>1</v>
      </c>
      <c r="V333" s="1781">
        <v>1</v>
      </c>
      <c r="W333" s="1781">
        <v>1</v>
      </c>
      <c r="X333" s="1781">
        <v>1</v>
      </c>
      <c r="Y333" s="1781">
        <v>1</v>
      </c>
      <c r="Z333" s="1359">
        <v>0</v>
      </c>
      <c r="AA333" s="1781">
        <f t="shared" si="256"/>
        <v>1</v>
      </c>
      <c r="AB333" s="1781">
        <f t="shared" si="257"/>
        <v>1</v>
      </c>
      <c r="AC333" s="1781">
        <f t="shared" si="258"/>
        <v>1</v>
      </c>
      <c r="AD333" s="1781">
        <f t="shared" si="259"/>
        <v>1</v>
      </c>
      <c r="AE333" s="1781">
        <f t="shared" si="260"/>
        <v>1</v>
      </c>
      <c r="AF333" s="1781">
        <f t="shared" si="261"/>
        <v>1</v>
      </c>
      <c r="AG333" s="1781">
        <f t="shared" si="262"/>
        <v>1</v>
      </c>
      <c r="AH333" s="1781">
        <f t="shared" si="263"/>
        <v>1</v>
      </c>
      <c r="AI333" s="1362">
        <f t="shared" si="294"/>
        <v>1477.962045</v>
      </c>
      <c r="AJ333" s="1362">
        <f t="shared" si="295"/>
        <v>1477.962045</v>
      </c>
      <c r="AK333" s="1362">
        <f t="shared" si="296"/>
        <v>1477.962045</v>
      </c>
      <c r="AL333" s="1362">
        <f t="shared" si="297"/>
        <v>1477.962045</v>
      </c>
      <c r="AM333" s="1362">
        <f t="shared" si="298"/>
        <v>5911.84818</v>
      </c>
      <c r="AN333" s="1132" t="str">
        <f t="shared" si="264"/>
        <v>RS-HVC-PROG-V05-190101</v>
      </c>
      <c r="AO333" s="1132" t="str">
        <f t="shared" si="265"/>
        <v>Nicor Gas PY11-PY14 Adjustable Goals Template_2025-03-01, Tab 5.3.11</v>
      </c>
      <c r="AP333" s="2247">
        <f>'5.3.11'!$Q$10</f>
        <v>62.31</v>
      </c>
      <c r="AQ333" s="2505"/>
      <c r="AR333" s="2505">
        <f t="shared" si="266"/>
        <v>1477.962045</v>
      </c>
      <c r="AS333" s="2505">
        <f t="shared" si="267"/>
        <v>0</v>
      </c>
      <c r="AT333" s="1132" t="str">
        <f t="shared" si="268"/>
        <v>RS-HVC-PROG-V05-190101</v>
      </c>
      <c r="AU333" s="1132" t="str">
        <f t="shared" si="269"/>
        <v>Nicor Gas PY11-PY14 Adjustable Goals Template_2025-03-01, Tab 5.3.11</v>
      </c>
      <c r="AV333" s="2247">
        <f>'5.3.11'!$Q$10</f>
        <v>62.31</v>
      </c>
      <c r="AW333" s="2505"/>
      <c r="AX333" s="1362">
        <f t="shared" si="270"/>
        <v>1477.962045</v>
      </c>
      <c r="AY333" s="1360">
        <f t="shared" si="271"/>
        <v>0</v>
      </c>
      <c r="AZ333" s="1132" t="str">
        <f t="shared" si="272"/>
        <v>RS-HVC-PROG-V05-190101</v>
      </c>
      <c r="BA333" s="1132" t="str">
        <f t="shared" si="273"/>
        <v>Nicor Gas PY11-PY14 Adjustable Goals Template_2025-03-01, Tab 5.3.11</v>
      </c>
      <c r="BB333" s="2247">
        <f>'5.3.11'!$Q$10</f>
        <v>62.31</v>
      </c>
      <c r="BC333" s="2505"/>
      <c r="BD333" s="1362">
        <f t="shared" si="274"/>
        <v>1477.962045</v>
      </c>
      <c r="BE333" s="1360">
        <f t="shared" si="275"/>
        <v>0</v>
      </c>
      <c r="BF333" s="1132" t="str">
        <f t="shared" si="276"/>
        <v>RS-HVC-PROG-V05-190101</v>
      </c>
      <c r="BG333" s="1132" t="str">
        <f t="shared" si="277"/>
        <v>Nicor Gas PY11-PY14 Adjustable Goals Template_2025-03-01, Tab 5.3.11</v>
      </c>
      <c r="BH333" s="2247">
        <f>'5.3.11'!$Q$10</f>
        <v>62.31</v>
      </c>
      <c r="BI333" s="2505"/>
      <c r="BJ333" s="1362">
        <f t="shared" si="299"/>
        <v>1477.962045</v>
      </c>
      <c r="BK333" s="1360">
        <f t="shared" si="278"/>
        <v>0</v>
      </c>
      <c r="BL333" s="1601">
        <f t="shared" si="279"/>
        <v>1477.962045</v>
      </c>
      <c r="BM333" s="1601">
        <f t="shared" si="280"/>
        <v>1477.962045</v>
      </c>
      <c r="BN333" s="1601">
        <f t="shared" si="281"/>
        <v>1477.962045</v>
      </c>
      <c r="BO333" s="1601">
        <f t="shared" si="282"/>
        <v>1477.962045</v>
      </c>
      <c r="BP333" s="1602">
        <f t="shared" si="283"/>
        <v>5911.84818</v>
      </c>
      <c r="BQ333" s="1629"/>
      <c r="BR333" s="1629" t="s">
        <v>708</v>
      </c>
      <c r="BS333" s="1602">
        <v>0</v>
      </c>
      <c r="BT333" s="1602">
        <v>8</v>
      </c>
      <c r="BU333" s="1602">
        <v>8</v>
      </c>
      <c r="BV333" s="1602">
        <v>8</v>
      </c>
      <c r="BW333" s="1602">
        <v>8</v>
      </c>
      <c r="BX333" s="1362">
        <f t="shared" si="300"/>
        <v>11823.69636</v>
      </c>
      <c r="BY333" s="1362">
        <f t="shared" si="301"/>
        <v>11823.69636</v>
      </c>
      <c r="BZ333" s="1362">
        <f t="shared" si="302"/>
        <v>11823.69636</v>
      </c>
      <c r="CA333" s="1362">
        <f t="shared" si="303"/>
        <v>11823.69636</v>
      </c>
      <c r="CB333" s="1362">
        <f t="shared" si="304"/>
        <v>47294.78544</v>
      </c>
      <c r="CC333" s="1360">
        <v>8</v>
      </c>
      <c r="CD333" s="1360">
        <v>8</v>
      </c>
      <c r="CE333" s="1360">
        <v>8</v>
      </c>
      <c r="CF333" s="1360">
        <v>8</v>
      </c>
      <c r="CG333" s="1604">
        <f t="shared" si="284"/>
        <v>11823.69636</v>
      </c>
      <c r="CH333" s="1604">
        <f t="shared" si="285"/>
        <v>11823.69636</v>
      </c>
      <c r="CI333" s="1604">
        <f t="shared" si="286"/>
        <v>11823.69636</v>
      </c>
      <c r="CJ333" s="1604">
        <f t="shared" si="287"/>
        <v>11823.69636</v>
      </c>
      <c r="CK333" s="1521">
        <f t="shared" si="288"/>
        <v>47294.78544</v>
      </c>
      <c r="CL333" s="1132">
        <v>326</v>
      </c>
      <c r="CM333" s="1132" t="s">
        <v>328</v>
      </c>
      <c r="CN333" s="1359">
        <v>1</v>
      </c>
      <c r="CO333" s="1360">
        <v>22.89</v>
      </c>
      <c r="CP333" s="1360">
        <v>22.89</v>
      </c>
      <c r="CQ333" s="1360">
        <v>22.89</v>
      </c>
      <c r="CR333" s="1360">
        <v>22.89</v>
      </c>
      <c r="CS333" s="1362">
        <f t="shared" si="289"/>
        <v>1426.2759000000001</v>
      </c>
      <c r="CT333" s="1362">
        <f t="shared" si="290"/>
        <v>1426.2759000000001</v>
      </c>
      <c r="CU333" s="1362">
        <f t="shared" si="291"/>
        <v>1426.2759000000001</v>
      </c>
      <c r="CV333" s="1362">
        <f t="shared" si="292"/>
        <v>1426.2759000000001</v>
      </c>
      <c r="CW333" s="1362">
        <f t="shared" si="293"/>
        <v>5705.1036000000004</v>
      </c>
      <c r="CY333" s="2887"/>
    </row>
    <row r="334" spans="1:103" s="1143" customFormat="1" ht="46.5" x14ac:dyDescent="0.35">
      <c r="A334" s="1132" t="s">
        <v>110</v>
      </c>
      <c r="B334" s="1132" t="s">
        <v>830</v>
      </c>
      <c r="C334" s="1132" t="s">
        <v>815</v>
      </c>
      <c r="D334" s="1359" t="s">
        <v>816</v>
      </c>
      <c r="E334" s="1359">
        <v>1</v>
      </c>
      <c r="F334" s="2807" t="s">
        <v>817</v>
      </c>
      <c r="G334" s="1132" t="s">
        <v>356</v>
      </c>
      <c r="H334" s="1360">
        <v>2.5413749999999999</v>
      </c>
      <c r="I334" s="1360">
        <v>2.5413749999999999</v>
      </c>
      <c r="J334" s="1360">
        <v>2.5413749999999999</v>
      </c>
      <c r="K334" s="1360">
        <v>2.5413749999999999</v>
      </c>
      <c r="L334" s="1132" t="s">
        <v>818</v>
      </c>
      <c r="M334" s="1132" t="str">
        <f t="shared" si="255"/>
        <v>Nicor Gas PY11-PY14 Adjustable Goals Template_2025-03-01, Tab 5.3.17</v>
      </c>
      <c r="N334" s="1361">
        <v>245.39718661758747</v>
      </c>
      <c r="O334" s="1361">
        <v>245.39718661758747</v>
      </c>
      <c r="P334" s="1361">
        <v>245.39718661758747</v>
      </c>
      <c r="Q334" s="1361">
        <v>245.39718661758747</v>
      </c>
      <c r="R334" s="1781">
        <v>1</v>
      </c>
      <c r="S334" s="1781">
        <v>1</v>
      </c>
      <c r="T334" s="1781">
        <v>1</v>
      </c>
      <c r="U334" s="1781">
        <v>1</v>
      </c>
      <c r="V334" s="1781">
        <v>1</v>
      </c>
      <c r="W334" s="1781">
        <v>1</v>
      </c>
      <c r="X334" s="1781">
        <v>1</v>
      </c>
      <c r="Y334" s="1781">
        <v>1</v>
      </c>
      <c r="Z334" s="1359">
        <v>0</v>
      </c>
      <c r="AA334" s="1781">
        <f t="shared" si="256"/>
        <v>1</v>
      </c>
      <c r="AB334" s="1781">
        <f t="shared" si="257"/>
        <v>1</v>
      </c>
      <c r="AC334" s="1781">
        <f t="shared" si="258"/>
        <v>1</v>
      </c>
      <c r="AD334" s="1781">
        <f t="shared" si="259"/>
        <v>1</v>
      </c>
      <c r="AE334" s="1781">
        <f t="shared" si="260"/>
        <v>1</v>
      </c>
      <c r="AF334" s="1781">
        <f t="shared" si="261"/>
        <v>1</v>
      </c>
      <c r="AG334" s="1781">
        <f t="shared" si="262"/>
        <v>1</v>
      </c>
      <c r="AH334" s="1781">
        <f t="shared" si="263"/>
        <v>1</v>
      </c>
      <c r="AI334" s="1362">
        <f t="shared" si="294"/>
        <v>623.64627514027131</v>
      </c>
      <c r="AJ334" s="1362">
        <f t="shared" si="295"/>
        <v>623.64627514027131</v>
      </c>
      <c r="AK334" s="1362">
        <f t="shared" si="296"/>
        <v>623.64627514027131</v>
      </c>
      <c r="AL334" s="1362">
        <f t="shared" si="297"/>
        <v>623.64627514027131</v>
      </c>
      <c r="AM334" s="1362">
        <f t="shared" si="298"/>
        <v>2494.5851005610853</v>
      </c>
      <c r="AN334" s="1132" t="str">
        <f t="shared" si="264"/>
        <v>RS-HVC-COMB-V01-190101</v>
      </c>
      <c r="AO334" s="1132" t="str">
        <f t="shared" si="265"/>
        <v>Nicor Gas PY11-PY14 Adjustable Goals Template_2025-03-01, Tab 5.3.17</v>
      </c>
      <c r="AP334" s="2568">
        <f>'5.3.17'!$M$4</f>
        <v>247.46647284694677</v>
      </c>
      <c r="AQ334" s="2568" t="s">
        <v>831</v>
      </c>
      <c r="AR334" s="2505">
        <f t="shared" si="266"/>
        <v>628.90510743140931</v>
      </c>
      <c r="AS334" s="2505">
        <f t="shared" si="267"/>
        <v>5.2588322911379919</v>
      </c>
      <c r="AT334" s="1132" t="str">
        <f t="shared" si="268"/>
        <v>RS-HVC-COMB-V01-190101</v>
      </c>
      <c r="AU334" s="1132" t="str">
        <f t="shared" si="269"/>
        <v>Nicor Gas PY11-PY14 Adjustable Goals Template_2025-03-01, Tab 5.3.17</v>
      </c>
      <c r="AV334" s="2505">
        <f>'5.3.17'!$M$4</f>
        <v>247.46647284694677</v>
      </c>
      <c r="AW334" s="2568" t="s">
        <v>831</v>
      </c>
      <c r="AX334" s="1362">
        <f t="shared" si="270"/>
        <v>628.90510743140931</v>
      </c>
      <c r="AY334" s="1360">
        <f t="shared" si="271"/>
        <v>5.2588322911379919</v>
      </c>
      <c r="AZ334" s="1132" t="str">
        <f t="shared" si="272"/>
        <v>RS-HVC-COMB-V01-190101</v>
      </c>
      <c r="BA334" s="1132" t="str">
        <f t="shared" si="273"/>
        <v>Nicor Gas PY11-PY14 Adjustable Goals Template_2025-03-01, Tab 5.3.17</v>
      </c>
      <c r="BB334" s="2505">
        <f>'5.3.17'!$M$4</f>
        <v>247.46647284694677</v>
      </c>
      <c r="BC334" s="2568" t="s">
        <v>831</v>
      </c>
      <c r="BD334" s="1362">
        <f t="shared" si="274"/>
        <v>628.90510743140931</v>
      </c>
      <c r="BE334" s="1360">
        <f t="shared" si="275"/>
        <v>5.2588322911379919</v>
      </c>
      <c r="BF334" s="1132" t="str">
        <f t="shared" si="276"/>
        <v>RS-HVC-COMB-V01-190101</v>
      </c>
      <c r="BG334" s="1132" t="str">
        <f t="shared" si="277"/>
        <v>Nicor Gas PY11-PY14 Adjustable Goals Template_2025-03-01, Tab 5.3.17</v>
      </c>
      <c r="BH334" s="2505">
        <f>'5.3.17'!$M$4</f>
        <v>247.46647284694677</v>
      </c>
      <c r="BI334" s="2568" t="s">
        <v>831</v>
      </c>
      <c r="BJ334" s="1362">
        <f t="shared" si="299"/>
        <v>628.90510743140931</v>
      </c>
      <c r="BK334" s="1360">
        <f t="shared" si="278"/>
        <v>5.2588322911379919</v>
      </c>
      <c r="BL334" s="1601">
        <f t="shared" si="279"/>
        <v>628.90510743140931</v>
      </c>
      <c r="BM334" s="1601">
        <f t="shared" si="280"/>
        <v>628.90510743140931</v>
      </c>
      <c r="BN334" s="1601">
        <f t="shared" si="281"/>
        <v>628.90510743140931</v>
      </c>
      <c r="BO334" s="1601">
        <f t="shared" si="282"/>
        <v>628.90510743140931</v>
      </c>
      <c r="BP334" s="1602">
        <f t="shared" si="283"/>
        <v>2515.6204297256372</v>
      </c>
      <c r="BQ334" s="1629"/>
      <c r="BR334" s="1629" t="s">
        <v>817</v>
      </c>
      <c r="BS334" s="1602">
        <v>0</v>
      </c>
      <c r="BT334" s="1602">
        <v>21.5</v>
      </c>
      <c r="BU334" s="1602">
        <v>21.5</v>
      </c>
      <c r="BV334" s="1602">
        <v>21.5</v>
      </c>
      <c r="BW334" s="1602">
        <v>21.5</v>
      </c>
      <c r="BX334" s="1362">
        <f t="shared" si="300"/>
        <v>13408.394915515833</v>
      </c>
      <c r="BY334" s="1362">
        <f t="shared" si="301"/>
        <v>13408.394915515833</v>
      </c>
      <c r="BZ334" s="1362">
        <f t="shared" si="302"/>
        <v>13408.394915515833</v>
      </c>
      <c r="CA334" s="1362">
        <f t="shared" si="303"/>
        <v>13408.394915515833</v>
      </c>
      <c r="CB334" s="1362">
        <f t="shared" si="304"/>
        <v>53633.579662063334</v>
      </c>
      <c r="CC334" s="1360">
        <v>21.5</v>
      </c>
      <c r="CD334" s="1360">
        <v>21.5</v>
      </c>
      <c r="CE334" s="1360">
        <v>21.5</v>
      </c>
      <c r="CF334" s="1360">
        <v>21.5</v>
      </c>
      <c r="CG334" s="1604">
        <f t="shared" si="284"/>
        <v>13521.459809775301</v>
      </c>
      <c r="CH334" s="1604">
        <f t="shared" si="285"/>
        <v>13521.459809775301</v>
      </c>
      <c r="CI334" s="1604">
        <f t="shared" si="286"/>
        <v>13521.459809775301</v>
      </c>
      <c r="CJ334" s="1604">
        <f t="shared" si="287"/>
        <v>13521.459809775301</v>
      </c>
      <c r="CK334" s="1521">
        <f t="shared" si="288"/>
        <v>54085.839239101202</v>
      </c>
      <c r="CL334" s="1132">
        <v>327</v>
      </c>
      <c r="CM334" s="1132" t="s">
        <v>356</v>
      </c>
      <c r="CN334" s="1359">
        <v>1</v>
      </c>
      <c r="CO334" s="1360">
        <v>2.4525000000000001</v>
      </c>
      <c r="CP334" s="1360">
        <v>2.4525000000000001</v>
      </c>
      <c r="CQ334" s="1360">
        <v>2.4525000000000001</v>
      </c>
      <c r="CR334" s="1360">
        <v>2.4525000000000001</v>
      </c>
      <c r="CS334" s="1362">
        <f t="shared" si="289"/>
        <v>601.83660017963325</v>
      </c>
      <c r="CT334" s="1362">
        <f t="shared" si="290"/>
        <v>601.83660017963325</v>
      </c>
      <c r="CU334" s="1362">
        <f t="shared" si="291"/>
        <v>601.83660017963325</v>
      </c>
      <c r="CV334" s="1362">
        <f t="shared" si="292"/>
        <v>601.83660017963325</v>
      </c>
      <c r="CW334" s="1362">
        <f t="shared" si="293"/>
        <v>2407.346400718533</v>
      </c>
      <c r="CY334" s="2887"/>
    </row>
    <row r="335" spans="1:103" s="1143" customFormat="1" ht="46.5" x14ac:dyDescent="0.35">
      <c r="A335" s="1132" t="s">
        <v>110</v>
      </c>
      <c r="B335" s="1132" t="s">
        <v>830</v>
      </c>
      <c r="C335" s="1132" t="s">
        <v>629</v>
      </c>
      <c r="D335" s="1359" t="s">
        <v>630</v>
      </c>
      <c r="E335" s="1359">
        <v>1</v>
      </c>
      <c r="F335" s="2564" t="s">
        <v>631</v>
      </c>
      <c r="G335" s="1132" t="s">
        <v>356</v>
      </c>
      <c r="H335" s="1360">
        <v>6.7769999999999992</v>
      </c>
      <c r="I335" s="1360">
        <v>6.7769999999999992</v>
      </c>
      <c r="J335" s="1360">
        <v>6.7769999999999992</v>
      </c>
      <c r="K335" s="1360">
        <v>6.7769999999999992</v>
      </c>
      <c r="L335" s="1132" t="s">
        <v>632</v>
      </c>
      <c r="M335" s="1132" t="str">
        <f t="shared" si="255"/>
        <v>Nicor Gas PY11-PY14 Adjustable Goals Template_2025-03-01, Tab 5.3.7</v>
      </c>
      <c r="N335" s="1361">
        <v>185.21062775919711</v>
      </c>
      <c r="O335" s="1361">
        <v>185.21062775919711</v>
      </c>
      <c r="P335" s="1361">
        <v>185.21062775919711</v>
      </c>
      <c r="Q335" s="1361">
        <v>185.21062775919711</v>
      </c>
      <c r="R335" s="1781">
        <v>1</v>
      </c>
      <c r="S335" s="1781">
        <v>1</v>
      </c>
      <c r="T335" s="1781">
        <v>1</v>
      </c>
      <c r="U335" s="1781">
        <v>1</v>
      </c>
      <c r="V335" s="1781">
        <v>1</v>
      </c>
      <c r="W335" s="1781">
        <v>1</v>
      </c>
      <c r="X335" s="1781">
        <v>1</v>
      </c>
      <c r="Y335" s="1781">
        <v>1</v>
      </c>
      <c r="Z335" s="1359">
        <v>0</v>
      </c>
      <c r="AA335" s="1781">
        <f t="shared" si="256"/>
        <v>1</v>
      </c>
      <c r="AB335" s="1781">
        <f t="shared" si="257"/>
        <v>1</v>
      </c>
      <c r="AC335" s="1781">
        <f t="shared" si="258"/>
        <v>1</v>
      </c>
      <c r="AD335" s="1781">
        <f t="shared" si="259"/>
        <v>1</v>
      </c>
      <c r="AE335" s="1781">
        <f t="shared" si="260"/>
        <v>1</v>
      </c>
      <c r="AF335" s="1781">
        <f t="shared" si="261"/>
        <v>1</v>
      </c>
      <c r="AG335" s="1781">
        <f t="shared" si="262"/>
        <v>1</v>
      </c>
      <c r="AH335" s="1781">
        <f t="shared" si="263"/>
        <v>1</v>
      </c>
      <c r="AI335" s="1362">
        <f t="shared" si="294"/>
        <v>1255.1724243240787</v>
      </c>
      <c r="AJ335" s="1362">
        <f t="shared" si="295"/>
        <v>1255.1724243240787</v>
      </c>
      <c r="AK335" s="1362">
        <f t="shared" si="296"/>
        <v>1255.1724243240787</v>
      </c>
      <c r="AL335" s="1362">
        <f t="shared" si="297"/>
        <v>1255.1724243240787</v>
      </c>
      <c r="AM335" s="1362">
        <f t="shared" si="298"/>
        <v>5020.689697296315</v>
      </c>
      <c r="AN335" s="1132" t="str">
        <f t="shared" si="264"/>
        <v>RS-HVC-GHEF-V08-190101</v>
      </c>
      <c r="AO335" s="1132" t="str">
        <f t="shared" si="265"/>
        <v>Nicor Gas PY11-PY14 Adjustable Goals Template_2025-03-01, Tab 5.3.7</v>
      </c>
      <c r="AP335" s="2505">
        <f>'5.3.7'!$P$4</f>
        <v>185.21062775919711</v>
      </c>
      <c r="AQ335" s="2505"/>
      <c r="AR335" s="2505">
        <f t="shared" si="266"/>
        <v>1255.1724243240787</v>
      </c>
      <c r="AS335" s="2505">
        <f t="shared" si="267"/>
        <v>0</v>
      </c>
      <c r="AT335" s="1132" t="str">
        <f t="shared" si="268"/>
        <v>RS-HVC-GHEF-V08-190101</v>
      </c>
      <c r="AU335" s="1132" t="str">
        <f t="shared" si="269"/>
        <v>Nicor Gas PY11-PY14 Adjustable Goals Template_2025-03-01, Tab 5.3.7</v>
      </c>
      <c r="AV335" s="2505">
        <f>'5.3.7'!$P$4</f>
        <v>185.21062775919711</v>
      </c>
      <c r="AW335" s="2505"/>
      <c r="AX335" s="1362">
        <f t="shared" si="270"/>
        <v>1255.1724243240787</v>
      </c>
      <c r="AY335" s="1360">
        <f t="shared" si="271"/>
        <v>0</v>
      </c>
      <c r="AZ335" s="1132" t="str">
        <f t="shared" si="272"/>
        <v>RS-HVC-GHEF-V08-190101</v>
      </c>
      <c r="BA335" s="1132" t="str">
        <f t="shared" si="273"/>
        <v>Nicor Gas PY11-PY14 Adjustable Goals Template_2025-03-01, Tab 5.3.7</v>
      </c>
      <c r="BB335" s="2505">
        <f>'5.3.7'!$P$4</f>
        <v>185.21062775919711</v>
      </c>
      <c r="BC335" s="2505"/>
      <c r="BD335" s="1362">
        <f t="shared" si="274"/>
        <v>1255.1724243240787</v>
      </c>
      <c r="BE335" s="1360">
        <f t="shared" si="275"/>
        <v>0</v>
      </c>
      <c r="BF335" s="1132" t="str">
        <f t="shared" si="276"/>
        <v>RS-HVC-GHEF-V08-190101</v>
      </c>
      <c r="BG335" s="1132" t="str">
        <f t="shared" si="277"/>
        <v>Nicor Gas PY11-PY14 Adjustable Goals Template_2025-03-01, Tab 5.3.7</v>
      </c>
      <c r="BH335" s="2505">
        <f>'5.3.7'!$P$4</f>
        <v>185.21062775919711</v>
      </c>
      <c r="BI335" s="2505"/>
      <c r="BJ335" s="1362">
        <f t="shared" si="299"/>
        <v>1255.1724243240787</v>
      </c>
      <c r="BK335" s="1360">
        <f t="shared" si="278"/>
        <v>0</v>
      </c>
      <c r="BL335" s="1601">
        <f t="shared" si="279"/>
        <v>1255.1724243240787</v>
      </c>
      <c r="BM335" s="1601">
        <f t="shared" si="280"/>
        <v>1255.1724243240787</v>
      </c>
      <c r="BN335" s="1601">
        <f t="shared" si="281"/>
        <v>1255.1724243240787</v>
      </c>
      <c r="BO335" s="1601">
        <f t="shared" si="282"/>
        <v>1255.1724243240787</v>
      </c>
      <c r="BP335" s="1602">
        <f t="shared" si="283"/>
        <v>5020.689697296315</v>
      </c>
      <c r="BQ335" s="1629"/>
      <c r="BR335" s="1629" t="s">
        <v>631</v>
      </c>
      <c r="BS335" s="1602">
        <v>0</v>
      </c>
      <c r="BT335" s="1602">
        <v>20</v>
      </c>
      <c r="BU335" s="1602">
        <v>20</v>
      </c>
      <c r="BV335" s="1602">
        <v>20</v>
      </c>
      <c r="BW335" s="1602">
        <v>20</v>
      </c>
      <c r="BX335" s="1362">
        <f t="shared" si="300"/>
        <v>25103.448486481575</v>
      </c>
      <c r="BY335" s="1362">
        <f t="shared" si="301"/>
        <v>25103.448486481575</v>
      </c>
      <c r="BZ335" s="1362">
        <f t="shared" si="302"/>
        <v>25103.448486481575</v>
      </c>
      <c r="CA335" s="1362">
        <f t="shared" si="303"/>
        <v>25103.448486481575</v>
      </c>
      <c r="CB335" s="1362">
        <f t="shared" si="304"/>
        <v>100413.7939459263</v>
      </c>
      <c r="CC335" s="1360">
        <v>20</v>
      </c>
      <c r="CD335" s="1360">
        <v>20</v>
      </c>
      <c r="CE335" s="1360">
        <v>20</v>
      </c>
      <c r="CF335" s="1360">
        <v>20</v>
      </c>
      <c r="CG335" s="1604">
        <f t="shared" si="284"/>
        <v>25103.448486481575</v>
      </c>
      <c r="CH335" s="1604">
        <f t="shared" si="285"/>
        <v>25103.448486481575</v>
      </c>
      <c r="CI335" s="1604">
        <f t="shared" si="286"/>
        <v>25103.448486481575</v>
      </c>
      <c r="CJ335" s="1604">
        <f t="shared" si="287"/>
        <v>25103.448486481575</v>
      </c>
      <c r="CK335" s="1521">
        <f t="shared" si="288"/>
        <v>100413.7939459263</v>
      </c>
      <c r="CL335" s="1132">
        <v>328</v>
      </c>
      <c r="CM335" s="1132" t="s">
        <v>356</v>
      </c>
      <c r="CN335" s="1359">
        <v>1</v>
      </c>
      <c r="CO335" s="1360">
        <v>6.5400000000000009</v>
      </c>
      <c r="CP335" s="1360">
        <v>6.5400000000000009</v>
      </c>
      <c r="CQ335" s="1360">
        <v>6.5400000000000009</v>
      </c>
      <c r="CR335" s="1360">
        <v>6.5400000000000009</v>
      </c>
      <c r="CS335" s="1362">
        <f t="shared" si="289"/>
        <v>1211.2775055451493</v>
      </c>
      <c r="CT335" s="1362">
        <f t="shared" si="290"/>
        <v>1211.2775055451493</v>
      </c>
      <c r="CU335" s="1362">
        <f t="shared" si="291"/>
        <v>1211.2775055451493</v>
      </c>
      <c r="CV335" s="1362">
        <f t="shared" si="292"/>
        <v>1211.2775055451493</v>
      </c>
      <c r="CW335" s="1362">
        <f t="shared" si="293"/>
        <v>4845.1100221805973</v>
      </c>
      <c r="CY335" s="2887"/>
    </row>
    <row r="336" spans="1:103" s="1143" customFormat="1" ht="46.5" x14ac:dyDescent="0.35">
      <c r="A336" s="1132" t="s">
        <v>110</v>
      </c>
      <c r="B336" s="1132" t="s">
        <v>830</v>
      </c>
      <c r="C336" s="1132" t="s">
        <v>693</v>
      </c>
      <c r="D336" s="1359" t="s">
        <v>694</v>
      </c>
      <c r="E336" s="1359">
        <v>1</v>
      </c>
      <c r="F336" s="2807" t="s">
        <v>691</v>
      </c>
      <c r="G336" s="1132" t="s">
        <v>328</v>
      </c>
      <c r="H336" s="1360">
        <v>59.298749999999998</v>
      </c>
      <c r="I336" s="1360">
        <v>59.298749999999998</v>
      </c>
      <c r="J336" s="1360">
        <v>59.298749999999998</v>
      </c>
      <c r="K336" s="1360">
        <v>59.298749999999998</v>
      </c>
      <c r="L336" s="1132" t="s">
        <v>692</v>
      </c>
      <c r="M336" s="1132" t="str">
        <f t="shared" si="255"/>
        <v>Nicor Gas PY11-PY14 Adjustable Goals Template_2025-03-01, Tab 5.4.5</v>
      </c>
      <c r="N336" s="2245">
        <v>8.7915245234198895</v>
      </c>
      <c r="O336" s="1361">
        <v>8.7915245234198895</v>
      </c>
      <c r="P336" s="1361">
        <v>8.7915245234198895</v>
      </c>
      <c r="Q336" s="1361">
        <v>8.7915245234198895</v>
      </c>
      <c r="R336" s="1781">
        <v>1</v>
      </c>
      <c r="S336" s="1781">
        <v>1</v>
      </c>
      <c r="T336" s="1781">
        <v>1</v>
      </c>
      <c r="U336" s="1781">
        <v>1</v>
      </c>
      <c r="V336" s="1781">
        <v>1</v>
      </c>
      <c r="W336" s="1781">
        <v>1</v>
      </c>
      <c r="X336" s="1781">
        <v>1</v>
      </c>
      <c r="Y336" s="1781">
        <v>1</v>
      </c>
      <c r="Z336" s="1359">
        <v>0</v>
      </c>
      <c r="AA336" s="1781">
        <f t="shared" si="256"/>
        <v>1</v>
      </c>
      <c r="AB336" s="1781">
        <f t="shared" si="257"/>
        <v>1</v>
      </c>
      <c r="AC336" s="1781">
        <f t="shared" si="258"/>
        <v>1</v>
      </c>
      <c r="AD336" s="1781">
        <f t="shared" si="259"/>
        <v>1</v>
      </c>
      <c r="AE336" s="1781">
        <f t="shared" si="260"/>
        <v>1</v>
      </c>
      <c r="AF336" s="1781">
        <f t="shared" si="261"/>
        <v>1</v>
      </c>
      <c r="AG336" s="1781">
        <f t="shared" si="262"/>
        <v>1</v>
      </c>
      <c r="AH336" s="1781">
        <f t="shared" si="263"/>
        <v>1</v>
      </c>
      <c r="AI336" s="1362">
        <f t="shared" si="294"/>
        <v>521.32641483314512</v>
      </c>
      <c r="AJ336" s="1362">
        <f t="shared" si="295"/>
        <v>521.32641483314512</v>
      </c>
      <c r="AK336" s="1362">
        <f t="shared" si="296"/>
        <v>521.32641483314512</v>
      </c>
      <c r="AL336" s="1362">
        <f t="shared" si="297"/>
        <v>521.32641483314512</v>
      </c>
      <c r="AM336" s="1362">
        <f t="shared" si="298"/>
        <v>2085.3056593325805</v>
      </c>
      <c r="AN336" s="1132" t="str">
        <f t="shared" si="264"/>
        <v>RS-HWE-LFSH-V06-190101</v>
      </c>
      <c r="AO336" s="1132" t="str">
        <f t="shared" si="265"/>
        <v>Nicor Gas PY11-PY14 Adjustable Goals Template_2025-03-01, Tab 5.4.5</v>
      </c>
      <c r="AP336" s="2737">
        <f>'5.4.5'!$P$13</f>
        <v>9.4758946959016797</v>
      </c>
      <c r="AQ336" s="2568" t="s">
        <v>557</v>
      </c>
      <c r="AR336" s="2505">
        <f t="shared" si="266"/>
        <v>561.90871059859967</v>
      </c>
      <c r="AS336" s="2505">
        <f t="shared" si="267"/>
        <v>40.582295765454546</v>
      </c>
      <c r="AT336" s="1132" t="str">
        <f t="shared" si="268"/>
        <v>RS-HWE-LFSH-V06-190101</v>
      </c>
      <c r="AU336" s="1132" t="str">
        <f t="shared" si="269"/>
        <v>Nicor Gas PY11-PY14 Adjustable Goals Template_2025-03-01, Tab 5.4.5</v>
      </c>
      <c r="AV336" s="2508">
        <f>'5.4.5'!$P$13</f>
        <v>9.4758946959016797</v>
      </c>
      <c r="AW336" s="2568" t="s">
        <v>557</v>
      </c>
      <c r="AX336" s="1362">
        <f t="shared" si="270"/>
        <v>561.90871059859967</v>
      </c>
      <c r="AY336" s="1360">
        <f t="shared" si="271"/>
        <v>40.582295765454546</v>
      </c>
      <c r="AZ336" s="1132" t="str">
        <f t="shared" si="272"/>
        <v>RS-HWE-LFSH-V06-190101</v>
      </c>
      <c r="BA336" s="1132" t="str">
        <f t="shared" si="273"/>
        <v>Nicor Gas PY11-PY14 Adjustable Goals Template_2025-03-01, Tab 5.4.5</v>
      </c>
      <c r="BB336" s="2508">
        <f>'5.4.5'!$P$13</f>
        <v>9.4758946959016797</v>
      </c>
      <c r="BC336" s="2568" t="s">
        <v>557</v>
      </c>
      <c r="BD336" s="1362">
        <f t="shared" si="274"/>
        <v>561.90871059859967</v>
      </c>
      <c r="BE336" s="1360">
        <f t="shared" si="275"/>
        <v>40.582295765454546</v>
      </c>
      <c r="BF336" s="1132" t="str">
        <f t="shared" si="276"/>
        <v>RS-HWE-LFSH-V06-190101</v>
      </c>
      <c r="BG336" s="1132" t="str">
        <f t="shared" si="277"/>
        <v>Nicor Gas PY11-PY14 Adjustable Goals Template_2025-03-01, Tab 5.4.5</v>
      </c>
      <c r="BH336" s="2508">
        <f>'5.4.5'!$P$13</f>
        <v>9.4758946959016797</v>
      </c>
      <c r="BI336" s="2568" t="s">
        <v>557</v>
      </c>
      <c r="BJ336" s="1362">
        <f t="shared" si="299"/>
        <v>561.90871059859967</v>
      </c>
      <c r="BK336" s="1360">
        <f t="shared" si="278"/>
        <v>40.582295765454546</v>
      </c>
      <c r="BL336" s="1601">
        <f t="shared" si="279"/>
        <v>561.90871059859967</v>
      </c>
      <c r="BM336" s="1601">
        <f t="shared" si="280"/>
        <v>561.90871059859967</v>
      </c>
      <c r="BN336" s="1601">
        <f t="shared" si="281"/>
        <v>561.90871059859967</v>
      </c>
      <c r="BO336" s="1601">
        <f t="shared" si="282"/>
        <v>561.90871059859967</v>
      </c>
      <c r="BP336" s="1602">
        <f t="shared" si="283"/>
        <v>2247.6348423943987</v>
      </c>
      <c r="BQ336" s="1629"/>
      <c r="BR336" s="1629" t="s">
        <v>691</v>
      </c>
      <c r="BS336" s="1602">
        <v>0</v>
      </c>
      <c r="BT336" s="1602">
        <v>10</v>
      </c>
      <c r="BU336" s="1602">
        <v>10</v>
      </c>
      <c r="BV336" s="1602">
        <v>10</v>
      </c>
      <c r="BW336" s="1602">
        <v>10</v>
      </c>
      <c r="BX336" s="1362">
        <f t="shared" si="300"/>
        <v>5213.264148331451</v>
      </c>
      <c r="BY336" s="1362">
        <f t="shared" si="301"/>
        <v>5213.264148331451</v>
      </c>
      <c r="BZ336" s="1362">
        <f t="shared" si="302"/>
        <v>5213.264148331451</v>
      </c>
      <c r="CA336" s="1362">
        <f t="shared" si="303"/>
        <v>5213.264148331451</v>
      </c>
      <c r="CB336" s="1362">
        <f t="shared" si="304"/>
        <v>20853.056593325804</v>
      </c>
      <c r="CC336" s="1360">
        <v>10</v>
      </c>
      <c r="CD336" s="1360">
        <v>10</v>
      </c>
      <c r="CE336" s="1360">
        <v>10</v>
      </c>
      <c r="CF336" s="1360">
        <v>10</v>
      </c>
      <c r="CG336" s="1604">
        <f t="shared" si="284"/>
        <v>5619.0871059859965</v>
      </c>
      <c r="CH336" s="1604">
        <f t="shared" si="285"/>
        <v>5619.0871059859965</v>
      </c>
      <c r="CI336" s="1604">
        <f t="shared" si="286"/>
        <v>5619.0871059859965</v>
      </c>
      <c r="CJ336" s="1604">
        <f t="shared" si="287"/>
        <v>5619.0871059859965</v>
      </c>
      <c r="CK336" s="1521">
        <f t="shared" si="288"/>
        <v>22476.348423943986</v>
      </c>
      <c r="CL336" s="1132">
        <v>329</v>
      </c>
      <c r="CM336" s="1132" t="s">
        <v>328</v>
      </c>
      <c r="CN336" s="1359">
        <v>1</v>
      </c>
      <c r="CO336" s="1360">
        <v>57.225000000000001</v>
      </c>
      <c r="CP336" s="1360">
        <v>57.225000000000001</v>
      </c>
      <c r="CQ336" s="1360">
        <v>57.225000000000001</v>
      </c>
      <c r="CR336" s="1360">
        <v>57.225000000000001</v>
      </c>
      <c r="CS336" s="1362">
        <f t="shared" si="289"/>
        <v>503.09499085270318</v>
      </c>
      <c r="CT336" s="1362">
        <f t="shared" si="290"/>
        <v>503.09499085270318</v>
      </c>
      <c r="CU336" s="1362">
        <f t="shared" si="291"/>
        <v>503.09499085270318</v>
      </c>
      <c r="CV336" s="1362">
        <f t="shared" si="292"/>
        <v>503.09499085270318</v>
      </c>
      <c r="CW336" s="1362">
        <f t="shared" si="293"/>
        <v>2012.3799634108127</v>
      </c>
      <c r="CY336" s="2887"/>
    </row>
    <row r="337" spans="1:103" s="1143" customFormat="1" ht="46.5" x14ac:dyDescent="0.35">
      <c r="A337" s="1132" t="s">
        <v>110</v>
      </c>
      <c r="B337" s="1132" t="s">
        <v>830</v>
      </c>
      <c r="C337" s="1132" t="s">
        <v>699</v>
      </c>
      <c r="D337" s="1359" t="s">
        <v>700</v>
      </c>
      <c r="E337" s="1359">
        <v>1</v>
      </c>
      <c r="F337" s="2807" t="s">
        <v>697</v>
      </c>
      <c r="G337" s="1132" t="s">
        <v>328</v>
      </c>
      <c r="H337" s="1360">
        <v>238.042125</v>
      </c>
      <c r="I337" s="1360">
        <v>238.042125</v>
      </c>
      <c r="J337" s="1360">
        <v>238.042125</v>
      </c>
      <c r="K337" s="1360">
        <v>238.042125</v>
      </c>
      <c r="L337" s="1132" t="s">
        <v>698</v>
      </c>
      <c r="M337" s="1132" t="str">
        <f t="shared" si="255"/>
        <v>Nicor Gas PY11-PY14 Adjustable Goals Template_2025-03-01, Tab 5.4.4</v>
      </c>
      <c r="N337" s="1361">
        <v>2.7869147711999975</v>
      </c>
      <c r="O337" s="1361">
        <v>2.7869147711999975</v>
      </c>
      <c r="P337" s="1361">
        <v>2.7869147711999975</v>
      </c>
      <c r="Q337" s="1361">
        <v>2.7869147711999975</v>
      </c>
      <c r="R337" s="1781">
        <v>1</v>
      </c>
      <c r="S337" s="1781">
        <v>1</v>
      </c>
      <c r="T337" s="1781">
        <v>1</v>
      </c>
      <c r="U337" s="1781">
        <v>1</v>
      </c>
      <c r="V337" s="1781">
        <v>1</v>
      </c>
      <c r="W337" s="1781">
        <v>1</v>
      </c>
      <c r="X337" s="1781">
        <v>1</v>
      </c>
      <c r="Y337" s="1781">
        <v>1</v>
      </c>
      <c r="Z337" s="1359">
        <v>0</v>
      </c>
      <c r="AA337" s="1781">
        <f t="shared" si="256"/>
        <v>1</v>
      </c>
      <c r="AB337" s="1781">
        <f t="shared" si="257"/>
        <v>1</v>
      </c>
      <c r="AC337" s="1781">
        <f t="shared" si="258"/>
        <v>1</v>
      </c>
      <c r="AD337" s="1781">
        <f t="shared" si="259"/>
        <v>1</v>
      </c>
      <c r="AE337" s="1781">
        <f t="shared" si="260"/>
        <v>1</v>
      </c>
      <c r="AF337" s="1781">
        <f t="shared" si="261"/>
        <v>1</v>
      </c>
      <c r="AG337" s="1781">
        <f t="shared" si="262"/>
        <v>1</v>
      </c>
      <c r="AH337" s="1781">
        <f t="shared" si="263"/>
        <v>1</v>
      </c>
      <c r="AI337" s="1362">
        <f t="shared" si="294"/>
        <v>663.40311433033617</v>
      </c>
      <c r="AJ337" s="1362">
        <f t="shared" si="295"/>
        <v>663.40311433033617</v>
      </c>
      <c r="AK337" s="1362">
        <f t="shared" si="296"/>
        <v>663.40311433033617</v>
      </c>
      <c r="AL337" s="1362">
        <f t="shared" si="297"/>
        <v>663.40311433033617</v>
      </c>
      <c r="AM337" s="1362">
        <f t="shared" si="298"/>
        <v>2653.6124573213447</v>
      </c>
      <c r="AN337" s="1132" t="str">
        <f t="shared" si="264"/>
        <v>RS-HWE-LFFA-V07-190101</v>
      </c>
      <c r="AO337" s="1132" t="str">
        <f t="shared" si="265"/>
        <v>Nicor Gas PY11-PY14 Adjustable Goals Template_2025-03-01, Tab 5.4.4</v>
      </c>
      <c r="AP337" s="2738">
        <f>'5.4.4'!$O$12</f>
        <v>3.0219557759999969</v>
      </c>
      <c r="AQ337" s="2568" t="s">
        <v>481</v>
      </c>
      <c r="AR337" s="2505">
        <f t="shared" si="266"/>
        <v>719.35277457506322</v>
      </c>
      <c r="AS337" s="2505">
        <f t="shared" si="267"/>
        <v>55.949660244727056</v>
      </c>
      <c r="AT337" s="1132" t="str">
        <f t="shared" si="268"/>
        <v>RS-HWE-LFFA-V07-190101</v>
      </c>
      <c r="AU337" s="1132" t="str">
        <f t="shared" si="269"/>
        <v>Nicor Gas PY11-PY14 Adjustable Goals Template_2025-03-01, Tab 5.4.4</v>
      </c>
      <c r="AV337" s="2247">
        <f>'5.4.4'!$O$12</f>
        <v>3.0219557759999969</v>
      </c>
      <c r="AW337" s="2568" t="s">
        <v>481</v>
      </c>
      <c r="AX337" s="1362">
        <f t="shared" si="270"/>
        <v>719.35277457506322</v>
      </c>
      <c r="AY337" s="1360">
        <f t="shared" si="271"/>
        <v>55.949660244727056</v>
      </c>
      <c r="AZ337" s="1132" t="str">
        <f t="shared" si="272"/>
        <v>RS-HWE-LFFA-V07-190101</v>
      </c>
      <c r="BA337" s="1132" t="str">
        <f t="shared" si="273"/>
        <v>Nicor Gas PY11-PY14 Adjustable Goals Template_2025-03-01, Tab 5.4.4</v>
      </c>
      <c r="BB337" s="2247">
        <f>'5.4.4'!$O$12</f>
        <v>3.0219557759999969</v>
      </c>
      <c r="BC337" s="2568" t="s">
        <v>481</v>
      </c>
      <c r="BD337" s="1362">
        <f t="shared" si="274"/>
        <v>719.35277457506322</v>
      </c>
      <c r="BE337" s="1360">
        <f t="shared" si="275"/>
        <v>55.949660244727056</v>
      </c>
      <c r="BF337" s="1132" t="str">
        <f t="shared" si="276"/>
        <v>RS-HWE-LFFA-V07-190101</v>
      </c>
      <c r="BG337" s="1132" t="str">
        <f t="shared" si="277"/>
        <v>Nicor Gas PY11-PY14 Adjustable Goals Template_2025-03-01, Tab 5.4.4</v>
      </c>
      <c r="BH337" s="2247">
        <f>'5.4.4'!$O$12</f>
        <v>3.0219557759999969</v>
      </c>
      <c r="BI337" s="2568" t="s">
        <v>481</v>
      </c>
      <c r="BJ337" s="1362">
        <f t="shared" si="299"/>
        <v>719.35277457506322</v>
      </c>
      <c r="BK337" s="1360">
        <f t="shared" si="278"/>
        <v>55.949660244727056</v>
      </c>
      <c r="BL337" s="1601">
        <f t="shared" si="279"/>
        <v>719.35277457506322</v>
      </c>
      <c r="BM337" s="1601">
        <f t="shared" si="280"/>
        <v>719.35277457506322</v>
      </c>
      <c r="BN337" s="1601">
        <f t="shared" si="281"/>
        <v>719.35277457506322</v>
      </c>
      <c r="BO337" s="1601">
        <f t="shared" si="282"/>
        <v>719.35277457506322</v>
      </c>
      <c r="BP337" s="1602">
        <f t="shared" si="283"/>
        <v>2877.4110983002529</v>
      </c>
      <c r="BQ337" s="1629"/>
      <c r="BR337" s="1629" t="s">
        <v>697</v>
      </c>
      <c r="BS337" s="1602">
        <v>0</v>
      </c>
      <c r="BT337" s="1602">
        <v>10</v>
      </c>
      <c r="BU337" s="1602">
        <v>10</v>
      </c>
      <c r="BV337" s="1602">
        <v>10</v>
      </c>
      <c r="BW337" s="1602">
        <v>10</v>
      </c>
      <c r="BX337" s="1362">
        <f t="shared" si="300"/>
        <v>6634.0311433033621</v>
      </c>
      <c r="BY337" s="1362">
        <f t="shared" si="301"/>
        <v>6634.0311433033621</v>
      </c>
      <c r="BZ337" s="1362">
        <f t="shared" si="302"/>
        <v>6634.0311433033621</v>
      </c>
      <c r="CA337" s="1362">
        <f t="shared" si="303"/>
        <v>6634.0311433033621</v>
      </c>
      <c r="CB337" s="1362">
        <f t="shared" si="304"/>
        <v>26536.124573213448</v>
      </c>
      <c r="CC337" s="1360">
        <v>10</v>
      </c>
      <c r="CD337" s="1360">
        <v>10</v>
      </c>
      <c r="CE337" s="1360">
        <v>10</v>
      </c>
      <c r="CF337" s="1360">
        <v>10</v>
      </c>
      <c r="CG337" s="1604">
        <f t="shared" si="284"/>
        <v>7193.5277457506327</v>
      </c>
      <c r="CH337" s="1604">
        <f t="shared" si="285"/>
        <v>7193.5277457506327</v>
      </c>
      <c r="CI337" s="1604">
        <f t="shared" si="286"/>
        <v>7193.5277457506327</v>
      </c>
      <c r="CJ337" s="1604">
        <f t="shared" si="287"/>
        <v>7193.5277457506327</v>
      </c>
      <c r="CK337" s="1521">
        <f t="shared" si="288"/>
        <v>28774.110983002531</v>
      </c>
      <c r="CL337" s="1132">
        <v>330</v>
      </c>
      <c r="CM337" s="1132" t="s">
        <v>328</v>
      </c>
      <c r="CN337" s="1359">
        <v>1</v>
      </c>
      <c r="CO337" s="1360">
        <v>229.71750000000003</v>
      </c>
      <c r="CP337" s="1360">
        <v>229.71750000000003</v>
      </c>
      <c r="CQ337" s="1360">
        <v>229.71750000000003</v>
      </c>
      <c r="CR337" s="1360">
        <v>229.71750000000003</v>
      </c>
      <c r="CS337" s="1362">
        <f t="shared" si="289"/>
        <v>640.20309395313552</v>
      </c>
      <c r="CT337" s="1362">
        <f t="shared" si="290"/>
        <v>640.20309395313552</v>
      </c>
      <c r="CU337" s="1362">
        <f t="shared" si="291"/>
        <v>640.20309395313552</v>
      </c>
      <c r="CV337" s="1362">
        <f t="shared" si="292"/>
        <v>640.20309395313552</v>
      </c>
      <c r="CW337" s="1362">
        <f t="shared" si="293"/>
        <v>2560.8123758125421</v>
      </c>
      <c r="CY337" s="2887"/>
    </row>
    <row r="338" spans="1:103" s="1143" customFormat="1" ht="46.5" x14ac:dyDescent="0.35">
      <c r="A338" s="1132" t="s">
        <v>110</v>
      </c>
      <c r="B338" s="1132" t="s">
        <v>830</v>
      </c>
      <c r="C338" s="1132" t="s">
        <v>695</v>
      </c>
      <c r="D338" s="1359" t="s">
        <v>696</v>
      </c>
      <c r="E338" s="1359">
        <v>1</v>
      </c>
      <c r="F338" s="2807" t="s">
        <v>697</v>
      </c>
      <c r="G338" s="1132" t="s">
        <v>328</v>
      </c>
      <c r="H338" s="1360">
        <v>412.54987499999999</v>
      </c>
      <c r="I338" s="1360">
        <v>412.54987499999999</v>
      </c>
      <c r="J338" s="1360">
        <v>412.54987499999999</v>
      </c>
      <c r="K338" s="1360">
        <v>412.54987499999999</v>
      </c>
      <c r="L338" s="1132" t="s">
        <v>698</v>
      </c>
      <c r="M338" s="1132" t="str">
        <f t="shared" si="255"/>
        <v>Nicor Gas PY11-PY14 Adjustable Goals Template_2025-03-01, Tab 5.4.4</v>
      </c>
      <c r="N338" s="1361">
        <v>0.86466343134530088</v>
      </c>
      <c r="O338" s="1361">
        <v>0.86466343134530088</v>
      </c>
      <c r="P338" s="1361">
        <v>0.86466343134530088</v>
      </c>
      <c r="Q338" s="1361">
        <v>0.86466343134530088</v>
      </c>
      <c r="R338" s="1781">
        <v>1</v>
      </c>
      <c r="S338" s="1781">
        <v>1</v>
      </c>
      <c r="T338" s="1781">
        <v>1</v>
      </c>
      <c r="U338" s="1781">
        <v>1</v>
      </c>
      <c r="V338" s="1781">
        <v>1</v>
      </c>
      <c r="W338" s="1781">
        <v>1</v>
      </c>
      <c r="X338" s="1781">
        <v>1</v>
      </c>
      <c r="Y338" s="1781">
        <v>1</v>
      </c>
      <c r="Z338" s="1359">
        <v>0</v>
      </c>
      <c r="AA338" s="1781">
        <f t="shared" si="256"/>
        <v>1</v>
      </c>
      <c r="AB338" s="1781">
        <f t="shared" si="257"/>
        <v>1</v>
      </c>
      <c r="AC338" s="1781">
        <f t="shared" si="258"/>
        <v>1</v>
      </c>
      <c r="AD338" s="1781">
        <f t="shared" si="259"/>
        <v>1</v>
      </c>
      <c r="AE338" s="1781">
        <f t="shared" si="260"/>
        <v>1</v>
      </c>
      <c r="AF338" s="1781">
        <f t="shared" si="261"/>
        <v>1</v>
      </c>
      <c r="AG338" s="1781">
        <f t="shared" si="262"/>
        <v>1</v>
      </c>
      <c r="AH338" s="1781">
        <f t="shared" si="263"/>
        <v>1</v>
      </c>
      <c r="AI338" s="1362">
        <f t="shared" si="294"/>
        <v>356.71679051857495</v>
      </c>
      <c r="AJ338" s="1362">
        <f t="shared" si="295"/>
        <v>356.71679051857495</v>
      </c>
      <c r="AK338" s="1362">
        <f t="shared" si="296"/>
        <v>356.71679051857495</v>
      </c>
      <c r="AL338" s="1362">
        <f t="shared" si="297"/>
        <v>356.71679051857495</v>
      </c>
      <c r="AM338" s="1362">
        <f t="shared" si="298"/>
        <v>1426.8671620742998</v>
      </c>
      <c r="AN338" s="1132" t="str">
        <f t="shared" si="264"/>
        <v>RS-HWE-LFFA-V07-190101</v>
      </c>
      <c r="AO338" s="1132" t="str">
        <f t="shared" si="265"/>
        <v>Nicor Gas PY11-PY14 Adjustable Goals Template_2025-03-01, Tab 5.4.4</v>
      </c>
      <c r="AP338" s="2738">
        <f>'5.4.4'!$O$11</f>
        <v>0.9635545569243823</v>
      </c>
      <c r="AQ338" s="2568" t="s">
        <v>481</v>
      </c>
      <c r="AR338" s="2505">
        <f t="shared" si="266"/>
        <v>397.51431201483427</v>
      </c>
      <c r="AS338" s="2505">
        <f t="shared" si="267"/>
        <v>40.797521496259321</v>
      </c>
      <c r="AT338" s="1132" t="str">
        <f t="shared" si="268"/>
        <v>RS-HWE-LFFA-V07-190101</v>
      </c>
      <c r="AU338" s="1132" t="str">
        <f t="shared" si="269"/>
        <v>Nicor Gas PY11-PY14 Adjustable Goals Template_2025-03-01, Tab 5.4.4</v>
      </c>
      <c r="AV338" s="2247">
        <f>'5.4.4'!$O$11</f>
        <v>0.9635545569243823</v>
      </c>
      <c r="AW338" s="2568" t="s">
        <v>481</v>
      </c>
      <c r="AX338" s="1362">
        <f t="shared" si="270"/>
        <v>397.51431201483427</v>
      </c>
      <c r="AY338" s="1360">
        <f t="shared" si="271"/>
        <v>40.797521496259321</v>
      </c>
      <c r="AZ338" s="1132" t="str">
        <f t="shared" si="272"/>
        <v>RS-HWE-LFFA-V07-190101</v>
      </c>
      <c r="BA338" s="1132" t="str">
        <f t="shared" si="273"/>
        <v>Nicor Gas PY11-PY14 Adjustable Goals Template_2025-03-01, Tab 5.4.4</v>
      </c>
      <c r="BB338" s="2247">
        <f>'5.4.4'!$O$11</f>
        <v>0.9635545569243823</v>
      </c>
      <c r="BC338" s="2568" t="s">
        <v>481</v>
      </c>
      <c r="BD338" s="1362">
        <f t="shared" si="274"/>
        <v>397.51431201483427</v>
      </c>
      <c r="BE338" s="1360">
        <f t="shared" si="275"/>
        <v>40.797521496259321</v>
      </c>
      <c r="BF338" s="1132" t="str">
        <f t="shared" si="276"/>
        <v>RS-HWE-LFFA-V07-190101</v>
      </c>
      <c r="BG338" s="1132" t="str">
        <f t="shared" si="277"/>
        <v>Nicor Gas PY11-PY14 Adjustable Goals Template_2025-03-01, Tab 5.4.4</v>
      </c>
      <c r="BH338" s="2247">
        <f>'5.4.4'!$O$11</f>
        <v>0.9635545569243823</v>
      </c>
      <c r="BI338" s="2568" t="s">
        <v>481</v>
      </c>
      <c r="BJ338" s="1362">
        <f t="shared" si="299"/>
        <v>397.51431201483427</v>
      </c>
      <c r="BK338" s="1360">
        <f t="shared" si="278"/>
        <v>40.797521496259321</v>
      </c>
      <c r="BL338" s="1601">
        <f t="shared" si="279"/>
        <v>397.51431201483427</v>
      </c>
      <c r="BM338" s="1601">
        <f t="shared" si="280"/>
        <v>397.51431201483427</v>
      </c>
      <c r="BN338" s="1601">
        <f t="shared" si="281"/>
        <v>397.51431201483427</v>
      </c>
      <c r="BO338" s="1601">
        <f t="shared" si="282"/>
        <v>397.51431201483427</v>
      </c>
      <c r="BP338" s="1602">
        <f t="shared" si="283"/>
        <v>1590.0572480593371</v>
      </c>
      <c r="BQ338" s="1629"/>
      <c r="BR338" s="1629" t="s">
        <v>697</v>
      </c>
      <c r="BS338" s="1602">
        <v>0</v>
      </c>
      <c r="BT338" s="1602">
        <v>10</v>
      </c>
      <c r="BU338" s="1602">
        <v>10</v>
      </c>
      <c r="BV338" s="1602">
        <v>10</v>
      </c>
      <c r="BW338" s="1602">
        <v>10</v>
      </c>
      <c r="BX338" s="1362">
        <f t="shared" si="300"/>
        <v>3567.1679051857495</v>
      </c>
      <c r="BY338" s="1362">
        <f t="shared" si="301"/>
        <v>3567.1679051857495</v>
      </c>
      <c r="BZ338" s="1362">
        <f t="shared" si="302"/>
        <v>3567.1679051857495</v>
      </c>
      <c r="CA338" s="1362">
        <f t="shared" si="303"/>
        <v>3567.1679051857495</v>
      </c>
      <c r="CB338" s="1362">
        <f t="shared" si="304"/>
        <v>14268.671620742998</v>
      </c>
      <c r="CC338" s="1360">
        <v>10</v>
      </c>
      <c r="CD338" s="1360">
        <v>10</v>
      </c>
      <c r="CE338" s="1360">
        <v>10</v>
      </c>
      <c r="CF338" s="1360">
        <v>10</v>
      </c>
      <c r="CG338" s="1604">
        <f t="shared" si="284"/>
        <v>3975.1431201483429</v>
      </c>
      <c r="CH338" s="1604">
        <f t="shared" si="285"/>
        <v>3975.1431201483429</v>
      </c>
      <c r="CI338" s="1604">
        <f t="shared" si="286"/>
        <v>3975.1431201483429</v>
      </c>
      <c r="CJ338" s="1604">
        <f t="shared" si="287"/>
        <v>3975.1431201483429</v>
      </c>
      <c r="CK338" s="1521">
        <f t="shared" si="288"/>
        <v>15900.572480593371</v>
      </c>
      <c r="CL338" s="1132">
        <v>331</v>
      </c>
      <c r="CM338" s="1132" t="s">
        <v>328</v>
      </c>
      <c r="CN338" s="1359">
        <v>1</v>
      </c>
      <c r="CO338" s="1360">
        <v>398.1225</v>
      </c>
      <c r="CP338" s="1360">
        <v>398.1225</v>
      </c>
      <c r="CQ338" s="1360">
        <v>398.1225</v>
      </c>
      <c r="CR338" s="1360">
        <v>398.1225</v>
      </c>
      <c r="CS338" s="1362">
        <f t="shared" si="289"/>
        <v>344.24196694576955</v>
      </c>
      <c r="CT338" s="1362">
        <f t="shared" si="290"/>
        <v>344.24196694576955</v>
      </c>
      <c r="CU338" s="1362">
        <f t="shared" si="291"/>
        <v>344.24196694576955</v>
      </c>
      <c r="CV338" s="1362">
        <f t="shared" si="292"/>
        <v>344.24196694576955</v>
      </c>
      <c r="CW338" s="1362">
        <f t="shared" si="293"/>
        <v>1376.9678677830782</v>
      </c>
      <c r="CY338" s="2887"/>
    </row>
    <row r="339" spans="1:103" s="1143" customFormat="1" ht="15" customHeight="1" x14ac:dyDescent="0.35">
      <c r="A339" s="1132" t="s">
        <v>110</v>
      </c>
      <c r="B339" s="1132" t="s">
        <v>830</v>
      </c>
      <c r="C339" s="1132" t="s">
        <v>689</v>
      </c>
      <c r="D339" s="1359" t="s">
        <v>690</v>
      </c>
      <c r="E339" s="1359">
        <v>1</v>
      </c>
      <c r="F339" s="2807" t="s">
        <v>691</v>
      </c>
      <c r="G339" s="1132" t="s">
        <v>328</v>
      </c>
      <c r="H339" s="1360">
        <v>238.042125</v>
      </c>
      <c r="I339" s="1360">
        <v>238.042125</v>
      </c>
      <c r="J339" s="1360">
        <v>238.042125</v>
      </c>
      <c r="K339" s="1360">
        <v>238.042125</v>
      </c>
      <c r="L339" s="1132" t="s">
        <v>692</v>
      </c>
      <c r="M339" s="1132" t="str">
        <f t="shared" si="255"/>
        <v>Nicor Gas PY11-PY14 Adjustable Goals Template_2025-03-01, Tab 5.4.5</v>
      </c>
      <c r="N339" s="2245">
        <v>8.7915245234198895</v>
      </c>
      <c r="O339" s="1361">
        <v>8.7915245234198895</v>
      </c>
      <c r="P339" s="1361">
        <v>8.7915245234198895</v>
      </c>
      <c r="Q339" s="1361">
        <v>8.7915245234198895</v>
      </c>
      <c r="R339" s="1781">
        <v>1</v>
      </c>
      <c r="S339" s="1781">
        <v>1</v>
      </c>
      <c r="T339" s="1781">
        <v>1</v>
      </c>
      <c r="U339" s="1781">
        <v>1</v>
      </c>
      <c r="V339" s="1781">
        <v>1</v>
      </c>
      <c r="W339" s="1781">
        <v>1</v>
      </c>
      <c r="X339" s="1781">
        <v>1</v>
      </c>
      <c r="Y339" s="1781">
        <v>1</v>
      </c>
      <c r="Z339" s="1359">
        <v>0</v>
      </c>
      <c r="AA339" s="1781">
        <f t="shared" si="256"/>
        <v>1</v>
      </c>
      <c r="AB339" s="1781">
        <f t="shared" si="257"/>
        <v>1</v>
      </c>
      <c r="AC339" s="1781">
        <f t="shared" si="258"/>
        <v>1</v>
      </c>
      <c r="AD339" s="1781">
        <f t="shared" si="259"/>
        <v>1</v>
      </c>
      <c r="AE339" s="1781">
        <f t="shared" si="260"/>
        <v>1</v>
      </c>
      <c r="AF339" s="1781">
        <f t="shared" si="261"/>
        <v>1</v>
      </c>
      <c r="AG339" s="1781">
        <f t="shared" si="262"/>
        <v>1</v>
      </c>
      <c r="AH339" s="1781">
        <f t="shared" si="263"/>
        <v>1</v>
      </c>
      <c r="AI339" s="1362">
        <f t="shared" si="294"/>
        <v>2092.7531795444829</v>
      </c>
      <c r="AJ339" s="1362">
        <f t="shared" si="295"/>
        <v>2092.7531795444829</v>
      </c>
      <c r="AK339" s="1362">
        <f t="shared" si="296"/>
        <v>2092.7531795444829</v>
      </c>
      <c r="AL339" s="1362">
        <f t="shared" si="297"/>
        <v>2092.7531795444829</v>
      </c>
      <c r="AM339" s="1362">
        <f t="shared" si="298"/>
        <v>8371.0127181779317</v>
      </c>
      <c r="AN339" s="1132" t="str">
        <f t="shared" si="264"/>
        <v>RS-HWE-LFSH-V06-190101</v>
      </c>
      <c r="AO339" s="1132" t="str">
        <f t="shared" si="265"/>
        <v>Nicor Gas PY11-PY14 Adjustable Goals Template_2025-03-01, Tab 5.4.5</v>
      </c>
      <c r="AP339" s="2737">
        <f>'5.4.5'!$P$12</f>
        <v>9.4758946959016797</v>
      </c>
      <c r="AQ339" s="2568" t="s">
        <v>557</v>
      </c>
      <c r="AR339" s="2505">
        <f t="shared" si="266"/>
        <v>2255.6621096886647</v>
      </c>
      <c r="AS339" s="2505">
        <f t="shared" si="267"/>
        <v>162.9089301441818</v>
      </c>
      <c r="AT339" s="1132" t="str">
        <f t="shared" si="268"/>
        <v>RS-HWE-LFSH-V06-190101</v>
      </c>
      <c r="AU339" s="1132" t="str">
        <f t="shared" si="269"/>
        <v>Nicor Gas PY11-PY14 Adjustable Goals Template_2025-03-01, Tab 5.4.5</v>
      </c>
      <c r="AV339" s="2508">
        <f>'5.4.5'!$P$12</f>
        <v>9.4758946959016797</v>
      </c>
      <c r="AW339" s="2568" t="s">
        <v>557</v>
      </c>
      <c r="AX339" s="1362">
        <f t="shared" si="270"/>
        <v>2255.6621096886647</v>
      </c>
      <c r="AY339" s="1360">
        <f t="shared" si="271"/>
        <v>162.9089301441818</v>
      </c>
      <c r="AZ339" s="1132" t="str">
        <f t="shared" si="272"/>
        <v>RS-HWE-LFSH-V06-190101</v>
      </c>
      <c r="BA339" s="1132" t="str">
        <f t="shared" si="273"/>
        <v>Nicor Gas PY11-PY14 Adjustable Goals Template_2025-03-01, Tab 5.4.5</v>
      </c>
      <c r="BB339" s="2508">
        <f>'5.4.5'!$P$12</f>
        <v>9.4758946959016797</v>
      </c>
      <c r="BC339" s="2568" t="s">
        <v>557</v>
      </c>
      <c r="BD339" s="1362">
        <f t="shared" si="274"/>
        <v>2255.6621096886647</v>
      </c>
      <c r="BE339" s="1360">
        <f t="shared" si="275"/>
        <v>162.9089301441818</v>
      </c>
      <c r="BF339" s="1132" t="str">
        <f t="shared" si="276"/>
        <v>RS-HWE-LFSH-V06-190101</v>
      </c>
      <c r="BG339" s="1132" t="str">
        <f t="shared" si="277"/>
        <v>Nicor Gas PY11-PY14 Adjustable Goals Template_2025-03-01, Tab 5.4.5</v>
      </c>
      <c r="BH339" s="2508">
        <f>'5.4.5'!$P$12</f>
        <v>9.4758946959016797</v>
      </c>
      <c r="BI339" s="2568" t="s">
        <v>557</v>
      </c>
      <c r="BJ339" s="1362">
        <f t="shared" si="299"/>
        <v>2255.6621096886647</v>
      </c>
      <c r="BK339" s="1360">
        <f t="shared" si="278"/>
        <v>162.9089301441818</v>
      </c>
      <c r="BL339" s="1601">
        <f t="shared" si="279"/>
        <v>2255.6621096886647</v>
      </c>
      <c r="BM339" s="1601">
        <f t="shared" si="280"/>
        <v>2255.6621096886647</v>
      </c>
      <c r="BN339" s="1601">
        <f t="shared" si="281"/>
        <v>2255.6621096886647</v>
      </c>
      <c r="BO339" s="1601">
        <f t="shared" si="282"/>
        <v>2255.6621096886647</v>
      </c>
      <c r="BP339" s="1602">
        <f t="shared" si="283"/>
        <v>9022.6484387546589</v>
      </c>
      <c r="BQ339" s="1629"/>
      <c r="BR339" s="1629" t="s">
        <v>691</v>
      </c>
      <c r="BS339" s="1602">
        <v>0</v>
      </c>
      <c r="BT339" s="1602">
        <v>10</v>
      </c>
      <c r="BU339" s="1602">
        <v>10</v>
      </c>
      <c r="BV339" s="1602">
        <v>10</v>
      </c>
      <c r="BW339" s="1602">
        <v>10</v>
      </c>
      <c r="BX339" s="1362">
        <f t="shared" si="300"/>
        <v>20927.531795444829</v>
      </c>
      <c r="BY339" s="1362">
        <f t="shared" si="301"/>
        <v>20927.531795444829</v>
      </c>
      <c r="BZ339" s="1362">
        <f t="shared" si="302"/>
        <v>20927.531795444829</v>
      </c>
      <c r="CA339" s="1362">
        <f t="shared" si="303"/>
        <v>20927.531795444829</v>
      </c>
      <c r="CB339" s="1362">
        <f t="shared" si="304"/>
        <v>83710.127181779317</v>
      </c>
      <c r="CC339" s="1360">
        <v>10</v>
      </c>
      <c r="CD339" s="1360">
        <v>10</v>
      </c>
      <c r="CE339" s="1360">
        <v>10</v>
      </c>
      <c r="CF339" s="1360">
        <v>10</v>
      </c>
      <c r="CG339" s="1604">
        <f t="shared" si="284"/>
        <v>22556.621096886647</v>
      </c>
      <c r="CH339" s="1604">
        <f t="shared" si="285"/>
        <v>22556.621096886647</v>
      </c>
      <c r="CI339" s="1604">
        <f t="shared" si="286"/>
        <v>22556.621096886647</v>
      </c>
      <c r="CJ339" s="1604">
        <f t="shared" si="287"/>
        <v>22556.621096886647</v>
      </c>
      <c r="CK339" s="1521">
        <f t="shared" si="288"/>
        <v>90226.484387546589</v>
      </c>
      <c r="CL339" s="1132">
        <v>332</v>
      </c>
      <c r="CM339" s="1132" t="s">
        <v>328</v>
      </c>
      <c r="CN339" s="1359">
        <v>1</v>
      </c>
      <c r="CO339" s="1360">
        <v>229.71750000000003</v>
      </c>
      <c r="CP339" s="1360">
        <v>229.71750000000003</v>
      </c>
      <c r="CQ339" s="1360">
        <v>229.71750000000003</v>
      </c>
      <c r="CR339" s="1360">
        <v>229.71750000000003</v>
      </c>
      <c r="CS339" s="1362">
        <f t="shared" si="289"/>
        <v>2019.5670347087087</v>
      </c>
      <c r="CT339" s="1362">
        <f t="shared" si="290"/>
        <v>2019.5670347087087</v>
      </c>
      <c r="CU339" s="1362">
        <f t="shared" si="291"/>
        <v>2019.5670347087087</v>
      </c>
      <c r="CV339" s="1362">
        <f t="shared" si="292"/>
        <v>2019.5670347087087</v>
      </c>
      <c r="CW339" s="1362">
        <f t="shared" si="293"/>
        <v>8078.2681388348346</v>
      </c>
      <c r="CY339" s="2887"/>
    </row>
    <row r="340" spans="1:103" s="1143" customFormat="1" ht="15" customHeight="1" x14ac:dyDescent="0.35">
      <c r="A340" s="1132" t="s">
        <v>110</v>
      </c>
      <c r="B340" s="1132" t="s">
        <v>830</v>
      </c>
      <c r="C340" s="1132" t="s">
        <v>832</v>
      </c>
      <c r="D340" s="1359" t="s">
        <v>833</v>
      </c>
      <c r="E340" s="1359">
        <v>1</v>
      </c>
      <c r="F340" s="2807" t="s">
        <v>642</v>
      </c>
      <c r="G340" s="1132" t="s">
        <v>356</v>
      </c>
      <c r="H340" s="1360">
        <v>2.5413749999999999</v>
      </c>
      <c r="I340" s="1360">
        <v>2.5413749999999999</v>
      </c>
      <c r="J340" s="1360">
        <v>2.5413749999999999</v>
      </c>
      <c r="K340" s="1360">
        <v>2.5413749999999999</v>
      </c>
      <c r="L340" s="1132" t="s">
        <v>643</v>
      </c>
      <c r="M340" s="1132" t="str">
        <f t="shared" si="255"/>
        <v>Nicor Gas PY11-PY14 Adjustable Goals Template_2025-03-01, Tab 5.4.2</v>
      </c>
      <c r="N340" s="1361">
        <v>44.521006752883906</v>
      </c>
      <c r="O340" s="1361">
        <v>44.521006752883906</v>
      </c>
      <c r="P340" s="1361">
        <v>44.521006752883906</v>
      </c>
      <c r="Q340" s="1361">
        <v>44.521006752883906</v>
      </c>
      <c r="R340" s="1781">
        <v>1</v>
      </c>
      <c r="S340" s="1781">
        <v>1</v>
      </c>
      <c r="T340" s="1781">
        <v>1</v>
      </c>
      <c r="U340" s="1781">
        <v>1</v>
      </c>
      <c r="V340" s="1781">
        <v>1</v>
      </c>
      <c r="W340" s="1781">
        <v>1</v>
      </c>
      <c r="X340" s="1781">
        <v>1</v>
      </c>
      <c r="Y340" s="1781">
        <v>1</v>
      </c>
      <c r="Z340" s="1359">
        <v>0</v>
      </c>
      <c r="AA340" s="1781">
        <f t="shared" si="256"/>
        <v>1</v>
      </c>
      <c r="AB340" s="1781">
        <f t="shared" si="257"/>
        <v>1</v>
      </c>
      <c r="AC340" s="1781">
        <f t="shared" si="258"/>
        <v>1</v>
      </c>
      <c r="AD340" s="1781">
        <f t="shared" si="259"/>
        <v>1</v>
      </c>
      <c r="AE340" s="1781">
        <f t="shared" si="260"/>
        <v>1</v>
      </c>
      <c r="AF340" s="1781">
        <f t="shared" si="261"/>
        <v>1</v>
      </c>
      <c r="AG340" s="1781">
        <f t="shared" si="262"/>
        <v>1</v>
      </c>
      <c r="AH340" s="1781">
        <f t="shared" si="263"/>
        <v>1</v>
      </c>
      <c r="AI340" s="1362">
        <f t="shared" si="294"/>
        <v>113.14457353661034</v>
      </c>
      <c r="AJ340" s="1362">
        <f t="shared" si="295"/>
        <v>113.14457353661034</v>
      </c>
      <c r="AK340" s="1362">
        <f t="shared" si="296"/>
        <v>113.14457353661034</v>
      </c>
      <c r="AL340" s="1362">
        <f t="shared" si="297"/>
        <v>113.14457353661034</v>
      </c>
      <c r="AM340" s="1362">
        <f t="shared" si="298"/>
        <v>452.57829414644135</v>
      </c>
      <c r="AN340" s="1132" t="str">
        <f t="shared" si="264"/>
        <v>RS-HWE-GWHT-V08-190101</v>
      </c>
      <c r="AO340" s="1132" t="str">
        <f t="shared" si="265"/>
        <v>Nicor Gas PY11-PY14 Adjustable Goals Template_2025-03-01, Tab 5.4.2</v>
      </c>
      <c r="AP340" s="2568">
        <f>'5.4.2'!$O$4</f>
        <v>46.590292982243291</v>
      </c>
      <c r="AQ340" s="2568" t="s">
        <v>481</v>
      </c>
      <c r="AR340" s="2505">
        <f t="shared" si="266"/>
        <v>118.40340582774854</v>
      </c>
      <c r="AS340" s="2505">
        <f t="shared" si="267"/>
        <v>5.2588322911382051</v>
      </c>
      <c r="AT340" s="1132" t="str">
        <f t="shared" si="268"/>
        <v>RS-HWE-GWHT-V08-190101</v>
      </c>
      <c r="AU340" s="1132" t="str">
        <f t="shared" si="269"/>
        <v>Nicor Gas PY11-PY14 Adjustable Goals Template_2025-03-01, Tab 5.4.2</v>
      </c>
      <c r="AV340" s="2505">
        <f>'5.4.2'!$O$4</f>
        <v>46.590292982243291</v>
      </c>
      <c r="AW340" s="2568" t="s">
        <v>481</v>
      </c>
      <c r="AX340" s="1362">
        <f t="shared" si="270"/>
        <v>118.40340582774854</v>
      </c>
      <c r="AY340" s="1360">
        <f t="shared" si="271"/>
        <v>5.2588322911382051</v>
      </c>
      <c r="AZ340" s="1132" t="str">
        <f t="shared" si="272"/>
        <v>RS-HWE-GWHT-V08-190101</v>
      </c>
      <c r="BA340" s="1132" t="str">
        <f t="shared" si="273"/>
        <v>Nicor Gas PY11-PY14 Adjustable Goals Template_2025-03-01, Tab 5.4.2</v>
      </c>
      <c r="BB340" s="2505">
        <f>'5.4.2'!$O$4</f>
        <v>46.590292982243291</v>
      </c>
      <c r="BC340" s="2568" t="s">
        <v>481</v>
      </c>
      <c r="BD340" s="1362">
        <f t="shared" si="274"/>
        <v>118.40340582774854</v>
      </c>
      <c r="BE340" s="1360">
        <f t="shared" si="275"/>
        <v>5.2588322911382051</v>
      </c>
      <c r="BF340" s="1132" t="str">
        <f t="shared" si="276"/>
        <v>RS-HWE-GWHT-V08-190101</v>
      </c>
      <c r="BG340" s="1132" t="str">
        <f t="shared" si="277"/>
        <v>Nicor Gas PY11-PY14 Adjustable Goals Template_2025-03-01, Tab 5.4.2</v>
      </c>
      <c r="BH340" s="2505">
        <f>'5.4.2'!$O$4</f>
        <v>46.590292982243291</v>
      </c>
      <c r="BI340" s="2568" t="s">
        <v>481</v>
      </c>
      <c r="BJ340" s="1362">
        <f t="shared" si="299"/>
        <v>118.40340582774854</v>
      </c>
      <c r="BK340" s="1360">
        <f t="shared" si="278"/>
        <v>5.2588322911382051</v>
      </c>
      <c r="BL340" s="1601">
        <f t="shared" si="279"/>
        <v>118.40340582774854</v>
      </c>
      <c r="BM340" s="1601">
        <f t="shared" si="280"/>
        <v>118.40340582774854</v>
      </c>
      <c r="BN340" s="1601">
        <f t="shared" si="281"/>
        <v>118.40340582774854</v>
      </c>
      <c r="BO340" s="1601">
        <f t="shared" si="282"/>
        <v>118.40340582774854</v>
      </c>
      <c r="BP340" s="1602">
        <f t="shared" si="283"/>
        <v>473.61362331099417</v>
      </c>
      <c r="BQ340" s="1629"/>
      <c r="BR340" s="1629" t="s">
        <v>642</v>
      </c>
      <c r="BS340" s="1602">
        <v>0</v>
      </c>
      <c r="BT340" s="1602">
        <v>13</v>
      </c>
      <c r="BU340" s="1602">
        <v>13</v>
      </c>
      <c r="BV340" s="1602">
        <v>13</v>
      </c>
      <c r="BW340" s="1602">
        <v>13</v>
      </c>
      <c r="BX340" s="1362">
        <f t="shared" si="300"/>
        <v>1470.8794559759344</v>
      </c>
      <c r="BY340" s="1362">
        <f t="shared" si="301"/>
        <v>1470.8794559759344</v>
      </c>
      <c r="BZ340" s="1362">
        <f t="shared" si="302"/>
        <v>1470.8794559759344</v>
      </c>
      <c r="CA340" s="1362">
        <f t="shared" si="303"/>
        <v>1470.8794559759344</v>
      </c>
      <c r="CB340" s="1362">
        <f t="shared" si="304"/>
        <v>5883.5178239037377</v>
      </c>
      <c r="CC340" s="1360">
        <v>13</v>
      </c>
      <c r="CD340" s="1360">
        <v>13</v>
      </c>
      <c r="CE340" s="1360">
        <v>13</v>
      </c>
      <c r="CF340" s="1360">
        <v>13</v>
      </c>
      <c r="CG340" s="1604">
        <f t="shared" si="284"/>
        <v>1539.2442757607309</v>
      </c>
      <c r="CH340" s="1604">
        <f t="shared" si="285"/>
        <v>1539.2442757607309</v>
      </c>
      <c r="CI340" s="1604">
        <f t="shared" si="286"/>
        <v>1539.2442757607309</v>
      </c>
      <c r="CJ340" s="1604">
        <f t="shared" si="287"/>
        <v>1539.2442757607309</v>
      </c>
      <c r="CK340" s="1521">
        <f t="shared" si="288"/>
        <v>6156.9771030429238</v>
      </c>
      <c r="CL340" s="1132">
        <v>333</v>
      </c>
      <c r="CM340" s="1132" t="s">
        <v>356</v>
      </c>
      <c r="CN340" s="1359">
        <v>1</v>
      </c>
      <c r="CO340" s="1360">
        <v>2.4525000000000001</v>
      </c>
      <c r="CP340" s="1360">
        <v>2.4525000000000001</v>
      </c>
      <c r="CQ340" s="1360">
        <v>2.4525000000000001</v>
      </c>
      <c r="CR340" s="1360">
        <v>2.4525000000000001</v>
      </c>
      <c r="CS340" s="1362">
        <f t="shared" si="289"/>
        <v>109.18776906144778</v>
      </c>
      <c r="CT340" s="1362">
        <f t="shared" si="290"/>
        <v>109.18776906144778</v>
      </c>
      <c r="CU340" s="1362">
        <f t="shared" si="291"/>
        <v>109.18776906144778</v>
      </c>
      <c r="CV340" s="1362">
        <f t="shared" si="292"/>
        <v>109.18776906144778</v>
      </c>
      <c r="CW340" s="1362">
        <f t="shared" si="293"/>
        <v>436.75107624579113</v>
      </c>
      <c r="CY340" s="2887"/>
    </row>
    <row r="341" spans="1:103" s="1143" customFormat="1" ht="46.5" x14ac:dyDescent="0.35">
      <c r="A341" s="1132" t="s">
        <v>110</v>
      </c>
      <c r="B341" s="1132" t="s">
        <v>830</v>
      </c>
      <c r="C341" s="1132" t="s">
        <v>669</v>
      </c>
      <c r="D341" s="1359" t="s">
        <v>670</v>
      </c>
      <c r="E341" s="1359">
        <v>1</v>
      </c>
      <c r="F341" s="2564" t="s">
        <v>671</v>
      </c>
      <c r="G341" s="1132" t="s">
        <v>328</v>
      </c>
      <c r="H341" s="1360">
        <v>190.60312499999998</v>
      </c>
      <c r="I341" s="1360">
        <v>190.60312499999998</v>
      </c>
      <c r="J341" s="1360">
        <v>190.60312499999998</v>
      </c>
      <c r="K341" s="1360">
        <v>190.60312499999998</v>
      </c>
      <c r="L341" s="1132" t="s">
        <v>672</v>
      </c>
      <c r="M341" s="1132" t="str">
        <f t="shared" si="255"/>
        <v>Nicor Gas PY11-PY14 Adjustable Goals Template_2025-03-01, Tab 5.3.4</v>
      </c>
      <c r="N341" s="1361">
        <v>126.70426992521378</v>
      </c>
      <c r="O341" s="1361">
        <v>126.70426992521378</v>
      </c>
      <c r="P341" s="1361">
        <v>126.70426992521378</v>
      </c>
      <c r="Q341" s="1361">
        <v>126.70426992521378</v>
      </c>
      <c r="R341" s="1781">
        <v>1</v>
      </c>
      <c r="S341" s="1781">
        <v>1</v>
      </c>
      <c r="T341" s="1781">
        <v>1</v>
      </c>
      <c r="U341" s="1781">
        <v>1</v>
      </c>
      <c r="V341" s="1781">
        <v>1</v>
      </c>
      <c r="W341" s="1781">
        <v>1</v>
      </c>
      <c r="X341" s="1781">
        <v>1</v>
      </c>
      <c r="Y341" s="1781">
        <v>1</v>
      </c>
      <c r="Z341" s="1359">
        <v>0</v>
      </c>
      <c r="AA341" s="1781">
        <f t="shared" si="256"/>
        <v>1</v>
      </c>
      <c r="AB341" s="1781">
        <f t="shared" si="257"/>
        <v>1</v>
      </c>
      <c r="AC341" s="1781">
        <f t="shared" si="258"/>
        <v>1</v>
      </c>
      <c r="AD341" s="1781">
        <f t="shared" si="259"/>
        <v>1</v>
      </c>
      <c r="AE341" s="1781">
        <f t="shared" si="260"/>
        <v>1</v>
      </c>
      <c r="AF341" s="1781">
        <f t="shared" si="261"/>
        <v>1</v>
      </c>
      <c r="AG341" s="1781">
        <f t="shared" si="262"/>
        <v>1</v>
      </c>
      <c r="AH341" s="1781">
        <f t="shared" si="263"/>
        <v>1</v>
      </c>
      <c r="AI341" s="1362">
        <f t="shared" si="294"/>
        <v>24150.229798589258</v>
      </c>
      <c r="AJ341" s="1362">
        <f t="shared" si="295"/>
        <v>24150.229798589258</v>
      </c>
      <c r="AK341" s="1362">
        <f t="shared" si="296"/>
        <v>24150.229798589258</v>
      </c>
      <c r="AL341" s="1362">
        <f t="shared" si="297"/>
        <v>24150.229798589258</v>
      </c>
      <c r="AM341" s="1362">
        <f t="shared" si="298"/>
        <v>96600.919194357033</v>
      </c>
      <c r="AN341" s="1132" t="str">
        <f t="shared" si="264"/>
        <v>RS-HVC-DINS-V07-190101</v>
      </c>
      <c r="AO341" s="1132" t="str">
        <f t="shared" si="265"/>
        <v>Nicor Gas PY11-PY14 Adjustable Goals Template_2025-03-01, Tab 5.3.4</v>
      </c>
      <c r="AP341" s="2505">
        <f>'5.3.4'!$T$6</f>
        <v>126.70426992521378</v>
      </c>
      <c r="AQ341" s="2505"/>
      <c r="AR341" s="2505">
        <f t="shared" si="266"/>
        <v>24150.229798589258</v>
      </c>
      <c r="AS341" s="2505">
        <f t="shared" si="267"/>
        <v>0</v>
      </c>
      <c r="AT341" s="1132" t="str">
        <f t="shared" si="268"/>
        <v>RS-HVC-DINS-V07-190101</v>
      </c>
      <c r="AU341" s="1132" t="str">
        <f t="shared" si="269"/>
        <v>Nicor Gas PY11-PY14 Adjustable Goals Template_2025-03-01, Tab 5.3.4</v>
      </c>
      <c r="AV341" s="2505">
        <f>'5.3.4'!$T$6</f>
        <v>126.70426992521378</v>
      </c>
      <c r="AW341" s="2505"/>
      <c r="AX341" s="1362">
        <f t="shared" si="270"/>
        <v>24150.229798589258</v>
      </c>
      <c r="AY341" s="1360">
        <f t="shared" si="271"/>
        <v>0</v>
      </c>
      <c r="AZ341" s="1132" t="str">
        <f t="shared" si="272"/>
        <v>RS-HVC-DINS-V07-190101</v>
      </c>
      <c r="BA341" s="1132" t="str">
        <f t="shared" si="273"/>
        <v>Nicor Gas PY11-PY14 Adjustable Goals Template_2025-03-01, Tab 5.3.4</v>
      </c>
      <c r="BB341" s="2505">
        <f>'5.3.4'!$T$6</f>
        <v>126.70426992521378</v>
      </c>
      <c r="BC341" s="2505"/>
      <c r="BD341" s="1362">
        <f t="shared" si="274"/>
        <v>24150.229798589258</v>
      </c>
      <c r="BE341" s="1360">
        <f t="shared" si="275"/>
        <v>0</v>
      </c>
      <c r="BF341" s="1132" t="str">
        <f t="shared" si="276"/>
        <v>RS-HVC-DINS-V07-190101</v>
      </c>
      <c r="BG341" s="1132" t="str">
        <f t="shared" si="277"/>
        <v>Nicor Gas PY11-PY14 Adjustable Goals Template_2025-03-01, Tab 5.3.4</v>
      </c>
      <c r="BH341" s="2505">
        <f>'5.3.4'!$T$6</f>
        <v>126.70426992521378</v>
      </c>
      <c r="BI341" s="2505"/>
      <c r="BJ341" s="1362">
        <f t="shared" si="299"/>
        <v>24150.229798589258</v>
      </c>
      <c r="BK341" s="1360">
        <f t="shared" si="278"/>
        <v>0</v>
      </c>
      <c r="BL341" s="1601">
        <f t="shared" si="279"/>
        <v>24150.229798589258</v>
      </c>
      <c r="BM341" s="1601">
        <f t="shared" si="280"/>
        <v>24150.229798589258</v>
      </c>
      <c r="BN341" s="1601">
        <f t="shared" si="281"/>
        <v>24150.229798589258</v>
      </c>
      <c r="BO341" s="1601">
        <f t="shared" si="282"/>
        <v>24150.229798589258</v>
      </c>
      <c r="BP341" s="1602">
        <f t="shared" si="283"/>
        <v>96600.919194357033</v>
      </c>
      <c r="BQ341" s="1629"/>
      <c r="BR341" s="1629" t="s">
        <v>671</v>
      </c>
      <c r="BS341" s="2773">
        <v>1</v>
      </c>
      <c r="BT341" s="1602">
        <v>18.512820512820507</v>
      </c>
      <c r="BU341" s="1602">
        <v>18.512820512820507</v>
      </c>
      <c r="BV341" s="1602">
        <v>18.512820512820507</v>
      </c>
      <c r="BW341" s="1602">
        <v>18.512820512820507</v>
      </c>
      <c r="BX341" s="1362">
        <f t="shared" si="300"/>
        <v>447088.86960465228</v>
      </c>
      <c r="BY341" s="1362">
        <f t="shared" si="301"/>
        <v>447088.86960465228</v>
      </c>
      <c r="BZ341" s="1362">
        <f t="shared" si="302"/>
        <v>447088.86960465228</v>
      </c>
      <c r="CA341" s="1362">
        <f t="shared" si="303"/>
        <v>447088.86960465228</v>
      </c>
      <c r="CB341" s="1362">
        <f t="shared" si="304"/>
        <v>1788355.4784186091</v>
      </c>
      <c r="CC341" s="2775">
        <v>20</v>
      </c>
      <c r="CD341" s="2775">
        <v>20</v>
      </c>
      <c r="CE341" s="2775">
        <v>20</v>
      </c>
      <c r="CF341" s="2775">
        <v>20</v>
      </c>
      <c r="CG341" s="1604">
        <f t="shared" si="284"/>
        <v>483004.59597178514</v>
      </c>
      <c r="CH341" s="1604">
        <f t="shared" si="285"/>
        <v>483004.59597178514</v>
      </c>
      <c r="CI341" s="1604">
        <f t="shared" si="286"/>
        <v>483004.59597178514</v>
      </c>
      <c r="CJ341" s="1604">
        <f t="shared" si="287"/>
        <v>483004.59597178514</v>
      </c>
      <c r="CK341" s="1521">
        <f t="shared" si="288"/>
        <v>1932018.3838871405</v>
      </c>
      <c r="CL341" s="1132">
        <v>334</v>
      </c>
      <c r="CM341" s="1132" t="s">
        <v>328</v>
      </c>
      <c r="CN341" s="1359">
        <v>1</v>
      </c>
      <c r="CO341" s="1360">
        <v>183.9375</v>
      </c>
      <c r="CP341" s="1360">
        <v>183.9375</v>
      </c>
      <c r="CQ341" s="1360">
        <v>183.9375</v>
      </c>
      <c r="CR341" s="1360">
        <v>183.9375</v>
      </c>
      <c r="CS341" s="1362">
        <f t="shared" si="289"/>
        <v>23305.66664936901</v>
      </c>
      <c r="CT341" s="1362">
        <f t="shared" si="290"/>
        <v>23305.66664936901</v>
      </c>
      <c r="CU341" s="1362">
        <f t="shared" si="291"/>
        <v>23305.66664936901</v>
      </c>
      <c r="CV341" s="1362">
        <f t="shared" si="292"/>
        <v>23305.66664936901</v>
      </c>
      <c r="CW341" s="1362">
        <f t="shared" si="293"/>
        <v>93222.66659747604</v>
      </c>
      <c r="CY341" s="2887"/>
    </row>
    <row r="342" spans="1:103" s="1143" customFormat="1" ht="15" customHeight="1" x14ac:dyDescent="0.35">
      <c r="A342" s="1132" t="s">
        <v>110</v>
      </c>
      <c r="B342" s="1132" t="s">
        <v>830</v>
      </c>
      <c r="C342" s="1132" t="s">
        <v>653</v>
      </c>
      <c r="D342" s="1359" t="s">
        <v>654</v>
      </c>
      <c r="E342" s="1359">
        <v>1</v>
      </c>
      <c r="F342" s="2564" t="s">
        <v>655</v>
      </c>
      <c r="G342" s="1132" t="s">
        <v>328</v>
      </c>
      <c r="H342" s="1360">
        <v>193.14449999999999</v>
      </c>
      <c r="I342" s="1360">
        <v>193.14449999999999</v>
      </c>
      <c r="J342" s="1360">
        <v>193.14449999999999</v>
      </c>
      <c r="K342" s="1360">
        <v>193.14449999999999</v>
      </c>
      <c r="L342" s="1132" t="s">
        <v>656</v>
      </c>
      <c r="M342" s="1132" t="str">
        <f t="shared" si="255"/>
        <v>Nicor Gas PY11-PY14 Adjustable Goals Template_2025-03-01, Tab 5.6.1</v>
      </c>
      <c r="N342" s="1361">
        <v>82.851229319371726</v>
      </c>
      <c r="O342" s="1361">
        <v>82.851229319371726</v>
      </c>
      <c r="P342" s="1361">
        <v>82.851229319371726</v>
      </c>
      <c r="Q342" s="1361">
        <v>82.851229319371726</v>
      </c>
      <c r="R342" s="1781">
        <v>1</v>
      </c>
      <c r="S342" s="1781">
        <v>1</v>
      </c>
      <c r="T342" s="1781">
        <v>1</v>
      </c>
      <c r="U342" s="1781">
        <v>1</v>
      </c>
      <c r="V342" s="1781">
        <v>1</v>
      </c>
      <c r="W342" s="1781">
        <v>1</v>
      </c>
      <c r="X342" s="1781">
        <v>1</v>
      </c>
      <c r="Y342" s="1781">
        <v>1</v>
      </c>
      <c r="Z342" s="1359">
        <v>0</v>
      </c>
      <c r="AA342" s="1781">
        <f t="shared" si="256"/>
        <v>1</v>
      </c>
      <c r="AB342" s="1781">
        <f t="shared" si="257"/>
        <v>1</v>
      </c>
      <c r="AC342" s="1781">
        <f t="shared" si="258"/>
        <v>1</v>
      </c>
      <c r="AD342" s="1781">
        <f t="shared" si="259"/>
        <v>1</v>
      </c>
      <c r="AE342" s="1781">
        <f t="shared" si="260"/>
        <v>1</v>
      </c>
      <c r="AF342" s="1781">
        <f t="shared" si="261"/>
        <v>1</v>
      </c>
      <c r="AG342" s="1781">
        <f t="shared" si="262"/>
        <v>1</v>
      </c>
      <c r="AH342" s="1781">
        <f t="shared" si="263"/>
        <v>1</v>
      </c>
      <c r="AI342" s="1362">
        <f t="shared" si="294"/>
        <v>16002.259261275392</v>
      </c>
      <c r="AJ342" s="1362">
        <f t="shared" si="295"/>
        <v>16002.259261275392</v>
      </c>
      <c r="AK342" s="1362">
        <f t="shared" si="296"/>
        <v>16002.259261275392</v>
      </c>
      <c r="AL342" s="1362">
        <f t="shared" si="297"/>
        <v>16002.259261275392</v>
      </c>
      <c r="AM342" s="1362">
        <f t="shared" si="298"/>
        <v>64009.03704510157</v>
      </c>
      <c r="AN342" s="1132" t="str">
        <f t="shared" si="264"/>
        <v>RS-SHL-AIRS-V07-190101</v>
      </c>
      <c r="AO342" s="1132" t="str">
        <f t="shared" si="265"/>
        <v>Nicor Gas PY11-PY14 Adjustable Goals Template_2025-03-01, Tab 5.6.1</v>
      </c>
      <c r="AP342" s="2247">
        <f>'5.6.1'!$V$5</f>
        <v>82.851229319371726</v>
      </c>
      <c r="AQ342" s="2505"/>
      <c r="AR342" s="2505">
        <f t="shared" si="266"/>
        <v>16002.259261275392</v>
      </c>
      <c r="AS342" s="2505">
        <f t="shared" si="267"/>
        <v>0</v>
      </c>
      <c r="AT342" s="1132" t="str">
        <f t="shared" si="268"/>
        <v>RS-SHL-AIRS-V07-190101</v>
      </c>
      <c r="AU342" s="1132" t="str">
        <f t="shared" si="269"/>
        <v>Nicor Gas PY11-PY14 Adjustable Goals Template_2025-03-01, Tab 5.6.1</v>
      </c>
      <c r="AV342" s="2247">
        <f>'5.6.1'!$V$5</f>
        <v>82.851229319371726</v>
      </c>
      <c r="AW342" s="2505"/>
      <c r="AX342" s="1362">
        <f t="shared" si="270"/>
        <v>16002.259261275392</v>
      </c>
      <c r="AY342" s="1360">
        <f t="shared" si="271"/>
        <v>0</v>
      </c>
      <c r="AZ342" s="1132" t="str">
        <f t="shared" si="272"/>
        <v>RS-SHL-AIRS-V07-190101</v>
      </c>
      <c r="BA342" s="1132" t="str">
        <f t="shared" si="273"/>
        <v>Nicor Gas PY11-PY14 Adjustable Goals Template_2025-03-01, Tab 5.6.1</v>
      </c>
      <c r="BB342" s="2247">
        <f>'5.6.1'!$V$5</f>
        <v>82.851229319371726</v>
      </c>
      <c r="BC342" s="2505"/>
      <c r="BD342" s="1362">
        <f t="shared" si="274"/>
        <v>16002.259261275392</v>
      </c>
      <c r="BE342" s="1360">
        <f t="shared" si="275"/>
        <v>0</v>
      </c>
      <c r="BF342" s="1132" t="str">
        <f t="shared" si="276"/>
        <v>RS-SHL-AIRS-V07-190101</v>
      </c>
      <c r="BG342" s="1132" t="str">
        <f t="shared" si="277"/>
        <v>Nicor Gas PY11-PY14 Adjustable Goals Template_2025-03-01, Tab 5.6.1</v>
      </c>
      <c r="BH342" s="2247">
        <f>'5.6.1'!$V$5</f>
        <v>82.851229319371726</v>
      </c>
      <c r="BI342" s="2505"/>
      <c r="BJ342" s="1362">
        <f t="shared" si="299"/>
        <v>16002.259261275392</v>
      </c>
      <c r="BK342" s="1360">
        <f t="shared" si="278"/>
        <v>0</v>
      </c>
      <c r="BL342" s="1601">
        <f t="shared" si="279"/>
        <v>16002.259261275392</v>
      </c>
      <c r="BM342" s="1601">
        <f t="shared" si="280"/>
        <v>16002.259261275392</v>
      </c>
      <c r="BN342" s="1601">
        <f t="shared" si="281"/>
        <v>16002.259261275392</v>
      </c>
      <c r="BO342" s="1601">
        <f t="shared" si="282"/>
        <v>16002.259261275392</v>
      </c>
      <c r="BP342" s="1602">
        <f t="shared" si="283"/>
        <v>64009.03704510157</v>
      </c>
      <c r="BQ342" s="1629"/>
      <c r="BR342" s="1629" t="s">
        <v>655</v>
      </c>
      <c r="BS342" s="2773">
        <v>1</v>
      </c>
      <c r="BT342" s="1602">
        <v>19.411764705882351</v>
      </c>
      <c r="BU342" s="1602">
        <v>19.411764705882351</v>
      </c>
      <c r="BV342" s="1602">
        <v>19.411764705882351</v>
      </c>
      <c r="BW342" s="1602">
        <v>19.411764705882351</v>
      </c>
      <c r="BX342" s="1362">
        <f t="shared" si="300"/>
        <v>310632.09154240467</v>
      </c>
      <c r="BY342" s="1362">
        <f t="shared" si="301"/>
        <v>310632.09154240467</v>
      </c>
      <c r="BZ342" s="1362">
        <f t="shared" si="302"/>
        <v>310632.09154240467</v>
      </c>
      <c r="CA342" s="1362">
        <f t="shared" si="303"/>
        <v>310632.09154240467</v>
      </c>
      <c r="CB342" s="1362">
        <f t="shared" si="304"/>
        <v>1242528.3661696187</v>
      </c>
      <c r="CC342" s="2775">
        <v>20</v>
      </c>
      <c r="CD342" s="2775">
        <v>20</v>
      </c>
      <c r="CE342" s="2775">
        <v>20</v>
      </c>
      <c r="CF342" s="2775">
        <v>20</v>
      </c>
      <c r="CG342" s="1604">
        <f t="shared" si="284"/>
        <v>320045.18522550783</v>
      </c>
      <c r="CH342" s="1604">
        <f t="shared" si="285"/>
        <v>320045.18522550783</v>
      </c>
      <c r="CI342" s="1604">
        <f t="shared" si="286"/>
        <v>320045.18522550783</v>
      </c>
      <c r="CJ342" s="1604">
        <f t="shared" si="287"/>
        <v>320045.18522550783</v>
      </c>
      <c r="CK342" s="1521">
        <f t="shared" si="288"/>
        <v>1280180.7409020313</v>
      </c>
      <c r="CL342" s="1132">
        <v>335</v>
      </c>
      <c r="CM342" s="1132" t="s">
        <v>328</v>
      </c>
      <c r="CN342" s="1359">
        <v>1</v>
      </c>
      <c r="CO342" s="1360">
        <v>186.39000000000001</v>
      </c>
      <c r="CP342" s="1360">
        <v>186.39000000000001</v>
      </c>
      <c r="CQ342" s="1360">
        <v>186.39000000000001</v>
      </c>
      <c r="CR342" s="1360">
        <v>186.39000000000001</v>
      </c>
      <c r="CS342" s="1362">
        <f t="shared" si="289"/>
        <v>15442.640632837698</v>
      </c>
      <c r="CT342" s="1362">
        <f t="shared" si="290"/>
        <v>15442.640632837698</v>
      </c>
      <c r="CU342" s="1362">
        <f t="shared" si="291"/>
        <v>15442.640632837698</v>
      </c>
      <c r="CV342" s="1362">
        <f t="shared" si="292"/>
        <v>15442.640632837698</v>
      </c>
      <c r="CW342" s="1362">
        <f t="shared" si="293"/>
        <v>61770.562531350792</v>
      </c>
      <c r="CY342" s="2887"/>
    </row>
    <row r="343" spans="1:103" s="1143" customFormat="1" ht="46.5" x14ac:dyDescent="0.35">
      <c r="A343" s="1132" t="s">
        <v>110</v>
      </c>
      <c r="B343" s="1132" t="s">
        <v>830</v>
      </c>
      <c r="C343" s="1132" t="s">
        <v>834</v>
      </c>
      <c r="D343" s="1359" t="s">
        <v>835</v>
      </c>
      <c r="E343" s="1359">
        <v>1</v>
      </c>
      <c r="F343" s="2564" t="s">
        <v>659</v>
      </c>
      <c r="G343" s="1132" t="s">
        <v>328</v>
      </c>
      <c r="H343" s="1360">
        <v>192.93102449999998</v>
      </c>
      <c r="I343" s="1360">
        <v>192.93102449999998</v>
      </c>
      <c r="J343" s="1360">
        <v>192.93102449999998</v>
      </c>
      <c r="K343" s="1360">
        <v>192.93102449999998</v>
      </c>
      <c r="L343" s="1132" t="s">
        <v>660</v>
      </c>
      <c r="M343" s="1132" t="str">
        <f t="shared" si="255"/>
        <v>Nicor Gas PY11-PY14 Adjustable Goals Template_2025-03-01, Tab 5.6.5</v>
      </c>
      <c r="N343" s="1361">
        <v>55.847425074795908</v>
      </c>
      <c r="O343" s="1361">
        <v>55.847425074795908</v>
      </c>
      <c r="P343" s="1361">
        <v>55.847425074795908</v>
      </c>
      <c r="Q343" s="1361">
        <v>55.847425074795908</v>
      </c>
      <c r="R343" s="1781">
        <v>1</v>
      </c>
      <c r="S343" s="1781">
        <v>1</v>
      </c>
      <c r="T343" s="1781">
        <v>1</v>
      </c>
      <c r="U343" s="1781">
        <v>1</v>
      </c>
      <c r="V343" s="1781">
        <v>1</v>
      </c>
      <c r="W343" s="1781">
        <v>1</v>
      </c>
      <c r="X343" s="1781">
        <v>1</v>
      </c>
      <c r="Y343" s="1781">
        <v>1</v>
      </c>
      <c r="Z343" s="1359">
        <v>0</v>
      </c>
      <c r="AA343" s="1781">
        <f t="shared" si="256"/>
        <v>1</v>
      </c>
      <c r="AB343" s="1781">
        <f t="shared" si="257"/>
        <v>1</v>
      </c>
      <c r="AC343" s="1781">
        <f t="shared" si="258"/>
        <v>1</v>
      </c>
      <c r="AD343" s="1781">
        <f t="shared" si="259"/>
        <v>1</v>
      </c>
      <c r="AE343" s="1781">
        <f t="shared" si="260"/>
        <v>1</v>
      </c>
      <c r="AF343" s="1781">
        <f t="shared" si="261"/>
        <v>1</v>
      </c>
      <c r="AG343" s="1781">
        <f t="shared" si="262"/>
        <v>1</v>
      </c>
      <c r="AH343" s="1781">
        <f t="shared" si="263"/>
        <v>1</v>
      </c>
      <c r="AI343" s="1362">
        <f t="shared" si="294"/>
        <v>10774.700935367362</v>
      </c>
      <c r="AJ343" s="1362">
        <f t="shared" si="295"/>
        <v>10774.700935367362</v>
      </c>
      <c r="AK343" s="1362">
        <f t="shared" si="296"/>
        <v>10774.700935367362</v>
      </c>
      <c r="AL343" s="1362">
        <f t="shared" si="297"/>
        <v>10774.700935367362</v>
      </c>
      <c r="AM343" s="1362">
        <f t="shared" si="298"/>
        <v>43098.803741469448</v>
      </c>
      <c r="AN343" s="1132" t="str">
        <f t="shared" si="264"/>
        <v>RS-SHL-AINS-V07-180101</v>
      </c>
      <c r="AO343" s="1132" t="str">
        <f t="shared" si="265"/>
        <v>Nicor Gas PY11-PY14 Adjustable Goals Template_2025-03-01, Tab 5.6.5</v>
      </c>
      <c r="AP343" s="2505">
        <f>'5.6.4&amp;5.6.5'!$X$8</f>
        <v>55.847425074795908</v>
      </c>
      <c r="AQ343" s="2505"/>
      <c r="AR343" s="2505">
        <f t="shared" si="266"/>
        <v>10774.700935367362</v>
      </c>
      <c r="AS343" s="2505">
        <f t="shared" si="267"/>
        <v>0</v>
      </c>
      <c r="AT343" s="1132" t="str">
        <f t="shared" si="268"/>
        <v>RS-SHL-AINS-V07-180101</v>
      </c>
      <c r="AU343" s="1132" t="str">
        <f t="shared" si="269"/>
        <v>Nicor Gas PY11-PY14 Adjustable Goals Template_2025-03-01, Tab 5.6.5</v>
      </c>
      <c r="AV343" s="2505">
        <f>'5.6.4&amp;5.6.5'!$X$8</f>
        <v>55.847425074795908</v>
      </c>
      <c r="AW343" s="2505"/>
      <c r="AX343" s="1362">
        <f t="shared" si="270"/>
        <v>10774.700935367362</v>
      </c>
      <c r="AY343" s="1360">
        <f t="shared" si="271"/>
        <v>0</v>
      </c>
      <c r="AZ343" s="1132" t="str">
        <f t="shared" si="272"/>
        <v>RS-SHL-AINS-V07-180101</v>
      </c>
      <c r="BA343" s="1132" t="str">
        <f t="shared" si="273"/>
        <v>Nicor Gas PY11-PY14 Adjustable Goals Template_2025-03-01, Tab 5.6.5</v>
      </c>
      <c r="BB343" s="2505">
        <f>'5.6.4&amp;5.6.5'!$X$8</f>
        <v>55.847425074795908</v>
      </c>
      <c r="BC343" s="2505"/>
      <c r="BD343" s="1362">
        <f t="shared" si="274"/>
        <v>10774.700935367362</v>
      </c>
      <c r="BE343" s="1360">
        <f t="shared" si="275"/>
        <v>0</v>
      </c>
      <c r="BF343" s="1132" t="str">
        <f t="shared" si="276"/>
        <v>RS-SHL-AINS-V07-180101</v>
      </c>
      <c r="BG343" s="1132" t="str">
        <f t="shared" si="277"/>
        <v>Nicor Gas PY11-PY14 Adjustable Goals Template_2025-03-01, Tab 5.6.5</v>
      </c>
      <c r="BH343" s="2505">
        <f>'5.6.4&amp;5.6.5'!$X$8</f>
        <v>55.847425074795908</v>
      </c>
      <c r="BI343" s="2505"/>
      <c r="BJ343" s="1362">
        <f t="shared" si="299"/>
        <v>10774.700935367362</v>
      </c>
      <c r="BK343" s="1360">
        <f t="shared" si="278"/>
        <v>0</v>
      </c>
      <c r="BL343" s="1601">
        <f t="shared" si="279"/>
        <v>10774.700935367362</v>
      </c>
      <c r="BM343" s="1601">
        <f t="shared" si="280"/>
        <v>10774.700935367362</v>
      </c>
      <c r="BN343" s="1601">
        <f t="shared" si="281"/>
        <v>10774.700935367362</v>
      </c>
      <c r="BO343" s="1601">
        <f t="shared" si="282"/>
        <v>10774.700935367362</v>
      </c>
      <c r="BP343" s="1602">
        <f t="shared" si="283"/>
        <v>43098.803741469448</v>
      </c>
      <c r="BQ343" s="1629"/>
      <c r="BR343" s="1629" t="s">
        <v>659</v>
      </c>
      <c r="BS343" s="2773">
        <v>1</v>
      </c>
      <c r="BT343" s="1602">
        <v>19.411764705882351</v>
      </c>
      <c r="BU343" s="1602">
        <v>19.411764705882351</v>
      </c>
      <c r="BV343" s="1602">
        <v>19.411764705882351</v>
      </c>
      <c r="BW343" s="1602">
        <v>19.411764705882351</v>
      </c>
      <c r="BX343" s="1362">
        <f t="shared" si="300"/>
        <v>209155.95933360173</v>
      </c>
      <c r="BY343" s="1362">
        <f t="shared" si="301"/>
        <v>209155.95933360173</v>
      </c>
      <c r="BZ343" s="1362">
        <f t="shared" si="302"/>
        <v>209155.95933360173</v>
      </c>
      <c r="CA343" s="1362">
        <f t="shared" si="303"/>
        <v>209155.95933360173</v>
      </c>
      <c r="CB343" s="1362">
        <f t="shared" si="304"/>
        <v>836623.83733440691</v>
      </c>
      <c r="CC343" s="2775">
        <v>20</v>
      </c>
      <c r="CD343" s="2775">
        <v>20</v>
      </c>
      <c r="CE343" s="2775">
        <v>20</v>
      </c>
      <c r="CF343" s="2775">
        <v>20</v>
      </c>
      <c r="CG343" s="1604">
        <f t="shared" si="284"/>
        <v>215494.01870734725</v>
      </c>
      <c r="CH343" s="1604">
        <f t="shared" si="285"/>
        <v>215494.01870734725</v>
      </c>
      <c r="CI343" s="1604">
        <f t="shared" si="286"/>
        <v>215494.01870734725</v>
      </c>
      <c r="CJ343" s="1604">
        <f t="shared" si="287"/>
        <v>215494.01870734725</v>
      </c>
      <c r="CK343" s="1521">
        <f t="shared" si="288"/>
        <v>861976.07482938899</v>
      </c>
      <c r="CL343" s="1132">
        <v>336</v>
      </c>
      <c r="CM343" s="1132" t="s">
        <v>328</v>
      </c>
      <c r="CN343" s="1359">
        <v>1</v>
      </c>
      <c r="CO343" s="1360">
        <v>186.18398999999999</v>
      </c>
      <c r="CP343" s="1360">
        <v>186.18398999999999</v>
      </c>
      <c r="CQ343" s="1360">
        <v>186.18398999999999</v>
      </c>
      <c r="CR343" s="1360">
        <v>186.18398999999999</v>
      </c>
      <c r="CS343" s="1362">
        <f t="shared" si="289"/>
        <v>10397.89643165155</v>
      </c>
      <c r="CT343" s="1362">
        <f t="shared" si="290"/>
        <v>10397.89643165155</v>
      </c>
      <c r="CU343" s="1362">
        <f t="shared" si="291"/>
        <v>10397.89643165155</v>
      </c>
      <c r="CV343" s="1362">
        <f t="shared" si="292"/>
        <v>10397.89643165155</v>
      </c>
      <c r="CW343" s="1362">
        <f t="shared" si="293"/>
        <v>41591.585726606201</v>
      </c>
      <c r="CY343" s="2887"/>
    </row>
    <row r="344" spans="1:103" s="1143" customFormat="1" ht="46.5" x14ac:dyDescent="0.35">
      <c r="A344" s="1132" t="s">
        <v>110</v>
      </c>
      <c r="B344" s="1132" t="s">
        <v>830</v>
      </c>
      <c r="C344" s="1132" t="s">
        <v>826</v>
      </c>
      <c r="D344" s="1359" t="s">
        <v>827</v>
      </c>
      <c r="E344" s="1359">
        <v>1</v>
      </c>
      <c r="F344" s="2564" t="s">
        <v>828</v>
      </c>
      <c r="G344" s="1132" t="s">
        <v>328</v>
      </c>
      <c r="H344" s="1360">
        <v>25.41375</v>
      </c>
      <c r="I344" s="1360">
        <v>25.41375</v>
      </c>
      <c r="J344" s="1360">
        <v>25.41375</v>
      </c>
      <c r="K344" s="1360">
        <v>25.41375</v>
      </c>
      <c r="L344" s="1132" t="s">
        <v>829</v>
      </c>
      <c r="M344" s="1132" t="str">
        <f t="shared" si="255"/>
        <v>Nicor Gas PY11-PY14 Adjustable Goals Template_2025-03-01, Tab 5.6.3</v>
      </c>
      <c r="N344" s="1361">
        <v>68.676057718385039</v>
      </c>
      <c r="O344" s="1361">
        <v>68.676057718385039</v>
      </c>
      <c r="P344" s="1361">
        <v>68.676057718385039</v>
      </c>
      <c r="Q344" s="1361">
        <v>68.676057718385039</v>
      </c>
      <c r="R344" s="1781">
        <v>1</v>
      </c>
      <c r="S344" s="1781">
        <v>1</v>
      </c>
      <c r="T344" s="1781">
        <v>1</v>
      </c>
      <c r="U344" s="1781">
        <v>1</v>
      </c>
      <c r="V344" s="1781">
        <v>1</v>
      </c>
      <c r="W344" s="1781">
        <v>1</v>
      </c>
      <c r="X344" s="1781">
        <v>1</v>
      </c>
      <c r="Y344" s="1781">
        <v>1</v>
      </c>
      <c r="Z344" s="1359">
        <v>0</v>
      </c>
      <c r="AA344" s="1781">
        <f t="shared" si="256"/>
        <v>1</v>
      </c>
      <c r="AB344" s="1781">
        <f t="shared" si="257"/>
        <v>1</v>
      </c>
      <c r="AC344" s="1781">
        <f t="shared" si="258"/>
        <v>1</v>
      </c>
      <c r="AD344" s="1781">
        <f t="shared" si="259"/>
        <v>1</v>
      </c>
      <c r="AE344" s="1781">
        <f t="shared" si="260"/>
        <v>1</v>
      </c>
      <c r="AF344" s="1781">
        <f t="shared" si="261"/>
        <v>1</v>
      </c>
      <c r="AG344" s="1781">
        <f t="shared" si="262"/>
        <v>1</v>
      </c>
      <c r="AH344" s="1781">
        <f t="shared" si="263"/>
        <v>1</v>
      </c>
      <c r="AI344" s="1362">
        <f t="shared" si="294"/>
        <v>1745.3161618406077</v>
      </c>
      <c r="AJ344" s="1362">
        <f t="shared" si="295"/>
        <v>1745.3161618406077</v>
      </c>
      <c r="AK344" s="1362">
        <f t="shared" si="296"/>
        <v>1745.3161618406077</v>
      </c>
      <c r="AL344" s="1362">
        <f t="shared" si="297"/>
        <v>1745.3161618406077</v>
      </c>
      <c r="AM344" s="1362">
        <f t="shared" si="298"/>
        <v>6981.2646473624309</v>
      </c>
      <c r="AN344" s="1132" t="str">
        <f t="shared" si="264"/>
        <v>RS-SHL-FINS-V09-190101</v>
      </c>
      <c r="AO344" s="1132" t="str">
        <f t="shared" si="265"/>
        <v>Nicor Gas PY11-PY14 Adjustable Goals Template_2025-03-01, Tab 5.6.3</v>
      </c>
      <c r="AP344" s="2505">
        <f>'5.6.3'!$T$5</f>
        <v>68.676057718385039</v>
      </c>
      <c r="AQ344" s="2505"/>
      <c r="AR344" s="2505">
        <f t="shared" si="266"/>
        <v>1745.3161618406077</v>
      </c>
      <c r="AS344" s="2505">
        <f t="shared" si="267"/>
        <v>0</v>
      </c>
      <c r="AT344" s="1132" t="str">
        <f t="shared" si="268"/>
        <v>RS-SHL-FINS-V09-190101</v>
      </c>
      <c r="AU344" s="1132" t="str">
        <f t="shared" si="269"/>
        <v>Nicor Gas PY11-PY14 Adjustable Goals Template_2025-03-01, Tab 5.6.3</v>
      </c>
      <c r="AV344" s="2505">
        <f>'5.6.3'!$T$5</f>
        <v>68.676057718385039</v>
      </c>
      <c r="AW344" s="2505"/>
      <c r="AX344" s="1362">
        <f t="shared" si="270"/>
        <v>1745.3161618406077</v>
      </c>
      <c r="AY344" s="1360">
        <f t="shared" si="271"/>
        <v>0</v>
      </c>
      <c r="AZ344" s="1132" t="str">
        <f t="shared" si="272"/>
        <v>RS-SHL-FINS-V09-190101</v>
      </c>
      <c r="BA344" s="1132" t="str">
        <f t="shared" si="273"/>
        <v>Nicor Gas PY11-PY14 Adjustable Goals Template_2025-03-01, Tab 5.6.3</v>
      </c>
      <c r="BB344" s="2505">
        <f>'5.6.3'!$T$5</f>
        <v>68.676057718385039</v>
      </c>
      <c r="BC344" s="2505"/>
      <c r="BD344" s="1362">
        <f t="shared" si="274"/>
        <v>1745.3161618406077</v>
      </c>
      <c r="BE344" s="1360">
        <f t="shared" si="275"/>
        <v>0</v>
      </c>
      <c r="BF344" s="1132" t="str">
        <f t="shared" si="276"/>
        <v>RS-SHL-FINS-V09-190101</v>
      </c>
      <c r="BG344" s="1132" t="str">
        <f t="shared" si="277"/>
        <v>Nicor Gas PY11-PY14 Adjustable Goals Template_2025-03-01, Tab 5.6.3</v>
      </c>
      <c r="BH344" s="2505">
        <f>'5.6.3'!$T$5</f>
        <v>68.676057718385039</v>
      </c>
      <c r="BI344" s="2505"/>
      <c r="BJ344" s="1362">
        <f t="shared" si="299"/>
        <v>1745.3161618406077</v>
      </c>
      <c r="BK344" s="1360">
        <f t="shared" si="278"/>
        <v>0</v>
      </c>
      <c r="BL344" s="1601">
        <f t="shared" si="279"/>
        <v>1745.3161618406077</v>
      </c>
      <c r="BM344" s="1601">
        <f t="shared" si="280"/>
        <v>1745.3161618406077</v>
      </c>
      <c r="BN344" s="1601">
        <f t="shared" si="281"/>
        <v>1745.3161618406077</v>
      </c>
      <c r="BO344" s="1601">
        <f t="shared" si="282"/>
        <v>1745.3161618406077</v>
      </c>
      <c r="BP344" s="1602">
        <f t="shared" si="283"/>
        <v>6981.2646473624309</v>
      </c>
      <c r="BQ344" s="1629"/>
      <c r="BR344" s="1629" t="s">
        <v>828</v>
      </c>
      <c r="BS344" s="2773">
        <v>1</v>
      </c>
      <c r="BT344" s="1602">
        <v>19.411764705882351</v>
      </c>
      <c r="BU344" s="1602">
        <v>19.411764705882351</v>
      </c>
      <c r="BV344" s="1602">
        <v>19.411764705882351</v>
      </c>
      <c r="BW344" s="1602">
        <v>19.411764705882351</v>
      </c>
      <c r="BX344" s="1362">
        <f t="shared" si="300"/>
        <v>33879.666671023559</v>
      </c>
      <c r="BY344" s="1362">
        <f t="shared" si="301"/>
        <v>33879.666671023559</v>
      </c>
      <c r="BZ344" s="1362">
        <f t="shared" si="302"/>
        <v>33879.666671023559</v>
      </c>
      <c r="CA344" s="1362">
        <f t="shared" si="303"/>
        <v>33879.666671023559</v>
      </c>
      <c r="CB344" s="1362">
        <f t="shared" si="304"/>
        <v>135518.66668409423</v>
      </c>
      <c r="CC344" s="2775">
        <v>20</v>
      </c>
      <c r="CD344" s="2775">
        <v>20</v>
      </c>
      <c r="CE344" s="2775">
        <v>20</v>
      </c>
      <c r="CF344" s="2775">
        <v>20</v>
      </c>
      <c r="CG344" s="1604">
        <f t="shared" si="284"/>
        <v>34906.323236812153</v>
      </c>
      <c r="CH344" s="1604">
        <f t="shared" si="285"/>
        <v>34906.323236812153</v>
      </c>
      <c r="CI344" s="1604">
        <f t="shared" si="286"/>
        <v>34906.323236812153</v>
      </c>
      <c r="CJ344" s="1604">
        <f t="shared" si="287"/>
        <v>34906.323236812153</v>
      </c>
      <c r="CK344" s="1521">
        <f t="shared" si="288"/>
        <v>139625.29294724861</v>
      </c>
      <c r="CL344" s="1132">
        <v>337</v>
      </c>
      <c r="CM344" s="1132" t="s">
        <v>328</v>
      </c>
      <c r="CN344" s="1359">
        <v>1</v>
      </c>
      <c r="CO344" s="1360">
        <v>24.525000000000002</v>
      </c>
      <c r="CP344" s="1360">
        <v>24.525000000000002</v>
      </c>
      <c r="CQ344" s="1360">
        <v>24.525000000000002</v>
      </c>
      <c r="CR344" s="1360">
        <v>24.525000000000002</v>
      </c>
      <c r="CS344" s="1362">
        <f t="shared" si="289"/>
        <v>1684.2803155433933</v>
      </c>
      <c r="CT344" s="1362">
        <f t="shared" si="290"/>
        <v>1684.2803155433933</v>
      </c>
      <c r="CU344" s="1362">
        <f t="shared" si="291"/>
        <v>1684.2803155433933</v>
      </c>
      <c r="CV344" s="1362">
        <f t="shared" si="292"/>
        <v>1684.2803155433933</v>
      </c>
      <c r="CW344" s="1362">
        <f t="shared" si="293"/>
        <v>6737.1212621735731</v>
      </c>
      <c r="CY344" s="2887"/>
    </row>
    <row r="345" spans="1:103" s="1143" customFormat="1" ht="62" x14ac:dyDescent="0.35">
      <c r="A345" s="1132" t="s">
        <v>110</v>
      </c>
      <c r="B345" s="1132" t="s">
        <v>830</v>
      </c>
      <c r="C345" s="1132" t="s">
        <v>701</v>
      </c>
      <c r="D345" s="1359" t="s">
        <v>702</v>
      </c>
      <c r="E345" s="1359">
        <v>1</v>
      </c>
      <c r="F345" s="2807" t="s">
        <v>703</v>
      </c>
      <c r="G345" s="1132" t="s">
        <v>356</v>
      </c>
      <c r="H345" s="1360">
        <v>2253.5812855839408</v>
      </c>
      <c r="I345" s="1360">
        <v>2253.5812855839408</v>
      </c>
      <c r="J345" s="1360">
        <v>2253.5812855839408</v>
      </c>
      <c r="K345" s="1360">
        <v>2253.5812855839408</v>
      </c>
      <c r="L345" s="1132" t="s">
        <v>704</v>
      </c>
      <c r="M345" s="1132" t="str">
        <f t="shared" si="255"/>
        <v>Nicor Gas PY11-PY14 Adjustable Goals Template_2025-03-01, Tab 5.4.1</v>
      </c>
      <c r="N345" s="1361">
        <v>0.88064584615384589</v>
      </c>
      <c r="O345" s="1361">
        <v>0.88064584615384589</v>
      </c>
      <c r="P345" s="1361">
        <v>0.88064584615384589</v>
      </c>
      <c r="Q345" s="1361">
        <v>0.88064584615384589</v>
      </c>
      <c r="R345" s="1781">
        <v>1</v>
      </c>
      <c r="S345" s="1781">
        <v>1</v>
      </c>
      <c r="T345" s="1781">
        <v>1</v>
      </c>
      <c r="U345" s="1781">
        <v>1</v>
      </c>
      <c r="V345" s="1781">
        <v>1</v>
      </c>
      <c r="W345" s="1781">
        <v>1</v>
      </c>
      <c r="X345" s="1781">
        <v>1</v>
      </c>
      <c r="Y345" s="1781">
        <v>1</v>
      </c>
      <c r="Z345" s="1359">
        <v>0</v>
      </c>
      <c r="AA345" s="1781">
        <f t="shared" si="256"/>
        <v>1</v>
      </c>
      <c r="AB345" s="1781">
        <f t="shared" si="257"/>
        <v>1</v>
      </c>
      <c r="AC345" s="1781">
        <f t="shared" si="258"/>
        <v>1</v>
      </c>
      <c r="AD345" s="1781">
        <f t="shared" si="259"/>
        <v>1</v>
      </c>
      <c r="AE345" s="1781">
        <f t="shared" si="260"/>
        <v>1</v>
      </c>
      <c r="AF345" s="1781">
        <f t="shared" si="261"/>
        <v>1</v>
      </c>
      <c r="AG345" s="1781">
        <f t="shared" si="262"/>
        <v>1</v>
      </c>
      <c r="AH345" s="1781">
        <f t="shared" si="263"/>
        <v>1</v>
      </c>
      <c r="AI345" s="1362">
        <f t="shared" si="294"/>
        <v>1984.6069981195415</v>
      </c>
      <c r="AJ345" s="1362">
        <f t="shared" si="295"/>
        <v>1984.6069981195415</v>
      </c>
      <c r="AK345" s="1362">
        <f t="shared" si="296"/>
        <v>1984.6069981195415</v>
      </c>
      <c r="AL345" s="1362">
        <f t="shared" si="297"/>
        <v>1984.6069981195415</v>
      </c>
      <c r="AM345" s="1362">
        <f t="shared" si="298"/>
        <v>7938.4279924781658</v>
      </c>
      <c r="AN345" s="1132" t="str">
        <f t="shared" si="264"/>
        <v>RS-HWE-PINS-V02-150601</v>
      </c>
      <c r="AO345" s="1132" t="str">
        <f t="shared" si="265"/>
        <v>Nicor Gas PY11-PY14 Adjustable Goals Template_2025-03-01, Tab 5.4.1</v>
      </c>
      <c r="AP345" s="2738">
        <f>'5.4.1'!$P$7</f>
        <v>2.1563397498882169</v>
      </c>
      <c r="AQ345" s="2568" t="s">
        <v>705</v>
      </c>
      <c r="AR345" s="2505">
        <f t="shared" si="266"/>
        <v>4859.4869057088408</v>
      </c>
      <c r="AS345" s="2505">
        <f t="shared" si="267"/>
        <v>2874.8799075892994</v>
      </c>
      <c r="AT345" s="1132" t="str">
        <f t="shared" si="268"/>
        <v>RS-HWE-PINS-V02-150601</v>
      </c>
      <c r="AU345" s="1132" t="str">
        <f t="shared" si="269"/>
        <v>Nicor Gas PY11-PY14 Adjustable Goals Template_2025-03-01, Tab 5.4.1</v>
      </c>
      <c r="AV345" s="2247">
        <f>'5.4.1'!$P$7</f>
        <v>2.1563397498882169</v>
      </c>
      <c r="AW345" s="2568" t="s">
        <v>705</v>
      </c>
      <c r="AX345" s="1362">
        <f t="shared" si="270"/>
        <v>4859.4869057088408</v>
      </c>
      <c r="AY345" s="1360">
        <f t="shared" si="271"/>
        <v>2874.8799075892994</v>
      </c>
      <c r="AZ345" s="1132" t="str">
        <f t="shared" si="272"/>
        <v>RS-HWE-PINS-V02-150601</v>
      </c>
      <c r="BA345" s="1132" t="str">
        <f t="shared" si="273"/>
        <v>Nicor Gas PY11-PY14 Adjustable Goals Template_2025-03-01, Tab 5.4.1</v>
      </c>
      <c r="BB345" s="2247">
        <f>'5.4.1'!$P$7</f>
        <v>2.1563397498882169</v>
      </c>
      <c r="BC345" s="2568" t="s">
        <v>705</v>
      </c>
      <c r="BD345" s="1362">
        <f t="shared" si="274"/>
        <v>4859.4869057088408</v>
      </c>
      <c r="BE345" s="1360">
        <f t="shared" si="275"/>
        <v>2874.8799075892994</v>
      </c>
      <c r="BF345" s="1132" t="str">
        <f t="shared" si="276"/>
        <v>RS-HWE-PINS-V02-150601</v>
      </c>
      <c r="BG345" s="1132" t="str">
        <f t="shared" si="277"/>
        <v>Nicor Gas PY11-PY14 Adjustable Goals Template_2025-03-01, Tab 5.4.1</v>
      </c>
      <c r="BH345" s="2247">
        <f>'5.4.1'!$P$7</f>
        <v>2.1563397498882169</v>
      </c>
      <c r="BI345" s="2568" t="s">
        <v>705</v>
      </c>
      <c r="BJ345" s="1362">
        <f t="shared" si="299"/>
        <v>4859.4869057088408</v>
      </c>
      <c r="BK345" s="1360">
        <f t="shared" si="278"/>
        <v>2874.8799075892994</v>
      </c>
      <c r="BL345" s="1601">
        <f t="shared" si="279"/>
        <v>4859.4869057088408</v>
      </c>
      <c r="BM345" s="1601">
        <f t="shared" si="280"/>
        <v>4859.4869057088408</v>
      </c>
      <c r="BN345" s="1601">
        <f t="shared" si="281"/>
        <v>4859.4869057088408</v>
      </c>
      <c r="BO345" s="1601">
        <f t="shared" si="282"/>
        <v>4859.4869057088408</v>
      </c>
      <c r="BP345" s="1602">
        <f t="shared" si="283"/>
        <v>19437.947622835363</v>
      </c>
      <c r="BQ345" s="1629"/>
      <c r="BR345" s="1629" t="s">
        <v>703</v>
      </c>
      <c r="BS345" s="1602">
        <v>0</v>
      </c>
      <c r="BT345" s="1602">
        <v>15</v>
      </c>
      <c r="BU345" s="1602">
        <v>15</v>
      </c>
      <c r="BV345" s="1602">
        <v>15</v>
      </c>
      <c r="BW345" s="1602">
        <v>15</v>
      </c>
      <c r="BX345" s="1362">
        <f t="shared" si="300"/>
        <v>29769.104971793124</v>
      </c>
      <c r="BY345" s="1362">
        <f t="shared" si="301"/>
        <v>29769.104971793124</v>
      </c>
      <c r="BZ345" s="1362">
        <f t="shared" si="302"/>
        <v>29769.104971793124</v>
      </c>
      <c r="CA345" s="1362">
        <f t="shared" si="303"/>
        <v>29769.104971793124</v>
      </c>
      <c r="CB345" s="1362">
        <f t="shared" si="304"/>
        <v>119076.41988717249</v>
      </c>
      <c r="CC345" s="1360">
        <v>15</v>
      </c>
      <c r="CD345" s="1360">
        <v>15</v>
      </c>
      <c r="CE345" s="1360">
        <v>15</v>
      </c>
      <c r="CF345" s="1360">
        <v>15</v>
      </c>
      <c r="CG345" s="1604">
        <f t="shared" si="284"/>
        <v>72892.303585632617</v>
      </c>
      <c r="CH345" s="1604">
        <f t="shared" si="285"/>
        <v>72892.303585632617</v>
      </c>
      <c r="CI345" s="1604">
        <f t="shared" si="286"/>
        <v>72892.303585632617</v>
      </c>
      <c r="CJ345" s="1604">
        <f t="shared" si="287"/>
        <v>72892.303585632617</v>
      </c>
      <c r="CK345" s="1521">
        <f t="shared" si="288"/>
        <v>291569.21434253047</v>
      </c>
      <c r="CL345" s="1132">
        <v>338</v>
      </c>
      <c r="CM345" s="1132" t="s">
        <v>356</v>
      </c>
      <c r="CN345" s="1359">
        <v>1</v>
      </c>
      <c r="CO345" s="1360">
        <v>2174.7707846715325</v>
      </c>
      <c r="CP345" s="1360">
        <v>2174.7707846715325</v>
      </c>
      <c r="CQ345" s="1360">
        <v>2174.7707846715325</v>
      </c>
      <c r="CR345" s="1360">
        <v>2174.7707846715325</v>
      </c>
      <c r="CS345" s="1362">
        <f t="shared" si="289"/>
        <v>1915.2028578577251</v>
      </c>
      <c r="CT345" s="1362">
        <f t="shared" si="290"/>
        <v>1915.2028578577251</v>
      </c>
      <c r="CU345" s="1362">
        <f t="shared" si="291"/>
        <v>1915.2028578577251</v>
      </c>
      <c r="CV345" s="1362">
        <f t="shared" si="292"/>
        <v>1915.2028578577251</v>
      </c>
      <c r="CW345" s="1362">
        <f t="shared" si="293"/>
        <v>7660.8114314309005</v>
      </c>
      <c r="CY345" s="2887"/>
    </row>
    <row r="346" spans="1:103" s="1143" customFormat="1" ht="46.5" x14ac:dyDescent="0.35">
      <c r="A346" s="1132" t="s">
        <v>110</v>
      </c>
      <c r="B346" s="1132" t="s">
        <v>830</v>
      </c>
      <c r="C346" s="1132" t="s">
        <v>836</v>
      </c>
      <c r="D346" s="1359" t="s">
        <v>837</v>
      </c>
      <c r="E346" s="1359">
        <v>1</v>
      </c>
      <c r="F346" s="2564" t="s">
        <v>794</v>
      </c>
      <c r="G346" s="1132" t="s">
        <v>328</v>
      </c>
      <c r="H346" s="1360">
        <v>28.370382352941174</v>
      </c>
      <c r="I346" s="1360">
        <v>28.370382352941174</v>
      </c>
      <c r="J346" s="1360">
        <v>28.370382352941174</v>
      </c>
      <c r="K346" s="1360">
        <v>28.370382352941174</v>
      </c>
      <c r="L346" s="1132" t="s">
        <v>795</v>
      </c>
      <c r="M346" s="1132" t="str">
        <f t="shared" si="255"/>
        <v>Nicor Gas PY11-PY14 Adjustable Goals Template_2025-03-01, Tab 5.6.6</v>
      </c>
      <c r="N346" s="1361">
        <v>14.98102898847246</v>
      </c>
      <c r="O346" s="1361">
        <v>14.98102898847246</v>
      </c>
      <c r="P346" s="1361">
        <v>14.98102898847246</v>
      </c>
      <c r="Q346" s="1361">
        <v>14.98102898847246</v>
      </c>
      <c r="R346" s="1781">
        <v>1</v>
      </c>
      <c r="S346" s="1781">
        <v>1</v>
      </c>
      <c r="T346" s="1781">
        <v>1</v>
      </c>
      <c r="U346" s="1781">
        <v>1</v>
      </c>
      <c r="V346" s="1781">
        <v>1</v>
      </c>
      <c r="W346" s="1781">
        <v>1</v>
      </c>
      <c r="X346" s="1781">
        <v>1</v>
      </c>
      <c r="Y346" s="1781">
        <v>1</v>
      </c>
      <c r="Z346" s="1359">
        <v>0</v>
      </c>
      <c r="AA346" s="1781">
        <f t="shared" si="256"/>
        <v>1</v>
      </c>
      <c r="AB346" s="1781">
        <f t="shared" si="257"/>
        <v>1</v>
      </c>
      <c r="AC346" s="1781">
        <f t="shared" si="258"/>
        <v>1</v>
      </c>
      <c r="AD346" s="1781">
        <f t="shared" si="259"/>
        <v>1</v>
      </c>
      <c r="AE346" s="1781">
        <f t="shared" si="260"/>
        <v>1</v>
      </c>
      <c r="AF346" s="1781">
        <f t="shared" si="261"/>
        <v>1</v>
      </c>
      <c r="AG346" s="1781">
        <f t="shared" si="262"/>
        <v>1</v>
      </c>
      <c r="AH346" s="1781">
        <f t="shared" si="263"/>
        <v>1</v>
      </c>
      <c r="AI346" s="1362">
        <f t="shared" si="294"/>
        <v>425.01752044345926</v>
      </c>
      <c r="AJ346" s="1362">
        <f t="shared" si="295"/>
        <v>425.01752044345926</v>
      </c>
      <c r="AK346" s="1362">
        <f t="shared" si="296"/>
        <v>425.01752044345926</v>
      </c>
      <c r="AL346" s="1362">
        <f t="shared" si="297"/>
        <v>425.01752044345926</v>
      </c>
      <c r="AM346" s="1362">
        <f t="shared" si="298"/>
        <v>1700.070081773837</v>
      </c>
      <c r="AN346" s="1132" t="str">
        <f t="shared" si="264"/>
        <v>RS-SHL-RINS-V01-190101</v>
      </c>
      <c r="AO346" s="1132" t="str">
        <f t="shared" si="265"/>
        <v>Nicor Gas PY11-PY14 Adjustable Goals Template_2025-03-01, Tab 5.6.6</v>
      </c>
      <c r="AP346" s="2247">
        <f>'5.6.6'!$X$7</f>
        <v>14.98102898847246</v>
      </c>
      <c r="AQ346" s="2505"/>
      <c r="AR346" s="2505">
        <f t="shared" si="266"/>
        <v>425.01752044345926</v>
      </c>
      <c r="AS346" s="2505">
        <f t="shared" si="267"/>
        <v>0</v>
      </c>
      <c r="AT346" s="1132" t="str">
        <f t="shared" si="268"/>
        <v>RS-SHL-RINS-V01-190101</v>
      </c>
      <c r="AU346" s="1132" t="str">
        <f t="shared" si="269"/>
        <v>Nicor Gas PY11-PY14 Adjustable Goals Template_2025-03-01, Tab 5.6.6</v>
      </c>
      <c r="AV346" s="2247">
        <f>'5.6.6'!$X$7</f>
        <v>14.98102898847246</v>
      </c>
      <c r="AW346" s="2505"/>
      <c r="AX346" s="1362">
        <f t="shared" si="270"/>
        <v>425.01752044345926</v>
      </c>
      <c r="AY346" s="1360">
        <f t="shared" si="271"/>
        <v>0</v>
      </c>
      <c r="AZ346" s="1132" t="str">
        <f t="shared" si="272"/>
        <v>RS-SHL-RINS-V01-190101</v>
      </c>
      <c r="BA346" s="1132" t="str">
        <f t="shared" si="273"/>
        <v>Nicor Gas PY11-PY14 Adjustable Goals Template_2025-03-01, Tab 5.6.6</v>
      </c>
      <c r="BB346" s="2247">
        <f>'5.6.6'!$X$7</f>
        <v>14.98102898847246</v>
      </c>
      <c r="BC346" s="2505"/>
      <c r="BD346" s="1362">
        <f t="shared" si="274"/>
        <v>425.01752044345926</v>
      </c>
      <c r="BE346" s="1360">
        <f t="shared" si="275"/>
        <v>0</v>
      </c>
      <c r="BF346" s="1132" t="str">
        <f t="shared" si="276"/>
        <v>RS-SHL-RINS-V01-190101</v>
      </c>
      <c r="BG346" s="1132" t="str">
        <f t="shared" si="277"/>
        <v>Nicor Gas PY11-PY14 Adjustable Goals Template_2025-03-01, Tab 5.6.6</v>
      </c>
      <c r="BH346" s="2247">
        <f>'5.6.6'!$X$7</f>
        <v>14.98102898847246</v>
      </c>
      <c r="BI346" s="2505"/>
      <c r="BJ346" s="1362">
        <f t="shared" si="299"/>
        <v>425.01752044345926</v>
      </c>
      <c r="BK346" s="1360">
        <f t="shared" si="278"/>
        <v>0</v>
      </c>
      <c r="BL346" s="1601">
        <f t="shared" si="279"/>
        <v>425.01752044345926</v>
      </c>
      <c r="BM346" s="1601">
        <f t="shared" si="280"/>
        <v>425.01752044345926</v>
      </c>
      <c r="BN346" s="1601">
        <f t="shared" si="281"/>
        <v>425.01752044345926</v>
      </c>
      <c r="BO346" s="1601">
        <f t="shared" si="282"/>
        <v>425.01752044345926</v>
      </c>
      <c r="BP346" s="1602">
        <f t="shared" si="283"/>
        <v>1700.070081773837</v>
      </c>
      <c r="BQ346" s="1629"/>
      <c r="BR346" s="1629" t="s">
        <v>794</v>
      </c>
      <c r="BS346" s="2773">
        <v>1</v>
      </c>
      <c r="BT346" s="1602">
        <v>19.41176471</v>
      </c>
      <c r="BU346" s="1602">
        <v>19.41176471</v>
      </c>
      <c r="BV346" s="1602">
        <v>19.41176471</v>
      </c>
      <c r="BW346" s="1602">
        <v>19.41176471</v>
      </c>
      <c r="BX346" s="1362">
        <f t="shared" si="300"/>
        <v>8250.3401044760467</v>
      </c>
      <c r="BY346" s="1362">
        <f t="shared" si="301"/>
        <v>8250.3401044760467</v>
      </c>
      <c r="BZ346" s="1362">
        <f t="shared" si="302"/>
        <v>8250.3401044760467</v>
      </c>
      <c r="CA346" s="1362">
        <f t="shared" si="303"/>
        <v>8250.3401044760467</v>
      </c>
      <c r="CB346" s="1362">
        <f t="shared" si="304"/>
        <v>33001.360417904187</v>
      </c>
      <c r="CC346" s="2775">
        <v>20</v>
      </c>
      <c r="CD346" s="2775">
        <v>20</v>
      </c>
      <c r="CE346" s="2775">
        <v>20</v>
      </c>
      <c r="CF346" s="2775">
        <v>20</v>
      </c>
      <c r="CG346" s="1604">
        <f t="shared" si="284"/>
        <v>8500.3504088691843</v>
      </c>
      <c r="CH346" s="1604">
        <f t="shared" si="285"/>
        <v>8500.3504088691843</v>
      </c>
      <c r="CI346" s="1604">
        <f t="shared" si="286"/>
        <v>8500.3504088691843</v>
      </c>
      <c r="CJ346" s="1604">
        <f t="shared" si="287"/>
        <v>8500.3504088691843</v>
      </c>
      <c r="CK346" s="1521">
        <f t="shared" si="288"/>
        <v>34001.401635476737</v>
      </c>
      <c r="CL346" s="1132">
        <v>339</v>
      </c>
      <c r="CM346" s="1132" t="s">
        <v>328</v>
      </c>
      <c r="CN346" s="1359">
        <v>1</v>
      </c>
      <c r="CO346" s="1360">
        <v>27.378235294117648</v>
      </c>
      <c r="CP346" s="1360">
        <v>27.378235294117648</v>
      </c>
      <c r="CQ346" s="1360">
        <v>27.378235294117648</v>
      </c>
      <c r="CR346" s="1360">
        <v>27.378235294117648</v>
      </c>
      <c r="CS346" s="1362">
        <f t="shared" si="289"/>
        <v>410.15413659439628</v>
      </c>
      <c r="CT346" s="1362">
        <f t="shared" si="290"/>
        <v>410.15413659439628</v>
      </c>
      <c r="CU346" s="1362">
        <f t="shared" si="291"/>
        <v>410.15413659439628</v>
      </c>
      <c r="CV346" s="1362">
        <f t="shared" si="292"/>
        <v>410.15413659439628</v>
      </c>
      <c r="CW346" s="1362">
        <f t="shared" si="293"/>
        <v>1640.6165463775851</v>
      </c>
      <c r="CY346" s="2887"/>
    </row>
    <row r="347" spans="1:103" s="1143" customFormat="1" ht="46.5" x14ac:dyDescent="0.35">
      <c r="A347" s="1132" t="s">
        <v>110</v>
      </c>
      <c r="B347" s="1132" t="s">
        <v>830</v>
      </c>
      <c r="C347" s="1132" t="s">
        <v>838</v>
      </c>
      <c r="D347" s="1359" t="s">
        <v>839</v>
      </c>
      <c r="E347" s="1359">
        <v>1</v>
      </c>
      <c r="F347" s="2564" t="s">
        <v>679</v>
      </c>
      <c r="G347" s="1132" t="s">
        <v>328</v>
      </c>
      <c r="H347" s="1360">
        <v>11.902106250000001</v>
      </c>
      <c r="I347" s="1360">
        <v>11.902106250000001</v>
      </c>
      <c r="J347" s="1360">
        <v>11.902106250000001</v>
      </c>
      <c r="K347" s="1360">
        <v>11.902106250000001</v>
      </c>
      <c r="L347" s="1132" t="s">
        <v>660</v>
      </c>
      <c r="M347" s="1132" t="str">
        <f t="shared" si="255"/>
        <v>Nicor Gas PY11-PY14 Adjustable Goals Template_2025-03-01, Tab 5.6.4</v>
      </c>
      <c r="N347" s="1361">
        <v>43.994353090909087</v>
      </c>
      <c r="O347" s="1361">
        <v>43.994353090909087</v>
      </c>
      <c r="P347" s="1361">
        <v>43.994353090909087</v>
      </c>
      <c r="Q347" s="1361">
        <v>43.994353090909087</v>
      </c>
      <c r="R347" s="1781">
        <v>1</v>
      </c>
      <c r="S347" s="1781">
        <v>1</v>
      </c>
      <c r="T347" s="1781">
        <v>1</v>
      </c>
      <c r="U347" s="1781">
        <v>1</v>
      </c>
      <c r="V347" s="1781">
        <v>1</v>
      </c>
      <c r="W347" s="1781">
        <v>1</v>
      </c>
      <c r="X347" s="1781">
        <v>1</v>
      </c>
      <c r="Y347" s="1781">
        <v>1</v>
      </c>
      <c r="Z347" s="1359">
        <v>0</v>
      </c>
      <c r="AA347" s="1781">
        <f t="shared" si="256"/>
        <v>1</v>
      </c>
      <c r="AB347" s="1781">
        <f t="shared" si="257"/>
        <v>1</v>
      </c>
      <c r="AC347" s="1781">
        <f t="shared" si="258"/>
        <v>1</v>
      </c>
      <c r="AD347" s="1781">
        <f t="shared" si="259"/>
        <v>1</v>
      </c>
      <c r="AE347" s="1781">
        <f t="shared" si="260"/>
        <v>1</v>
      </c>
      <c r="AF347" s="1781">
        <f t="shared" si="261"/>
        <v>1</v>
      </c>
      <c r="AG347" s="1781">
        <f t="shared" si="262"/>
        <v>1</v>
      </c>
      <c r="AH347" s="1781">
        <f t="shared" si="263"/>
        <v>1</v>
      </c>
      <c r="AI347" s="1362">
        <f t="shared" si="294"/>
        <v>523.62546488801593</v>
      </c>
      <c r="AJ347" s="1362">
        <f t="shared" si="295"/>
        <v>523.62546488801593</v>
      </c>
      <c r="AK347" s="1362">
        <f t="shared" si="296"/>
        <v>523.62546488801593</v>
      </c>
      <c r="AL347" s="1362">
        <f t="shared" si="297"/>
        <v>523.62546488801593</v>
      </c>
      <c r="AM347" s="1362">
        <f t="shared" si="298"/>
        <v>2094.5018595520637</v>
      </c>
      <c r="AN347" s="1132" t="str">
        <f t="shared" si="264"/>
        <v>RS-SHL-AINS-V07-180101</v>
      </c>
      <c r="AO347" s="1132" t="str">
        <f t="shared" si="265"/>
        <v>Nicor Gas PY11-PY14 Adjustable Goals Template_2025-03-01, Tab 5.6.4</v>
      </c>
      <c r="AP347" s="2505">
        <f>'5.6.4&amp;5.6.5'!$X$21</f>
        <v>43.994353090909087</v>
      </c>
      <c r="AQ347" s="2505"/>
      <c r="AR347" s="2505">
        <f t="shared" si="266"/>
        <v>523.62546488801593</v>
      </c>
      <c r="AS347" s="2505">
        <f t="shared" si="267"/>
        <v>0</v>
      </c>
      <c r="AT347" s="1132" t="str">
        <f t="shared" si="268"/>
        <v>RS-SHL-AINS-V07-180101</v>
      </c>
      <c r="AU347" s="1132" t="str">
        <f t="shared" si="269"/>
        <v>Nicor Gas PY11-PY14 Adjustable Goals Template_2025-03-01, Tab 5.6.4</v>
      </c>
      <c r="AV347" s="2505">
        <f>'5.6.4&amp;5.6.5'!$X$21</f>
        <v>43.994353090909087</v>
      </c>
      <c r="AW347" s="2505"/>
      <c r="AX347" s="1362">
        <f t="shared" si="270"/>
        <v>523.62546488801593</v>
      </c>
      <c r="AY347" s="1360">
        <f t="shared" si="271"/>
        <v>0</v>
      </c>
      <c r="AZ347" s="1132" t="str">
        <f t="shared" si="272"/>
        <v>RS-SHL-AINS-V07-180101</v>
      </c>
      <c r="BA347" s="1132" t="str">
        <f t="shared" si="273"/>
        <v>Nicor Gas PY11-PY14 Adjustable Goals Template_2025-03-01, Tab 5.6.4</v>
      </c>
      <c r="BB347" s="2505">
        <f>'5.6.4&amp;5.6.5'!$X$21</f>
        <v>43.994353090909087</v>
      </c>
      <c r="BC347" s="2505"/>
      <c r="BD347" s="1362">
        <f t="shared" si="274"/>
        <v>523.62546488801593</v>
      </c>
      <c r="BE347" s="1360">
        <f t="shared" si="275"/>
        <v>0</v>
      </c>
      <c r="BF347" s="1132" t="str">
        <f t="shared" si="276"/>
        <v>RS-SHL-AINS-V07-180101</v>
      </c>
      <c r="BG347" s="1132" t="str">
        <f t="shared" si="277"/>
        <v>Nicor Gas PY11-PY14 Adjustable Goals Template_2025-03-01, Tab 5.6.4</v>
      </c>
      <c r="BH347" s="2505">
        <f>'5.6.4&amp;5.6.5'!$X$21</f>
        <v>43.994353090909087</v>
      </c>
      <c r="BI347" s="2505"/>
      <c r="BJ347" s="1362">
        <f t="shared" si="299"/>
        <v>523.62546488801593</v>
      </c>
      <c r="BK347" s="1360">
        <f t="shared" si="278"/>
        <v>0</v>
      </c>
      <c r="BL347" s="1601">
        <f t="shared" si="279"/>
        <v>523.62546488801593</v>
      </c>
      <c r="BM347" s="1601">
        <f t="shared" si="280"/>
        <v>523.62546488801593</v>
      </c>
      <c r="BN347" s="1601">
        <f t="shared" si="281"/>
        <v>523.62546488801593</v>
      </c>
      <c r="BO347" s="1601">
        <f t="shared" si="282"/>
        <v>523.62546488801593</v>
      </c>
      <c r="BP347" s="1602">
        <f t="shared" si="283"/>
        <v>2094.5018595520637</v>
      </c>
      <c r="BQ347" s="1629"/>
      <c r="BR347" s="1629" t="s">
        <v>679</v>
      </c>
      <c r="BS347" s="2773">
        <v>1</v>
      </c>
      <c r="BT347" s="1602">
        <v>19.41176471</v>
      </c>
      <c r="BU347" s="1602">
        <v>19.41176471</v>
      </c>
      <c r="BV347" s="1602">
        <v>19.41176471</v>
      </c>
      <c r="BW347" s="1602">
        <v>19.41176471</v>
      </c>
      <c r="BX347" s="1362">
        <f t="shared" si="300"/>
        <v>10164.494320570531</v>
      </c>
      <c r="BY347" s="1362">
        <f t="shared" si="301"/>
        <v>10164.494320570531</v>
      </c>
      <c r="BZ347" s="1362">
        <f t="shared" si="302"/>
        <v>10164.494320570531</v>
      </c>
      <c r="CA347" s="1362">
        <f t="shared" si="303"/>
        <v>10164.494320570531</v>
      </c>
      <c r="CB347" s="1362">
        <f t="shared" si="304"/>
        <v>40657.977282282125</v>
      </c>
      <c r="CC347" s="2775">
        <v>20</v>
      </c>
      <c r="CD347" s="2775">
        <v>20</v>
      </c>
      <c r="CE347" s="2775">
        <v>20</v>
      </c>
      <c r="CF347" s="2775">
        <v>20</v>
      </c>
      <c r="CG347" s="1604">
        <f t="shared" si="284"/>
        <v>10472.509297760318</v>
      </c>
      <c r="CH347" s="1604">
        <f t="shared" si="285"/>
        <v>10472.509297760318</v>
      </c>
      <c r="CI347" s="1604">
        <f t="shared" si="286"/>
        <v>10472.509297760318</v>
      </c>
      <c r="CJ347" s="1604">
        <f t="shared" si="287"/>
        <v>10472.509297760318</v>
      </c>
      <c r="CK347" s="1521">
        <f t="shared" si="288"/>
        <v>41890.037191041272</v>
      </c>
      <c r="CL347" s="1132">
        <v>340</v>
      </c>
      <c r="CM347" s="1132" t="s">
        <v>328</v>
      </c>
      <c r="CN347" s="1359">
        <v>1</v>
      </c>
      <c r="CO347" s="1360">
        <v>11.485875000000002</v>
      </c>
      <c r="CP347" s="1360">
        <v>11.485875000000002</v>
      </c>
      <c r="CQ347" s="1360">
        <v>11.485875000000002</v>
      </c>
      <c r="CR347" s="1360">
        <v>11.485875000000002</v>
      </c>
      <c r="CS347" s="1362">
        <f t="shared" si="289"/>
        <v>505.31364030804548</v>
      </c>
      <c r="CT347" s="1362">
        <f t="shared" si="290"/>
        <v>505.31364030804548</v>
      </c>
      <c r="CU347" s="1362">
        <f t="shared" si="291"/>
        <v>505.31364030804548</v>
      </c>
      <c r="CV347" s="1362">
        <f t="shared" si="292"/>
        <v>505.31364030804548</v>
      </c>
      <c r="CW347" s="1362">
        <f t="shared" si="293"/>
        <v>2021.2545612321819</v>
      </c>
      <c r="CY347" s="2887"/>
    </row>
    <row r="348" spans="1:103" s="1143" customFormat="1" ht="45.75" customHeight="1" x14ac:dyDescent="0.35">
      <c r="A348" s="1132" t="s">
        <v>110</v>
      </c>
      <c r="B348" s="1132" t="s">
        <v>830</v>
      </c>
      <c r="C348" s="1132" t="s">
        <v>803</v>
      </c>
      <c r="D348" s="1359" t="s">
        <v>105</v>
      </c>
      <c r="E348" s="1359">
        <f>IF(AI348-AR348=0,0,1)</f>
        <v>0</v>
      </c>
      <c r="F348" s="1132" t="s">
        <v>105</v>
      </c>
      <c r="G348" s="1132" t="s">
        <v>328</v>
      </c>
      <c r="H348" s="1360">
        <v>8.6830312499999991</v>
      </c>
      <c r="I348" s="1360">
        <v>8.6830312499999991</v>
      </c>
      <c r="J348" s="1360">
        <v>8.6830312499999991</v>
      </c>
      <c r="K348" s="1360">
        <v>8.6830312499999991</v>
      </c>
      <c r="L348" s="1132" t="s">
        <v>105</v>
      </c>
      <c r="M348" s="1132" t="str">
        <f t="shared" si="255"/>
        <v/>
      </c>
      <c r="N348" s="1361">
        <v>91.6769297595512</v>
      </c>
      <c r="O348" s="1361">
        <v>91.6769297595512</v>
      </c>
      <c r="P348" s="1361">
        <v>91.6769297595512</v>
      </c>
      <c r="Q348" s="1361">
        <v>91.6769297595512</v>
      </c>
      <c r="R348" s="1781">
        <v>1</v>
      </c>
      <c r="S348" s="1781">
        <v>1</v>
      </c>
      <c r="T348" s="1781">
        <v>1</v>
      </c>
      <c r="U348" s="1781">
        <v>1</v>
      </c>
      <c r="V348" s="1781">
        <v>1</v>
      </c>
      <c r="W348" s="1781">
        <v>1</v>
      </c>
      <c r="X348" s="1781">
        <v>1</v>
      </c>
      <c r="Y348" s="1781">
        <v>1</v>
      </c>
      <c r="Z348" s="1359">
        <v>0</v>
      </c>
      <c r="AA348" s="1781">
        <f t="shared" si="256"/>
        <v>1</v>
      </c>
      <c r="AB348" s="1781">
        <f t="shared" si="257"/>
        <v>1</v>
      </c>
      <c r="AC348" s="1781">
        <f t="shared" si="258"/>
        <v>1</v>
      </c>
      <c r="AD348" s="1781">
        <f t="shared" si="259"/>
        <v>1</v>
      </c>
      <c r="AE348" s="1781">
        <f t="shared" si="260"/>
        <v>1</v>
      </c>
      <c r="AF348" s="1781">
        <f t="shared" si="261"/>
        <v>1</v>
      </c>
      <c r="AG348" s="1781">
        <f t="shared" si="262"/>
        <v>1</v>
      </c>
      <c r="AH348" s="1781">
        <f t="shared" si="263"/>
        <v>1</v>
      </c>
      <c r="AI348" s="1362">
        <f t="shared" si="294"/>
        <v>796.03364600623797</v>
      </c>
      <c r="AJ348" s="1362">
        <f t="shared" si="295"/>
        <v>796.03364600623797</v>
      </c>
      <c r="AK348" s="1362">
        <f t="shared" si="296"/>
        <v>796.03364600623797</v>
      </c>
      <c r="AL348" s="1362">
        <f t="shared" si="297"/>
        <v>796.03364600623797</v>
      </c>
      <c r="AM348" s="1362">
        <f t="shared" si="298"/>
        <v>3184.1345840249519</v>
      </c>
      <c r="AN348" s="1132" t="str">
        <f t="shared" si="264"/>
        <v>Custom</v>
      </c>
      <c r="AO348" s="1132" t="str">
        <f t="shared" si="265"/>
        <v/>
      </c>
      <c r="AP348" s="2505">
        <v>91.6769297595512</v>
      </c>
      <c r="AQ348" s="2505"/>
      <c r="AR348" s="2505">
        <f t="shared" si="266"/>
        <v>796.03364600623797</v>
      </c>
      <c r="AS348" s="2505">
        <f t="shared" si="267"/>
        <v>0</v>
      </c>
      <c r="AT348" s="1132" t="str">
        <f t="shared" si="268"/>
        <v>Custom</v>
      </c>
      <c r="AU348" s="1132" t="str">
        <f t="shared" si="269"/>
        <v/>
      </c>
      <c r="AV348" s="2505">
        <v>91.6769297595512</v>
      </c>
      <c r="AW348" s="2505"/>
      <c r="AX348" s="1362">
        <f t="shared" si="270"/>
        <v>796.03364600623797</v>
      </c>
      <c r="AY348" s="1360">
        <f t="shared" si="271"/>
        <v>0</v>
      </c>
      <c r="AZ348" s="1132" t="str">
        <f t="shared" si="272"/>
        <v>Custom</v>
      </c>
      <c r="BA348" s="1132" t="str">
        <f t="shared" si="273"/>
        <v/>
      </c>
      <c r="BB348" s="2505">
        <v>91.6769297595512</v>
      </c>
      <c r="BC348" s="2505"/>
      <c r="BD348" s="1362">
        <f t="shared" si="274"/>
        <v>796.03364600623797</v>
      </c>
      <c r="BE348" s="1360">
        <f t="shared" si="275"/>
        <v>0</v>
      </c>
      <c r="BF348" s="1132" t="str">
        <f t="shared" si="276"/>
        <v>Custom</v>
      </c>
      <c r="BG348" s="1132" t="str">
        <f t="shared" si="277"/>
        <v/>
      </c>
      <c r="BH348" s="2505">
        <v>91.6769297595512</v>
      </c>
      <c r="BI348" s="2505"/>
      <c r="BJ348" s="1362">
        <f t="shared" si="299"/>
        <v>796.03364600623797</v>
      </c>
      <c r="BK348" s="1360">
        <f t="shared" si="278"/>
        <v>0</v>
      </c>
      <c r="BL348" s="1601">
        <f t="shared" si="279"/>
        <v>796.03364600623797</v>
      </c>
      <c r="BM348" s="1601">
        <f t="shared" si="280"/>
        <v>796.03364600623797</v>
      </c>
      <c r="BN348" s="1601">
        <f t="shared" si="281"/>
        <v>796.03364600623797</v>
      </c>
      <c r="BO348" s="1601">
        <f t="shared" si="282"/>
        <v>796.03364600623797</v>
      </c>
      <c r="BP348" s="1602">
        <f t="shared" si="283"/>
        <v>3184.1345840249519</v>
      </c>
      <c r="BQ348" s="1629"/>
      <c r="BR348" s="1629"/>
      <c r="BS348" s="1602">
        <v>0</v>
      </c>
      <c r="BT348" s="1602">
        <v>15</v>
      </c>
      <c r="BU348" s="1602">
        <v>15</v>
      </c>
      <c r="BV348" s="1602">
        <v>15</v>
      </c>
      <c r="BW348" s="1602">
        <v>15</v>
      </c>
      <c r="BX348" s="1362">
        <f t="shared" si="300"/>
        <v>11940.50469009357</v>
      </c>
      <c r="BY348" s="1362">
        <f t="shared" si="301"/>
        <v>11940.50469009357</v>
      </c>
      <c r="BZ348" s="1362">
        <f t="shared" si="302"/>
        <v>11940.50469009357</v>
      </c>
      <c r="CA348" s="1362">
        <f t="shared" si="303"/>
        <v>11940.50469009357</v>
      </c>
      <c r="CB348" s="1362">
        <f t="shared" si="304"/>
        <v>47762.018760374282</v>
      </c>
      <c r="CC348" s="1360">
        <v>15</v>
      </c>
      <c r="CD348" s="1360">
        <v>15</v>
      </c>
      <c r="CE348" s="1360">
        <v>15</v>
      </c>
      <c r="CF348" s="1360">
        <v>15</v>
      </c>
      <c r="CG348" s="1604">
        <f t="shared" si="284"/>
        <v>11940.50469009357</v>
      </c>
      <c r="CH348" s="1604">
        <f t="shared" si="285"/>
        <v>11940.50469009357</v>
      </c>
      <c r="CI348" s="1604">
        <f t="shared" si="286"/>
        <v>11940.50469009357</v>
      </c>
      <c r="CJ348" s="1604">
        <f t="shared" si="287"/>
        <v>11940.50469009357</v>
      </c>
      <c r="CK348" s="1521">
        <f t="shared" si="288"/>
        <v>47762.018760374282</v>
      </c>
      <c r="CL348" s="1132">
        <v>341</v>
      </c>
      <c r="CM348" s="1132" t="s">
        <v>328</v>
      </c>
      <c r="CN348" s="1359">
        <v>1</v>
      </c>
      <c r="CO348" s="1360">
        <v>8.3793750000000014</v>
      </c>
      <c r="CP348" s="1360">
        <v>8.3793750000000014</v>
      </c>
      <c r="CQ348" s="1360">
        <v>8.3793750000000014</v>
      </c>
      <c r="CR348" s="1360">
        <v>8.3793750000000014</v>
      </c>
      <c r="CS348" s="1362">
        <f t="shared" si="289"/>
        <v>768.1953733039395</v>
      </c>
      <c r="CT348" s="1362">
        <f t="shared" si="290"/>
        <v>768.1953733039395</v>
      </c>
      <c r="CU348" s="1362">
        <f t="shared" si="291"/>
        <v>768.1953733039395</v>
      </c>
      <c r="CV348" s="1362">
        <f t="shared" si="292"/>
        <v>768.1953733039395</v>
      </c>
      <c r="CW348" s="1362">
        <f t="shared" si="293"/>
        <v>3072.781493215758</v>
      </c>
      <c r="CY348" s="2887"/>
    </row>
    <row r="349" spans="1:103" s="1143" customFormat="1" ht="15.5" x14ac:dyDescent="0.35">
      <c r="A349" s="1132" t="s">
        <v>110</v>
      </c>
      <c r="B349" s="1132" t="s">
        <v>830</v>
      </c>
      <c r="C349" s="1132" t="s">
        <v>685</v>
      </c>
      <c r="D349" s="1359" t="s">
        <v>105</v>
      </c>
      <c r="E349" s="1359">
        <f>IF(AI349-AR349=0,0,1)</f>
        <v>0</v>
      </c>
      <c r="F349" s="1132" t="s">
        <v>105</v>
      </c>
      <c r="G349" s="1132" t="s">
        <v>356</v>
      </c>
      <c r="H349" s="1360">
        <v>90.763392905549992</v>
      </c>
      <c r="I349" s="1360">
        <v>90.763392905549992</v>
      </c>
      <c r="J349" s="1360">
        <v>90.763392905549992</v>
      </c>
      <c r="K349" s="1360">
        <v>90.763392905549992</v>
      </c>
      <c r="L349" s="1132" t="s">
        <v>105</v>
      </c>
      <c r="M349" s="1132" t="str">
        <f t="shared" si="255"/>
        <v/>
      </c>
      <c r="N349" s="1361">
        <v>1.7712549049185877</v>
      </c>
      <c r="O349" s="1361">
        <v>1.7712549049185877</v>
      </c>
      <c r="P349" s="1361">
        <v>1.7712549049185877</v>
      </c>
      <c r="Q349" s="1361">
        <v>1.7712549049185877</v>
      </c>
      <c r="R349" s="1781">
        <v>1</v>
      </c>
      <c r="S349" s="1781">
        <v>1</v>
      </c>
      <c r="T349" s="1781">
        <v>1</v>
      </c>
      <c r="U349" s="1781">
        <v>1</v>
      </c>
      <c r="V349" s="1781">
        <v>1</v>
      </c>
      <c r="W349" s="1781">
        <v>1</v>
      </c>
      <c r="X349" s="1781">
        <v>1</v>
      </c>
      <c r="Y349" s="1781">
        <v>1</v>
      </c>
      <c r="Z349" s="1359">
        <v>0</v>
      </c>
      <c r="AA349" s="1781">
        <f t="shared" si="256"/>
        <v>1</v>
      </c>
      <c r="AB349" s="1781">
        <f t="shared" si="257"/>
        <v>1</v>
      </c>
      <c r="AC349" s="1781">
        <f t="shared" si="258"/>
        <v>1</v>
      </c>
      <c r="AD349" s="1781">
        <f t="shared" si="259"/>
        <v>1</v>
      </c>
      <c r="AE349" s="1781">
        <f t="shared" si="260"/>
        <v>1</v>
      </c>
      <c r="AF349" s="1781">
        <f t="shared" si="261"/>
        <v>1</v>
      </c>
      <c r="AG349" s="1781">
        <f t="shared" si="262"/>
        <v>1</v>
      </c>
      <c r="AH349" s="1781">
        <f t="shared" si="263"/>
        <v>1</v>
      </c>
      <c r="AI349" s="1362">
        <f t="shared" si="294"/>
        <v>160.76510487100836</v>
      </c>
      <c r="AJ349" s="1362">
        <f t="shared" si="295"/>
        <v>160.76510487100836</v>
      </c>
      <c r="AK349" s="1362">
        <f t="shared" si="296"/>
        <v>160.76510487100836</v>
      </c>
      <c r="AL349" s="1362">
        <f t="shared" si="297"/>
        <v>160.76510487100836</v>
      </c>
      <c r="AM349" s="1362">
        <f t="shared" si="298"/>
        <v>643.06041948403345</v>
      </c>
      <c r="AN349" s="1132" t="str">
        <f t="shared" si="264"/>
        <v>Custom</v>
      </c>
      <c r="AO349" s="1132" t="str">
        <f t="shared" si="265"/>
        <v/>
      </c>
      <c r="AP349" s="2505">
        <v>1.7712549049185877</v>
      </c>
      <c r="AQ349" s="2505"/>
      <c r="AR349" s="2505">
        <f t="shared" si="266"/>
        <v>160.76510487100836</v>
      </c>
      <c r="AS349" s="2505">
        <f t="shared" si="267"/>
        <v>0</v>
      </c>
      <c r="AT349" s="1132" t="str">
        <f t="shared" si="268"/>
        <v>Custom</v>
      </c>
      <c r="AU349" s="1132" t="str">
        <f t="shared" si="269"/>
        <v/>
      </c>
      <c r="AV349" s="2505">
        <v>1.7712549049185877</v>
      </c>
      <c r="AW349" s="2505"/>
      <c r="AX349" s="1362">
        <f t="shared" si="270"/>
        <v>160.76510487100836</v>
      </c>
      <c r="AY349" s="1360">
        <f t="shared" si="271"/>
        <v>0</v>
      </c>
      <c r="AZ349" s="1132" t="str">
        <f t="shared" si="272"/>
        <v>Custom</v>
      </c>
      <c r="BA349" s="1132" t="str">
        <f t="shared" si="273"/>
        <v/>
      </c>
      <c r="BB349" s="2505">
        <v>1.7712549049185877</v>
      </c>
      <c r="BC349" s="2505"/>
      <c r="BD349" s="1362">
        <f t="shared" si="274"/>
        <v>160.76510487100836</v>
      </c>
      <c r="BE349" s="1360">
        <f t="shared" si="275"/>
        <v>0</v>
      </c>
      <c r="BF349" s="1132" t="str">
        <f t="shared" si="276"/>
        <v>Custom</v>
      </c>
      <c r="BG349" s="1132" t="str">
        <f t="shared" si="277"/>
        <v/>
      </c>
      <c r="BH349" s="2505">
        <v>1.7712549049185877</v>
      </c>
      <c r="BI349" s="2505"/>
      <c r="BJ349" s="1362">
        <f t="shared" si="299"/>
        <v>160.76510487100836</v>
      </c>
      <c r="BK349" s="1360">
        <f t="shared" si="278"/>
        <v>0</v>
      </c>
      <c r="BL349" s="1601">
        <f t="shared" si="279"/>
        <v>160.76510487100836</v>
      </c>
      <c r="BM349" s="1601">
        <f t="shared" si="280"/>
        <v>160.76510487100836</v>
      </c>
      <c r="BN349" s="1601">
        <f t="shared" si="281"/>
        <v>160.76510487100836</v>
      </c>
      <c r="BO349" s="1601">
        <f t="shared" si="282"/>
        <v>160.76510487100836</v>
      </c>
      <c r="BP349" s="1602">
        <f t="shared" si="283"/>
        <v>643.06041948403345</v>
      </c>
      <c r="BQ349" s="1629"/>
      <c r="BR349" s="1629"/>
      <c r="BS349" s="1602">
        <v>0</v>
      </c>
      <c r="BT349" s="1602">
        <v>30</v>
      </c>
      <c r="BU349" s="1602">
        <v>30</v>
      </c>
      <c r="BV349" s="1602">
        <v>30</v>
      </c>
      <c r="BW349" s="1602">
        <v>30</v>
      </c>
      <c r="BX349" s="1362">
        <f t="shared" si="300"/>
        <v>4822.9531461302504</v>
      </c>
      <c r="BY349" s="1362">
        <f t="shared" si="301"/>
        <v>4822.9531461302504</v>
      </c>
      <c r="BZ349" s="1362">
        <f t="shared" si="302"/>
        <v>4822.9531461302504</v>
      </c>
      <c r="CA349" s="1362">
        <f t="shared" si="303"/>
        <v>4822.9531461302504</v>
      </c>
      <c r="CB349" s="1362">
        <f t="shared" si="304"/>
        <v>19291.812584521002</v>
      </c>
      <c r="CC349" s="1360">
        <v>30</v>
      </c>
      <c r="CD349" s="1360">
        <v>30</v>
      </c>
      <c r="CE349" s="1360">
        <v>30</v>
      </c>
      <c r="CF349" s="1360">
        <v>30</v>
      </c>
      <c r="CG349" s="1604">
        <f t="shared" si="284"/>
        <v>4822.9531461302504</v>
      </c>
      <c r="CH349" s="1604">
        <f t="shared" si="285"/>
        <v>4822.9531461302504</v>
      </c>
      <c r="CI349" s="1604">
        <f t="shared" si="286"/>
        <v>4822.9531461302504</v>
      </c>
      <c r="CJ349" s="1604">
        <f t="shared" si="287"/>
        <v>4822.9531461302504</v>
      </c>
      <c r="CK349" s="1521">
        <f t="shared" si="288"/>
        <v>19291.812584521002</v>
      </c>
      <c r="CL349" s="1132">
        <v>342</v>
      </c>
      <c r="CM349" s="1132" t="s">
        <v>356</v>
      </c>
      <c r="CN349" s="1359">
        <v>1</v>
      </c>
      <c r="CO349" s="1360">
        <v>87.589285760999999</v>
      </c>
      <c r="CP349" s="1360">
        <v>87.589285760999999</v>
      </c>
      <c r="CQ349" s="1360">
        <v>87.589285760999999</v>
      </c>
      <c r="CR349" s="1360">
        <v>87.589285760999999</v>
      </c>
      <c r="CS349" s="1362">
        <f t="shared" si="289"/>
        <v>155.14295202248707</v>
      </c>
      <c r="CT349" s="1362">
        <f t="shared" si="290"/>
        <v>155.14295202248707</v>
      </c>
      <c r="CU349" s="1362">
        <f t="shared" si="291"/>
        <v>155.14295202248707</v>
      </c>
      <c r="CV349" s="1362">
        <f t="shared" si="292"/>
        <v>155.14295202248707</v>
      </c>
      <c r="CW349" s="1362">
        <f t="shared" si="293"/>
        <v>620.57180808994826</v>
      </c>
      <c r="CY349" s="2887"/>
    </row>
    <row r="350" spans="1:103" s="1143" customFormat="1" ht="46.5" x14ac:dyDescent="0.35">
      <c r="A350" s="1132" t="s">
        <v>110</v>
      </c>
      <c r="B350" s="1132" t="s">
        <v>830</v>
      </c>
      <c r="C350" s="1132" t="s">
        <v>800</v>
      </c>
      <c r="D350" s="1359" t="s">
        <v>801</v>
      </c>
      <c r="E350" s="1359">
        <v>1</v>
      </c>
      <c r="F350" s="2564" t="s">
        <v>683</v>
      </c>
      <c r="G350" s="1132" t="s">
        <v>356</v>
      </c>
      <c r="H350" s="1360">
        <v>27.107999999999997</v>
      </c>
      <c r="I350" s="1360">
        <v>27.107999999999997</v>
      </c>
      <c r="J350" s="1360">
        <v>27.107999999999997</v>
      </c>
      <c r="K350" s="1360">
        <v>27.107999999999997</v>
      </c>
      <c r="L350" s="1132" t="s">
        <v>802</v>
      </c>
      <c r="M350" s="1132" t="str">
        <f t="shared" si="255"/>
        <v>Nicor Gas PY11-PY14 Adjustable Goals Template_2025-03-01, Tab 5.6.7</v>
      </c>
      <c r="N350" s="1361">
        <v>9.1319999999999979</v>
      </c>
      <c r="O350" s="1361">
        <v>9.1319999999999979</v>
      </c>
      <c r="P350" s="1361">
        <v>9.1319999999999979</v>
      </c>
      <c r="Q350" s="1361">
        <v>9.1319999999999979</v>
      </c>
      <c r="R350" s="1781">
        <v>1</v>
      </c>
      <c r="S350" s="1781">
        <v>1</v>
      </c>
      <c r="T350" s="1781">
        <v>1</v>
      </c>
      <c r="U350" s="1781">
        <v>1</v>
      </c>
      <c r="V350" s="1781">
        <v>1</v>
      </c>
      <c r="W350" s="1781">
        <v>1</v>
      </c>
      <c r="X350" s="1781">
        <v>1</v>
      </c>
      <c r="Y350" s="1781">
        <v>1</v>
      </c>
      <c r="Z350" s="1359">
        <v>0</v>
      </c>
      <c r="AA350" s="1781">
        <f t="shared" si="256"/>
        <v>1</v>
      </c>
      <c r="AB350" s="1781">
        <f t="shared" si="257"/>
        <v>1</v>
      </c>
      <c r="AC350" s="1781">
        <f t="shared" si="258"/>
        <v>1</v>
      </c>
      <c r="AD350" s="1781">
        <f t="shared" si="259"/>
        <v>1</v>
      </c>
      <c r="AE350" s="1781">
        <f t="shared" si="260"/>
        <v>1</v>
      </c>
      <c r="AF350" s="1781">
        <f t="shared" si="261"/>
        <v>1</v>
      </c>
      <c r="AG350" s="1781">
        <f t="shared" si="262"/>
        <v>1</v>
      </c>
      <c r="AH350" s="1781">
        <f t="shared" si="263"/>
        <v>1</v>
      </c>
      <c r="AI350" s="1362">
        <f t="shared" si="294"/>
        <v>247.55025599999991</v>
      </c>
      <c r="AJ350" s="1362">
        <f t="shared" si="295"/>
        <v>247.55025599999991</v>
      </c>
      <c r="AK350" s="1362">
        <f t="shared" si="296"/>
        <v>247.55025599999991</v>
      </c>
      <c r="AL350" s="1362">
        <f t="shared" si="297"/>
        <v>247.55025599999991</v>
      </c>
      <c r="AM350" s="1362">
        <f t="shared" si="298"/>
        <v>990.20102399999962</v>
      </c>
      <c r="AN350" s="1132" t="str">
        <f t="shared" si="264"/>
        <v>RS-SHL-LESW-V01-210102</v>
      </c>
      <c r="AO350" s="1132" t="str">
        <f t="shared" si="265"/>
        <v>Nicor Gas PY11-PY14 Adjustable Goals Template_2025-03-01, Tab 5.6.7</v>
      </c>
      <c r="AP350" s="2505">
        <f>'5.6.7'!$R$6</f>
        <v>9.1319999999999979</v>
      </c>
      <c r="AQ350" s="2505"/>
      <c r="AR350" s="2505">
        <f t="shared" si="266"/>
        <v>247.55025599999991</v>
      </c>
      <c r="AS350" s="2505">
        <f t="shared" si="267"/>
        <v>0</v>
      </c>
      <c r="AT350" s="1132" t="str">
        <f t="shared" si="268"/>
        <v>RS-SHL-LESW-V01-210102</v>
      </c>
      <c r="AU350" s="1132" t="str">
        <f t="shared" si="269"/>
        <v>Nicor Gas PY11-PY14 Adjustable Goals Template_2025-03-01, Tab 5.6.7</v>
      </c>
      <c r="AV350" s="2505">
        <f>'5.6.7'!$R$6</f>
        <v>9.1319999999999979</v>
      </c>
      <c r="AW350" s="2505"/>
      <c r="AX350" s="1362">
        <f t="shared" si="270"/>
        <v>247.55025599999991</v>
      </c>
      <c r="AY350" s="1360">
        <f t="shared" si="271"/>
        <v>0</v>
      </c>
      <c r="AZ350" s="1132" t="str">
        <f t="shared" si="272"/>
        <v>RS-SHL-LESW-V01-210102</v>
      </c>
      <c r="BA350" s="1132" t="str">
        <f t="shared" si="273"/>
        <v>Nicor Gas PY11-PY14 Adjustable Goals Template_2025-03-01, Tab 5.6.7</v>
      </c>
      <c r="BB350" s="2505">
        <f>'5.6.7'!$R$6</f>
        <v>9.1319999999999979</v>
      </c>
      <c r="BC350" s="2505"/>
      <c r="BD350" s="1362">
        <f t="shared" si="274"/>
        <v>247.55025599999991</v>
      </c>
      <c r="BE350" s="1360">
        <f t="shared" si="275"/>
        <v>0</v>
      </c>
      <c r="BF350" s="1132" t="str">
        <f t="shared" si="276"/>
        <v>RS-SHL-LESW-V01-210102</v>
      </c>
      <c r="BG350" s="1132" t="str">
        <f t="shared" si="277"/>
        <v>Nicor Gas PY11-PY14 Adjustable Goals Template_2025-03-01, Tab 5.6.7</v>
      </c>
      <c r="BH350" s="2505">
        <f>'5.6.7'!$R$6</f>
        <v>9.1319999999999979</v>
      </c>
      <c r="BI350" s="2505"/>
      <c r="BJ350" s="1362">
        <f t="shared" si="299"/>
        <v>247.55025599999991</v>
      </c>
      <c r="BK350" s="1360">
        <f t="shared" si="278"/>
        <v>0</v>
      </c>
      <c r="BL350" s="1601">
        <f t="shared" si="279"/>
        <v>247.55025599999991</v>
      </c>
      <c r="BM350" s="1601">
        <f t="shared" si="280"/>
        <v>247.55025599999991</v>
      </c>
      <c r="BN350" s="1601">
        <f t="shared" si="281"/>
        <v>247.55025599999991</v>
      </c>
      <c r="BO350" s="1601">
        <f t="shared" si="282"/>
        <v>247.55025599999991</v>
      </c>
      <c r="BP350" s="1602">
        <f t="shared" si="283"/>
        <v>990.20102399999962</v>
      </c>
      <c r="BQ350" s="1629"/>
      <c r="BR350" s="1629" t="s">
        <v>683</v>
      </c>
      <c r="BS350" s="1602">
        <v>0</v>
      </c>
      <c r="BT350" s="1602">
        <v>20</v>
      </c>
      <c r="BU350" s="1602">
        <v>20</v>
      </c>
      <c r="BV350" s="1602">
        <v>20</v>
      </c>
      <c r="BW350" s="1602">
        <v>20</v>
      </c>
      <c r="BX350" s="1362">
        <f t="shared" si="300"/>
        <v>4951.005119999998</v>
      </c>
      <c r="BY350" s="1362">
        <f t="shared" si="301"/>
        <v>4951.005119999998</v>
      </c>
      <c r="BZ350" s="1362">
        <f t="shared" si="302"/>
        <v>4951.005119999998</v>
      </c>
      <c r="CA350" s="1362">
        <f t="shared" si="303"/>
        <v>4951.005119999998</v>
      </c>
      <c r="CB350" s="1362">
        <f t="shared" si="304"/>
        <v>19804.020479999992</v>
      </c>
      <c r="CC350" s="1360">
        <v>20</v>
      </c>
      <c r="CD350" s="1360">
        <v>20</v>
      </c>
      <c r="CE350" s="1360">
        <v>20</v>
      </c>
      <c r="CF350" s="1360">
        <v>20</v>
      </c>
      <c r="CG350" s="1604">
        <f t="shared" si="284"/>
        <v>4951.005119999998</v>
      </c>
      <c r="CH350" s="1604">
        <f t="shared" si="285"/>
        <v>4951.005119999998</v>
      </c>
      <c r="CI350" s="1604">
        <f t="shared" si="286"/>
        <v>4951.005119999998</v>
      </c>
      <c r="CJ350" s="1604">
        <f t="shared" si="287"/>
        <v>4951.005119999998</v>
      </c>
      <c r="CK350" s="1521">
        <f t="shared" si="288"/>
        <v>19804.020479999992</v>
      </c>
      <c r="CL350" s="1132">
        <v>343</v>
      </c>
      <c r="CM350" s="1132" t="s">
        <v>356</v>
      </c>
      <c r="CN350" s="1359">
        <v>1</v>
      </c>
      <c r="CO350" s="1360">
        <v>26.160000000000004</v>
      </c>
      <c r="CP350" s="1360">
        <v>26.160000000000004</v>
      </c>
      <c r="CQ350" s="1360">
        <v>26.160000000000004</v>
      </c>
      <c r="CR350" s="1360">
        <v>26.160000000000004</v>
      </c>
      <c r="CS350" s="1362">
        <f t="shared" si="289"/>
        <v>238.89311999999998</v>
      </c>
      <c r="CT350" s="1362">
        <f t="shared" si="290"/>
        <v>238.89311999999998</v>
      </c>
      <c r="CU350" s="1362">
        <f t="shared" si="291"/>
        <v>238.89311999999998</v>
      </c>
      <c r="CV350" s="1362">
        <f t="shared" si="292"/>
        <v>238.89311999999998</v>
      </c>
      <c r="CW350" s="1362">
        <f t="shared" si="293"/>
        <v>955.57247999999993</v>
      </c>
      <c r="CY350" s="2887"/>
    </row>
    <row r="351" spans="1:103" s="1143" customFormat="1" ht="45.75" customHeight="1" x14ac:dyDescent="0.35">
      <c r="A351" s="1132" t="s">
        <v>110</v>
      </c>
      <c r="B351" s="1132" t="s">
        <v>830</v>
      </c>
      <c r="C351" s="1132" t="s">
        <v>645</v>
      </c>
      <c r="D351" s="1359" t="s">
        <v>105</v>
      </c>
      <c r="E351" s="1359">
        <f>IF(AI351-AR351=0,0,1)</f>
        <v>0</v>
      </c>
      <c r="F351" s="1132" t="s">
        <v>105</v>
      </c>
      <c r="G351" s="1132" t="s">
        <v>328</v>
      </c>
      <c r="H351" s="1360">
        <v>1.2706875</v>
      </c>
      <c r="I351" s="1360">
        <v>1.2706875</v>
      </c>
      <c r="J351" s="1360">
        <v>1.2706875</v>
      </c>
      <c r="K351" s="1360">
        <v>1.2706875</v>
      </c>
      <c r="L351" s="1132" t="s">
        <v>105</v>
      </c>
      <c r="M351" s="1132" t="str">
        <f t="shared" si="255"/>
        <v/>
      </c>
      <c r="N351" s="1361">
        <v>410.676929759551</v>
      </c>
      <c r="O351" s="1361">
        <v>410.676929759551</v>
      </c>
      <c r="P351" s="1361">
        <v>410.676929759551</v>
      </c>
      <c r="Q351" s="1361">
        <v>410.676929759551</v>
      </c>
      <c r="R351" s="1781">
        <v>1</v>
      </c>
      <c r="S351" s="1781">
        <v>1</v>
      </c>
      <c r="T351" s="1781">
        <v>1</v>
      </c>
      <c r="U351" s="1781">
        <v>1</v>
      </c>
      <c r="V351" s="1781">
        <v>1</v>
      </c>
      <c r="W351" s="1781">
        <v>1</v>
      </c>
      <c r="X351" s="1781">
        <v>1</v>
      </c>
      <c r="Y351" s="1781">
        <v>1</v>
      </c>
      <c r="Z351" s="1359">
        <v>0</v>
      </c>
      <c r="AA351" s="1781">
        <f t="shared" si="256"/>
        <v>1</v>
      </c>
      <c r="AB351" s="1781">
        <f t="shared" si="257"/>
        <v>1</v>
      </c>
      <c r="AC351" s="1781">
        <f t="shared" si="258"/>
        <v>1</v>
      </c>
      <c r="AD351" s="1781">
        <f t="shared" si="259"/>
        <v>1</v>
      </c>
      <c r="AE351" s="1781">
        <f t="shared" si="260"/>
        <v>1</v>
      </c>
      <c r="AF351" s="1781">
        <f t="shared" si="261"/>
        <v>1</v>
      </c>
      <c r="AG351" s="1781">
        <f t="shared" si="262"/>
        <v>1</v>
      </c>
      <c r="AH351" s="1781">
        <f t="shared" si="263"/>
        <v>1</v>
      </c>
      <c r="AI351" s="1362">
        <f t="shared" si="294"/>
        <v>521.84204118383946</v>
      </c>
      <c r="AJ351" s="1362">
        <f t="shared" si="295"/>
        <v>521.84204118383946</v>
      </c>
      <c r="AK351" s="1362">
        <f t="shared" si="296"/>
        <v>521.84204118383946</v>
      </c>
      <c r="AL351" s="1362">
        <f t="shared" si="297"/>
        <v>521.84204118383946</v>
      </c>
      <c r="AM351" s="1362">
        <f t="shared" si="298"/>
        <v>2087.3681647353578</v>
      </c>
      <c r="AN351" s="1132" t="str">
        <f t="shared" si="264"/>
        <v>Custom</v>
      </c>
      <c r="AO351" s="1132" t="str">
        <f t="shared" si="265"/>
        <v/>
      </c>
      <c r="AP351" s="2505">
        <v>410.676929759551</v>
      </c>
      <c r="AQ351" s="2505"/>
      <c r="AR351" s="2505">
        <f t="shared" si="266"/>
        <v>521.84204118383946</v>
      </c>
      <c r="AS351" s="2505">
        <f t="shared" si="267"/>
        <v>0</v>
      </c>
      <c r="AT351" s="1132" t="str">
        <f t="shared" si="268"/>
        <v>Custom</v>
      </c>
      <c r="AU351" s="1132" t="str">
        <f t="shared" si="269"/>
        <v/>
      </c>
      <c r="AV351" s="2505">
        <v>410.676929759551</v>
      </c>
      <c r="AW351" s="2505"/>
      <c r="AX351" s="1362">
        <f t="shared" si="270"/>
        <v>521.84204118383946</v>
      </c>
      <c r="AY351" s="1360">
        <f t="shared" si="271"/>
        <v>0</v>
      </c>
      <c r="AZ351" s="1132" t="str">
        <f t="shared" si="272"/>
        <v>Custom</v>
      </c>
      <c r="BA351" s="1132" t="str">
        <f t="shared" si="273"/>
        <v/>
      </c>
      <c r="BB351" s="2505">
        <v>410.676929759551</v>
      </c>
      <c r="BC351" s="2505"/>
      <c r="BD351" s="1362">
        <f t="shared" si="274"/>
        <v>521.84204118383946</v>
      </c>
      <c r="BE351" s="1360">
        <f t="shared" si="275"/>
        <v>0</v>
      </c>
      <c r="BF351" s="1132" t="str">
        <f t="shared" si="276"/>
        <v>Custom</v>
      </c>
      <c r="BG351" s="1132" t="str">
        <f t="shared" si="277"/>
        <v/>
      </c>
      <c r="BH351" s="2505">
        <v>410.676929759551</v>
      </c>
      <c r="BI351" s="2505"/>
      <c r="BJ351" s="1362">
        <f t="shared" si="299"/>
        <v>521.84204118383946</v>
      </c>
      <c r="BK351" s="1360">
        <f t="shared" si="278"/>
        <v>0</v>
      </c>
      <c r="BL351" s="1601">
        <f t="shared" si="279"/>
        <v>521.84204118383946</v>
      </c>
      <c r="BM351" s="1601">
        <f t="shared" si="280"/>
        <v>521.84204118383946</v>
      </c>
      <c r="BN351" s="1601">
        <f t="shared" si="281"/>
        <v>521.84204118383946</v>
      </c>
      <c r="BO351" s="1601">
        <f t="shared" si="282"/>
        <v>521.84204118383946</v>
      </c>
      <c r="BP351" s="1602">
        <f t="shared" si="283"/>
        <v>2087.3681647353578</v>
      </c>
      <c r="BQ351" s="1629"/>
      <c r="BR351" s="1629"/>
      <c r="BS351" s="1602">
        <v>0</v>
      </c>
      <c r="BT351" s="1602">
        <v>20</v>
      </c>
      <c r="BU351" s="1602">
        <v>20</v>
      </c>
      <c r="BV351" s="1602">
        <v>20</v>
      </c>
      <c r="BW351" s="1602">
        <v>20</v>
      </c>
      <c r="BX351" s="1362">
        <f t="shared" si="300"/>
        <v>10436.84082367679</v>
      </c>
      <c r="BY351" s="1362">
        <f t="shared" si="301"/>
        <v>10436.84082367679</v>
      </c>
      <c r="BZ351" s="1362">
        <f t="shared" si="302"/>
        <v>10436.84082367679</v>
      </c>
      <c r="CA351" s="1362">
        <f t="shared" si="303"/>
        <v>10436.84082367679</v>
      </c>
      <c r="CB351" s="1362">
        <f t="shared" si="304"/>
        <v>41747.36329470716</v>
      </c>
      <c r="CC351" s="1360">
        <v>20</v>
      </c>
      <c r="CD351" s="1360">
        <v>20</v>
      </c>
      <c r="CE351" s="1360">
        <v>20</v>
      </c>
      <c r="CF351" s="1360">
        <v>20</v>
      </c>
      <c r="CG351" s="1604">
        <f t="shared" si="284"/>
        <v>10436.84082367679</v>
      </c>
      <c r="CH351" s="1604">
        <f t="shared" si="285"/>
        <v>10436.84082367679</v>
      </c>
      <c r="CI351" s="1604">
        <f t="shared" si="286"/>
        <v>10436.84082367679</v>
      </c>
      <c r="CJ351" s="1604">
        <f t="shared" si="287"/>
        <v>10436.84082367679</v>
      </c>
      <c r="CK351" s="1521">
        <f t="shared" si="288"/>
        <v>41747.36329470716</v>
      </c>
      <c r="CL351" s="1132">
        <v>344</v>
      </c>
      <c r="CM351" s="1132" t="s">
        <v>328</v>
      </c>
      <c r="CN351" s="1359">
        <v>1</v>
      </c>
      <c r="CO351" s="1360">
        <v>1.2262500000000001</v>
      </c>
      <c r="CP351" s="1360">
        <v>1.2262500000000001</v>
      </c>
      <c r="CQ351" s="1360">
        <v>1.2262500000000001</v>
      </c>
      <c r="CR351" s="1360">
        <v>1.2262500000000001</v>
      </c>
      <c r="CS351" s="1362">
        <f t="shared" si="289"/>
        <v>503.59258511764943</v>
      </c>
      <c r="CT351" s="1362">
        <f t="shared" si="290"/>
        <v>503.59258511764943</v>
      </c>
      <c r="CU351" s="1362">
        <f t="shared" si="291"/>
        <v>503.59258511764943</v>
      </c>
      <c r="CV351" s="1362">
        <f t="shared" si="292"/>
        <v>503.59258511764943</v>
      </c>
      <c r="CW351" s="1362">
        <f t="shared" si="293"/>
        <v>2014.3703404705977</v>
      </c>
      <c r="CY351" s="2887"/>
    </row>
    <row r="352" spans="1:103" s="1143" customFormat="1" ht="45.75" customHeight="1" x14ac:dyDescent="0.35">
      <c r="A352" s="1132" t="s">
        <v>110</v>
      </c>
      <c r="B352" s="1132" t="s">
        <v>840</v>
      </c>
      <c r="C352" s="1132" t="s">
        <v>841</v>
      </c>
      <c r="D352" s="1359" t="s">
        <v>105</v>
      </c>
      <c r="E352" s="1359">
        <f>IF(AI352-AR352=0,0,1)</f>
        <v>0</v>
      </c>
      <c r="F352" s="1132" t="s">
        <v>105</v>
      </c>
      <c r="G352" s="1132" t="s">
        <v>356</v>
      </c>
      <c r="H352" s="1360">
        <v>111.49319999999999</v>
      </c>
      <c r="I352" s="1360">
        <v>111.49319999999999</v>
      </c>
      <c r="J352" s="1360">
        <v>111.49319999999999</v>
      </c>
      <c r="K352" s="1360">
        <v>111.49319999999999</v>
      </c>
      <c r="L352" s="1132" t="s">
        <v>105</v>
      </c>
      <c r="M352" s="1132" t="str">
        <f t="shared" si="255"/>
        <v/>
      </c>
      <c r="N352" s="1361">
        <v>0</v>
      </c>
      <c r="O352" s="1361">
        <v>0</v>
      </c>
      <c r="P352" s="1361">
        <v>0</v>
      </c>
      <c r="Q352" s="1361">
        <v>0</v>
      </c>
      <c r="R352" s="1781">
        <v>1</v>
      </c>
      <c r="S352" s="1781">
        <v>1</v>
      </c>
      <c r="T352" s="1781">
        <v>1</v>
      </c>
      <c r="U352" s="1781">
        <v>1</v>
      </c>
      <c r="V352" s="1781">
        <v>1</v>
      </c>
      <c r="W352" s="1781">
        <v>1</v>
      </c>
      <c r="X352" s="1781">
        <v>1</v>
      </c>
      <c r="Y352" s="1781">
        <v>1</v>
      </c>
      <c r="Z352" s="1359">
        <v>0</v>
      </c>
      <c r="AA352" s="1781">
        <f t="shared" si="256"/>
        <v>1</v>
      </c>
      <c r="AB352" s="1781">
        <f t="shared" si="257"/>
        <v>1</v>
      </c>
      <c r="AC352" s="1781">
        <f t="shared" si="258"/>
        <v>1</v>
      </c>
      <c r="AD352" s="1781">
        <f t="shared" si="259"/>
        <v>1</v>
      </c>
      <c r="AE352" s="1781">
        <f t="shared" si="260"/>
        <v>1</v>
      </c>
      <c r="AF352" s="1781">
        <f t="shared" si="261"/>
        <v>1</v>
      </c>
      <c r="AG352" s="1781">
        <f t="shared" si="262"/>
        <v>1</v>
      </c>
      <c r="AH352" s="1781">
        <f t="shared" si="263"/>
        <v>1</v>
      </c>
      <c r="AI352" s="1362">
        <f t="shared" si="294"/>
        <v>0</v>
      </c>
      <c r="AJ352" s="1362">
        <f t="shared" si="295"/>
        <v>0</v>
      </c>
      <c r="AK352" s="1362">
        <f t="shared" si="296"/>
        <v>0</v>
      </c>
      <c r="AL352" s="1362">
        <f t="shared" si="297"/>
        <v>0</v>
      </c>
      <c r="AM352" s="1362">
        <f t="shared" si="298"/>
        <v>0</v>
      </c>
      <c r="AN352" s="1132" t="str">
        <f t="shared" si="264"/>
        <v>Custom</v>
      </c>
      <c r="AO352" s="1132" t="str">
        <f t="shared" si="265"/>
        <v/>
      </c>
      <c r="AP352" s="2505">
        <v>0</v>
      </c>
      <c r="AQ352" s="2505"/>
      <c r="AR352" s="2505">
        <f t="shared" si="266"/>
        <v>0</v>
      </c>
      <c r="AS352" s="2505">
        <f t="shared" si="267"/>
        <v>0</v>
      </c>
      <c r="AT352" s="1132" t="str">
        <f t="shared" si="268"/>
        <v>Custom</v>
      </c>
      <c r="AU352" s="1132" t="str">
        <f t="shared" si="269"/>
        <v/>
      </c>
      <c r="AV352" s="2505">
        <v>0</v>
      </c>
      <c r="AW352" s="2505"/>
      <c r="AX352" s="1362">
        <f t="shared" si="270"/>
        <v>0</v>
      </c>
      <c r="AY352" s="1360">
        <f t="shared" si="271"/>
        <v>0</v>
      </c>
      <c r="AZ352" s="1132" t="str">
        <f t="shared" si="272"/>
        <v>Custom</v>
      </c>
      <c r="BA352" s="1132" t="str">
        <f t="shared" si="273"/>
        <v/>
      </c>
      <c r="BB352" s="2505">
        <v>0</v>
      </c>
      <c r="BC352" s="2505"/>
      <c r="BD352" s="1362">
        <f t="shared" si="274"/>
        <v>0</v>
      </c>
      <c r="BE352" s="1360">
        <f t="shared" si="275"/>
        <v>0</v>
      </c>
      <c r="BF352" s="1132" t="str">
        <f t="shared" si="276"/>
        <v>Custom</v>
      </c>
      <c r="BG352" s="1132" t="str">
        <f t="shared" si="277"/>
        <v/>
      </c>
      <c r="BH352" s="2505">
        <v>0</v>
      </c>
      <c r="BI352" s="2505"/>
      <c r="BJ352" s="1362">
        <f t="shared" si="299"/>
        <v>0</v>
      </c>
      <c r="BK352" s="1360">
        <f t="shared" si="278"/>
        <v>0</v>
      </c>
      <c r="BL352" s="1601">
        <f t="shared" si="279"/>
        <v>0</v>
      </c>
      <c r="BM352" s="1601">
        <f t="shared" si="280"/>
        <v>0</v>
      </c>
      <c r="BN352" s="1601">
        <f t="shared" si="281"/>
        <v>0</v>
      </c>
      <c r="BO352" s="1601">
        <f t="shared" si="282"/>
        <v>0</v>
      </c>
      <c r="BP352" s="1602">
        <f t="shared" si="283"/>
        <v>0</v>
      </c>
      <c r="BQ352" s="1629"/>
      <c r="BR352" s="1629"/>
      <c r="BS352" s="1602">
        <v>0</v>
      </c>
      <c r="BT352" s="1602">
        <v>0</v>
      </c>
      <c r="BU352" s="1602">
        <v>0</v>
      </c>
      <c r="BV352" s="1602">
        <v>0</v>
      </c>
      <c r="BW352" s="1602">
        <v>0</v>
      </c>
      <c r="BX352" s="1362">
        <f t="shared" si="300"/>
        <v>0</v>
      </c>
      <c r="BY352" s="1362">
        <f t="shared" si="301"/>
        <v>0</v>
      </c>
      <c r="BZ352" s="1362">
        <f t="shared" si="302"/>
        <v>0</v>
      </c>
      <c r="CA352" s="1362">
        <f t="shared" si="303"/>
        <v>0</v>
      </c>
      <c r="CB352" s="1362">
        <f t="shared" si="304"/>
        <v>0</v>
      </c>
      <c r="CC352" s="1360">
        <v>0</v>
      </c>
      <c r="CD352" s="1360">
        <v>0</v>
      </c>
      <c r="CE352" s="1360">
        <v>0</v>
      </c>
      <c r="CF352" s="1360">
        <v>0</v>
      </c>
      <c r="CG352" s="1604">
        <f t="shared" si="284"/>
        <v>0</v>
      </c>
      <c r="CH352" s="1604">
        <f t="shared" si="285"/>
        <v>0</v>
      </c>
      <c r="CI352" s="1604">
        <f t="shared" si="286"/>
        <v>0</v>
      </c>
      <c r="CJ352" s="1604">
        <f t="shared" si="287"/>
        <v>0</v>
      </c>
      <c r="CK352" s="1521">
        <f t="shared" si="288"/>
        <v>0</v>
      </c>
      <c r="CL352" s="1132">
        <v>345</v>
      </c>
      <c r="CM352" s="1132" t="s">
        <v>356</v>
      </c>
      <c r="CN352" s="1359">
        <v>1</v>
      </c>
      <c r="CO352" s="1360">
        <v>71.803705272148534</v>
      </c>
      <c r="CP352" s="1360">
        <v>71.803705272148534</v>
      </c>
      <c r="CQ352" s="1360">
        <v>71.803705272148534</v>
      </c>
      <c r="CR352" s="1360">
        <v>71.803705272148534</v>
      </c>
      <c r="CS352" s="1362">
        <f t="shared" si="289"/>
        <v>0</v>
      </c>
      <c r="CT352" s="1362">
        <f t="shared" si="290"/>
        <v>0</v>
      </c>
      <c r="CU352" s="1362">
        <f t="shared" si="291"/>
        <v>0</v>
      </c>
      <c r="CV352" s="1362">
        <f t="shared" si="292"/>
        <v>0</v>
      </c>
      <c r="CW352" s="1362">
        <f t="shared" si="293"/>
        <v>0</v>
      </c>
      <c r="CY352" s="2887"/>
    </row>
    <row r="353" spans="1:103" s="1143" customFormat="1" ht="46.5" x14ac:dyDescent="0.35">
      <c r="A353" s="1132" t="s">
        <v>110</v>
      </c>
      <c r="B353" s="1132" t="s">
        <v>840</v>
      </c>
      <c r="C353" s="1132" t="s">
        <v>842</v>
      </c>
      <c r="D353" s="1359" t="s">
        <v>843</v>
      </c>
      <c r="E353" s="1359">
        <v>1</v>
      </c>
      <c r="F353" s="1780" t="s">
        <v>649</v>
      </c>
      <c r="G353" s="1132" t="s">
        <v>356</v>
      </c>
      <c r="H353" s="1360">
        <v>94.50376</v>
      </c>
      <c r="I353" s="1360">
        <v>94.50376</v>
      </c>
      <c r="J353" s="1360">
        <v>94.50376</v>
      </c>
      <c r="K353" s="1360">
        <v>94.50376</v>
      </c>
      <c r="L353" s="1132" t="s">
        <v>650</v>
      </c>
      <c r="M353" s="1132" t="str">
        <f t="shared" si="255"/>
        <v>Nicor Gas PY11-PY14 Adjustable Goals Template_2025-03-01, Tab 5.3.16</v>
      </c>
      <c r="N353" s="1361">
        <v>55.509675000000001</v>
      </c>
      <c r="O353" s="1361">
        <v>55.509675000000001</v>
      </c>
      <c r="P353" s="1361">
        <v>55.509675000000001</v>
      </c>
      <c r="Q353" s="1361">
        <v>55.509675000000001</v>
      </c>
      <c r="R353" s="1781">
        <v>1</v>
      </c>
      <c r="S353" s="1781">
        <v>1</v>
      </c>
      <c r="T353" s="1781">
        <v>1</v>
      </c>
      <c r="U353" s="1781">
        <v>1</v>
      </c>
      <c r="V353" s="1781">
        <v>1</v>
      </c>
      <c r="W353" s="1781">
        <v>1</v>
      </c>
      <c r="X353" s="1781">
        <v>1</v>
      </c>
      <c r="Y353" s="1781">
        <v>1</v>
      </c>
      <c r="Z353" s="1359">
        <v>0</v>
      </c>
      <c r="AA353" s="1781">
        <f t="shared" si="256"/>
        <v>1</v>
      </c>
      <c r="AB353" s="1781">
        <f t="shared" si="257"/>
        <v>1</v>
      </c>
      <c r="AC353" s="1781">
        <f t="shared" si="258"/>
        <v>1</v>
      </c>
      <c r="AD353" s="1781">
        <f t="shared" si="259"/>
        <v>1</v>
      </c>
      <c r="AE353" s="1781">
        <f t="shared" si="260"/>
        <v>1</v>
      </c>
      <c r="AF353" s="1781">
        <f t="shared" si="261"/>
        <v>1</v>
      </c>
      <c r="AG353" s="1781">
        <f t="shared" si="262"/>
        <v>1</v>
      </c>
      <c r="AH353" s="1781">
        <f t="shared" si="263"/>
        <v>1</v>
      </c>
      <c r="AI353" s="1362">
        <f t="shared" si="294"/>
        <v>5245.8730038780004</v>
      </c>
      <c r="AJ353" s="1362">
        <f t="shared" si="295"/>
        <v>5245.8730038780004</v>
      </c>
      <c r="AK353" s="1362">
        <f t="shared" si="296"/>
        <v>5245.8730038780004</v>
      </c>
      <c r="AL353" s="1362">
        <f t="shared" si="297"/>
        <v>5245.8730038780004</v>
      </c>
      <c r="AM353" s="1362">
        <f t="shared" si="298"/>
        <v>20983.492015512002</v>
      </c>
      <c r="AN353" s="1132" t="str">
        <f t="shared" si="264"/>
        <v>RS-HVC-ADTH-V03-190101</v>
      </c>
      <c r="AO353" s="1132" t="str">
        <f t="shared" si="265"/>
        <v>Nicor Gas PY11-PY14 Adjustable Goals Template_2025-03-01, Tab 5.3.16</v>
      </c>
      <c r="AP353" s="2247">
        <f>'5.3.16'!$S$20</f>
        <v>55.509675000000001</v>
      </c>
      <c r="AQ353" s="2505"/>
      <c r="AR353" s="2505">
        <f t="shared" si="266"/>
        <v>5245.8730038780004</v>
      </c>
      <c r="AS353" s="2505">
        <f t="shared" si="267"/>
        <v>0</v>
      </c>
      <c r="AT353" s="1132" t="str">
        <f t="shared" si="268"/>
        <v>RS-HVC-ADTH-V03-190101</v>
      </c>
      <c r="AU353" s="1132" t="str">
        <f t="shared" si="269"/>
        <v>Nicor Gas PY11-PY14 Adjustable Goals Template_2025-03-01, Tab 5.3.16</v>
      </c>
      <c r="AV353" s="2247">
        <f>'5.3.16'!$S$20</f>
        <v>55.509675000000001</v>
      </c>
      <c r="AW353" s="2505"/>
      <c r="AX353" s="1362">
        <f t="shared" si="270"/>
        <v>5245.8730038780004</v>
      </c>
      <c r="AY353" s="1360">
        <f t="shared" si="271"/>
        <v>0</v>
      </c>
      <c r="AZ353" s="1132" t="str">
        <f t="shared" si="272"/>
        <v>RS-HVC-ADTH-V03-190101</v>
      </c>
      <c r="BA353" s="1132" t="str">
        <f t="shared" si="273"/>
        <v>Nicor Gas PY11-PY14 Adjustable Goals Template_2025-03-01, Tab 5.3.16</v>
      </c>
      <c r="BB353" s="2247">
        <f>'5.3.16'!$S$20</f>
        <v>55.509675000000001</v>
      </c>
      <c r="BC353" s="2505"/>
      <c r="BD353" s="1362">
        <f t="shared" si="274"/>
        <v>5245.8730038780004</v>
      </c>
      <c r="BE353" s="1360">
        <f t="shared" si="275"/>
        <v>0</v>
      </c>
      <c r="BF353" s="1132" t="str">
        <f t="shared" si="276"/>
        <v>RS-HVC-ADTH-V03-190101</v>
      </c>
      <c r="BG353" s="1132" t="str">
        <f t="shared" si="277"/>
        <v>Nicor Gas PY11-PY14 Adjustable Goals Template_2025-03-01, Tab 5.3.16</v>
      </c>
      <c r="BH353" s="2247">
        <f>'5.3.16'!$S$20</f>
        <v>55.509675000000001</v>
      </c>
      <c r="BI353" s="2505"/>
      <c r="BJ353" s="1362">
        <f t="shared" si="299"/>
        <v>5245.8730038780004</v>
      </c>
      <c r="BK353" s="1360">
        <f t="shared" si="278"/>
        <v>0</v>
      </c>
      <c r="BL353" s="1601">
        <f t="shared" si="279"/>
        <v>5245.8730038780004</v>
      </c>
      <c r="BM353" s="1601">
        <f t="shared" si="280"/>
        <v>5245.8730038780004</v>
      </c>
      <c r="BN353" s="1601">
        <f t="shared" si="281"/>
        <v>5245.8730038780004</v>
      </c>
      <c r="BO353" s="1601">
        <f t="shared" si="282"/>
        <v>5245.8730038780004</v>
      </c>
      <c r="BP353" s="1602">
        <f t="shared" si="283"/>
        <v>20983.492015512002</v>
      </c>
      <c r="BQ353" s="1629"/>
      <c r="BR353" s="1629" t="s">
        <v>649</v>
      </c>
      <c r="BS353" s="1602">
        <v>0</v>
      </c>
      <c r="BT353" s="1602">
        <v>11</v>
      </c>
      <c r="BU353" s="1602">
        <v>11</v>
      </c>
      <c r="BV353" s="1602">
        <v>11</v>
      </c>
      <c r="BW353" s="1602">
        <v>11</v>
      </c>
      <c r="BX353" s="1362">
        <f t="shared" si="300"/>
        <v>57704.603042658004</v>
      </c>
      <c r="BY353" s="1362">
        <f t="shared" si="301"/>
        <v>57704.603042658004</v>
      </c>
      <c r="BZ353" s="1362">
        <f t="shared" si="302"/>
        <v>57704.603042658004</v>
      </c>
      <c r="CA353" s="1362">
        <f t="shared" si="303"/>
        <v>57704.603042658004</v>
      </c>
      <c r="CB353" s="1362">
        <f t="shared" si="304"/>
        <v>230818.41217063201</v>
      </c>
      <c r="CC353" s="1360">
        <v>11</v>
      </c>
      <c r="CD353" s="1360">
        <v>11</v>
      </c>
      <c r="CE353" s="1360">
        <v>11</v>
      </c>
      <c r="CF353" s="1360">
        <v>11</v>
      </c>
      <c r="CG353" s="1604">
        <f t="shared" si="284"/>
        <v>57704.603042658004</v>
      </c>
      <c r="CH353" s="1604">
        <f t="shared" si="285"/>
        <v>57704.603042658004</v>
      </c>
      <c r="CI353" s="1604">
        <f t="shared" si="286"/>
        <v>57704.603042658004</v>
      </c>
      <c r="CJ353" s="1604">
        <f t="shared" si="287"/>
        <v>57704.603042658004</v>
      </c>
      <c r="CK353" s="1521">
        <f t="shared" si="288"/>
        <v>230818.41217063201</v>
      </c>
      <c r="CL353" s="1132">
        <v>346</v>
      </c>
      <c r="CM353" s="1132" t="s">
        <v>356</v>
      </c>
      <c r="CN353" s="1359">
        <v>1</v>
      </c>
      <c r="CO353" s="1360">
        <v>80.691760268749761</v>
      </c>
      <c r="CP353" s="1360">
        <v>80.691760268749761</v>
      </c>
      <c r="CQ353" s="1360">
        <v>80.691760268749761</v>
      </c>
      <c r="CR353" s="1360">
        <v>80.691760268749761</v>
      </c>
      <c r="CS353" s="1362">
        <f t="shared" si="289"/>
        <v>4479.1733876962116</v>
      </c>
      <c r="CT353" s="1362">
        <f t="shared" si="290"/>
        <v>4479.1733876962116</v>
      </c>
      <c r="CU353" s="1362">
        <f t="shared" si="291"/>
        <v>4479.1733876962116</v>
      </c>
      <c r="CV353" s="1362">
        <f t="shared" si="292"/>
        <v>4479.1733876962116</v>
      </c>
      <c r="CW353" s="1362">
        <f t="shared" si="293"/>
        <v>17916.693550784847</v>
      </c>
      <c r="CY353" s="2887"/>
    </row>
    <row r="354" spans="1:103" s="1143" customFormat="1" ht="46.5" x14ac:dyDescent="0.35">
      <c r="A354" s="1132" t="s">
        <v>110</v>
      </c>
      <c r="B354" s="1132" t="s">
        <v>840</v>
      </c>
      <c r="C354" s="1132" t="s">
        <v>844</v>
      </c>
      <c r="D354" s="1359" t="s">
        <v>845</v>
      </c>
      <c r="E354" s="1359">
        <v>1</v>
      </c>
      <c r="F354" s="2564" t="s">
        <v>655</v>
      </c>
      <c r="G354" s="1132" t="s">
        <v>328</v>
      </c>
      <c r="H354" s="1360">
        <v>60.524879999999996</v>
      </c>
      <c r="I354" s="1360">
        <v>60.524879999999996</v>
      </c>
      <c r="J354" s="1360">
        <v>60.524879999999996</v>
      </c>
      <c r="K354" s="1360">
        <v>60.524879999999996</v>
      </c>
      <c r="L354" s="1132" t="s">
        <v>656</v>
      </c>
      <c r="M354" s="1132" t="str">
        <f t="shared" si="255"/>
        <v>Nicor Gas PY11-PY14 Adjustable Goals Template_2025-03-01, Tab 5.6.1</v>
      </c>
      <c r="N354" s="1361">
        <v>36.544456963350783</v>
      </c>
      <c r="O354" s="1361">
        <v>36.544456963350783</v>
      </c>
      <c r="P354" s="1361">
        <v>36.544456963350783</v>
      </c>
      <c r="Q354" s="1361">
        <v>36.544456963350783</v>
      </c>
      <c r="R354" s="1781">
        <v>1</v>
      </c>
      <c r="S354" s="1781">
        <v>1</v>
      </c>
      <c r="T354" s="1781">
        <v>1</v>
      </c>
      <c r="U354" s="1781">
        <v>1</v>
      </c>
      <c r="V354" s="1781">
        <v>1</v>
      </c>
      <c r="W354" s="1781">
        <v>1</v>
      </c>
      <c r="X354" s="1781">
        <v>1</v>
      </c>
      <c r="Y354" s="1781">
        <v>1</v>
      </c>
      <c r="Z354" s="1359">
        <v>0</v>
      </c>
      <c r="AA354" s="1781">
        <f t="shared" si="256"/>
        <v>1</v>
      </c>
      <c r="AB354" s="1781">
        <f t="shared" si="257"/>
        <v>1</v>
      </c>
      <c r="AC354" s="1781">
        <f t="shared" si="258"/>
        <v>1</v>
      </c>
      <c r="AD354" s="1781">
        <f t="shared" si="259"/>
        <v>1</v>
      </c>
      <c r="AE354" s="1781">
        <f t="shared" si="260"/>
        <v>1</v>
      </c>
      <c r="AF354" s="1781">
        <f t="shared" si="261"/>
        <v>1</v>
      </c>
      <c r="AG354" s="1781">
        <f t="shared" si="262"/>
        <v>1</v>
      </c>
      <c r="AH354" s="1781">
        <f t="shared" si="263"/>
        <v>1</v>
      </c>
      <c r="AI354" s="1362">
        <f t="shared" si="294"/>
        <v>2211.8488723719702</v>
      </c>
      <c r="AJ354" s="1362">
        <f t="shared" si="295"/>
        <v>2211.8488723719702</v>
      </c>
      <c r="AK354" s="1362">
        <f t="shared" si="296"/>
        <v>2211.8488723719702</v>
      </c>
      <c r="AL354" s="1362">
        <f t="shared" si="297"/>
        <v>2211.8488723719702</v>
      </c>
      <c r="AM354" s="1362">
        <f t="shared" si="298"/>
        <v>8847.3954894878807</v>
      </c>
      <c r="AN354" s="1132" t="str">
        <f t="shared" si="264"/>
        <v>RS-SHL-AIRS-V07-190101</v>
      </c>
      <c r="AO354" s="1132" t="str">
        <f t="shared" si="265"/>
        <v>Nicor Gas PY11-PY14 Adjustable Goals Template_2025-03-01, Tab 5.6.1</v>
      </c>
      <c r="AP354" s="2247">
        <f>'5.6.1'!$V$9</f>
        <v>36.544456963350783</v>
      </c>
      <c r="AQ354" s="2505"/>
      <c r="AR354" s="2505">
        <f t="shared" si="266"/>
        <v>2211.8488723719702</v>
      </c>
      <c r="AS354" s="2505">
        <f t="shared" si="267"/>
        <v>0</v>
      </c>
      <c r="AT354" s="1132" t="str">
        <f t="shared" si="268"/>
        <v>RS-SHL-AIRS-V07-190101</v>
      </c>
      <c r="AU354" s="1132" t="str">
        <f t="shared" si="269"/>
        <v>Nicor Gas PY11-PY14 Adjustable Goals Template_2025-03-01, Tab 5.6.1</v>
      </c>
      <c r="AV354" s="2247">
        <f>'5.6.1'!$V$9</f>
        <v>36.544456963350783</v>
      </c>
      <c r="AW354" s="2505"/>
      <c r="AX354" s="1362">
        <f t="shared" si="270"/>
        <v>2211.8488723719702</v>
      </c>
      <c r="AY354" s="1360">
        <f t="shared" si="271"/>
        <v>0</v>
      </c>
      <c r="AZ354" s="1132" t="str">
        <f t="shared" si="272"/>
        <v>RS-SHL-AIRS-V07-190101</v>
      </c>
      <c r="BA354" s="1132" t="str">
        <f t="shared" si="273"/>
        <v>Nicor Gas PY11-PY14 Adjustable Goals Template_2025-03-01, Tab 5.6.1</v>
      </c>
      <c r="BB354" s="2247">
        <f>'5.6.1'!$V$9</f>
        <v>36.544456963350783</v>
      </c>
      <c r="BC354" s="2505"/>
      <c r="BD354" s="1362">
        <f t="shared" si="274"/>
        <v>2211.8488723719702</v>
      </c>
      <c r="BE354" s="1360">
        <f t="shared" si="275"/>
        <v>0</v>
      </c>
      <c r="BF354" s="1132" t="str">
        <f t="shared" si="276"/>
        <v>RS-SHL-AIRS-V07-190101</v>
      </c>
      <c r="BG354" s="1132" t="str">
        <f t="shared" si="277"/>
        <v>Nicor Gas PY11-PY14 Adjustable Goals Template_2025-03-01, Tab 5.6.1</v>
      </c>
      <c r="BH354" s="2247">
        <f>'5.6.1'!$V$9</f>
        <v>36.544456963350783</v>
      </c>
      <c r="BI354" s="2505"/>
      <c r="BJ354" s="1362">
        <f t="shared" si="299"/>
        <v>2211.8488723719702</v>
      </c>
      <c r="BK354" s="1360">
        <f t="shared" si="278"/>
        <v>0</v>
      </c>
      <c r="BL354" s="1601">
        <f t="shared" si="279"/>
        <v>2211.8488723719702</v>
      </c>
      <c r="BM354" s="1601">
        <f t="shared" si="280"/>
        <v>2211.8488723719702</v>
      </c>
      <c r="BN354" s="1601">
        <f t="shared" si="281"/>
        <v>2211.8488723719702</v>
      </c>
      <c r="BO354" s="1601">
        <f t="shared" si="282"/>
        <v>2211.8488723719702</v>
      </c>
      <c r="BP354" s="1602">
        <f t="shared" si="283"/>
        <v>8847.3954894878807</v>
      </c>
      <c r="BQ354" s="1629"/>
      <c r="BR354" s="1629" t="s">
        <v>655</v>
      </c>
      <c r="BS354" s="2773">
        <v>1</v>
      </c>
      <c r="BT354" s="1602">
        <v>19.411764705882355</v>
      </c>
      <c r="BU354" s="1602">
        <v>19.411764705882355</v>
      </c>
      <c r="BV354" s="1602">
        <v>19.411764705882355</v>
      </c>
      <c r="BW354" s="1602">
        <v>19.411764705882355</v>
      </c>
      <c r="BX354" s="1362">
        <f t="shared" si="300"/>
        <v>42935.889875455898</v>
      </c>
      <c r="BY354" s="1362">
        <f t="shared" si="301"/>
        <v>42935.889875455898</v>
      </c>
      <c r="BZ354" s="1362">
        <f t="shared" si="302"/>
        <v>42935.889875455898</v>
      </c>
      <c r="CA354" s="1362">
        <f t="shared" si="303"/>
        <v>42935.889875455898</v>
      </c>
      <c r="CB354" s="1362">
        <f t="shared" si="304"/>
        <v>171743.55950182359</v>
      </c>
      <c r="CC354" s="2775">
        <v>20</v>
      </c>
      <c r="CD354" s="2775">
        <v>20</v>
      </c>
      <c r="CE354" s="2775">
        <v>20</v>
      </c>
      <c r="CF354" s="2775">
        <v>20</v>
      </c>
      <c r="CG354" s="1604">
        <f t="shared" si="284"/>
        <v>44236.977447439407</v>
      </c>
      <c r="CH354" s="1604">
        <f t="shared" si="285"/>
        <v>44236.977447439407</v>
      </c>
      <c r="CI354" s="1604">
        <f t="shared" si="286"/>
        <v>44236.977447439407</v>
      </c>
      <c r="CJ354" s="1604">
        <f t="shared" si="287"/>
        <v>44236.977447439407</v>
      </c>
      <c r="CK354" s="1521">
        <f t="shared" si="288"/>
        <v>176947.90978975763</v>
      </c>
      <c r="CL354" s="1132">
        <v>347</v>
      </c>
      <c r="CM354" s="1132" t="s">
        <v>328</v>
      </c>
      <c r="CN354" s="1359">
        <v>1</v>
      </c>
      <c r="CO354" s="1360">
        <v>33.228161585271472</v>
      </c>
      <c r="CP354" s="1360">
        <v>33.228161585271472</v>
      </c>
      <c r="CQ354" s="1360">
        <v>33.228161585271472</v>
      </c>
      <c r="CR354" s="1360">
        <v>33.228161585271472</v>
      </c>
      <c r="CS354" s="1362">
        <f t="shared" si="289"/>
        <v>1214.305121024219</v>
      </c>
      <c r="CT354" s="1362">
        <f t="shared" si="290"/>
        <v>1214.305121024219</v>
      </c>
      <c r="CU354" s="1362">
        <f t="shared" si="291"/>
        <v>1214.305121024219</v>
      </c>
      <c r="CV354" s="1362">
        <f t="shared" si="292"/>
        <v>1214.305121024219</v>
      </c>
      <c r="CW354" s="1362">
        <f t="shared" si="293"/>
        <v>4857.2204840968761</v>
      </c>
      <c r="CY354" s="2887"/>
    </row>
    <row r="355" spans="1:103" s="1143" customFormat="1" ht="46.5" x14ac:dyDescent="0.35">
      <c r="A355" s="1132" t="s">
        <v>110</v>
      </c>
      <c r="B355" s="1132" t="s">
        <v>840</v>
      </c>
      <c r="C355" s="1132" t="s">
        <v>846</v>
      </c>
      <c r="D355" s="1359" t="s">
        <v>847</v>
      </c>
      <c r="E355" s="1359">
        <v>1</v>
      </c>
      <c r="F355" s="2564" t="s">
        <v>659</v>
      </c>
      <c r="G355" s="1132" t="s">
        <v>328</v>
      </c>
      <c r="H355" s="1360">
        <v>60.524879999999996</v>
      </c>
      <c r="I355" s="1360">
        <v>60.524879999999996</v>
      </c>
      <c r="J355" s="1360">
        <v>60.524879999999996</v>
      </c>
      <c r="K355" s="1360">
        <v>60.524879999999996</v>
      </c>
      <c r="L355" s="1132" t="s">
        <v>660</v>
      </c>
      <c r="M355" s="1132" t="str">
        <f t="shared" si="255"/>
        <v>Nicor Gas PY11-PY14 Adjustable Goals Template_2025-03-01, Tab 5.6.5</v>
      </c>
      <c r="N355" s="1361">
        <v>86.096208551664859</v>
      </c>
      <c r="O355" s="1361">
        <v>86.096208551664859</v>
      </c>
      <c r="P355" s="1361">
        <v>86.096208551664859</v>
      </c>
      <c r="Q355" s="1361">
        <v>86.096208551664859</v>
      </c>
      <c r="R355" s="1781">
        <v>1</v>
      </c>
      <c r="S355" s="1781">
        <v>1</v>
      </c>
      <c r="T355" s="1781">
        <v>1</v>
      </c>
      <c r="U355" s="1781">
        <v>1</v>
      </c>
      <c r="V355" s="1781">
        <v>1</v>
      </c>
      <c r="W355" s="1781">
        <v>1</v>
      </c>
      <c r="X355" s="1781">
        <v>1</v>
      </c>
      <c r="Y355" s="1781">
        <v>1</v>
      </c>
      <c r="Z355" s="1359">
        <v>0</v>
      </c>
      <c r="AA355" s="1781">
        <f t="shared" si="256"/>
        <v>1</v>
      </c>
      <c r="AB355" s="1781">
        <f t="shared" si="257"/>
        <v>1</v>
      </c>
      <c r="AC355" s="1781">
        <f t="shared" si="258"/>
        <v>1</v>
      </c>
      <c r="AD355" s="1781">
        <f t="shared" si="259"/>
        <v>1</v>
      </c>
      <c r="AE355" s="1781">
        <f t="shared" si="260"/>
        <v>1</v>
      </c>
      <c r="AF355" s="1781">
        <f t="shared" si="261"/>
        <v>1</v>
      </c>
      <c r="AG355" s="1781">
        <f t="shared" si="262"/>
        <v>1</v>
      </c>
      <c r="AH355" s="1781">
        <f t="shared" si="263"/>
        <v>1</v>
      </c>
      <c r="AI355" s="1362">
        <f t="shared" si="294"/>
        <v>5210.9626910444895</v>
      </c>
      <c r="AJ355" s="1362">
        <f t="shared" si="295"/>
        <v>5210.9626910444895</v>
      </c>
      <c r="AK355" s="1362">
        <f t="shared" si="296"/>
        <v>5210.9626910444895</v>
      </c>
      <c r="AL355" s="1362">
        <f t="shared" si="297"/>
        <v>5210.9626910444895</v>
      </c>
      <c r="AM355" s="1362">
        <f t="shared" si="298"/>
        <v>20843.850764177958</v>
      </c>
      <c r="AN355" s="1132" t="str">
        <f t="shared" si="264"/>
        <v>RS-SHL-AINS-V07-180101</v>
      </c>
      <c r="AO355" s="1132" t="str">
        <f t="shared" si="265"/>
        <v>Nicor Gas PY11-PY14 Adjustable Goals Template_2025-03-01, Tab 5.6.5</v>
      </c>
      <c r="AP355" s="2505">
        <f>'5.6.4&amp;5.6.5'!$X$11</f>
        <v>86.096208551664859</v>
      </c>
      <c r="AQ355" s="2505"/>
      <c r="AR355" s="2505">
        <f t="shared" si="266"/>
        <v>5210.9626910444895</v>
      </c>
      <c r="AS355" s="2505">
        <f t="shared" si="267"/>
        <v>0</v>
      </c>
      <c r="AT355" s="1132" t="str">
        <f t="shared" si="268"/>
        <v>RS-SHL-AINS-V07-180101</v>
      </c>
      <c r="AU355" s="1132" t="str">
        <f t="shared" si="269"/>
        <v>Nicor Gas PY11-PY14 Adjustable Goals Template_2025-03-01, Tab 5.6.5</v>
      </c>
      <c r="AV355" s="2505">
        <f>'5.6.4&amp;5.6.5'!$X$11</f>
        <v>86.096208551664859</v>
      </c>
      <c r="AW355" s="2505"/>
      <c r="AX355" s="1362">
        <f t="shared" si="270"/>
        <v>5210.9626910444895</v>
      </c>
      <c r="AY355" s="1360">
        <f t="shared" si="271"/>
        <v>0</v>
      </c>
      <c r="AZ355" s="1132" t="str">
        <f t="shared" si="272"/>
        <v>RS-SHL-AINS-V07-180101</v>
      </c>
      <c r="BA355" s="1132" t="str">
        <f t="shared" si="273"/>
        <v>Nicor Gas PY11-PY14 Adjustable Goals Template_2025-03-01, Tab 5.6.5</v>
      </c>
      <c r="BB355" s="2505">
        <f>'5.6.4&amp;5.6.5'!$X$11</f>
        <v>86.096208551664859</v>
      </c>
      <c r="BC355" s="2505"/>
      <c r="BD355" s="1362">
        <f t="shared" si="274"/>
        <v>5210.9626910444895</v>
      </c>
      <c r="BE355" s="1360">
        <f t="shared" si="275"/>
        <v>0</v>
      </c>
      <c r="BF355" s="1132" t="str">
        <f t="shared" si="276"/>
        <v>RS-SHL-AINS-V07-180101</v>
      </c>
      <c r="BG355" s="1132" t="str">
        <f t="shared" si="277"/>
        <v>Nicor Gas PY11-PY14 Adjustable Goals Template_2025-03-01, Tab 5.6.5</v>
      </c>
      <c r="BH355" s="2505">
        <f>'5.6.4&amp;5.6.5'!$X$11</f>
        <v>86.096208551664859</v>
      </c>
      <c r="BI355" s="2505"/>
      <c r="BJ355" s="1362">
        <f t="shared" si="299"/>
        <v>5210.9626910444895</v>
      </c>
      <c r="BK355" s="1360">
        <f t="shared" si="278"/>
        <v>0</v>
      </c>
      <c r="BL355" s="1601">
        <f t="shared" si="279"/>
        <v>5210.9626910444895</v>
      </c>
      <c r="BM355" s="1601">
        <f t="shared" si="280"/>
        <v>5210.9626910444895</v>
      </c>
      <c r="BN355" s="1601">
        <f t="shared" si="281"/>
        <v>5210.9626910444895</v>
      </c>
      <c r="BO355" s="1601">
        <f t="shared" si="282"/>
        <v>5210.9626910444895</v>
      </c>
      <c r="BP355" s="1602">
        <f t="shared" si="283"/>
        <v>20843.850764177958</v>
      </c>
      <c r="BQ355" s="1629"/>
      <c r="BR355" s="1629" t="s">
        <v>659</v>
      </c>
      <c r="BS355" s="2773">
        <v>1</v>
      </c>
      <c r="BT355" s="1602">
        <v>19.411764705882351</v>
      </c>
      <c r="BU355" s="1602">
        <v>19.411764705882351</v>
      </c>
      <c r="BV355" s="1602">
        <v>19.411764705882351</v>
      </c>
      <c r="BW355" s="1602">
        <v>19.411764705882351</v>
      </c>
      <c r="BX355" s="1362">
        <f t="shared" si="300"/>
        <v>101153.98164968714</v>
      </c>
      <c r="BY355" s="1362">
        <f t="shared" si="301"/>
        <v>101153.98164968714</v>
      </c>
      <c r="BZ355" s="1362">
        <f t="shared" si="302"/>
        <v>101153.98164968714</v>
      </c>
      <c r="CA355" s="1362">
        <f t="shared" si="303"/>
        <v>101153.98164968714</v>
      </c>
      <c r="CB355" s="1362">
        <f t="shared" si="304"/>
        <v>404615.92659874854</v>
      </c>
      <c r="CC355" s="2775">
        <v>20</v>
      </c>
      <c r="CD355" s="2775">
        <v>20</v>
      </c>
      <c r="CE355" s="2775">
        <v>20</v>
      </c>
      <c r="CF355" s="2775">
        <v>20</v>
      </c>
      <c r="CG355" s="1604">
        <f t="shared" si="284"/>
        <v>104219.25382088979</v>
      </c>
      <c r="CH355" s="1604">
        <f t="shared" si="285"/>
        <v>104219.25382088979</v>
      </c>
      <c r="CI355" s="1604">
        <f t="shared" si="286"/>
        <v>104219.25382088979</v>
      </c>
      <c r="CJ355" s="1604">
        <f t="shared" si="287"/>
        <v>104219.25382088979</v>
      </c>
      <c r="CK355" s="1521">
        <f t="shared" si="288"/>
        <v>416877.01528355916</v>
      </c>
      <c r="CL355" s="1132">
        <v>348</v>
      </c>
      <c r="CM355" s="1132" t="s">
        <v>328</v>
      </c>
      <c r="CN355" s="1359">
        <v>1</v>
      </c>
      <c r="CO355" s="1360">
        <v>33.228645016886595</v>
      </c>
      <c r="CP355" s="1360">
        <v>33.228645016886595</v>
      </c>
      <c r="CQ355" s="1360">
        <v>33.228645016886595</v>
      </c>
      <c r="CR355" s="1360">
        <v>33.228645016886595</v>
      </c>
      <c r="CS355" s="1362">
        <f t="shared" si="289"/>
        <v>2860.8603512631075</v>
      </c>
      <c r="CT355" s="1362">
        <f t="shared" si="290"/>
        <v>2860.8603512631075</v>
      </c>
      <c r="CU355" s="1362">
        <f t="shared" si="291"/>
        <v>2860.8603512631075</v>
      </c>
      <c r="CV355" s="1362">
        <f t="shared" si="292"/>
        <v>2860.8603512631075</v>
      </c>
      <c r="CW355" s="1362">
        <f t="shared" si="293"/>
        <v>11443.44140505243</v>
      </c>
      <c r="CY355" s="2887"/>
    </row>
    <row r="356" spans="1:103" s="1143" customFormat="1" ht="46.5" x14ac:dyDescent="0.35">
      <c r="A356" s="1132" t="s">
        <v>110</v>
      </c>
      <c r="B356" s="1132" t="s">
        <v>840</v>
      </c>
      <c r="C356" s="1132" t="s">
        <v>848</v>
      </c>
      <c r="D356" s="1359" t="s">
        <v>849</v>
      </c>
      <c r="E356" s="1359">
        <v>1</v>
      </c>
      <c r="F356" s="2564" t="s">
        <v>675</v>
      </c>
      <c r="G356" s="1132" t="s">
        <v>328</v>
      </c>
      <c r="H356" s="1360">
        <v>122.1116</v>
      </c>
      <c r="I356" s="1360">
        <v>122.1116</v>
      </c>
      <c r="J356" s="1360">
        <v>122.1116</v>
      </c>
      <c r="K356" s="1360">
        <v>122.1116</v>
      </c>
      <c r="L356" s="1132" t="s">
        <v>676</v>
      </c>
      <c r="M356" s="1132" t="str">
        <f t="shared" si="255"/>
        <v>Nicor Gas PY11-PY14 Adjustable Goals Template_2025-03-01, Tab 5.6.2</v>
      </c>
      <c r="N356" s="1361">
        <v>32.473614073173309</v>
      </c>
      <c r="O356" s="1361">
        <v>32.473614073173309</v>
      </c>
      <c r="P356" s="1361">
        <v>32.473614073173309</v>
      </c>
      <c r="Q356" s="1361">
        <v>32.473614073173309</v>
      </c>
      <c r="R356" s="1781">
        <v>1</v>
      </c>
      <c r="S356" s="1781">
        <v>1</v>
      </c>
      <c r="T356" s="1781">
        <v>1</v>
      </c>
      <c r="U356" s="1781">
        <v>1</v>
      </c>
      <c r="V356" s="1781">
        <v>1</v>
      </c>
      <c r="W356" s="1781">
        <v>1</v>
      </c>
      <c r="X356" s="1781">
        <v>1</v>
      </c>
      <c r="Y356" s="1781">
        <v>1</v>
      </c>
      <c r="Z356" s="1359">
        <v>0</v>
      </c>
      <c r="AA356" s="1781">
        <f t="shared" si="256"/>
        <v>1</v>
      </c>
      <c r="AB356" s="1781">
        <f t="shared" si="257"/>
        <v>1</v>
      </c>
      <c r="AC356" s="1781">
        <f t="shared" si="258"/>
        <v>1</v>
      </c>
      <c r="AD356" s="1781">
        <f t="shared" si="259"/>
        <v>1</v>
      </c>
      <c r="AE356" s="1781">
        <f t="shared" si="260"/>
        <v>1</v>
      </c>
      <c r="AF356" s="1781">
        <f t="shared" si="261"/>
        <v>1</v>
      </c>
      <c r="AG356" s="1781">
        <f t="shared" si="262"/>
        <v>1</v>
      </c>
      <c r="AH356" s="1781">
        <f t="shared" si="263"/>
        <v>1</v>
      </c>
      <c r="AI356" s="1362">
        <f t="shared" si="294"/>
        <v>3965.4049722577097</v>
      </c>
      <c r="AJ356" s="1362">
        <f t="shared" si="295"/>
        <v>3965.4049722577097</v>
      </c>
      <c r="AK356" s="1362">
        <f t="shared" si="296"/>
        <v>3965.4049722577097</v>
      </c>
      <c r="AL356" s="1362">
        <f t="shared" si="297"/>
        <v>3965.4049722577097</v>
      </c>
      <c r="AM356" s="1362">
        <f t="shared" si="298"/>
        <v>15861.619889030839</v>
      </c>
      <c r="AN356" s="1132" t="str">
        <f t="shared" si="264"/>
        <v>RS-SHL-BINS-V09-190101</v>
      </c>
      <c r="AO356" s="1132" t="str">
        <f t="shared" si="265"/>
        <v>Nicor Gas PY11-PY14 Adjustable Goals Template_2025-03-01, Tab 5.6.2</v>
      </c>
      <c r="AP356" s="2505">
        <f>'5.6.2'!$AA$6</f>
        <v>32.473614073173309</v>
      </c>
      <c r="AQ356" s="2505"/>
      <c r="AR356" s="2505">
        <f t="shared" si="266"/>
        <v>3965.4049722577097</v>
      </c>
      <c r="AS356" s="2505">
        <f t="shared" si="267"/>
        <v>0</v>
      </c>
      <c r="AT356" s="1132" t="str">
        <f t="shared" si="268"/>
        <v>RS-SHL-BINS-V09-190101</v>
      </c>
      <c r="AU356" s="1132" t="str">
        <f t="shared" si="269"/>
        <v>Nicor Gas PY11-PY14 Adjustable Goals Template_2025-03-01, Tab 5.6.2</v>
      </c>
      <c r="AV356" s="2505">
        <f>'5.6.2'!$AA$6</f>
        <v>32.473614073173309</v>
      </c>
      <c r="AW356" s="2505"/>
      <c r="AX356" s="1362">
        <f t="shared" si="270"/>
        <v>3965.4049722577097</v>
      </c>
      <c r="AY356" s="1360">
        <f t="shared" si="271"/>
        <v>0</v>
      </c>
      <c r="AZ356" s="1132" t="str">
        <f t="shared" si="272"/>
        <v>RS-SHL-BINS-V09-190101</v>
      </c>
      <c r="BA356" s="1132" t="str">
        <f t="shared" si="273"/>
        <v>Nicor Gas PY11-PY14 Adjustable Goals Template_2025-03-01, Tab 5.6.2</v>
      </c>
      <c r="BB356" s="2505">
        <f>'5.6.2'!$AA$6</f>
        <v>32.473614073173309</v>
      </c>
      <c r="BC356" s="2505"/>
      <c r="BD356" s="1362">
        <f t="shared" si="274"/>
        <v>3965.4049722577097</v>
      </c>
      <c r="BE356" s="1360">
        <f t="shared" si="275"/>
        <v>0</v>
      </c>
      <c r="BF356" s="1132" t="str">
        <f t="shared" si="276"/>
        <v>RS-SHL-BINS-V09-190101</v>
      </c>
      <c r="BG356" s="1132" t="str">
        <f t="shared" si="277"/>
        <v>Nicor Gas PY11-PY14 Adjustable Goals Template_2025-03-01, Tab 5.6.2</v>
      </c>
      <c r="BH356" s="2505">
        <f>'5.6.2'!$AA$6</f>
        <v>32.473614073173309</v>
      </c>
      <c r="BI356" s="2505"/>
      <c r="BJ356" s="1362">
        <f t="shared" si="299"/>
        <v>3965.4049722577097</v>
      </c>
      <c r="BK356" s="1360">
        <f t="shared" si="278"/>
        <v>0</v>
      </c>
      <c r="BL356" s="1601">
        <f t="shared" si="279"/>
        <v>3965.4049722577097</v>
      </c>
      <c r="BM356" s="1601">
        <f t="shared" si="280"/>
        <v>3965.4049722577097</v>
      </c>
      <c r="BN356" s="1601">
        <f t="shared" si="281"/>
        <v>3965.4049722577097</v>
      </c>
      <c r="BO356" s="1601">
        <f t="shared" si="282"/>
        <v>3965.4049722577097</v>
      </c>
      <c r="BP356" s="1602">
        <f t="shared" si="283"/>
        <v>15861.619889030839</v>
      </c>
      <c r="BQ356" s="1629"/>
      <c r="BR356" s="1629" t="s">
        <v>675</v>
      </c>
      <c r="BS356" s="2773">
        <v>1</v>
      </c>
      <c r="BT356" s="1602">
        <v>19.411764705882351</v>
      </c>
      <c r="BU356" s="1602">
        <v>19.411764705882351</v>
      </c>
      <c r="BV356" s="1602">
        <v>19.411764705882351</v>
      </c>
      <c r="BW356" s="1602">
        <v>19.411764705882351</v>
      </c>
      <c r="BX356" s="1362">
        <f t="shared" si="300"/>
        <v>76975.508285002594</v>
      </c>
      <c r="BY356" s="1362">
        <f t="shared" si="301"/>
        <v>76975.508285002594</v>
      </c>
      <c r="BZ356" s="1362">
        <f t="shared" si="302"/>
        <v>76975.508285002594</v>
      </c>
      <c r="CA356" s="1362">
        <f t="shared" si="303"/>
        <v>76975.508285002594</v>
      </c>
      <c r="CB356" s="1362">
        <f t="shared" si="304"/>
        <v>307902.03314001038</v>
      </c>
      <c r="CC356" s="2775">
        <v>20</v>
      </c>
      <c r="CD356" s="2775">
        <v>20</v>
      </c>
      <c r="CE356" s="2775">
        <v>20</v>
      </c>
      <c r="CF356" s="2775">
        <v>20</v>
      </c>
      <c r="CG356" s="1604">
        <f t="shared" si="284"/>
        <v>79308.099445154192</v>
      </c>
      <c r="CH356" s="1604">
        <f t="shared" si="285"/>
        <v>79308.099445154192</v>
      </c>
      <c r="CI356" s="1604">
        <f t="shared" si="286"/>
        <v>79308.099445154192</v>
      </c>
      <c r="CJ356" s="1604">
        <f t="shared" si="287"/>
        <v>79308.099445154192</v>
      </c>
      <c r="CK356" s="1521">
        <f t="shared" si="288"/>
        <v>317232.39778061677</v>
      </c>
      <c r="CL356" s="1132">
        <v>349</v>
      </c>
      <c r="CM356" s="1132" t="s">
        <v>328</v>
      </c>
      <c r="CN356" s="1359">
        <v>1</v>
      </c>
      <c r="CO356" s="1360">
        <v>67.039299503311256</v>
      </c>
      <c r="CP356" s="1360">
        <v>67.039299503311256</v>
      </c>
      <c r="CQ356" s="1360">
        <v>67.039299503311256</v>
      </c>
      <c r="CR356" s="1360">
        <v>67.039299503311256</v>
      </c>
      <c r="CS356" s="1362">
        <f t="shared" si="289"/>
        <v>2177.0083398064089</v>
      </c>
      <c r="CT356" s="1362">
        <f t="shared" si="290"/>
        <v>2177.0083398064089</v>
      </c>
      <c r="CU356" s="1362">
        <f t="shared" si="291"/>
        <v>2177.0083398064089</v>
      </c>
      <c r="CV356" s="1362">
        <f t="shared" si="292"/>
        <v>2177.0083398064089</v>
      </c>
      <c r="CW356" s="1362">
        <f t="shared" si="293"/>
        <v>8708.0333592256356</v>
      </c>
      <c r="CY356" s="2887"/>
    </row>
    <row r="357" spans="1:103" s="1143" customFormat="1" ht="46.5" x14ac:dyDescent="0.35">
      <c r="A357" s="1132" t="s">
        <v>110</v>
      </c>
      <c r="B357" s="1132" t="s">
        <v>840</v>
      </c>
      <c r="C357" s="1132" t="s">
        <v>850</v>
      </c>
      <c r="D357" s="1359" t="s">
        <v>851</v>
      </c>
      <c r="E357" s="1359">
        <v>1</v>
      </c>
      <c r="F357" s="2807" t="s">
        <v>697</v>
      </c>
      <c r="G357" s="1132" t="s">
        <v>328</v>
      </c>
      <c r="H357" s="1360">
        <v>136.97735999999998</v>
      </c>
      <c r="I357" s="1360">
        <v>136.97735999999998</v>
      </c>
      <c r="J357" s="1360">
        <v>136.97735999999998</v>
      </c>
      <c r="K357" s="1360">
        <v>136.97735999999998</v>
      </c>
      <c r="L357" s="1132" t="s">
        <v>698</v>
      </c>
      <c r="M357" s="1132" t="str">
        <f t="shared" si="255"/>
        <v>Nicor Gas PY11-PY14 Adjustable Goals Template_2025-03-01, Tab 5.4.4</v>
      </c>
      <c r="N357" s="1361">
        <v>1.5579651031560005</v>
      </c>
      <c r="O357" s="1361">
        <v>1.5579651031560005</v>
      </c>
      <c r="P357" s="1361">
        <v>1.5579651031560005</v>
      </c>
      <c r="Q357" s="1361">
        <v>1.5579651031560005</v>
      </c>
      <c r="R357" s="1781">
        <v>1</v>
      </c>
      <c r="S357" s="1781">
        <v>1</v>
      </c>
      <c r="T357" s="1781">
        <v>1</v>
      </c>
      <c r="U357" s="1781">
        <v>1</v>
      </c>
      <c r="V357" s="1781">
        <v>1</v>
      </c>
      <c r="W357" s="1781">
        <v>1</v>
      </c>
      <c r="X357" s="1781">
        <v>1</v>
      </c>
      <c r="Y357" s="1781">
        <v>1</v>
      </c>
      <c r="Z357" s="1359">
        <v>0</v>
      </c>
      <c r="AA357" s="1781">
        <f t="shared" si="256"/>
        <v>1</v>
      </c>
      <c r="AB357" s="1781">
        <f t="shared" si="257"/>
        <v>1</v>
      </c>
      <c r="AC357" s="1781">
        <f t="shared" si="258"/>
        <v>1</v>
      </c>
      <c r="AD357" s="1781">
        <f t="shared" si="259"/>
        <v>1</v>
      </c>
      <c r="AE357" s="1781">
        <f t="shared" si="260"/>
        <v>1</v>
      </c>
      <c r="AF357" s="1781">
        <f t="shared" si="261"/>
        <v>1</v>
      </c>
      <c r="AG357" s="1781">
        <f t="shared" si="262"/>
        <v>1</v>
      </c>
      <c r="AH357" s="1781">
        <f t="shared" si="263"/>
        <v>1</v>
      </c>
      <c r="AI357" s="1362">
        <f t="shared" si="294"/>
        <v>213.40594680243657</v>
      </c>
      <c r="AJ357" s="1362">
        <f t="shared" si="295"/>
        <v>213.40594680243657</v>
      </c>
      <c r="AK357" s="1362">
        <f t="shared" si="296"/>
        <v>213.40594680243657</v>
      </c>
      <c r="AL357" s="1362">
        <f t="shared" si="297"/>
        <v>213.40594680243657</v>
      </c>
      <c r="AM357" s="1362">
        <f t="shared" si="298"/>
        <v>853.6237872097463</v>
      </c>
      <c r="AN357" s="1132" t="str">
        <f t="shared" si="264"/>
        <v>RS-HWE-LFFA-V07-190101</v>
      </c>
      <c r="AO357" s="1132" t="str">
        <f t="shared" si="265"/>
        <v>Nicor Gas PY11-PY14 Adjustable Goals Template_2025-03-01, Tab 5.4.4</v>
      </c>
      <c r="AP357" s="2738">
        <f>'5.4.4'!$O$20</f>
        <v>1.7267119531200008</v>
      </c>
      <c r="AQ357" s="2568" t="s">
        <v>557</v>
      </c>
      <c r="AR357" s="2505">
        <f t="shared" si="266"/>
        <v>236.52044481882143</v>
      </c>
      <c r="AS357" s="2505">
        <f t="shared" si="267"/>
        <v>23.114498016384857</v>
      </c>
      <c r="AT357" s="1132" t="str">
        <f t="shared" si="268"/>
        <v>RS-HWE-LFFA-V07-190101</v>
      </c>
      <c r="AU357" s="1132" t="str">
        <f t="shared" si="269"/>
        <v>Nicor Gas PY11-PY14 Adjustable Goals Template_2025-03-01, Tab 5.4.4</v>
      </c>
      <c r="AV357" s="2247">
        <f>'5.4.4'!$O$20</f>
        <v>1.7267119531200008</v>
      </c>
      <c r="AW357" s="2568" t="s">
        <v>557</v>
      </c>
      <c r="AX357" s="1362">
        <f t="shared" si="270"/>
        <v>236.52044481882143</v>
      </c>
      <c r="AY357" s="1360">
        <f t="shared" si="271"/>
        <v>23.114498016384857</v>
      </c>
      <c r="AZ357" s="1132" t="str">
        <f t="shared" si="272"/>
        <v>RS-HWE-LFFA-V07-190101</v>
      </c>
      <c r="BA357" s="1132" t="str">
        <f t="shared" si="273"/>
        <v>Nicor Gas PY11-PY14 Adjustable Goals Template_2025-03-01, Tab 5.4.4</v>
      </c>
      <c r="BB357" s="2247">
        <f>'5.4.4'!$O$20</f>
        <v>1.7267119531200008</v>
      </c>
      <c r="BC357" s="2568" t="s">
        <v>557</v>
      </c>
      <c r="BD357" s="1362">
        <f t="shared" si="274"/>
        <v>236.52044481882143</v>
      </c>
      <c r="BE357" s="1360">
        <f t="shared" si="275"/>
        <v>23.114498016384857</v>
      </c>
      <c r="BF357" s="1132" t="str">
        <f t="shared" si="276"/>
        <v>RS-HWE-LFFA-V07-190101</v>
      </c>
      <c r="BG357" s="1132" t="str">
        <f t="shared" si="277"/>
        <v>Nicor Gas PY11-PY14 Adjustable Goals Template_2025-03-01, Tab 5.4.4</v>
      </c>
      <c r="BH357" s="2247">
        <f>'5.4.4'!$O$20</f>
        <v>1.7267119531200008</v>
      </c>
      <c r="BI357" s="2568" t="s">
        <v>557</v>
      </c>
      <c r="BJ357" s="1362">
        <f t="shared" si="299"/>
        <v>236.52044481882143</v>
      </c>
      <c r="BK357" s="1360">
        <f t="shared" si="278"/>
        <v>23.114498016384857</v>
      </c>
      <c r="BL357" s="1601">
        <f t="shared" si="279"/>
        <v>236.52044481882143</v>
      </c>
      <c r="BM357" s="1601">
        <f t="shared" si="280"/>
        <v>236.52044481882143</v>
      </c>
      <c r="BN357" s="1601">
        <f t="shared" si="281"/>
        <v>236.52044481882143</v>
      </c>
      <c r="BO357" s="1601">
        <f t="shared" si="282"/>
        <v>236.52044481882143</v>
      </c>
      <c r="BP357" s="1602">
        <f t="shared" si="283"/>
        <v>946.08177927528573</v>
      </c>
      <c r="BQ357" s="1629"/>
      <c r="BR357" s="1629" t="s">
        <v>697</v>
      </c>
      <c r="BS357" s="1602">
        <v>0</v>
      </c>
      <c r="BT357" s="1602">
        <v>10</v>
      </c>
      <c r="BU357" s="1602">
        <v>10</v>
      </c>
      <c r="BV357" s="1602">
        <v>10</v>
      </c>
      <c r="BW357" s="1602">
        <v>10</v>
      </c>
      <c r="BX357" s="1362">
        <f t="shared" si="300"/>
        <v>2134.0594680243657</v>
      </c>
      <c r="BY357" s="1362">
        <f t="shared" si="301"/>
        <v>2134.0594680243657</v>
      </c>
      <c r="BZ357" s="1362">
        <f t="shared" si="302"/>
        <v>2134.0594680243657</v>
      </c>
      <c r="CA357" s="1362">
        <f t="shared" si="303"/>
        <v>2134.0594680243657</v>
      </c>
      <c r="CB357" s="1362">
        <f t="shared" si="304"/>
        <v>8536.237872097463</v>
      </c>
      <c r="CC357" s="1360">
        <v>10</v>
      </c>
      <c r="CD357" s="1360">
        <v>10</v>
      </c>
      <c r="CE357" s="1360">
        <v>10</v>
      </c>
      <c r="CF357" s="1360">
        <v>10</v>
      </c>
      <c r="CG357" s="1604">
        <f t="shared" si="284"/>
        <v>2365.2044481882144</v>
      </c>
      <c r="CH357" s="1604">
        <f t="shared" si="285"/>
        <v>2365.2044481882144</v>
      </c>
      <c r="CI357" s="1604">
        <f t="shared" si="286"/>
        <v>2365.2044481882144</v>
      </c>
      <c r="CJ357" s="1604">
        <f t="shared" si="287"/>
        <v>2365.2044481882144</v>
      </c>
      <c r="CK357" s="1521">
        <f t="shared" si="288"/>
        <v>9460.8177927528577</v>
      </c>
      <c r="CL357" s="1132">
        <v>350</v>
      </c>
      <c r="CM357" s="1132" t="s">
        <v>328</v>
      </c>
      <c r="CN357" s="1359">
        <v>1</v>
      </c>
      <c r="CO357" s="1360">
        <v>136.97735999999998</v>
      </c>
      <c r="CP357" s="1360">
        <v>136.97735999999998</v>
      </c>
      <c r="CQ357" s="1360">
        <v>136.97735999999998</v>
      </c>
      <c r="CR357" s="1360">
        <v>136.97735999999998</v>
      </c>
      <c r="CS357" s="1362">
        <f t="shared" si="289"/>
        <v>213.40594680243657</v>
      </c>
      <c r="CT357" s="1362">
        <f t="shared" si="290"/>
        <v>213.40594680243657</v>
      </c>
      <c r="CU357" s="1362">
        <f t="shared" si="291"/>
        <v>213.40594680243657</v>
      </c>
      <c r="CV357" s="1362">
        <f t="shared" si="292"/>
        <v>213.40594680243657</v>
      </c>
      <c r="CW357" s="1362">
        <f t="shared" si="293"/>
        <v>853.6237872097463</v>
      </c>
      <c r="CY357" s="2887"/>
    </row>
    <row r="358" spans="1:103" s="1143" customFormat="1" ht="46.5" x14ac:dyDescent="0.35">
      <c r="A358" s="1132" t="s">
        <v>110</v>
      </c>
      <c r="B358" s="1132" t="s">
        <v>840</v>
      </c>
      <c r="C358" s="1132" t="s">
        <v>852</v>
      </c>
      <c r="D358" s="1359" t="s">
        <v>853</v>
      </c>
      <c r="E358" s="1359">
        <v>1</v>
      </c>
      <c r="F358" s="2564" t="s">
        <v>637</v>
      </c>
      <c r="G358" s="1132" t="s">
        <v>356</v>
      </c>
      <c r="H358" s="1360">
        <v>1.0618399999999999</v>
      </c>
      <c r="I358" s="1360">
        <v>1.0618399999999999</v>
      </c>
      <c r="J358" s="1360">
        <v>1.0618399999999999</v>
      </c>
      <c r="K358" s="1360">
        <v>1.0618399999999999</v>
      </c>
      <c r="L358" s="1132" t="s">
        <v>638</v>
      </c>
      <c r="M358" s="1132" t="str">
        <f t="shared" si="255"/>
        <v>Nicor Gas PY11-PY14 Adjustable Goals Template_2025-03-01, Tab 5.3.6</v>
      </c>
      <c r="N358" s="2515">
        <v>200.87617986470349</v>
      </c>
      <c r="O358" s="1361">
        <v>200.87617986470349</v>
      </c>
      <c r="P358" s="1361">
        <v>200.87617986470349</v>
      </c>
      <c r="Q358" s="1361">
        <v>200.87617986470349</v>
      </c>
      <c r="R358" s="1781">
        <v>1</v>
      </c>
      <c r="S358" s="1781">
        <v>1</v>
      </c>
      <c r="T358" s="1781">
        <v>1</v>
      </c>
      <c r="U358" s="1781">
        <v>1</v>
      </c>
      <c r="V358" s="1781">
        <v>1</v>
      </c>
      <c r="W358" s="1781">
        <v>1</v>
      </c>
      <c r="X358" s="1781">
        <v>1</v>
      </c>
      <c r="Y358" s="1781">
        <v>1</v>
      </c>
      <c r="Z358" s="1359">
        <v>0</v>
      </c>
      <c r="AA358" s="1781">
        <f t="shared" si="256"/>
        <v>1</v>
      </c>
      <c r="AB358" s="1781">
        <f t="shared" si="257"/>
        <v>1</v>
      </c>
      <c r="AC358" s="1781">
        <f t="shared" si="258"/>
        <v>1</v>
      </c>
      <c r="AD358" s="1781">
        <f t="shared" si="259"/>
        <v>1</v>
      </c>
      <c r="AE358" s="1781">
        <f t="shared" si="260"/>
        <v>1</v>
      </c>
      <c r="AF358" s="1781">
        <f t="shared" si="261"/>
        <v>1</v>
      </c>
      <c r="AG358" s="1781">
        <f t="shared" si="262"/>
        <v>1</v>
      </c>
      <c r="AH358" s="1781">
        <f t="shared" si="263"/>
        <v>1</v>
      </c>
      <c r="AI358" s="1362">
        <f t="shared" si="294"/>
        <v>213.29836282753672</v>
      </c>
      <c r="AJ358" s="1362">
        <f t="shared" si="295"/>
        <v>213.29836282753672</v>
      </c>
      <c r="AK358" s="1362">
        <f t="shared" si="296"/>
        <v>213.29836282753672</v>
      </c>
      <c r="AL358" s="1362">
        <f t="shared" si="297"/>
        <v>213.29836282753672</v>
      </c>
      <c r="AM358" s="1362">
        <f t="shared" si="298"/>
        <v>853.19345131014688</v>
      </c>
      <c r="AN358" s="1132" t="str">
        <f t="shared" si="264"/>
        <v>RS-HVC-GHEB-V07-190101</v>
      </c>
      <c r="AO358" s="1132" t="str">
        <f t="shared" si="265"/>
        <v>Nicor Gas PY11-PY14 Adjustable Goals Template_2025-03-01, Tab 5.3.6</v>
      </c>
      <c r="AP358" s="2247">
        <f>'5.3.6'!$P$5</f>
        <v>200.87617986470349</v>
      </c>
      <c r="AQ358" s="2531"/>
      <c r="AR358" s="2505">
        <f t="shared" si="266"/>
        <v>213.29836282753672</v>
      </c>
      <c r="AS358" s="2247">
        <f t="shared" si="267"/>
        <v>0</v>
      </c>
      <c r="AT358" s="1132" t="str">
        <f t="shared" si="268"/>
        <v>RS-HVC-GHEB-V07-190101</v>
      </c>
      <c r="AU358" s="1132" t="str">
        <f t="shared" si="269"/>
        <v>Nicor Gas PY11-PY14 Adjustable Goals Template_2025-03-01, Tab 5.3.6</v>
      </c>
      <c r="AV358" s="2247">
        <f>'5.3.6'!$P$5</f>
        <v>200.87617986470349</v>
      </c>
      <c r="AW358" s="2531"/>
      <c r="AX358" s="1362">
        <f t="shared" si="270"/>
        <v>213.29836282753672</v>
      </c>
      <c r="AY358" s="1360">
        <f t="shared" si="271"/>
        <v>0</v>
      </c>
      <c r="AZ358" s="1132" t="str">
        <f t="shared" si="272"/>
        <v>RS-HVC-GHEB-V07-190101</v>
      </c>
      <c r="BA358" s="1132" t="str">
        <f t="shared" si="273"/>
        <v>Nicor Gas PY11-PY14 Adjustable Goals Template_2025-03-01, Tab 5.3.6</v>
      </c>
      <c r="BB358" s="2247">
        <f>'5.3.6'!$P$5</f>
        <v>200.87617986470349</v>
      </c>
      <c r="BC358" s="2531"/>
      <c r="BD358" s="1362">
        <f t="shared" si="274"/>
        <v>213.29836282753672</v>
      </c>
      <c r="BE358" s="1360">
        <f t="shared" si="275"/>
        <v>0</v>
      </c>
      <c r="BF358" s="1132" t="str">
        <f t="shared" si="276"/>
        <v>RS-HVC-GHEB-V07-190101</v>
      </c>
      <c r="BG358" s="1132" t="str">
        <f t="shared" si="277"/>
        <v>Nicor Gas PY11-PY14 Adjustable Goals Template_2025-03-01, Tab 5.3.6</v>
      </c>
      <c r="BH358" s="2247">
        <f>'5.3.6'!$P$5</f>
        <v>200.87617986470349</v>
      </c>
      <c r="BI358" s="2531"/>
      <c r="BJ358" s="1362">
        <f t="shared" si="299"/>
        <v>213.29836282753672</v>
      </c>
      <c r="BK358" s="1360">
        <f t="shared" si="278"/>
        <v>0</v>
      </c>
      <c r="BL358" s="1601">
        <f t="shared" si="279"/>
        <v>213.29836282753672</v>
      </c>
      <c r="BM358" s="1601">
        <f t="shared" si="280"/>
        <v>213.29836282753672</v>
      </c>
      <c r="BN358" s="1601">
        <f t="shared" si="281"/>
        <v>213.29836282753672</v>
      </c>
      <c r="BO358" s="1601">
        <f t="shared" si="282"/>
        <v>213.29836282753672</v>
      </c>
      <c r="BP358" s="1602">
        <f t="shared" si="283"/>
        <v>853.19345131014688</v>
      </c>
      <c r="BQ358" s="1629"/>
      <c r="BR358" s="1629" t="s">
        <v>637</v>
      </c>
      <c r="BS358" s="1602">
        <v>0</v>
      </c>
      <c r="BT358" s="1602">
        <v>25</v>
      </c>
      <c r="BU358" s="1602">
        <v>25</v>
      </c>
      <c r="BV358" s="1602">
        <v>25</v>
      </c>
      <c r="BW358" s="1602">
        <v>25</v>
      </c>
      <c r="BX358" s="1362">
        <f t="shared" si="300"/>
        <v>5332.4590706884183</v>
      </c>
      <c r="BY358" s="1362">
        <f t="shared" si="301"/>
        <v>5332.4590706884183</v>
      </c>
      <c r="BZ358" s="1362">
        <f t="shared" si="302"/>
        <v>5332.4590706884183</v>
      </c>
      <c r="CA358" s="1362">
        <f t="shared" si="303"/>
        <v>5332.4590706884183</v>
      </c>
      <c r="CB358" s="1362">
        <f t="shared" si="304"/>
        <v>21329.836282753673</v>
      </c>
      <c r="CC358" s="1360">
        <v>25</v>
      </c>
      <c r="CD358" s="1360">
        <v>25</v>
      </c>
      <c r="CE358" s="1360">
        <v>25</v>
      </c>
      <c r="CF358" s="1360">
        <v>25</v>
      </c>
      <c r="CG358" s="1604">
        <f t="shared" si="284"/>
        <v>5332.4590706884183</v>
      </c>
      <c r="CH358" s="1604">
        <f t="shared" si="285"/>
        <v>5332.4590706884183</v>
      </c>
      <c r="CI358" s="1604">
        <f t="shared" si="286"/>
        <v>5332.4590706884183</v>
      </c>
      <c r="CJ358" s="1604">
        <f t="shared" si="287"/>
        <v>5332.4590706884183</v>
      </c>
      <c r="CK358" s="1521">
        <f t="shared" si="288"/>
        <v>21329.836282753673</v>
      </c>
      <c r="CL358" s="1132">
        <v>351</v>
      </c>
      <c r="CM358" s="1132" t="s">
        <v>356</v>
      </c>
      <c r="CN358" s="1359">
        <v>1</v>
      </c>
      <c r="CO358" s="1360">
        <v>0.58294911453889064</v>
      </c>
      <c r="CP358" s="1360">
        <v>0.58294911453889064</v>
      </c>
      <c r="CQ358" s="1360">
        <v>0.58294911453889064</v>
      </c>
      <c r="CR358" s="1360">
        <v>0.58294911453889064</v>
      </c>
      <c r="CS358" s="1362">
        <f t="shared" si="289"/>
        <v>117.10059118408384</v>
      </c>
      <c r="CT358" s="1362">
        <f t="shared" si="290"/>
        <v>117.10059118408384</v>
      </c>
      <c r="CU358" s="1362">
        <f t="shared" si="291"/>
        <v>117.10059118408384</v>
      </c>
      <c r="CV358" s="1362">
        <f t="shared" si="292"/>
        <v>117.10059118408384</v>
      </c>
      <c r="CW358" s="1362">
        <f t="shared" si="293"/>
        <v>468.40236473633536</v>
      </c>
      <c r="CY358" s="2887"/>
    </row>
    <row r="359" spans="1:103" s="1143" customFormat="1" ht="45" customHeight="1" x14ac:dyDescent="0.35">
      <c r="A359" s="1132" t="s">
        <v>110</v>
      </c>
      <c r="B359" s="1132" t="s">
        <v>840</v>
      </c>
      <c r="C359" s="1132" t="s">
        <v>854</v>
      </c>
      <c r="D359" s="1359" t="s">
        <v>855</v>
      </c>
      <c r="E359" s="1359">
        <v>1</v>
      </c>
      <c r="F359" s="2564" t="s">
        <v>655</v>
      </c>
      <c r="G359" s="1132" t="s">
        <v>328</v>
      </c>
      <c r="H359" s="1360">
        <v>60.524879999999996</v>
      </c>
      <c r="I359" s="1360">
        <v>60.524879999999996</v>
      </c>
      <c r="J359" s="1360">
        <v>60.524879999999996</v>
      </c>
      <c r="K359" s="1360">
        <v>60.524879999999996</v>
      </c>
      <c r="L359" s="1132" t="s">
        <v>656</v>
      </c>
      <c r="M359" s="1132" t="str">
        <f t="shared" si="255"/>
        <v>Nicor Gas PY11-PY14 Adjustable Goals Template_2025-03-01, Tab 5.6.1</v>
      </c>
      <c r="N359" s="1361">
        <v>0.52</v>
      </c>
      <c r="O359" s="1361">
        <v>0.52</v>
      </c>
      <c r="P359" s="1361">
        <v>0.52</v>
      </c>
      <c r="Q359" s="1361">
        <v>0.52</v>
      </c>
      <c r="R359" s="1781">
        <v>1</v>
      </c>
      <c r="S359" s="1781">
        <v>1</v>
      </c>
      <c r="T359" s="1781">
        <v>1</v>
      </c>
      <c r="U359" s="1781">
        <v>1</v>
      </c>
      <c r="V359" s="1781">
        <v>1</v>
      </c>
      <c r="W359" s="1781">
        <v>1</v>
      </c>
      <c r="X359" s="1781">
        <v>1</v>
      </c>
      <c r="Y359" s="1781">
        <v>1</v>
      </c>
      <c r="Z359" s="1359">
        <v>0</v>
      </c>
      <c r="AA359" s="1781">
        <f t="shared" si="256"/>
        <v>1</v>
      </c>
      <c r="AB359" s="1781">
        <f t="shared" si="257"/>
        <v>1</v>
      </c>
      <c r="AC359" s="1781">
        <f t="shared" si="258"/>
        <v>1</v>
      </c>
      <c r="AD359" s="1781">
        <f t="shared" si="259"/>
        <v>1</v>
      </c>
      <c r="AE359" s="1781">
        <f t="shared" si="260"/>
        <v>1</v>
      </c>
      <c r="AF359" s="1781">
        <f t="shared" si="261"/>
        <v>1</v>
      </c>
      <c r="AG359" s="1781">
        <f t="shared" si="262"/>
        <v>1</v>
      </c>
      <c r="AH359" s="1781">
        <f t="shared" si="263"/>
        <v>1</v>
      </c>
      <c r="AI359" s="1362">
        <f t="shared" si="294"/>
        <v>31.472937599999998</v>
      </c>
      <c r="AJ359" s="1362">
        <f t="shared" si="295"/>
        <v>31.472937599999998</v>
      </c>
      <c r="AK359" s="1362">
        <f t="shared" si="296"/>
        <v>31.472937599999998</v>
      </c>
      <c r="AL359" s="1362">
        <f t="shared" si="297"/>
        <v>31.472937599999998</v>
      </c>
      <c r="AM359" s="1362">
        <f t="shared" si="298"/>
        <v>125.89175039999999</v>
      </c>
      <c r="AN359" s="1132" t="str">
        <f t="shared" si="264"/>
        <v>RS-SHL-AIRS-V07-190101</v>
      </c>
      <c r="AO359" s="1132" t="str">
        <f t="shared" si="265"/>
        <v>Nicor Gas PY11-PY14 Adjustable Goals Template_2025-03-01, Tab 5.6.1</v>
      </c>
      <c r="AP359" s="2247">
        <f>'5.6.1'!$V$14</f>
        <v>0.52</v>
      </c>
      <c r="AQ359" s="2505"/>
      <c r="AR359" s="2505">
        <f t="shared" si="266"/>
        <v>31.472937599999998</v>
      </c>
      <c r="AS359" s="2505">
        <f t="shared" si="267"/>
        <v>0</v>
      </c>
      <c r="AT359" s="1132" t="str">
        <f t="shared" si="268"/>
        <v>RS-SHL-AIRS-V07-190101</v>
      </c>
      <c r="AU359" s="1132" t="str">
        <f t="shared" si="269"/>
        <v>Nicor Gas PY11-PY14 Adjustable Goals Template_2025-03-01, Tab 5.6.1</v>
      </c>
      <c r="AV359" s="2247">
        <f>'5.6.1'!$V$14</f>
        <v>0.52</v>
      </c>
      <c r="AW359" s="2505"/>
      <c r="AX359" s="1362">
        <f t="shared" si="270"/>
        <v>31.472937599999998</v>
      </c>
      <c r="AY359" s="1360">
        <f t="shared" si="271"/>
        <v>0</v>
      </c>
      <c r="AZ359" s="1132" t="str">
        <f t="shared" si="272"/>
        <v>RS-SHL-AIRS-V07-190101</v>
      </c>
      <c r="BA359" s="1132" t="str">
        <f t="shared" si="273"/>
        <v>Nicor Gas PY11-PY14 Adjustable Goals Template_2025-03-01, Tab 5.6.1</v>
      </c>
      <c r="BB359" s="2247">
        <f>'5.6.1'!$V$14</f>
        <v>0.52</v>
      </c>
      <c r="BC359" s="2505"/>
      <c r="BD359" s="1362">
        <f t="shared" si="274"/>
        <v>31.472937599999998</v>
      </c>
      <c r="BE359" s="1360">
        <f t="shared" si="275"/>
        <v>0</v>
      </c>
      <c r="BF359" s="1132" t="str">
        <f t="shared" si="276"/>
        <v>RS-SHL-AIRS-V07-190101</v>
      </c>
      <c r="BG359" s="1132" t="str">
        <f t="shared" si="277"/>
        <v>Nicor Gas PY11-PY14 Adjustable Goals Template_2025-03-01, Tab 5.6.1</v>
      </c>
      <c r="BH359" s="2247">
        <f>'5.6.1'!$V$14</f>
        <v>0.52</v>
      </c>
      <c r="BI359" s="2505"/>
      <c r="BJ359" s="1362">
        <f t="shared" si="299"/>
        <v>31.472937599999998</v>
      </c>
      <c r="BK359" s="1360">
        <f t="shared" si="278"/>
        <v>0</v>
      </c>
      <c r="BL359" s="1601">
        <f t="shared" si="279"/>
        <v>31.472937599999998</v>
      </c>
      <c r="BM359" s="1601">
        <f t="shared" si="280"/>
        <v>31.472937599999998</v>
      </c>
      <c r="BN359" s="1601">
        <f t="shared" si="281"/>
        <v>31.472937599999998</v>
      </c>
      <c r="BO359" s="1601">
        <f t="shared" si="282"/>
        <v>31.472937599999998</v>
      </c>
      <c r="BP359" s="1602">
        <f t="shared" si="283"/>
        <v>125.89175039999999</v>
      </c>
      <c r="BQ359" s="1629"/>
      <c r="BR359" s="1629" t="s">
        <v>655</v>
      </c>
      <c r="BS359" s="2773">
        <v>1</v>
      </c>
      <c r="BT359" s="1602">
        <v>19.411764705882355</v>
      </c>
      <c r="BU359" s="1602">
        <v>19.411764705882355</v>
      </c>
      <c r="BV359" s="1602">
        <v>19.411764705882355</v>
      </c>
      <c r="BW359" s="1602">
        <v>19.411764705882355</v>
      </c>
      <c r="BX359" s="1362">
        <f t="shared" si="300"/>
        <v>610.9452592941177</v>
      </c>
      <c r="BY359" s="1362">
        <f t="shared" si="301"/>
        <v>610.9452592941177</v>
      </c>
      <c r="BZ359" s="1362">
        <f t="shared" si="302"/>
        <v>610.9452592941177</v>
      </c>
      <c r="CA359" s="1362">
        <f t="shared" si="303"/>
        <v>610.9452592941177</v>
      </c>
      <c r="CB359" s="1362">
        <f t="shared" si="304"/>
        <v>2443.7810371764708</v>
      </c>
      <c r="CC359" s="2775">
        <v>20</v>
      </c>
      <c r="CD359" s="2775">
        <v>20</v>
      </c>
      <c r="CE359" s="2775">
        <v>20</v>
      </c>
      <c r="CF359" s="2775">
        <v>20</v>
      </c>
      <c r="CG359" s="1604">
        <f t="shared" si="284"/>
        <v>629.458752</v>
      </c>
      <c r="CH359" s="1604">
        <f t="shared" si="285"/>
        <v>629.458752</v>
      </c>
      <c r="CI359" s="1604">
        <f t="shared" si="286"/>
        <v>629.458752</v>
      </c>
      <c r="CJ359" s="1604">
        <f t="shared" si="287"/>
        <v>629.458752</v>
      </c>
      <c r="CK359" s="1521">
        <f t="shared" si="288"/>
        <v>2517.835008</v>
      </c>
      <c r="CL359" s="1132">
        <v>352</v>
      </c>
      <c r="CM359" s="1132" t="s">
        <v>328</v>
      </c>
      <c r="CN359" s="1359">
        <v>1</v>
      </c>
      <c r="CO359" s="1360">
        <v>33.226287216494839</v>
      </c>
      <c r="CP359" s="1360">
        <v>33.226287216494839</v>
      </c>
      <c r="CQ359" s="1360">
        <v>33.226287216494839</v>
      </c>
      <c r="CR359" s="1360">
        <v>33.226287216494839</v>
      </c>
      <c r="CS359" s="1362">
        <f t="shared" si="289"/>
        <v>17.277669352577316</v>
      </c>
      <c r="CT359" s="1362">
        <f t="shared" si="290"/>
        <v>17.277669352577316</v>
      </c>
      <c r="CU359" s="1362">
        <f t="shared" si="291"/>
        <v>17.277669352577316</v>
      </c>
      <c r="CV359" s="1362">
        <f t="shared" si="292"/>
        <v>17.277669352577316</v>
      </c>
      <c r="CW359" s="1362">
        <f t="shared" si="293"/>
        <v>69.110677410309265</v>
      </c>
      <c r="CY359" s="2887"/>
    </row>
    <row r="360" spans="1:103" s="1143" customFormat="1" ht="46.5" x14ac:dyDescent="0.35">
      <c r="A360" s="1132" t="s">
        <v>110</v>
      </c>
      <c r="B360" s="1132" t="s">
        <v>840</v>
      </c>
      <c r="C360" s="1132" t="s">
        <v>856</v>
      </c>
      <c r="D360" s="1359" t="s">
        <v>857</v>
      </c>
      <c r="E360" s="1359">
        <v>1</v>
      </c>
      <c r="F360" s="2564" t="s">
        <v>631</v>
      </c>
      <c r="G360" s="1132" t="s">
        <v>356</v>
      </c>
      <c r="H360" s="1360">
        <v>25.484159999999999</v>
      </c>
      <c r="I360" s="1360">
        <v>25.484159999999999</v>
      </c>
      <c r="J360" s="1360">
        <v>25.484159999999999</v>
      </c>
      <c r="K360" s="1360">
        <v>25.484159999999999</v>
      </c>
      <c r="L360" s="1132" t="s">
        <v>632</v>
      </c>
      <c r="M360" s="1132" t="str">
        <f t="shared" si="255"/>
        <v>Nicor Gas PY11-PY14 Adjustable Goals Template_2025-03-01, Tab 5.3.7</v>
      </c>
      <c r="N360" s="1361">
        <v>107.53205128205116</v>
      </c>
      <c r="O360" s="1361">
        <v>107.53205128205116</v>
      </c>
      <c r="P360" s="1361">
        <v>107.53205128205116</v>
      </c>
      <c r="Q360" s="1361">
        <v>107.53205128205116</v>
      </c>
      <c r="R360" s="1781">
        <v>1</v>
      </c>
      <c r="S360" s="1781">
        <v>1</v>
      </c>
      <c r="T360" s="1781">
        <v>1</v>
      </c>
      <c r="U360" s="1781">
        <v>1</v>
      </c>
      <c r="V360" s="1781">
        <v>1</v>
      </c>
      <c r="W360" s="1781">
        <v>1</v>
      </c>
      <c r="X360" s="1781">
        <v>1</v>
      </c>
      <c r="Y360" s="1781">
        <v>1</v>
      </c>
      <c r="Z360" s="1359">
        <v>0</v>
      </c>
      <c r="AA360" s="1781">
        <f t="shared" si="256"/>
        <v>1</v>
      </c>
      <c r="AB360" s="1781">
        <f t="shared" si="257"/>
        <v>1</v>
      </c>
      <c r="AC360" s="1781">
        <f t="shared" si="258"/>
        <v>1</v>
      </c>
      <c r="AD360" s="1781">
        <f t="shared" si="259"/>
        <v>1</v>
      </c>
      <c r="AE360" s="1781">
        <f t="shared" si="260"/>
        <v>1</v>
      </c>
      <c r="AF360" s="1781">
        <f t="shared" si="261"/>
        <v>1</v>
      </c>
      <c r="AG360" s="1781">
        <f t="shared" si="262"/>
        <v>1</v>
      </c>
      <c r="AH360" s="1781">
        <f t="shared" si="263"/>
        <v>1</v>
      </c>
      <c r="AI360" s="1362">
        <f t="shared" si="294"/>
        <v>2740.3639999999968</v>
      </c>
      <c r="AJ360" s="1362">
        <f t="shared" si="295"/>
        <v>2740.3639999999968</v>
      </c>
      <c r="AK360" s="1362">
        <f t="shared" si="296"/>
        <v>2740.3639999999968</v>
      </c>
      <c r="AL360" s="1362">
        <f t="shared" si="297"/>
        <v>2740.3639999999968</v>
      </c>
      <c r="AM360" s="1362">
        <f t="shared" si="298"/>
        <v>10961.455999999987</v>
      </c>
      <c r="AN360" s="1132" t="str">
        <f t="shared" si="264"/>
        <v>RS-HVC-GHEF-V08-190101</v>
      </c>
      <c r="AO360" s="1132" t="str">
        <f t="shared" si="265"/>
        <v>Nicor Gas PY11-PY14 Adjustable Goals Template_2025-03-01, Tab 5.3.7</v>
      </c>
      <c r="AP360" s="2505">
        <f>'5.3.7'!$P$6</f>
        <v>107.53205128205116</v>
      </c>
      <c r="AQ360" s="2505"/>
      <c r="AR360" s="2505">
        <f t="shared" si="266"/>
        <v>2740.3639999999968</v>
      </c>
      <c r="AS360" s="2505">
        <f t="shared" si="267"/>
        <v>0</v>
      </c>
      <c r="AT360" s="1132" t="str">
        <f t="shared" si="268"/>
        <v>RS-HVC-GHEF-V08-190101</v>
      </c>
      <c r="AU360" s="1132" t="str">
        <f t="shared" si="269"/>
        <v>Nicor Gas PY11-PY14 Adjustable Goals Template_2025-03-01, Tab 5.3.7</v>
      </c>
      <c r="AV360" s="2505">
        <f>'5.3.7'!$P$6</f>
        <v>107.53205128205116</v>
      </c>
      <c r="AW360" s="2505"/>
      <c r="AX360" s="1362">
        <f t="shared" si="270"/>
        <v>2740.3639999999968</v>
      </c>
      <c r="AY360" s="1360">
        <f t="shared" si="271"/>
        <v>0</v>
      </c>
      <c r="AZ360" s="1132" t="str">
        <f t="shared" si="272"/>
        <v>RS-HVC-GHEF-V08-190101</v>
      </c>
      <c r="BA360" s="1132" t="str">
        <f t="shared" si="273"/>
        <v>Nicor Gas PY11-PY14 Adjustable Goals Template_2025-03-01, Tab 5.3.7</v>
      </c>
      <c r="BB360" s="2505">
        <f>'5.3.7'!$P$6</f>
        <v>107.53205128205116</v>
      </c>
      <c r="BC360" s="2505"/>
      <c r="BD360" s="1362">
        <f t="shared" si="274"/>
        <v>2740.3639999999968</v>
      </c>
      <c r="BE360" s="1360">
        <f t="shared" si="275"/>
        <v>0</v>
      </c>
      <c r="BF360" s="1132" t="str">
        <f t="shared" si="276"/>
        <v>RS-HVC-GHEF-V08-190101</v>
      </c>
      <c r="BG360" s="1132" t="str">
        <f t="shared" si="277"/>
        <v>Nicor Gas PY11-PY14 Adjustable Goals Template_2025-03-01, Tab 5.3.7</v>
      </c>
      <c r="BH360" s="2505">
        <f>'5.3.7'!$P$6</f>
        <v>107.53205128205116</v>
      </c>
      <c r="BI360" s="2505"/>
      <c r="BJ360" s="1362">
        <f t="shared" si="299"/>
        <v>2740.3639999999968</v>
      </c>
      <c r="BK360" s="1360">
        <f t="shared" si="278"/>
        <v>0</v>
      </c>
      <c r="BL360" s="1601">
        <f t="shared" si="279"/>
        <v>2740.3639999999968</v>
      </c>
      <c r="BM360" s="1601">
        <f t="shared" si="280"/>
        <v>2740.3639999999968</v>
      </c>
      <c r="BN360" s="1601">
        <f t="shared" si="281"/>
        <v>2740.3639999999968</v>
      </c>
      <c r="BO360" s="1601">
        <f t="shared" si="282"/>
        <v>2740.3639999999968</v>
      </c>
      <c r="BP360" s="1602">
        <f t="shared" si="283"/>
        <v>10961.455999999987</v>
      </c>
      <c r="BQ360" s="1629"/>
      <c r="BR360" s="1629" t="s">
        <v>631</v>
      </c>
      <c r="BS360" s="1602">
        <v>0</v>
      </c>
      <c r="BT360" s="1602">
        <v>20</v>
      </c>
      <c r="BU360" s="1602">
        <v>20</v>
      </c>
      <c r="BV360" s="1602">
        <v>20</v>
      </c>
      <c r="BW360" s="1602">
        <v>20</v>
      </c>
      <c r="BX360" s="1362">
        <f t="shared" si="300"/>
        <v>54807.279999999941</v>
      </c>
      <c r="BY360" s="1362">
        <f t="shared" si="301"/>
        <v>54807.279999999941</v>
      </c>
      <c r="BZ360" s="1362">
        <f t="shared" si="302"/>
        <v>54807.279999999941</v>
      </c>
      <c r="CA360" s="1362">
        <f t="shared" si="303"/>
        <v>54807.279999999941</v>
      </c>
      <c r="CB360" s="1362">
        <f t="shared" si="304"/>
        <v>219229.11999999976</v>
      </c>
      <c r="CC360" s="1360">
        <v>20</v>
      </c>
      <c r="CD360" s="1360">
        <v>20</v>
      </c>
      <c r="CE360" s="1360">
        <v>20</v>
      </c>
      <c r="CF360" s="1360">
        <v>20</v>
      </c>
      <c r="CG360" s="1604">
        <f t="shared" si="284"/>
        <v>54807.279999999941</v>
      </c>
      <c r="CH360" s="1604">
        <f t="shared" si="285"/>
        <v>54807.279999999941</v>
      </c>
      <c r="CI360" s="1604">
        <f t="shared" si="286"/>
        <v>54807.279999999941</v>
      </c>
      <c r="CJ360" s="1604">
        <f t="shared" si="287"/>
        <v>54807.279999999941</v>
      </c>
      <c r="CK360" s="1521">
        <f t="shared" si="288"/>
        <v>219229.11999999976</v>
      </c>
      <c r="CL360" s="1132">
        <v>353</v>
      </c>
      <c r="CM360" s="1132" t="s">
        <v>356</v>
      </c>
      <c r="CN360" s="1359">
        <v>1</v>
      </c>
      <c r="CO360" s="1360">
        <v>25.484159999999999</v>
      </c>
      <c r="CP360" s="1360">
        <v>25.484159999999999</v>
      </c>
      <c r="CQ360" s="1360">
        <v>25.484159999999999</v>
      </c>
      <c r="CR360" s="1360">
        <v>25.484159999999999</v>
      </c>
      <c r="CS360" s="1362">
        <f t="shared" si="289"/>
        <v>2740.3639999999968</v>
      </c>
      <c r="CT360" s="1362">
        <f t="shared" si="290"/>
        <v>2740.3639999999968</v>
      </c>
      <c r="CU360" s="1362">
        <f t="shared" si="291"/>
        <v>2740.3639999999968</v>
      </c>
      <c r="CV360" s="1362">
        <f t="shared" si="292"/>
        <v>2740.3639999999968</v>
      </c>
      <c r="CW360" s="1362">
        <f t="shared" si="293"/>
        <v>10961.455999999987</v>
      </c>
      <c r="CY360" s="2887"/>
    </row>
    <row r="361" spans="1:103" s="1143" customFormat="1" ht="46.5" x14ac:dyDescent="0.35">
      <c r="A361" s="1132" t="s">
        <v>110</v>
      </c>
      <c r="B361" s="1132" t="s">
        <v>840</v>
      </c>
      <c r="C361" s="1132" t="s">
        <v>858</v>
      </c>
      <c r="D361" s="1359" t="s">
        <v>859</v>
      </c>
      <c r="E361" s="1359">
        <v>1</v>
      </c>
      <c r="F361" s="2807" t="s">
        <v>691</v>
      </c>
      <c r="G361" s="1132" t="s">
        <v>328</v>
      </c>
      <c r="H361" s="1360">
        <v>45.659119999999994</v>
      </c>
      <c r="I361" s="1360">
        <v>45.659119999999994</v>
      </c>
      <c r="J361" s="1360">
        <v>45.659119999999994</v>
      </c>
      <c r="K361" s="1360">
        <v>45.659119999999994</v>
      </c>
      <c r="L361" s="1132" t="s">
        <v>692</v>
      </c>
      <c r="M361" s="1132" t="str">
        <f t="shared" si="255"/>
        <v>Nicor Gas PY11-PY14 Adjustable Goals Template_2025-03-01, Tab 5.4.5</v>
      </c>
      <c r="N361" s="2245">
        <v>11.317119452100005</v>
      </c>
      <c r="O361" s="1361">
        <v>11.317119452100005</v>
      </c>
      <c r="P361" s="1361">
        <v>11.317119452100005</v>
      </c>
      <c r="Q361" s="1361">
        <v>11.317119452100005</v>
      </c>
      <c r="R361" s="1781">
        <v>1</v>
      </c>
      <c r="S361" s="1781">
        <v>1</v>
      </c>
      <c r="T361" s="1781">
        <v>1</v>
      </c>
      <c r="U361" s="1781">
        <v>1</v>
      </c>
      <c r="V361" s="1781">
        <v>1</v>
      </c>
      <c r="W361" s="1781">
        <v>1</v>
      </c>
      <c r="X361" s="1781">
        <v>1</v>
      </c>
      <c r="Y361" s="1781">
        <v>1</v>
      </c>
      <c r="Z361" s="1359">
        <v>0</v>
      </c>
      <c r="AA361" s="1781">
        <f t="shared" si="256"/>
        <v>1</v>
      </c>
      <c r="AB361" s="1781">
        <f t="shared" si="257"/>
        <v>1</v>
      </c>
      <c r="AC361" s="1781">
        <f t="shared" si="258"/>
        <v>1</v>
      </c>
      <c r="AD361" s="1781">
        <f t="shared" si="259"/>
        <v>1</v>
      </c>
      <c r="AE361" s="1781">
        <f t="shared" si="260"/>
        <v>1</v>
      </c>
      <c r="AF361" s="1781">
        <f t="shared" si="261"/>
        <v>1</v>
      </c>
      <c r="AG361" s="1781">
        <f t="shared" si="262"/>
        <v>1</v>
      </c>
      <c r="AH361" s="1781">
        <f t="shared" si="263"/>
        <v>1</v>
      </c>
      <c r="AI361" s="1362">
        <f t="shared" si="294"/>
        <v>516.72971511776836</v>
      </c>
      <c r="AJ361" s="1362">
        <f t="shared" si="295"/>
        <v>516.72971511776836</v>
      </c>
      <c r="AK361" s="1362">
        <f t="shared" si="296"/>
        <v>516.72971511776836</v>
      </c>
      <c r="AL361" s="1362">
        <f t="shared" si="297"/>
        <v>516.72971511776836</v>
      </c>
      <c r="AM361" s="1362">
        <f t="shared" si="298"/>
        <v>2066.9188604710735</v>
      </c>
      <c r="AN361" s="1132" t="str">
        <f t="shared" si="264"/>
        <v>RS-HWE-LFSH-V06-190101</v>
      </c>
      <c r="AO361" s="1132" t="str">
        <f t="shared" si="265"/>
        <v>Nicor Gas PY11-PY14 Adjustable Goals Template_2025-03-01, Tab 5.4.5</v>
      </c>
      <c r="AP361" s="2737">
        <f>'5.4.5'!$P$22</f>
        <v>12.229477281000005</v>
      </c>
      <c r="AQ361" s="2568" t="s">
        <v>557</v>
      </c>
      <c r="AR361" s="2505">
        <f t="shared" si="266"/>
        <v>558.38717071045289</v>
      </c>
      <c r="AS361" s="2505">
        <f t="shared" si="267"/>
        <v>41.657455592684528</v>
      </c>
      <c r="AT361" s="1132" t="str">
        <f t="shared" si="268"/>
        <v>RS-HWE-LFSH-V06-190101</v>
      </c>
      <c r="AU361" s="1132" t="str">
        <f t="shared" si="269"/>
        <v>Nicor Gas PY11-PY14 Adjustable Goals Template_2025-03-01, Tab 5.4.5</v>
      </c>
      <c r="AV361" s="2508">
        <f>'5.4.5'!$P$22</f>
        <v>12.229477281000005</v>
      </c>
      <c r="AW361" s="2568" t="s">
        <v>557</v>
      </c>
      <c r="AX361" s="1362">
        <f t="shared" si="270"/>
        <v>558.38717071045289</v>
      </c>
      <c r="AY361" s="1360">
        <f t="shared" si="271"/>
        <v>41.657455592684528</v>
      </c>
      <c r="AZ361" s="1132" t="str">
        <f t="shared" si="272"/>
        <v>RS-HWE-LFSH-V06-190101</v>
      </c>
      <c r="BA361" s="1132" t="str">
        <f t="shared" si="273"/>
        <v>Nicor Gas PY11-PY14 Adjustable Goals Template_2025-03-01, Tab 5.4.5</v>
      </c>
      <c r="BB361" s="2508">
        <f>'5.4.5'!$P$22</f>
        <v>12.229477281000005</v>
      </c>
      <c r="BC361" s="2568" t="s">
        <v>557</v>
      </c>
      <c r="BD361" s="1362">
        <f t="shared" si="274"/>
        <v>558.38717071045289</v>
      </c>
      <c r="BE361" s="1360">
        <f t="shared" si="275"/>
        <v>41.657455592684528</v>
      </c>
      <c r="BF361" s="1132" t="str">
        <f t="shared" si="276"/>
        <v>RS-HWE-LFSH-V06-190101</v>
      </c>
      <c r="BG361" s="1132" t="str">
        <f t="shared" si="277"/>
        <v>Nicor Gas PY11-PY14 Adjustable Goals Template_2025-03-01, Tab 5.4.5</v>
      </c>
      <c r="BH361" s="2508">
        <f>'5.4.5'!$P$22</f>
        <v>12.229477281000005</v>
      </c>
      <c r="BI361" s="2568" t="s">
        <v>557</v>
      </c>
      <c r="BJ361" s="1362">
        <f t="shared" si="299"/>
        <v>558.38717071045289</v>
      </c>
      <c r="BK361" s="1360">
        <f t="shared" si="278"/>
        <v>41.657455592684528</v>
      </c>
      <c r="BL361" s="1601">
        <f t="shared" si="279"/>
        <v>558.38717071045289</v>
      </c>
      <c r="BM361" s="1601">
        <f t="shared" si="280"/>
        <v>558.38717071045289</v>
      </c>
      <c r="BN361" s="1601">
        <f t="shared" si="281"/>
        <v>558.38717071045289</v>
      </c>
      <c r="BO361" s="1601">
        <f t="shared" si="282"/>
        <v>558.38717071045289</v>
      </c>
      <c r="BP361" s="1602">
        <f t="shared" si="283"/>
        <v>2233.5486828418116</v>
      </c>
      <c r="BQ361" s="1629"/>
      <c r="BR361" s="1629" t="s">
        <v>691</v>
      </c>
      <c r="BS361" s="1602">
        <v>0</v>
      </c>
      <c r="BT361" s="1602">
        <v>10</v>
      </c>
      <c r="BU361" s="1602">
        <v>10</v>
      </c>
      <c r="BV361" s="1602">
        <v>10</v>
      </c>
      <c r="BW361" s="1602">
        <v>10</v>
      </c>
      <c r="BX361" s="1362">
        <f t="shared" si="300"/>
        <v>5167.2971511776832</v>
      </c>
      <c r="BY361" s="1362">
        <f t="shared" si="301"/>
        <v>5167.2971511776832</v>
      </c>
      <c r="BZ361" s="1362">
        <f t="shared" si="302"/>
        <v>5167.2971511776832</v>
      </c>
      <c r="CA361" s="1362">
        <f t="shared" si="303"/>
        <v>5167.2971511776832</v>
      </c>
      <c r="CB361" s="1362">
        <f t="shared" si="304"/>
        <v>20669.188604710733</v>
      </c>
      <c r="CC361" s="1360">
        <v>10</v>
      </c>
      <c r="CD361" s="1360">
        <v>10</v>
      </c>
      <c r="CE361" s="1360">
        <v>10</v>
      </c>
      <c r="CF361" s="1360">
        <v>10</v>
      </c>
      <c r="CG361" s="1604">
        <f t="shared" si="284"/>
        <v>5583.8717071045285</v>
      </c>
      <c r="CH361" s="1604">
        <f t="shared" si="285"/>
        <v>5583.8717071045285</v>
      </c>
      <c r="CI361" s="1604">
        <f t="shared" si="286"/>
        <v>5583.8717071045285</v>
      </c>
      <c r="CJ361" s="1604">
        <f t="shared" si="287"/>
        <v>5583.8717071045285</v>
      </c>
      <c r="CK361" s="1521">
        <f t="shared" si="288"/>
        <v>22335.486828418114</v>
      </c>
      <c r="CL361" s="1132">
        <v>354</v>
      </c>
      <c r="CM361" s="1132" t="s">
        <v>328</v>
      </c>
      <c r="CN361" s="1359">
        <v>1</v>
      </c>
      <c r="CO361" s="1360">
        <v>45.659119999999994</v>
      </c>
      <c r="CP361" s="1360">
        <v>45.659119999999994</v>
      </c>
      <c r="CQ361" s="1360">
        <v>45.659119999999994</v>
      </c>
      <c r="CR361" s="1360">
        <v>45.659119999999994</v>
      </c>
      <c r="CS361" s="1362">
        <f t="shared" si="289"/>
        <v>516.72971511776836</v>
      </c>
      <c r="CT361" s="1362">
        <f t="shared" si="290"/>
        <v>516.72971511776836</v>
      </c>
      <c r="CU361" s="1362">
        <f t="shared" si="291"/>
        <v>516.72971511776836</v>
      </c>
      <c r="CV361" s="1362">
        <f t="shared" si="292"/>
        <v>516.72971511776836</v>
      </c>
      <c r="CW361" s="1362">
        <f t="shared" si="293"/>
        <v>2066.9188604710735</v>
      </c>
      <c r="CY361" s="2887"/>
    </row>
    <row r="362" spans="1:103" s="1143" customFormat="1" ht="45.75" customHeight="1" x14ac:dyDescent="0.35">
      <c r="A362" s="1132" t="s">
        <v>110</v>
      </c>
      <c r="B362" s="1132" t="s">
        <v>840</v>
      </c>
      <c r="C362" s="1132" t="s">
        <v>741</v>
      </c>
      <c r="D362" s="1359" t="s">
        <v>105</v>
      </c>
      <c r="E362" s="1359">
        <f>IF(AI362-AR362=0,0,1)</f>
        <v>0</v>
      </c>
      <c r="F362" s="1132" t="s">
        <v>105</v>
      </c>
      <c r="G362" s="1132" t="s">
        <v>356</v>
      </c>
      <c r="H362" s="1360">
        <v>111.49319999999999</v>
      </c>
      <c r="I362" s="1360">
        <v>111.49319999999999</v>
      </c>
      <c r="J362" s="1360">
        <v>111.49319999999999</v>
      </c>
      <c r="K362" s="1360">
        <v>111.49319999999999</v>
      </c>
      <c r="L362" s="1132" t="s">
        <v>105</v>
      </c>
      <c r="M362" s="1132" t="str">
        <f t="shared" si="255"/>
        <v/>
      </c>
      <c r="N362" s="1361">
        <v>0</v>
      </c>
      <c r="O362" s="1361">
        <v>0</v>
      </c>
      <c r="P362" s="1361">
        <v>0</v>
      </c>
      <c r="Q362" s="1361">
        <v>0</v>
      </c>
      <c r="R362" s="1781">
        <v>1</v>
      </c>
      <c r="S362" s="1781">
        <v>1</v>
      </c>
      <c r="T362" s="1781">
        <v>1</v>
      </c>
      <c r="U362" s="1781">
        <v>1</v>
      </c>
      <c r="V362" s="1781">
        <v>1</v>
      </c>
      <c r="W362" s="1781">
        <v>1</v>
      </c>
      <c r="X362" s="1781">
        <v>1</v>
      </c>
      <c r="Y362" s="1781">
        <v>1</v>
      </c>
      <c r="Z362" s="1359">
        <v>0</v>
      </c>
      <c r="AA362" s="1781">
        <f t="shared" si="256"/>
        <v>1</v>
      </c>
      <c r="AB362" s="1781">
        <f t="shared" si="257"/>
        <v>1</v>
      </c>
      <c r="AC362" s="1781">
        <f t="shared" si="258"/>
        <v>1</v>
      </c>
      <c r="AD362" s="1781">
        <f t="shared" si="259"/>
        <v>1</v>
      </c>
      <c r="AE362" s="1781">
        <f t="shared" si="260"/>
        <v>1</v>
      </c>
      <c r="AF362" s="1781">
        <f t="shared" si="261"/>
        <v>1</v>
      </c>
      <c r="AG362" s="1781">
        <f t="shared" si="262"/>
        <v>1</v>
      </c>
      <c r="AH362" s="1781">
        <f t="shared" si="263"/>
        <v>1</v>
      </c>
      <c r="AI362" s="1362">
        <f t="shared" si="294"/>
        <v>0</v>
      </c>
      <c r="AJ362" s="1362">
        <f t="shared" si="295"/>
        <v>0</v>
      </c>
      <c r="AK362" s="1362">
        <f t="shared" si="296"/>
        <v>0</v>
      </c>
      <c r="AL362" s="1362">
        <f t="shared" si="297"/>
        <v>0</v>
      </c>
      <c r="AM362" s="1362">
        <f t="shared" si="298"/>
        <v>0</v>
      </c>
      <c r="AN362" s="1132" t="str">
        <f t="shared" si="264"/>
        <v>Custom</v>
      </c>
      <c r="AO362" s="1132" t="str">
        <f t="shared" si="265"/>
        <v/>
      </c>
      <c r="AP362" s="2505">
        <v>0</v>
      </c>
      <c r="AQ362" s="2505"/>
      <c r="AR362" s="2505">
        <f t="shared" si="266"/>
        <v>0</v>
      </c>
      <c r="AS362" s="2505">
        <f t="shared" si="267"/>
        <v>0</v>
      </c>
      <c r="AT362" s="1132" t="str">
        <f t="shared" si="268"/>
        <v>Custom</v>
      </c>
      <c r="AU362" s="1132" t="str">
        <f t="shared" si="269"/>
        <v/>
      </c>
      <c r="AV362" s="2505">
        <v>0</v>
      </c>
      <c r="AW362" s="2505"/>
      <c r="AX362" s="1362">
        <f t="shared" si="270"/>
        <v>0</v>
      </c>
      <c r="AY362" s="1360">
        <f t="shared" si="271"/>
        <v>0</v>
      </c>
      <c r="AZ362" s="1132" t="str">
        <f t="shared" si="272"/>
        <v>Custom</v>
      </c>
      <c r="BA362" s="1132" t="str">
        <f t="shared" si="273"/>
        <v/>
      </c>
      <c r="BB362" s="2505">
        <v>0</v>
      </c>
      <c r="BC362" s="2505"/>
      <c r="BD362" s="1362">
        <f t="shared" si="274"/>
        <v>0</v>
      </c>
      <c r="BE362" s="1360">
        <f t="shared" si="275"/>
        <v>0</v>
      </c>
      <c r="BF362" s="1132" t="str">
        <f t="shared" si="276"/>
        <v>Custom</v>
      </c>
      <c r="BG362" s="1132" t="str">
        <f t="shared" si="277"/>
        <v/>
      </c>
      <c r="BH362" s="2505">
        <v>0</v>
      </c>
      <c r="BI362" s="2505"/>
      <c r="BJ362" s="1362">
        <f t="shared" si="299"/>
        <v>0</v>
      </c>
      <c r="BK362" s="1360">
        <f t="shared" si="278"/>
        <v>0</v>
      </c>
      <c r="BL362" s="1601">
        <f t="shared" si="279"/>
        <v>0</v>
      </c>
      <c r="BM362" s="1601">
        <f t="shared" si="280"/>
        <v>0</v>
      </c>
      <c r="BN362" s="1601">
        <f t="shared" si="281"/>
        <v>0</v>
      </c>
      <c r="BO362" s="1601">
        <f t="shared" si="282"/>
        <v>0</v>
      </c>
      <c r="BP362" s="1602">
        <f t="shared" si="283"/>
        <v>0</v>
      </c>
      <c r="BQ362" s="1629"/>
      <c r="BR362" s="1629"/>
      <c r="BS362" s="1602">
        <v>0</v>
      </c>
      <c r="BT362" s="1602">
        <v>1</v>
      </c>
      <c r="BU362" s="1602">
        <v>1</v>
      </c>
      <c r="BV362" s="1602">
        <v>1</v>
      </c>
      <c r="BW362" s="1602">
        <v>1</v>
      </c>
      <c r="BX362" s="1362">
        <f t="shared" si="300"/>
        <v>0</v>
      </c>
      <c r="BY362" s="1362">
        <f t="shared" si="301"/>
        <v>0</v>
      </c>
      <c r="BZ362" s="1362">
        <f t="shared" si="302"/>
        <v>0</v>
      </c>
      <c r="CA362" s="1362">
        <f t="shared" si="303"/>
        <v>0</v>
      </c>
      <c r="CB362" s="1362">
        <f t="shared" si="304"/>
        <v>0</v>
      </c>
      <c r="CC362" s="1360">
        <v>1</v>
      </c>
      <c r="CD362" s="1360">
        <v>1</v>
      </c>
      <c r="CE362" s="1360">
        <v>1</v>
      </c>
      <c r="CF362" s="1360">
        <v>1</v>
      </c>
      <c r="CG362" s="1604">
        <f t="shared" si="284"/>
        <v>0</v>
      </c>
      <c r="CH362" s="1604">
        <f t="shared" si="285"/>
        <v>0</v>
      </c>
      <c r="CI362" s="1604">
        <f t="shared" si="286"/>
        <v>0</v>
      </c>
      <c r="CJ362" s="1604">
        <f t="shared" si="287"/>
        <v>0</v>
      </c>
      <c r="CK362" s="1521">
        <f t="shared" si="288"/>
        <v>0</v>
      </c>
      <c r="CL362" s="1132">
        <v>355</v>
      </c>
      <c r="CM362" s="1132" t="s">
        <v>356</v>
      </c>
      <c r="CN362" s="1359">
        <v>1</v>
      </c>
      <c r="CO362" s="1360">
        <v>55.746599999999994</v>
      </c>
      <c r="CP362" s="1360">
        <v>55.746599999999994</v>
      </c>
      <c r="CQ362" s="1360">
        <v>55.746599999999994</v>
      </c>
      <c r="CR362" s="1360">
        <v>55.746599999999994</v>
      </c>
      <c r="CS362" s="1362">
        <f t="shared" si="289"/>
        <v>0</v>
      </c>
      <c r="CT362" s="1362">
        <f t="shared" si="290"/>
        <v>0</v>
      </c>
      <c r="CU362" s="1362">
        <f t="shared" si="291"/>
        <v>0</v>
      </c>
      <c r="CV362" s="1362">
        <f t="shared" si="292"/>
        <v>0</v>
      </c>
      <c r="CW362" s="1362">
        <f t="shared" si="293"/>
        <v>0</v>
      </c>
      <c r="CY362" s="2887"/>
    </row>
    <row r="363" spans="1:103" s="1143" customFormat="1" ht="62" x14ac:dyDescent="0.35">
      <c r="A363" s="1132" t="s">
        <v>110</v>
      </c>
      <c r="B363" s="1132" t="s">
        <v>840</v>
      </c>
      <c r="C363" s="1132" t="s">
        <v>860</v>
      </c>
      <c r="D363" s="1359" t="s">
        <v>861</v>
      </c>
      <c r="E363" s="1359">
        <v>1</v>
      </c>
      <c r="F363" s="2807" t="s">
        <v>703</v>
      </c>
      <c r="G363" s="1132" t="s">
        <v>356</v>
      </c>
      <c r="H363" s="1360">
        <v>210.24431999999999</v>
      </c>
      <c r="I363" s="1360">
        <v>210.24431999999999</v>
      </c>
      <c r="J363" s="1360">
        <v>210.24431999999999</v>
      </c>
      <c r="K363" s="1360">
        <v>210.24431999999999</v>
      </c>
      <c r="L363" s="1132" t="s">
        <v>704</v>
      </c>
      <c r="M363" s="1132" t="str">
        <f t="shared" si="255"/>
        <v>Nicor Gas PY11-PY14 Adjustable Goals Template_2025-03-01, Tab 5.4.1</v>
      </c>
      <c r="N363" s="1361">
        <v>0.77039653846153844</v>
      </c>
      <c r="O363" s="1361">
        <v>0.77039653846153844</v>
      </c>
      <c r="P363" s="1361">
        <v>0.77039653846153844</v>
      </c>
      <c r="Q363" s="1361">
        <v>0.77039653846153844</v>
      </c>
      <c r="R363" s="1781">
        <v>1</v>
      </c>
      <c r="S363" s="1781">
        <v>1</v>
      </c>
      <c r="T363" s="1781">
        <v>1</v>
      </c>
      <c r="U363" s="1781">
        <v>1</v>
      </c>
      <c r="V363" s="1781">
        <v>1</v>
      </c>
      <c r="W363" s="1781">
        <v>1</v>
      </c>
      <c r="X363" s="1781">
        <v>1</v>
      </c>
      <c r="Y363" s="1781">
        <v>1</v>
      </c>
      <c r="Z363" s="1359">
        <v>0</v>
      </c>
      <c r="AA363" s="1781">
        <f t="shared" si="256"/>
        <v>1</v>
      </c>
      <c r="AB363" s="1781">
        <f t="shared" si="257"/>
        <v>1</v>
      </c>
      <c r="AC363" s="1781">
        <f t="shared" si="258"/>
        <v>1</v>
      </c>
      <c r="AD363" s="1781">
        <f t="shared" si="259"/>
        <v>1</v>
      </c>
      <c r="AE363" s="1781">
        <f t="shared" si="260"/>
        <v>1</v>
      </c>
      <c r="AF363" s="1781">
        <f t="shared" si="261"/>
        <v>1</v>
      </c>
      <c r="AG363" s="1781">
        <f t="shared" si="262"/>
        <v>1</v>
      </c>
      <c r="AH363" s="1781">
        <f t="shared" si="263"/>
        <v>1</v>
      </c>
      <c r="AI363" s="1362">
        <f t="shared" si="294"/>
        <v>161.97149635919999</v>
      </c>
      <c r="AJ363" s="1362">
        <f t="shared" si="295"/>
        <v>161.97149635919999</v>
      </c>
      <c r="AK363" s="1362">
        <f t="shared" si="296"/>
        <v>161.97149635919999</v>
      </c>
      <c r="AL363" s="1362">
        <f t="shared" si="297"/>
        <v>161.97149635919999</v>
      </c>
      <c r="AM363" s="1362">
        <f t="shared" si="298"/>
        <v>647.88598543679996</v>
      </c>
      <c r="AN363" s="1132" t="str">
        <f t="shared" si="264"/>
        <v>RS-HWE-PINS-V02-150601</v>
      </c>
      <c r="AO363" s="1132" t="str">
        <f t="shared" si="265"/>
        <v>Nicor Gas PY11-PY14 Adjustable Goals Template_2025-03-01, Tab 5.4.1</v>
      </c>
      <c r="AP363" s="2738">
        <f>'5.4.1'!$P$5</f>
        <v>2.086364257642026</v>
      </c>
      <c r="AQ363" s="2568" t="s">
        <v>705</v>
      </c>
      <c r="AR363" s="2505">
        <f t="shared" si="266"/>
        <v>438.64623462025253</v>
      </c>
      <c r="AS363" s="2505">
        <f t="shared" si="267"/>
        <v>276.67473826105254</v>
      </c>
      <c r="AT363" s="1132" t="str">
        <f t="shared" si="268"/>
        <v>RS-HWE-PINS-V02-150601</v>
      </c>
      <c r="AU363" s="1132" t="str">
        <f t="shared" si="269"/>
        <v>Nicor Gas PY11-PY14 Adjustable Goals Template_2025-03-01, Tab 5.4.1</v>
      </c>
      <c r="AV363" s="2247">
        <f>'5.4.1'!$P$5</f>
        <v>2.086364257642026</v>
      </c>
      <c r="AW363" s="2568" t="s">
        <v>705</v>
      </c>
      <c r="AX363" s="1362">
        <f t="shared" si="270"/>
        <v>438.64623462025253</v>
      </c>
      <c r="AY363" s="1360">
        <f t="shared" si="271"/>
        <v>276.67473826105254</v>
      </c>
      <c r="AZ363" s="1132" t="str">
        <f t="shared" si="272"/>
        <v>RS-HWE-PINS-V02-150601</v>
      </c>
      <c r="BA363" s="1132" t="str">
        <f t="shared" si="273"/>
        <v>Nicor Gas PY11-PY14 Adjustable Goals Template_2025-03-01, Tab 5.4.1</v>
      </c>
      <c r="BB363" s="2247">
        <f>'5.4.1'!$P$5</f>
        <v>2.086364257642026</v>
      </c>
      <c r="BC363" s="2568" t="s">
        <v>705</v>
      </c>
      <c r="BD363" s="1362">
        <f t="shared" si="274"/>
        <v>438.64623462025253</v>
      </c>
      <c r="BE363" s="1360">
        <f t="shared" si="275"/>
        <v>276.67473826105254</v>
      </c>
      <c r="BF363" s="1132" t="str">
        <f t="shared" si="276"/>
        <v>RS-HWE-PINS-V02-150601</v>
      </c>
      <c r="BG363" s="1132" t="str">
        <f t="shared" si="277"/>
        <v>Nicor Gas PY11-PY14 Adjustable Goals Template_2025-03-01, Tab 5.4.1</v>
      </c>
      <c r="BH363" s="2247">
        <f>'5.4.1'!$P$5</f>
        <v>2.086364257642026</v>
      </c>
      <c r="BI363" s="2568" t="s">
        <v>705</v>
      </c>
      <c r="BJ363" s="1362">
        <f t="shared" si="299"/>
        <v>438.64623462025253</v>
      </c>
      <c r="BK363" s="1360">
        <f t="shared" si="278"/>
        <v>276.67473826105254</v>
      </c>
      <c r="BL363" s="1601">
        <f t="shared" si="279"/>
        <v>438.64623462025253</v>
      </c>
      <c r="BM363" s="1601">
        <f t="shared" si="280"/>
        <v>438.64623462025253</v>
      </c>
      <c r="BN363" s="1601">
        <f t="shared" si="281"/>
        <v>438.64623462025253</v>
      </c>
      <c r="BO363" s="1601">
        <f t="shared" si="282"/>
        <v>438.64623462025253</v>
      </c>
      <c r="BP363" s="1602">
        <f t="shared" si="283"/>
        <v>1754.5849384810101</v>
      </c>
      <c r="BQ363" s="1629"/>
      <c r="BR363" s="1629" t="s">
        <v>703</v>
      </c>
      <c r="BS363" s="1602">
        <v>0</v>
      </c>
      <c r="BT363" s="1602">
        <v>15</v>
      </c>
      <c r="BU363" s="1602">
        <v>15</v>
      </c>
      <c r="BV363" s="1602">
        <v>15</v>
      </c>
      <c r="BW363" s="1602">
        <v>15</v>
      </c>
      <c r="BX363" s="1362">
        <f t="shared" si="300"/>
        <v>2429.5724453879998</v>
      </c>
      <c r="BY363" s="1362">
        <f t="shared" si="301"/>
        <v>2429.5724453879998</v>
      </c>
      <c r="BZ363" s="1362">
        <f t="shared" si="302"/>
        <v>2429.5724453879998</v>
      </c>
      <c r="CA363" s="1362">
        <f t="shared" si="303"/>
        <v>2429.5724453879998</v>
      </c>
      <c r="CB363" s="1362">
        <f t="shared" si="304"/>
        <v>9718.2897815519991</v>
      </c>
      <c r="CC363" s="1360">
        <v>15</v>
      </c>
      <c r="CD363" s="1360">
        <v>15</v>
      </c>
      <c r="CE363" s="1360">
        <v>15</v>
      </c>
      <c r="CF363" s="1360">
        <v>15</v>
      </c>
      <c r="CG363" s="1604">
        <f t="shared" si="284"/>
        <v>6579.693519303788</v>
      </c>
      <c r="CH363" s="1604">
        <f t="shared" si="285"/>
        <v>6579.693519303788</v>
      </c>
      <c r="CI363" s="1604">
        <f t="shared" si="286"/>
        <v>6579.693519303788</v>
      </c>
      <c r="CJ363" s="1604">
        <f t="shared" si="287"/>
        <v>6579.693519303788</v>
      </c>
      <c r="CK363" s="1521">
        <f t="shared" si="288"/>
        <v>26318.774077215152</v>
      </c>
      <c r="CL363" s="1132">
        <v>356</v>
      </c>
      <c r="CM363" s="1132" t="s">
        <v>356</v>
      </c>
      <c r="CN363" s="1359">
        <v>1</v>
      </c>
      <c r="CO363" s="1360">
        <v>210.24431999999999</v>
      </c>
      <c r="CP363" s="1360">
        <v>210.24431999999999</v>
      </c>
      <c r="CQ363" s="1360">
        <v>210.24431999999999</v>
      </c>
      <c r="CR363" s="1360">
        <v>210.24431999999999</v>
      </c>
      <c r="CS363" s="1362">
        <f t="shared" si="289"/>
        <v>161.97149635919999</v>
      </c>
      <c r="CT363" s="1362">
        <f t="shared" si="290"/>
        <v>161.97149635919999</v>
      </c>
      <c r="CU363" s="1362">
        <f t="shared" si="291"/>
        <v>161.97149635919999</v>
      </c>
      <c r="CV363" s="1362">
        <f t="shared" si="292"/>
        <v>161.97149635919999</v>
      </c>
      <c r="CW363" s="1362">
        <f t="shared" si="293"/>
        <v>647.88598543679996</v>
      </c>
      <c r="CY363" s="2887"/>
    </row>
    <row r="364" spans="1:103" s="1143" customFormat="1" ht="46.5" x14ac:dyDescent="0.35">
      <c r="A364" s="1132" t="s">
        <v>110</v>
      </c>
      <c r="B364" s="1132" t="s">
        <v>840</v>
      </c>
      <c r="C364" s="1132" t="s">
        <v>862</v>
      </c>
      <c r="D364" s="1359" t="s">
        <v>863</v>
      </c>
      <c r="E364" s="1359">
        <v>1</v>
      </c>
      <c r="F364" s="2807" t="s">
        <v>697</v>
      </c>
      <c r="G364" s="1132" t="s">
        <v>328</v>
      </c>
      <c r="H364" s="1360">
        <v>60.524879999999996</v>
      </c>
      <c r="I364" s="1360">
        <v>60.524879999999996</v>
      </c>
      <c r="J364" s="1360">
        <v>60.524879999999996</v>
      </c>
      <c r="K364" s="1360">
        <v>60.524879999999996</v>
      </c>
      <c r="L364" s="1132" t="s">
        <v>698</v>
      </c>
      <c r="M364" s="1132" t="str">
        <f t="shared" si="255"/>
        <v>Nicor Gas PY11-PY14 Adjustable Goals Template_2025-03-01, Tab 5.4.4</v>
      </c>
      <c r="N364" s="1361">
        <v>2.5539833919599975</v>
      </c>
      <c r="O364" s="1361">
        <v>2.5539833919599975</v>
      </c>
      <c r="P364" s="1361">
        <v>2.5539833919599975</v>
      </c>
      <c r="Q364" s="1361">
        <v>2.5539833919599975</v>
      </c>
      <c r="R364" s="1781">
        <v>1</v>
      </c>
      <c r="S364" s="1781">
        <v>1</v>
      </c>
      <c r="T364" s="1781">
        <v>1</v>
      </c>
      <c r="U364" s="1781">
        <v>1</v>
      </c>
      <c r="V364" s="1781">
        <v>1</v>
      </c>
      <c r="W364" s="1781">
        <v>1</v>
      </c>
      <c r="X364" s="1781">
        <v>1</v>
      </c>
      <c r="Y364" s="1781">
        <v>1</v>
      </c>
      <c r="Z364" s="1359">
        <v>0</v>
      </c>
      <c r="AA364" s="1781">
        <f t="shared" si="256"/>
        <v>1</v>
      </c>
      <c r="AB364" s="1781">
        <f t="shared" si="257"/>
        <v>1</v>
      </c>
      <c r="AC364" s="1781">
        <f t="shared" si="258"/>
        <v>1</v>
      </c>
      <c r="AD364" s="1781">
        <f t="shared" si="259"/>
        <v>1</v>
      </c>
      <c r="AE364" s="1781">
        <f t="shared" si="260"/>
        <v>1</v>
      </c>
      <c r="AF364" s="1781">
        <f t="shared" si="261"/>
        <v>1</v>
      </c>
      <c r="AG364" s="1781">
        <f t="shared" si="262"/>
        <v>1</v>
      </c>
      <c r="AH364" s="1781">
        <f t="shared" si="263"/>
        <v>1</v>
      </c>
      <c r="AI364" s="1362">
        <f t="shared" si="294"/>
        <v>154.5795383203718</v>
      </c>
      <c r="AJ364" s="1362">
        <f t="shared" si="295"/>
        <v>154.5795383203718</v>
      </c>
      <c r="AK364" s="1362">
        <f t="shared" si="296"/>
        <v>154.5795383203718</v>
      </c>
      <c r="AL364" s="1362">
        <f t="shared" si="297"/>
        <v>154.5795383203718</v>
      </c>
      <c r="AM364" s="1362">
        <f t="shared" si="298"/>
        <v>618.31815328148718</v>
      </c>
      <c r="AN364" s="1132" t="str">
        <f t="shared" si="264"/>
        <v>RS-HWE-LFFA-V07-190101</v>
      </c>
      <c r="AO364" s="1132" t="str">
        <f t="shared" si="265"/>
        <v>Nicor Gas PY11-PY14 Adjustable Goals Template_2025-03-01, Tab 5.4.4</v>
      </c>
      <c r="AP364" s="2738">
        <f>'5.4.4'!$O$21</f>
        <v>2.7967173506999976</v>
      </c>
      <c r="AQ364" s="2568" t="s">
        <v>557</v>
      </c>
      <c r="AR364" s="2505">
        <f t="shared" si="266"/>
        <v>169.27098204503525</v>
      </c>
      <c r="AS364" s="2505">
        <f t="shared" si="267"/>
        <v>14.691443724663458</v>
      </c>
      <c r="AT364" s="1132" t="str">
        <f t="shared" si="268"/>
        <v>RS-HWE-LFFA-V07-190101</v>
      </c>
      <c r="AU364" s="1132" t="str">
        <f t="shared" si="269"/>
        <v>Nicor Gas PY11-PY14 Adjustable Goals Template_2025-03-01, Tab 5.4.4</v>
      </c>
      <c r="AV364" s="2247">
        <f>'5.4.4'!$O$21</f>
        <v>2.7967173506999976</v>
      </c>
      <c r="AW364" s="2568" t="s">
        <v>557</v>
      </c>
      <c r="AX364" s="1362">
        <f t="shared" si="270"/>
        <v>169.27098204503525</v>
      </c>
      <c r="AY364" s="1360">
        <f t="shared" si="271"/>
        <v>14.691443724663458</v>
      </c>
      <c r="AZ364" s="1132" t="str">
        <f t="shared" si="272"/>
        <v>RS-HWE-LFFA-V07-190101</v>
      </c>
      <c r="BA364" s="1132" t="str">
        <f t="shared" si="273"/>
        <v>Nicor Gas PY11-PY14 Adjustable Goals Template_2025-03-01, Tab 5.4.4</v>
      </c>
      <c r="BB364" s="2247">
        <f>'5.4.4'!$O$21</f>
        <v>2.7967173506999976</v>
      </c>
      <c r="BC364" s="2568" t="s">
        <v>557</v>
      </c>
      <c r="BD364" s="1362">
        <f t="shared" si="274"/>
        <v>169.27098204503525</v>
      </c>
      <c r="BE364" s="1360">
        <f t="shared" si="275"/>
        <v>14.691443724663458</v>
      </c>
      <c r="BF364" s="1132" t="str">
        <f t="shared" si="276"/>
        <v>RS-HWE-LFFA-V07-190101</v>
      </c>
      <c r="BG364" s="1132" t="str">
        <f t="shared" si="277"/>
        <v>Nicor Gas PY11-PY14 Adjustable Goals Template_2025-03-01, Tab 5.4.4</v>
      </c>
      <c r="BH364" s="2247">
        <f>'5.4.4'!$O$21</f>
        <v>2.7967173506999976</v>
      </c>
      <c r="BI364" s="2568" t="s">
        <v>557</v>
      </c>
      <c r="BJ364" s="1362">
        <f t="shared" si="299"/>
        <v>169.27098204503525</v>
      </c>
      <c r="BK364" s="1360">
        <f t="shared" si="278"/>
        <v>14.691443724663458</v>
      </c>
      <c r="BL364" s="1601">
        <f t="shared" si="279"/>
        <v>169.27098204503525</v>
      </c>
      <c r="BM364" s="1601">
        <f t="shared" si="280"/>
        <v>169.27098204503525</v>
      </c>
      <c r="BN364" s="1601">
        <f t="shared" si="281"/>
        <v>169.27098204503525</v>
      </c>
      <c r="BO364" s="1601">
        <f t="shared" si="282"/>
        <v>169.27098204503525</v>
      </c>
      <c r="BP364" s="1602">
        <f t="shared" si="283"/>
        <v>677.08392818014102</v>
      </c>
      <c r="BQ364" s="1629"/>
      <c r="BR364" s="1629" t="s">
        <v>697</v>
      </c>
      <c r="BS364" s="1602">
        <v>0</v>
      </c>
      <c r="BT364" s="1602">
        <v>10</v>
      </c>
      <c r="BU364" s="1602">
        <v>10</v>
      </c>
      <c r="BV364" s="1602">
        <v>10</v>
      </c>
      <c r="BW364" s="1602">
        <v>10</v>
      </c>
      <c r="BX364" s="1362">
        <f t="shared" si="300"/>
        <v>1545.7953832037178</v>
      </c>
      <c r="BY364" s="1362">
        <f t="shared" si="301"/>
        <v>1545.7953832037178</v>
      </c>
      <c r="BZ364" s="1362">
        <f t="shared" si="302"/>
        <v>1545.7953832037178</v>
      </c>
      <c r="CA364" s="1362">
        <f t="shared" si="303"/>
        <v>1545.7953832037178</v>
      </c>
      <c r="CB364" s="1362">
        <f t="shared" si="304"/>
        <v>6183.1815328148714</v>
      </c>
      <c r="CC364" s="1360">
        <v>10</v>
      </c>
      <c r="CD364" s="1360">
        <v>10</v>
      </c>
      <c r="CE364" s="1360">
        <v>10</v>
      </c>
      <c r="CF364" s="1360">
        <v>10</v>
      </c>
      <c r="CG364" s="1604">
        <f t="shared" si="284"/>
        <v>1692.7098204503525</v>
      </c>
      <c r="CH364" s="1604">
        <f t="shared" si="285"/>
        <v>1692.7098204503525</v>
      </c>
      <c r="CI364" s="1604">
        <f t="shared" si="286"/>
        <v>1692.7098204503525</v>
      </c>
      <c r="CJ364" s="1604">
        <f t="shared" si="287"/>
        <v>1692.7098204503525</v>
      </c>
      <c r="CK364" s="1521">
        <f t="shared" si="288"/>
        <v>6770.8392818014099</v>
      </c>
      <c r="CL364" s="1132">
        <v>357</v>
      </c>
      <c r="CM364" s="1132" t="s">
        <v>328</v>
      </c>
      <c r="CN364" s="1359">
        <v>1</v>
      </c>
      <c r="CO364" s="1360">
        <v>60.524879999999996</v>
      </c>
      <c r="CP364" s="1360">
        <v>60.524879999999996</v>
      </c>
      <c r="CQ364" s="1360">
        <v>60.524879999999996</v>
      </c>
      <c r="CR364" s="1360">
        <v>60.524879999999996</v>
      </c>
      <c r="CS364" s="1362">
        <f t="shared" si="289"/>
        <v>154.5795383203718</v>
      </c>
      <c r="CT364" s="1362">
        <f t="shared" si="290"/>
        <v>154.5795383203718</v>
      </c>
      <c r="CU364" s="1362">
        <f t="shared" si="291"/>
        <v>154.5795383203718</v>
      </c>
      <c r="CV364" s="1362">
        <f t="shared" si="292"/>
        <v>154.5795383203718</v>
      </c>
      <c r="CW364" s="1362">
        <f t="shared" si="293"/>
        <v>618.31815328148718</v>
      </c>
      <c r="CY364" s="2887"/>
    </row>
    <row r="365" spans="1:103" s="1143" customFormat="1" ht="47.25" customHeight="1" x14ac:dyDescent="0.35">
      <c r="A365" s="1132" t="s">
        <v>110</v>
      </c>
      <c r="B365" s="1132" t="s">
        <v>840</v>
      </c>
      <c r="C365" s="1132" t="s">
        <v>864</v>
      </c>
      <c r="D365" s="1359" t="s">
        <v>865</v>
      </c>
      <c r="E365" s="1359">
        <v>1</v>
      </c>
      <c r="F365" s="2564" t="s">
        <v>708</v>
      </c>
      <c r="G365" s="1132" t="s">
        <v>328</v>
      </c>
      <c r="H365" s="1360">
        <v>23.360479999999999</v>
      </c>
      <c r="I365" s="1360">
        <v>23.360479999999999</v>
      </c>
      <c r="J365" s="1360">
        <v>23.360479999999999</v>
      </c>
      <c r="K365" s="1360">
        <v>23.360479999999999</v>
      </c>
      <c r="L365" s="1132" t="s">
        <v>709</v>
      </c>
      <c r="M365" s="1132" t="str">
        <f t="shared" si="255"/>
        <v>Nicor Gas PY11-PY14 Adjustable Goals Template_2025-03-01, Tab 5.3.11</v>
      </c>
      <c r="N365" s="1361">
        <v>40.5015</v>
      </c>
      <c r="O365" s="1361">
        <v>40.5015</v>
      </c>
      <c r="P365" s="1361">
        <v>40.5015</v>
      </c>
      <c r="Q365" s="1361">
        <v>40.5015</v>
      </c>
      <c r="R365" s="1781">
        <v>1</v>
      </c>
      <c r="S365" s="1781">
        <v>1</v>
      </c>
      <c r="T365" s="1781">
        <v>1</v>
      </c>
      <c r="U365" s="1781">
        <v>1</v>
      </c>
      <c r="V365" s="1781">
        <v>1</v>
      </c>
      <c r="W365" s="1781">
        <v>1</v>
      </c>
      <c r="X365" s="1781">
        <v>1</v>
      </c>
      <c r="Y365" s="1781">
        <v>1</v>
      </c>
      <c r="Z365" s="1359">
        <v>0</v>
      </c>
      <c r="AA365" s="1781">
        <f t="shared" si="256"/>
        <v>1</v>
      </c>
      <c r="AB365" s="1781">
        <f t="shared" si="257"/>
        <v>1</v>
      </c>
      <c r="AC365" s="1781">
        <f t="shared" si="258"/>
        <v>1</v>
      </c>
      <c r="AD365" s="1781">
        <f t="shared" si="259"/>
        <v>1</v>
      </c>
      <c r="AE365" s="1781">
        <f t="shared" si="260"/>
        <v>1</v>
      </c>
      <c r="AF365" s="1781">
        <f t="shared" si="261"/>
        <v>1</v>
      </c>
      <c r="AG365" s="1781">
        <f t="shared" si="262"/>
        <v>1</v>
      </c>
      <c r="AH365" s="1781">
        <f t="shared" si="263"/>
        <v>1</v>
      </c>
      <c r="AI365" s="1362">
        <f t="shared" si="294"/>
        <v>946.13448071999994</v>
      </c>
      <c r="AJ365" s="1362">
        <f t="shared" si="295"/>
        <v>946.13448071999994</v>
      </c>
      <c r="AK365" s="1362">
        <f t="shared" si="296"/>
        <v>946.13448071999994</v>
      </c>
      <c r="AL365" s="1362">
        <f t="shared" si="297"/>
        <v>946.13448071999994</v>
      </c>
      <c r="AM365" s="1362">
        <f t="shared" si="298"/>
        <v>3784.5379228799998</v>
      </c>
      <c r="AN365" s="1132" t="str">
        <f t="shared" si="264"/>
        <v>RS-HVC-PROG-V05-190101</v>
      </c>
      <c r="AO365" s="1132" t="str">
        <f t="shared" si="265"/>
        <v>Nicor Gas PY11-PY14 Adjustable Goals Template_2025-03-01, Tab 5.3.11</v>
      </c>
      <c r="AP365" s="2247">
        <f>'5.3.11'!$Q$16</f>
        <v>40.5015</v>
      </c>
      <c r="AQ365" s="2505"/>
      <c r="AR365" s="2505">
        <f t="shared" si="266"/>
        <v>946.13448071999994</v>
      </c>
      <c r="AS365" s="2505">
        <f t="shared" si="267"/>
        <v>0</v>
      </c>
      <c r="AT365" s="1132" t="str">
        <f t="shared" si="268"/>
        <v>RS-HVC-PROG-V05-190101</v>
      </c>
      <c r="AU365" s="1132" t="str">
        <f t="shared" si="269"/>
        <v>Nicor Gas PY11-PY14 Adjustable Goals Template_2025-03-01, Tab 5.3.11</v>
      </c>
      <c r="AV365" s="2247">
        <f>'5.3.11'!$Q$16</f>
        <v>40.5015</v>
      </c>
      <c r="AW365" s="2505"/>
      <c r="AX365" s="1362">
        <f t="shared" si="270"/>
        <v>946.13448071999994</v>
      </c>
      <c r="AY365" s="1360">
        <f t="shared" si="271"/>
        <v>0</v>
      </c>
      <c r="AZ365" s="1132" t="str">
        <f t="shared" si="272"/>
        <v>RS-HVC-PROG-V05-190101</v>
      </c>
      <c r="BA365" s="1132" t="str">
        <f t="shared" si="273"/>
        <v>Nicor Gas PY11-PY14 Adjustable Goals Template_2025-03-01, Tab 5.3.11</v>
      </c>
      <c r="BB365" s="2247">
        <f>'5.3.11'!$Q$16</f>
        <v>40.5015</v>
      </c>
      <c r="BC365" s="2505"/>
      <c r="BD365" s="1362">
        <f t="shared" si="274"/>
        <v>946.13448071999994</v>
      </c>
      <c r="BE365" s="1360">
        <f t="shared" si="275"/>
        <v>0</v>
      </c>
      <c r="BF365" s="1132" t="str">
        <f t="shared" si="276"/>
        <v>RS-HVC-PROG-V05-190101</v>
      </c>
      <c r="BG365" s="1132" t="str">
        <f t="shared" si="277"/>
        <v>Nicor Gas PY11-PY14 Adjustable Goals Template_2025-03-01, Tab 5.3.11</v>
      </c>
      <c r="BH365" s="2247">
        <f>'5.3.11'!$Q$16</f>
        <v>40.5015</v>
      </c>
      <c r="BI365" s="2505"/>
      <c r="BJ365" s="1362">
        <f t="shared" si="299"/>
        <v>946.13448071999994</v>
      </c>
      <c r="BK365" s="1360">
        <f t="shared" si="278"/>
        <v>0</v>
      </c>
      <c r="BL365" s="1601">
        <f t="shared" si="279"/>
        <v>946.13448071999994</v>
      </c>
      <c r="BM365" s="1601">
        <f t="shared" si="280"/>
        <v>946.13448071999994</v>
      </c>
      <c r="BN365" s="1601">
        <f t="shared" si="281"/>
        <v>946.13448071999994</v>
      </c>
      <c r="BO365" s="1601">
        <f t="shared" si="282"/>
        <v>946.13448071999994</v>
      </c>
      <c r="BP365" s="1602">
        <f t="shared" si="283"/>
        <v>3784.5379228799998</v>
      </c>
      <c r="BQ365" s="1629"/>
      <c r="BR365" s="1629" t="s">
        <v>708</v>
      </c>
      <c r="BS365" s="1602">
        <v>0</v>
      </c>
      <c r="BT365" s="1602">
        <v>8</v>
      </c>
      <c r="BU365" s="1602">
        <v>8</v>
      </c>
      <c r="BV365" s="1602">
        <v>8</v>
      </c>
      <c r="BW365" s="1602">
        <v>8</v>
      </c>
      <c r="BX365" s="1362">
        <f t="shared" si="300"/>
        <v>7569.0758457599995</v>
      </c>
      <c r="BY365" s="1362">
        <f t="shared" si="301"/>
        <v>7569.0758457599995</v>
      </c>
      <c r="BZ365" s="1362">
        <f t="shared" si="302"/>
        <v>7569.0758457599995</v>
      </c>
      <c r="CA365" s="1362">
        <f t="shared" si="303"/>
        <v>7569.0758457599995</v>
      </c>
      <c r="CB365" s="1362">
        <f t="shared" si="304"/>
        <v>30276.303383039998</v>
      </c>
      <c r="CC365" s="1360">
        <v>8</v>
      </c>
      <c r="CD365" s="1360">
        <v>8</v>
      </c>
      <c r="CE365" s="1360">
        <v>8</v>
      </c>
      <c r="CF365" s="1360">
        <v>8</v>
      </c>
      <c r="CG365" s="1604">
        <f t="shared" si="284"/>
        <v>7569.0758457599995</v>
      </c>
      <c r="CH365" s="1604">
        <f t="shared" si="285"/>
        <v>7569.0758457599995</v>
      </c>
      <c r="CI365" s="1604">
        <f t="shared" si="286"/>
        <v>7569.0758457599995</v>
      </c>
      <c r="CJ365" s="1604">
        <f t="shared" si="287"/>
        <v>7569.0758457599995</v>
      </c>
      <c r="CK365" s="1521">
        <f t="shared" si="288"/>
        <v>30276.303383039998</v>
      </c>
      <c r="CL365" s="1132">
        <v>358</v>
      </c>
      <c r="CM365" s="1132" t="s">
        <v>328</v>
      </c>
      <c r="CN365" s="1359">
        <v>1</v>
      </c>
      <c r="CO365" s="1360">
        <v>23.360479999999999</v>
      </c>
      <c r="CP365" s="1360">
        <v>23.360479999999999</v>
      </c>
      <c r="CQ365" s="1360">
        <v>23.360479999999999</v>
      </c>
      <c r="CR365" s="1360">
        <v>23.360479999999999</v>
      </c>
      <c r="CS365" s="1362">
        <f t="shared" si="289"/>
        <v>946.13448071999994</v>
      </c>
      <c r="CT365" s="1362">
        <f t="shared" si="290"/>
        <v>946.13448071999994</v>
      </c>
      <c r="CU365" s="1362">
        <f t="shared" si="291"/>
        <v>946.13448071999994</v>
      </c>
      <c r="CV365" s="1362">
        <f t="shared" si="292"/>
        <v>946.13448071999994</v>
      </c>
      <c r="CW365" s="1362">
        <f t="shared" si="293"/>
        <v>3784.5379228799998</v>
      </c>
      <c r="CY365" s="2887"/>
    </row>
    <row r="366" spans="1:103" s="1143" customFormat="1" ht="46.5" x14ac:dyDescent="0.35">
      <c r="A366" s="1132" t="s">
        <v>110</v>
      </c>
      <c r="B366" s="1132" t="s">
        <v>840</v>
      </c>
      <c r="C366" s="1132" t="s">
        <v>866</v>
      </c>
      <c r="D366" s="1359" t="s">
        <v>867</v>
      </c>
      <c r="E366" s="1359">
        <v>1</v>
      </c>
      <c r="F366" s="2807" t="s">
        <v>691</v>
      </c>
      <c r="G366" s="1132" t="s">
        <v>328</v>
      </c>
      <c r="H366" s="1360">
        <v>50.968319999999999</v>
      </c>
      <c r="I366" s="1360">
        <v>50.968319999999999</v>
      </c>
      <c r="J366" s="1360">
        <v>50.968319999999999</v>
      </c>
      <c r="K366" s="1360">
        <v>50.968319999999999</v>
      </c>
      <c r="L366" s="1132" t="s">
        <v>692</v>
      </c>
      <c r="M366" s="1132" t="str">
        <f t="shared" si="255"/>
        <v>Nicor Gas PY11-PY14 Adjustable Goals Template_2025-03-01, Tab 5.4.5</v>
      </c>
      <c r="N366" s="2245">
        <v>2.8513052508388848</v>
      </c>
      <c r="O366" s="1361">
        <v>2.8513052508388848</v>
      </c>
      <c r="P366" s="1361">
        <v>2.8513052508388848</v>
      </c>
      <c r="Q366" s="1361">
        <v>2.8513052508388848</v>
      </c>
      <c r="R366" s="1781">
        <v>1</v>
      </c>
      <c r="S366" s="1781">
        <v>1</v>
      </c>
      <c r="T366" s="1781">
        <v>1</v>
      </c>
      <c r="U366" s="1781">
        <v>1</v>
      </c>
      <c r="V366" s="1781">
        <v>1</v>
      </c>
      <c r="W366" s="1781">
        <v>1</v>
      </c>
      <c r="X366" s="1781">
        <v>1</v>
      </c>
      <c r="Y366" s="1781">
        <v>1</v>
      </c>
      <c r="Z366" s="1359">
        <v>0</v>
      </c>
      <c r="AA366" s="1781">
        <f t="shared" si="256"/>
        <v>1</v>
      </c>
      <c r="AB366" s="1781">
        <f t="shared" si="257"/>
        <v>1</v>
      </c>
      <c r="AC366" s="1781">
        <f t="shared" si="258"/>
        <v>1</v>
      </c>
      <c r="AD366" s="1781">
        <f t="shared" si="259"/>
        <v>1</v>
      </c>
      <c r="AE366" s="1781">
        <f t="shared" si="260"/>
        <v>1</v>
      </c>
      <c r="AF366" s="1781">
        <f t="shared" si="261"/>
        <v>1</v>
      </c>
      <c r="AG366" s="1781">
        <f t="shared" si="262"/>
        <v>1</v>
      </c>
      <c r="AH366" s="1781">
        <f t="shared" si="263"/>
        <v>1</v>
      </c>
      <c r="AI366" s="1362">
        <f t="shared" si="294"/>
        <v>145.32623844243653</v>
      </c>
      <c r="AJ366" s="1362">
        <f t="shared" si="295"/>
        <v>145.32623844243653</v>
      </c>
      <c r="AK366" s="1362">
        <f t="shared" si="296"/>
        <v>145.32623844243653</v>
      </c>
      <c r="AL366" s="1362">
        <f t="shared" si="297"/>
        <v>145.32623844243653</v>
      </c>
      <c r="AM366" s="1362">
        <f t="shared" si="298"/>
        <v>581.30495376974613</v>
      </c>
      <c r="AN366" s="1132" t="str">
        <f t="shared" si="264"/>
        <v>RS-HWE-LFSH-V06-190101</v>
      </c>
      <c r="AO366" s="1132" t="str">
        <f t="shared" si="265"/>
        <v>Nicor Gas PY11-PY14 Adjustable Goals Template_2025-03-01, Tab 5.4.5</v>
      </c>
      <c r="AP366" s="2737">
        <f>'5.4.5'!$P$21</f>
        <v>3.0732631446167629</v>
      </c>
      <c r="AQ366" s="2568" t="s">
        <v>557</v>
      </c>
      <c r="AR366" s="2505">
        <f t="shared" si="266"/>
        <v>156.63905939903344</v>
      </c>
      <c r="AS366" s="2505">
        <f t="shared" si="267"/>
        <v>11.312820956596909</v>
      </c>
      <c r="AT366" s="1132" t="str">
        <f t="shared" si="268"/>
        <v>RS-HWE-LFSH-V06-190101</v>
      </c>
      <c r="AU366" s="1132" t="str">
        <f t="shared" si="269"/>
        <v>Nicor Gas PY11-PY14 Adjustable Goals Template_2025-03-01, Tab 5.4.5</v>
      </c>
      <c r="AV366" s="2508">
        <f>'5.4.5'!$P$21</f>
        <v>3.0732631446167629</v>
      </c>
      <c r="AW366" s="2568" t="s">
        <v>557</v>
      </c>
      <c r="AX366" s="1362">
        <f t="shared" si="270"/>
        <v>156.63905939903344</v>
      </c>
      <c r="AY366" s="1360">
        <f t="shared" si="271"/>
        <v>11.312820956596909</v>
      </c>
      <c r="AZ366" s="1132" t="str">
        <f t="shared" si="272"/>
        <v>RS-HWE-LFSH-V06-190101</v>
      </c>
      <c r="BA366" s="1132" t="str">
        <f t="shared" si="273"/>
        <v>Nicor Gas PY11-PY14 Adjustable Goals Template_2025-03-01, Tab 5.4.5</v>
      </c>
      <c r="BB366" s="2508">
        <f>'5.4.5'!$P$21</f>
        <v>3.0732631446167629</v>
      </c>
      <c r="BC366" s="2568" t="s">
        <v>557</v>
      </c>
      <c r="BD366" s="1362">
        <f t="shared" si="274"/>
        <v>156.63905939903344</v>
      </c>
      <c r="BE366" s="1360">
        <f t="shared" si="275"/>
        <v>11.312820956596909</v>
      </c>
      <c r="BF366" s="1132" t="str">
        <f t="shared" si="276"/>
        <v>RS-HWE-LFSH-V06-190101</v>
      </c>
      <c r="BG366" s="1132" t="str">
        <f t="shared" si="277"/>
        <v>Nicor Gas PY11-PY14 Adjustable Goals Template_2025-03-01, Tab 5.4.5</v>
      </c>
      <c r="BH366" s="2508">
        <f>'5.4.5'!$P$21</f>
        <v>3.0732631446167629</v>
      </c>
      <c r="BI366" s="2568" t="s">
        <v>557</v>
      </c>
      <c r="BJ366" s="1362">
        <f t="shared" si="299"/>
        <v>156.63905939903344</v>
      </c>
      <c r="BK366" s="1360">
        <f t="shared" si="278"/>
        <v>11.312820956596909</v>
      </c>
      <c r="BL366" s="1601">
        <f t="shared" si="279"/>
        <v>156.63905939903344</v>
      </c>
      <c r="BM366" s="1601">
        <f t="shared" si="280"/>
        <v>156.63905939903344</v>
      </c>
      <c r="BN366" s="1601">
        <f t="shared" si="281"/>
        <v>156.63905939903344</v>
      </c>
      <c r="BO366" s="1601">
        <f t="shared" si="282"/>
        <v>156.63905939903344</v>
      </c>
      <c r="BP366" s="1602">
        <f t="shared" si="283"/>
        <v>626.55623759613377</v>
      </c>
      <c r="BQ366" s="1629"/>
      <c r="BR366" s="1629" t="s">
        <v>691</v>
      </c>
      <c r="BS366" s="1602">
        <v>0</v>
      </c>
      <c r="BT366" s="1602">
        <v>10</v>
      </c>
      <c r="BU366" s="1602">
        <v>10</v>
      </c>
      <c r="BV366" s="1602">
        <v>10</v>
      </c>
      <c r="BW366" s="1602">
        <v>10</v>
      </c>
      <c r="BX366" s="1362">
        <f t="shared" si="300"/>
        <v>1453.2623844243653</v>
      </c>
      <c r="BY366" s="1362">
        <f t="shared" si="301"/>
        <v>1453.2623844243653</v>
      </c>
      <c r="BZ366" s="1362">
        <f t="shared" si="302"/>
        <v>1453.2623844243653</v>
      </c>
      <c r="CA366" s="1362">
        <f t="shared" si="303"/>
        <v>1453.2623844243653</v>
      </c>
      <c r="CB366" s="1362">
        <f t="shared" si="304"/>
        <v>5813.0495376974613</v>
      </c>
      <c r="CC366" s="1360">
        <v>10</v>
      </c>
      <c r="CD366" s="1360">
        <v>10</v>
      </c>
      <c r="CE366" s="1360">
        <v>10</v>
      </c>
      <c r="CF366" s="1360">
        <v>10</v>
      </c>
      <c r="CG366" s="1604">
        <f t="shared" si="284"/>
        <v>1566.3905939903343</v>
      </c>
      <c r="CH366" s="1604">
        <f t="shared" si="285"/>
        <v>1566.3905939903343</v>
      </c>
      <c r="CI366" s="1604">
        <f t="shared" si="286"/>
        <v>1566.3905939903343</v>
      </c>
      <c r="CJ366" s="1604">
        <f t="shared" si="287"/>
        <v>1566.3905939903343</v>
      </c>
      <c r="CK366" s="1521">
        <f t="shared" si="288"/>
        <v>6265.5623759613372</v>
      </c>
      <c r="CL366" s="1132">
        <v>359</v>
      </c>
      <c r="CM366" s="1132" t="s">
        <v>328</v>
      </c>
      <c r="CN366" s="1359">
        <v>1</v>
      </c>
      <c r="CO366" s="1360">
        <v>50.968319999999999</v>
      </c>
      <c r="CP366" s="1360">
        <v>50.968319999999999</v>
      </c>
      <c r="CQ366" s="1360">
        <v>50.968319999999999</v>
      </c>
      <c r="CR366" s="1360">
        <v>50.968319999999999</v>
      </c>
      <c r="CS366" s="1362">
        <f t="shared" si="289"/>
        <v>145.32623844243653</v>
      </c>
      <c r="CT366" s="1362">
        <f t="shared" si="290"/>
        <v>145.32623844243653</v>
      </c>
      <c r="CU366" s="1362">
        <f t="shared" si="291"/>
        <v>145.32623844243653</v>
      </c>
      <c r="CV366" s="1362">
        <f t="shared" si="292"/>
        <v>145.32623844243653</v>
      </c>
      <c r="CW366" s="1362">
        <f t="shared" si="293"/>
        <v>581.30495376974613</v>
      </c>
      <c r="CY366" s="2887"/>
    </row>
    <row r="367" spans="1:103" s="1143" customFormat="1" ht="46.5" x14ac:dyDescent="0.35">
      <c r="A367" s="1132" t="s">
        <v>110</v>
      </c>
      <c r="B367" s="1132" t="s">
        <v>840</v>
      </c>
      <c r="C367" s="1132" t="s">
        <v>477</v>
      </c>
      <c r="D367" s="1359" t="s">
        <v>478</v>
      </c>
      <c r="E367" s="1359">
        <v>1</v>
      </c>
      <c r="F367" s="2807" t="s">
        <v>479</v>
      </c>
      <c r="G367" s="1132" t="s">
        <v>356</v>
      </c>
      <c r="H367" s="1360">
        <v>56.277520000000003</v>
      </c>
      <c r="I367" s="1360">
        <v>56.277520000000003</v>
      </c>
      <c r="J367" s="1360">
        <v>56.277520000000003</v>
      </c>
      <c r="K367" s="1360">
        <v>56.277520000000003</v>
      </c>
      <c r="L367" s="1132" t="s">
        <v>480</v>
      </c>
      <c r="M367" s="1132" t="str">
        <f t="shared" si="255"/>
        <v>Nicor Gas PY11-PY14 Adjustable Goals Template_2025-03-01, Tab 4.3.1</v>
      </c>
      <c r="N367" s="1361">
        <v>48.22116686119378</v>
      </c>
      <c r="O367" s="1361">
        <v>48.22116686119378</v>
      </c>
      <c r="P367" s="1361">
        <v>48.22116686119378</v>
      </c>
      <c r="Q367" s="1361">
        <v>48.22116686119378</v>
      </c>
      <c r="R367" s="1781">
        <v>1</v>
      </c>
      <c r="S367" s="1781">
        <v>1</v>
      </c>
      <c r="T367" s="1781">
        <v>1</v>
      </c>
      <c r="U367" s="1781">
        <v>1</v>
      </c>
      <c r="V367" s="1781">
        <v>1</v>
      </c>
      <c r="W367" s="1781">
        <v>1</v>
      </c>
      <c r="X367" s="1781">
        <v>1</v>
      </c>
      <c r="Y367" s="1781">
        <v>1</v>
      </c>
      <c r="Z367" s="1359">
        <v>0</v>
      </c>
      <c r="AA367" s="1781">
        <f t="shared" si="256"/>
        <v>1</v>
      </c>
      <c r="AB367" s="1781">
        <f t="shared" si="257"/>
        <v>1</v>
      </c>
      <c r="AC367" s="1781">
        <f t="shared" si="258"/>
        <v>1</v>
      </c>
      <c r="AD367" s="1781">
        <f t="shared" si="259"/>
        <v>1</v>
      </c>
      <c r="AE367" s="1781">
        <f t="shared" si="260"/>
        <v>1</v>
      </c>
      <c r="AF367" s="1781">
        <f t="shared" si="261"/>
        <v>1</v>
      </c>
      <c r="AG367" s="1781">
        <f t="shared" si="262"/>
        <v>1</v>
      </c>
      <c r="AH367" s="1781">
        <f t="shared" si="263"/>
        <v>1</v>
      </c>
      <c r="AI367" s="1362">
        <f t="shared" si="294"/>
        <v>2713.7676824541704</v>
      </c>
      <c r="AJ367" s="1362">
        <f t="shared" si="295"/>
        <v>2713.7676824541704</v>
      </c>
      <c r="AK367" s="1362">
        <f t="shared" si="296"/>
        <v>2713.7676824541704</v>
      </c>
      <c r="AL367" s="1362">
        <f t="shared" si="297"/>
        <v>2713.7676824541704</v>
      </c>
      <c r="AM367" s="1362">
        <f t="shared" si="298"/>
        <v>10855.070729816682</v>
      </c>
      <c r="AN367" s="1132" t="str">
        <f t="shared" si="264"/>
        <v>CI-HW_-HWE-V03-190101</v>
      </c>
      <c r="AO367" s="1132" t="str">
        <f t="shared" si="265"/>
        <v>Nicor Gas PY11-PY14 Adjustable Goals Template_2025-03-01, Tab 4.3.1</v>
      </c>
      <c r="AP367" s="2568">
        <f>'4.3.1'!$Q$4</f>
        <v>50.462432363192917</v>
      </c>
      <c r="AQ367" s="2568" t="s">
        <v>481</v>
      </c>
      <c r="AR367" s="2505">
        <f t="shared" si="266"/>
        <v>2839.9005465682367</v>
      </c>
      <c r="AS367" s="2505">
        <f t="shared" si="267"/>
        <v>126.13286411406625</v>
      </c>
      <c r="AT367" s="1132" t="str">
        <f t="shared" si="268"/>
        <v>CI-HW_-HWE-V03-190101</v>
      </c>
      <c r="AU367" s="1132" t="str">
        <f t="shared" si="269"/>
        <v>Nicor Gas PY11-PY14 Adjustable Goals Template_2025-03-01, Tab 4.3.1</v>
      </c>
      <c r="AV367" s="2505">
        <f>'4.3.1'!$Q$4</f>
        <v>50.462432363192917</v>
      </c>
      <c r="AW367" s="2568" t="s">
        <v>481</v>
      </c>
      <c r="AX367" s="1362">
        <f t="shared" si="270"/>
        <v>2839.9005465682367</v>
      </c>
      <c r="AY367" s="1360">
        <f t="shared" si="271"/>
        <v>126.13286411406625</v>
      </c>
      <c r="AZ367" s="1132" t="str">
        <f t="shared" si="272"/>
        <v>CI-HW_-HWE-V03-190101</v>
      </c>
      <c r="BA367" s="1132" t="str">
        <f t="shared" si="273"/>
        <v>Nicor Gas PY11-PY14 Adjustable Goals Template_2025-03-01, Tab 4.3.1</v>
      </c>
      <c r="BB367" s="2505">
        <f>'4.3.1'!$Q$4</f>
        <v>50.462432363192917</v>
      </c>
      <c r="BC367" s="2568" t="s">
        <v>481</v>
      </c>
      <c r="BD367" s="1362">
        <f t="shared" si="274"/>
        <v>2839.9005465682367</v>
      </c>
      <c r="BE367" s="1360">
        <f t="shared" si="275"/>
        <v>126.13286411406625</v>
      </c>
      <c r="BF367" s="1132" t="str">
        <f t="shared" si="276"/>
        <v>CI-HW_-HWE-V03-190101</v>
      </c>
      <c r="BG367" s="1132" t="str">
        <f t="shared" si="277"/>
        <v>Nicor Gas PY11-PY14 Adjustable Goals Template_2025-03-01, Tab 4.3.1</v>
      </c>
      <c r="BH367" s="2505">
        <f>'4.3.1'!$Q$4</f>
        <v>50.462432363192917</v>
      </c>
      <c r="BI367" s="2568" t="s">
        <v>481</v>
      </c>
      <c r="BJ367" s="1362">
        <f t="shared" si="299"/>
        <v>2839.9005465682367</v>
      </c>
      <c r="BK367" s="1360">
        <f t="shared" si="278"/>
        <v>126.13286411406625</v>
      </c>
      <c r="BL367" s="1601">
        <f t="shared" si="279"/>
        <v>2839.9005465682367</v>
      </c>
      <c r="BM367" s="1601">
        <f t="shared" si="280"/>
        <v>2839.9005465682367</v>
      </c>
      <c r="BN367" s="1601">
        <f t="shared" si="281"/>
        <v>2839.9005465682367</v>
      </c>
      <c r="BO367" s="1601">
        <f t="shared" si="282"/>
        <v>2839.9005465682367</v>
      </c>
      <c r="BP367" s="1602">
        <f t="shared" si="283"/>
        <v>11359.602186272947</v>
      </c>
      <c r="BQ367" s="1629"/>
      <c r="BR367" s="1629" t="s">
        <v>479</v>
      </c>
      <c r="BS367" s="1602">
        <v>0</v>
      </c>
      <c r="BT367" s="1602">
        <v>15</v>
      </c>
      <c r="BU367" s="1602">
        <v>15</v>
      </c>
      <c r="BV367" s="1602">
        <v>15</v>
      </c>
      <c r="BW367" s="1602">
        <v>15</v>
      </c>
      <c r="BX367" s="1362">
        <f t="shared" si="300"/>
        <v>40706.515236812556</v>
      </c>
      <c r="BY367" s="1362">
        <f t="shared" si="301"/>
        <v>40706.515236812556</v>
      </c>
      <c r="BZ367" s="1362">
        <f t="shared" si="302"/>
        <v>40706.515236812556</v>
      </c>
      <c r="CA367" s="1362">
        <f t="shared" si="303"/>
        <v>40706.515236812556</v>
      </c>
      <c r="CB367" s="1362">
        <f t="shared" si="304"/>
        <v>162826.06094725023</v>
      </c>
      <c r="CC367" s="1360">
        <v>15</v>
      </c>
      <c r="CD367" s="1360">
        <v>15</v>
      </c>
      <c r="CE367" s="1360">
        <v>15</v>
      </c>
      <c r="CF367" s="1360">
        <v>15</v>
      </c>
      <c r="CG367" s="1604">
        <f t="shared" si="284"/>
        <v>42598.508198523552</v>
      </c>
      <c r="CH367" s="1604">
        <f t="shared" si="285"/>
        <v>42598.508198523552</v>
      </c>
      <c r="CI367" s="1604">
        <f t="shared" si="286"/>
        <v>42598.508198523552</v>
      </c>
      <c r="CJ367" s="1604">
        <f t="shared" si="287"/>
        <v>42598.508198523552</v>
      </c>
      <c r="CK367" s="1521">
        <f t="shared" si="288"/>
        <v>170394.03279409421</v>
      </c>
      <c r="CL367" s="1132">
        <v>360</v>
      </c>
      <c r="CM367" s="1132" t="s">
        <v>356</v>
      </c>
      <c r="CN367" s="1359">
        <v>1</v>
      </c>
      <c r="CO367" s="1360">
        <v>30.896235768198594</v>
      </c>
      <c r="CP367" s="1360">
        <v>30.896235768198594</v>
      </c>
      <c r="CQ367" s="1360">
        <v>30.896235768198594</v>
      </c>
      <c r="CR367" s="1360">
        <v>30.896235768198594</v>
      </c>
      <c r="CS367" s="1362">
        <f t="shared" si="289"/>
        <v>1489.8525403610879</v>
      </c>
      <c r="CT367" s="1362">
        <f t="shared" si="290"/>
        <v>1489.8525403610879</v>
      </c>
      <c r="CU367" s="1362">
        <f t="shared" si="291"/>
        <v>1489.8525403610879</v>
      </c>
      <c r="CV367" s="1362">
        <f t="shared" si="292"/>
        <v>1489.8525403610879</v>
      </c>
      <c r="CW367" s="1362">
        <f t="shared" si="293"/>
        <v>5959.4101614443516</v>
      </c>
      <c r="CY367" s="2887"/>
    </row>
    <row r="368" spans="1:103" s="1143" customFormat="1" ht="45.75" customHeight="1" x14ac:dyDescent="0.35">
      <c r="A368" s="1132" t="s">
        <v>110</v>
      </c>
      <c r="B368" s="1132" t="s">
        <v>840</v>
      </c>
      <c r="C368" s="1132" t="s">
        <v>868</v>
      </c>
      <c r="D368" s="1359" t="s">
        <v>105</v>
      </c>
      <c r="E368" s="1359">
        <f>IF(AI368-AR368=0,0,1)</f>
        <v>0</v>
      </c>
      <c r="F368" s="1132" t="s">
        <v>105</v>
      </c>
      <c r="G368" s="1132" t="s">
        <v>328</v>
      </c>
      <c r="H368" s="1360">
        <v>1.0618399999999999</v>
      </c>
      <c r="I368" s="1360">
        <v>1.0618399999999999</v>
      </c>
      <c r="J368" s="1360">
        <v>1.0618399999999999</v>
      </c>
      <c r="K368" s="1360">
        <v>1.0618399999999999</v>
      </c>
      <c r="L368" s="1132" t="s">
        <v>105</v>
      </c>
      <c r="M368" s="1132" t="str">
        <f t="shared" si="255"/>
        <v/>
      </c>
      <c r="N368" s="1361">
        <v>2439.1999999999998</v>
      </c>
      <c r="O368" s="1361">
        <v>2439.1999999999998</v>
      </c>
      <c r="P368" s="1361">
        <v>2439.1999999999998</v>
      </c>
      <c r="Q368" s="1361">
        <v>2439.1999999999998</v>
      </c>
      <c r="R368" s="1781">
        <v>1</v>
      </c>
      <c r="S368" s="1781">
        <v>1</v>
      </c>
      <c r="T368" s="1781">
        <v>1</v>
      </c>
      <c r="U368" s="1781">
        <v>1</v>
      </c>
      <c r="V368" s="1781">
        <v>1</v>
      </c>
      <c r="W368" s="1781">
        <v>1</v>
      </c>
      <c r="X368" s="1781">
        <v>1</v>
      </c>
      <c r="Y368" s="1781">
        <v>1</v>
      </c>
      <c r="Z368" s="1359">
        <v>0</v>
      </c>
      <c r="AA368" s="1781">
        <f t="shared" si="256"/>
        <v>1</v>
      </c>
      <c r="AB368" s="1781">
        <f t="shared" si="257"/>
        <v>1</v>
      </c>
      <c r="AC368" s="1781">
        <f t="shared" si="258"/>
        <v>1</v>
      </c>
      <c r="AD368" s="1781">
        <f t="shared" si="259"/>
        <v>1</v>
      </c>
      <c r="AE368" s="1781">
        <f t="shared" si="260"/>
        <v>1</v>
      </c>
      <c r="AF368" s="1781">
        <f t="shared" si="261"/>
        <v>1</v>
      </c>
      <c r="AG368" s="1781">
        <f t="shared" si="262"/>
        <v>1</v>
      </c>
      <c r="AH368" s="1781">
        <f t="shared" si="263"/>
        <v>1</v>
      </c>
      <c r="AI368" s="1362">
        <f t="shared" si="294"/>
        <v>2590.0401279999996</v>
      </c>
      <c r="AJ368" s="1362">
        <f t="shared" si="295"/>
        <v>2590.0401279999996</v>
      </c>
      <c r="AK368" s="1362">
        <f t="shared" si="296"/>
        <v>2590.0401279999996</v>
      </c>
      <c r="AL368" s="1362">
        <f t="shared" si="297"/>
        <v>2590.0401279999996</v>
      </c>
      <c r="AM368" s="1362">
        <f t="shared" si="298"/>
        <v>10360.160511999999</v>
      </c>
      <c r="AN368" s="1132" t="str">
        <f t="shared" si="264"/>
        <v>Custom</v>
      </c>
      <c r="AO368" s="1132" t="str">
        <f t="shared" si="265"/>
        <v/>
      </c>
      <c r="AP368" s="2505">
        <v>2439.1999999999998</v>
      </c>
      <c r="AQ368" s="2505"/>
      <c r="AR368" s="2505">
        <f t="shared" si="266"/>
        <v>2590.0401279999996</v>
      </c>
      <c r="AS368" s="2505">
        <f t="shared" si="267"/>
        <v>0</v>
      </c>
      <c r="AT368" s="1132" t="str">
        <f t="shared" si="268"/>
        <v>Custom</v>
      </c>
      <c r="AU368" s="1132" t="str">
        <f t="shared" si="269"/>
        <v/>
      </c>
      <c r="AV368" s="2505">
        <v>2439.1999999999998</v>
      </c>
      <c r="AW368" s="2505"/>
      <c r="AX368" s="1362">
        <f t="shared" si="270"/>
        <v>2590.0401279999996</v>
      </c>
      <c r="AY368" s="1360">
        <f t="shared" si="271"/>
        <v>0</v>
      </c>
      <c r="AZ368" s="1132" t="str">
        <f t="shared" si="272"/>
        <v>Custom</v>
      </c>
      <c r="BA368" s="1132" t="str">
        <f t="shared" si="273"/>
        <v/>
      </c>
      <c r="BB368" s="2505">
        <v>2439.1999999999998</v>
      </c>
      <c r="BC368" s="2505"/>
      <c r="BD368" s="1362">
        <f t="shared" si="274"/>
        <v>2590.0401279999996</v>
      </c>
      <c r="BE368" s="1360">
        <f t="shared" si="275"/>
        <v>0</v>
      </c>
      <c r="BF368" s="1132" t="str">
        <f t="shared" si="276"/>
        <v>Custom</v>
      </c>
      <c r="BG368" s="1132" t="str">
        <f t="shared" si="277"/>
        <v/>
      </c>
      <c r="BH368" s="2505">
        <v>2439.1999999999998</v>
      </c>
      <c r="BI368" s="2505"/>
      <c r="BJ368" s="1362">
        <f t="shared" si="299"/>
        <v>2590.0401279999996</v>
      </c>
      <c r="BK368" s="1360">
        <f t="shared" si="278"/>
        <v>0</v>
      </c>
      <c r="BL368" s="1601">
        <f t="shared" si="279"/>
        <v>2590.0401279999996</v>
      </c>
      <c r="BM368" s="1601">
        <f t="shared" si="280"/>
        <v>2590.0401279999996</v>
      </c>
      <c r="BN368" s="1601">
        <f t="shared" si="281"/>
        <v>2590.0401279999996</v>
      </c>
      <c r="BO368" s="1601">
        <f t="shared" si="282"/>
        <v>2590.0401279999996</v>
      </c>
      <c r="BP368" s="1602">
        <f t="shared" si="283"/>
        <v>10360.160511999999</v>
      </c>
      <c r="BQ368" s="1629"/>
      <c r="BR368" s="1629"/>
      <c r="BS368" s="1602">
        <v>0</v>
      </c>
      <c r="BT368" s="1602">
        <v>15</v>
      </c>
      <c r="BU368" s="1602">
        <v>15</v>
      </c>
      <c r="BV368" s="1602">
        <v>15</v>
      </c>
      <c r="BW368" s="1602">
        <v>15</v>
      </c>
      <c r="BX368" s="1362">
        <f t="shared" si="300"/>
        <v>38850.601919999994</v>
      </c>
      <c r="BY368" s="1362">
        <f t="shared" si="301"/>
        <v>38850.601919999994</v>
      </c>
      <c r="BZ368" s="1362">
        <f t="shared" si="302"/>
        <v>38850.601919999994</v>
      </c>
      <c r="CA368" s="1362">
        <f t="shared" si="303"/>
        <v>38850.601919999994</v>
      </c>
      <c r="CB368" s="1362">
        <f t="shared" si="304"/>
        <v>155402.40767999997</v>
      </c>
      <c r="CC368" s="1360">
        <v>15</v>
      </c>
      <c r="CD368" s="1360">
        <v>15</v>
      </c>
      <c r="CE368" s="1360">
        <v>15</v>
      </c>
      <c r="CF368" s="1360">
        <v>15</v>
      </c>
      <c r="CG368" s="1604">
        <f t="shared" si="284"/>
        <v>38850.601919999994</v>
      </c>
      <c r="CH368" s="1604">
        <f t="shared" si="285"/>
        <v>38850.601919999994</v>
      </c>
      <c r="CI368" s="1604">
        <f t="shared" si="286"/>
        <v>38850.601919999994</v>
      </c>
      <c r="CJ368" s="1604">
        <f t="shared" si="287"/>
        <v>38850.601919999994</v>
      </c>
      <c r="CK368" s="1521">
        <f t="shared" si="288"/>
        <v>155402.40767999997</v>
      </c>
      <c r="CL368" s="1132">
        <v>361</v>
      </c>
      <c r="CM368" s="1132" t="s">
        <v>328</v>
      </c>
      <c r="CN368" s="1359">
        <v>1</v>
      </c>
      <c r="CO368" s="1360">
        <v>1.0618399999999999</v>
      </c>
      <c r="CP368" s="1360">
        <v>1.0618399999999999</v>
      </c>
      <c r="CQ368" s="1360">
        <v>1.0618399999999999</v>
      </c>
      <c r="CR368" s="1360">
        <v>1.0618399999999999</v>
      </c>
      <c r="CS368" s="1362">
        <f t="shared" si="289"/>
        <v>2590.0401279999996</v>
      </c>
      <c r="CT368" s="1362">
        <f t="shared" si="290"/>
        <v>2590.0401279999996</v>
      </c>
      <c r="CU368" s="1362">
        <f t="shared" si="291"/>
        <v>2590.0401279999996</v>
      </c>
      <c r="CV368" s="1362">
        <f t="shared" si="292"/>
        <v>2590.0401279999996</v>
      </c>
      <c r="CW368" s="1362">
        <f t="shared" si="293"/>
        <v>10360.160511999999</v>
      </c>
      <c r="CY368" s="2887"/>
    </row>
    <row r="369" spans="1:103" s="1143" customFormat="1" ht="15.5" x14ac:dyDescent="0.35">
      <c r="A369" s="1132" t="s">
        <v>110</v>
      </c>
      <c r="B369" s="1132" t="s">
        <v>840</v>
      </c>
      <c r="C369" s="1132" t="s">
        <v>841</v>
      </c>
      <c r="D369" s="1359" t="s">
        <v>105</v>
      </c>
      <c r="E369" s="1359">
        <f>IF(AI369-AR369=0,0,1)</f>
        <v>0</v>
      </c>
      <c r="F369" s="1132" t="s">
        <v>105</v>
      </c>
      <c r="G369" s="1132" t="s">
        <v>356</v>
      </c>
      <c r="H369" s="1360">
        <v>8.4947199999999992</v>
      </c>
      <c r="I369" s="1360">
        <v>8.4947199999999992</v>
      </c>
      <c r="J369" s="1360">
        <v>8.4947199999999992</v>
      </c>
      <c r="K369" s="1360">
        <v>8.4947199999999992</v>
      </c>
      <c r="L369" s="1132" t="s">
        <v>105</v>
      </c>
      <c r="M369" s="1132" t="str">
        <f t="shared" si="255"/>
        <v/>
      </c>
      <c r="N369" s="1361">
        <v>0</v>
      </c>
      <c r="O369" s="1361">
        <v>0</v>
      </c>
      <c r="P369" s="1361">
        <v>0</v>
      </c>
      <c r="Q369" s="1361">
        <v>0</v>
      </c>
      <c r="R369" s="1781">
        <v>1</v>
      </c>
      <c r="S369" s="1781">
        <v>1</v>
      </c>
      <c r="T369" s="1781">
        <v>1</v>
      </c>
      <c r="U369" s="1781">
        <v>1</v>
      </c>
      <c r="V369" s="1781">
        <v>1</v>
      </c>
      <c r="W369" s="1781">
        <v>1</v>
      </c>
      <c r="X369" s="1781">
        <v>1</v>
      </c>
      <c r="Y369" s="1781">
        <v>1</v>
      </c>
      <c r="Z369" s="1359">
        <v>0</v>
      </c>
      <c r="AA369" s="1781">
        <f t="shared" si="256"/>
        <v>1</v>
      </c>
      <c r="AB369" s="1781">
        <f t="shared" si="257"/>
        <v>1</v>
      </c>
      <c r="AC369" s="1781">
        <f t="shared" si="258"/>
        <v>1</v>
      </c>
      <c r="AD369" s="1781">
        <f t="shared" si="259"/>
        <v>1</v>
      </c>
      <c r="AE369" s="1781">
        <f t="shared" si="260"/>
        <v>1</v>
      </c>
      <c r="AF369" s="1781">
        <f t="shared" si="261"/>
        <v>1</v>
      </c>
      <c r="AG369" s="1781">
        <f t="shared" si="262"/>
        <v>1</v>
      </c>
      <c r="AH369" s="1781">
        <f t="shared" si="263"/>
        <v>1</v>
      </c>
      <c r="AI369" s="1362">
        <f t="shared" si="294"/>
        <v>0</v>
      </c>
      <c r="AJ369" s="1362">
        <f t="shared" si="295"/>
        <v>0</v>
      </c>
      <c r="AK369" s="1362">
        <f t="shared" si="296"/>
        <v>0</v>
      </c>
      <c r="AL369" s="1362">
        <f t="shared" si="297"/>
        <v>0</v>
      </c>
      <c r="AM369" s="1362">
        <f t="shared" si="298"/>
        <v>0</v>
      </c>
      <c r="AN369" s="1132" t="str">
        <f t="shared" si="264"/>
        <v>Custom</v>
      </c>
      <c r="AO369" s="1132" t="str">
        <f t="shared" si="265"/>
        <v/>
      </c>
      <c r="AP369" s="2505">
        <v>0</v>
      </c>
      <c r="AQ369" s="2505"/>
      <c r="AR369" s="2505">
        <f t="shared" si="266"/>
        <v>0</v>
      </c>
      <c r="AS369" s="2505">
        <f t="shared" si="267"/>
        <v>0</v>
      </c>
      <c r="AT369" s="1132" t="str">
        <f t="shared" si="268"/>
        <v>Custom</v>
      </c>
      <c r="AU369" s="1132" t="str">
        <f t="shared" si="269"/>
        <v/>
      </c>
      <c r="AV369" s="2505">
        <v>0</v>
      </c>
      <c r="AW369" s="2505"/>
      <c r="AX369" s="1362">
        <f t="shared" si="270"/>
        <v>0</v>
      </c>
      <c r="AY369" s="1360">
        <f t="shared" si="271"/>
        <v>0</v>
      </c>
      <c r="AZ369" s="1132" t="str">
        <f t="shared" si="272"/>
        <v>Custom</v>
      </c>
      <c r="BA369" s="1132" t="str">
        <f t="shared" si="273"/>
        <v/>
      </c>
      <c r="BB369" s="2505">
        <v>0</v>
      </c>
      <c r="BC369" s="2505"/>
      <c r="BD369" s="1362">
        <f t="shared" si="274"/>
        <v>0</v>
      </c>
      <c r="BE369" s="1360">
        <f t="shared" si="275"/>
        <v>0</v>
      </c>
      <c r="BF369" s="1132" t="str">
        <f t="shared" si="276"/>
        <v>Custom</v>
      </c>
      <c r="BG369" s="1132" t="str">
        <f t="shared" si="277"/>
        <v/>
      </c>
      <c r="BH369" s="2505">
        <v>0</v>
      </c>
      <c r="BI369" s="2505"/>
      <c r="BJ369" s="1362">
        <f t="shared" si="299"/>
        <v>0</v>
      </c>
      <c r="BK369" s="1360">
        <f t="shared" si="278"/>
        <v>0</v>
      </c>
      <c r="BL369" s="1601">
        <f t="shared" si="279"/>
        <v>0</v>
      </c>
      <c r="BM369" s="1601">
        <f t="shared" si="280"/>
        <v>0</v>
      </c>
      <c r="BN369" s="1601">
        <f t="shared" si="281"/>
        <v>0</v>
      </c>
      <c r="BO369" s="1601">
        <f t="shared" si="282"/>
        <v>0</v>
      </c>
      <c r="BP369" s="1602">
        <f t="shared" si="283"/>
        <v>0</v>
      </c>
      <c r="BQ369" s="1629"/>
      <c r="BR369" s="1629"/>
      <c r="BS369" s="1602">
        <v>0</v>
      </c>
      <c r="BT369" s="1602">
        <v>0</v>
      </c>
      <c r="BU369" s="1602">
        <v>0</v>
      </c>
      <c r="BV369" s="1602">
        <v>0</v>
      </c>
      <c r="BW369" s="1602">
        <v>0</v>
      </c>
      <c r="BX369" s="1362">
        <f t="shared" si="300"/>
        <v>0</v>
      </c>
      <c r="BY369" s="1362">
        <f t="shared" si="301"/>
        <v>0</v>
      </c>
      <c r="BZ369" s="1362">
        <f t="shared" si="302"/>
        <v>0</v>
      </c>
      <c r="CA369" s="1362">
        <f t="shared" si="303"/>
        <v>0</v>
      </c>
      <c r="CB369" s="1362">
        <f t="shared" si="304"/>
        <v>0</v>
      </c>
      <c r="CC369" s="1360">
        <v>0</v>
      </c>
      <c r="CD369" s="1360">
        <v>0</v>
      </c>
      <c r="CE369" s="1360">
        <v>0</v>
      </c>
      <c r="CF369" s="1360">
        <v>0</v>
      </c>
      <c r="CG369" s="1604">
        <f t="shared" si="284"/>
        <v>0</v>
      </c>
      <c r="CH369" s="1604">
        <f t="shared" si="285"/>
        <v>0</v>
      </c>
      <c r="CI369" s="1604">
        <f t="shared" si="286"/>
        <v>0</v>
      </c>
      <c r="CJ369" s="1604">
        <f t="shared" si="287"/>
        <v>0</v>
      </c>
      <c r="CK369" s="1521">
        <f t="shared" si="288"/>
        <v>0</v>
      </c>
      <c r="CL369" s="1132">
        <v>362</v>
      </c>
      <c r="CM369" s="1132" t="s">
        <v>356</v>
      </c>
      <c r="CN369" s="1359">
        <v>1</v>
      </c>
      <c r="CO369" s="1360">
        <v>8.4947199999999992</v>
      </c>
      <c r="CP369" s="1360">
        <v>8.4947199999999992</v>
      </c>
      <c r="CQ369" s="1360">
        <v>8.4947199999999992</v>
      </c>
      <c r="CR369" s="1360">
        <v>8.4947199999999992</v>
      </c>
      <c r="CS369" s="1362">
        <f t="shared" si="289"/>
        <v>0</v>
      </c>
      <c r="CT369" s="1362">
        <f t="shared" si="290"/>
        <v>0</v>
      </c>
      <c r="CU369" s="1362">
        <f t="shared" si="291"/>
        <v>0</v>
      </c>
      <c r="CV369" s="1362">
        <f t="shared" si="292"/>
        <v>0</v>
      </c>
      <c r="CW369" s="1362">
        <f t="shared" si="293"/>
        <v>0</v>
      </c>
      <c r="CY369" s="2887"/>
    </row>
    <row r="370" spans="1:103" s="1143" customFormat="1" ht="15" customHeight="1" x14ac:dyDescent="0.35">
      <c r="A370" s="1132" t="s">
        <v>110</v>
      </c>
      <c r="B370" s="1132" t="s">
        <v>840</v>
      </c>
      <c r="C370" s="1132" t="s">
        <v>869</v>
      </c>
      <c r="D370" s="1359" t="s">
        <v>870</v>
      </c>
      <c r="E370" s="1359">
        <v>1</v>
      </c>
      <c r="F370" s="1780" t="s">
        <v>649</v>
      </c>
      <c r="G370" s="1132" t="s">
        <v>356</v>
      </c>
      <c r="H370" s="1360">
        <v>5.3091999999999997</v>
      </c>
      <c r="I370" s="1360">
        <v>5.3091999999999997</v>
      </c>
      <c r="J370" s="1360">
        <v>5.3091999999999997</v>
      </c>
      <c r="K370" s="1360">
        <v>5.3091999999999997</v>
      </c>
      <c r="L370" s="1132" t="s">
        <v>650</v>
      </c>
      <c r="M370" s="1132" t="str">
        <f t="shared" si="255"/>
        <v>Nicor Gas PY11-PY14 Adjustable Goals Template_2025-03-01, Tab 5.3.16</v>
      </c>
      <c r="N370" s="1361">
        <v>55.509675000000001</v>
      </c>
      <c r="O370" s="1361">
        <v>55.509675000000001</v>
      </c>
      <c r="P370" s="1361">
        <v>55.509675000000001</v>
      </c>
      <c r="Q370" s="1361">
        <v>55.509675000000001</v>
      </c>
      <c r="R370" s="1781">
        <v>1</v>
      </c>
      <c r="S370" s="1781">
        <v>1</v>
      </c>
      <c r="T370" s="1781">
        <v>1</v>
      </c>
      <c r="U370" s="1781">
        <v>1</v>
      </c>
      <c r="V370" s="1781">
        <v>1</v>
      </c>
      <c r="W370" s="1781">
        <v>1</v>
      </c>
      <c r="X370" s="1781">
        <v>1</v>
      </c>
      <c r="Y370" s="1781">
        <v>1</v>
      </c>
      <c r="Z370" s="1359">
        <v>0</v>
      </c>
      <c r="AA370" s="1781">
        <f t="shared" si="256"/>
        <v>1</v>
      </c>
      <c r="AB370" s="1781">
        <f t="shared" si="257"/>
        <v>1</v>
      </c>
      <c r="AC370" s="1781">
        <f t="shared" si="258"/>
        <v>1</v>
      </c>
      <c r="AD370" s="1781">
        <f t="shared" si="259"/>
        <v>1</v>
      </c>
      <c r="AE370" s="1781">
        <f t="shared" si="260"/>
        <v>1</v>
      </c>
      <c r="AF370" s="1781">
        <f t="shared" si="261"/>
        <v>1</v>
      </c>
      <c r="AG370" s="1781">
        <f t="shared" si="262"/>
        <v>1</v>
      </c>
      <c r="AH370" s="1781">
        <f t="shared" si="263"/>
        <v>1</v>
      </c>
      <c r="AI370" s="1362">
        <f t="shared" si="294"/>
        <v>294.71196650999997</v>
      </c>
      <c r="AJ370" s="1362">
        <f t="shared" si="295"/>
        <v>294.71196650999997</v>
      </c>
      <c r="AK370" s="1362">
        <f t="shared" si="296"/>
        <v>294.71196650999997</v>
      </c>
      <c r="AL370" s="1362">
        <f t="shared" si="297"/>
        <v>294.71196650999997</v>
      </c>
      <c r="AM370" s="1362">
        <f t="shared" si="298"/>
        <v>1178.8478660399999</v>
      </c>
      <c r="AN370" s="1132" t="str">
        <f t="shared" si="264"/>
        <v>RS-HVC-ADTH-V03-190101</v>
      </c>
      <c r="AO370" s="1132" t="str">
        <f t="shared" si="265"/>
        <v>Nicor Gas PY11-PY14 Adjustable Goals Template_2025-03-01, Tab 5.3.16</v>
      </c>
      <c r="AP370" s="2247">
        <f>'5.3.16'!$S$12</f>
        <v>55.509675000000001</v>
      </c>
      <c r="AQ370" s="2505"/>
      <c r="AR370" s="2505">
        <f t="shared" si="266"/>
        <v>294.71196650999997</v>
      </c>
      <c r="AS370" s="2505">
        <f t="shared" si="267"/>
        <v>0</v>
      </c>
      <c r="AT370" s="1132" t="str">
        <f t="shared" si="268"/>
        <v>RS-HVC-ADTH-V03-190101</v>
      </c>
      <c r="AU370" s="1132" t="str">
        <f t="shared" si="269"/>
        <v>Nicor Gas PY11-PY14 Adjustable Goals Template_2025-03-01, Tab 5.3.16</v>
      </c>
      <c r="AV370" s="2247">
        <f>'5.3.16'!$S$12</f>
        <v>55.509675000000001</v>
      </c>
      <c r="AW370" s="2505"/>
      <c r="AX370" s="1362">
        <f t="shared" si="270"/>
        <v>294.71196650999997</v>
      </c>
      <c r="AY370" s="1360">
        <f t="shared" si="271"/>
        <v>0</v>
      </c>
      <c r="AZ370" s="1132" t="str">
        <f t="shared" si="272"/>
        <v>RS-HVC-ADTH-V03-190101</v>
      </c>
      <c r="BA370" s="1132" t="str">
        <f t="shared" si="273"/>
        <v>Nicor Gas PY11-PY14 Adjustable Goals Template_2025-03-01, Tab 5.3.16</v>
      </c>
      <c r="BB370" s="2247">
        <f>'5.3.16'!$S$12</f>
        <v>55.509675000000001</v>
      </c>
      <c r="BC370" s="2505"/>
      <c r="BD370" s="1362">
        <f t="shared" si="274"/>
        <v>294.71196650999997</v>
      </c>
      <c r="BE370" s="1360">
        <f t="shared" si="275"/>
        <v>0</v>
      </c>
      <c r="BF370" s="1132" t="str">
        <f t="shared" si="276"/>
        <v>RS-HVC-ADTH-V03-190101</v>
      </c>
      <c r="BG370" s="1132" t="str">
        <f t="shared" si="277"/>
        <v>Nicor Gas PY11-PY14 Adjustable Goals Template_2025-03-01, Tab 5.3.16</v>
      </c>
      <c r="BH370" s="2247">
        <f>'5.3.16'!$S$12</f>
        <v>55.509675000000001</v>
      </c>
      <c r="BI370" s="2505"/>
      <c r="BJ370" s="1362">
        <f t="shared" si="299"/>
        <v>294.71196650999997</v>
      </c>
      <c r="BK370" s="1360">
        <f t="shared" si="278"/>
        <v>0</v>
      </c>
      <c r="BL370" s="1601">
        <f t="shared" si="279"/>
        <v>294.71196650999997</v>
      </c>
      <c r="BM370" s="1601">
        <f t="shared" si="280"/>
        <v>294.71196650999997</v>
      </c>
      <c r="BN370" s="1601">
        <f t="shared" si="281"/>
        <v>294.71196650999997</v>
      </c>
      <c r="BO370" s="1601">
        <f t="shared" si="282"/>
        <v>294.71196650999997</v>
      </c>
      <c r="BP370" s="1602">
        <f t="shared" si="283"/>
        <v>1178.8478660399999</v>
      </c>
      <c r="BQ370" s="1629"/>
      <c r="BR370" s="1629" t="s">
        <v>649</v>
      </c>
      <c r="BS370" s="1602">
        <v>0</v>
      </c>
      <c r="BT370" s="1602">
        <v>11</v>
      </c>
      <c r="BU370" s="1602">
        <v>11</v>
      </c>
      <c r="BV370" s="1602">
        <v>11</v>
      </c>
      <c r="BW370" s="1602">
        <v>11</v>
      </c>
      <c r="BX370" s="1362">
        <f t="shared" si="300"/>
        <v>3241.8316316099995</v>
      </c>
      <c r="BY370" s="1362">
        <f t="shared" si="301"/>
        <v>3241.8316316099995</v>
      </c>
      <c r="BZ370" s="1362">
        <f t="shared" si="302"/>
        <v>3241.8316316099995</v>
      </c>
      <c r="CA370" s="1362">
        <f t="shared" si="303"/>
        <v>3241.8316316099995</v>
      </c>
      <c r="CB370" s="1362">
        <f t="shared" si="304"/>
        <v>12967.326526439998</v>
      </c>
      <c r="CC370" s="1360">
        <v>11</v>
      </c>
      <c r="CD370" s="1360">
        <v>11</v>
      </c>
      <c r="CE370" s="1360">
        <v>11</v>
      </c>
      <c r="CF370" s="1360">
        <v>11</v>
      </c>
      <c r="CG370" s="1604">
        <f t="shared" si="284"/>
        <v>3241.8316316099995</v>
      </c>
      <c r="CH370" s="1604">
        <f t="shared" si="285"/>
        <v>3241.8316316099995</v>
      </c>
      <c r="CI370" s="1604">
        <f t="shared" si="286"/>
        <v>3241.8316316099995</v>
      </c>
      <c r="CJ370" s="1604">
        <f t="shared" si="287"/>
        <v>3241.8316316099995</v>
      </c>
      <c r="CK370" s="1521">
        <f t="shared" si="288"/>
        <v>12967.326526439998</v>
      </c>
      <c r="CL370" s="1132">
        <v>363</v>
      </c>
      <c r="CM370" s="1132" t="s">
        <v>356</v>
      </c>
      <c r="CN370" s="1359">
        <v>1</v>
      </c>
      <c r="CO370" s="1360">
        <v>5.3091999999999997</v>
      </c>
      <c r="CP370" s="1360">
        <v>5.3091999999999997</v>
      </c>
      <c r="CQ370" s="1360">
        <v>5.3091999999999997</v>
      </c>
      <c r="CR370" s="1360">
        <v>5.3091999999999997</v>
      </c>
      <c r="CS370" s="1362">
        <f t="shared" si="289"/>
        <v>294.71196650999997</v>
      </c>
      <c r="CT370" s="1362">
        <f t="shared" si="290"/>
        <v>294.71196650999997</v>
      </c>
      <c r="CU370" s="1362">
        <f t="shared" si="291"/>
        <v>294.71196650999997</v>
      </c>
      <c r="CV370" s="1362">
        <f t="shared" si="292"/>
        <v>294.71196650999997</v>
      </c>
      <c r="CW370" s="1362">
        <f t="shared" si="293"/>
        <v>1178.8478660399999</v>
      </c>
      <c r="CY370" s="2887"/>
    </row>
    <row r="371" spans="1:103" s="1143" customFormat="1" ht="46.5" x14ac:dyDescent="0.35">
      <c r="A371" s="1132" t="s">
        <v>110</v>
      </c>
      <c r="B371" s="1132" t="s">
        <v>840</v>
      </c>
      <c r="C371" s="1132" t="s">
        <v>733</v>
      </c>
      <c r="D371" s="1359" t="s">
        <v>734</v>
      </c>
      <c r="E371" s="1359">
        <v>1</v>
      </c>
      <c r="F371" s="2564" t="s">
        <v>655</v>
      </c>
      <c r="G371" s="1132" t="s">
        <v>328</v>
      </c>
      <c r="H371" s="1360">
        <v>3.1855199999999999</v>
      </c>
      <c r="I371" s="1360">
        <v>3.1855199999999999</v>
      </c>
      <c r="J371" s="1360">
        <v>3.1855199999999999</v>
      </c>
      <c r="K371" s="1360">
        <v>3.1855199999999999</v>
      </c>
      <c r="L371" s="1132" t="s">
        <v>656</v>
      </c>
      <c r="M371" s="1132" t="str">
        <f t="shared" si="255"/>
        <v>Nicor Gas PY11-PY14 Adjustable Goals Template_2025-03-01, Tab 5.6.1</v>
      </c>
      <c r="N371" s="1361">
        <v>166.94873030176103</v>
      </c>
      <c r="O371" s="1361">
        <v>166.94873030176103</v>
      </c>
      <c r="P371" s="1361">
        <v>166.94873030176103</v>
      </c>
      <c r="Q371" s="1361">
        <v>166.94873030176103</v>
      </c>
      <c r="R371" s="1781">
        <v>1</v>
      </c>
      <c r="S371" s="1781">
        <v>1</v>
      </c>
      <c r="T371" s="1781">
        <v>1</v>
      </c>
      <c r="U371" s="1781">
        <v>1</v>
      </c>
      <c r="V371" s="1781">
        <v>1</v>
      </c>
      <c r="W371" s="1781">
        <v>1</v>
      </c>
      <c r="X371" s="1781">
        <v>1</v>
      </c>
      <c r="Y371" s="1781">
        <v>1</v>
      </c>
      <c r="Z371" s="1359">
        <v>0</v>
      </c>
      <c r="AA371" s="1781">
        <f t="shared" si="256"/>
        <v>1</v>
      </c>
      <c r="AB371" s="1781">
        <f t="shared" si="257"/>
        <v>1</v>
      </c>
      <c r="AC371" s="1781">
        <f t="shared" si="258"/>
        <v>1</v>
      </c>
      <c r="AD371" s="1781">
        <f t="shared" si="259"/>
        <v>1</v>
      </c>
      <c r="AE371" s="1781">
        <f t="shared" si="260"/>
        <v>1</v>
      </c>
      <c r="AF371" s="1781">
        <f t="shared" si="261"/>
        <v>1</v>
      </c>
      <c r="AG371" s="1781">
        <f t="shared" si="262"/>
        <v>1</v>
      </c>
      <c r="AH371" s="1781">
        <f t="shared" si="263"/>
        <v>1</v>
      </c>
      <c r="AI371" s="1362">
        <f t="shared" si="294"/>
        <v>531.81851935086581</v>
      </c>
      <c r="AJ371" s="1362">
        <f t="shared" si="295"/>
        <v>531.81851935086581</v>
      </c>
      <c r="AK371" s="1362">
        <f t="shared" si="296"/>
        <v>531.81851935086581</v>
      </c>
      <c r="AL371" s="1362">
        <f t="shared" si="297"/>
        <v>531.81851935086581</v>
      </c>
      <c r="AM371" s="1362">
        <f t="shared" si="298"/>
        <v>2127.2740774034633</v>
      </c>
      <c r="AN371" s="1132" t="str">
        <f t="shared" si="264"/>
        <v>RS-SHL-AIRS-V07-190101</v>
      </c>
      <c r="AO371" s="1132" t="str">
        <f t="shared" si="265"/>
        <v>Nicor Gas PY11-PY14 Adjustable Goals Template_2025-03-01, Tab 5.6.1</v>
      </c>
      <c r="AP371" s="2247">
        <f>'5.6.1'!$V$12</f>
        <v>166.94873030176103</v>
      </c>
      <c r="AQ371" s="2505"/>
      <c r="AR371" s="2505">
        <f t="shared" si="266"/>
        <v>531.81851935086581</v>
      </c>
      <c r="AS371" s="2505">
        <f t="shared" si="267"/>
        <v>0</v>
      </c>
      <c r="AT371" s="1132" t="str">
        <f t="shared" si="268"/>
        <v>RS-SHL-AIRS-V07-190101</v>
      </c>
      <c r="AU371" s="1132" t="str">
        <f t="shared" si="269"/>
        <v>Nicor Gas PY11-PY14 Adjustable Goals Template_2025-03-01, Tab 5.6.1</v>
      </c>
      <c r="AV371" s="2247">
        <f>'5.6.1'!$V$12</f>
        <v>166.94873030176103</v>
      </c>
      <c r="AW371" s="2505"/>
      <c r="AX371" s="1362">
        <f t="shared" si="270"/>
        <v>531.81851935086581</v>
      </c>
      <c r="AY371" s="1360">
        <f t="shared" si="271"/>
        <v>0</v>
      </c>
      <c r="AZ371" s="1132" t="str">
        <f t="shared" si="272"/>
        <v>RS-SHL-AIRS-V07-190101</v>
      </c>
      <c r="BA371" s="1132" t="str">
        <f t="shared" si="273"/>
        <v>Nicor Gas PY11-PY14 Adjustable Goals Template_2025-03-01, Tab 5.6.1</v>
      </c>
      <c r="BB371" s="2247">
        <f>'5.6.1'!$V$12</f>
        <v>166.94873030176103</v>
      </c>
      <c r="BC371" s="2505"/>
      <c r="BD371" s="1362">
        <f t="shared" si="274"/>
        <v>531.81851935086581</v>
      </c>
      <c r="BE371" s="1360">
        <f t="shared" si="275"/>
        <v>0</v>
      </c>
      <c r="BF371" s="1132" t="str">
        <f t="shared" si="276"/>
        <v>RS-SHL-AIRS-V07-190101</v>
      </c>
      <c r="BG371" s="1132" t="str">
        <f t="shared" si="277"/>
        <v>Nicor Gas PY11-PY14 Adjustable Goals Template_2025-03-01, Tab 5.6.1</v>
      </c>
      <c r="BH371" s="2247">
        <f>'5.6.1'!$V$12</f>
        <v>166.94873030176103</v>
      </c>
      <c r="BI371" s="2505"/>
      <c r="BJ371" s="1362">
        <f t="shared" si="299"/>
        <v>531.81851935086581</v>
      </c>
      <c r="BK371" s="1360">
        <f t="shared" si="278"/>
        <v>0</v>
      </c>
      <c r="BL371" s="1601">
        <f t="shared" si="279"/>
        <v>531.81851935086581</v>
      </c>
      <c r="BM371" s="1601">
        <f t="shared" si="280"/>
        <v>531.81851935086581</v>
      </c>
      <c r="BN371" s="1601">
        <f t="shared" si="281"/>
        <v>531.81851935086581</v>
      </c>
      <c r="BO371" s="1601">
        <f t="shared" si="282"/>
        <v>531.81851935086581</v>
      </c>
      <c r="BP371" s="1602">
        <f t="shared" si="283"/>
        <v>2127.2740774034633</v>
      </c>
      <c r="BQ371" s="1629"/>
      <c r="BR371" s="1629" t="s">
        <v>655</v>
      </c>
      <c r="BS371" s="2773">
        <v>1</v>
      </c>
      <c r="BT371" s="1602">
        <v>19.411764705882355</v>
      </c>
      <c r="BU371" s="1602">
        <v>19.411764705882355</v>
      </c>
      <c r="BV371" s="1602">
        <v>19.411764705882355</v>
      </c>
      <c r="BW371" s="1602">
        <v>19.411764705882355</v>
      </c>
      <c r="BX371" s="1362">
        <f t="shared" si="300"/>
        <v>10323.53596386975</v>
      </c>
      <c r="BY371" s="1362">
        <f t="shared" si="301"/>
        <v>10323.53596386975</v>
      </c>
      <c r="BZ371" s="1362">
        <f t="shared" si="302"/>
        <v>10323.53596386975</v>
      </c>
      <c r="CA371" s="1362">
        <f t="shared" si="303"/>
        <v>10323.53596386975</v>
      </c>
      <c r="CB371" s="1362">
        <f t="shared" si="304"/>
        <v>41294.143855479</v>
      </c>
      <c r="CC371" s="2775">
        <v>20</v>
      </c>
      <c r="CD371" s="2775">
        <v>20</v>
      </c>
      <c r="CE371" s="2775">
        <v>20</v>
      </c>
      <c r="CF371" s="2775">
        <v>20</v>
      </c>
      <c r="CG371" s="1604">
        <f t="shared" si="284"/>
        <v>10636.370387017316</v>
      </c>
      <c r="CH371" s="1604">
        <f t="shared" si="285"/>
        <v>10636.370387017316</v>
      </c>
      <c r="CI371" s="1604">
        <f t="shared" si="286"/>
        <v>10636.370387017316</v>
      </c>
      <c r="CJ371" s="1604">
        <f t="shared" si="287"/>
        <v>10636.370387017316</v>
      </c>
      <c r="CK371" s="1521">
        <f t="shared" si="288"/>
        <v>42545.481548069263</v>
      </c>
      <c r="CL371" s="1132">
        <v>364</v>
      </c>
      <c r="CM371" s="1132" t="s">
        <v>328</v>
      </c>
      <c r="CN371" s="1359">
        <v>1</v>
      </c>
      <c r="CO371" s="1360">
        <v>3.1855199999999999</v>
      </c>
      <c r="CP371" s="1360">
        <v>3.1855199999999999</v>
      </c>
      <c r="CQ371" s="1360">
        <v>3.1855199999999999</v>
      </c>
      <c r="CR371" s="1360">
        <v>3.1855199999999999</v>
      </c>
      <c r="CS371" s="1362">
        <f t="shared" si="289"/>
        <v>531.81851935086581</v>
      </c>
      <c r="CT371" s="1362">
        <f t="shared" si="290"/>
        <v>531.81851935086581</v>
      </c>
      <c r="CU371" s="1362">
        <f t="shared" si="291"/>
        <v>531.81851935086581</v>
      </c>
      <c r="CV371" s="1362">
        <f t="shared" si="292"/>
        <v>531.81851935086581</v>
      </c>
      <c r="CW371" s="1362">
        <f t="shared" si="293"/>
        <v>2127.2740774034633</v>
      </c>
      <c r="CY371" s="2887"/>
    </row>
    <row r="372" spans="1:103" s="1143" customFormat="1" ht="60.75" customHeight="1" x14ac:dyDescent="0.35">
      <c r="A372" s="1132" t="s">
        <v>110</v>
      </c>
      <c r="B372" s="1132" t="s">
        <v>840</v>
      </c>
      <c r="C372" s="1132" t="s">
        <v>735</v>
      </c>
      <c r="D372" s="1359" t="s">
        <v>736</v>
      </c>
      <c r="E372" s="1359">
        <v>1</v>
      </c>
      <c r="F372" s="1132" t="s">
        <v>659</v>
      </c>
      <c r="G372" s="1132" t="s">
        <v>328</v>
      </c>
      <c r="H372" s="1360">
        <v>3.1855199999999999</v>
      </c>
      <c r="I372" s="1360">
        <v>3.1855199999999999</v>
      </c>
      <c r="J372" s="1360">
        <v>3.1855199999999999</v>
      </c>
      <c r="K372" s="1360">
        <v>3.1855199999999999</v>
      </c>
      <c r="L372" s="1132" t="s">
        <v>660</v>
      </c>
      <c r="M372" s="1132" t="str">
        <f t="shared" si="255"/>
        <v>Nicor Gas PY11-PY14 Adjustable Goals Template_2025-03-01, Tab 5.6.5</v>
      </c>
      <c r="N372" s="1361">
        <v>542.84426044081624</v>
      </c>
      <c r="O372" s="1361">
        <v>542.84426044081624</v>
      </c>
      <c r="P372" s="1361">
        <v>542.84426044081624</v>
      </c>
      <c r="Q372" s="1361">
        <v>542.84426044081624</v>
      </c>
      <c r="R372" s="1781">
        <v>1</v>
      </c>
      <c r="S372" s="1781">
        <v>1</v>
      </c>
      <c r="T372" s="1781">
        <v>1</v>
      </c>
      <c r="U372" s="1781">
        <v>1</v>
      </c>
      <c r="V372" s="1781">
        <v>1</v>
      </c>
      <c r="W372" s="1781">
        <v>1</v>
      </c>
      <c r="X372" s="1781">
        <v>1</v>
      </c>
      <c r="Y372" s="1781">
        <v>1</v>
      </c>
      <c r="Z372" s="1359">
        <v>0</v>
      </c>
      <c r="AA372" s="1781">
        <f t="shared" si="256"/>
        <v>1</v>
      </c>
      <c r="AB372" s="1781">
        <f t="shared" si="257"/>
        <v>1</v>
      </c>
      <c r="AC372" s="1781">
        <f t="shared" si="258"/>
        <v>1</v>
      </c>
      <c r="AD372" s="1781">
        <f t="shared" si="259"/>
        <v>1</v>
      </c>
      <c r="AE372" s="1781">
        <f t="shared" si="260"/>
        <v>1</v>
      </c>
      <c r="AF372" s="1781">
        <f t="shared" si="261"/>
        <v>1</v>
      </c>
      <c r="AG372" s="1781">
        <f t="shared" si="262"/>
        <v>1</v>
      </c>
      <c r="AH372" s="1781">
        <f t="shared" si="263"/>
        <v>1</v>
      </c>
      <c r="AI372" s="1362">
        <f t="shared" si="294"/>
        <v>1729.2412485194288</v>
      </c>
      <c r="AJ372" s="1362">
        <f t="shared" si="295"/>
        <v>1729.2412485194288</v>
      </c>
      <c r="AK372" s="1362">
        <f t="shared" si="296"/>
        <v>1729.2412485194288</v>
      </c>
      <c r="AL372" s="1362">
        <f t="shared" si="297"/>
        <v>1729.2412485194288</v>
      </c>
      <c r="AM372" s="1362">
        <f t="shared" si="298"/>
        <v>6916.9649940777153</v>
      </c>
      <c r="AN372" s="1132" t="str">
        <f t="shared" si="264"/>
        <v>RS-SHL-AINS-V07-180101</v>
      </c>
      <c r="AO372" s="1132" t="str">
        <f t="shared" si="265"/>
        <v>Nicor Gas PY11-PY14 Adjustable Goals Template_2025-03-01, Tab 5.6.5</v>
      </c>
      <c r="AP372" s="2505">
        <f>'5.6.4&amp;5.6.5'!$X$12</f>
        <v>542.84426044081624</v>
      </c>
      <c r="AQ372" s="2505"/>
      <c r="AR372" s="2505">
        <f t="shared" si="266"/>
        <v>1729.2412485194288</v>
      </c>
      <c r="AS372" s="2505">
        <f t="shared" si="267"/>
        <v>0</v>
      </c>
      <c r="AT372" s="1132" t="str">
        <f t="shared" si="268"/>
        <v>RS-SHL-AINS-V07-180101</v>
      </c>
      <c r="AU372" s="1132" t="str">
        <f t="shared" si="269"/>
        <v>Nicor Gas PY11-PY14 Adjustable Goals Template_2025-03-01, Tab 5.6.5</v>
      </c>
      <c r="AV372" s="2505">
        <f>'5.6.4&amp;5.6.5'!$X$12</f>
        <v>542.84426044081624</v>
      </c>
      <c r="AW372" s="2505"/>
      <c r="AX372" s="1362">
        <f t="shared" si="270"/>
        <v>1729.2412485194288</v>
      </c>
      <c r="AY372" s="1360">
        <f t="shared" si="271"/>
        <v>0</v>
      </c>
      <c r="AZ372" s="1132" t="str">
        <f t="shared" si="272"/>
        <v>RS-SHL-AINS-V07-180101</v>
      </c>
      <c r="BA372" s="1132" t="str">
        <f t="shared" si="273"/>
        <v>Nicor Gas PY11-PY14 Adjustable Goals Template_2025-03-01, Tab 5.6.5</v>
      </c>
      <c r="BB372" s="2505">
        <f>'5.6.4&amp;5.6.5'!$X$12</f>
        <v>542.84426044081624</v>
      </c>
      <c r="BC372" s="2505"/>
      <c r="BD372" s="1362">
        <f t="shared" si="274"/>
        <v>1729.2412485194288</v>
      </c>
      <c r="BE372" s="1360">
        <f t="shared" si="275"/>
        <v>0</v>
      </c>
      <c r="BF372" s="1132" t="str">
        <f t="shared" si="276"/>
        <v>RS-SHL-AINS-V07-180101</v>
      </c>
      <c r="BG372" s="1132" t="str">
        <f t="shared" si="277"/>
        <v>Nicor Gas PY11-PY14 Adjustable Goals Template_2025-03-01, Tab 5.6.5</v>
      </c>
      <c r="BH372" s="2505">
        <f>'5.6.4&amp;5.6.5'!$X$12</f>
        <v>542.84426044081624</v>
      </c>
      <c r="BI372" s="2505"/>
      <c r="BJ372" s="1362">
        <f t="shared" si="299"/>
        <v>1729.2412485194288</v>
      </c>
      <c r="BK372" s="1360">
        <f t="shared" si="278"/>
        <v>0</v>
      </c>
      <c r="BL372" s="1601">
        <f t="shared" si="279"/>
        <v>1729.2412485194288</v>
      </c>
      <c r="BM372" s="1601">
        <f t="shared" si="280"/>
        <v>1729.2412485194288</v>
      </c>
      <c r="BN372" s="1601">
        <f t="shared" si="281"/>
        <v>1729.2412485194288</v>
      </c>
      <c r="BO372" s="1601">
        <f t="shared" si="282"/>
        <v>1729.2412485194288</v>
      </c>
      <c r="BP372" s="1602">
        <f t="shared" si="283"/>
        <v>6916.9649940777153</v>
      </c>
      <c r="BQ372" s="1629"/>
      <c r="BR372" s="1629" t="s">
        <v>659</v>
      </c>
      <c r="BS372" s="2773">
        <v>1</v>
      </c>
      <c r="BT372" s="1602">
        <v>19.411764705882355</v>
      </c>
      <c r="BU372" s="1602">
        <v>19.411764705882355</v>
      </c>
      <c r="BV372" s="1602">
        <v>19.411764705882355</v>
      </c>
      <c r="BW372" s="1602">
        <v>19.411764705882355</v>
      </c>
      <c r="BX372" s="1362">
        <f t="shared" si="300"/>
        <v>33567.624235965384</v>
      </c>
      <c r="BY372" s="1362">
        <f t="shared" si="301"/>
        <v>33567.624235965384</v>
      </c>
      <c r="BZ372" s="1362">
        <f t="shared" si="302"/>
        <v>33567.624235965384</v>
      </c>
      <c r="CA372" s="1362">
        <f t="shared" si="303"/>
        <v>33567.624235965384</v>
      </c>
      <c r="CB372" s="1362">
        <f t="shared" si="304"/>
        <v>134270.49694386154</v>
      </c>
      <c r="CC372" s="2775">
        <v>20</v>
      </c>
      <c r="CD372" s="2775">
        <v>20</v>
      </c>
      <c r="CE372" s="2775">
        <v>20</v>
      </c>
      <c r="CF372" s="2775">
        <v>20</v>
      </c>
      <c r="CG372" s="1604">
        <f t="shared" si="284"/>
        <v>34584.824970388574</v>
      </c>
      <c r="CH372" s="1604">
        <f t="shared" si="285"/>
        <v>34584.824970388574</v>
      </c>
      <c r="CI372" s="1604">
        <f t="shared" si="286"/>
        <v>34584.824970388574</v>
      </c>
      <c r="CJ372" s="1604">
        <f t="shared" si="287"/>
        <v>34584.824970388574</v>
      </c>
      <c r="CK372" s="1521">
        <f t="shared" si="288"/>
        <v>138339.2998815543</v>
      </c>
      <c r="CL372" s="1132">
        <v>365</v>
      </c>
      <c r="CM372" s="1132" t="s">
        <v>328</v>
      </c>
      <c r="CN372" s="1359">
        <v>1</v>
      </c>
      <c r="CO372" s="1360">
        <v>3.1855199999999999</v>
      </c>
      <c r="CP372" s="1360">
        <v>3.1855199999999999</v>
      </c>
      <c r="CQ372" s="1360">
        <v>3.1855199999999999</v>
      </c>
      <c r="CR372" s="1360">
        <v>3.1855199999999999</v>
      </c>
      <c r="CS372" s="1362">
        <f t="shared" si="289"/>
        <v>1729.2412485194288</v>
      </c>
      <c r="CT372" s="1362">
        <f t="shared" si="290"/>
        <v>1729.2412485194288</v>
      </c>
      <c r="CU372" s="1362">
        <f t="shared" si="291"/>
        <v>1729.2412485194288</v>
      </c>
      <c r="CV372" s="1362">
        <f t="shared" si="292"/>
        <v>1729.2412485194288</v>
      </c>
      <c r="CW372" s="1362">
        <f t="shared" si="293"/>
        <v>6916.9649940777153</v>
      </c>
      <c r="CY372" s="2887"/>
    </row>
    <row r="373" spans="1:103" s="1143" customFormat="1" ht="46.5" x14ac:dyDescent="0.35">
      <c r="A373" s="1132" t="s">
        <v>110</v>
      </c>
      <c r="B373" s="1132" t="s">
        <v>840</v>
      </c>
      <c r="C373" s="1132" t="s">
        <v>871</v>
      </c>
      <c r="D373" s="1359" t="s">
        <v>872</v>
      </c>
      <c r="E373" s="1359">
        <v>1</v>
      </c>
      <c r="F373" s="2564" t="s">
        <v>675</v>
      </c>
      <c r="G373" s="1132" t="s">
        <v>328</v>
      </c>
      <c r="H373" s="1360">
        <v>7.4328799999999999</v>
      </c>
      <c r="I373" s="1360">
        <v>7.4328799999999999</v>
      </c>
      <c r="J373" s="1360">
        <v>7.4328799999999999</v>
      </c>
      <c r="K373" s="1360">
        <v>7.4328799999999999</v>
      </c>
      <c r="L373" s="1132" t="s">
        <v>676</v>
      </c>
      <c r="M373" s="1132" t="str">
        <f t="shared" si="255"/>
        <v>Nicor Gas PY11-PY14 Adjustable Goals Template_2025-03-01, Tab 5.6.2</v>
      </c>
      <c r="N373" s="1361">
        <v>38.649577485862721</v>
      </c>
      <c r="O373" s="1361">
        <v>38.649577485862721</v>
      </c>
      <c r="P373" s="1361">
        <v>38.649577485862721</v>
      </c>
      <c r="Q373" s="1361">
        <v>38.649577485862721</v>
      </c>
      <c r="R373" s="1781">
        <v>1</v>
      </c>
      <c r="S373" s="1781">
        <v>1</v>
      </c>
      <c r="T373" s="1781">
        <v>1</v>
      </c>
      <c r="U373" s="1781">
        <v>1</v>
      </c>
      <c r="V373" s="1781">
        <v>1</v>
      </c>
      <c r="W373" s="1781">
        <v>1</v>
      </c>
      <c r="X373" s="1781">
        <v>1</v>
      </c>
      <c r="Y373" s="1781">
        <v>1</v>
      </c>
      <c r="Z373" s="1359">
        <v>0</v>
      </c>
      <c r="AA373" s="1781">
        <f t="shared" si="256"/>
        <v>1</v>
      </c>
      <c r="AB373" s="1781">
        <f t="shared" si="257"/>
        <v>1</v>
      </c>
      <c r="AC373" s="1781">
        <f t="shared" si="258"/>
        <v>1</v>
      </c>
      <c r="AD373" s="1781">
        <f t="shared" si="259"/>
        <v>1</v>
      </c>
      <c r="AE373" s="1781">
        <f t="shared" si="260"/>
        <v>1</v>
      </c>
      <c r="AF373" s="1781">
        <f t="shared" si="261"/>
        <v>1</v>
      </c>
      <c r="AG373" s="1781">
        <f t="shared" si="262"/>
        <v>1</v>
      </c>
      <c r="AH373" s="1781">
        <f t="shared" si="263"/>
        <v>1</v>
      </c>
      <c r="AI373" s="1362">
        <f t="shared" si="294"/>
        <v>287.27767150311928</v>
      </c>
      <c r="AJ373" s="1362">
        <f t="shared" si="295"/>
        <v>287.27767150311928</v>
      </c>
      <c r="AK373" s="1362">
        <f t="shared" si="296"/>
        <v>287.27767150311928</v>
      </c>
      <c r="AL373" s="1362">
        <f t="shared" si="297"/>
        <v>287.27767150311928</v>
      </c>
      <c r="AM373" s="1362">
        <f t="shared" si="298"/>
        <v>1149.1106860124771</v>
      </c>
      <c r="AN373" s="1132" t="str">
        <f t="shared" si="264"/>
        <v>RS-SHL-BINS-V09-190101</v>
      </c>
      <c r="AO373" s="1132" t="str">
        <f t="shared" si="265"/>
        <v>Nicor Gas PY11-PY14 Adjustable Goals Template_2025-03-01, Tab 5.6.2</v>
      </c>
      <c r="AP373" s="2505">
        <f>'5.6.2'!$AA$7</f>
        <v>38.649577485862721</v>
      </c>
      <c r="AQ373" s="2505"/>
      <c r="AR373" s="2505">
        <f t="shared" si="266"/>
        <v>287.27767150311928</v>
      </c>
      <c r="AS373" s="2505">
        <f t="shared" si="267"/>
        <v>0</v>
      </c>
      <c r="AT373" s="1132" t="str">
        <f t="shared" si="268"/>
        <v>RS-SHL-BINS-V09-190101</v>
      </c>
      <c r="AU373" s="1132" t="str">
        <f t="shared" si="269"/>
        <v>Nicor Gas PY11-PY14 Adjustable Goals Template_2025-03-01, Tab 5.6.2</v>
      </c>
      <c r="AV373" s="2505">
        <f>'5.6.2'!$AA$7</f>
        <v>38.649577485862721</v>
      </c>
      <c r="AW373" s="2505"/>
      <c r="AX373" s="1362">
        <f t="shared" si="270"/>
        <v>287.27767150311928</v>
      </c>
      <c r="AY373" s="1360">
        <f t="shared" si="271"/>
        <v>0</v>
      </c>
      <c r="AZ373" s="1132" t="str">
        <f t="shared" si="272"/>
        <v>RS-SHL-BINS-V09-190101</v>
      </c>
      <c r="BA373" s="1132" t="str">
        <f t="shared" si="273"/>
        <v>Nicor Gas PY11-PY14 Adjustable Goals Template_2025-03-01, Tab 5.6.2</v>
      </c>
      <c r="BB373" s="2505">
        <f>'5.6.2'!$AA$7</f>
        <v>38.649577485862721</v>
      </c>
      <c r="BC373" s="2505"/>
      <c r="BD373" s="1362">
        <f t="shared" si="274"/>
        <v>287.27767150311928</v>
      </c>
      <c r="BE373" s="1360">
        <f t="shared" si="275"/>
        <v>0</v>
      </c>
      <c r="BF373" s="1132" t="str">
        <f t="shared" si="276"/>
        <v>RS-SHL-BINS-V09-190101</v>
      </c>
      <c r="BG373" s="1132" t="str">
        <f t="shared" si="277"/>
        <v>Nicor Gas PY11-PY14 Adjustable Goals Template_2025-03-01, Tab 5.6.2</v>
      </c>
      <c r="BH373" s="2505">
        <f>'5.6.2'!$AA$7</f>
        <v>38.649577485862721</v>
      </c>
      <c r="BI373" s="2505"/>
      <c r="BJ373" s="1362">
        <f t="shared" si="299"/>
        <v>287.27767150311928</v>
      </c>
      <c r="BK373" s="1360">
        <f t="shared" si="278"/>
        <v>0</v>
      </c>
      <c r="BL373" s="1601">
        <f t="shared" si="279"/>
        <v>287.27767150311928</v>
      </c>
      <c r="BM373" s="1601">
        <f t="shared" si="280"/>
        <v>287.27767150311928</v>
      </c>
      <c r="BN373" s="1601">
        <f t="shared" si="281"/>
        <v>287.27767150311928</v>
      </c>
      <c r="BO373" s="1601">
        <f t="shared" si="282"/>
        <v>287.27767150311928</v>
      </c>
      <c r="BP373" s="1602">
        <f t="shared" si="283"/>
        <v>1149.1106860124771</v>
      </c>
      <c r="BQ373" s="1629"/>
      <c r="BR373" s="1629" t="s">
        <v>675</v>
      </c>
      <c r="BS373" s="2773">
        <v>1</v>
      </c>
      <c r="BT373" s="1602">
        <v>19.411764705882351</v>
      </c>
      <c r="BU373" s="1602">
        <v>19.411764705882351</v>
      </c>
      <c r="BV373" s="1602">
        <v>19.411764705882351</v>
      </c>
      <c r="BW373" s="1602">
        <v>19.411764705882351</v>
      </c>
      <c r="BX373" s="1362">
        <f t="shared" si="300"/>
        <v>5576.5665644723149</v>
      </c>
      <c r="BY373" s="1362">
        <f t="shared" si="301"/>
        <v>5576.5665644723149</v>
      </c>
      <c r="BZ373" s="1362">
        <f t="shared" si="302"/>
        <v>5576.5665644723149</v>
      </c>
      <c r="CA373" s="1362">
        <f t="shared" si="303"/>
        <v>5576.5665644723149</v>
      </c>
      <c r="CB373" s="1362">
        <f t="shared" si="304"/>
        <v>22306.26625788926</v>
      </c>
      <c r="CC373" s="2775">
        <v>20</v>
      </c>
      <c r="CD373" s="2775">
        <v>20</v>
      </c>
      <c r="CE373" s="2775">
        <v>20</v>
      </c>
      <c r="CF373" s="2775">
        <v>20</v>
      </c>
      <c r="CG373" s="1604">
        <f t="shared" si="284"/>
        <v>5745.5534300623858</v>
      </c>
      <c r="CH373" s="1604">
        <f t="shared" si="285"/>
        <v>5745.5534300623858</v>
      </c>
      <c r="CI373" s="1604">
        <f t="shared" si="286"/>
        <v>5745.5534300623858</v>
      </c>
      <c r="CJ373" s="1604">
        <f t="shared" si="287"/>
        <v>5745.5534300623858</v>
      </c>
      <c r="CK373" s="1521">
        <f t="shared" si="288"/>
        <v>22982.213720249543</v>
      </c>
      <c r="CL373" s="1132">
        <v>366</v>
      </c>
      <c r="CM373" s="1132" t="s">
        <v>328</v>
      </c>
      <c r="CN373" s="1359">
        <v>1</v>
      </c>
      <c r="CO373" s="1360">
        <v>7.4328799999999999</v>
      </c>
      <c r="CP373" s="1360">
        <v>7.4328799999999999</v>
      </c>
      <c r="CQ373" s="1360">
        <v>7.4328799999999999</v>
      </c>
      <c r="CR373" s="1360">
        <v>7.4328799999999999</v>
      </c>
      <c r="CS373" s="1362">
        <f t="shared" si="289"/>
        <v>287.27767150311928</v>
      </c>
      <c r="CT373" s="1362">
        <f t="shared" si="290"/>
        <v>287.27767150311928</v>
      </c>
      <c r="CU373" s="1362">
        <f t="shared" si="291"/>
        <v>287.27767150311928</v>
      </c>
      <c r="CV373" s="1362">
        <f t="shared" si="292"/>
        <v>287.27767150311928</v>
      </c>
      <c r="CW373" s="1362">
        <f t="shared" si="293"/>
        <v>1149.1106860124771</v>
      </c>
      <c r="CY373" s="2887"/>
    </row>
    <row r="374" spans="1:103" s="1143" customFormat="1" ht="46.5" x14ac:dyDescent="0.35">
      <c r="A374" s="1132" t="s">
        <v>110</v>
      </c>
      <c r="B374" s="1132" t="s">
        <v>840</v>
      </c>
      <c r="C374" s="1132" t="s">
        <v>873</v>
      </c>
      <c r="D374" s="1359" t="s">
        <v>874</v>
      </c>
      <c r="E374" s="1359">
        <v>1</v>
      </c>
      <c r="F374" s="2807" t="s">
        <v>697</v>
      </c>
      <c r="G374" s="1132" t="s">
        <v>328</v>
      </c>
      <c r="H374" s="1360">
        <v>8.4947199999999992</v>
      </c>
      <c r="I374" s="1360">
        <v>8.4947199999999992</v>
      </c>
      <c r="J374" s="1360">
        <v>8.4947199999999992</v>
      </c>
      <c r="K374" s="1360">
        <v>8.4947199999999992</v>
      </c>
      <c r="L374" s="1132" t="s">
        <v>698</v>
      </c>
      <c r="M374" s="1132" t="str">
        <f t="shared" si="255"/>
        <v>Nicor Gas PY11-PY14 Adjustable Goals Template_2025-03-01, Tab 5.4.4</v>
      </c>
      <c r="N374" s="1361">
        <v>1.5579651031560005</v>
      </c>
      <c r="O374" s="1361">
        <v>1.5579651031560005</v>
      </c>
      <c r="P374" s="1361">
        <v>1.5579651031560005</v>
      </c>
      <c r="Q374" s="1361">
        <v>1.5579651031560005</v>
      </c>
      <c r="R374" s="1781">
        <v>1</v>
      </c>
      <c r="S374" s="1781">
        <v>1</v>
      </c>
      <c r="T374" s="1781">
        <v>1</v>
      </c>
      <c r="U374" s="1781">
        <v>1</v>
      </c>
      <c r="V374" s="1781">
        <v>1</v>
      </c>
      <c r="W374" s="1781">
        <v>1</v>
      </c>
      <c r="X374" s="1781">
        <v>1</v>
      </c>
      <c r="Y374" s="1781">
        <v>1</v>
      </c>
      <c r="Z374" s="1359">
        <v>0</v>
      </c>
      <c r="AA374" s="1781">
        <f t="shared" si="256"/>
        <v>1</v>
      </c>
      <c r="AB374" s="1781">
        <f t="shared" si="257"/>
        <v>1</v>
      </c>
      <c r="AC374" s="1781">
        <f t="shared" si="258"/>
        <v>1</v>
      </c>
      <c r="AD374" s="1781">
        <f t="shared" si="259"/>
        <v>1</v>
      </c>
      <c r="AE374" s="1781">
        <f t="shared" si="260"/>
        <v>1</v>
      </c>
      <c r="AF374" s="1781">
        <f t="shared" si="261"/>
        <v>1</v>
      </c>
      <c r="AG374" s="1781">
        <f t="shared" si="262"/>
        <v>1</v>
      </c>
      <c r="AH374" s="1781">
        <f t="shared" si="263"/>
        <v>1</v>
      </c>
      <c r="AI374" s="1362">
        <f t="shared" si="294"/>
        <v>13.234477321081339</v>
      </c>
      <c r="AJ374" s="1362">
        <f t="shared" si="295"/>
        <v>13.234477321081339</v>
      </c>
      <c r="AK374" s="1362">
        <f t="shared" si="296"/>
        <v>13.234477321081339</v>
      </c>
      <c r="AL374" s="1362">
        <f t="shared" si="297"/>
        <v>13.234477321081339</v>
      </c>
      <c r="AM374" s="1362">
        <f t="shared" si="298"/>
        <v>52.937909284325357</v>
      </c>
      <c r="AN374" s="1132" t="str">
        <f t="shared" si="264"/>
        <v>RS-HWE-LFFA-V07-190101</v>
      </c>
      <c r="AO374" s="1132" t="str">
        <f t="shared" si="265"/>
        <v>Nicor Gas PY11-PY14 Adjustable Goals Template_2025-03-01, Tab 5.4.4</v>
      </c>
      <c r="AP374" s="2738">
        <f>'5.4.4'!$O$7</f>
        <v>1.7267119531200008</v>
      </c>
      <c r="AQ374" s="2568" t="s">
        <v>557</v>
      </c>
      <c r="AR374" s="2505">
        <f t="shared" si="266"/>
        <v>14.667934562407531</v>
      </c>
      <c r="AS374" s="2247">
        <f t="shared" si="267"/>
        <v>1.4334572413261917</v>
      </c>
      <c r="AT374" s="1132" t="str">
        <f t="shared" si="268"/>
        <v>RS-HWE-LFFA-V07-190101</v>
      </c>
      <c r="AU374" s="1132" t="str">
        <f t="shared" si="269"/>
        <v>Nicor Gas PY11-PY14 Adjustable Goals Template_2025-03-01, Tab 5.4.4</v>
      </c>
      <c r="AV374" s="2247">
        <f>'5.4.4'!$O$7</f>
        <v>1.7267119531200008</v>
      </c>
      <c r="AW374" s="2568" t="s">
        <v>557</v>
      </c>
      <c r="AX374" s="1362">
        <f t="shared" si="270"/>
        <v>14.667934562407531</v>
      </c>
      <c r="AY374" s="1360">
        <f t="shared" si="271"/>
        <v>1.4334572413261917</v>
      </c>
      <c r="AZ374" s="1132" t="str">
        <f t="shared" si="272"/>
        <v>RS-HWE-LFFA-V07-190101</v>
      </c>
      <c r="BA374" s="1132" t="str">
        <f t="shared" si="273"/>
        <v>Nicor Gas PY11-PY14 Adjustable Goals Template_2025-03-01, Tab 5.4.4</v>
      </c>
      <c r="BB374" s="2247">
        <f>'5.4.4'!$O$7</f>
        <v>1.7267119531200008</v>
      </c>
      <c r="BC374" s="2568" t="s">
        <v>557</v>
      </c>
      <c r="BD374" s="1362">
        <f t="shared" si="274"/>
        <v>14.667934562407531</v>
      </c>
      <c r="BE374" s="1360">
        <f t="shared" si="275"/>
        <v>1.4334572413261917</v>
      </c>
      <c r="BF374" s="1132" t="str">
        <f t="shared" si="276"/>
        <v>RS-HWE-LFFA-V07-190101</v>
      </c>
      <c r="BG374" s="1132" t="str">
        <f t="shared" si="277"/>
        <v>Nicor Gas PY11-PY14 Adjustable Goals Template_2025-03-01, Tab 5.4.4</v>
      </c>
      <c r="BH374" s="2247">
        <f>'5.4.4'!$O$7</f>
        <v>1.7267119531200008</v>
      </c>
      <c r="BI374" s="2568" t="s">
        <v>557</v>
      </c>
      <c r="BJ374" s="1362">
        <f t="shared" si="299"/>
        <v>14.667934562407531</v>
      </c>
      <c r="BK374" s="1360">
        <f t="shared" si="278"/>
        <v>1.4334572413261917</v>
      </c>
      <c r="BL374" s="1601">
        <f t="shared" si="279"/>
        <v>14.667934562407531</v>
      </c>
      <c r="BM374" s="1601">
        <f t="shared" si="280"/>
        <v>14.667934562407531</v>
      </c>
      <c r="BN374" s="1601">
        <f t="shared" si="281"/>
        <v>14.667934562407531</v>
      </c>
      <c r="BO374" s="1601">
        <f t="shared" si="282"/>
        <v>14.667934562407531</v>
      </c>
      <c r="BP374" s="1602">
        <f t="shared" si="283"/>
        <v>58.671738249630124</v>
      </c>
      <c r="BQ374" s="1629"/>
      <c r="BR374" s="1629" t="s">
        <v>697</v>
      </c>
      <c r="BS374" s="1602">
        <v>0</v>
      </c>
      <c r="BT374" s="1602">
        <v>10</v>
      </c>
      <c r="BU374" s="1602">
        <v>10</v>
      </c>
      <c r="BV374" s="1602">
        <v>10</v>
      </c>
      <c r="BW374" s="1602">
        <v>10</v>
      </c>
      <c r="BX374" s="1362">
        <f t="shared" si="300"/>
        <v>132.3447732108134</v>
      </c>
      <c r="BY374" s="1362">
        <f t="shared" si="301"/>
        <v>132.3447732108134</v>
      </c>
      <c r="BZ374" s="1362">
        <f t="shared" si="302"/>
        <v>132.3447732108134</v>
      </c>
      <c r="CA374" s="1362">
        <f t="shared" si="303"/>
        <v>132.3447732108134</v>
      </c>
      <c r="CB374" s="1362">
        <f t="shared" si="304"/>
        <v>529.3790928432536</v>
      </c>
      <c r="CC374" s="1360">
        <v>10</v>
      </c>
      <c r="CD374" s="1360">
        <v>10</v>
      </c>
      <c r="CE374" s="1360">
        <v>10</v>
      </c>
      <c r="CF374" s="1360">
        <v>10</v>
      </c>
      <c r="CG374" s="1604">
        <f t="shared" si="284"/>
        <v>146.67934562407532</v>
      </c>
      <c r="CH374" s="1604">
        <f t="shared" si="285"/>
        <v>146.67934562407532</v>
      </c>
      <c r="CI374" s="1604">
        <f t="shared" si="286"/>
        <v>146.67934562407532</v>
      </c>
      <c r="CJ374" s="1604">
        <f t="shared" si="287"/>
        <v>146.67934562407532</v>
      </c>
      <c r="CK374" s="1521">
        <f t="shared" si="288"/>
        <v>586.7173824963013</v>
      </c>
      <c r="CL374" s="1132">
        <v>367</v>
      </c>
      <c r="CM374" s="1132" t="s">
        <v>328</v>
      </c>
      <c r="CN374" s="1359">
        <v>1</v>
      </c>
      <c r="CO374" s="1360">
        <v>8.4947199999999992</v>
      </c>
      <c r="CP374" s="1360">
        <v>8.4947199999999992</v>
      </c>
      <c r="CQ374" s="1360">
        <v>8.4947199999999992</v>
      </c>
      <c r="CR374" s="1360">
        <v>8.4947199999999992</v>
      </c>
      <c r="CS374" s="1362">
        <f t="shared" si="289"/>
        <v>13.234477321081339</v>
      </c>
      <c r="CT374" s="1362">
        <f t="shared" si="290"/>
        <v>13.234477321081339</v>
      </c>
      <c r="CU374" s="1362">
        <f t="shared" si="291"/>
        <v>13.234477321081339</v>
      </c>
      <c r="CV374" s="1362">
        <f t="shared" si="292"/>
        <v>13.234477321081339</v>
      </c>
      <c r="CW374" s="1362">
        <f t="shared" si="293"/>
        <v>52.937909284325357</v>
      </c>
      <c r="CY374" s="2887"/>
    </row>
    <row r="375" spans="1:103" s="1143" customFormat="1" ht="46.5" x14ac:dyDescent="0.35">
      <c r="A375" s="1132" t="s">
        <v>110</v>
      </c>
      <c r="B375" s="1132" t="s">
        <v>840</v>
      </c>
      <c r="C375" s="1132" t="s">
        <v>852</v>
      </c>
      <c r="D375" s="1359" t="s">
        <v>853</v>
      </c>
      <c r="E375" s="1359">
        <v>1</v>
      </c>
      <c r="F375" s="2564" t="s">
        <v>637</v>
      </c>
      <c r="G375" s="1132" t="s">
        <v>356</v>
      </c>
      <c r="H375" s="1360">
        <v>0.53091999999999995</v>
      </c>
      <c r="I375" s="1360">
        <v>0.53091999999999995</v>
      </c>
      <c r="J375" s="1360">
        <v>0.53091999999999995</v>
      </c>
      <c r="K375" s="1360">
        <v>0.53091999999999995</v>
      </c>
      <c r="L375" s="1132" t="s">
        <v>638</v>
      </c>
      <c r="M375" s="1132" t="str">
        <f t="shared" si="255"/>
        <v>Nicor Gas PY11-PY14 Adjustable Goals Template_2025-03-01, Tab 5.3.6</v>
      </c>
      <c r="N375" s="2515">
        <v>200.87617986470349</v>
      </c>
      <c r="O375" s="1361">
        <v>200.87617986470349</v>
      </c>
      <c r="P375" s="1361">
        <v>200.87617986470349</v>
      </c>
      <c r="Q375" s="1361">
        <v>200.87617986470349</v>
      </c>
      <c r="R375" s="1781">
        <v>1</v>
      </c>
      <c r="S375" s="1781">
        <v>1</v>
      </c>
      <c r="T375" s="1781">
        <v>1</v>
      </c>
      <c r="U375" s="1781">
        <v>1</v>
      </c>
      <c r="V375" s="1781">
        <v>1</v>
      </c>
      <c r="W375" s="1781">
        <v>1</v>
      </c>
      <c r="X375" s="1781">
        <v>1</v>
      </c>
      <c r="Y375" s="1781">
        <v>1</v>
      </c>
      <c r="Z375" s="1359">
        <v>0</v>
      </c>
      <c r="AA375" s="1781">
        <f t="shared" si="256"/>
        <v>1</v>
      </c>
      <c r="AB375" s="1781">
        <f t="shared" si="257"/>
        <v>1</v>
      </c>
      <c r="AC375" s="1781">
        <f t="shared" si="258"/>
        <v>1</v>
      </c>
      <c r="AD375" s="1781">
        <f t="shared" si="259"/>
        <v>1</v>
      </c>
      <c r="AE375" s="1781">
        <f t="shared" si="260"/>
        <v>1</v>
      </c>
      <c r="AF375" s="1781">
        <f t="shared" si="261"/>
        <v>1</v>
      </c>
      <c r="AG375" s="1781">
        <f t="shared" si="262"/>
        <v>1</v>
      </c>
      <c r="AH375" s="1781">
        <f t="shared" si="263"/>
        <v>1</v>
      </c>
      <c r="AI375" s="1362">
        <f t="shared" si="294"/>
        <v>106.64918141376836</v>
      </c>
      <c r="AJ375" s="1362">
        <f t="shared" si="295"/>
        <v>106.64918141376836</v>
      </c>
      <c r="AK375" s="1362">
        <f t="shared" si="296"/>
        <v>106.64918141376836</v>
      </c>
      <c r="AL375" s="1362">
        <f t="shared" si="297"/>
        <v>106.64918141376836</v>
      </c>
      <c r="AM375" s="1362">
        <f t="shared" si="298"/>
        <v>426.59672565507344</v>
      </c>
      <c r="AN375" s="1132" t="str">
        <f t="shared" si="264"/>
        <v>RS-HVC-GHEB-V07-190101</v>
      </c>
      <c r="AO375" s="1132" t="str">
        <f t="shared" si="265"/>
        <v>Nicor Gas PY11-PY14 Adjustable Goals Template_2025-03-01, Tab 5.3.6</v>
      </c>
      <c r="AP375" s="2247">
        <f>'5.3.6'!$P$5</f>
        <v>200.87617986470349</v>
      </c>
      <c r="AQ375" s="2531"/>
      <c r="AR375" s="2505">
        <f t="shared" si="266"/>
        <v>106.64918141376836</v>
      </c>
      <c r="AS375" s="2247">
        <f t="shared" si="267"/>
        <v>0</v>
      </c>
      <c r="AT375" s="1132" t="str">
        <f t="shared" si="268"/>
        <v>RS-HVC-GHEB-V07-190101</v>
      </c>
      <c r="AU375" s="1132" t="str">
        <f t="shared" si="269"/>
        <v>Nicor Gas PY11-PY14 Adjustable Goals Template_2025-03-01, Tab 5.3.6</v>
      </c>
      <c r="AV375" s="2247">
        <f>'5.3.6'!$P$5</f>
        <v>200.87617986470349</v>
      </c>
      <c r="AW375" s="2531"/>
      <c r="AX375" s="1362">
        <f t="shared" si="270"/>
        <v>106.64918141376836</v>
      </c>
      <c r="AY375" s="1360">
        <f t="shared" si="271"/>
        <v>0</v>
      </c>
      <c r="AZ375" s="1132" t="str">
        <f t="shared" si="272"/>
        <v>RS-HVC-GHEB-V07-190101</v>
      </c>
      <c r="BA375" s="1132" t="str">
        <f t="shared" si="273"/>
        <v>Nicor Gas PY11-PY14 Adjustable Goals Template_2025-03-01, Tab 5.3.6</v>
      </c>
      <c r="BB375" s="2247">
        <f>'5.3.6'!$P$5</f>
        <v>200.87617986470349</v>
      </c>
      <c r="BC375" s="2531"/>
      <c r="BD375" s="1362">
        <f t="shared" si="274"/>
        <v>106.64918141376836</v>
      </c>
      <c r="BE375" s="1360">
        <f t="shared" si="275"/>
        <v>0</v>
      </c>
      <c r="BF375" s="1132" t="str">
        <f t="shared" si="276"/>
        <v>RS-HVC-GHEB-V07-190101</v>
      </c>
      <c r="BG375" s="1132" t="str">
        <f t="shared" si="277"/>
        <v>Nicor Gas PY11-PY14 Adjustable Goals Template_2025-03-01, Tab 5.3.6</v>
      </c>
      <c r="BH375" s="2247">
        <f>'5.3.6'!$P$5</f>
        <v>200.87617986470349</v>
      </c>
      <c r="BI375" s="2531"/>
      <c r="BJ375" s="1362">
        <f t="shared" si="299"/>
        <v>106.64918141376836</v>
      </c>
      <c r="BK375" s="1360">
        <f t="shared" si="278"/>
        <v>0</v>
      </c>
      <c r="BL375" s="1601">
        <f t="shared" si="279"/>
        <v>106.64918141376836</v>
      </c>
      <c r="BM375" s="1601">
        <f t="shared" si="280"/>
        <v>106.64918141376836</v>
      </c>
      <c r="BN375" s="1601">
        <f t="shared" si="281"/>
        <v>106.64918141376836</v>
      </c>
      <c r="BO375" s="1601">
        <f t="shared" si="282"/>
        <v>106.64918141376836</v>
      </c>
      <c r="BP375" s="1602">
        <f t="shared" si="283"/>
        <v>426.59672565507344</v>
      </c>
      <c r="BQ375" s="1629"/>
      <c r="BR375" s="1629" t="s">
        <v>637</v>
      </c>
      <c r="BS375" s="1602">
        <v>0</v>
      </c>
      <c r="BT375" s="1602">
        <v>25</v>
      </c>
      <c r="BU375" s="1602">
        <v>25</v>
      </c>
      <c r="BV375" s="1602">
        <v>25</v>
      </c>
      <c r="BW375" s="1602">
        <v>25</v>
      </c>
      <c r="BX375" s="1362">
        <f t="shared" si="300"/>
        <v>2666.2295353442091</v>
      </c>
      <c r="BY375" s="1362">
        <f t="shared" si="301"/>
        <v>2666.2295353442091</v>
      </c>
      <c r="BZ375" s="1362">
        <f t="shared" si="302"/>
        <v>2666.2295353442091</v>
      </c>
      <c r="CA375" s="1362">
        <f t="shared" si="303"/>
        <v>2666.2295353442091</v>
      </c>
      <c r="CB375" s="1362">
        <f t="shared" si="304"/>
        <v>10664.918141376837</v>
      </c>
      <c r="CC375" s="1360">
        <v>25</v>
      </c>
      <c r="CD375" s="1360">
        <v>25</v>
      </c>
      <c r="CE375" s="1360">
        <v>25</v>
      </c>
      <c r="CF375" s="1360">
        <v>25</v>
      </c>
      <c r="CG375" s="1604">
        <f t="shared" si="284"/>
        <v>2666.2295353442091</v>
      </c>
      <c r="CH375" s="1604">
        <f t="shared" si="285"/>
        <v>2666.2295353442091</v>
      </c>
      <c r="CI375" s="1604">
        <f t="shared" si="286"/>
        <v>2666.2295353442091</v>
      </c>
      <c r="CJ375" s="1604">
        <f t="shared" si="287"/>
        <v>2666.2295353442091</v>
      </c>
      <c r="CK375" s="1521">
        <f t="shared" si="288"/>
        <v>10664.918141376837</v>
      </c>
      <c r="CL375" s="1132">
        <v>368</v>
      </c>
      <c r="CM375" s="1132" t="s">
        <v>356</v>
      </c>
      <c r="CN375" s="1359">
        <v>1</v>
      </c>
      <c r="CO375" s="1360">
        <v>0.53091999999999995</v>
      </c>
      <c r="CP375" s="1360">
        <v>0.53091999999999995</v>
      </c>
      <c r="CQ375" s="1360">
        <v>0.53091999999999995</v>
      </c>
      <c r="CR375" s="1360">
        <v>0.53091999999999995</v>
      </c>
      <c r="CS375" s="1362">
        <f t="shared" si="289"/>
        <v>106.64918141376836</v>
      </c>
      <c r="CT375" s="1362">
        <f t="shared" si="290"/>
        <v>106.64918141376836</v>
      </c>
      <c r="CU375" s="1362">
        <f t="shared" si="291"/>
        <v>106.64918141376836</v>
      </c>
      <c r="CV375" s="1362">
        <f t="shared" si="292"/>
        <v>106.64918141376836</v>
      </c>
      <c r="CW375" s="1362">
        <f t="shared" si="293"/>
        <v>426.59672565507344</v>
      </c>
      <c r="CY375" s="2887"/>
    </row>
    <row r="376" spans="1:103" s="1143" customFormat="1" ht="46.5" x14ac:dyDescent="0.35">
      <c r="A376" s="1132" t="s">
        <v>110</v>
      </c>
      <c r="B376" s="1132" t="s">
        <v>840</v>
      </c>
      <c r="C376" s="1132" t="s">
        <v>730</v>
      </c>
      <c r="D376" s="1359" t="s">
        <v>875</v>
      </c>
      <c r="E376" s="1359">
        <v>1</v>
      </c>
      <c r="F376" s="2564" t="s">
        <v>655</v>
      </c>
      <c r="G376" s="1132" t="s">
        <v>328</v>
      </c>
      <c r="H376" s="1360">
        <v>3.1855199999999999</v>
      </c>
      <c r="I376" s="1360">
        <v>3.1855199999999999</v>
      </c>
      <c r="J376" s="1360">
        <v>3.1855199999999999</v>
      </c>
      <c r="K376" s="1360">
        <v>3.1855199999999999</v>
      </c>
      <c r="L376" s="1132" t="s">
        <v>656</v>
      </c>
      <c r="M376" s="1132" t="str">
        <f t="shared" si="255"/>
        <v>Nicor Gas PY11-PY14 Adjustable Goals Template_2025-03-01, Tab 5.6.1</v>
      </c>
      <c r="N376" s="1361">
        <v>0.52</v>
      </c>
      <c r="O376" s="1361">
        <v>0.52</v>
      </c>
      <c r="P376" s="1361">
        <v>0.52</v>
      </c>
      <c r="Q376" s="1361">
        <v>0.52</v>
      </c>
      <c r="R376" s="1781">
        <v>1</v>
      </c>
      <c r="S376" s="1781">
        <v>1</v>
      </c>
      <c r="T376" s="1781">
        <v>1</v>
      </c>
      <c r="U376" s="1781">
        <v>1</v>
      </c>
      <c r="V376" s="1781">
        <v>1</v>
      </c>
      <c r="W376" s="1781">
        <v>1</v>
      </c>
      <c r="X376" s="1781">
        <v>1</v>
      </c>
      <c r="Y376" s="1781">
        <v>1</v>
      </c>
      <c r="Z376" s="1359">
        <v>0</v>
      </c>
      <c r="AA376" s="1781">
        <f t="shared" si="256"/>
        <v>1</v>
      </c>
      <c r="AB376" s="1781">
        <f t="shared" si="257"/>
        <v>1</v>
      </c>
      <c r="AC376" s="1781">
        <f t="shared" si="258"/>
        <v>1</v>
      </c>
      <c r="AD376" s="1781">
        <f t="shared" si="259"/>
        <v>1</v>
      </c>
      <c r="AE376" s="1781">
        <f t="shared" si="260"/>
        <v>1</v>
      </c>
      <c r="AF376" s="1781">
        <f t="shared" si="261"/>
        <v>1</v>
      </c>
      <c r="AG376" s="1781">
        <f t="shared" si="262"/>
        <v>1</v>
      </c>
      <c r="AH376" s="1781">
        <f t="shared" si="263"/>
        <v>1</v>
      </c>
      <c r="AI376" s="1362">
        <f t="shared" si="294"/>
        <v>1.6564703999999999</v>
      </c>
      <c r="AJ376" s="1362">
        <f t="shared" si="295"/>
        <v>1.6564703999999999</v>
      </c>
      <c r="AK376" s="1362">
        <f t="shared" si="296"/>
        <v>1.6564703999999999</v>
      </c>
      <c r="AL376" s="1362">
        <f t="shared" si="297"/>
        <v>1.6564703999999999</v>
      </c>
      <c r="AM376" s="1362">
        <f t="shared" si="298"/>
        <v>6.6258815999999996</v>
      </c>
      <c r="AN376" s="1132" t="str">
        <f t="shared" si="264"/>
        <v>RS-SHL-AIRS-V07-190101</v>
      </c>
      <c r="AO376" s="1132" t="str">
        <f t="shared" si="265"/>
        <v>Nicor Gas PY11-PY14 Adjustable Goals Template_2025-03-01, Tab 5.6.1</v>
      </c>
      <c r="AP376" s="2247">
        <f>'5.6.1'!$V$13</f>
        <v>0.52</v>
      </c>
      <c r="AQ376" s="2505"/>
      <c r="AR376" s="2505">
        <f t="shared" si="266"/>
        <v>1.6564703999999999</v>
      </c>
      <c r="AS376" s="2505">
        <f t="shared" si="267"/>
        <v>0</v>
      </c>
      <c r="AT376" s="1132" t="str">
        <f t="shared" si="268"/>
        <v>RS-SHL-AIRS-V07-190101</v>
      </c>
      <c r="AU376" s="1132" t="str">
        <f t="shared" si="269"/>
        <v>Nicor Gas PY11-PY14 Adjustable Goals Template_2025-03-01, Tab 5.6.1</v>
      </c>
      <c r="AV376" s="2247">
        <f>'5.6.1'!$V$13</f>
        <v>0.52</v>
      </c>
      <c r="AW376" s="2505"/>
      <c r="AX376" s="1362">
        <f t="shared" si="270"/>
        <v>1.6564703999999999</v>
      </c>
      <c r="AY376" s="1360">
        <f t="shared" si="271"/>
        <v>0</v>
      </c>
      <c r="AZ376" s="1132" t="str">
        <f t="shared" si="272"/>
        <v>RS-SHL-AIRS-V07-190101</v>
      </c>
      <c r="BA376" s="1132" t="str">
        <f t="shared" si="273"/>
        <v>Nicor Gas PY11-PY14 Adjustable Goals Template_2025-03-01, Tab 5.6.1</v>
      </c>
      <c r="BB376" s="2247">
        <f>'5.6.1'!$V$13</f>
        <v>0.52</v>
      </c>
      <c r="BC376" s="2505"/>
      <c r="BD376" s="1362">
        <f t="shared" si="274"/>
        <v>1.6564703999999999</v>
      </c>
      <c r="BE376" s="1360">
        <f t="shared" si="275"/>
        <v>0</v>
      </c>
      <c r="BF376" s="1132" t="str">
        <f t="shared" si="276"/>
        <v>RS-SHL-AIRS-V07-190101</v>
      </c>
      <c r="BG376" s="1132" t="str">
        <f t="shared" si="277"/>
        <v>Nicor Gas PY11-PY14 Adjustable Goals Template_2025-03-01, Tab 5.6.1</v>
      </c>
      <c r="BH376" s="2247">
        <f>'5.6.1'!$V$13</f>
        <v>0.52</v>
      </c>
      <c r="BI376" s="2505"/>
      <c r="BJ376" s="1362">
        <f t="shared" si="299"/>
        <v>1.6564703999999999</v>
      </c>
      <c r="BK376" s="1360">
        <f t="shared" si="278"/>
        <v>0</v>
      </c>
      <c r="BL376" s="1601">
        <f t="shared" si="279"/>
        <v>1.6564703999999999</v>
      </c>
      <c r="BM376" s="1601">
        <f t="shared" si="280"/>
        <v>1.6564703999999999</v>
      </c>
      <c r="BN376" s="1601">
        <f t="shared" si="281"/>
        <v>1.6564703999999999</v>
      </c>
      <c r="BO376" s="1601">
        <f t="shared" si="282"/>
        <v>1.6564703999999999</v>
      </c>
      <c r="BP376" s="1602">
        <f t="shared" si="283"/>
        <v>6.6258815999999996</v>
      </c>
      <c r="BQ376" s="1629"/>
      <c r="BR376" s="1629" t="s">
        <v>655</v>
      </c>
      <c r="BS376" s="1602">
        <v>0</v>
      </c>
      <c r="BT376" s="1602">
        <v>19.411764705882355</v>
      </c>
      <c r="BU376" s="1602">
        <v>19.411764705882355</v>
      </c>
      <c r="BV376" s="1602">
        <v>19.411764705882355</v>
      </c>
      <c r="BW376" s="1602">
        <v>19.411764705882355</v>
      </c>
      <c r="BX376" s="1362">
        <f t="shared" si="300"/>
        <v>32.155013647058823</v>
      </c>
      <c r="BY376" s="1362">
        <f t="shared" si="301"/>
        <v>32.155013647058823</v>
      </c>
      <c r="BZ376" s="1362">
        <f t="shared" si="302"/>
        <v>32.155013647058823</v>
      </c>
      <c r="CA376" s="1362">
        <f t="shared" si="303"/>
        <v>32.155013647058823</v>
      </c>
      <c r="CB376" s="1362">
        <f t="shared" si="304"/>
        <v>128.62005458823529</v>
      </c>
      <c r="CC376" s="1360">
        <v>20</v>
      </c>
      <c r="CD376" s="1360">
        <v>20</v>
      </c>
      <c r="CE376" s="1360">
        <v>20</v>
      </c>
      <c r="CF376" s="1360">
        <v>20</v>
      </c>
      <c r="CG376" s="1604">
        <f t="shared" si="284"/>
        <v>33.129407999999998</v>
      </c>
      <c r="CH376" s="1604">
        <f t="shared" si="285"/>
        <v>33.129407999999998</v>
      </c>
      <c r="CI376" s="1604">
        <f t="shared" si="286"/>
        <v>33.129407999999998</v>
      </c>
      <c r="CJ376" s="1604">
        <f t="shared" si="287"/>
        <v>33.129407999999998</v>
      </c>
      <c r="CK376" s="1521">
        <f t="shared" si="288"/>
        <v>132.51763199999999</v>
      </c>
      <c r="CL376" s="1132">
        <v>369</v>
      </c>
      <c r="CM376" s="1132" t="s">
        <v>328</v>
      </c>
      <c r="CN376" s="1359">
        <v>1</v>
      </c>
      <c r="CO376" s="1360">
        <v>3.1855199999999999</v>
      </c>
      <c r="CP376" s="1360">
        <v>3.1855199999999999</v>
      </c>
      <c r="CQ376" s="1360">
        <v>3.1855199999999999</v>
      </c>
      <c r="CR376" s="1360">
        <v>3.1855199999999999</v>
      </c>
      <c r="CS376" s="1362">
        <f t="shared" si="289"/>
        <v>1.6564703999999999</v>
      </c>
      <c r="CT376" s="1362">
        <f t="shared" si="290"/>
        <v>1.6564703999999999</v>
      </c>
      <c r="CU376" s="1362">
        <f t="shared" si="291"/>
        <v>1.6564703999999999</v>
      </c>
      <c r="CV376" s="1362">
        <f t="shared" si="292"/>
        <v>1.6564703999999999</v>
      </c>
      <c r="CW376" s="1362">
        <f t="shared" si="293"/>
        <v>6.6258815999999996</v>
      </c>
      <c r="CY376" s="2887"/>
    </row>
    <row r="377" spans="1:103" s="1143" customFormat="1" ht="15" customHeight="1" x14ac:dyDescent="0.35">
      <c r="A377" s="1132" t="s">
        <v>110</v>
      </c>
      <c r="B377" s="1132" t="s">
        <v>840</v>
      </c>
      <c r="C377" s="1132" t="s">
        <v>856</v>
      </c>
      <c r="D377" s="1359" t="s">
        <v>857</v>
      </c>
      <c r="E377" s="1359">
        <v>1</v>
      </c>
      <c r="F377" s="2564" t="s">
        <v>631</v>
      </c>
      <c r="G377" s="1132" t="s">
        <v>356</v>
      </c>
      <c r="H377" s="1360">
        <v>1.0618399999999999</v>
      </c>
      <c r="I377" s="1360">
        <v>1.0618399999999999</v>
      </c>
      <c r="J377" s="1360">
        <v>1.0618399999999999</v>
      </c>
      <c r="K377" s="1360">
        <v>1.0618399999999999</v>
      </c>
      <c r="L377" s="1132" t="s">
        <v>632</v>
      </c>
      <c r="M377" s="1132" t="str">
        <f t="shared" si="255"/>
        <v>Nicor Gas PY11-PY14 Adjustable Goals Template_2025-03-01, Tab 5.3.7</v>
      </c>
      <c r="N377" s="1361">
        <v>107.53205128205116</v>
      </c>
      <c r="O377" s="1361">
        <v>107.53205128205116</v>
      </c>
      <c r="P377" s="1361">
        <v>107.53205128205116</v>
      </c>
      <c r="Q377" s="1361">
        <v>107.53205128205116</v>
      </c>
      <c r="R377" s="1781">
        <v>1</v>
      </c>
      <c r="S377" s="1781">
        <v>1</v>
      </c>
      <c r="T377" s="1781">
        <v>1</v>
      </c>
      <c r="U377" s="1781">
        <v>1</v>
      </c>
      <c r="V377" s="1781">
        <v>1</v>
      </c>
      <c r="W377" s="1781">
        <v>1</v>
      </c>
      <c r="X377" s="1781">
        <v>1</v>
      </c>
      <c r="Y377" s="1781">
        <v>1</v>
      </c>
      <c r="Z377" s="1359">
        <v>0</v>
      </c>
      <c r="AA377" s="1781">
        <f t="shared" si="256"/>
        <v>1</v>
      </c>
      <c r="AB377" s="1781">
        <f t="shared" si="257"/>
        <v>1</v>
      </c>
      <c r="AC377" s="1781">
        <f t="shared" si="258"/>
        <v>1</v>
      </c>
      <c r="AD377" s="1781">
        <f t="shared" si="259"/>
        <v>1</v>
      </c>
      <c r="AE377" s="1781">
        <f t="shared" si="260"/>
        <v>1</v>
      </c>
      <c r="AF377" s="1781">
        <f t="shared" si="261"/>
        <v>1</v>
      </c>
      <c r="AG377" s="1781">
        <f t="shared" si="262"/>
        <v>1</v>
      </c>
      <c r="AH377" s="1781">
        <f t="shared" si="263"/>
        <v>1</v>
      </c>
      <c r="AI377" s="1362">
        <f t="shared" si="294"/>
        <v>114.18183333333319</v>
      </c>
      <c r="AJ377" s="1362">
        <f t="shared" si="295"/>
        <v>114.18183333333319</v>
      </c>
      <c r="AK377" s="1362">
        <f t="shared" si="296"/>
        <v>114.18183333333319</v>
      </c>
      <c r="AL377" s="1362">
        <f t="shared" si="297"/>
        <v>114.18183333333319</v>
      </c>
      <c r="AM377" s="1362">
        <f t="shared" si="298"/>
        <v>456.72733333333275</v>
      </c>
      <c r="AN377" s="1132" t="str">
        <f t="shared" si="264"/>
        <v>RS-HVC-GHEF-V08-190101</v>
      </c>
      <c r="AO377" s="1132" t="str">
        <f t="shared" si="265"/>
        <v>Nicor Gas PY11-PY14 Adjustable Goals Template_2025-03-01, Tab 5.3.7</v>
      </c>
      <c r="AP377" s="2505">
        <f>'5.3.7'!$P$6</f>
        <v>107.53205128205116</v>
      </c>
      <c r="AQ377" s="2505"/>
      <c r="AR377" s="2505">
        <f t="shared" si="266"/>
        <v>114.18183333333319</v>
      </c>
      <c r="AS377" s="2505">
        <f t="shared" si="267"/>
        <v>0</v>
      </c>
      <c r="AT377" s="1132" t="str">
        <f t="shared" si="268"/>
        <v>RS-HVC-GHEF-V08-190101</v>
      </c>
      <c r="AU377" s="1132" t="str">
        <f t="shared" si="269"/>
        <v>Nicor Gas PY11-PY14 Adjustable Goals Template_2025-03-01, Tab 5.3.7</v>
      </c>
      <c r="AV377" s="2505">
        <f>'5.3.7'!$P$6</f>
        <v>107.53205128205116</v>
      </c>
      <c r="AW377" s="2505"/>
      <c r="AX377" s="1362">
        <f t="shared" si="270"/>
        <v>114.18183333333319</v>
      </c>
      <c r="AY377" s="1360">
        <f t="shared" si="271"/>
        <v>0</v>
      </c>
      <c r="AZ377" s="1132" t="str">
        <f t="shared" si="272"/>
        <v>RS-HVC-GHEF-V08-190101</v>
      </c>
      <c r="BA377" s="1132" t="str">
        <f t="shared" si="273"/>
        <v>Nicor Gas PY11-PY14 Adjustable Goals Template_2025-03-01, Tab 5.3.7</v>
      </c>
      <c r="BB377" s="2505">
        <f>'5.3.7'!$P$6</f>
        <v>107.53205128205116</v>
      </c>
      <c r="BC377" s="2505"/>
      <c r="BD377" s="1362">
        <f t="shared" si="274"/>
        <v>114.18183333333319</v>
      </c>
      <c r="BE377" s="1360">
        <f t="shared" si="275"/>
        <v>0</v>
      </c>
      <c r="BF377" s="1132" t="str">
        <f t="shared" si="276"/>
        <v>RS-HVC-GHEF-V08-190101</v>
      </c>
      <c r="BG377" s="1132" t="str">
        <f t="shared" si="277"/>
        <v>Nicor Gas PY11-PY14 Adjustable Goals Template_2025-03-01, Tab 5.3.7</v>
      </c>
      <c r="BH377" s="2505">
        <f>'5.3.7'!$P$6</f>
        <v>107.53205128205116</v>
      </c>
      <c r="BI377" s="2505"/>
      <c r="BJ377" s="1362">
        <f t="shared" si="299"/>
        <v>114.18183333333319</v>
      </c>
      <c r="BK377" s="1360">
        <f t="shared" si="278"/>
        <v>0</v>
      </c>
      <c r="BL377" s="1601">
        <f t="shared" si="279"/>
        <v>114.18183333333319</v>
      </c>
      <c r="BM377" s="1601">
        <f t="shared" si="280"/>
        <v>114.18183333333319</v>
      </c>
      <c r="BN377" s="1601">
        <f t="shared" si="281"/>
        <v>114.18183333333319</v>
      </c>
      <c r="BO377" s="1601">
        <f t="shared" si="282"/>
        <v>114.18183333333319</v>
      </c>
      <c r="BP377" s="1602">
        <f t="shared" si="283"/>
        <v>456.72733333333275</v>
      </c>
      <c r="BQ377" s="1629"/>
      <c r="BR377" s="1629" t="s">
        <v>631</v>
      </c>
      <c r="BS377" s="1602">
        <v>0</v>
      </c>
      <c r="BT377" s="1602">
        <v>20</v>
      </c>
      <c r="BU377" s="1602">
        <v>20</v>
      </c>
      <c r="BV377" s="1602">
        <v>20</v>
      </c>
      <c r="BW377" s="1602">
        <v>20</v>
      </c>
      <c r="BX377" s="1362">
        <f t="shared" si="300"/>
        <v>2283.6366666666636</v>
      </c>
      <c r="BY377" s="1362">
        <f t="shared" si="301"/>
        <v>2283.6366666666636</v>
      </c>
      <c r="BZ377" s="1362">
        <f t="shared" si="302"/>
        <v>2283.6366666666636</v>
      </c>
      <c r="CA377" s="1362">
        <f t="shared" si="303"/>
        <v>2283.6366666666636</v>
      </c>
      <c r="CB377" s="1362">
        <f t="shared" si="304"/>
        <v>9134.5466666666543</v>
      </c>
      <c r="CC377" s="1360">
        <v>20</v>
      </c>
      <c r="CD377" s="1360">
        <v>20</v>
      </c>
      <c r="CE377" s="1360">
        <v>20</v>
      </c>
      <c r="CF377" s="1360">
        <v>20</v>
      </c>
      <c r="CG377" s="1604">
        <f t="shared" si="284"/>
        <v>2283.6366666666636</v>
      </c>
      <c r="CH377" s="1604">
        <f t="shared" si="285"/>
        <v>2283.6366666666636</v>
      </c>
      <c r="CI377" s="1604">
        <f t="shared" si="286"/>
        <v>2283.6366666666636</v>
      </c>
      <c r="CJ377" s="1604">
        <f t="shared" si="287"/>
        <v>2283.6366666666636</v>
      </c>
      <c r="CK377" s="1521">
        <f t="shared" si="288"/>
        <v>9134.5466666666543</v>
      </c>
      <c r="CL377" s="1132">
        <v>370</v>
      </c>
      <c r="CM377" s="1132" t="s">
        <v>356</v>
      </c>
      <c r="CN377" s="1359">
        <v>1</v>
      </c>
      <c r="CO377" s="1360">
        <v>1.0618399999999999</v>
      </c>
      <c r="CP377" s="1360">
        <v>1.0618399999999999</v>
      </c>
      <c r="CQ377" s="1360">
        <v>1.0618399999999999</v>
      </c>
      <c r="CR377" s="1360">
        <v>1.0618399999999999</v>
      </c>
      <c r="CS377" s="1362">
        <f t="shared" si="289"/>
        <v>114.18183333333319</v>
      </c>
      <c r="CT377" s="1362">
        <f t="shared" si="290"/>
        <v>114.18183333333319</v>
      </c>
      <c r="CU377" s="1362">
        <f t="shared" si="291"/>
        <v>114.18183333333319</v>
      </c>
      <c r="CV377" s="1362">
        <f t="shared" si="292"/>
        <v>114.18183333333319</v>
      </c>
      <c r="CW377" s="1362">
        <f t="shared" si="293"/>
        <v>456.72733333333275</v>
      </c>
      <c r="CY377" s="2887"/>
    </row>
    <row r="378" spans="1:103" s="1143" customFormat="1" ht="15" customHeight="1" x14ac:dyDescent="0.35">
      <c r="A378" s="1132" t="s">
        <v>110</v>
      </c>
      <c r="B378" s="1132" t="s">
        <v>840</v>
      </c>
      <c r="C378" s="1132" t="s">
        <v>876</v>
      </c>
      <c r="D378" s="1359" t="s">
        <v>877</v>
      </c>
      <c r="E378" s="1359">
        <v>1</v>
      </c>
      <c r="F378" s="2807" t="s">
        <v>691</v>
      </c>
      <c r="G378" s="1132" t="s">
        <v>328</v>
      </c>
      <c r="H378" s="1360">
        <v>3.1855199999999999</v>
      </c>
      <c r="I378" s="1360">
        <v>3.1855199999999999</v>
      </c>
      <c r="J378" s="1360">
        <v>3.1855199999999999</v>
      </c>
      <c r="K378" s="1360">
        <v>3.1855199999999999</v>
      </c>
      <c r="L378" s="1132" t="s">
        <v>692</v>
      </c>
      <c r="M378" s="1132" t="str">
        <f t="shared" si="255"/>
        <v>Nicor Gas PY11-PY14 Adjustable Goals Template_2025-03-01, Tab 5.4.5</v>
      </c>
      <c r="N378" s="2245">
        <v>11.317119452100005</v>
      </c>
      <c r="O378" s="1361">
        <v>11.317119452100005</v>
      </c>
      <c r="P378" s="1361">
        <v>11.317119452100005</v>
      </c>
      <c r="Q378" s="1361">
        <v>11.317119452100005</v>
      </c>
      <c r="R378" s="1781">
        <v>1</v>
      </c>
      <c r="S378" s="1781">
        <v>1</v>
      </c>
      <c r="T378" s="1781">
        <v>1</v>
      </c>
      <c r="U378" s="1781">
        <v>1</v>
      </c>
      <c r="V378" s="1781">
        <v>1</v>
      </c>
      <c r="W378" s="1781">
        <v>1</v>
      </c>
      <c r="X378" s="1781">
        <v>1</v>
      </c>
      <c r="Y378" s="1781">
        <v>1</v>
      </c>
      <c r="Z378" s="1359">
        <v>0</v>
      </c>
      <c r="AA378" s="1781">
        <f t="shared" si="256"/>
        <v>1</v>
      </c>
      <c r="AB378" s="1781">
        <f t="shared" si="257"/>
        <v>1</v>
      </c>
      <c r="AC378" s="1781">
        <f t="shared" si="258"/>
        <v>1</v>
      </c>
      <c r="AD378" s="1781">
        <f t="shared" si="259"/>
        <v>1</v>
      </c>
      <c r="AE378" s="1781">
        <f t="shared" si="260"/>
        <v>1</v>
      </c>
      <c r="AF378" s="1781">
        <f t="shared" si="261"/>
        <v>1</v>
      </c>
      <c r="AG378" s="1781">
        <f t="shared" si="262"/>
        <v>1</v>
      </c>
      <c r="AH378" s="1781">
        <f t="shared" si="263"/>
        <v>1</v>
      </c>
      <c r="AI378" s="1362">
        <f t="shared" si="294"/>
        <v>36.05091035705361</v>
      </c>
      <c r="AJ378" s="1362">
        <f t="shared" si="295"/>
        <v>36.05091035705361</v>
      </c>
      <c r="AK378" s="1362">
        <f t="shared" si="296"/>
        <v>36.05091035705361</v>
      </c>
      <c r="AL378" s="1362">
        <f t="shared" si="297"/>
        <v>36.05091035705361</v>
      </c>
      <c r="AM378" s="1362">
        <f t="shared" si="298"/>
        <v>144.20364142821444</v>
      </c>
      <c r="AN378" s="1132" t="str">
        <f t="shared" si="264"/>
        <v>RS-HWE-LFSH-V06-190101</v>
      </c>
      <c r="AO378" s="1132" t="str">
        <f t="shared" si="265"/>
        <v>Nicor Gas PY11-PY14 Adjustable Goals Template_2025-03-01, Tab 5.4.5</v>
      </c>
      <c r="AP378" s="2737">
        <f>'5.4.5'!$P$8</f>
        <v>12.229477281000005</v>
      </c>
      <c r="AQ378" s="2568" t="s">
        <v>557</v>
      </c>
      <c r="AR378" s="2505">
        <f t="shared" si="266"/>
        <v>38.957244468171133</v>
      </c>
      <c r="AS378" s="2505">
        <f t="shared" si="267"/>
        <v>2.9063341111175234</v>
      </c>
      <c r="AT378" s="1132" t="str">
        <f t="shared" si="268"/>
        <v>RS-HWE-LFSH-V06-190101</v>
      </c>
      <c r="AU378" s="1132" t="str">
        <f t="shared" si="269"/>
        <v>Nicor Gas PY11-PY14 Adjustable Goals Template_2025-03-01, Tab 5.4.5</v>
      </c>
      <c r="AV378" s="2508">
        <f>'5.4.5'!$P$8</f>
        <v>12.229477281000005</v>
      </c>
      <c r="AW378" s="2568" t="s">
        <v>557</v>
      </c>
      <c r="AX378" s="1362">
        <f t="shared" si="270"/>
        <v>38.957244468171133</v>
      </c>
      <c r="AY378" s="1360">
        <f t="shared" si="271"/>
        <v>2.9063341111175234</v>
      </c>
      <c r="AZ378" s="1132" t="str">
        <f t="shared" si="272"/>
        <v>RS-HWE-LFSH-V06-190101</v>
      </c>
      <c r="BA378" s="1132" t="str">
        <f t="shared" si="273"/>
        <v>Nicor Gas PY11-PY14 Adjustable Goals Template_2025-03-01, Tab 5.4.5</v>
      </c>
      <c r="BB378" s="2508">
        <f>'5.4.5'!$P$8</f>
        <v>12.229477281000005</v>
      </c>
      <c r="BC378" s="2568" t="s">
        <v>557</v>
      </c>
      <c r="BD378" s="1362">
        <f t="shared" si="274"/>
        <v>38.957244468171133</v>
      </c>
      <c r="BE378" s="1360">
        <f t="shared" si="275"/>
        <v>2.9063341111175234</v>
      </c>
      <c r="BF378" s="1132" t="str">
        <f t="shared" si="276"/>
        <v>RS-HWE-LFSH-V06-190101</v>
      </c>
      <c r="BG378" s="1132" t="str">
        <f t="shared" si="277"/>
        <v>Nicor Gas PY11-PY14 Adjustable Goals Template_2025-03-01, Tab 5.4.5</v>
      </c>
      <c r="BH378" s="2508">
        <f>'5.4.5'!$P$8</f>
        <v>12.229477281000005</v>
      </c>
      <c r="BI378" s="2568" t="s">
        <v>557</v>
      </c>
      <c r="BJ378" s="1362">
        <f t="shared" si="299"/>
        <v>38.957244468171133</v>
      </c>
      <c r="BK378" s="1360">
        <f t="shared" si="278"/>
        <v>2.9063341111175234</v>
      </c>
      <c r="BL378" s="1601">
        <f t="shared" si="279"/>
        <v>38.957244468171133</v>
      </c>
      <c r="BM378" s="1601">
        <f t="shared" si="280"/>
        <v>38.957244468171133</v>
      </c>
      <c r="BN378" s="1601">
        <f t="shared" si="281"/>
        <v>38.957244468171133</v>
      </c>
      <c r="BO378" s="1601">
        <f t="shared" si="282"/>
        <v>38.957244468171133</v>
      </c>
      <c r="BP378" s="1602">
        <f t="shared" si="283"/>
        <v>155.82897787268453</v>
      </c>
      <c r="BQ378" s="1629"/>
      <c r="BR378" s="1629" t="s">
        <v>691</v>
      </c>
      <c r="BS378" s="1602">
        <v>0</v>
      </c>
      <c r="BT378" s="1602">
        <v>10</v>
      </c>
      <c r="BU378" s="1602">
        <v>10</v>
      </c>
      <c r="BV378" s="1602">
        <v>10</v>
      </c>
      <c r="BW378" s="1602">
        <v>10</v>
      </c>
      <c r="BX378" s="1362">
        <f t="shared" si="300"/>
        <v>360.50910357053613</v>
      </c>
      <c r="BY378" s="1362">
        <f t="shared" si="301"/>
        <v>360.50910357053613</v>
      </c>
      <c r="BZ378" s="1362">
        <f t="shared" si="302"/>
        <v>360.50910357053613</v>
      </c>
      <c r="CA378" s="1362">
        <f t="shared" si="303"/>
        <v>360.50910357053613</v>
      </c>
      <c r="CB378" s="1362">
        <f t="shared" si="304"/>
        <v>1442.0364142821445</v>
      </c>
      <c r="CC378" s="1360">
        <v>10</v>
      </c>
      <c r="CD378" s="1360">
        <v>10</v>
      </c>
      <c r="CE378" s="1360">
        <v>10</v>
      </c>
      <c r="CF378" s="1360">
        <v>10</v>
      </c>
      <c r="CG378" s="1604">
        <f t="shared" si="284"/>
        <v>389.57244468171132</v>
      </c>
      <c r="CH378" s="1604">
        <f t="shared" si="285"/>
        <v>389.57244468171132</v>
      </c>
      <c r="CI378" s="1604">
        <f t="shared" si="286"/>
        <v>389.57244468171132</v>
      </c>
      <c r="CJ378" s="1604">
        <f t="shared" si="287"/>
        <v>389.57244468171132</v>
      </c>
      <c r="CK378" s="1521">
        <f t="shared" si="288"/>
        <v>1558.2897787268453</v>
      </c>
      <c r="CL378" s="1132">
        <v>371</v>
      </c>
      <c r="CM378" s="1132" t="s">
        <v>328</v>
      </c>
      <c r="CN378" s="1359">
        <v>1</v>
      </c>
      <c r="CO378" s="1360">
        <v>3.1855199999999999</v>
      </c>
      <c r="CP378" s="1360">
        <v>3.1855199999999999</v>
      </c>
      <c r="CQ378" s="1360">
        <v>3.1855199999999999</v>
      </c>
      <c r="CR378" s="1360">
        <v>3.1855199999999999</v>
      </c>
      <c r="CS378" s="1362">
        <f t="shared" si="289"/>
        <v>36.05091035705361</v>
      </c>
      <c r="CT378" s="1362">
        <f t="shared" si="290"/>
        <v>36.05091035705361</v>
      </c>
      <c r="CU378" s="1362">
        <f t="shared" si="291"/>
        <v>36.05091035705361</v>
      </c>
      <c r="CV378" s="1362">
        <f t="shared" si="292"/>
        <v>36.05091035705361</v>
      </c>
      <c r="CW378" s="1362">
        <f t="shared" si="293"/>
        <v>144.20364142821444</v>
      </c>
      <c r="CY378" s="2887"/>
    </row>
    <row r="379" spans="1:103" s="1143" customFormat="1" ht="45.75" customHeight="1" x14ac:dyDescent="0.35">
      <c r="A379" s="1132" t="s">
        <v>110</v>
      </c>
      <c r="B379" s="1132" t="s">
        <v>840</v>
      </c>
      <c r="C379" s="1132" t="s">
        <v>741</v>
      </c>
      <c r="D379" s="1359" t="s">
        <v>105</v>
      </c>
      <c r="E379" s="1359">
        <f>IF(AI379-AR379=0,0,1)</f>
        <v>0</v>
      </c>
      <c r="F379" s="1132" t="s">
        <v>105</v>
      </c>
      <c r="G379" s="1132" t="s">
        <v>356</v>
      </c>
      <c r="H379" s="1360">
        <v>6.3710399999999998</v>
      </c>
      <c r="I379" s="1360">
        <v>6.3710399999999998</v>
      </c>
      <c r="J379" s="1360">
        <v>6.3710399999999998</v>
      </c>
      <c r="K379" s="1360">
        <v>6.3710399999999998</v>
      </c>
      <c r="L379" s="1132" t="s">
        <v>105</v>
      </c>
      <c r="M379" s="1132" t="str">
        <f t="shared" si="255"/>
        <v/>
      </c>
      <c r="N379" s="1361">
        <v>0</v>
      </c>
      <c r="O379" s="1361">
        <v>0</v>
      </c>
      <c r="P379" s="1361">
        <v>0</v>
      </c>
      <c r="Q379" s="1361">
        <v>0</v>
      </c>
      <c r="R379" s="1781">
        <v>1</v>
      </c>
      <c r="S379" s="1781">
        <v>1</v>
      </c>
      <c r="T379" s="1781">
        <v>1</v>
      </c>
      <c r="U379" s="1781">
        <v>1</v>
      </c>
      <c r="V379" s="1781">
        <v>1</v>
      </c>
      <c r="W379" s="1781">
        <v>1</v>
      </c>
      <c r="X379" s="1781">
        <v>1</v>
      </c>
      <c r="Y379" s="1781">
        <v>1</v>
      </c>
      <c r="Z379" s="1359">
        <v>0</v>
      </c>
      <c r="AA379" s="1781">
        <f t="shared" si="256"/>
        <v>1</v>
      </c>
      <c r="AB379" s="1781">
        <f t="shared" si="257"/>
        <v>1</v>
      </c>
      <c r="AC379" s="1781">
        <f t="shared" si="258"/>
        <v>1</v>
      </c>
      <c r="AD379" s="1781">
        <f t="shared" si="259"/>
        <v>1</v>
      </c>
      <c r="AE379" s="1781">
        <f t="shared" si="260"/>
        <v>1</v>
      </c>
      <c r="AF379" s="1781">
        <f t="shared" si="261"/>
        <v>1</v>
      </c>
      <c r="AG379" s="1781">
        <f t="shared" si="262"/>
        <v>1</v>
      </c>
      <c r="AH379" s="1781">
        <f t="shared" si="263"/>
        <v>1</v>
      </c>
      <c r="AI379" s="1362">
        <f t="shared" si="294"/>
        <v>0</v>
      </c>
      <c r="AJ379" s="1362">
        <f t="shared" si="295"/>
        <v>0</v>
      </c>
      <c r="AK379" s="1362">
        <f t="shared" si="296"/>
        <v>0</v>
      </c>
      <c r="AL379" s="1362">
        <f t="shared" si="297"/>
        <v>0</v>
      </c>
      <c r="AM379" s="1362">
        <f t="shared" si="298"/>
        <v>0</v>
      </c>
      <c r="AN379" s="1132" t="str">
        <f t="shared" si="264"/>
        <v>Custom</v>
      </c>
      <c r="AO379" s="1132" t="str">
        <f t="shared" si="265"/>
        <v/>
      </c>
      <c r="AP379" s="2505">
        <v>0</v>
      </c>
      <c r="AQ379" s="2505"/>
      <c r="AR379" s="2505">
        <f t="shared" si="266"/>
        <v>0</v>
      </c>
      <c r="AS379" s="2505">
        <f t="shared" si="267"/>
        <v>0</v>
      </c>
      <c r="AT379" s="1132" t="str">
        <f t="shared" si="268"/>
        <v>Custom</v>
      </c>
      <c r="AU379" s="1132" t="str">
        <f t="shared" si="269"/>
        <v/>
      </c>
      <c r="AV379" s="2505">
        <v>0</v>
      </c>
      <c r="AW379" s="2505"/>
      <c r="AX379" s="1362">
        <f t="shared" si="270"/>
        <v>0</v>
      </c>
      <c r="AY379" s="1360">
        <f t="shared" si="271"/>
        <v>0</v>
      </c>
      <c r="AZ379" s="1132" t="str">
        <f t="shared" si="272"/>
        <v>Custom</v>
      </c>
      <c r="BA379" s="1132" t="str">
        <f t="shared" si="273"/>
        <v/>
      </c>
      <c r="BB379" s="2505">
        <v>0</v>
      </c>
      <c r="BC379" s="2505"/>
      <c r="BD379" s="1362">
        <f t="shared" si="274"/>
        <v>0</v>
      </c>
      <c r="BE379" s="1360">
        <f t="shared" si="275"/>
        <v>0</v>
      </c>
      <c r="BF379" s="1132" t="str">
        <f t="shared" si="276"/>
        <v>Custom</v>
      </c>
      <c r="BG379" s="1132" t="str">
        <f t="shared" si="277"/>
        <v/>
      </c>
      <c r="BH379" s="2505">
        <v>0</v>
      </c>
      <c r="BI379" s="2505"/>
      <c r="BJ379" s="1362">
        <f t="shared" si="299"/>
        <v>0</v>
      </c>
      <c r="BK379" s="1360">
        <f t="shared" si="278"/>
        <v>0</v>
      </c>
      <c r="BL379" s="1601">
        <f t="shared" si="279"/>
        <v>0</v>
      </c>
      <c r="BM379" s="1601">
        <f t="shared" si="280"/>
        <v>0</v>
      </c>
      <c r="BN379" s="1601">
        <f t="shared" si="281"/>
        <v>0</v>
      </c>
      <c r="BO379" s="1601">
        <f t="shared" si="282"/>
        <v>0</v>
      </c>
      <c r="BP379" s="1602">
        <f t="shared" si="283"/>
        <v>0</v>
      </c>
      <c r="BQ379" s="1629"/>
      <c r="BR379" s="1629"/>
      <c r="BS379" s="1602">
        <v>0</v>
      </c>
      <c r="BT379" s="1602">
        <v>1</v>
      </c>
      <c r="BU379" s="1602">
        <v>1</v>
      </c>
      <c r="BV379" s="1602">
        <v>1</v>
      </c>
      <c r="BW379" s="1602">
        <v>1</v>
      </c>
      <c r="BX379" s="1362">
        <f t="shared" si="300"/>
        <v>0</v>
      </c>
      <c r="BY379" s="1362">
        <f t="shared" si="301"/>
        <v>0</v>
      </c>
      <c r="BZ379" s="1362">
        <f t="shared" si="302"/>
        <v>0</v>
      </c>
      <c r="CA379" s="1362">
        <f t="shared" si="303"/>
        <v>0</v>
      </c>
      <c r="CB379" s="1362">
        <f t="shared" si="304"/>
        <v>0</v>
      </c>
      <c r="CC379" s="1360">
        <v>1</v>
      </c>
      <c r="CD379" s="1360">
        <v>1</v>
      </c>
      <c r="CE379" s="1360">
        <v>1</v>
      </c>
      <c r="CF379" s="1360">
        <v>1</v>
      </c>
      <c r="CG379" s="1604">
        <f t="shared" si="284"/>
        <v>0</v>
      </c>
      <c r="CH379" s="1604">
        <f t="shared" si="285"/>
        <v>0</v>
      </c>
      <c r="CI379" s="1604">
        <f t="shared" si="286"/>
        <v>0</v>
      </c>
      <c r="CJ379" s="1604">
        <f t="shared" si="287"/>
        <v>0</v>
      </c>
      <c r="CK379" s="1521">
        <f t="shared" si="288"/>
        <v>0</v>
      </c>
      <c r="CL379" s="1132">
        <v>372</v>
      </c>
      <c r="CM379" s="1132" t="s">
        <v>356</v>
      </c>
      <c r="CN379" s="1359">
        <v>1</v>
      </c>
      <c r="CO379" s="1360">
        <v>6.3710399999999998</v>
      </c>
      <c r="CP379" s="1360">
        <v>6.3710399999999998</v>
      </c>
      <c r="CQ379" s="1360">
        <v>6.3710399999999998</v>
      </c>
      <c r="CR379" s="1360">
        <v>6.3710399999999998</v>
      </c>
      <c r="CS379" s="1362">
        <f t="shared" si="289"/>
        <v>0</v>
      </c>
      <c r="CT379" s="1362">
        <f t="shared" si="290"/>
        <v>0</v>
      </c>
      <c r="CU379" s="1362">
        <f t="shared" si="291"/>
        <v>0</v>
      </c>
      <c r="CV379" s="1362">
        <f t="shared" si="292"/>
        <v>0</v>
      </c>
      <c r="CW379" s="1362">
        <f t="shared" si="293"/>
        <v>0</v>
      </c>
      <c r="CY379" s="2887"/>
    </row>
    <row r="380" spans="1:103" s="1143" customFormat="1" ht="62" x14ac:dyDescent="0.35">
      <c r="A380" s="1132" t="s">
        <v>110</v>
      </c>
      <c r="B380" s="1132" t="s">
        <v>840</v>
      </c>
      <c r="C380" s="1132" t="s">
        <v>860</v>
      </c>
      <c r="D380" s="1359" t="s">
        <v>861</v>
      </c>
      <c r="E380" s="1359">
        <v>1</v>
      </c>
      <c r="F380" s="2807" t="s">
        <v>703</v>
      </c>
      <c r="G380" s="1132" t="s">
        <v>356</v>
      </c>
      <c r="H380" s="1360">
        <v>12.74208</v>
      </c>
      <c r="I380" s="1360">
        <v>12.74208</v>
      </c>
      <c r="J380" s="1360">
        <v>12.74208</v>
      </c>
      <c r="K380" s="1360">
        <v>12.74208</v>
      </c>
      <c r="L380" s="1132" t="s">
        <v>704</v>
      </c>
      <c r="M380" s="1132" t="str">
        <f t="shared" si="255"/>
        <v>Nicor Gas PY11-PY14 Adjustable Goals Template_2025-03-01, Tab 5.4.1</v>
      </c>
      <c r="N380" s="1361">
        <v>0.77039653846153844</v>
      </c>
      <c r="O380" s="1361">
        <v>0.77039653846153844</v>
      </c>
      <c r="P380" s="1361">
        <v>0.77039653846153844</v>
      </c>
      <c r="Q380" s="1361">
        <v>0.77039653846153844</v>
      </c>
      <c r="R380" s="1781">
        <v>1</v>
      </c>
      <c r="S380" s="1781">
        <v>1</v>
      </c>
      <c r="T380" s="1781">
        <v>1</v>
      </c>
      <c r="U380" s="1781">
        <v>1</v>
      </c>
      <c r="V380" s="1781">
        <v>1</v>
      </c>
      <c r="W380" s="1781">
        <v>1</v>
      </c>
      <c r="X380" s="1781">
        <v>1</v>
      </c>
      <c r="Y380" s="1781">
        <v>1</v>
      </c>
      <c r="Z380" s="1359">
        <v>0</v>
      </c>
      <c r="AA380" s="1781">
        <f t="shared" si="256"/>
        <v>1</v>
      </c>
      <c r="AB380" s="1781">
        <f t="shared" si="257"/>
        <v>1</v>
      </c>
      <c r="AC380" s="1781">
        <f t="shared" si="258"/>
        <v>1</v>
      </c>
      <c r="AD380" s="1781">
        <f t="shared" si="259"/>
        <v>1</v>
      </c>
      <c r="AE380" s="1781">
        <f t="shared" si="260"/>
        <v>1</v>
      </c>
      <c r="AF380" s="1781">
        <f t="shared" si="261"/>
        <v>1</v>
      </c>
      <c r="AG380" s="1781">
        <f t="shared" si="262"/>
        <v>1</v>
      </c>
      <c r="AH380" s="1781">
        <f t="shared" si="263"/>
        <v>1</v>
      </c>
      <c r="AI380" s="1362">
        <f t="shared" si="294"/>
        <v>9.8164543247999987</v>
      </c>
      <c r="AJ380" s="1362">
        <f t="shared" si="295"/>
        <v>9.8164543247999987</v>
      </c>
      <c r="AK380" s="1362">
        <f t="shared" si="296"/>
        <v>9.8164543247999987</v>
      </c>
      <c r="AL380" s="1362">
        <f t="shared" si="297"/>
        <v>9.8164543247999987</v>
      </c>
      <c r="AM380" s="1362">
        <f t="shared" si="298"/>
        <v>39.265817299199995</v>
      </c>
      <c r="AN380" s="1132" t="str">
        <f t="shared" si="264"/>
        <v>RS-HWE-PINS-V02-150601</v>
      </c>
      <c r="AO380" s="1132" t="str">
        <f t="shared" si="265"/>
        <v>Nicor Gas PY11-PY14 Adjustable Goals Template_2025-03-01, Tab 5.4.1</v>
      </c>
      <c r="AP380" s="2738">
        <f>'5.4.1'!$P$5</f>
        <v>2.086364257642026</v>
      </c>
      <c r="AQ380" s="2568" t="s">
        <v>705</v>
      </c>
      <c r="AR380" s="2505">
        <f t="shared" si="266"/>
        <v>26.584620280015308</v>
      </c>
      <c r="AS380" s="2505">
        <f t="shared" si="267"/>
        <v>16.768165955215309</v>
      </c>
      <c r="AT380" s="1132" t="str">
        <f t="shared" si="268"/>
        <v>RS-HWE-PINS-V02-150601</v>
      </c>
      <c r="AU380" s="1132" t="str">
        <f t="shared" si="269"/>
        <v>Nicor Gas PY11-PY14 Adjustable Goals Template_2025-03-01, Tab 5.4.1</v>
      </c>
      <c r="AV380" s="2247">
        <f>'5.4.1'!$P$5</f>
        <v>2.086364257642026</v>
      </c>
      <c r="AW380" s="2568" t="s">
        <v>705</v>
      </c>
      <c r="AX380" s="1362">
        <f t="shared" si="270"/>
        <v>26.584620280015308</v>
      </c>
      <c r="AY380" s="1360">
        <f t="shared" si="271"/>
        <v>16.768165955215309</v>
      </c>
      <c r="AZ380" s="1132" t="str">
        <f t="shared" si="272"/>
        <v>RS-HWE-PINS-V02-150601</v>
      </c>
      <c r="BA380" s="1132" t="str">
        <f t="shared" si="273"/>
        <v>Nicor Gas PY11-PY14 Adjustable Goals Template_2025-03-01, Tab 5.4.1</v>
      </c>
      <c r="BB380" s="2247">
        <f>'5.4.1'!$P$5</f>
        <v>2.086364257642026</v>
      </c>
      <c r="BC380" s="2568" t="s">
        <v>705</v>
      </c>
      <c r="BD380" s="1362">
        <f t="shared" si="274"/>
        <v>26.584620280015308</v>
      </c>
      <c r="BE380" s="1360">
        <f t="shared" si="275"/>
        <v>16.768165955215309</v>
      </c>
      <c r="BF380" s="1132" t="str">
        <f t="shared" si="276"/>
        <v>RS-HWE-PINS-V02-150601</v>
      </c>
      <c r="BG380" s="1132" t="str">
        <f t="shared" si="277"/>
        <v>Nicor Gas PY11-PY14 Adjustable Goals Template_2025-03-01, Tab 5.4.1</v>
      </c>
      <c r="BH380" s="2247">
        <f>'5.4.1'!$P$5</f>
        <v>2.086364257642026</v>
      </c>
      <c r="BI380" s="2568" t="s">
        <v>705</v>
      </c>
      <c r="BJ380" s="1362">
        <f t="shared" si="299"/>
        <v>26.584620280015308</v>
      </c>
      <c r="BK380" s="1360">
        <f t="shared" si="278"/>
        <v>16.768165955215309</v>
      </c>
      <c r="BL380" s="1601">
        <f t="shared" si="279"/>
        <v>26.584620280015308</v>
      </c>
      <c r="BM380" s="1601">
        <f t="shared" si="280"/>
        <v>26.584620280015308</v>
      </c>
      <c r="BN380" s="1601">
        <f t="shared" si="281"/>
        <v>26.584620280015308</v>
      </c>
      <c r="BO380" s="1601">
        <f t="shared" si="282"/>
        <v>26.584620280015308</v>
      </c>
      <c r="BP380" s="1602">
        <f t="shared" si="283"/>
        <v>106.33848112006123</v>
      </c>
      <c r="BQ380" s="1629"/>
      <c r="BR380" s="1629" t="s">
        <v>703</v>
      </c>
      <c r="BS380" s="1602">
        <v>0</v>
      </c>
      <c r="BT380" s="1602">
        <v>15</v>
      </c>
      <c r="BU380" s="1602">
        <v>15</v>
      </c>
      <c r="BV380" s="1602">
        <v>15</v>
      </c>
      <c r="BW380" s="1602">
        <v>15</v>
      </c>
      <c r="BX380" s="1362">
        <f t="shared" si="300"/>
        <v>147.24681487199999</v>
      </c>
      <c r="BY380" s="1362">
        <f t="shared" si="301"/>
        <v>147.24681487199999</v>
      </c>
      <c r="BZ380" s="1362">
        <f t="shared" si="302"/>
        <v>147.24681487199999</v>
      </c>
      <c r="CA380" s="1362">
        <f t="shared" si="303"/>
        <v>147.24681487199999</v>
      </c>
      <c r="CB380" s="1362">
        <f t="shared" si="304"/>
        <v>588.98725948799995</v>
      </c>
      <c r="CC380" s="1360">
        <v>15</v>
      </c>
      <c r="CD380" s="1360">
        <v>15</v>
      </c>
      <c r="CE380" s="1360">
        <v>15</v>
      </c>
      <c r="CF380" s="1360">
        <v>15</v>
      </c>
      <c r="CG380" s="1604">
        <f t="shared" si="284"/>
        <v>398.76930420022961</v>
      </c>
      <c r="CH380" s="1604">
        <f t="shared" si="285"/>
        <v>398.76930420022961</v>
      </c>
      <c r="CI380" s="1604">
        <f t="shared" si="286"/>
        <v>398.76930420022961</v>
      </c>
      <c r="CJ380" s="1604">
        <f t="shared" si="287"/>
        <v>398.76930420022961</v>
      </c>
      <c r="CK380" s="1521">
        <f t="shared" si="288"/>
        <v>1595.0772168009184</v>
      </c>
      <c r="CL380" s="1132">
        <v>373</v>
      </c>
      <c r="CM380" s="1132" t="s">
        <v>356</v>
      </c>
      <c r="CN380" s="1359">
        <v>1</v>
      </c>
      <c r="CO380" s="1360">
        <v>12.74208</v>
      </c>
      <c r="CP380" s="1360">
        <v>12.74208</v>
      </c>
      <c r="CQ380" s="1360">
        <v>12.74208</v>
      </c>
      <c r="CR380" s="1360">
        <v>12.74208</v>
      </c>
      <c r="CS380" s="1362">
        <f t="shared" si="289"/>
        <v>9.8164543247999987</v>
      </c>
      <c r="CT380" s="1362">
        <f t="shared" si="290"/>
        <v>9.8164543247999987</v>
      </c>
      <c r="CU380" s="1362">
        <f t="shared" si="291"/>
        <v>9.8164543247999987</v>
      </c>
      <c r="CV380" s="1362">
        <f t="shared" si="292"/>
        <v>9.8164543247999987</v>
      </c>
      <c r="CW380" s="1362">
        <f t="shared" si="293"/>
        <v>39.265817299199995</v>
      </c>
      <c r="CY380" s="2887"/>
    </row>
    <row r="381" spans="1:103" s="1143" customFormat="1" ht="46.5" x14ac:dyDescent="0.35">
      <c r="A381" s="1132" t="s">
        <v>110</v>
      </c>
      <c r="B381" s="1132" t="s">
        <v>840</v>
      </c>
      <c r="C381" s="1132" t="s">
        <v>878</v>
      </c>
      <c r="D381" s="1359" t="s">
        <v>879</v>
      </c>
      <c r="E381" s="1359">
        <v>1</v>
      </c>
      <c r="F381" s="2807" t="s">
        <v>697</v>
      </c>
      <c r="G381" s="1132" t="s">
        <v>328</v>
      </c>
      <c r="H381" s="1360">
        <v>3.1855199999999999</v>
      </c>
      <c r="I381" s="1360">
        <v>3.1855199999999999</v>
      </c>
      <c r="J381" s="1360">
        <v>3.1855199999999999</v>
      </c>
      <c r="K381" s="1360">
        <v>3.1855199999999999</v>
      </c>
      <c r="L381" s="1132" t="s">
        <v>698</v>
      </c>
      <c r="M381" s="1132" t="str">
        <f t="shared" si="255"/>
        <v>Nicor Gas PY11-PY14 Adjustable Goals Template_2025-03-01, Tab 5.4.4</v>
      </c>
      <c r="N381" s="1361">
        <v>2.5539833919599975</v>
      </c>
      <c r="O381" s="1361">
        <v>2.5539833919599975</v>
      </c>
      <c r="P381" s="1361">
        <v>2.5539833919599975</v>
      </c>
      <c r="Q381" s="1361">
        <v>2.5539833919599975</v>
      </c>
      <c r="R381" s="1781">
        <v>1</v>
      </c>
      <c r="S381" s="1781">
        <v>1</v>
      </c>
      <c r="T381" s="1781">
        <v>1</v>
      </c>
      <c r="U381" s="1781">
        <v>1</v>
      </c>
      <c r="V381" s="1781">
        <v>1</v>
      </c>
      <c r="W381" s="1781">
        <v>1</v>
      </c>
      <c r="X381" s="1781">
        <v>1</v>
      </c>
      <c r="Y381" s="1781">
        <v>1</v>
      </c>
      <c r="Z381" s="1359">
        <v>0</v>
      </c>
      <c r="AA381" s="1781">
        <f t="shared" si="256"/>
        <v>1</v>
      </c>
      <c r="AB381" s="1781">
        <f t="shared" si="257"/>
        <v>1</v>
      </c>
      <c r="AC381" s="1781">
        <f t="shared" si="258"/>
        <v>1</v>
      </c>
      <c r="AD381" s="1781">
        <f t="shared" si="259"/>
        <v>1</v>
      </c>
      <c r="AE381" s="1781">
        <f t="shared" si="260"/>
        <v>1</v>
      </c>
      <c r="AF381" s="1781">
        <f t="shared" si="261"/>
        <v>1</v>
      </c>
      <c r="AG381" s="1781">
        <f t="shared" si="262"/>
        <v>1</v>
      </c>
      <c r="AH381" s="1781">
        <f t="shared" si="263"/>
        <v>1</v>
      </c>
      <c r="AI381" s="1362">
        <f t="shared" si="294"/>
        <v>8.1357651747564113</v>
      </c>
      <c r="AJ381" s="1362">
        <f t="shared" si="295"/>
        <v>8.1357651747564113</v>
      </c>
      <c r="AK381" s="1362">
        <f t="shared" si="296"/>
        <v>8.1357651747564113</v>
      </c>
      <c r="AL381" s="1362">
        <f t="shared" si="297"/>
        <v>8.1357651747564113</v>
      </c>
      <c r="AM381" s="1362">
        <f t="shared" si="298"/>
        <v>32.543060699025645</v>
      </c>
      <c r="AN381" s="1132" t="str">
        <f t="shared" si="264"/>
        <v>RS-HWE-LFFA-V07-190101</v>
      </c>
      <c r="AO381" s="1132" t="str">
        <f t="shared" si="265"/>
        <v>Nicor Gas PY11-PY14 Adjustable Goals Template_2025-03-01, Tab 5.4.4</v>
      </c>
      <c r="AP381" s="2738">
        <f>'5.4.4'!$O$8</f>
        <v>2.7967173506999976</v>
      </c>
      <c r="AQ381" s="2568" t="s">
        <v>557</v>
      </c>
      <c r="AR381" s="2505">
        <f t="shared" si="266"/>
        <v>8.908999055001857</v>
      </c>
      <c r="AS381" s="2247">
        <f t="shared" si="267"/>
        <v>0.7732338802454457</v>
      </c>
      <c r="AT381" s="1132" t="str">
        <f t="shared" si="268"/>
        <v>RS-HWE-LFFA-V07-190101</v>
      </c>
      <c r="AU381" s="1132" t="str">
        <f t="shared" si="269"/>
        <v>Nicor Gas PY11-PY14 Adjustable Goals Template_2025-03-01, Tab 5.4.4</v>
      </c>
      <c r="AV381" s="2247">
        <f>'5.4.4'!$O$8</f>
        <v>2.7967173506999976</v>
      </c>
      <c r="AW381" s="2568" t="s">
        <v>557</v>
      </c>
      <c r="AX381" s="1362">
        <f t="shared" si="270"/>
        <v>8.908999055001857</v>
      </c>
      <c r="AY381" s="1360">
        <f t="shared" si="271"/>
        <v>0.7732338802454457</v>
      </c>
      <c r="AZ381" s="1132" t="str">
        <f t="shared" si="272"/>
        <v>RS-HWE-LFFA-V07-190101</v>
      </c>
      <c r="BA381" s="1132" t="str">
        <f t="shared" si="273"/>
        <v>Nicor Gas PY11-PY14 Adjustable Goals Template_2025-03-01, Tab 5.4.4</v>
      </c>
      <c r="BB381" s="2247">
        <f>'5.4.4'!$O$8</f>
        <v>2.7967173506999976</v>
      </c>
      <c r="BC381" s="2568" t="s">
        <v>557</v>
      </c>
      <c r="BD381" s="1362">
        <f t="shared" si="274"/>
        <v>8.908999055001857</v>
      </c>
      <c r="BE381" s="1360">
        <f t="shared" si="275"/>
        <v>0.7732338802454457</v>
      </c>
      <c r="BF381" s="1132" t="str">
        <f t="shared" si="276"/>
        <v>RS-HWE-LFFA-V07-190101</v>
      </c>
      <c r="BG381" s="1132" t="str">
        <f t="shared" si="277"/>
        <v>Nicor Gas PY11-PY14 Adjustable Goals Template_2025-03-01, Tab 5.4.4</v>
      </c>
      <c r="BH381" s="2247">
        <f>'5.4.4'!$O$8</f>
        <v>2.7967173506999976</v>
      </c>
      <c r="BI381" s="2568" t="s">
        <v>557</v>
      </c>
      <c r="BJ381" s="1362">
        <f t="shared" si="299"/>
        <v>8.908999055001857</v>
      </c>
      <c r="BK381" s="1360">
        <f t="shared" si="278"/>
        <v>0.7732338802454457</v>
      </c>
      <c r="BL381" s="1601">
        <f t="shared" si="279"/>
        <v>8.908999055001857</v>
      </c>
      <c r="BM381" s="1601">
        <f t="shared" si="280"/>
        <v>8.908999055001857</v>
      </c>
      <c r="BN381" s="1601">
        <f t="shared" si="281"/>
        <v>8.908999055001857</v>
      </c>
      <c r="BO381" s="1601">
        <f t="shared" si="282"/>
        <v>8.908999055001857</v>
      </c>
      <c r="BP381" s="1602">
        <f t="shared" si="283"/>
        <v>35.635996220007428</v>
      </c>
      <c r="BQ381" s="1629"/>
      <c r="BR381" s="1629" t="s">
        <v>697</v>
      </c>
      <c r="BS381" s="1602">
        <v>0</v>
      </c>
      <c r="BT381" s="1602">
        <v>10</v>
      </c>
      <c r="BU381" s="1602">
        <v>10</v>
      </c>
      <c r="BV381" s="1602">
        <v>10</v>
      </c>
      <c r="BW381" s="1602">
        <v>10</v>
      </c>
      <c r="BX381" s="1362">
        <f t="shared" si="300"/>
        <v>81.35765174756412</v>
      </c>
      <c r="BY381" s="1362">
        <f t="shared" si="301"/>
        <v>81.35765174756412</v>
      </c>
      <c r="BZ381" s="1362">
        <f t="shared" si="302"/>
        <v>81.35765174756412</v>
      </c>
      <c r="CA381" s="1362">
        <f t="shared" si="303"/>
        <v>81.35765174756412</v>
      </c>
      <c r="CB381" s="1362">
        <f t="shared" si="304"/>
        <v>325.43060699025648</v>
      </c>
      <c r="CC381" s="1360">
        <v>10</v>
      </c>
      <c r="CD381" s="1360">
        <v>10</v>
      </c>
      <c r="CE381" s="1360">
        <v>10</v>
      </c>
      <c r="CF381" s="1360">
        <v>10</v>
      </c>
      <c r="CG381" s="1604">
        <f t="shared" si="284"/>
        <v>89.08999055001857</v>
      </c>
      <c r="CH381" s="1604">
        <f t="shared" si="285"/>
        <v>89.08999055001857</v>
      </c>
      <c r="CI381" s="1604">
        <f t="shared" si="286"/>
        <v>89.08999055001857</v>
      </c>
      <c r="CJ381" s="1604">
        <f t="shared" si="287"/>
        <v>89.08999055001857</v>
      </c>
      <c r="CK381" s="1521">
        <f t="shared" si="288"/>
        <v>356.35996220007428</v>
      </c>
      <c r="CL381" s="1132">
        <v>374</v>
      </c>
      <c r="CM381" s="1132" t="s">
        <v>328</v>
      </c>
      <c r="CN381" s="1359">
        <v>1</v>
      </c>
      <c r="CO381" s="1360">
        <v>3.1855199999999999</v>
      </c>
      <c r="CP381" s="1360">
        <v>3.1855199999999999</v>
      </c>
      <c r="CQ381" s="1360">
        <v>3.1855199999999999</v>
      </c>
      <c r="CR381" s="1360">
        <v>3.1855199999999999</v>
      </c>
      <c r="CS381" s="1362">
        <f t="shared" si="289"/>
        <v>8.1357651747564113</v>
      </c>
      <c r="CT381" s="1362">
        <f t="shared" si="290"/>
        <v>8.1357651747564113</v>
      </c>
      <c r="CU381" s="1362">
        <f t="shared" si="291"/>
        <v>8.1357651747564113</v>
      </c>
      <c r="CV381" s="1362">
        <f t="shared" si="292"/>
        <v>8.1357651747564113</v>
      </c>
      <c r="CW381" s="1362">
        <f t="shared" si="293"/>
        <v>32.543060699025645</v>
      </c>
      <c r="CY381" s="2887"/>
    </row>
    <row r="382" spans="1:103" s="1143" customFormat="1" ht="49.5" customHeight="1" x14ac:dyDescent="0.35">
      <c r="A382" s="1132" t="s">
        <v>110</v>
      </c>
      <c r="B382" s="1132" t="s">
        <v>840</v>
      </c>
      <c r="C382" s="1132" t="s">
        <v>880</v>
      </c>
      <c r="D382" s="1359" t="s">
        <v>881</v>
      </c>
      <c r="E382" s="1359">
        <v>1</v>
      </c>
      <c r="F382" s="2564" t="s">
        <v>708</v>
      </c>
      <c r="G382" s="1132" t="s">
        <v>356</v>
      </c>
      <c r="H382" s="1360">
        <v>1.0618399999999999</v>
      </c>
      <c r="I382" s="1360">
        <v>1.0618399999999999</v>
      </c>
      <c r="J382" s="1360">
        <v>1.0618399999999999</v>
      </c>
      <c r="K382" s="1360">
        <v>1.0618399999999999</v>
      </c>
      <c r="L382" s="1132" t="s">
        <v>709</v>
      </c>
      <c r="M382" s="1132" t="str">
        <f t="shared" si="255"/>
        <v>Nicor Gas PY11-PY14 Adjustable Goals Template_2025-03-01, Tab 5.3.11</v>
      </c>
      <c r="N382" s="1361">
        <v>40.5015</v>
      </c>
      <c r="O382" s="1361">
        <v>40.5015</v>
      </c>
      <c r="P382" s="1361">
        <v>40.5015</v>
      </c>
      <c r="Q382" s="1361">
        <v>40.5015</v>
      </c>
      <c r="R382" s="1781">
        <v>1</v>
      </c>
      <c r="S382" s="1781">
        <v>1</v>
      </c>
      <c r="T382" s="1781">
        <v>1</v>
      </c>
      <c r="U382" s="1781">
        <v>1</v>
      </c>
      <c r="V382" s="1781">
        <v>1</v>
      </c>
      <c r="W382" s="1781">
        <v>1</v>
      </c>
      <c r="X382" s="1781">
        <v>1</v>
      </c>
      <c r="Y382" s="1781">
        <v>1</v>
      </c>
      <c r="Z382" s="1359">
        <v>0</v>
      </c>
      <c r="AA382" s="1781">
        <f t="shared" si="256"/>
        <v>1</v>
      </c>
      <c r="AB382" s="1781">
        <f t="shared" si="257"/>
        <v>1</v>
      </c>
      <c r="AC382" s="1781">
        <f t="shared" si="258"/>
        <v>1</v>
      </c>
      <c r="AD382" s="1781">
        <f t="shared" si="259"/>
        <v>1</v>
      </c>
      <c r="AE382" s="1781">
        <f t="shared" si="260"/>
        <v>1</v>
      </c>
      <c r="AF382" s="1781">
        <f t="shared" si="261"/>
        <v>1</v>
      </c>
      <c r="AG382" s="1781">
        <f t="shared" si="262"/>
        <v>1</v>
      </c>
      <c r="AH382" s="1781">
        <f t="shared" si="263"/>
        <v>1</v>
      </c>
      <c r="AI382" s="1362">
        <f t="shared" si="294"/>
        <v>43.006112759999994</v>
      </c>
      <c r="AJ382" s="1362">
        <f t="shared" si="295"/>
        <v>43.006112759999994</v>
      </c>
      <c r="AK382" s="1362">
        <f t="shared" si="296"/>
        <v>43.006112759999994</v>
      </c>
      <c r="AL382" s="1362">
        <f t="shared" si="297"/>
        <v>43.006112759999994</v>
      </c>
      <c r="AM382" s="1362">
        <f t="shared" si="298"/>
        <v>172.02445103999997</v>
      </c>
      <c r="AN382" s="1132" t="str">
        <f t="shared" si="264"/>
        <v>RS-HVC-PROG-V05-190101</v>
      </c>
      <c r="AO382" s="1132" t="str">
        <f t="shared" si="265"/>
        <v>Nicor Gas PY11-PY14 Adjustable Goals Template_2025-03-01, Tab 5.3.11</v>
      </c>
      <c r="AP382" s="2247">
        <f>'5.3.11'!$Q$8</f>
        <v>40.5015</v>
      </c>
      <c r="AQ382" s="2505"/>
      <c r="AR382" s="2505">
        <f t="shared" si="266"/>
        <v>43.006112759999994</v>
      </c>
      <c r="AS382" s="2505">
        <f t="shared" si="267"/>
        <v>0</v>
      </c>
      <c r="AT382" s="1132" t="str">
        <f t="shared" si="268"/>
        <v>RS-HVC-PROG-V05-190101</v>
      </c>
      <c r="AU382" s="1132" t="str">
        <f t="shared" si="269"/>
        <v>Nicor Gas PY11-PY14 Adjustable Goals Template_2025-03-01, Tab 5.3.11</v>
      </c>
      <c r="AV382" s="2247">
        <f>'5.3.11'!$Q$8</f>
        <v>40.5015</v>
      </c>
      <c r="AW382" s="2505"/>
      <c r="AX382" s="1362">
        <f t="shared" si="270"/>
        <v>43.006112759999994</v>
      </c>
      <c r="AY382" s="1360">
        <f t="shared" si="271"/>
        <v>0</v>
      </c>
      <c r="AZ382" s="1132" t="str">
        <f t="shared" si="272"/>
        <v>RS-HVC-PROG-V05-190101</v>
      </c>
      <c r="BA382" s="1132" t="str">
        <f t="shared" si="273"/>
        <v>Nicor Gas PY11-PY14 Adjustable Goals Template_2025-03-01, Tab 5.3.11</v>
      </c>
      <c r="BB382" s="2247">
        <f>'5.3.11'!$Q$8</f>
        <v>40.5015</v>
      </c>
      <c r="BC382" s="2505"/>
      <c r="BD382" s="1362">
        <f t="shared" si="274"/>
        <v>43.006112759999994</v>
      </c>
      <c r="BE382" s="1360">
        <f t="shared" si="275"/>
        <v>0</v>
      </c>
      <c r="BF382" s="1132" t="str">
        <f t="shared" si="276"/>
        <v>RS-HVC-PROG-V05-190101</v>
      </c>
      <c r="BG382" s="1132" t="str">
        <f t="shared" si="277"/>
        <v>Nicor Gas PY11-PY14 Adjustable Goals Template_2025-03-01, Tab 5.3.11</v>
      </c>
      <c r="BH382" s="2247">
        <f>'5.3.11'!$Q$8</f>
        <v>40.5015</v>
      </c>
      <c r="BI382" s="2505"/>
      <c r="BJ382" s="1362">
        <f t="shared" si="299"/>
        <v>43.006112759999994</v>
      </c>
      <c r="BK382" s="1360">
        <f t="shared" si="278"/>
        <v>0</v>
      </c>
      <c r="BL382" s="1601">
        <f t="shared" si="279"/>
        <v>43.006112759999994</v>
      </c>
      <c r="BM382" s="1601">
        <f t="shared" si="280"/>
        <v>43.006112759999994</v>
      </c>
      <c r="BN382" s="1601">
        <f t="shared" si="281"/>
        <v>43.006112759999994</v>
      </c>
      <c r="BO382" s="1601">
        <f t="shared" si="282"/>
        <v>43.006112759999994</v>
      </c>
      <c r="BP382" s="1602">
        <f t="shared" si="283"/>
        <v>172.02445103999997</v>
      </c>
      <c r="BQ382" s="1629"/>
      <c r="BR382" s="1629" t="s">
        <v>708</v>
      </c>
      <c r="BS382" s="1602">
        <v>0</v>
      </c>
      <c r="BT382" s="1602">
        <v>8</v>
      </c>
      <c r="BU382" s="1602">
        <v>8</v>
      </c>
      <c r="BV382" s="1602">
        <v>8</v>
      </c>
      <c r="BW382" s="1602">
        <v>8</v>
      </c>
      <c r="BX382" s="1362">
        <f t="shared" si="300"/>
        <v>344.04890207999995</v>
      </c>
      <c r="BY382" s="1362">
        <f t="shared" si="301"/>
        <v>344.04890207999995</v>
      </c>
      <c r="BZ382" s="1362">
        <f t="shared" si="302"/>
        <v>344.04890207999995</v>
      </c>
      <c r="CA382" s="1362">
        <f t="shared" si="303"/>
        <v>344.04890207999995</v>
      </c>
      <c r="CB382" s="1362">
        <f t="shared" si="304"/>
        <v>1376.1956083199998</v>
      </c>
      <c r="CC382" s="1360">
        <v>8</v>
      </c>
      <c r="CD382" s="1360">
        <v>8</v>
      </c>
      <c r="CE382" s="1360">
        <v>8</v>
      </c>
      <c r="CF382" s="1360">
        <v>8</v>
      </c>
      <c r="CG382" s="1604">
        <f t="shared" si="284"/>
        <v>344.04890207999995</v>
      </c>
      <c r="CH382" s="1604">
        <f t="shared" si="285"/>
        <v>344.04890207999995</v>
      </c>
      <c r="CI382" s="1604">
        <f t="shared" si="286"/>
        <v>344.04890207999995</v>
      </c>
      <c r="CJ382" s="1604">
        <f t="shared" si="287"/>
        <v>344.04890207999995</v>
      </c>
      <c r="CK382" s="1521">
        <f t="shared" si="288"/>
        <v>1376.1956083199998</v>
      </c>
      <c r="CL382" s="1132">
        <v>375</v>
      </c>
      <c r="CM382" s="1132" t="s">
        <v>356</v>
      </c>
      <c r="CN382" s="1359">
        <v>1</v>
      </c>
      <c r="CO382" s="1360">
        <v>1.0618399999999999</v>
      </c>
      <c r="CP382" s="1360">
        <v>1.0618399999999999</v>
      </c>
      <c r="CQ382" s="1360">
        <v>1.0618399999999999</v>
      </c>
      <c r="CR382" s="1360">
        <v>1.0618399999999999</v>
      </c>
      <c r="CS382" s="1362">
        <f t="shared" si="289"/>
        <v>43.006112759999994</v>
      </c>
      <c r="CT382" s="1362">
        <f t="shared" si="290"/>
        <v>43.006112759999994</v>
      </c>
      <c r="CU382" s="1362">
        <f t="shared" si="291"/>
        <v>43.006112759999994</v>
      </c>
      <c r="CV382" s="1362">
        <f t="shared" si="292"/>
        <v>43.006112759999994</v>
      </c>
      <c r="CW382" s="1362">
        <f t="shared" si="293"/>
        <v>172.02445103999997</v>
      </c>
      <c r="CY382" s="2887"/>
    </row>
    <row r="383" spans="1:103" s="1143" customFormat="1" ht="46.5" x14ac:dyDescent="0.35">
      <c r="A383" s="1132" t="s">
        <v>110</v>
      </c>
      <c r="B383" s="1132" t="s">
        <v>840</v>
      </c>
      <c r="C383" s="1132" t="s">
        <v>882</v>
      </c>
      <c r="D383" s="1359" t="s">
        <v>883</v>
      </c>
      <c r="E383" s="1359">
        <v>1</v>
      </c>
      <c r="F383" s="2807" t="s">
        <v>691</v>
      </c>
      <c r="G383" s="1132" t="s">
        <v>328</v>
      </c>
      <c r="H383" s="1360">
        <v>3.1855199999999999</v>
      </c>
      <c r="I383" s="1360">
        <v>3.1855199999999999</v>
      </c>
      <c r="J383" s="1360">
        <v>3.1855199999999999</v>
      </c>
      <c r="K383" s="1360">
        <v>3.1855199999999999</v>
      </c>
      <c r="L383" s="1132" t="s">
        <v>692</v>
      </c>
      <c r="M383" s="1132" t="str">
        <f t="shared" si="255"/>
        <v>Nicor Gas PY11-PY14 Adjustable Goals Template_2025-03-01, Tab 5.4.5</v>
      </c>
      <c r="N383" s="2245">
        <v>11.317119452100005</v>
      </c>
      <c r="O383" s="1361">
        <v>11.317119452100005</v>
      </c>
      <c r="P383" s="1361">
        <v>11.317119452100005</v>
      </c>
      <c r="Q383" s="1361">
        <v>11.317119452100005</v>
      </c>
      <c r="R383" s="1781">
        <v>1</v>
      </c>
      <c r="S383" s="1781">
        <v>1</v>
      </c>
      <c r="T383" s="1781">
        <v>1</v>
      </c>
      <c r="U383" s="1781">
        <v>1</v>
      </c>
      <c r="V383" s="1781">
        <v>1</v>
      </c>
      <c r="W383" s="1781">
        <v>1</v>
      </c>
      <c r="X383" s="1781">
        <v>1</v>
      </c>
      <c r="Y383" s="1781">
        <v>1</v>
      </c>
      <c r="Z383" s="1359">
        <v>0</v>
      </c>
      <c r="AA383" s="1781">
        <f t="shared" si="256"/>
        <v>1</v>
      </c>
      <c r="AB383" s="1781">
        <f t="shared" si="257"/>
        <v>1</v>
      </c>
      <c r="AC383" s="1781">
        <f t="shared" si="258"/>
        <v>1</v>
      </c>
      <c r="AD383" s="1781">
        <f t="shared" si="259"/>
        <v>1</v>
      </c>
      <c r="AE383" s="1781">
        <f t="shared" si="260"/>
        <v>1</v>
      </c>
      <c r="AF383" s="1781">
        <f t="shared" si="261"/>
        <v>1</v>
      </c>
      <c r="AG383" s="1781">
        <f t="shared" si="262"/>
        <v>1</v>
      </c>
      <c r="AH383" s="1781">
        <f t="shared" si="263"/>
        <v>1</v>
      </c>
      <c r="AI383" s="1362">
        <f t="shared" si="294"/>
        <v>36.05091035705361</v>
      </c>
      <c r="AJ383" s="1362">
        <f t="shared" si="295"/>
        <v>36.05091035705361</v>
      </c>
      <c r="AK383" s="1362">
        <f t="shared" si="296"/>
        <v>36.05091035705361</v>
      </c>
      <c r="AL383" s="1362">
        <f t="shared" si="297"/>
        <v>36.05091035705361</v>
      </c>
      <c r="AM383" s="1362">
        <f t="shared" si="298"/>
        <v>144.20364142821444</v>
      </c>
      <c r="AN383" s="1132" t="str">
        <f t="shared" si="264"/>
        <v>RS-HWE-LFSH-V06-190101</v>
      </c>
      <c r="AO383" s="1132" t="str">
        <f t="shared" si="265"/>
        <v>Nicor Gas PY11-PY14 Adjustable Goals Template_2025-03-01, Tab 5.4.5</v>
      </c>
      <c r="AP383" s="2737">
        <f>'5.4.5'!$P$7</f>
        <v>12.229477281000005</v>
      </c>
      <c r="AQ383" s="2568" t="s">
        <v>557</v>
      </c>
      <c r="AR383" s="2505">
        <f t="shared" si="266"/>
        <v>38.957244468171133</v>
      </c>
      <c r="AS383" s="2505">
        <f t="shared" si="267"/>
        <v>2.9063341111175234</v>
      </c>
      <c r="AT383" s="1132" t="str">
        <f t="shared" si="268"/>
        <v>RS-HWE-LFSH-V06-190101</v>
      </c>
      <c r="AU383" s="1132" t="str">
        <f t="shared" si="269"/>
        <v>Nicor Gas PY11-PY14 Adjustable Goals Template_2025-03-01, Tab 5.4.5</v>
      </c>
      <c r="AV383" s="2508">
        <f>'5.4.5'!$P$7</f>
        <v>12.229477281000005</v>
      </c>
      <c r="AW383" s="2568" t="s">
        <v>557</v>
      </c>
      <c r="AX383" s="1362">
        <f t="shared" si="270"/>
        <v>38.957244468171133</v>
      </c>
      <c r="AY383" s="1360">
        <f t="shared" si="271"/>
        <v>2.9063341111175234</v>
      </c>
      <c r="AZ383" s="1132" t="str">
        <f t="shared" si="272"/>
        <v>RS-HWE-LFSH-V06-190101</v>
      </c>
      <c r="BA383" s="1132" t="str">
        <f t="shared" si="273"/>
        <v>Nicor Gas PY11-PY14 Adjustable Goals Template_2025-03-01, Tab 5.4.5</v>
      </c>
      <c r="BB383" s="2508">
        <f>'5.4.5'!$P$7</f>
        <v>12.229477281000005</v>
      </c>
      <c r="BC383" s="2568" t="s">
        <v>557</v>
      </c>
      <c r="BD383" s="1362">
        <f t="shared" si="274"/>
        <v>38.957244468171133</v>
      </c>
      <c r="BE383" s="1360">
        <f t="shared" si="275"/>
        <v>2.9063341111175234</v>
      </c>
      <c r="BF383" s="1132" t="str">
        <f t="shared" si="276"/>
        <v>RS-HWE-LFSH-V06-190101</v>
      </c>
      <c r="BG383" s="1132" t="str">
        <f t="shared" si="277"/>
        <v>Nicor Gas PY11-PY14 Adjustable Goals Template_2025-03-01, Tab 5.4.5</v>
      </c>
      <c r="BH383" s="2508">
        <f>'5.4.5'!$P$7</f>
        <v>12.229477281000005</v>
      </c>
      <c r="BI383" s="2568" t="s">
        <v>557</v>
      </c>
      <c r="BJ383" s="1362">
        <f t="shared" si="299"/>
        <v>38.957244468171133</v>
      </c>
      <c r="BK383" s="1360">
        <f t="shared" si="278"/>
        <v>2.9063341111175234</v>
      </c>
      <c r="BL383" s="1601">
        <f t="shared" si="279"/>
        <v>38.957244468171133</v>
      </c>
      <c r="BM383" s="1601">
        <f t="shared" si="280"/>
        <v>38.957244468171133</v>
      </c>
      <c r="BN383" s="1601">
        <f t="shared" si="281"/>
        <v>38.957244468171133</v>
      </c>
      <c r="BO383" s="1601">
        <f t="shared" si="282"/>
        <v>38.957244468171133</v>
      </c>
      <c r="BP383" s="1602">
        <f t="shared" si="283"/>
        <v>155.82897787268453</v>
      </c>
      <c r="BQ383" s="1629"/>
      <c r="BR383" s="1629" t="s">
        <v>691</v>
      </c>
      <c r="BS383" s="1602">
        <v>0</v>
      </c>
      <c r="BT383" s="1602">
        <v>10</v>
      </c>
      <c r="BU383" s="1602">
        <v>10</v>
      </c>
      <c r="BV383" s="1602">
        <v>10</v>
      </c>
      <c r="BW383" s="1602">
        <v>10</v>
      </c>
      <c r="BX383" s="1362">
        <f t="shared" si="300"/>
        <v>360.50910357053613</v>
      </c>
      <c r="BY383" s="1362">
        <f t="shared" si="301"/>
        <v>360.50910357053613</v>
      </c>
      <c r="BZ383" s="1362">
        <f t="shared" si="302"/>
        <v>360.50910357053613</v>
      </c>
      <c r="CA383" s="1362">
        <f t="shared" si="303"/>
        <v>360.50910357053613</v>
      </c>
      <c r="CB383" s="1362">
        <f t="shared" si="304"/>
        <v>1442.0364142821445</v>
      </c>
      <c r="CC383" s="1360">
        <v>10</v>
      </c>
      <c r="CD383" s="1360">
        <v>10</v>
      </c>
      <c r="CE383" s="1360">
        <v>10</v>
      </c>
      <c r="CF383" s="1360">
        <v>10</v>
      </c>
      <c r="CG383" s="1604">
        <f t="shared" si="284"/>
        <v>389.57244468171132</v>
      </c>
      <c r="CH383" s="1604">
        <f t="shared" si="285"/>
        <v>389.57244468171132</v>
      </c>
      <c r="CI383" s="1604">
        <f t="shared" si="286"/>
        <v>389.57244468171132</v>
      </c>
      <c r="CJ383" s="1604">
        <f t="shared" si="287"/>
        <v>389.57244468171132</v>
      </c>
      <c r="CK383" s="1521">
        <f t="shared" si="288"/>
        <v>1558.2897787268453</v>
      </c>
      <c r="CL383" s="1132">
        <v>376</v>
      </c>
      <c r="CM383" s="1132" t="s">
        <v>328</v>
      </c>
      <c r="CN383" s="1359">
        <v>1</v>
      </c>
      <c r="CO383" s="1360">
        <v>3.1855199999999999</v>
      </c>
      <c r="CP383" s="1360">
        <v>3.1855199999999999</v>
      </c>
      <c r="CQ383" s="1360">
        <v>3.1855199999999999</v>
      </c>
      <c r="CR383" s="1360">
        <v>3.1855199999999999</v>
      </c>
      <c r="CS383" s="1362">
        <f t="shared" si="289"/>
        <v>36.05091035705361</v>
      </c>
      <c r="CT383" s="1362">
        <f t="shared" si="290"/>
        <v>36.05091035705361</v>
      </c>
      <c r="CU383" s="1362">
        <f t="shared" si="291"/>
        <v>36.05091035705361</v>
      </c>
      <c r="CV383" s="1362">
        <f t="shared" si="292"/>
        <v>36.05091035705361</v>
      </c>
      <c r="CW383" s="1362">
        <f t="shared" si="293"/>
        <v>144.20364142821444</v>
      </c>
      <c r="CY383" s="2887"/>
    </row>
    <row r="384" spans="1:103" s="1143" customFormat="1" ht="15" customHeight="1" x14ac:dyDescent="0.35">
      <c r="A384" s="1132" t="s">
        <v>110</v>
      </c>
      <c r="B384" s="1132" t="s">
        <v>840</v>
      </c>
      <c r="C384" s="1132" t="s">
        <v>477</v>
      </c>
      <c r="D384" s="1359" t="s">
        <v>478</v>
      </c>
      <c r="E384" s="1359">
        <v>1</v>
      </c>
      <c r="F384" s="2807" t="s">
        <v>479</v>
      </c>
      <c r="G384" s="1132" t="s">
        <v>356</v>
      </c>
      <c r="H384" s="1360">
        <v>3.1855199999999999</v>
      </c>
      <c r="I384" s="1360">
        <v>3.1855199999999999</v>
      </c>
      <c r="J384" s="1360">
        <v>3.1855199999999999</v>
      </c>
      <c r="K384" s="1360">
        <v>3.1855199999999999</v>
      </c>
      <c r="L384" s="1132" t="s">
        <v>480</v>
      </c>
      <c r="M384" s="1132" t="str">
        <f t="shared" si="255"/>
        <v>Nicor Gas PY11-PY14 Adjustable Goals Template_2025-03-01, Tab 4.3.1</v>
      </c>
      <c r="N384" s="1361">
        <v>48.22116686119378</v>
      </c>
      <c r="O384" s="1361">
        <v>48.22116686119378</v>
      </c>
      <c r="P384" s="1361">
        <v>48.22116686119378</v>
      </c>
      <c r="Q384" s="1361">
        <v>48.22116686119378</v>
      </c>
      <c r="R384" s="1781">
        <v>1</v>
      </c>
      <c r="S384" s="1781">
        <v>1</v>
      </c>
      <c r="T384" s="1781">
        <v>1</v>
      </c>
      <c r="U384" s="1781">
        <v>1</v>
      </c>
      <c r="V384" s="1781">
        <v>1</v>
      </c>
      <c r="W384" s="1781">
        <v>1</v>
      </c>
      <c r="X384" s="1781">
        <v>1</v>
      </c>
      <c r="Y384" s="1781">
        <v>1</v>
      </c>
      <c r="Z384" s="1359">
        <v>0</v>
      </c>
      <c r="AA384" s="1781">
        <f t="shared" si="256"/>
        <v>1</v>
      </c>
      <c r="AB384" s="1781">
        <f t="shared" si="257"/>
        <v>1</v>
      </c>
      <c r="AC384" s="1781">
        <f t="shared" si="258"/>
        <v>1</v>
      </c>
      <c r="AD384" s="1781">
        <f t="shared" si="259"/>
        <v>1</v>
      </c>
      <c r="AE384" s="1781">
        <f t="shared" si="260"/>
        <v>1</v>
      </c>
      <c r="AF384" s="1781">
        <f t="shared" si="261"/>
        <v>1</v>
      </c>
      <c r="AG384" s="1781">
        <f t="shared" si="262"/>
        <v>1</v>
      </c>
      <c r="AH384" s="1781">
        <f t="shared" si="263"/>
        <v>1</v>
      </c>
      <c r="AI384" s="1362">
        <f t="shared" si="294"/>
        <v>153.60949145967001</v>
      </c>
      <c r="AJ384" s="1362">
        <f t="shared" si="295"/>
        <v>153.60949145967001</v>
      </c>
      <c r="AK384" s="1362">
        <f t="shared" si="296"/>
        <v>153.60949145967001</v>
      </c>
      <c r="AL384" s="1362">
        <f t="shared" si="297"/>
        <v>153.60949145967001</v>
      </c>
      <c r="AM384" s="1362">
        <f t="shared" si="298"/>
        <v>614.43796583868004</v>
      </c>
      <c r="AN384" s="1132" t="str">
        <f t="shared" si="264"/>
        <v>CI-HW_-HWE-V03-190101</v>
      </c>
      <c r="AO384" s="1132" t="str">
        <f t="shared" si="265"/>
        <v>Nicor Gas PY11-PY14 Adjustable Goals Template_2025-03-01, Tab 4.3.1</v>
      </c>
      <c r="AP384" s="2568">
        <f>'4.3.1'!$Q$4</f>
        <v>50.462432363192917</v>
      </c>
      <c r="AQ384" s="2568" t="s">
        <v>481</v>
      </c>
      <c r="AR384" s="2505">
        <f t="shared" si="266"/>
        <v>160.7490875415983</v>
      </c>
      <c r="AS384" s="2505">
        <f t="shared" si="267"/>
        <v>7.1395960819282891</v>
      </c>
      <c r="AT384" s="1132" t="str">
        <f t="shared" si="268"/>
        <v>CI-HW_-HWE-V03-190101</v>
      </c>
      <c r="AU384" s="1132" t="str">
        <f t="shared" si="269"/>
        <v>Nicor Gas PY11-PY14 Adjustable Goals Template_2025-03-01, Tab 4.3.1</v>
      </c>
      <c r="AV384" s="2505">
        <f>'4.3.1'!$Q$4</f>
        <v>50.462432363192917</v>
      </c>
      <c r="AW384" s="2568" t="s">
        <v>481</v>
      </c>
      <c r="AX384" s="1362">
        <f t="shared" si="270"/>
        <v>160.7490875415983</v>
      </c>
      <c r="AY384" s="1360">
        <f t="shared" si="271"/>
        <v>7.1395960819282891</v>
      </c>
      <c r="AZ384" s="1132" t="str">
        <f t="shared" si="272"/>
        <v>CI-HW_-HWE-V03-190101</v>
      </c>
      <c r="BA384" s="1132" t="str">
        <f t="shared" si="273"/>
        <v>Nicor Gas PY11-PY14 Adjustable Goals Template_2025-03-01, Tab 4.3.1</v>
      </c>
      <c r="BB384" s="2505">
        <f>'4.3.1'!$Q$4</f>
        <v>50.462432363192917</v>
      </c>
      <c r="BC384" s="2568" t="s">
        <v>481</v>
      </c>
      <c r="BD384" s="1362">
        <f t="shared" si="274"/>
        <v>160.7490875415983</v>
      </c>
      <c r="BE384" s="1360">
        <f t="shared" si="275"/>
        <v>7.1395960819282891</v>
      </c>
      <c r="BF384" s="1132" t="str">
        <f t="shared" si="276"/>
        <v>CI-HW_-HWE-V03-190101</v>
      </c>
      <c r="BG384" s="1132" t="str">
        <f t="shared" si="277"/>
        <v>Nicor Gas PY11-PY14 Adjustable Goals Template_2025-03-01, Tab 4.3.1</v>
      </c>
      <c r="BH384" s="2505">
        <f>'4.3.1'!$Q$4</f>
        <v>50.462432363192917</v>
      </c>
      <c r="BI384" s="2568" t="s">
        <v>481</v>
      </c>
      <c r="BJ384" s="1362">
        <f t="shared" si="299"/>
        <v>160.7490875415983</v>
      </c>
      <c r="BK384" s="1360">
        <f t="shared" si="278"/>
        <v>7.1395960819282891</v>
      </c>
      <c r="BL384" s="1601">
        <f t="shared" si="279"/>
        <v>160.7490875415983</v>
      </c>
      <c r="BM384" s="1601">
        <f t="shared" si="280"/>
        <v>160.7490875415983</v>
      </c>
      <c r="BN384" s="1601">
        <f t="shared" si="281"/>
        <v>160.7490875415983</v>
      </c>
      <c r="BO384" s="1601">
        <f t="shared" si="282"/>
        <v>160.7490875415983</v>
      </c>
      <c r="BP384" s="1602">
        <f t="shared" si="283"/>
        <v>642.9963501663932</v>
      </c>
      <c r="BQ384" s="1629"/>
      <c r="BR384" s="1629" t="s">
        <v>479</v>
      </c>
      <c r="BS384" s="1602">
        <v>0</v>
      </c>
      <c r="BT384" s="1602">
        <v>15</v>
      </c>
      <c r="BU384" s="1602">
        <v>15</v>
      </c>
      <c r="BV384" s="1602">
        <v>15</v>
      </c>
      <c r="BW384" s="1602">
        <v>15</v>
      </c>
      <c r="BX384" s="1362">
        <f t="shared" si="300"/>
        <v>2304.14237189505</v>
      </c>
      <c r="BY384" s="1362">
        <f t="shared" si="301"/>
        <v>2304.14237189505</v>
      </c>
      <c r="BZ384" s="1362">
        <f t="shared" si="302"/>
        <v>2304.14237189505</v>
      </c>
      <c r="CA384" s="1362">
        <f t="shared" si="303"/>
        <v>2304.14237189505</v>
      </c>
      <c r="CB384" s="1362">
        <f t="shared" si="304"/>
        <v>9216.5694875802001</v>
      </c>
      <c r="CC384" s="1360">
        <v>15</v>
      </c>
      <c r="CD384" s="1360">
        <v>15</v>
      </c>
      <c r="CE384" s="1360">
        <v>15</v>
      </c>
      <c r="CF384" s="1360">
        <v>15</v>
      </c>
      <c r="CG384" s="1604">
        <f t="shared" si="284"/>
        <v>2411.2363131239745</v>
      </c>
      <c r="CH384" s="1604">
        <f t="shared" si="285"/>
        <v>2411.2363131239745</v>
      </c>
      <c r="CI384" s="1604">
        <f t="shared" si="286"/>
        <v>2411.2363131239745</v>
      </c>
      <c r="CJ384" s="1604">
        <f t="shared" si="287"/>
        <v>2411.2363131239745</v>
      </c>
      <c r="CK384" s="1521">
        <f t="shared" si="288"/>
        <v>9644.9452524958979</v>
      </c>
      <c r="CL384" s="1132">
        <v>377</v>
      </c>
      <c r="CM384" s="1132" t="s">
        <v>356</v>
      </c>
      <c r="CN384" s="1359">
        <v>1</v>
      </c>
      <c r="CO384" s="1360">
        <v>3.1855199999999999</v>
      </c>
      <c r="CP384" s="1360">
        <v>3.1855199999999999</v>
      </c>
      <c r="CQ384" s="1360">
        <v>3.1855199999999999</v>
      </c>
      <c r="CR384" s="1360">
        <v>3.1855199999999999</v>
      </c>
      <c r="CS384" s="1362">
        <f t="shared" si="289"/>
        <v>153.60949145967001</v>
      </c>
      <c r="CT384" s="1362">
        <f t="shared" si="290"/>
        <v>153.60949145967001</v>
      </c>
      <c r="CU384" s="1362">
        <f t="shared" si="291"/>
        <v>153.60949145967001</v>
      </c>
      <c r="CV384" s="1362">
        <f t="shared" si="292"/>
        <v>153.60949145967001</v>
      </c>
      <c r="CW384" s="1362">
        <f t="shared" si="293"/>
        <v>614.43796583868004</v>
      </c>
      <c r="CY384" s="2887"/>
    </row>
    <row r="385" spans="1:103" s="1143" customFormat="1" ht="15.5" x14ac:dyDescent="0.35">
      <c r="A385" s="1132" t="s">
        <v>110</v>
      </c>
      <c r="B385" s="1132" t="s">
        <v>840</v>
      </c>
      <c r="C385" s="1132" t="s">
        <v>868</v>
      </c>
      <c r="D385" s="1359" t="s">
        <v>105</v>
      </c>
      <c r="E385" s="1359">
        <f>IF(AI385-AR385=0,0,1)</f>
        <v>0</v>
      </c>
      <c r="F385" s="1132" t="s">
        <v>105</v>
      </c>
      <c r="G385" s="1132" t="s">
        <v>328</v>
      </c>
      <c r="H385" s="1360">
        <v>0.79637999999999998</v>
      </c>
      <c r="I385" s="1360">
        <v>0.79637999999999998</v>
      </c>
      <c r="J385" s="1360">
        <v>0.79637999999999998</v>
      </c>
      <c r="K385" s="1360">
        <v>0.79637999999999998</v>
      </c>
      <c r="L385" s="1132" t="s">
        <v>105</v>
      </c>
      <c r="M385" s="1132" t="str">
        <f t="shared" si="255"/>
        <v/>
      </c>
      <c r="N385" s="1361">
        <v>2439.1999999999998</v>
      </c>
      <c r="O385" s="1361">
        <v>2439.1999999999998</v>
      </c>
      <c r="P385" s="1361">
        <v>2439.1999999999998</v>
      </c>
      <c r="Q385" s="1361">
        <v>2439.1999999999998</v>
      </c>
      <c r="R385" s="1781">
        <v>1</v>
      </c>
      <c r="S385" s="1781">
        <v>1</v>
      </c>
      <c r="T385" s="1781">
        <v>1</v>
      </c>
      <c r="U385" s="1781">
        <v>1</v>
      </c>
      <c r="V385" s="1781">
        <v>1</v>
      </c>
      <c r="W385" s="1781">
        <v>1</v>
      </c>
      <c r="X385" s="1781">
        <v>1</v>
      </c>
      <c r="Y385" s="1781">
        <v>1</v>
      </c>
      <c r="Z385" s="1359">
        <v>0</v>
      </c>
      <c r="AA385" s="1781">
        <f t="shared" si="256"/>
        <v>1</v>
      </c>
      <c r="AB385" s="1781">
        <f t="shared" si="257"/>
        <v>1</v>
      </c>
      <c r="AC385" s="1781">
        <f t="shared" si="258"/>
        <v>1</v>
      </c>
      <c r="AD385" s="1781">
        <f t="shared" si="259"/>
        <v>1</v>
      </c>
      <c r="AE385" s="1781">
        <f t="shared" si="260"/>
        <v>1</v>
      </c>
      <c r="AF385" s="1781">
        <f t="shared" si="261"/>
        <v>1</v>
      </c>
      <c r="AG385" s="1781">
        <f t="shared" si="262"/>
        <v>1</v>
      </c>
      <c r="AH385" s="1781">
        <f t="shared" si="263"/>
        <v>1</v>
      </c>
      <c r="AI385" s="1362">
        <f t="shared" si="294"/>
        <v>1942.5300959999997</v>
      </c>
      <c r="AJ385" s="1362">
        <f t="shared" si="295"/>
        <v>1942.5300959999997</v>
      </c>
      <c r="AK385" s="1362">
        <f t="shared" si="296"/>
        <v>1942.5300959999997</v>
      </c>
      <c r="AL385" s="1362">
        <f t="shared" si="297"/>
        <v>1942.5300959999997</v>
      </c>
      <c r="AM385" s="1362">
        <f t="shared" si="298"/>
        <v>7770.1203839999989</v>
      </c>
      <c r="AN385" s="1132" t="str">
        <f t="shared" si="264"/>
        <v>Custom</v>
      </c>
      <c r="AO385" s="1132" t="str">
        <f t="shared" si="265"/>
        <v/>
      </c>
      <c r="AP385" s="2505">
        <v>2439.1999999999998</v>
      </c>
      <c r="AQ385" s="2505"/>
      <c r="AR385" s="2505">
        <f t="shared" si="266"/>
        <v>1942.5300959999997</v>
      </c>
      <c r="AS385" s="2505">
        <f t="shared" si="267"/>
        <v>0</v>
      </c>
      <c r="AT385" s="1132" t="str">
        <f t="shared" si="268"/>
        <v>Custom</v>
      </c>
      <c r="AU385" s="1132" t="str">
        <f t="shared" si="269"/>
        <v/>
      </c>
      <c r="AV385" s="2505">
        <v>2439.1999999999998</v>
      </c>
      <c r="AW385" s="2505"/>
      <c r="AX385" s="1362">
        <f t="shared" si="270"/>
        <v>1942.5300959999997</v>
      </c>
      <c r="AY385" s="1360">
        <f t="shared" si="271"/>
        <v>0</v>
      </c>
      <c r="AZ385" s="1132" t="str">
        <f t="shared" si="272"/>
        <v>Custom</v>
      </c>
      <c r="BA385" s="1132" t="str">
        <f t="shared" si="273"/>
        <v/>
      </c>
      <c r="BB385" s="2505">
        <v>2439.1999999999998</v>
      </c>
      <c r="BC385" s="2505"/>
      <c r="BD385" s="1362">
        <f t="shared" si="274"/>
        <v>1942.5300959999997</v>
      </c>
      <c r="BE385" s="1360">
        <f t="shared" si="275"/>
        <v>0</v>
      </c>
      <c r="BF385" s="1132" t="str">
        <f t="shared" si="276"/>
        <v>Custom</v>
      </c>
      <c r="BG385" s="1132" t="str">
        <f t="shared" si="277"/>
        <v/>
      </c>
      <c r="BH385" s="2505">
        <v>2439.1999999999998</v>
      </c>
      <c r="BI385" s="2505"/>
      <c r="BJ385" s="1362">
        <f t="shared" si="299"/>
        <v>1942.5300959999997</v>
      </c>
      <c r="BK385" s="1360">
        <f t="shared" si="278"/>
        <v>0</v>
      </c>
      <c r="BL385" s="1601">
        <f t="shared" si="279"/>
        <v>1942.5300959999997</v>
      </c>
      <c r="BM385" s="1601">
        <f t="shared" si="280"/>
        <v>1942.5300959999997</v>
      </c>
      <c r="BN385" s="1601">
        <f t="shared" si="281"/>
        <v>1942.5300959999997</v>
      </c>
      <c r="BO385" s="1601">
        <f t="shared" si="282"/>
        <v>1942.5300959999997</v>
      </c>
      <c r="BP385" s="1602">
        <f t="shared" si="283"/>
        <v>7770.1203839999989</v>
      </c>
      <c r="BQ385" s="1629"/>
      <c r="BR385" s="1629"/>
      <c r="BS385" s="1602">
        <v>0</v>
      </c>
      <c r="BT385" s="1602">
        <v>15</v>
      </c>
      <c r="BU385" s="1602">
        <v>15</v>
      </c>
      <c r="BV385" s="1602">
        <v>15</v>
      </c>
      <c r="BW385" s="1602">
        <v>15</v>
      </c>
      <c r="BX385" s="1362">
        <f t="shared" si="300"/>
        <v>29137.951439999997</v>
      </c>
      <c r="BY385" s="1362">
        <f t="shared" si="301"/>
        <v>29137.951439999997</v>
      </c>
      <c r="BZ385" s="1362">
        <f t="shared" si="302"/>
        <v>29137.951439999997</v>
      </c>
      <c r="CA385" s="1362">
        <f t="shared" si="303"/>
        <v>29137.951439999997</v>
      </c>
      <c r="CB385" s="1362">
        <f t="shared" si="304"/>
        <v>116551.80575999999</v>
      </c>
      <c r="CC385" s="1360">
        <v>15</v>
      </c>
      <c r="CD385" s="1360">
        <v>15</v>
      </c>
      <c r="CE385" s="1360">
        <v>15</v>
      </c>
      <c r="CF385" s="1360">
        <v>15</v>
      </c>
      <c r="CG385" s="1604">
        <f t="shared" si="284"/>
        <v>29137.951439999997</v>
      </c>
      <c r="CH385" s="1604">
        <f t="shared" si="285"/>
        <v>29137.951439999997</v>
      </c>
      <c r="CI385" s="1604">
        <f t="shared" si="286"/>
        <v>29137.951439999997</v>
      </c>
      <c r="CJ385" s="1604">
        <f t="shared" si="287"/>
        <v>29137.951439999997</v>
      </c>
      <c r="CK385" s="1521">
        <f t="shared" si="288"/>
        <v>116551.80575999999</v>
      </c>
      <c r="CL385" s="1132">
        <v>378</v>
      </c>
      <c r="CM385" s="1132" t="s">
        <v>328</v>
      </c>
      <c r="CN385" s="1359">
        <v>1</v>
      </c>
      <c r="CO385" s="1360">
        <v>0.79637999999999998</v>
      </c>
      <c r="CP385" s="1360">
        <v>0.79637999999999998</v>
      </c>
      <c r="CQ385" s="1360">
        <v>0.79637999999999998</v>
      </c>
      <c r="CR385" s="1360">
        <v>0.79637999999999998</v>
      </c>
      <c r="CS385" s="1362">
        <f t="shared" si="289"/>
        <v>1942.5300959999997</v>
      </c>
      <c r="CT385" s="1362">
        <f t="shared" si="290"/>
        <v>1942.5300959999997</v>
      </c>
      <c r="CU385" s="1362">
        <f t="shared" si="291"/>
        <v>1942.5300959999997</v>
      </c>
      <c r="CV385" s="1362">
        <f t="shared" si="292"/>
        <v>1942.5300959999997</v>
      </c>
      <c r="CW385" s="1362">
        <f t="shared" si="293"/>
        <v>7770.1203839999989</v>
      </c>
      <c r="CY385" s="2887"/>
    </row>
    <row r="386" spans="1:103" s="1143" customFormat="1" ht="45.75" customHeight="1" x14ac:dyDescent="0.35">
      <c r="A386" s="1132" t="s">
        <v>110</v>
      </c>
      <c r="B386" s="1132" t="s">
        <v>884</v>
      </c>
      <c r="C386" s="1132" t="s">
        <v>652</v>
      </c>
      <c r="D386" s="1359" t="s">
        <v>105</v>
      </c>
      <c r="E386" s="1359">
        <f>IF(AI386-AR386=0,0,1)</f>
        <v>0</v>
      </c>
      <c r="F386" s="1132" t="s">
        <v>105</v>
      </c>
      <c r="G386" s="1132" t="s">
        <v>356</v>
      </c>
      <c r="H386" s="1360">
        <v>329.45250000000004</v>
      </c>
      <c r="I386" s="1360">
        <v>329.45250000000004</v>
      </c>
      <c r="J386" s="1360">
        <v>329.45250000000004</v>
      </c>
      <c r="K386" s="1360">
        <v>329.45250000000004</v>
      </c>
      <c r="L386" s="1132" t="s">
        <v>105</v>
      </c>
      <c r="M386" s="1132" t="str">
        <f t="shared" si="255"/>
        <v/>
      </c>
      <c r="N386" s="1361">
        <v>0</v>
      </c>
      <c r="O386" s="1361">
        <v>0</v>
      </c>
      <c r="P386" s="1361">
        <v>0</v>
      </c>
      <c r="Q386" s="1361">
        <v>0</v>
      </c>
      <c r="R386" s="1781">
        <v>1</v>
      </c>
      <c r="S386" s="1781">
        <v>1</v>
      </c>
      <c r="T386" s="1781">
        <v>1</v>
      </c>
      <c r="U386" s="1781">
        <v>1</v>
      </c>
      <c r="V386" s="1781">
        <v>1</v>
      </c>
      <c r="W386" s="1781">
        <v>1</v>
      </c>
      <c r="X386" s="1781">
        <v>1</v>
      </c>
      <c r="Y386" s="1781">
        <v>1</v>
      </c>
      <c r="Z386" s="1359">
        <v>0</v>
      </c>
      <c r="AA386" s="1781">
        <f t="shared" si="256"/>
        <v>1</v>
      </c>
      <c r="AB386" s="1781">
        <f t="shared" si="257"/>
        <v>1</v>
      </c>
      <c r="AC386" s="1781">
        <f t="shared" si="258"/>
        <v>1</v>
      </c>
      <c r="AD386" s="1781">
        <f t="shared" si="259"/>
        <v>1</v>
      </c>
      <c r="AE386" s="1781">
        <f t="shared" si="260"/>
        <v>1</v>
      </c>
      <c r="AF386" s="1781">
        <f t="shared" si="261"/>
        <v>1</v>
      </c>
      <c r="AG386" s="1781">
        <f t="shared" si="262"/>
        <v>1</v>
      </c>
      <c r="AH386" s="1781">
        <f t="shared" si="263"/>
        <v>1</v>
      </c>
      <c r="AI386" s="1362">
        <f t="shared" si="294"/>
        <v>0</v>
      </c>
      <c r="AJ386" s="1362">
        <f t="shared" si="295"/>
        <v>0</v>
      </c>
      <c r="AK386" s="1362">
        <f t="shared" si="296"/>
        <v>0</v>
      </c>
      <c r="AL386" s="1362">
        <f t="shared" si="297"/>
        <v>0</v>
      </c>
      <c r="AM386" s="1362">
        <f t="shared" si="298"/>
        <v>0</v>
      </c>
      <c r="AN386" s="1132" t="str">
        <f t="shared" si="264"/>
        <v>Custom</v>
      </c>
      <c r="AO386" s="1132" t="str">
        <f t="shared" si="265"/>
        <v/>
      </c>
      <c r="AP386" s="2505">
        <v>0</v>
      </c>
      <c r="AQ386" s="2505"/>
      <c r="AR386" s="2505">
        <f t="shared" si="266"/>
        <v>0</v>
      </c>
      <c r="AS386" s="2505">
        <f t="shared" si="267"/>
        <v>0</v>
      </c>
      <c r="AT386" s="1132" t="str">
        <f t="shared" si="268"/>
        <v>Custom</v>
      </c>
      <c r="AU386" s="1132" t="str">
        <f t="shared" si="269"/>
        <v/>
      </c>
      <c r="AV386" s="2505">
        <v>0</v>
      </c>
      <c r="AW386" s="2505"/>
      <c r="AX386" s="1362">
        <f t="shared" si="270"/>
        <v>0</v>
      </c>
      <c r="AY386" s="1360">
        <f t="shared" si="271"/>
        <v>0</v>
      </c>
      <c r="AZ386" s="1132" t="str">
        <f t="shared" si="272"/>
        <v>Custom</v>
      </c>
      <c r="BA386" s="1132" t="str">
        <f t="shared" si="273"/>
        <v/>
      </c>
      <c r="BB386" s="2505">
        <v>0</v>
      </c>
      <c r="BC386" s="2505"/>
      <c r="BD386" s="1362">
        <f t="shared" si="274"/>
        <v>0</v>
      </c>
      <c r="BE386" s="1360">
        <f t="shared" si="275"/>
        <v>0</v>
      </c>
      <c r="BF386" s="1132" t="str">
        <f t="shared" si="276"/>
        <v>Custom</v>
      </c>
      <c r="BG386" s="1132" t="str">
        <f t="shared" si="277"/>
        <v/>
      </c>
      <c r="BH386" s="2505">
        <v>0</v>
      </c>
      <c r="BI386" s="2505"/>
      <c r="BJ386" s="1362">
        <f t="shared" si="299"/>
        <v>0</v>
      </c>
      <c r="BK386" s="1360">
        <f t="shared" si="278"/>
        <v>0</v>
      </c>
      <c r="BL386" s="1601">
        <f t="shared" si="279"/>
        <v>0</v>
      </c>
      <c r="BM386" s="1601">
        <f t="shared" si="280"/>
        <v>0</v>
      </c>
      <c r="BN386" s="1601">
        <f t="shared" si="281"/>
        <v>0</v>
      </c>
      <c r="BO386" s="1601">
        <f t="shared" si="282"/>
        <v>0</v>
      </c>
      <c r="BP386" s="1602">
        <f t="shared" si="283"/>
        <v>0</v>
      </c>
      <c r="BQ386" s="1629"/>
      <c r="BR386" s="1629"/>
      <c r="BS386" s="1602">
        <v>0</v>
      </c>
      <c r="BT386" s="1602">
        <v>1</v>
      </c>
      <c r="BU386" s="1602">
        <v>1</v>
      </c>
      <c r="BV386" s="1602">
        <v>1</v>
      </c>
      <c r="BW386" s="1602">
        <v>1</v>
      </c>
      <c r="BX386" s="1362">
        <f t="shared" si="300"/>
        <v>0</v>
      </c>
      <c r="BY386" s="1362">
        <f t="shared" si="301"/>
        <v>0</v>
      </c>
      <c r="BZ386" s="1362">
        <f t="shared" si="302"/>
        <v>0</v>
      </c>
      <c r="CA386" s="1362">
        <f t="shared" si="303"/>
        <v>0</v>
      </c>
      <c r="CB386" s="1362">
        <f t="shared" si="304"/>
        <v>0</v>
      </c>
      <c r="CC386" s="1360">
        <v>1</v>
      </c>
      <c r="CD386" s="1360">
        <v>1</v>
      </c>
      <c r="CE386" s="1360">
        <v>1</v>
      </c>
      <c r="CF386" s="1360">
        <v>1</v>
      </c>
      <c r="CG386" s="1604">
        <f t="shared" si="284"/>
        <v>0</v>
      </c>
      <c r="CH386" s="1604">
        <f t="shared" si="285"/>
        <v>0</v>
      </c>
      <c r="CI386" s="1604">
        <f t="shared" si="286"/>
        <v>0</v>
      </c>
      <c r="CJ386" s="1604">
        <f t="shared" si="287"/>
        <v>0</v>
      </c>
      <c r="CK386" s="1521">
        <f t="shared" si="288"/>
        <v>0</v>
      </c>
      <c r="CL386" s="1132">
        <v>379</v>
      </c>
      <c r="CM386" s="1132" t="s">
        <v>356</v>
      </c>
      <c r="CN386" s="1359">
        <v>1</v>
      </c>
      <c r="CO386" s="1360">
        <v>201.30844363770109</v>
      </c>
      <c r="CP386" s="1360">
        <v>201.30844363770109</v>
      </c>
      <c r="CQ386" s="1360">
        <v>201.30844363770109</v>
      </c>
      <c r="CR386" s="1360">
        <v>201.30844363770109</v>
      </c>
      <c r="CS386" s="1362">
        <f t="shared" si="289"/>
        <v>0</v>
      </c>
      <c r="CT386" s="1362">
        <f t="shared" si="290"/>
        <v>0</v>
      </c>
      <c r="CU386" s="1362">
        <f t="shared" si="291"/>
        <v>0</v>
      </c>
      <c r="CV386" s="1362">
        <f t="shared" si="292"/>
        <v>0</v>
      </c>
      <c r="CW386" s="1362">
        <f t="shared" si="293"/>
        <v>0</v>
      </c>
      <c r="CY386" s="2887"/>
    </row>
    <row r="387" spans="1:103" s="1143" customFormat="1" ht="46.5" x14ac:dyDescent="0.35">
      <c r="A387" s="1132" t="s">
        <v>110</v>
      </c>
      <c r="B387" s="1132" t="s">
        <v>884</v>
      </c>
      <c r="C387" s="1132" t="s">
        <v>885</v>
      </c>
      <c r="D387" s="1359" t="s">
        <v>886</v>
      </c>
      <c r="E387" s="1359">
        <v>1</v>
      </c>
      <c r="F387" s="1780" t="s">
        <v>649</v>
      </c>
      <c r="G387" s="1132" t="s">
        <v>356</v>
      </c>
      <c r="H387" s="1360">
        <v>140.56640000000002</v>
      </c>
      <c r="I387" s="1360">
        <v>140.56640000000002</v>
      </c>
      <c r="J387" s="1360">
        <v>140.56640000000002</v>
      </c>
      <c r="K387" s="1360">
        <v>140.56640000000002</v>
      </c>
      <c r="L387" s="1132" t="s">
        <v>650</v>
      </c>
      <c r="M387" s="1132" t="str">
        <f t="shared" si="255"/>
        <v>Nicor Gas PY11-PY14 Adjustable Goals Template_2025-03-01, Tab 5.3.16</v>
      </c>
      <c r="N387" s="1361">
        <v>85.399500000000003</v>
      </c>
      <c r="O387" s="1361">
        <v>85.399500000000003</v>
      </c>
      <c r="P387" s="1361">
        <v>85.399500000000003</v>
      </c>
      <c r="Q387" s="1361">
        <v>85.399500000000003</v>
      </c>
      <c r="R387" s="1781">
        <v>1</v>
      </c>
      <c r="S387" s="1781">
        <v>1</v>
      </c>
      <c r="T387" s="1781">
        <v>1</v>
      </c>
      <c r="U387" s="1781">
        <v>1</v>
      </c>
      <c r="V387" s="1781">
        <v>1</v>
      </c>
      <c r="W387" s="1781">
        <v>1</v>
      </c>
      <c r="X387" s="1781">
        <v>1</v>
      </c>
      <c r="Y387" s="1781">
        <v>1</v>
      </c>
      <c r="Z387" s="1359">
        <v>0</v>
      </c>
      <c r="AA387" s="1781">
        <f t="shared" si="256"/>
        <v>1</v>
      </c>
      <c r="AB387" s="1781">
        <f t="shared" si="257"/>
        <v>1</v>
      </c>
      <c r="AC387" s="1781">
        <f t="shared" si="258"/>
        <v>1</v>
      </c>
      <c r="AD387" s="1781">
        <f t="shared" si="259"/>
        <v>1</v>
      </c>
      <c r="AE387" s="1781">
        <f t="shared" si="260"/>
        <v>1</v>
      </c>
      <c r="AF387" s="1781">
        <f t="shared" si="261"/>
        <v>1</v>
      </c>
      <c r="AG387" s="1781">
        <f t="shared" si="262"/>
        <v>1</v>
      </c>
      <c r="AH387" s="1781">
        <f t="shared" si="263"/>
        <v>1</v>
      </c>
      <c r="AI387" s="1362">
        <f t="shared" si="294"/>
        <v>12004.300276800002</v>
      </c>
      <c r="AJ387" s="1362">
        <f t="shared" si="295"/>
        <v>12004.300276800002</v>
      </c>
      <c r="AK387" s="1362">
        <f t="shared" si="296"/>
        <v>12004.300276800002</v>
      </c>
      <c r="AL387" s="1362">
        <f t="shared" si="297"/>
        <v>12004.300276800002</v>
      </c>
      <c r="AM387" s="1362">
        <f t="shared" si="298"/>
        <v>48017.20110720001</v>
      </c>
      <c r="AN387" s="1132" t="str">
        <f t="shared" si="264"/>
        <v>RS-HVC-ADTH-V03-190101</v>
      </c>
      <c r="AO387" s="1132" t="str">
        <f t="shared" si="265"/>
        <v>Nicor Gas PY11-PY14 Adjustable Goals Template_2025-03-01, Tab 5.3.16</v>
      </c>
      <c r="AP387" s="2247">
        <f>'5.3.16'!$S$19</f>
        <v>85.399500000000003</v>
      </c>
      <c r="AQ387" s="2505"/>
      <c r="AR387" s="2505">
        <f t="shared" si="266"/>
        <v>12004.300276800002</v>
      </c>
      <c r="AS387" s="2505">
        <f t="shared" si="267"/>
        <v>0</v>
      </c>
      <c r="AT387" s="1132" t="str">
        <f t="shared" si="268"/>
        <v>RS-HVC-ADTH-V03-190101</v>
      </c>
      <c r="AU387" s="1132" t="str">
        <f t="shared" si="269"/>
        <v>Nicor Gas PY11-PY14 Adjustable Goals Template_2025-03-01, Tab 5.3.16</v>
      </c>
      <c r="AV387" s="2247">
        <f>'5.3.16'!$S$19</f>
        <v>85.399500000000003</v>
      </c>
      <c r="AW387" s="2505"/>
      <c r="AX387" s="1362">
        <f t="shared" si="270"/>
        <v>12004.300276800002</v>
      </c>
      <c r="AY387" s="1360">
        <f t="shared" si="271"/>
        <v>0</v>
      </c>
      <c r="AZ387" s="1132" t="str">
        <f t="shared" si="272"/>
        <v>RS-HVC-ADTH-V03-190101</v>
      </c>
      <c r="BA387" s="1132" t="str">
        <f t="shared" si="273"/>
        <v>Nicor Gas PY11-PY14 Adjustable Goals Template_2025-03-01, Tab 5.3.16</v>
      </c>
      <c r="BB387" s="2247">
        <f>'5.3.16'!$S$19</f>
        <v>85.399500000000003</v>
      </c>
      <c r="BC387" s="2505"/>
      <c r="BD387" s="1362">
        <f t="shared" si="274"/>
        <v>12004.300276800002</v>
      </c>
      <c r="BE387" s="1360">
        <f t="shared" si="275"/>
        <v>0</v>
      </c>
      <c r="BF387" s="1132" t="str">
        <f t="shared" si="276"/>
        <v>RS-HVC-ADTH-V03-190101</v>
      </c>
      <c r="BG387" s="1132" t="str">
        <f t="shared" si="277"/>
        <v>Nicor Gas PY11-PY14 Adjustable Goals Template_2025-03-01, Tab 5.3.16</v>
      </c>
      <c r="BH387" s="2247">
        <f>'5.3.16'!$S$19</f>
        <v>85.399500000000003</v>
      </c>
      <c r="BI387" s="2505"/>
      <c r="BJ387" s="1362">
        <f t="shared" si="299"/>
        <v>12004.300276800002</v>
      </c>
      <c r="BK387" s="1360">
        <f t="shared" si="278"/>
        <v>0</v>
      </c>
      <c r="BL387" s="1601">
        <f t="shared" si="279"/>
        <v>12004.300276800002</v>
      </c>
      <c r="BM387" s="1601">
        <f t="shared" si="280"/>
        <v>12004.300276800002</v>
      </c>
      <c r="BN387" s="1601">
        <f t="shared" si="281"/>
        <v>12004.300276800002</v>
      </c>
      <c r="BO387" s="1601">
        <f t="shared" si="282"/>
        <v>12004.300276800002</v>
      </c>
      <c r="BP387" s="1602">
        <f t="shared" si="283"/>
        <v>48017.20110720001</v>
      </c>
      <c r="BQ387" s="1629"/>
      <c r="BR387" s="1629" t="s">
        <v>649</v>
      </c>
      <c r="BS387" s="1602">
        <v>0</v>
      </c>
      <c r="BT387" s="1602">
        <v>11</v>
      </c>
      <c r="BU387" s="1602">
        <v>11</v>
      </c>
      <c r="BV387" s="1602">
        <v>11</v>
      </c>
      <c r="BW387" s="1602">
        <v>11</v>
      </c>
      <c r="BX387" s="1362">
        <f t="shared" si="300"/>
        <v>132047.30304480004</v>
      </c>
      <c r="BY387" s="1362">
        <f t="shared" si="301"/>
        <v>132047.30304480004</v>
      </c>
      <c r="BZ387" s="1362">
        <f t="shared" si="302"/>
        <v>132047.30304480004</v>
      </c>
      <c r="CA387" s="1362">
        <f t="shared" si="303"/>
        <v>132047.30304480004</v>
      </c>
      <c r="CB387" s="1362">
        <f t="shared" si="304"/>
        <v>528189.21217920014</v>
      </c>
      <c r="CC387" s="1360">
        <v>11</v>
      </c>
      <c r="CD387" s="1360">
        <v>11</v>
      </c>
      <c r="CE387" s="1360">
        <v>11</v>
      </c>
      <c r="CF387" s="1360">
        <v>11</v>
      </c>
      <c r="CG387" s="1604">
        <f t="shared" si="284"/>
        <v>132047.30304480004</v>
      </c>
      <c r="CH387" s="1604">
        <f t="shared" si="285"/>
        <v>132047.30304480004</v>
      </c>
      <c r="CI387" s="1604">
        <f t="shared" si="286"/>
        <v>132047.30304480004</v>
      </c>
      <c r="CJ387" s="1604">
        <f t="shared" si="287"/>
        <v>132047.30304480004</v>
      </c>
      <c r="CK387" s="1521">
        <f t="shared" si="288"/>
        <v>528189.21217920014</v>
      </c>
      <c r="CL387" s="1132">
        <v>380</v>
      </c>
      <c r="CM387" s="1132" t="s">
        <v>356</v>
      </c>
      <c r="CN387" s="1359">
        <v>1</v>
      </c>
      <c r="CO387" s="1360">
        <v>77.124544856220211</v>
      </c>
      <c r="CP387" s="1360">
        <v>77.124544856220211</v>
      </c>
      <c r="CQ387" s="1360">
        <v>77.124544856220211</v>
      </c>
      <c r="CR387" s="1360">
        <v>77.124544856220211</v>
      </c>
      <c r="CS387" s="1362">
        <f t="shared" si="289"/>
        <v>6586.3975684487777</v>
      </c>
      <c r="CT387" s="1362">
        <f t="shared" si="290"/>
        <v>6586.3975684487777</v>
      </c>
      <c r="CU387" s="1362">
        <f t="shared" si="291"/>
        <v>6586.3975684487777</v>
      </c>
      <c r="CV387" s="1362">
        <f t="shared" si="292"/>
        <v>6586.3975684487777</v>
      </c>
      <c r="CW387" s="1362">
        <f t="shared" si="293"/>
        <v>26345.590273795111</v>
      </c>
      <c r="CY387" s="2887"/>
    </row>
    <row r="388" spans="1:103" s="1143" customFormat="1" ht="46.5" x14ac:dyDescent="0.35">
      <c r="A388" s="1132" t="s">
        <v>110</v>
      </c>
      <c r="B388" s="1132" t="s">
        <v>884</v>
      </c>
      <c r="C388" s="1132" t="s">
        <v>887</v>
      </c>
      <c r="D388" s="1359" t="s">
        <v>888</v>
      </c>
      <c r="E388" s="1359">
        <v>1</v>
      </c>
      <c r="F388" s="2564" t="s">
        <v>655</v>
      </c>
      <c r="G388" s="1132" t="s">
        <v>328</v>
      </c>
      <c r="H388" s="1360">
        <v>329.45250000000004</v>
      </c>
      <c r="I388" s="1360">
        <v>329.45250000000004</v>
      </c>
      <c r="J388" s="1360">
        <v>329.45250000000004</v>
      </c>
      <c r="K388" s="1360">
        <v>329.45250000000004</v>
      </c>
      <c r="L388" s="1132" t="s">
        <v>656</v>
      </c>
      <c r="M388" s="1132" t="str">
        <f t="shared" si="255"/>
        <v>Nicor Gas PY11-PY14 Adjustable Goals Template_2025-03-01, Tab 5.6.1</v>
      </c>
      <c r="N388" s="1361">
        <v>82.249495273443813</v>
      </c>
      <c r="O388" s="1361">
        <v>82.249495273443813</v>
      </c>
      <c r="P388" s="1361">
        <v>82.249495273443813</v>
      </c>
      <c r="Q388" s="1361">
        <v>82.249495273443813</v>
      </c>
      <c r="R388" s="1781">
        <v>1</v>
      </c>
      <c r="S388" s="1781">
        <v>1</v>
      </c>
      <c r="T388" s="1781">
        <v>1</v>
      </c>
      <c r="U388" s="1781">
        <v>1</v>
      </c>
      <c r="V388" s="1781">
        <v>1</v>
      </c>
      <c r="W388" s="1781">
        <v>1</v>
      </c>
      <c r="X388" s="1781">
        <v>1</v>
      </c>
      <c r="Y388" s="1781">
        <v>1</v>
      </c>
      <c r="Z388" s="1359">
        <v>0</v>
      </c>
      <c r="AA388" s="1781">
        <f t="shared" si="256"/>
        <v>1</v>
      </c>
      <c r="AB388" s="1781">
        <f t="shared" si="257"/>
        <v>1</v>
      </c>
      <c r="AC388" s="1781">
        <f t="shared" si="258"/>
        <v>1</v>
      </c>
      <c r="AD388" s="1781">
        <f t="shared" si="259"/>
        <v>1</v>
      </c>
      <c r="AE388" s="1781">
        <f t="shared" si="260"/>
        <v>1</v>
      </c>
      <c r="AF388" s="1781">
        <f t="shared" si="261"/>
        <v>1</v>
      </c>
      <c r="AG388" s="1781">
        <f t="shared" si="262"/>
        <v>1</v>
      </c>
      <c r="AH388" s="1781">
        <f t="shared" si="263"/>
        <v>1</v>
      </c>
      <c r="AI388" s="1362">
        <f t="shared" si="294"/>
        <v>27097.301841574252</v>
      </c>
      <c r="AJ388" s="1362">
        <f t="shared" si="295"/>
        <v>27097.301841574252</v>
      </c>
      <c r="AK388" s="1362">
        <f t="shared" si="296"/>
        <v>27097.301841574252</v>
      </c>
      <c r="AL388" s="1362">
        <f t="shared" si="297"/>
        <v>27097.301841574252</v>
      </c>
      <c r="AM388" s="1362">
        <f t="shared" si="298"/>
        <v>108389.20736629701</v>
      </c>
      <c r="AN388" s="1132" t="str">
        <f t="shared" si="264"/>
        <v>RS-SHL-AIRS-V07-190101</v>
      </c>
      <c r="AO388" s="1132" t="str">
        <f t="shared" si="265"/>
        <v>Nicor Gas PY11-PY14 Adjustable Goals Template_2025-03-01, Tab 5.6.1</v>
      </c>
      <c r="AP388" s="2247">
        <f>'5.6.1'!$V$8</f>
        <v>82.249495273443813</v>
      </c>
      <c r="AQ388" s="2505"/>
      <c r="AR388" s="2505">
        <f t="shared" si="266"/>
        <v>27097.301841574252</v>
      </c>
      <c r="AS388" s="2505">
        <f t="shared" si="267"/>
        <v>0</v>
      </c>
      <c r="AT388" s="1132" t="str">
        <f t="shared" si="268"/>
        <v>RS-SHL-AIRS-V07-190101</v>
      </c>
      <c r="AU388" s="1132" t="str">
        <f t="shared" si="269"/>
        <v>Nicor Gas PY11-PY14 Adjustable Goals Template_2025-03-01, Tab 5.6.1</v>
      </c>
      <c r="AV388" s="2247">
        <f>'5.6.1'!$V$8</f>
        <v>82.249495273443813</v>
      </c>
      <c r="AW388" s="2505"/>
      <c r="AX388" s="1362">
        <f t="shared" si="270"/>
        <v>27097.301841574252</v>
      </c>
      <c r="AY388" s="1360">
        <f t="shared" si="271"/>
        <v>0</v>
      </c>
      <c r="AZ388" s="1132" t="str">
        <f t="shared" si="272"/>
        <v>RS-SHL-AIRS-V07-190101</v>
      </c>
      <c r="BA388" s="1132" t="str">
        <f t="shared" si="273"/>
        <v>Nicor Gas PY11-PY14 Adjustable Goals Template_2025-03-01, Tab 5.6.1</v>
      </c>
      <c r="BB388" s="2247">
        <f>'5.6.1'!$V$8</f>
        <v>82.249495273443813</v>
      </c>
      <c r="BC388" s="2505"/>
      <c r="BD388" s="1362">
        <f t="shared" si="274"/>
        <v>27097.301841574252</v>
      </c>
      <c r="BE388" s="1360">
        <f t="shared" si="275"/>
        <v>0</v>
      </c>
      <c r="BF388" s="1132" t="str">
        <f t="shared" si="276"/>
        <v>RS-SHL-AIRS-V07-190101</v>
      </c>
      <c r="BG388" s="1132" t="str">
        <f t="shared" si="277"/>
        <v>Nicor Gas PY11-PY14 Adjustable Goals Template_2025-03-01, Tab 5.6.1</v>
      </c>
      <c r="BH388" s="2247">
        <f>'5.6.1'!$V$8</f>
        <v>82.249495273443813</v>
      </c>
      <c r="BI388" s="2505"/>
      <c r="BJ388" s="1362">
        <f t="shared" si="299"/>
        <v>27097.301841574252</v>
      </c>
      <c r="BK388" s="1360">
        <f t="shared" si="278"/>
        <v>0</v>
      </c>
      <c r="BL388" s="1601">
        <f t="shared" si="279"/>
        <v>27097.301841574252</v>
      </c>
      <c r="BM388" s="1601">
        <f t="shared" si="280"/>
        <v>27097.301841574252</v>
      </c>
      <c r="BN388" s="1601">
        <f t="shared" si="281"/>
        <v>27097.301841574252</v>
      </c>
      <c r="BO388" s="1601">
        <f t="shared" si="282"/>
        <v>27097.301841574252</v>
      </c>
      <c r="BP388" s="1602">
        <f t="shared" si="283"/>
        <v>108389.20736629701</v>
      </c>
      <c r="BQ388" s="1629"/>
      <c r="BR388" s="1629" t="s">
        <v>655</v>
      </c>
      <c r="BS388" s="2773">
        <v>1</v>
      </c>
      <c r="BT388" s="1602">
        <v>19.411764705882351</v>
      </c>
      <c r="BU388" s="1602">
        <v>19.411764705882351</v>
      </c>
      <c r="BV388" s="1602">
        <v>19.411764705882351</v>
      </c>
      <c r="BW388" s="1602">
        <v>19.411764705882351</v>
      </c>
      <c r="BX388" s="1362">
        <f t="shared" si="300"/>
        <v>526006.44751291187</v>
      </c>
      <c r="BY388" s="1362">
        <f t="shared" si="301"/>
        <v>526006.44751291187</v>
      </c>
      <c r="BZ388" s="1362">
        <f t="shared" si="302"/>
        <v>526006.44751291187</v>
      </c>
      <c r="CA388" s="1362">
        <f t="shared" si="303"/>
        <v>526006.44751291187</v>
      </c>
      <c r="CB388" s="1362">
        <f t="shared" si="304"/>
        <v>2104025.7900516475</v>
      </c>
      <c r="CC388" s="2775">
        <v>20</v>
      </c>
      <c r="CD388" s="2775">
        <v>20</v>
      </c>
      <c r="CE388" s="2775">
        <v>20</v>
      </c>
      <c r="CF388" s="2775">
        <v>20</v>
      </c>
      <c r="CG388" s="1604">
        <f t="shared" si="284"/>
        <v>541946.03683148499</v>
      </c>
      <c r="CH388" s="1604">
        <f t="shared" si="285"/>
        <v>541946.03683148499</v>
      </c>
      <c r="CI388" s="1604">
        <f t="shared" si="286"/>
        <v>541946.03683148499</v>
      </c>
      <c r="CJ388" s="1604">
        <f t="shared" si="287"/>
        <v>541946.03683148499</v>
      </c>
      <c r="CK388" s="1521">
        <f t="shared" si="288"/>
        <v>2167784.14732594</v>
      </c>
      <c r="CL388" s="1132">
        <v>381</v>
      </c>
      <c r="CM388" s="1132" t="s">
        <v>328</v>
      </c>
      <c r="CN388" s="1359">
        <v>1</v>
      </c>
      <c r="CO388" s="1360">
        <v>180.76459639146162</v>
      </c>
      <c r="CP388" s="1360">
        <v>180.76459639146162</v>
      </c>
      <c r="CQ388" s="1360">
        <v>180.76459639146162</v>
      </c>
      <c r="CR388" s="1360">
        <v>180.76459639146162</v>
      </c>
      <c r="CS388" s="1362">
        <f t="shared" si="289"/>
        <v>14867.796816505501</v>
      </c>
      <c r="CT388" s="1362">
        <f t="shared" si="290"/>
        <v>14867.796816505501</v>
      </c>
      <c r="CU388" s="1362">
        <f t="shared" si="291"/>
        <v>14867.796816505501</v>
      </c>
      <c r="CV388" s="1362">
        <f t="shared" si="292"/>
        <v>14867.796816505501</v>
      </c>
      <c r="CW388" s="1362">
        <f t="shared" si="293"/>
        <v>59471.187266022003</v>
      </c>
      <c r="CY388" s="2887"/>
    </row>
    <row r="389" spans="1:103" s="1143" customFormat="1" ht="46.5" x14ac:dyDescent="0.35">
      <c r="A389" s="1132" t="s">
        <v>110</v>
      </c>
      <c r="B389" s="1132" t="s">
        <v>884</v>
      </c>
      <c r="C389" s="1132" t="s">
        <v>889</v>
      </c>
      <c r="D389" s="1359" t="s">
        <v>890</v>
      </c>
      <c r="E389" s="1359">
        <v>1</v>
      </c>
      <c r="F389" s="2564" t="s">
        <v>659</v>
      </c>
      <c r="G389" s="1132" t="s">
        <v>328</v>
      </c>
      <c r="H389" s="1360">
        <v>301.99812500000002</v>
      </c>
      <c r="I389" s="1360">
        <v>301.99812500000002</v>
      </c>
      <c r="J389" s="1360">
        <v>301.99812500000002</v>
      </c>
      <c r="K389" s="1360">
        <v>301.99812500000002</v>
      </c>
      <c r="L389" s="1132" t="s">
        <v>660</v>
      </c>
      <c r="M389" s="1132" t="str">
        <f t="shared" si="255"/>
        <v>Nicor Gas PY11-PY14 Adjustable Goals Template_2025-03-01, Tab 5.6.5</v>
      </c>
      <c r="N389" s="1361">
        <v>53.999862239999985</v>
      </c>
      <c r="O389" s="1361">
        <v>53.999862239999985</v>
      </c>
      <c r="P389" s="1361">
        <v>53.999862239999985</v>
      </c>
      <c r="Q389" s="1361">
        <v>53.999862239999985</v>
      </c>
      <c r="R389" s="1781">
        <v>1</v>
      </c>
      <c r="S389" s="1781">
        <v>1</v>
      </c>
      <c r="T389" s="1781">
        <v>1</v>
      </c>
      <c r="U389" s="1781">
        <v>1</v>
      </c>
      <c r="V389" s="1781">
        <v>1</v>
      </c>
      <c r="W389" s="1781">
        <v>1</v>
      </c>
      <c r="X389" s="1781">
        <v>1</v>
      </c>
      <c r="Y389" s="1781">
        <v>1</v>
      </c>
      <c r="Z389" s="1359">
        <v>0</v>
      </c>
      <c r="AA389" s="1781">
        <f t="shared" si="256"/>
        <v>1</v>
      </c>
      <c r="AB389" s="1781">
        <f t="shared" si="257"/>
        <v>1</v>
      </c>
      <c r="AC389" s="1781">
        <f t="shared" si="258"/>
        <v>1</v>
      </c>
      <c r="AD389" s="1781">
        <f t="shared" si="259"/>
        <v>1</v>
      </c>
      <c r="AE389" s="1781">
        <f t="shared" si="260"/>
        <v>1</v>
      </c>
      <c r="AF389" s="1781">
        <f t="shared" si="261"/>
        <v>1</v>
      </c>
      <c r="AG389" s="1781">
        <f t="shared" si="262"/>
        <v>1</v>
      </c>
      <c r="AH389" s="1781">
        <f t="shared" si="263"/>
        <v>1</v>
      </c>
      <c r="AI389" s="1362">
        <f t="shared" si="294"/>
        <v>16307.857146738295</v>
      </c>
      <c r="AJ389" s="1362">
        <f t="shared" si="295"/>
        <v>16307.857146738295</v>
      </c>
      <c r="AK389" s="1362">
        <f t="shared" si="296"/>
        <v>16307.857146738295</v>
      </c>
      <c r="AL389" s="1362">
        <f t="shared" si="297"/>
        <v>16307.857146738295</v>
      </c>
      <c r="AM389" s="1362">
        <f t="shared" si="298"/>
        <v>65231.428586953181</v>
      </c>
      <c r="AN389" s="1132" t="str">
        <f t="shared" si="264"/>
        <v>RS-SHL-AINS-V07-180101</v>
      </c>
      <c r="AO389" s="1132" t="str">
        <f t="shared" si="265"/>
        <v>Nicor Gas PY11-PY14 Adjustable Goals Template_2025-03-01, Tab 5.6.5</v>
      </c>
      <c r="AP389" s="2505">
        <f>'5.6.4&amp;5.6.5'!$X$10</f>
        <v>53.999862239999985</v>
      </c>
      <c r="AQ389" s="2505"/>
      <c r="AR389" s="2505">
        <f t="shared" si="266"/>
        <v>16307.857146738295</v>
      </c>
      <c r="AS389" s="2505">
        <f t="shared" si="267"/>
        <v>0</v>
      </c>
      <c r="AT389" s="1132" t="str">
        <f t="shared" si="268"/>
        <v>RS-SHL-AINS-V07-180101</v>
      </c>
      <c r="AU389" s="1132" t="str">
        <f t="shared" si="269"/>
        <v>Nicor Gas PY11-PY14 Adjustable Goals Template_2025-03-01, Tab 5.6.5</v>
      </c>
      <c r="AV389" s="2505">
        <f>'5.6.4&amp;5.6.5'!$X$10</f>
        <v>53.999862239999985</v>
      </c>
      <c r="AW389" s="2505"/>
      <c r="AX389" s="1362">
        <f t="shared" si="270"/>
        <v>16307.857146738295</v>
      </c>
      <c r="AY389" s="1360">
        <f t="shared" si="271"/>
        <v>0</v>
      </c>
      <c r="AZ389" s="1132" t="str">
        <f t="shared" si="272"/>
        <v>RS-SHL-AINS-V07-180101</v>
      </c>
      <c r="BA389" s="1132" t="str">
        <f t="shared" si="273"/>
        <v>Nicor Gas PY11-PY14 Adjustable Goals Template_2025-03-01, Tab 5.6.5</v>
      </c>
      <c r="BB389" s="2505">
        <f>'5.6.4&amp;5.6.5'!$X$10</f>
        <v>53.999862239999985</v>
      </c>
      <c r="BC389" s="2505"/>
      <c r="BD389" s="1362">
        <f t="shared" si="274"/>
        <v>16307.857146738295</v>
      </c>
      <c r="BE389" s="1360">
        <f t="shared" si="275"/>
        <v>0</v>
      </c>
      <c r="BF389" s="1132" t="str">
        <f t="shared" si="276"/>
        <v>RS-SHL-AINS-V07-180101</v>
      </c>
      <c r="BG389" s="1132" t="str">
        <f t="shared" si="277"/>
        <v>Nicor Gas PY11-PY14 Adjustable Goals Template_2025-03-01, Tab 5.6.5</v>
      </c>
      <c r="BH389" s="2505">
        <f>'5.6.4&amp;5.6.5'!$X$10</f>
        <v>53.999862239999985</v>
      </c>
      <c r="BI389" s="2505"/>
      <c r="BJ389" s="1362">
        <f t="shared" si="299"/>
        <v>16307.857146738295</v>
      </c>
      <c r="BK389" s="1360">
        <f t="shared" si="278"/>
        <v>0</v>
      </c>
      <c r="BL389" s="1601">
        <f t="shared" si="279"/>
        <v>16307.857146738295</v>
      </c>
      <c r="BM389" s="1601">
        <f t="shared" si="280"/>
        <v>16307.857146738295</v>
      </c>
      <c r="BN389" s="1601">
        <f t="shared" si="281"/>
        <v>16307.857146738295</v>
      </c>
      <c r="BO389" s="1601">
        <f t="shared" si="282"/>
        <v>16307.857146738295</v>
      </c>
      <c r="BP389" s="1602">
        <f t="shared" si="283"/>
        <v>65231.428586953181</v>
      </c>
      <c r="BQ389" s="1629"/>
      <c r="BR389" s="1629" t="s">
        <v>659</v>
      </c>
      <c r="BS389" s="2773">
        <v>1</v>
      </c>
      <c r="BT389" s="1602">
        <v>19.411764705882355</v>
      </c>
      <c r="BU389" s="1602">
        <v>19.411764705882355</v>
      </c>
      <c r="BV389" s="1602">
        <v>19.411764705882355</v>
      </c>
      <c r="BW389" s="1602">
        <v>19.411764705882355</v>
      </c>
      <c r="BX389" s="1362">
        <f t="shared" si="300"/>
        <v>316564.28578962578</v>
      </c>
      <c r="BY389" s="1362">
        <f t="shared" si="301"/>
        <v>316564.28578962578</v>
      </c>
      <c r="BZ389" s="1362">
        <f t="shared" si="302"/>
        <v>316564.28578962578</v>
      </c>
      <c r="CA389" s="1362">
        <f t="shared" si="303"/>
        <v>316564.28578962578</v>
      </c>
      <c r="CB389" s="1362">
        <f t="shared" si="304"/>
        <v>1266257.1431585031</v>
      </c>
      <c r="CC389" s="2775">
        <v>20</v>
      </c>
      <c r="CD389" s="2775">
        <v>20</v>
      </c>
      <c r="CE389" s="2775">
        <v>20</v>
      </c>
      <c r="CF389" s="2775">
        <v>20</v>
      </c>
      <c r="CG389" s="1604">
        <f t="shared" si="284"/>
        <v>326157.1429347659</v>
      </c>
      <c r="CH389" s="1604">
        <f t="shared" si="285"/>
        <v>326157.1429347659</v>
      </c>
      <c r="CI389" s="1604">
        <f t="shared" si="286"/>
        <v>326157.1429347659</v>
      </c>
      <c r="CJ389" s="1604">
        <f t="shared" si="287"/>
        <v>326157.1429347659</v>
      </c>
      <c r="CK389" s="1521">
        <f t="shared" si="288"/>
        <v>1304628.5717390636</v>
      </c>
      <c r="CL389" s="1132">
        <v>382</v>
      </c>
      <c r="CM389" s="1132" t="s">
        <v>328</v>
      </c>
      <c r="CN389" s="1359">
        <v>1</v>
      </c>
      <c r="CO389" s="1360">
        <v>173.24288120897603</v>
      </c>
      <c r="CP389" s="1360">
        <v>173.24288120897603</v>
      </c>
      <c r="CQ389" s="1360">
        <v>173.24288120897603</v>
      </c>
      <c r="CR389" s="1360">
        <v>173.24288120897603</v>
      </c>
      <c r="CS389" s="1362">
        <f t="shared" si="289"/>
        <v>9355.0917193453879</v>
      </c>
      <c r="CT389" s="1362">
        <f t="shared" si="290"/>
        <v>9355.0917193453879</v>
      </c>
      <c r="CU389" s="1362">
        <f t="shared" si="291"/>
        <v>9355.0917193453879</v>
      </c>
      <c r="CV389" s="1362">
        <f t="shared" si="292"/>
        <v>9355.0917193453879</v>
      </c>
      <c r="CW389" s="1362">
        <f t="shared" si="293"/>
        <v>37420.366877381552</v>
      </c>
      <c r="CY389" s="2887"/>
    </row>
    <row r="390" spans="1:103" s="1143" customFormat="1" ht="46.5" x14ac:dyDescent="0.35">
      <c r="A390" s="1132" t="s">
        <v>110</v>
      </c>
      <c r="B390" s="1132" t="s">
        <v>884</v>
      </c>
      <c r="C390" s="1132" t="s">
        <v>848</v>
      </c>
      <c r="D390" s="1359" t="s">
        <v>849</v>
      </c>
      <c r="E390" s="1359">
        <v>1</v>
      </c>
      <c r="F390" s="2564" t="s">
        <v>675</v>
      </c>
      <c r="G390" s="1132" t="s">
        <v>328</v>
      </c>
      <c r="H390" s="1360">
        <v>124.09377500000002</v>
      </c>
      <c r="I390" s="1360">
        <v>124.09377500000002</v>
      </c>
      <c r="J390" s="1360">
        <v>124.09377500000002</v>
      </c>
      <c r="K390" s="1360">
        <v>124.09377500000002</v>
      </c>
      <c r="L390" s="1132" t="s">
        <v>676</v>
      </c>
      <c r="M390" s="1132" t="str">
        <f t="shared" si="255"/>
        <v>Nicor Gas PY11-PY14 Adjustable Goals Template_2025-03-01, Tab 5.6.2</v>
      </c>
      <c r="N390" s="1361">
        <v>32.473614073173309</v>
      </c>
      <c r="O390" s="1361">
        <v>32.473614073173309</v>
      </c>
      <c r="P390" s="1361">
        <v>32.473614073173309</v>
      </c>
      <c r="Q390" s="1361">
        <v>32.473614073173309</v>
      </c>
      <c r="R390" s="1781">
        <v>1</v>
      </c>
      <c r="S390" s="1781">
        <v>1</v>
      </c>
      <c r="T390" s="1781">
        <v>1</v>
      </c>
      <c r="U390" s="1781">
        <v>1</v>
      </c>
      <c r="V390" s="1781">
        <v>1</v>
      </c>
      <c r="W390" s="1781">
        <v>1</v>
      </c>
      <c r="X390" s="1781">
        <v>1</v>
      </c>
      <c r="Y390" s="1781">
        <v>1</v>
      </c>
      <c r="Z390" s="1359">
        <v>0</v>
      </c>
      <c r="AA390" s="1781">
        <f t="shared" si="256"/>
        <v>1</v>
      </c>
      <c r="AB390" s="1781">
        <f t="shared" si="257"/>
        <v>1</v>
      </c>
      <c r="AC390" s="1781">
        <f t="shared" si="258"/>
        <v>1</v>
      </c>
      <c r="AD390" s="1781">
        <f t="shared" si="259"/>
        <v>1</v>
      </c>
      <c r="AE390" s="1781">
        <f t="shared" si="260"/>
        <v>1</v>
      </c>
      <c r="AF390" s="1781">
        <f t="shared" si="261"/>
        <v>1</v>
      </c>
      <c r="AG390" s="1781">
        <f t="shared" si="262"/>
        <v>1</v>
      </c>
      <c r="AH390" s="1781">
        <f t="shared" si="263"/>
        <v>1</v>
      </c>
      <c r="AI390" s="1362">
        <f t="shared" si="294"/>
        <v>4029.773358233203</v>
      </c>
      <c r="AJ390" s="1362">
        <f t="shared" si="295"/>
        <v>4029.773358233203</v>
      </c>
      <c r="AK390" s="1362">
        <f t="shared" si="296"/>
        <v>4029.773358233203</v>
      </c>
      <c r="AL390" s="1362">
        <f t="shared" si="297"/>
        <v>4029.773358233203</v>
      </c>
      <c r="AM390" s="1362">
        <f t="shared" si="298"/>
        <v>16119.093432932812</v>
      </c>
      <c r="AN390" s="1132" t="str">
        <f t="shared" si="264"/>
        <v>RS-SHL-BINS-V09-190101</v>
      </c>
      <c r="AO390" s="1132" t="str">
        <f t="shared" si="265"/>
        <v>Nicor Gas PY11-PY14 Adjustable Goals Template_2025-03-01, Tab 5.6.2</v>
      </c>
      <c r="AP390" s="2505">
        <f>'5.6.2'!$AA$6</f>
        <v>32.473614073173309</v>
      </c>
      <c r="AQ390" s="2505"/>
      <c r="AR390" s="2505">
        <f t="shared" si="266"/>
        <v>4029.773358233203</v>
      </c>
      <c r="AS390" s="2505">
        <f t="shared" si="267"/>
        <v>0</v>
      </c>
      <c r="AT390" s="1132" t="str">
        <f t="shared" si="268"/>
        <v>RS-SHL-BINS-V09-190101</v>
      </c>
      <c r="AU390" s="1132" t="str">
        <f t="shared" si="269"/>
        <v>Nicor Gas PY11-PY14 Adjustable Goals Template_2025-03-01, Tab 5.6.2</v>
      </c>
      <c r="AV390" s="2505">
        <f>'5.6.2'!$AA$6</f>
        <v>32.473614073173309</v>
      </c>
      <c r="AW390" s="2505"/>
      <c r="AX390" s="1362">
        <f t="shared" si="270"/>
        <v>4029.773358233203</v>
      </c>
      <c r="AY390" s="1360">
        <f t="shared" si="271"/>
        <v>0</v>
      </c>
      <c r="AZ390" s="1132" t="str">
        <f t="shared" si="272"/>
        <v>RS-SHL-BINS-V09-190101</v>
      </c>
      <c r="BA390" s="1132" t="str">
        <f t="shared" si="273"/>
        <v>Nicor Gas PY11-PY14 Adjustable Goals Template_2025-03-01, Tab 5.6.2</v>
      </c>
      <c r="BB390" s="2505">
        <f>'5.6.2'!$AA$6</f>
        <v>32.473614073173309</v>
      </c>
      <c r="BC390" s="2505"/>
      <c r="BD390" s="1362">
        <f t="shared" si="274"/>
        <v>4029.773358233203</v>
      </c>
      <c r="BE390" s="1360">
        <f t="shared" si="275"/>
        <v>0</v>
      </c>
      <c r="BF390" s="1132" t="str">
        <f t="shared" si="276"/>
        <v>RS-SHL-BINS-V09-190101</v>
      </c>
      <c r="BG390" s="1132" t="str">
        <f t="shared" si="277"/>
        <v>Nicor Gas PY11-PY14 Adjustable Goals Template_2025-03-01, Tab 5.6.2</v>
      </c>
      <c r="BH390" s="2505">
        <f>'5.6.2'!$AA$6</f>
        <v>32.473614073173309</v>
      </c>
      <c r="BI390" s="2505"/>
      <c r="BJ390" s="1362">
        <f t="shared" si="299"/>
        <v>4029.773358233203</v>
      </c>
      <c r="BK390" s="1360">
        <f t="shared" si="278"/>
        <v>0</v>
      </c>
      <c r="BL390" s="1601">
        <f t="shared" si="279"/>
        <v>4029.773358233203</v>
      </c>
      <c r="BM390" s="1601">
        <f t="shared" si="280"/>
        <v>4029.773358233203</v>
      </c>
      <c r="BN390" s="1601">
        <f t="shared" si="281"/>
        <v>4029.773358233203</v>
      </c>
      <c r="BO390" s="1601">
        <f t="shared" si="282"/>
        <v>4029.773358233203</v>
      </c>
      <c r="BP390" s="1602">
        <f t="shared" si="283"/>
        <v>16119.093432932812</v>
      </c>
      <c r="BQ390" s="1629"/>
      <c r="BR390" s="1629" t="s">
        <v>675</v>
      </c>
      <c r="BS390" s="2773">
        <v>1</v>
      </c>
      <c r="BT390" s="1602">
        <v>19.411764705882351</v>
      </c>
      <c r="BU390" s="1602">
        <v>19.411764705882351</v>
      </c>
      <c r="BV390" s="1602">
        <v>19.411764705882351</v>
      </c>
      <c r="BW390" s="1602">
        <v>19.411764705882351</v>
      </c>
      <c r="BX390" s="1362">
        <f t="shared" si="300"/>
        <v>78225.012248056286</v>
      </c>
      <c r="BY390" s="1362">
        <f t="shared" si="301"/>
        <v>78225.012248056286</v>
      </c>
      <c r="BZ390" s="1362">
        <f t="shared" si="302"/>
        <v>78225.012248056286</v>
      </c>
      <c r="CA390" s="1362">
        <f t="shared" si="303"/>
        <v>78225.012248056286</v>
      </c>
      <c r="CB390" s="1362">
        <f t="shared" si="304"/>
        <v>312900.04899222514</v>
      </c>
      <c r="CC390" s="2775">
        <v>20</v>
      </c>
      <c r="CD390" s="2775">
        <v>20</v>
      </c>
      <c r="CE390" s="2775">
        <v>20</v>
      </c>
      <c r="CF390" s="2775">
        <v>20</v>
      </c>
      <c r="CG390" s="1604">
        <f t="shared" si="284"/>
        <v>80595.467164664064</v>
      </c>
      <c r="CH390" s="1604">
        <f t="shared" si="285"/>
        <v>80595.467164664064</v>
      </c>
      <c r="CI390" s="1604">
        <f t="shared" si="286"/>
        <v>80595.467164664064</v>
      </c>
      <c r="CJ390" s="1604">
        <f t="shared" si="287"/>
        <v>80595.467164664064</v>
      </c>
      <c r="CK390" s="1521">
        <f t="shared" si="288"/>
        <v>322381.86865865625</v>
      </c>
      <c r="CL390" s="1132">
        <v>383</v>
      </c>
      <c r="CM390" s="1132" t="s">
        <v>328</v>
      </c>
      <c r="CN390" s="1359">
        <v>1</v>
      </c>
      <c r="CO390" s="1360">
        <v>78.49474586059101</v>
      </c>
      <c r="CP390" s="1360">
        <v>78.49474586059101</v>
      </c>
      <c r="CQ390" s="1360">
        <v>78.49474586059101</v>
      </c>
      <c r="CR390" s="1360">
        <v>78.49474586059101</v>
      </c>
      <c r="CS390" s="1362">
        <f t="shared" si="289"/>
        <v>2549.0080838486506</v>
      </c>
      <c r="CT390" s="1362">
        <f t="shared" si="290"/>
        <v>2549.0080838486506</v>
      </c>
      <c r="CU390" s="1362">
        <f t="shared" si="291"/>
        <v>2549.0080838486506</v>
      </c>
      <c r="CV390" s="1362">
        <f t="shared" si="292"/>
        <v>2549.0080838486506</v>
      </c>
      <c r="CW390" s="1362">
        <f t="shared" si="293"/>
        <v>10196.032335394602</v>
      </c>
      <c r="CY390" s="2887"/>
    </row>
    <row r="391" spans="1:103" s="1143" customFormat="1" ht="46.5" x14ac:dyDescent="0.35">
      <c r="A391" s="1132" t="s">
        <v>110</v>
      </c>
      <c r="B391" s="1132" t="s">
        <v>884</v>
      </c>
      <c r="C391" s="1132" t="s">
        <v>891</v>
      </c>
      <c r="D391" s="1359" t="s">
        <v>892</v>
      </c>
      <c r="E391" s="1359">
        <v>1</v>
      </c>
      <c r="F391" s="2807" t="s">
        <v>697</v>
      </c>
      <c r="G391" s="1132" t="s">
        <v>328</v>
      </c>
      <c r="H391" s="1360">
        <v>270.15105000000005</v>
      </c>
      <c r="I391" s="1360">
        <v>270.15105000000005</v>
      </c>
      <c r="J391" s="1360">
        <v>270.15105000000005</v>
      </c>
      <c r="K391" s="1360">
        <v>270.15105000000005</v>
      </c>
      <c r="L391" s="1132" t="s">
        <v>698</v>
      </c>
      <c r="M391" s="1132" t="str">
        <f t="shared" si="255"/>
        <v>Nicor Gas PY11-PY14 Adjustable Goals Template_2025-03-01, Tab 5.4.4</v>
      </c>
      <c r="N391" s="1361">
        <v>0.86466343134530088</v>
      </c>
      <c r="O391" s="1361">
        <v>0.86466343134530088</v>
      </c>
      <c r="P391" s="1361">
        <v>0.86466343134530088</v>
      </c>
      <c r="Q391" s="1361">
        <v>0.86466343134530088</v>
      </c>
      <c r="R391" s="1781">
        <v>1</v>
      </c>
      <c r="S391" s="1781">
        <v>1</v>
      </c>
      <c r="T391" s="1781">
        <v>1</v>
      </c>
      <c r="U391" s="1781">
        <v>1</v>
      </c>
      <c r="V391" s="1781">
        <v>1</v>
      </c>
      <c r="W391" s="1781">
        <v>1</v>
      </c>
      <c r="X391" s="1781">
        <v>1</v>
      </c>
      <c r="Y391" s="1781">
        <v>1</v>
      </c>
      <c r="Z391" s="1359">
        <v>0</v>
      </c>
      <c r="AA391" s="1781">
        <f t="shared" si="256"/>
        <v>1</v>
      </c>
      <c r="AB391" s="1781">
        <f t="shared" si="257"/>
        <v>1</v>
      </c>
      <c r="AC391" s="1781">
        <f t="shared" si="258"/>
        <v>1</v>
      </c>
      <c r="AD391" s="1781">
        <f t="shared" si="259"/>
        <v>1</v>
      </c>
      <c r="AE391" s="1781">
        <f t="shared" si="260"/>
        <v>1</v>
      </c>
      <c r="AF391" s="1781">
        <f t="shared" si="261"/>
        <v>1</v>
      </c>
      <c r="AG391" s="1781">
        <f t="shared" si="262"/>
        <v>1</v>
      </c>
      <c r="AH391" s="1781">
        <f t="shared" si="263"/>
        <v>1</v>
      </c>
      <c r="AI391" s="1362">
        <f t="shared" si="294"/>
        <v>233.58973387453599</v>
      </c>
      <c r="AJ391" s="1362">
        <f t="shared" si="295"/>
        <v>233.58973387453599</v>
      </c>
      <c r="AK391" s="1362">
        <f t="shared" si="296"/>
        <v>233.58973387453599</v>
      </c>
      <c r="AL391" s="1362">
        <f t="shared" si="297"/>
        <v>233.58973387453599</v>
      </c>
      <c r="AM391" s="1362">
        <f t="shared" si="298"/>
        <v>934.35893549814398</v>
      </c>
      <c r="AN391" s="1132" t="str">
        <f t="shared" si="264"/>
        <v>RS-HWE-LFFA-V07-190101</v>
      </c>
      <c r="AO391" s="1132" t="str">
        <f t="shared" si="265"/>
        <v>Nicor Gas PY11-PY14 Adjustable Goals Template_2025-03-01, Tab 5.4.4</v>
      </c>
      <c r="AP391" s="2738">
        <f>'5.4.4'!$O$18</f>
        <v>0.9635545569243823</v>
      </c>
      <c r="AQ391" s="2568" t="s">
        <v>557</v>
      </c>
      <c r="AR391" s="2505">
        <f t="shared" si="266"/>
        <v>260.30527528540671</v>
      </c>
      <c r="AS391" s="2505">
        <f t="shared" si="267"/>
        <v>26.715541410870713</v>
      </c>
      <c r="AT391" s="1132" t="str">
        <f t="shared" si="268"/>
        <v>RS-HWE-LFFA-V07-190101</v>
      </c>
      <c r="AU391" s="1132" t="str">
        <f t="shared" si="269"/>
        <v>Nicor Gas PY11-PY14 Adjustable Goals Template_2025-03-01, Tab 5.4.4</v>
      </c>
      <c r="AV391" s="2247">
        <f>'5.4.4'!$O$18</f>
        <v>0.9635545569243823</v>
      </c>
      <c r="AW391" s="2568" t="s">
        <v>557</v>
      </c>
      <c r="AX391" s="1362">
        <f t="shared" si="270"/>
        <v>260.30527528540671</v>
      </c>
      <c r="AY391" s="1360">
        <f t="shared" si="271"/>
        <v>26.715541410870713</v>
      </c>
      <c r="AZ391" s="1132" t="str">
        <f t="shared" si="272"/>
        <v>RS-HWE-LFFA-V07-190101</v>
      </c>
      <c r="BA391" s="1132" t="str">
        <f t="shared" si="273"/>
        <v>Nicor Gas PY11-PY14 Adjustable Goals Template_2025-03-01, Tab 5.4.4</v>
      </c>
      <c r="BB391" s="2247">
        <f>'5.4.4'!$O$18</f>
        <v>0.9635545569243823</v>
      </c>
      <c r="BC391" s="2568" t="s">
        <v>557</v>
      </c>
      <c r="BD391" s="1362">
        <f t="shared" si="274"/>
        <v>260.30527528540671</v>
      </c>
      <c r="BE391" s="1360">
        <f t="shared" si="275"/>
        <v>26.715541410870713</v>
      </c>
      <c r="BF391" s="1132" t="str">
        <f t="shared" si="276"/>
        <v>RS-HWE-LFFA-V07-190101</v>
      </c>
      <c r="BG391" s="1132" t="str">
        <f t="shared" si="277"/>
        <v>Nicor Gas PY11-PY14 Adjustable Goals Template_2025-03-01, Tab 5.4.4</v>
      </c>
      <c r="BH391" s="2247">
        <f>'5.4.4'!$O$18</f>
        <v>0.9635545569243823</v>
      </c>
      <c r="BI391" s="2568" t="s">
        <v>557</v>
      </c>
      <c r="BJ391" s="1362">
        <f t="shared" si="299"/>
        <v>260.30527528540671</v>
      </c>
      <c r="BK391" s="1360">
        <f t="shared" si="278"/>
        <v>26.715541410870713</v>
      </c>
      <c r="BL391" s="1601">
        <f t="shared" si="279"/>
        <v>260.30527528540671</v>
      </c>
      <c r="BM391" s="1601">
        <f t="shared" si="280"/>
        <v>260.30527528540671</v>
      </c>
      <c r="BN391" s="1601">
        <f t="shared" si="281"/>
        <v>260.30527528540671</v>
      </c>
      <c r="BO391" s="1601">
        <f t="shared" si="282"/>
        <v>260.30527528540671</v>
      </c>
      <c r="BP391" s="1602">
        <f t="shared" si="283"/>
        <v>1041.2211011416268</v>
      </c>
      <c r="BQ391" s="1629"/>
      <c r="BR391" s="1629" t="s">
        <v>697</v>
      </c>
      <c r="BS391" s="1602">
        <v>0</v>
      </c>
      <c r="BT391" s="1602">
        <v>10</v>
      </c>
      <c r="BU391" s="1602">
        <v>10</v>
      </c>
      <c r="BV391" s="1602">
        <v>10</v>
      </c>
      <c r="BW391" s="1602">
        <v>10</v>
      </c>
      <c r="BX391" s="1362">
        <f t="shared" si="300"/>
        <v>2335.8973387453598</v>
      </c>
      <c r="BY391" s="1362">
        <f t="shared" si="301"/>
        <v>2335.8973387453598</v>
      </c>
      <c r="BZ391" s="1362">
        <f t="shared" si="302"/>
        <v>2335.8973387453598</v>
      </c>
      <c r="CA391" s="1362">
        <f t="shared" si="303"/>
        <v>2335.8973387453598</v>
      </c>
      <c r="CB391" s="1362">
        <f t="shared" si="304"/>
        <v>9343.5893549814391</v>
      </c>
      <c r="CC391" s="1360">
        <v>10</v>
      </c>
      <c r="CD391" s="1360">
        <v>10</v>
      </c>
      <c r="CE391" s="1360">
        <v>10</v>
      </c>
      <c r="CF391" s="1360">
        <v>10</v>
      </c>
      <c r="CG391" s="1604">
        <f t="shared" si="284"/>
        <v>2603.052752854067</v>
      </c>
      <c r="CH391" s="1604">
        <f t="shared" si="285"/>
        <v>2603.052752854067</v>
      </c>
      <c r="CI391" s="1604">
        <f t="shared" si="286"/>
        <v>2603.052752854067</v>
      </c>
      <c r="CJ391" s="1604">
        <f t="shared" si="287"/>
        <v>2603.052752854067</v>
      </c>
      <c r="CK391" s="1521">
        <f t="shared" si="288"/>
        <v>10412.211011416268</v>
      </c>
      <c r="CL391" s="1132">
        <v>384</v>
      </c>
      <c r="CM391" s="1132" t="s">
        <v>328</v>
      </c>
      <c r="CN391" s="1359">
        <v>1</v>
      </c>
      <c r="CO391" s="1360">
        <v>148.34266621621626</v>
      </c>
      <c r="CP391" s="1360">
        <v>148.34266621621626</v>
      </c>
      <c r="CQ391" s="1360">
        <v>148.34266621621626</v>
      </c>
      <c r="CR391" s="1360">
        <v>148.34266621621626</v>
      </c>
      <c r="CS391" s="1362">
        <f t="shared" si="289"/>
        <v>128.2664787854242</v>
      </c>
      <c r="CT391" s="1362">
        <f t="shared" si="290"/>
        <v>128.2664787854242</v>
      </c>
      <c r="CU391" s="1362">
        <f t="shared" si="291"/>
        <v>128.2664787854242</v>
      </c>
      <c r="CV391" s="1362">
        <f t="shared" si="292"/>
        <v>128.2664787854242</v>
      </c>
      <c r="CW391" s="1362">
        <f t="shared" si="293"/>
        <v>513.06591514169679</v>
      </c>
      <c r="CY391" s="2887"/>
    </row>
    <row r="392" spans="1:103" s="1143" customFormat="1" ht="46.5" x14ac:dyDescent="0.35">
      <c r="A392" s="1132" t="s">
        <v>110</v>
      </c>
      <c r="B392" s="1132" t="s">
        <v>884</v>
      </c>
      <c r="C392" s="1132" t="s">
        <v>635</v>
      </c>
      <c r="D392" s="1359" t="s">
        <v>636</v>
      </c>
      <c r="E392" s="1359">
        <v>1</v>
      </c>
      <c r="F392" s="2564" t="s">
        <v>637</v>
      </c>
      <c r="G392" s="1132" t="s">
        <v>356</v>
      </c>
      <c r="H392" s="1360">
        <v>14.276275000000002</v>
      </c>
      <c r="I392" s="1360">
        <v>14.276275000000002</v>
      </c>
      <c r="J392" s="1360">
        <v>14.276275000000002</v>
      </c>
      <c r="K392" s="1360">
        <v>14.276275000000002</v>
      </c>
      <c r="L392" s="1132" t="s">
        <v>638</v>
      </c>
      <c r="M392" s="1132" t="str">
        <f t="shared" ref="M392:M455" si="305">IF(F392&lt;&gt;"Custom",CONCATENATE($I$1,", ",$J$1," ",F392),"")</f>
        <v>Nicor Gas PY11-PY14 Adjustable Goals Template_2025-03-01, Tab 5.3.6</v>
      </c>
      <c r="N392" s="2515">
        <v>200.87617986470349</v>
      </c>
      <c r="O392" s="1361">
        <v>200.87617986470349</v>
      </c>
      <c r="P392" s="1361">
        <v>200.87617986470349</v>
      </c>
      <c r="Q392" s="1361">
        <v>200.87617986470349</v>
      </c>
      <c r="R392" s="1781">
        <v>1</v>
      </c>
      <c r="S392" s="1781">
        <v>1</v>
      </c>
      <c r="T392" s="1781">
        <v>1</v>
      </c>
      <c r="U392" s="1781">
        <v>1</v>
      </c>
      <c r="V392" s="1781">
        <v>1</v>
      </c>
      <c r="W392" s="1781">
        <v>1</v>
      </c>
      <c r="X392" s="1781">
        <v>1</v>
      </c>
      <c r="Y392" s="1781">
        <v>1</v>
      </c>
      <c r="Z392" s="1359">
        <v>0</v>
      </c>
      <c r="AA392" s="1781">
        <f t="shared" ref="AA392:AA455" si="306">V392</f>
        <v>1</v>
      </c>
      <c r="AB392" s="1781">
        <f t="shared" ref="AB392:AB455" si="307">W392</f>
        <v>1</v>
      </c>
      <c r="AC392" s="1781">
        <f t="shared" ref="AC392:AC455" si="308">X392</f>
        <v>1</v>
      </c>
      <c r="AD392" s="1781">
        <f t="shared" ref="AD392:AD455" si="309">Y392</f>
        <v>1</v>
      </c>
      <c r="AE392" s="1781">
        <f t="shared" ref="AE392:AE455" si="310">V392</f>
        <v>1</v>
      </c>
      <c r="AF392" s="1781">
        <f t="shared" ref="AF392:AF455" si="311">W392</f>
        <v>1</v>
      </c>
      <c r="AG392" s="1781">
        <f t="shared" ref="AG392:AG455" si="312">X392</f>
        <v>1</v>
      </c>
      <c r="AH392" s="1781">
        <f t="shared" ref="AH392:AH455" si="313">Y392</f>
        <v>1</v>
      </c>
      <c r="AI392" s="1362">
        <f t="shared" si="294"/>
        <v>2867.7635846979701</v>
      </c>
      <c r="AJ392" s="1362">
        <f t="shared" si="295"/>
        <v>2867.7635846979701</v>
      </c>
      <c r="AK392" s="1362">
        <f t="shared" si="296"/>
        <v>2867.7635846979701</v>
      </c>
      <c r="AL392" s="1362">
        <f t="shared" si="297"/>
        <v>2867.7635846979701</v>
      </c>
      <c r="AM392" s="1362">
        <f t="shared" si="298"/>
        <v>11471.054338791881</v>
      </c>
      <c r="AN392" s="1132" t="str">
        <f t="shared" ref="AN392:AN455" si="314">L392</f>
        <v>RS-HVC-GHEB-V07-190101</v>
      </c>
      <c r="AO392" s="1132" t="str">
        <f t="shared" ref="AO392:AO455" si="315">M392</f>
        <v>Nicor Gas PY11-PY14 Adjustable Goals Template_2025-03-01, Tab 5.3.6</v>
      </c>
      <c r="AP392" s="2247">
        <f>'5.3.6'!$P$4</f>
        <v>200.87617986470349</v>
      </c>
      <c r="AQ392" s="2531"/>
      <c r="AR392" s="2505">
        <f t="shared" ref="AR392:AR455" si="316">H392*AP392*V392</f>
        <v>2867.7635846979701</v>
      </c>
      <c r="AS392" s="2247">
        <f t="shared" ref="AS392:AS455" si="317">AR392-AI392</f>
        <v>0</v>
      </c>
      <c r="AT392" s="1132" t="str">
        <f t="shared" ref="AT392:AT455" si="318">L392</f>
        <v>RS-HVC-GHEB-V07-190101</v>
      </c>
      <c r="AU392" s="1132" t="str">
        <f t="shared" ref="AU392:AU455" si="319">M392</f>
        <v>Nicor Gas PY11-PY14 Adjustable Goals Template_2025-03-01, Tab 5.3.6</v>
      </c>
      <c r="AV392" s="2247">
        <f>'5.3.6'!$P$4</f>
        <v>200.87617986470349</v>
      </c>
      <c r="AW392" s="2531"/>
      <c r="AX392" s="1362">
        <f t="shared" ref="AX392:AX455" si="320">I392*AV392*W392</f>
        <v>2867.7635846979701</v>
      </c>
      <c r="AY392" s="1360">
        <f t="shared" ref="AY392:AY455" si="321">AX392-AJ392</f>
        <v>0</v>
      </c>
      <c r="AZ392" s="1132" t="str">
        <f t="shared" ref="AZ392:AZ455" si="322">L392</f>
        <v>RS-HVC-GHEB-V07-190101</v>
      </c>
      <c r="BA392" s="1132" t="str">
        <f t="shared" ref="BA392:BA455" si="323">M392</f>
        <v>Nicor Gas PY11-PY14 Adjustable Goals Template_2025-03-01, Tab 5.3.6</v>
      </c>
      <c r="BB392" s="2247">
        <f>'5.3.6'!$P$4</f>
        <v>200.87617986470349</v>
      </c>
      <c r="BC392" s="2531"/>
      <c r="BD392" s="1362">
        <f t="shared" ref="BD392:BD455" si="324">J392*BB392*X392</f>
        <v>2867.7635846979701</v>
      </c>
      <c r="BE392" s="1360">
        <f t="shared" ref="BE392:BE455" si="325">BD392-AK392</f>
        <v>0</v>
      </c>
      <c r="BF392" s="1132" t="str">
        <f t="shared" ref="BF392:BF455" si="326">L392</f>
        <v>RS-HVC-GHEB-V07-190101</v>
      </c>
      <c r="BG392" s="1132" t="str">
        <f t="shared" ref="BG392:BG455" si="327">M392</f>
        <v>Nicor Gas PY11-PY14 Adjustable Goals Template_2025-03-01, Tab 5.3.6</v>
      </c>
      <c r="BH392" s="2247">
        <f>'5.3.6'!$P$4</f>
        <v>200.87617986470349</v>
      </c>
      <c r="BI392" s="2531"/>
      <c r="BJ392" s="1362">
        <f t="shared" si="299"/>
        <v>2867.7635846979701</v>
      </c>
      <c r="BK392" s="1360">
        <f t="shared" ref="BK392:BK455" si="328">BJ392-AL392</f>
        <v>0</v>
      </c>
      <c r="BL392" s="1601">
        <f t="shared" ref="BL392:BL455" si="329">IF($BL$2=2022,IF($E392=1,AR392,AR392),IF($E392=1,AR392,AI392))</f>
        <v>2867.7635846979701</v>
      </c>
      <c r="BM392" s="1601">
        <f t="shared" ref="BM392:BM455" si="330">IF($BL$2=2022,IF($E392=1,AX392,AX392),IF($E392=1,AX392,AJ392))</f>
        <v>2867.7635846979701</v>
      </c>
      <c r="BN392" s="1601">
        <f t="shared" ref="BN392:BN455" si="331">IF($BL$2=2022,IF($E392=1,BD392,BD392),IF($E392=1,BD392,AK392))</f>
        <v>2867.7635846979701</v>
      </c>
      <c r="BO392" s="1601">
        <f t="shared" ref="BO392:BO455" si="332">IF($BL$2=2022,IF($E392=1,BJ392,BJ392),IF($E392=1,BJ392,AL392))</f>
        <v>2867.7635846979701</v>
      </c>
      <c r="BP392" s="1602">
        <f t="shared" ref="BP392:BP455" si="333">SUM(BL392:BO392)</f>
        <v>11471.054338791881</v>
      </c>
      <c r="BQ392" s="1629"/>
      <c r="BR392" s="1629" t="s">
        <v>637</v>
      </c>
      <c r="BS392" s="1602">
        <v>0</v>
      </c>
      <c r="BT392" s="1602">
        <v>25</v>
      </c>
      <c r="BU392" s="1602">
        <v>25</v>
      </c>
      <c r="BV392" s="1602">
        <v>25</v>
      </c>
      <c r="BW392" s="1602">
        <v>25</v>
      </c>
      <c r="BX392" s="1362">
        <f t="shared" si="300"/>
        <v>71694.089617449252</v>
      </c>
      <c r="BY392" s="1362">
        <f t="shared" si="301"/>
        <v>71694.089617449252</v>
      </c>
      <c r="BZ392" s="1362">
        <f t="shared" si="302"/>
        <v>71694.089617449252</v>
      </c>
      <c r="CA392" s="1362">
        <f t="shared" si="303"/>
        <v>71694.089617449252</v>
      </c>
      <c r="CB392" s="1362">
        <f t="shared" si="304"/>
        <v>286776.35846979701</v>
      </c>
      <c r="CC392" s="1360">
        <v>25</v>
      </c>
      <c r="CD392" s="1360">
        <v>25</v>
      </c>
      <c r="CE392" s="1360">
        <v>25</v>
      </c>
      <c r="CF392" s="1360">
        <v>25</v>
      </c>
      <c r="CG392" s="1604">
        <f t="shared" ref="CG392:CG455" si="334">H392*V392*AP392*CC392</f>
        <v>71694.089617449252</v>
      </c>
      <c r="CH392" s="1604">
        <f t="shared" ref="CH392:CH455" si="335">I392*W392*AV392*CD392</f>
        <v>71694.089617449252</v>
      </c>
      <c r="CI392" s="1604">
        <f t="shared" ref="CI392:CI455" si="336">J392*X392*BB392*CE392</f>
        <v>71694.089617449252</v>
      </c>
      <c r="CJ392" s="1604">
        <f t="shared" ref="CJ392:CJ455" si="337">K392*Y392*BH392*CF392</f>
        <v>71694.089617449252</v>
      </c>
      <c r="CK392" s="1521">
        <f t="shared" ref="CK392:CK455" si="338">SUM(CG392:CJ392)</f>
        <v>286776.35846979701</v>
      </c>
      <c r="CL392" s="1132">
        <v>385</v>
      </c>
      <c r="CM392" s="1132" t="s">
        <v>356</v>
      </c>
      <c r="CN392" s="1359">
        <v>1</v>
      </c>
      <c r="CO392" s="1360">
        <v>10.044748224277285</v>
      </c>
      <c r="CP392" s="1360">
        <v>10.044748224277285</v>
      </c>
      <c r="CQ392" s="1360">
        <v>10.044748224277285</v>
      </c>
      <c r="CR392" s="1360">
        <v>10.044748224277285</v>
      </c>
      <c r="CS392" s="1362">
        <f t="shared" ref="CS392:CS455" si="339">IF($CN392=1,CO392*N392*AE392,BL392)</f>
        <v>2017.7506509955849</v>
      </c>
      <c r="CT392" s="1362">
        <f t="shared" ref="CT392:CT455" si="340">IF($CN392=1,CP392*O392*AF392,BM392)</f>
        <v>2017.7506509955849</v>
      </c>
      <c r="CU392" s="1362">
        <f t="shared" ref="CU392:CU455" si="341">IF($CN392=1,CQ392*P392*AG392,BN392)</f>
        <v>2017.7506509955849</v>
      </c>
      <c r="CV392" s="1362">
        <f t="shared" ref="CV392:CV455" si="342">IF($CN392=1,CR392*Q392*AH392,BO392)</f>
        <v>2017.7506509955849</v>
      </c>
      <c r="CW392" s="1362">
        <f t="shared" ref="CW392:CW455" si="343">+SUM(CS392:CV392)</f>
        <v>8071.0026039823397</v>
      </c>
      <c r="CY392" s="2887"/>
    </row>
    <row r="393" spans="1:103" s="1143" customFormat="1" ht="46.5" x14ac:dyDescent="0.35">
      <c r="A393" s="1132" t="s">
        <v>110</v>
      </c>
      <c r="B393" s="1132" t="s">
        <v>884</v>
      </c>
      <c r="C393" s="1132" t="s">
        <v>893</v>
      </c>
      <c r="D393" s="1359" t="s">
        <v>894</v>
      </c>
      <c r="E393" s="1359">
        <v>1</v>
      </c>
      <c r="F393" s="2564" t="s">
        <v>671</v>
      </c>
      <c r="G393" s="1132" t="s">
        <v>328</v>
      </c>
      <c r="H393" s="1360">
        <v>3.2945250000000006</v>
      </c>
      <c r="I393" s="1360">
        <v>3.2945250000000006</v>
      </c>
      <c r="J393" s="1360">
        <v>3.2945250000000006</v>
      </c>
      <c r="K393" s="1360">
        <v>3.2945250000000006</v>
      </c>
      <c r="L393" s="1132" t="s">
        <v>672</v>
      </c>
      <c r="M393" s="1132" t="str">
        <f t="shared" si="305"/>
        <v>Nicor Gas PY11-PY14 Adjustable Goals Template_2025-03-01, Tab 5.3.4</v>
      </c>
      <c r="N393" s="1361">
        <v>181.00609989316254</v>
      </c>
      <c r="O393" s="1361">
        <v>181.00609989316254</v>
      </c>
      <c r="P393" s="1361">
        <v>181.00609989316254</v>
      </c>
      <c r="Q393" s="1361">
        <v>181.00609989316254</v>
      </c>
      <c r="R393" s="1781">
        <v>1</v>
      </c>
      <c r="S393" s="1781">
        <v>1</v>
      </c>
      <c r="T393" s="1781">
        <v>1</v>
      </c>
      <c r="U393" s="1781">
        <v>1</v>
      </c>
      <c r="V393" s="1781">
        <v>1</v>
      </c>
      <c r="W393" s="1781">
        <v>1</v>
      </c>
      <c r="X393" s="1781">
        <v>1</v>
      </c>
      <c r="Y393" s="1781">
        <v>1</v>
      </c>
      <c r="Z393" s="1359">
        <v>0</v>
      </c>
      <c r="AA393" s="1781">
        <f t="shared" si="306"/>
        <v>1</v>
      </c>
      <c r="AB393" s="1781">
        <f t="shared" si="307"/>
        <v>1</v>
      </c>
      <c r="AC393" s="1781">
        <f t="shared" si="308"/>
        <v>1</v>
      </c>
      <c r="AD393" s="1781">
        <f t="shared" si="309"/>
        <v>1</v>
      </c>
      <c r="AE393" s="1781">
        <f t="shared" si="310"/>
        <v>1</v>
      </c>
      <c r="AF393" s="1781">
        <f t="shared" si="311"/>
        <v>1</v>
      </c>
      <c r="AG393" s="1781">
        <f t="shared" si="312"/>
        <v>1</v>
      </c>
      <c r="AH393" s="1781">
        <f t="shared" si="313"/>
        <v>1</v>
      </c>
      <c r="AI393" s="1362">
        <f t="shared" ref="AI393:AI456" si="344">H393*N393*R393</f>
        <v>596.32912125052144</v>
      </c>
      <c r="AJ393" s="1362">
        <f t="shared" ref="AJ393:AJ456" si="345">I393*O393*S393</f>
        <v>596.32912125052144</v>
      </c>
      <c r="AK393" s="1362">
        <f t="shared" ref="AK393:AK456" si="346">J393*P393*T393</f>
        <v>596.32912125052144</v>
      </c>
      <c r="AL393" s="1362">
        <f t="shared" ref="AL393:AL456" si="347">K393*Q393*U393</f>
        <v>596.32912125052144</v>
      </c>
      <c r="AM393" s="1362">
        <f t="shared" ref="AM393:AM456" si="348">SUM(AI393:AL393)</f>
        <v>2385.3164850020858</v>
      </c>
      <c r="AN393" s="1132" t="str">
        <f t="shared" si="314"/>
        <v>RS-HVC-DINS-V07-190101</v>
      </c>
      <c r="AO393" s="1132" t="str">
        <f t="shared" si="315"/>
        <v>Nicor Gas PY11-PY14 Adjustable Goals Template_2025-03-01, Tab 5.3.4</v>
      </c>
      <c r="AP393" s="2505">
        <f>'5.3.4'!$T$7</f>
        <v>181.00609989316254</v>
      </c>
      <c r="AQ393" s="2505"/>
      <c r="AR393" s="2505">
        <f t="shared" si="316"/>
        <v>596.32912125052144</v>
      </c>
      <c r="AS393" s="2505">
        <f t="shared" si="317"/>
        <v>0</v>
      </c>
      <c r="AT393" s="1132" t="str">
        <f t="shared" si="318"/>
        <v>RS-HVC-DINS-V07-190101</v>
      </c>
      <c r="AU393" s="1132" t="str">
        <f t="shared" si="319"/>
        <v>Nicor Gas PY11-PY14 Adjustable Goals Template_2025-03-01, Tab 5.3.4</v>
      </c>
      <c r="AV393" s="2505">
        <f>'5.3.4'!$T$7</f>
        <v>181.00609989316254</v>
      </c>
      <c r="AW393" s="2505"/>
      <c r="AX393" s="1362">
        <f t="shared" si="320"/>
        <v>596.32912125052144</v>
      </c>
      <c r="AY393" s="1360">
        <f t="shared" si="321"/>
        <v>0</v>
      </c>
      <c r="AZ393" s="1132" t="str">
        <f t="shared" si="322"/>
        <v>RS-HVC-DINS-V07-190101</v>
      </c>
      <c r="BA393" s="1132" t="str">
        <f t="shared" si="323"/>
        <v>Nicor Gas PY11-PY14 Adjustable Goals Template_2025-03-01, Tab 5.3.4</v>
      </c>
      <c r="BB393" s="2505">
        <f>'5.3.4'!$T$7</f>
        <v>181.00609989316254</v>
      </c>
      <c r="BC393" s="2505"/>
      <c r="BD393" s="1362">
        <f t="shared" si="324"/>
        <v>596.32912125052144</v>
      </c>
      <c r="BE393" s="1360">
        <f t="shared" si="325"/>
        <v>0</v>
      </c>
      <c r="BF393" s="1132" t="str">
        <f t="shared" si="326"/>
        <v>RS-HVC-DINS-V07-190101</v>
      </c>
      <c r="BG393" s="1132" t="str">
        <f t="shared" si="327"/>
        <v>Nicor Gas PY11-PY14 Adjustable Goals Template_2025-03-01, Tab 5.3.4</v>
      </c>
      <c r="BH393" s="2505">
        <f>'5.3.4'!$T$7</f>
        <v>181.00609989316254</v>
      </c>
      <c r="BI393" s="2505"/>
      <c r="BJ393" s="1362">
        <f t="shared" ref="BJ393:BJ456" si="349">K393*BH393*Y393</f>
        <v>596.32912125052144</v>
      </c>
      <c r="BK393" s="1360">
        <f t="shared" si="328"/>
        <v>0</v>
      </c>
      <c r="BL393" s="1601">
        <f t="shared" si="329"/>
        <v>596.32912125052144</v>
      </c>
      <c r="BM393" s="1601">
        <f t="shared" si="330"/>
        <v>596.32912125052144</v>
      </c>
      <c r="BN393" s="1601">
        <f t="shared" si="331"/>
        <v>596.32912125052144</v>
      </c>
      <c r="BO393" s="1601">
        <f t="shared" si="332"/>
        <v>596.32912125052144</v>
      </c>
      <c r="BP393" s="1602">
        <f t="shared" si="333"/>
        <v>2385.3164850020858</v>
      </c>
      <c r="BQ393" s="1629"/>
      <c r="BR393" s="1629" t="s">
        <v>671</v>
      </c>
      <c r="BS393" s="2773">
        <v>1</v>
      </c>
      <c r="BT393" s="1602">
        <v>18.512820512820511</v>
      </c>
      <c r="BU393" s="1602">
        <v>18.512820512820511</v>
      </c>
      <c r="BV393" s="1602">
        <v>18.512820512820511</v>
      </c>
      <c r="BW393" s="1602">
        <v>18.512820512820511</v>
      </c>
      <c r="BX393" s="1362">
        <f t="shared" ref="BX393:BX456" si="350">H393*N393*R393*BT393</f>
        <v>11039.733988278884</v>
      </c>
      <c r="BY393" s="1362">
        <f t="shared" ref="BY393:BY456" si="351">I393*O393*S393*BU393</f>
        <v>11039.733988278884</v>
      </c>
      <c r="BZ393" s="1362">
        <f t="shared" ref="BZ393:BZ456" si="352">J393*P393*T393*BV393</f>
        <v>11039.733988278884</v>
      </c>
      <c r="CA393" s="1362">
        <f t="shared" ref="CA393:CA456" si="353">K393*Q393*U393*BW393</f>
        <v>11039.733988278884</v>
      </c>
      <c r="CB393" s="1362">
        <f t="shared" ref="CB393:CB456" si="354">SUM(BX393:CA393)</f>
        <v>44158.935953115535</v>
      </c>
      <c r="CC393" s="2775">
        <v>20</v>
      </c>
      <c r="CD393" s="2775">
        <v>20</v>
      </c>
      <c r="CE393" s="2775">
        <v>20</v>
      </c>
      <c r="CF393" s="2775">
        <v>20</v>
      </c>
      <c r="CG393" s="1604">
        <f t="shared" si="334"/>
        <v>11926.582425010429</v>
      </c>
      <c r="CH393" s="1604">
        <f t="shared" si="335"/>
        <v>11926.582425010429</v>
      </c>
      <c r="CI393" s="1604">
        <f t="shared" si="336"/>
        <v>11926.582425010429</v>
      </c>
      <c r="CJ393" s="1604">
        <f t="shared" si="337"/>
        <v>11926.582425010429</v>
      </c>
      <c r="CK393" s="1521">
        <f t="shared" si="338"/>
        <v>47706.329700041715</v>
      </c>
      <c r="CL393" s="1132">
        <v>386</v>
      </c>
      <c r="CM393" s="1132" t="s">
        <v>328</v>
      </c>
      <c r="CN393" s="1359">
        <v>1</v>
      </c>
      <c r="CO393" s="1360">
        <v>1.1824049604445284</v>
      </c>
      <c r="CP393" s="1360">
        <v>1.1824049604445284</v>
      </c>
      <c r="CQ393" s="1360">
        <v>1.1824049604445284</v>
      </c>
      <c r="CR393" s="1360">
        <v>1.1824049604445284</v>
      </c>
      <c r="CS393" s="1362">
        <f t="shared" si="339"/>
        <v>214.0225103843932</v>
      </c>
      <c r="CT393" s="1362">
        <f t="shared" si="340"/>
        <v>214.0225103843932</v>
      </c>
      <c r="CU393" s="1362">
        <f t="shared" si="341"/>
        <v>214.0225103843932</v>
      </c>
      <c r="CV393" s="1362">
        <f t="shared" si="342"/>
        <v>214.0225103843932</v>
      </c>
      <c r="CW393" s="1362">
        <f t="shared" si="343"/>
        <v>856.0900415375728</v>
      </c>
      <c r="CY393" s="2887"/>
    </row>
    <row r="394" spans="1:103" s="1143" customFormat="1" ht="46.5" x14ac:dyDescent="0.35">
      <c r="A394" s="1132" t="s">
        <v>110</v>
      </c>
      <c r="B394" s="1132" t="s">
        <v>884</v>
      </c>
      <c r="C394" s="1132" t="s">
        <v>826</v>
      </c>
      <c r="D394" s="1359" t="s">
        <v>895</v>
      </c>
      <c r="E394" s="1359">
        <v>1</v>
      </c>
      <c r="F394" s="2564" t="s">
        <v>828</v>
      </c>
      <c r="G394" s="1132" t="s">
        <v>328</v>
      </c>
      <c r="H394" s="1360">
        <v>28.552550000000004</v>
      </c>
      <c r="I394" s="1360">
        <v>28.552550000000004</v>
      </c>
      <c r="J394" s="1360">
        <v>28.552550000000004</v>
      </c>
      <c r="K394" s="1360">
        <v>28.552550000000004</v>
      </c>
      <c r="L394" s="1132" t="s">
        <v>829</v>
      </c>
      <c r="M394" s="1132" t="str">
        <f t="shared" si="305"/>
        <v>Nicor Gas PY11-PY14 Adjustable Goals Template_2025-03-01, Tab 5.6.3</v>
      </c>
      <c r="N394" s="1361">
        <v>68.676057718385039</v>
      </c>
      <c r="O394" s="1361">
        <v>68.676057718385039</v>
      </c>
      <c r="P394" s="1361">
        <v>68.676057718385039</v>
      </c>
      <c r="Q394" s="1361">
        <v>68.676057718385039</v>
      </c>
      <c r="R394" s="1781">
        <v>1</v>
      </c>
      <c r="S394" s="1781">
        <v>1</v>
      </c>
      <c r="T394" s="1781">
        <v>1</v>
      </c>
      <c r="U394" s="1781">
        <v>1</v>
      </c>
      <c r="V394" s="1781">
        <v>1</v>
      </c>
      <c r="W394" s="1781">
        <v>1</v>
      </c>
      <c r="X394" s="1781">
        <v>1</v>
      </c>
      <c r="Y394" s="1781">
        <v>1</v>
      </c>
      <c r="Z394" s="1359">
        <v>0</v>
      </c>
      <c r="AA394" s="1781">
        <f t="shared" si="306"/>
        <v>1</v>
      </c>
      <c r="AB394" s="1781">
        <f t="shared" si="307"/>
        <v>1</v>
      </c>
      <c r="AC394" s="1781">
        <f t="shared" si="308"/>
        <v>1</v>
      </c>
      <c r="AD394" s="1781">
        <f t="shared" si="309"/>
        <v>1</v>
      </c>
      <c r="AE394" s="1781">
        <f t="shared" si="310"/>
        <v>1</v>
      </c>
      <c r="AF394" s="1781">
        <f t="shared" si="311"/>
        <v>1</v>
      </c>
      <c r="AG394" s="1781">
        <f t="shared" si="312"/>
        <v>1</v>
      </c>
      <c r="AH394" s="1781">
        <f t="shared" si="313"/>
        <v>1</v>
      </c>
      <c r="AI394" s="1362">
        <f t="shared" si="344"/>
        <v>1960.8765718070749</v>
      </c>
      <c r="AJ394" s="1362">
        <f t="shared" si="345"/>
        <v>1960.8765718070749</v>
      </c>
      <c r="AK394" s="1362">
        <f t="shared" si="346"/>
        <v>1960.8765718070749</v>
      </c>
      <c r="AL394" s="1362">
        <f t="shared" si="347"/>
        <v>1960.8765718070749</v>
      </c>
      <c r="AM394" s="1362">
        <f t="shared" si="348"/>
        <v>7843.5062872282997</v>
      </c>
      <c r="AN394" s="1132" t="str">
        <f t="shared" si="314"/>
        <v>RS-SHL-FINS-V09-190101</v>
      </c>
      <c r="AO394" s="1132" t="str">
        <f t="shared" si="315"/>
        <v>Nicor Gas PY11-PY14 Adjustable Goals Template_2025-03-01, Tab 5.6.3</v>
      </c>
      <c r="AP394" s="2505">
        <f>'5.6.3'!$T$4</f>
        <v>68.676057718385039</v>
      </c>
      <c r="AQ394" s="2505"/>
      <c r="AR394" s="2505">
        <f t="shared" si="316"/>
        <v>1960.8765718070749</v>
      </c>
      <c r="AS394" s="2505">
        <f t="shared" si="317"/>
        <v>0</v>
      </c>
      <c r="AT394" s="1132" t="str">
        <f t="shared" si="318"/>
        <v>RS-SHL-FINS-V09-190101</v>
      </c>
      <c r="AU394" s="1132" t="str">
        <f t="shared" si="319"/>
        <v>Nicor Gas PY11-PY14 Adjustable Goals Template_2025-03-01, Tab 5.6.3</v>
      </c>
      <c r="AV394" s="2505">
        <f>'5.6.3'!$T$4</f>
        <v>68.676057718385039</v>
      </c>
      <c r="AW394" s="2505"/>
      <c r="AX394" s="1362">
        <f t="shared" si="320"/>
        <v>1960.8765718070749</v>
      </c>
      <c r="AY394" s="1360">
        <f t="shared" si="321"/>
        <v>0</v>
      </c>
      <c r="AZ394" s="1132" t="str">
        <f t="shared" si="322"/>
        <v>RS-SHL-FINS-V09-190101</v>
      </c>
      <c r="BA394" s="1132" t="str">
        <f t="shared" si="323"/>
        <v>Nicor Gas PY11-PY14 Adjustable Goals Template_2025-03-01, Tab 5.6.3</v>
      </c>
      <c r="BB394" s="2505">
        <f>'5.6.3'!$T$4</f>
        <v>68.676057718385039</v>
      </c>
      <c r="BC394" s="2505"/>
      <c r="BD394" s="1362">
        <f t="shared" si="324"/>
        <v>1960.8765718070749</v>
      </c>
      <c r="BE394" s="1360">
        <f t="shared" si="325"/>
        <v>0</v>
      </c>
      <c r="BF394" s="1132" t="str">
        <f t="shared" si="326"/>
        <v>RS-SHL-FINS-V09-190101</v>
      </c>
      <c r="BG394" s="1132" t="str">
        <f t="shared" si="327"/>
        <v>Nicor Gas PY11-PY14 Adjustable Goals Template_2025-03-01, Tab 5.6.3</v>
      </c>
      <c r="BH394" s="2505">
        <f>'5.6.3'!$T$4</f>
        <v>68.676057718385039</v>
      </c>
      <c r="BI394" s="2505"/>
      <c r="BJ394" s="1362">
        <f t="shared" si="349"/>
        <v>1960.8765718070749</v>
      </c>
      <c r="BK394" s="1360">
        <f t="shared" si="328"/>
        <v>0</v>
      </c>
      <c r="BL394" s="1601">
        <f t="shared" si="329"/>
        <v>1960.8765718070749</v>
      </c>
      <c r="BM394" s="1601">
        <f t="shared" si="330"/>
        <v>1960.8765718070749</v>
      </c>
      <c r="BN394" s="1601">
        <f t="shared" si="331"/>
        <v>1960.8765718070749</v>
      </c>
      <c r="BO394" s="1601">
        <f t="shared" si="332"/>
        <v>1960.8765718070749</v>
      </c>
      <c r="BP394" s="1602">
        <f t="shared" si="333"/>
        <v>7843.5062872282997</v>
      </c>
      <c r="BQ394" s="1629"/>
      <c r="BR394" s="1629" t="s">
        <v>828</v>
      </c>
      <c r="BS394" s="2773">
        <v>1</v>
      </c>
      <c r="BT394" s="1602">
        <v>19.411764705882351</v>
      </c>
      <c r="BU394" s="1602">
        <v>19.411764705882351</v>
      </c>
      <c r="BV394" s="1602">
        <v>19.411764705882351</v>
      </c>
      <c r="BW394" s="1602">
        <v>19.411764705882351</v>
      </c>
      <c r="BX394" s="1362">
        <f t="shared" si="350"/>
        <v>38064.074629196155</v>
      </c>
      <c r="BY394" s="1362">
        <f t="shared" si="351"/>
        <v>38064.074629196155</v>
      </c>
      <c r="BZ394" s="1362">
        <f t="shared" si="352"/>
        <v>38064.074629196155</v>
      </c>
      <c r="CA394" s="1362">
        <f t="shared" si="353"/>
        <v>38064.074629196155</v>
      </c>
      <c r="CB394" s="1362">
        <f t="shared" si="354"/>
        <v>152256.29851678462</v>
      </c>
      <c r="CC394" s="2775">
        <v>20</v>
      </c>
      <c r="CD394" s="2775">
        <v>20</v>
      </c>
      <c r="CE394" s="2775">
        <v>20</v>
      </c>
      <c r="CF394" s="2775">
        <v>20</v>
      </c>
      <c r="CG394" s="1604">
        <f t="shared" si="334"/>
        <v>39217.5314361415</v>
      </c>
      <c r="CH394" s="1604">
        <f t="shared" si="335"/>
        <v>39217.5314361415</v>
      </c>
      <c r="CI394" s="1604">
        <f t="shared" si="336"/>
        <v>39217.5314361415</v>
      </c>
      <c r="CJ394" s="1604">
        <f t="shared" si="337"/>
        <v>39217.5314361415</v>
      </c>
      <c r="CK394" s="1521">
        <f t="shared" si="338"/>
        <v>156870.125744566</v>
      </c>
      <c r="CL394" s="1132">
        <v>387</v>
      </c>
      <c r="CM394" s="1132" t="s">
        <v>328</v>
      </c>
      <c r="CN394" s="1359">
        <v>1</v>
      </c>
      <c r="CO394" s="1360">
        <v>19.839930789406345</v>
      </c>
      <c r="CP394" s="1360">
        <v>19.839930789406345</v>
      </c>
      <c r="CQ394" s="1360">
        <v>19.839930789406345</v>
      </c>
      <c r="CR394" s="1360">
        <v>19.839930789406345</v>
      </c>
      <c r="CS394" s="1362">
        <f t="shared" si="339"/>
        <v>1362.5282320220347</v>
      </c>
      <c r="CT394" s="1362">
        <f t="shared" si="340"/>
        <v>1362.5282320220347</v>
      </c>
      <c r="CU394" s="1362">
        <f t="shared" si="341"/>
        <v>1362.5282320220347</v>
      </c>
      <c r="CV394" s="1362">
        <f t="shared" si="342"/>
        <v>1362.5282320220347</v>
      </c>
      <c r="CW394" s="1362">
        <f t="shared" si="343"/>
        <v>5450.1129280881387</v>
      </c>
      <c r="CY394" s="2887"/>
    </row>
    <row r="395" spans="1:103" s="1143" customFormat="1" ht="46.5" x14ac:dyDescent="0.35">
      <c r="A395" s="1132" t="s">
        <v>110</v>
      </c>
      <c r="B395" s="1132" t="s">
        <v>884</v>
      </c>
      <c r="C395" s="1132" t="s">
        <v>629</v>
      </c>
      <c r="D395" s="1359" t="s">
        <v>630</v>
      </c>
      <c r="E395" s="1359">
        <v>1</v>
      </c>
      <c r="F395" s="2564" t="s">
        <v>631</v>
      </c>
      <c r="G395" s="1132" t="s">
        <v>356</v>
      </c>
      <c r="H395" s="1360">
        <v>256.97295000000003</v>
      </c>
      <c r="I395" s="1360">
        <v>256.97295000000003</v>
      </c>
      <c r="J395" s="1360">
        <v>256.97295000000003</v>
      </c>
      <c r="K395" s="1360">
        <v>256.97295000000003</v>
      </c>
      <c r="L395" s="1132" t="s">
        <v>632</v>
      </c>
      <c r="M395" s="1132" t="str">
        <f t="shared" si="305"/>
        <v>Nicor Gas PY11-PY14 Adjustable Goals Template_2025-03-01, Tab 5.3.7</v>
      </c>
      <c r="N395" s="1361">
        <v>185.21062775919711</v>
      </c>
      <c r="O395" s="1361">
        <v>185.21062775919711</v>
      </c>
      <c r="P395" s="1361">
        <v>185.21062775919711</v>
      </c>
      <c r="Q395" s="1361">
        <v>185.21062775919711</v>
      </c>
      <c r="R395" s="1781">
        <v>1</v>
      </c>
      <c r="S395" s="1781">
        <v>1</v>
      </c>
      <c r="T395" s="1781">
        <v>1</v>
      </c>
      <c r="U395" s="1781">
        <v>1</v>
      </c>
      <c r="V395" s="1781">
        <v>1</v>
      </c>
      <c r="W395" s="1781">
        <v>1</v>
      </c>
      <c r="X395" s="1781">
        <v>1</v>
      </c>
      <c r="Y395" s="1781">
        <v>1</v>
      </c>
      <c r="Z395" s="1359">
        <v>0</v>
      </c>
      <c r="AA395" s="1781">
        <f t="shared" si="306"/>
        <v>1</v>
      </c>
      <c r="AB395" s="1781">
        <f t="shared" si="307"/>
        <v>1</v>
      </c>
      <c r="AC395" s="1781">
        <f t="shared" si="308"/>
        <v>1</v>
      </c>
      <c r="AD395" s="1781">
        <f t="shared" si="309"/>
        <v>1</v>
      </c>
      <c r="AE395" s="1781">
        <f t="shared" si="310"/>
        <v>1</v>
      </c>
      <c r="AF395" s="1781">
        <f t="shared" si="311"/>
        <v>1</v>
      </c>
      <c r="AG395" s="1781">
        <f t="shared" si="312"/>
        <v>1</v>
      </c>
      <c r="AH395" s="1781">
        <f t="shared" si="313"/>
        <v>1</v>
      </c>
      <c r="AI395" s="1362">
        <f t="shared" si="344"/>
        <v>47594.121386632774</v>
      </c>
      <c r="AJ395" s="1362">
        <f t="shared" si="345"/>
        <v>47594.121386632774</v>
      </c>
      <c r="AK395" s="1362">
        <f t="shared" si="346"/>
        <v>47594.121386632774</v>
      </c>
      <c r="AL395" s="1362">
        <f t="shared" si="347"/>
        <v>47594.121386632774</v>
      </c>
      <c r="AM395" s="1362">
        <f t="shared" si="348"/>
        <v>190376.4855465311</v>
      </c>
      <c r="AN395" s="1132" t="str">
        <f t="shared" si="314"/>
        <v>RS-HVC-GHEF-V08-190101</v>
      </c>
      <c r="AO395" s="1132" t="str">
        <f t="shared" si="315"/>
        <v>Nicor Gas PY11-PY14 Adjustable Goals Template_2025-03-01, Tab 5.3.7</v>
      </c>
      <c r="AP395" s="2505">
        <f>'5.3.7'!$P$4</f>
        <v>185.21062775919711</v>
      </c>
      <c r="AQ395" s="2505"/>
      <c r="AR395" s="2505">
        <f t="shared" si="316"/>
        <v>47594.121386632774</v>
      </c>
      <c r="AS395" s="2505">
        <f t="shared" si="317"/>
        <v>0</v>
      </c>
      <c r="AT395" s="1132" t="str">
        <f t="shared" si="318"/>
        <v>RS-HVC-GHEF-V08-190101</v>
      </c>
      <c r="AU395" s="1132" t="str">
        <f t="shared" si="319"/>
        <v>Nicor Gas PY11-PY14 Adjustable Goals Template_2025-03-01, Tab 5.3.7</v>
      </c>
      <c r="AV395" s="2505">
        <f>'5.3.7'!$P$4</f>
        <v>185.21062775919711</v>
      </c>
      <c r="AW395" s="2505"/>
      <c r="AX395" s="1362">
        <f t="shared" si="320"/>
        <v>47594.121386632774</v>
      </c>
      <c r="AY395" s="1360">
        <f t="shared" si="321"/>
        <v>0</v>
      </c>
      <c r="AZ395" s="1132" t="str">
        <f t="shared" si="322"/>
        <v>RS-HVC-GHEF-V08-190101</v>
      </c>
      <c r="BA395" s="1132" t="str">
        <f t="shared" si="323"/>
        <v>Nicor Gas PY11-PY14 Adjustable Goals Template_2025-03-01, Tab 5.3.7</v>
      </c>
      <c r="BB395" s="2505">
        <f>'5.3.7'!$P$4</f>
        <v>185.21062775919711</v>
      </c>
      <c r="BC395" s="2505"/>
      <c r="BD395" s="1362">
        <f t="shared" si="324"/>
        <v>47594.121386632774</v>
      </c>
      <c r="BE395" s="1360">
        <f t="shared" si="325"/>
        <v>0</v>
      </c>
      <c r="BF395" s="1132" t="str">
        <f t="shared" si="326"/>
        <v>RS-HVC-GHEF-V08-190101</v>
      </c>
      <c r="BG395" s="1132" t="str">
        <f t="shared" si="327"/>
        <v>Nicor Gas PY11-PY14 Adjustable Goals Template_2025-03-01, Tab 5.3.7</v>
      </c>
      <c r="BH395" s="2505">
        <f>'5.3.7'!$P$4</f>
        <v>185.21062775919711</v>
      </c>
      <c r="BI395" s="2505"/>
      <c r="BJ395" s="1362">
        <f t="shared" si="349"/>
        <v>47594.121386632774</v>
      </c>
      <c r="BK395" s="1360">
        <f t="shared" si="328"/>
        <v>0</v>
      </c>
      <c r="BL395" s="1601">
        <f t="shared" si="329"/>
        <v>47594.121386632774</v>
      </c>
      <c r="BM395" s="1601">
        <f t="shared" si="330"/>
        <v>47594.121386632774</v>
      </c>
      <c r="BN395" s="1601">
        <f t="shared" si="331"/>
        <v>47594.121386632774</v>
      </c>
      <c r="BO395" s="1601">
        <f t="shared" si="332"/>
        <v>47594.121386632774</v>
      </c>
      <c r="BP395" s="1602">
        <f t="shared" si="333"/>
        <v>190376.4855465311</v>
      </c>
      <c r="BQ395" s="1629"/>
      <c r="BR395" s="1629" t="s">
        <v>631</v>
      </c>
      <c r="BS395" s="1602">
        <v>0</v>
      </c>
      <c r="BT395" s="1602">
        <v>20</v>
      </c>
      <c r="BU395" s="1602">
        <v>20</v>
      </c>
      <c r="BV395" s="1602">
        <v>20</v>
      </c>
      <c r="BW395" s="1602">
        <v>20</v>
      </c>
      <c r="BX395" s="1362">
        <f t="shared" si="350"/>
        <v>951882.42773265555</v>
      </c>
      <c r="BY395" s="1362">
        <f t="shared" si="351"/>
        <v>951882.42773265555</v>
      </c>
      <c r="BZ395" s="1362">
        <f t="shared" si="352"/>
        <v>951882.42773265555</v>
      </c>
      <c r="CA395" s="1362">
        <f t="shared" si="353"/>
        <v>951882.42773265555</v>
      </c>
      <c r="CB395" s="1362">
        <f t="shared" si="354"/>
        <v>3807529.7109306222</v>
      </c>
      <c r="CC395" s="1360">
        <v>20</v>
      </c>
      <c r="CD395" s="1360">
        <v>20</v>
      </c>
      <c r="CE395" s="1360">
        <v>20</v>
      </c>
      <c r="CF395" s="1360">
        <v>20</v>
      </c>
      <c r="CG395" s="1604">
        <f t="shared" si="334"/>
        <v>951882.42773265555</v>
      </c>
      <c r="CH395" s="1604">
        <f t="shared" si="335"/>
        <v>951882.42773265555</v>
      </c>
      <c r="CI395" s="1604">
        <f t="shared" si="336"/>
        <v>951882.42773265555</v>
      </c>
      <c r="CJ395" s="1604">
        <f t="shared" si="337"/>
        <v>951882.42773265555</v>
      </c>
      <c r="CK395" s="1521">
        <f t="shared" si="338"/>
        <v>3807529.7109306222</v>
      </c>
      <c r="CL395" s="1132">
        <v>388</v>
      </c>
      <c r="CM395" s="1132" t="s">
        <v>356</v>
      </c>
      <c r="CN395" s="1359">
        <v>1</v>
      </c>
      <c r="CO395" s="1360">
        <v>135.06697131800559</v>
      </c>
      <c r="CP395" s="1360">
        <v>135.06697131800559</v>
      </c>
      <c r="CQ395" s="1360">
        <v>135.06697131800559</v>
      </c>
      <c r="CR395" s="1360">
        <v>135.06697131800559</v>
      </c>
      <c r="CS395" s="1362">
        <f t="shared" si="339"/>
        <v>25015.838547341285</v>
      </c>
      <c r="CT395" s="1362">
        <f t="shared" si="340"/>
        <v>25015.838547341285</v>
      </c>
      <c r="CU395" s="1362">
        <f t="shared" si="341"/>
        <v>25015.838547341285</v>
      </c>
      <c r="CV395" s="1362">
        <f t="shared" si="342"/>
        <v>25015.838547341285</v>
      </c>
      <c r="CW395" s="1362">
        <f t="shared" si="343"/>
        <v>100063.35418936514</v>
      </c>
      <c r="CY395" s="2887"/>
    </row>
    <row r="396" spans="1:103" s="1143" customFormat="1" ht="46.5" x14ac:dyDescent="0.35">
      <c r="A396" s="1132" t="s">
        <v>110</v>
      </c>
      <c r="B396" s="1132" t="s">
        <v>884</v>
      </c>
      <c r="C396" s="1132" t="s">
        <v>866</v>
      </c>
      <c r="D396" s="1359" t="s">
        <v>867</v>
      </c>
      <c r="E396" s="1359">
        <v>1</v>
      </c>
      <c r="F396" s="2807" t="s">
        <v>691</v>
      </c>
      <c r="G396" s="1132" t="s">
        <v>328</v>
      </c>
      <c r="H396" s="1360">
        <v>73.577725000000001</v>
      </c>
      <c r="I396" s="1360">
        <v>73.577725000000001</v>
      </c>
      <c r="J396" s="1360">
        <v>73.577725000000001</v>
      </c>
      <c r="K396" s="1360">
        <v>73.577725000000001</v>
      </c>
      <c r="L396" s="1132" t="s">
        <v>692</v>
      </c>
      <c r="M396" s="1132" t="str">
        <f t="shared" si="305"/>
        <v>Nicor Gas PY11-PY14 Adjustable Goals Template_2025-03-01, Tab 5.4.5</v>
      </c>
      <c r="N396" s="2245">
        <v>2.8513052508388848</v>
      </c>
      <c r="O396" s="1361">
        <v>2.8513052508388848</v>
      </c>
      <c r="P396" s="1361">
        <v>2.8513052508388848</v>
      </c>
      <c r="Q396" s="1361">
        <v>2.8513052508388848</v>
      </c>
      <c r="R396" s="1781">
        <v>1</v>
      </c>
      <c r="S396" s="1781">
        <v>1</v>
      </c>
      <c r="T396" s="1781">
        <v>1</v>
      </c>
      <c r="U396" s="1781">
        <v>1</v>
      </c>
      <c r="V396" s="1781">
        <v>1</v>
      </c>
      <c r="W396" s="1781">
        <v>1</v>
      </c>
      <c r="X396" s="1781">
        <v>1</v>
      </c>
      <c r="Y396" s="1781">
        <v>1</v>
      </c>
      <c r="Z396" s="1359">
        <v>0</v>
      </c>
      <c r="AA396" s="1781">
        <f t="shared" si="306"/>
        <v>1</v>
      </c>
      <c r="AB396" s="1781">
        <f t="shared" si="307"/>
        <v>1</v>
      </c>
      <c r="AC396" s="1781">
        <f t="shared" si="308"/>
        <v>1</v>
      </c>
      <c r="AD396" s="1781">
        <f t="shared" si="309"/>
        <v>1</v>
      </c>
      <c r="AE396" s="1781">
        <f t="shared" si="310"/>
        <v>1</v>
      </c>
      <c r="AF396" s="1781">
        <f t="shared" si="311"/>
        <v>1</v>
      </c>
      <c r="AG396" s="1781">
        <f t="shared" si="312"/>
        <v>1</v>
      </c>
      <c r="AH396" s="1781">
        <f t="shared" si="313"/>
        <v>1</v>
      </c>
      <c r="AI396" s="1362">
        <f t="shared" si="344"/>
        <v>209.7925536372795</v>
      </c>
      <c r="AJ396" s="1362">
        <f t="shared" si="345"/>
        <v>209.7925536372795</v>
      </c>
      <c r="AK396" s="1362">
        <f t="shared" si="346"/>
        <v>209.7925536372795</v>
      </c>
      <c r="AL396" s="1362">
        <f t="shared" si="347"/>
        <v>209.7925536372795</v>
      </c>
      <c r="AM396" s="1362">
        <f t="shared" si="348"/>
        <v>839.17021454911799</v>
      </c>
      <c r="AN396" s="1132" t="str">
        <f t="shared" si="314"/>
        <v>RS-HWE-LFSH-V06-190101</v>
      </c>
      <c r="AO396" s="1132" t="str">
        <f t="shared" si="315"/>
        <v>Nicor Gas PY11-PY14 Adjustable Goals Template_2025-03-01, Tab 5.4.5</v>
      </c>
      <c r="AP396" s="2737">
        <f>'5.4.5'!$P$21</f>
        <v>3.0732631446167629</v>
      </c>
      <c r="AQ396" s="2568" t="s">
        <v>557</v>
      </c>
      <c r="AR396" s="2505">
        <f t="shared" si="316"/>
        <v>226.12371050724741</v>
      </c>
      <c r="AS396" s="2505">
        <f t="shared" si="317"/>
        <v>16.331156869967913</v>
      </c>
      <c r="AT396" s="1132" t="str">
        <f t="shared" si="318"/>
        <v>RS-HWE-LFSH-V06-190101</v>
      </c>
      <c r="AU396" s="1132" t="str">
        <f t="shared" si="319"/>
        <v>Nicor Gas PY11-PY14 Adjustable Goals Template_2025-03-01, Tab 5.4.5</v>
      </c>
      <c r="AV396" s="2508">
        <f>'5.4.5'!$P$21</f>
        <v>3.0732631446167629</v>
      </c>
      <c r="AW396" s="2568" t="s">
        <v>557</v>
      </c>
      <c r="AX396" s="1362">
        <f t="shared" si="320"/>
        <v>226.12371050724741</v>
      </c>
      <c r="AY396" s="1360">
        <f t="shared" si="321"/>
        <v>16.331156869967913</v>
      </c>
      <c r="AZ396" s="1132" t="str">
        <f t="shared" si="322"/>
        <v>RS-HWE-LFSH-V06-190101</v>
      </c>
      <c r="BA396" s="1132" t="str">
        <f t="shared" si="323"/>
        <v>Nicor Gas PY11-PY14 Adjustable Goals Template_2025-03-01, Tab 5.4.5</v>
      </c>
      <c r="BB396" s="2508">
        <f>'5.4.5'!$P$21</f>
        <v>3.0732631446167629</v>
      </c>
      <c r="BC396" s="2568" t="s">
        <v>557</v>
      </c>
      <c r="BD396" s="1362">
        <f t="shared" si="324"/>
        <v>226.12371050724741</v>
      </c>
      <c r="BE396" s="1360">
        <f t="shared" si="325"/>
        <v>16.331156869967913</v>
      </c>
      <c r="BF396" s="1132" t="str">
        <f t="shared" si="326"/>
        <v>RS-HWE-LFSH-V06-190101</v>
      </c>
      <c r="BG396" s="1132" t="str">
        <f t="shared" si="327"/>
        <v>Nicor Gas PY11-PY14 Adjustable Goals Template_2025-03-01, Tab 5.4.5</v>
      </c>
      <c r="BH396" s="2508">
        <f>'5.4.5'!$P$21</f>
        <v>3.0732631446167629</v>
      </c>
      <c r="BI396" s="2568" t="s">
        <v>557</v>
      </c>
      <c r="BJ396" s="1362">
        <f t="shared" si="349"/>
        <v>226.12371050724741</v>
      </c>
      <c r="BK396" s="1360">
        <f t="shared" si="328"/>
        <v>16.331156869967913</v>
      </c>
      <c r="BL396" s="1601">
        <f t="shared" si="329"/>
        <v>226.12371050724741</v>
      </c>
      <c r="BM396" s="1601">
        <f t="shared" si="330"/>
        <v>226.12371050724741</v>
      </c>
      <c r="BN396" s="1601">
        <f t="shared" si="331"/>
        <v>226.12371050724741</v>
      </c>
      <c r="BO396" s="1601">
        <f t="shared" si="332"/>
        <v>226.12371050724741</v>
      </c>
      <c r="BP396" s="1602">
        <f t="shared" si="333"/>
        <v>904.49484202898964</v>
      </c>
      <c r="BQ396" s="1629"/>
      <c r="BR396" s="1629" t="s">
        <v>691</v>
      </c>
      <c r="BS396" s="1602">
        <v>0</v>
      </c>
      <c r="BT396" s="1602">
        <v>10</v>
      </c>
      <c r="BU396" s="1602">
        <v>10</v>
      </c>
      <c r="BV396" s="1602">
        <v>10</v>
      </c>
      <c r="BW396" s="1602">
        <v>10</v>
      </c>
      <c r="BX396" s="1362">
        <f t="shared" si="350"/>
        <v>2097.9255363727948</v>
      </c>
      <c r="BY396" s="1362">
        <f t="shared" si="351"/>
        <v>2097.9255363727948</v>
      </c>
      <c r="BZ396" s="1362">
        <f t="shared" si="352"/>
        <v>2097.9255363727948</v>
      </c>
      <c r="CA396" s="1362">
        <f t="shared" si="353"/>
        <v>2097.9255363727948</v>
      </c>
      <c r="CB396" s="1362">
        <f t="shared" si="354"/>
        <v>8391.7021454911792</v>
      </c>
      <c r="CC396" s="1360">
        <v>10</v>
      </c>
      <c r="CD396" s="1360">
        <v>10</v>
      </c>
      <c r="CE396" s="1360">
        <v>10</v>
      </c>
      <c r="CF396" s="1360">
        <v>10</v>
      </c>
      <c r="CG396" s="1604">
        <f t="shared" si="334"/>
        <v>2261.2371050724742</v>
      </c>
      <c r="CH396" s="1604">
        <f t="shared" si="335"/>
        <v>2261.2371050724742</v>
      </c>
      <c r="CI396" s="1604">
        <f t="shared" si="336"/>
        <v>2261.2371050724742</v>
      </c>
      <c r="CJ396" s="1604">
        <f t="shared" si="337"/>
        <v>2261.2371050724742</v>
      </c>
      <c r="CK396" s="1521">
        <f t="shared" si="338"/>
        <v>9044.9484202898966</v>
      </c>
      <c r="CL396" s="1132">
        <v>389</v>
      </c>
      <c r="CM396" s="1132" t="s">
        <v>328</v>
      </c>
      <c r="CN396" s="1359">
        <v>1</v>
      </c>
      <c r="CO396" s="1360">
        <v>40.364715691927508</v>
      </c>
      <c r="CP396" s="1360">
        <v>40.364715691927508</v>
      </c>
      <c r="CQ396" s="1360">
        <v>40.364715691927508</v>
      </c>
      <c r="CR396" s="1360">
        <v>40.364715691927508</v>
      </c>
      <c r="CS396" s="1362">
        <f t="shared" si="339"/>
        <v>115.09212580101163</v>
      </c>
      <c r="CT396" s="1362">
        <f t="shared" si="340"/>
        <v>115.09212580101163</v>
      </c>
      <c r="CU396" s="1362">
        <f t="shared" si="341"/>
        <v>115.09212580101163</v>
      </c>
      <c r="CV396" s="1362">
        <f t="shared" si="342"/>
        <v>115.09212580101163</v>
      </c>
      <c r="CW396" s="1362">
        <f t="shared" si="343"/>
        <v>460.36850320404653</v>
      </c>
      <c r="CY396" s="2887"/>
    </row>
    <row r="397" spans="1:103" s="1143" customFormat="1" ht="45.75" customHeight="1" x14ac:dyDescent="0.35">
      <c r="A397" s="1132" t="s">
        <v>110</v>
      </c>
      <c r="B397" s="1132" t="s">
        <v>884</v>
      </c>
      <c r="C397" s="1132" t="s">
        <v>741</v>
      </c>
      <c r="D397" s="1359" t="s">
        <v>105</v>
      </c>
      <c r="E397" s="1359">
        <f>IF(AI397-AR397=0,0,1)</f>
        <v>0</v>
      </c>
      <c r="F397" s="1132" t="s">
        <v>105</v>
      </c>
      <c r="G397" s="1132" t="s">
        <v>356</v>
      </c>
      <c r="H397" s="1360">
        <v>322.86345000000006</v>
      </c>
      <c r="I397" s="1360">
        <v>322.86345000000006</v>
      </c>
      <c r="J397" s="1360">
        <v>322.86345000000006</v>
      </c>
      <c r="K397" s="1360">
        <v>322.86345000000006</v>
      </c>
      <c r="L397" s="1132" t="s">
        <v>105</v>
      </c>
      <c r="M397" s="1132" t="str">
        <f t="shared" si="305"/>
        <v/>
      </c>
      <c r="N397" s="1361">
        <v>0</v>
      </c>
      <c r="O397" s="1361">
        <v>0</v>
      </c>
      <c r="P397" s="1361">
        <v>0</v>
      </c>
      <c r="Q397" s="1361">
        <v>0</v>
      </c>
      <c r="R397" s="1781">
        <v>1</v>
      </c>
      <c r="S397" s="1781">
        <v>1</v>
      </c>
      <c r="T397" s="1781">
        <v>1</v>
      </c>
      <c r="U397" s="1781">
        <v>1</v>
      </c>
      <c r="V397" s="1781">
        <v>1</v>
      </c>
      <c r="W397" s="1781">
        <v>1</v>
      </c>
      <c r="X397" s="1781">
        <v>1</v>
      </c>
      <c r="Y397" s="1781">
        <v>1</v>
      </c>
      <c r="Z397" s="1359">
        <v>0</v>
      </c>
      <c r="AA397" s="1781">
        <f t="shared" si="306"/>
        <v>1</v>
      </c>
      <c r="AB397" s="1781">
        <f t="shared" si="307"/>
        <v>1</v>
      </c>
      <c r="AC397" s="1781">
        <f t="shared" si="308"/>
        <v>1</v>
      </c>
      <c r="AD397" s="1781">
        <f t="shared" si="309"/>
        <v>1</v>
      </c>
      <c r="AE397" s="1781">
        <f t="shared" si="310"/>
        <v>1</v>
      </c>
      <c r="AF397" s="1781">
        <f t="shared" si="311"/>
        <v>1</v>
      </c>
      <c r="AG397" s="1781">
        <f t="shared" si="312"/>
        <v>1</v>
      </c>
      <c r="AH397" s="1781">
        <f t="shared" si="313"/>
        <v>1</v>
      </c>
      <c r="AI397" s="1362">
        <f t="shared" si="344"/>
        <v>0</v>
      </c>
      <c r="AJ397" s="1362">
        <f t="shared" si="345"/>
        <v>0</v>
      </c>
      <c r="AK397" s="1362">
        <f t="shared" si="346"/>
        <v>0</v>
      </c>
      <c r="AL397" s="1362">
        <f t="shared" si="347"/>
        <v>0</v>
      </c>
      <c r="AM397" s="1362">
        <f t="shared" si="348"/>
        <v>0</v>
      </c>
      <c r="AN397" s="1132" t="str">
        <f t="shared" si="314"/>
        <v>Custom</v>
      </c>
      <c r="AO397" s="1132" t="str">
        <f t="shared" si="315"/>
        <v/>
      </c>
      <c r="AP397" s="2505">
        <v>0</v>
      </c>
      <c r="AQ397" s="2505"/>
      <c r="AR397" s="2505">
        <f t="shared" si="316"/>
        <v>0</v>
      </c>
      <c r="AS397" s="2505">
        <f t="shared" si="317"/>
        <v>0</v>
      </c>
      <c r="AT397" s="1132" t="str">
        <f t="shared" si="318"/>
        <v>Custom</v>
      </c>
      <c r="AU397" s="1132" t="str">
        <f t="shared" si="319"/>
        <v/>
      </c>
      <c r="AV397" s="2505">
        <v>0</v>
      </c>
      <c r="AW397" s="2505"/>
      <c r="AX397" s="1362">
        <f t="shared" si="320"/>
        <v>0</v>
      </c>
      <c r="AY397" s="1360">
        <f t="shared" si="321"/>
        <v>0</v>
      </c>
      <c r="AZ397" s="1132" t="str">
        <f t="shared" si="322"/>
        <v>Custom</v>
      </c>
      <c r="BA397" s="1132" t="str">
        <f t="shared" si="323"/>
        <v/>
      </c>
      <c r="BB397" s="2505">
        <v>0</v>
      </c>
      <c r="BC397" s="2505"/>
      <c r="BD397" s="1362">
        <f t="shared" si="324"/>
        <v>0</v>
      </c>
      <c r="BE397" s="1360">
        <f t="shared" si="325"/>
        <v>0</v>
      </c>
      <c r="BF397" s="1132" t="str">
        <f t="shared" si="326"/>
        <v>Custom</v>
      </c>
      <c r="BG397" s="1132" t="str">
        <f t="shared" si="327"/>
        <v/>
      </c>
      <c r="BH397" s="2505">
        <v>0</v>
      </c>
      <c r="BI397" s="2505"/>
      <c r="BJ397" s="1362">
        <f t="shared" si="349"/>
        <v>0</v>
      </c>
      <c r="BK397" s="1360">
        <f t="shared" si="328"/>
        <v>0</v>
      </c>
      <c r="BL397" s="1601">
        <f t="shared" si="329"/>
        <v>0</v>
      </c>
      <c r="BM397" s="1601">
        <f t="shared" si="330"/>
        <v>0</v>
      </c>
      <c r="BN397" s="1601">
        <f t="shared" si="331"/>
        <v>0</v>
      </c>
      <c r="BO397" s="1601">
        <f t="shared" si="332"/>
        <v>0</v>
      </c>
      <c r="BP397" s="1602">
        <f t="shared" si="333"/>
        <v>0</v>
      </c>
      <c r="BQ397" s="1629"/>
      <c r="BR397" s="1629"/>
      <c r="BS397" s="1602">
        <v>0</v>
      </c>
      <c r="BT397" s="1602">
        <v>1</v>
      </c>
      <c r="BU397" s="1602">
        <v>1</v>
      </c>
      <c r="BV397" s="1602">
        <v>1</v>
      </c>
      <c r="BW397" s="1602">
        <v>1</v>
      </c>
      <c r="BX397" s="1362">
        <f t="shared" si="350"/>
        <v>0</v>
      </c>
      <c r="BY397" s="1362">
        <f t="shared" si="351"/>
        <v>0</v>
      </c>
      <c r="BZ397" s="1362">
        <f t="shared" si="352"/>
        <v>0</v>
      </c>
      <c r="CA397" s="1362">
        <f t="shared" si="353"/>
        <v>0</v>
      </c>
      <c r="CB397" s="1362">
        <f t="shared" si="354"/>
        <v>0</v>
      </c>
      <c r="CC397" s="1360">
        <v>1</v>
      </c>
      <c r="CD397" s="1360">
        <v>1</v>
      </c>
      <c r="CE397" s="1360">
        <v>1</v>
      </c>
      <c r="CF397" s="1360">
        <v>1</v>
      </c>
      <c r="CG397" s="1604">
        <f t="shared" si="334"/>
        <v>0</v>
      </c>
      <c r="CH397" s="1604">
        <f t="shared" si="335"/>
        <v>0</v>
      </c>
      <c r="CI397" s="1604">
        <f t="shared" si="336"/>
        <v>0</v>
      </c>
      <c r="CJ397" s="1604">
        <f t="shared" si="337"/>
        <v>0</v>
      </c>
      <c r="CK397" s="1521">
        <f t="shared" si="338"/>
        <v>0</v>
      </c>
      <c r="CL397" s="1132">
        <v>390</v>
      </c>
      <c r="CM397" s="1132" t="s">
        <v>356</v>
      </c>
      <c r="CN397" s="1359">
        <v>1</v>
      </c>
      <c r="CO397" s="1360">
        <v>193.71807000000004</v>
      </c>
      <c r="CP397" s="1360">
        <v>193.71807000000004</v>
      </c>
      <c r="CQ397" s="1360">
        <v>193.71807000000004</v>
      </c>
      <c r="CR397" s="1360">
        <v>193.71807000000004</v>
      </c>
      <c r="CS397" s="1362">
        <f t="shared" si="339"/>
        <v>0</v>
      </c>
      <c r="CT397" s="1362">
        <f t="shared" si="340"/>
        <v>0</v>
      </c>
      <c r="CU397" s="1362">
        <f t="shared" si="341"/>
        <v>0</v>
      </c>
      <c r="CV397" s="1362">
        <f t="shared" si="342"/>
        <v>0</v>
      </c>
      <c r="CW397" s="1362">
        <f t="shared" si="343"/>
        <v>0</v>
      </c>
      <c r="CY397" s="2887"/>
    </row>
    <row r="398" spans="1:103" s="1143" customFormat="1" ht="62" x14ac:dyDescent="0.35">
      <c r="A398" s="1132" t="s">
        <v>110</v>
      </c>
      <c r="B398" s="1132" t="s">
        <v>884</v>
      </c>
      <c r="C398" s="1132" t="s">
        <v>701</v>
      </c>
      <c r="D398" s="1359" t="s">
        <v>702</v>
      </c>
      <c r="E398" s="1359">
        <v>1</v>
      </c>
      <c r="F398" s="2807" t="s">
        <v>703</v>
      </c>
      <c r="G398" s="1132" t="s">
        <v>356</v>
      </c>
      <c r="H398" s="1360">
        <v>1165.163675</v>
      </c>
      <c r="I398" s="1360">
        <v>1165.163675</v>
      </c>
      <c r="J398" s="1360">
        <v>1165.163675</v>
      </c>
      <c r="K398" s="1360">
        <v>1165.163675</v>
      </c>
      <c r="L398" s="1132" t="s">
        <v>704</v>
      </c>
      <c r="M398" s="1132" t="str">
        <f t="shared" si="305"/>
        <v>Nicor Gas PY11-PY14 Adjustable Goals Template_2025-03-01, Tab 5.4.1</v>
      </c>
      <c r="N398" s="1361">
        <v>0.88064584615384589</v>
      </c>
      <c r="O398" s="1361">
        <v>0.88064584615384589</v>
      </c>
      <c r="P398" s="1361">
        <v>0.88064584615384589</v>
      </c>
      <c r="Q398" s="1361">
        <v>0.88064584615384589</v>
      </c>
      <c r="R398" s="1781">
        <v>1</v>
      </c>
      <c r="S398" s="1781">
        <v>1</v>
      </c>
      <c r="T398" s="1781">
        <v>1</v>
      </c>
      <c r="U398" s="1781">
        <v>1</v>
      </c>
      <c r="V398" s="1781">
        <v>1</v>
      </c>
      <c r="W398" s="1781">
        <v>1</v>
      </c>
      <c r="X398" s="1781">
        <v>1</v>
      </c>
      <c r="Y398" s="1781">
        <v>1</v>
      </c>
      <c r="Z398" s="1359">
        <v>0</v>
      </c>
      <c r="AA398" s="1781">
        <f t="shared" si="306"/>
        <v>1</v>
      </c>
      <c r="AB398" s="1781">
        <f t="shared" si="307"/>
        <v>1</v>
      </c>
      <c r="AC398" s="1781">
        <f t="shared" si="308"/>
        <v>1</v>
      </c>
      <c r="AD398" s="1781">
        <f t="shared" si="309"/>
        <v>1</v>
      </c>
      <c r="AE398" s="1781">
        <f t="shared" si="310"/>
        <v>1</v>
      </c>
      <c r="AF398" s="1781">
        <f t="shared" si="311"/>
        <v>1</v>
      </c>
      <c r="AG398" s="1781">
        <f t="shared" si="312"/>
        <v>1</v>
      </c>
      <c r="AH398" s="1781">
        <f t="shared" si="313"/>
        <v>1</v>
      </c>
      <c r="AI398" s="1362">
        <f t="shared" si="344"/>
        <v>1026.0965504780997</v>
      </c>
      <c r="AJ398" s="1362">
        <f t="shared" si="345"/>
        <v>1026.0965504780997</v>
      </c>
      <c r="AK398" s="1362">
        <f t="shared" si="346"/>
        <v>1026.0965504780997</v>
      </c>
      <c r="AL398" s="1362">
        <f t="shared" si="347"/>
        <v>1026.0965504780997</v>
      </c>
      <c r="AM398" s="1362">
        <f t="shared" si="348"/>
        <v>4104.386201912399</v>
      </c>
      <c r="AN398" s="1132" t="str">
        <f t="shared" si="314"/>
        <v>RS-HWE-PINS-V02-150601</v>
      </c>
      <c r="AO398" s="1132" t="str">
        <f t="shared" si="315"/>
        <v>Nicor Gas PY11-PY14 Adjustable Goals Template_2025-03-01, Tab 5.4.1</v>
      </c>
      <c r="AP398" s="2738">
        <f>'5.4.1'!$P$7</f>
        <v>2.1563397498882169</v>
      </c>
      <c r="AQ398" s="2568" t="s">
        <v>705</v>
      </c>
      <c r="AR398" s="2505">
        <f t="shared" si="316"/>
        <v>2512.4887475283358</v>
      </c>
      <c r="AS398" s="2505">
        <f t="shared" si="317"/>
        <v>1486.3921970502361</v>
      </c>
      <c r="AT398" s="1132" t="str">
        <f t="shared" si="318"/>
        <v>RS-HWE-PINS-V02-150601</v>
      </c>
      <c r="AU398" s="1132" t="str">
        <f t="shared" si="319"/>
        <v>Nicor Gas PY11-PY14 Adjustable Goals Template_2025-03-01, Tab 5.4.1</v>
      </c>
      <c r="AV398" s="2247">
        <f>'5.4.1'!$P$7</f>
        <v>2.1563397498882169</v>
      </c>
      <c r="AW398" s="2568" t="s">
        <v>705</v>
      </c>
      <c r="AX398" s="1362">
        <f t="shared" si="320"/>
        <v>2512.4887475283358</v>
      </c>
      <c r="AY398" s="1360">
        <f t="shared" si="321"/>
        <v>1486.3921970502361</v>
      </c>
      <c r="AZ398" s="1132" t="str">
        <f t="shared" si="322"/>
        <v>RS-HWE-PINS-V02-150601</v>
      </c>
      <c r="BA398" s="1132" t="str">
        <f t="shared" si="323"/>
        <v>Nicor Gas PY11-PY14 Adjustable Goals Template_2025-03-01, Tab 5.4.1</v>
      </c>
      <c r="BB398" s="2247">
        <f>'5.4.1'!$P$7</f>
        <v>2.1563397498882169</v>
      </c>
      <c r="BC398" s="2568" t="s">
        <v>705</v>
      </c>
      <c r="BD398" s="1362">
        <f t="shared" si="324"/>
        <v>2512.4887475283358</v>
      </c>
      <c r="BE398" s="1360">
        <f t="shared" si="325"/>
        <v>1486.3921970502361</v>
      </c>
      <c r="BF398" s="1132" t="str">
        <f t="shared" si="326"/>
        <v>RS-HWE-PINS-V02-150601</v>
      </c>
      <c r="BG398" s="1132" t="str">
        <f t="shared" si="327"/>
        <v>Nicor Gas PY11-PY14 Adjustable Goals Template_2025-03-01, Tab 5.4.1</v>
      </c>
      <c r="BH398" s="2247">
        <f>'5.4.1'!$P$7</f>
        <v>2.1563397498882169</v>
      </c>
      <c r="BI398" s="2568" t="s">
        <v>705</v>
      </c>
      <c r="BJ398" s="1362">
        <f t="shared" si="349"/>
        <v>2512.4887475283358</v>
      </c>
      <c r="BK398" s="1360">
        <f t="shared" si="328"/>
        <v>1486.3921970502361</v>
      </c>
      <c r="BL398" s="1601">
        <f t="shared" si="329"/>
        <v>2512.4887475283358</v>
      </c>
      <c r="BM398" s="1601">
        <f t="shared" si="330"/>
        <v>2512.4887475283358</v>
      </c>
      <c r="BN398" s="1601">
        <f t="shared" si="331"/>
        <v>2512.4887475283358</v>
      </c>
      <c r="BO398" s="1601">
        <f t="shared" si="332"/>
        <v>2512.4887475283358</v>
      </c>
      <c r="BP398" s="1602">
        <f t="shared" si="333"/>
        <v>10049.954990113343</v>
      </c>
      <c r="BQ398" s="1629"/>
      <c r="BR398" s="1629" t="s">
        <v>703</v>
      </c>
      <c r="BS398" s="1602">
        <v>0</v>
      </c>
      <c r="BT398" s="1602">
        <v>15</v>
      </c>
      <c r="BU398" s="1602">
        <v>15</v>
      </c>
      <c r="BV398" s="1602">
        <v>15</v>
      </c>
      <c r="BW398" s="1602">
        <v>15</v>
      </c>
      <c r="BX398" s="1362">
        <f t="shared" si="350"/>
        <v>15391.448257171496</v>
      </c>
      <c r="BY398" s="1362">
        <f t="shared" si="351"/>
        <v>15391.448257171496</v>
      </c>
      <c r="BZ398" s="1362">
        <f t="shared" si="352"/>
        <v>15391.448257171496</v>
      </c>
      <c r="CA398" s="1362">
        <f t="shared" si="353"/>
        <v>15391.448257171496</v>
      </c>
      <c r="CB398" s="1362">
        <f t="shared" si="354"/>
        <v>61565.793028685985</v>
      </c>
      <c r="CC398" s="1360">
        <v>15</v>
      </c>
      <c r="CD398" s="1360">
        <v>15</v>
      </c>
      <c r="CE398" s="1360">
        <v>15</v>
      </c>
      <c r="CF398" s="1360">
        <v>15</v>
      </c>
      <c r="CG398" s="1604">
        <f t="shared" si="334"/>
        <v>37687.331212925041</v>
      </c>
      <c r="CH398" s="1604">
        <f t="shared" si="335"/>
        <v>37687.331212925041</v>
      </c>
      <c r="CI398" s="1604">
        <f t="shared" si="336"/>
        <v>37687.331212925041</v>
      </c>
      <c r="CJ398" s="1604">
        <f t="shared" si="337"/>
        <v>37687.331212925041</v>
      </c>
      <c r="CK398" s="1521">
        <f t="shared" si="338"/>
        <v>150749.32485170016</v>
      </c>
      <c r="CL398" s="1132">
        <v>391</v>
      </c>
      <c r="CM398" s="1132" t="s">
        <v>356</v>
      </c>
      <c r="CN398" s="1359">
        <v>1</v>
      </c>
      <c r="CO398" s="1360">
        <v>638.87626224719111</v>
      </c>
      <c r="CP398" s="1360">
        <v>638.87626224719111</v>
      </c>
      <c r="CQ398" s="1360">
        <v>638.87626224719111</v>
      </c>
      <c r="CR398" s="1360">
        <v>638.87626224719111</v>
      </c>
      <c r="CS398" s="1362">
        <f t="shared" si="339"/>
        <v>562.62372655428396</v>
      </c>
      <c r="CT398" s="1362">
        <f t="shared" si="340"/>
        <v>562.62372655428396</v>
      </c>
      <c r="CU398" s="1362">
        <f t="shared" si="341"/>
        <v>562.62372655428396</v>
      </c>
      <c r="CV398" s="1362">
        <f t="shared" si="342"/>
        <v>562.62372655428396</v>
      </c>
      <c r="CW398" s="1362">
        <f t="shared" si="343"/>
        <v>2250.4949062171358</v>
      </c>
      <c r="CY398" s="2887"/>
    </row>
    <row r="399" spans="1:103" s="1143" customFormat="1" ht="46.5" x14ac:dyDescent="0.35">
      <c r="A399" s="1132" t="s">
        <v>110</v>
      </c>
      <c r="B399" s="1132" t="s">
        <v>884</v>
      </c>
      <c r="C399" s="1132" t="s">
        <v>896</v>
      </c>
      <c r="D399" s="1359" t="s">
        <v>897</v>
      </c>
      <c r="E399" s="1359">
        <v>1</v>
      </c>
      <c r="F399" s="2807" t="s">
        <v>697</v>
      </c>
      <c r="G399" s="1132" t="s">
        <v>328</v>
      </c>
      <c r="H399" s="1360">
        <v>79.068600000000004</v>
      </c>
      <c r="I399" s="1360">
        <v>79.068600000000004</v>
      </c>
      <c r="J399" s="1360">
        <v>79.068600000000004</v>
      </c>
      <c r="K399" s="1360">
        <v>79.068600000000004</v>
      </c>
      <c r="L399" s="1132" t="s">
        <v>698</v>
      </c>
      <c r="M399" s="1132" t="str">
        <f t="shared" si="305"/>
        <v>Nicor Gas PY11-PY14 Adjustable Goals Template_2025-03-01, Tab 5.4.4</v>
      </c>
      <c r="N399" s="1361">
        <v>2.7869147711999975</v>
      </c>
      <c r="O399" s="1361">
        <v>2.7869147711999975</v>
      </c>
      <c r="P399" s="1361">
        <v>2.7869147711999975</v>
      </c>
      <c r="Q399" s="1361">
        <v>2.7869147711999975</v>
      </c>
      <c r="R399" s="1781">
        <v>1</v>
      </c>
      <c r="S399" s="1781">
        <v>1</v>
      </c>
      <c r="T399" s="1781">
        <v>1</v>
      </c>
      <c r="U399" s="1781">
        <v>1</v>
      </c>
      <c r="V399" s="1781">
        <v>1</v>
      </c>
      <c r="W399" s="1781">
        <v>1</v>
      </c>
      <c r="X399" s="1781">
        <v>1</v>
      </c>
      <c r="Y399" s="1781">
        <v>1</v>
      </c>
      <c r="Z399" s="1359">
        <v>0</v>
      </c>
      <c r="AA399" s="1781">
        <f t="shared" si="306"/>
        <v>1</v>
      </c>
      <c r="AB399" s="1781">
        <f t="shared" si="307"/>
        <v>1</v>
      </c>
      <c r="AC399" s="1781">
        <f t="shared" si="308"/>
        <v>1</v>
      </c>
      <c r="AD399" s="1781">
        <f t="shared" si="309"/>
        <v>1</v>
      </c>
      <c r="AE399" s="1781">
        <f t="shared" si="310"/>
        <v>1</v>
      </c>
      <c r="AF399" s="1781">
        <f t="shared" si="311"/>
        <v>1</v>
      </c>
      <c r="AG399" s="1781">
        <f t="shared" si="312"/>
        <v>1</v>
      </c>
      <c r="AH399" s="1781">
        <f t="shared" si="313"/>
        <v>1</v>
      </c>
      <c r="AI399" s="1362">
        <f t="shared" si="344"/>
        <v>220.35744927810413</v>
      </c>
      <c r="AJ399" s="1362">
        <f t="shared" si="345"/>
        <v>220.35744927810413</v>
      </c>
      <c r="AK399" s="1362">
        <f t="shared" si="346"/>
        <v>220.35744927810413</v>
      </c>
      <c r="AL399" s="1362">
        <f t="shared" si="347"/>
        <v>220.35744927810413</v>
      </c>
      <c r="AM399" s="1362">
        <f t="shared" si="348"/>
        <v>881.42979711241651</v>
      </c>
      <c r="AN399" s="1132" t="str">
        <f t="shared" si="314"/>
        <v>RS-HWE-LFFA-V07-190101</v>
      </c>
      <c r="AO399" s="1132" t="str">
        <f t="shared" si="315"/>
        <v>Nicor Gas PY11-PY14 Adjustable Goals Template_2025-03-01, Tab 5.4.4</v>
      </c>
      <c r="AP399" s="2738">
        <f>'5.4.4'!$O$19</f>
        <v>3.0219557759999969</v>
      </c>
      <c r="AQ399" s="2568" t="s">
        <v>557</v>
      </c>
      <c r="AR399" s="2505">
        <f t="shared" si="316"/>
        <v>238.94181247023337</v>
      </c>
      <c r="AS399" s="2505">
        <f t="shared" si="317"/>
        <v>18.584363192129246</v>
      </c>
      <c r="AT399" s="1132" t="str">
        <f t="shared" si="318"/>
        <v>RS-HWE-LFFA-V07-190101</v>
      </c>
      <c r="AU399" s="1132" t="str">
        <f t="shared" si="319"/>
        <v>Nicor Gas PY11-PY14 Adjustable Goals Template_2025-03-01, Tab 5.4.4</v>
      </c>
      <c r="AV399" s="2247">
        <f>'5.4.4'!$O$19</f>
        <v>3.0219557759999969</v>
      </c>
      <c r="AW399" s="2568" t="s">
        <v>557</v>
      </c>
      <c r="AX399" s="1362">
        <f t="shared" si="320"/>
        <v>238.94181247023337</v>
      </c>
      <c r="AY399" s="1360">
        <f t="shared" si="321"/>
        <v>18.584363192129246</v>
      </c>
      <c r="AZ399" s="1132" t="str">
        <f t="shared" si="322"/>
        <v>RS-HWE-LFFA-V07-190101</v>
      </c>
      <c r="BA399" s="1132" t="str">
        <f t="shared" si="323"/>
        <v>Nicor Gas PY11-PY14 Adjustable Goals Template_2025-03-01, Tab 5.4.4</v>
      </c>
      <c r="BB399" s="2247">
        <f>'5.4.4'!$O$19</f>
        <v>3.0219557759999969</v>
      </c>
      <c r="BC399" s="2568" t="s">
        <v>557</v>
      </c>
      <c r="BD399" s="1362">
        <f t="shared" si="324"/>
        <v>238.94181247023337</v>
      </c>
      <c r="BE399" s="1360">
        <f t="shared" si="325"/>
        <v>18.584363192129246</v>
      </c>
      <c r="BF399" s="1132" t="str">
        <f t="shared" si="326"/>
        <v>RS-HWE-LFFA-V07-190101</v>
      </c>
      <c r="BG399" s="1132" t="str">
        <f t="shared" si="327"/>
        <v>Nicor Gas PY11-PY14 Adjustable Goals Template_2025-03-01, Tab 5.4.4</v>
      </c>
      <c r="BH399" s="2247">
        <f>'5.4.4'!$O$19</f>
        <v>3.0219557759999969</v>
      </c>
      <c r="BI399" s="2568" t="s">
        <v>557</v>
      </c>
      <c r="BJ399" s="1362">
        <f t="shared" si="349"/>
        <v>238.94181247023337</v>
      </c>
      <c r="BK399" s="1360">
        <f t="shared" si="328"/>
        <v>18.584363192129246</v>
      </c>
      <c r="BL399" s="1601">
        <f t="shared" si="329"/>
        <v>238.94181247023337</v>
      </c>
      <c r="BM399" s="1601">
        <f t="shared" si="330"/>
        <v>238.94181247023337</v>
      </c>
      <c r="BN399" s="1601">
        <f t="shared" si="331"/>
        <v>238.94181247023337</v>
      </c>
      <c r="BO399" s="1601">
        <f t="shared" si="332"/>
        <v>238.94181247023337</v>
      </c>
      <c r="BP399" s="1602">
        <f t="shared" si="333"/>
        <v>955.76724988093349</v>
      </c>
      <c r="BQ399" s="1629"/>
      <c r="BR399" s="1629" t="s">
        <v>697</v>
      </c>
      <c r="BS399" s="1602">
        <v>0</v>
      </c>
      <c r="BT399" s="1602">
        <v>10</v>
      </c>
      <c r="BU399" s="1602">
        <v>10</v>
      </c>
      <c r="BV399" s="1602">
        <v>10</v>
      </c>
      <c r="BW399" s="1602">
        <v>10</v>
      </c>
      <c r="BX399" s="1362">
        <f t="shared" si="350"/>
        <v>2203.574492781041</v>
      </c>
      <c r="BY399" s="1362">
        <f t="shared" si="351"/>
        <v>2203.574492781041</v>
      </c>
      <c r="BZ399" s="1362">
        <f t="shared" si="352"/>
        <v>2203.574492781041</v>
      </c>
      <c r="CA399" s="1362">
        <f t="shared" si="353"/>
        <v>2203.574492781041</v>
      </c>
      <c r="CB399" s="1362">
        <f t="shared" si="354"/>
        <v>8814.2979711241642</v>
      </c>
      <c r="CC399" s="1360">
        <v>10</v>
      </c>
      <c r="CD399" s="1360">
        <v>10</v>
      </c>
      <c r="CE399" s="1360">
        <v>10</v>
      </c>
      <c r="CF399" s="1360">
        <v>10</v>
      </c>
      <c r="CG399" s="1604">
        <f t="shared" si="334"/>
        <v>2389.4181247023339</v>
      </c>
      <c r="CH399" s="1604">
        <f t="shared" si="335"/>
        <v>2389.4181247023339</v>
      </c>
      <c r="CI399" s="1604">
        <f t="shared" si="336"/>
        <v>2389.4181247023339</v>
      </c>
      <c r="CJ399" s="1604">
        <f t="shared" si="337"/>
        <v>2389.4181247023339</v>
      </c>
      <c r="CK399" s="1521">
        <f t="shared" si="338"/>
        <v>9557.6724988093356</v>
      </c>
      <c r="CL399" s="1132">
        <v>392</v>
      </c>
      <c r="CM399" s="1132" t="s">
        <v>328</v>
      </c>
      <c r="CN399" s="1359">
        <v>1</v>
      </c>
      <c r="CO399" s="1360">
        <v>43.377007907742993</v>
      </c>
      <c r="CP399" s="1360">
        <v>43.377007907742993</v>
      </c>
      <c r="CQ399" s="1360">
        <v>43.377007907742993</v>
      </c>
      <c r="CR399" s="1360">
        <v>43.377007907742993</v>
      </c>
      <c r="CS399" s="1362">
        <f t="shared" si="339"/>
        <v>120.88802406854805</v>
      </c>
      <c r="CT399" s="1362">
        <f t="shared" si="340"/>
        <v>120.88802406854805</v>
      </c>
      <c r="CU399" s="1362">
        <f t="shared" si="341"/>
        <v>120.88802406854805</v>
      </c>
      <c r="CV399" s="1362">
        <f t="shared" si="342"/>
        <v>120.88802406854805</v>
      </c>
      <c r="CW399" s="1362">
        <f t="shared" si="343"/>
        <v>483.55209627419219</v>
      </c>
      <c r="CY399" s="2887"/>
    </row>
    <row r="400" spans="1:103" s="1143" customFormat="1" ht="45.75" customHeight="1" x14ac:dyDescent="0.35">
      <c r="A400" s="1132" t="s">
        <v>110</v>
      </c>
      <c r="B400" s="1132" t="s">
        <v>884</v>
      </c>
      <c r="C400" s="1132" t="s">
        <v>898</v>
      </c>
      <c r="D400" s="1359" t="s">
        <v>899</v>
      </c>
      <c r="E400" s="1359">
        <v>1</v>
      </c>
      <c r="F400" s="2564" t="s">
        <v>708</v>
      </c>
      <c r="G400" s="1132" t="s">
        <v>328</v>
      </c>
      <c r="H400" s="1360">
        <v>63.694150000000008</v>
      </c>
      <c r="I400" s="1360">
        <v>63.694150000000008</v>
      </c>
      <c r="J400" s="1360">
        <v>63.694150000000008</v>
      </c>
      <c r="K400" s="1360">
        <v>63.694150000000008</v>
      </c>
      <c r="L400" s="1132" t="s">
        <v>709</v>
      </c>
      <c r="M400" s="1132" t="str">
        <f t="shared" si="305"/>
        <v>Nicor Gas PY11-PY14 Adjustable Goals Template_2025-03-01, Tab 5.3.11</v>
      </c>
      <c r="N400" s="1361">
        <v>62.31</v>
      </c>
      <c r="O400" s="1361">
        <v>62.31</v>
      </c>
      <c r="P400" s="1361">
        <v>62.31</v>
      </c>
      <c r="Q400" s="1361">
        <v>62.31</v>
      </c>
      <c r="R400" s="1781">
        <v>1</v>
      </c>
      <c r="S400" s="1781">
        <v>1</v>
      </c>
      <c r="T400" s="1781">
        <v>1</v>
      </c>
      <c r="U400" s="1781">
        <v>1</v>
      </c>
      <c r="V400" s="1781">
        <v>1</v>
      </c>
      <c r="W400" s="1781">
        <v>1</v>
      </c>
      <c r="X400" s="1781">
        <v>1</v>
      </c>
      <c r="Y400" s="1781">
        <v>1</v>
      </c>
      <c r="Z400" s="1359">
        <v>0</v>
      </c>
      <c r="AA400" s="1781">
        <f t="shared" si="306"/>
        <v>1</v>
      </c>
      <c r="AB400" s="1781">
        <f t="shared" si="307"/>
        <v>1</v>
      </c>
      <c r="AC400" s="1781">
        <f t="shared" si="308"/>
        <v>1</v>
      </c>
      <c r="AD400" s="1781">
        <f t="shared" si="309"/>
        <v>1</v>
      </c>
      <c r="AE400" s="1781">
        <f t="shared" si="310"/>
        <v>1</v>
      </c>
      <c r="AF400" s="1781">
        <f t="shared" si="311"/>
        <v>1</v>
      </c>
      <c r="AG400" s="1781">
        <f t="shared" si="312"/>
        <v>1</v>
      </c>
      <c r="AH400" s="1781">
        <f t="shared" si="313"/>
        <v>1</v>
      </c>
      <c r="AI400" s="1362">
        <f t="shared" si="344"/>
        <v>3968.7824865000007</v>
      </c>
      <c r="AJ400" s="1362">
        <f t="shared" si="345"/>
        <v>3968.7824865000007</v>
      </c>
      <c r="AK400" s="1362">
        <f t="shared" si="346"/>
        <v>3968.7824865000007</v>
      </c>
      <c r="AL400" s="1362">
        <f t="shared" si="347"/>
        <v>3968.7824865000007</v>
      </c>
      <c r="AM400" s="1362">
        <f t="shared" si="348"/>
        <v>15875.129946000003</v>
      </c>
      <c r="AN400" s="1132" t="str">
        <f t="shared" si="314"/>
        <v>RS-HVC-PROG-V05-190101</v>
      </c>
      <c r="AO400" s="1132" t="str">
        <f t="shared" si="315"/>
        <v>Nicor Gas PY11-PY14 Adjustable Goals Template_2025-03-01, Tab 5.3.11</v>
      </c>
      <c r="AP400" s="2247">
        <f>'5.3.11'!$Q$15</f>
        <v>62.31</v>
      </c>
      <c r="AQ400" s="2505"/>
      <c r="AR400" s="2505">
        <f t="shared" si="316"/>
        <v>3968.7824865000007</v>
      </c>
      <c r="AS400" s="2505">
        <f t="shared" si="317"/>
        <v>0</v>
      </c>
      <c r="AT400" s="1132" t="str">
        <f t="shared" si="318"/>
        <v>RS-HVC-PROG-V05-190101</v>
      </c>
      <c r="AU400" s="1132" t="str">
        <f t="shared" si="319"/>
        <v>Nicor Gas PY11-PY14 Adjustable Goals Template_2025-03-01, Tab 5.3.11</v>
      </c>
      <c r="AV400" s="2247">
        <f>'5.3.11'!$Q$15</f>
        <v>62.31</v>
      </c>
      <c r="AW400" s="2505"/>
      <c r="AX400" s="1362">
        <f t="shared" si="320"/>
        <v>3968.7824865000007</v>
      </c>
      <c r="AY400" s="1360">
        <f t="shared" si="321"/>
        <v>0</v>
      </c>
      <c r="AZ400" s="1132" t="str">
        <f t="shared" si="322"/>
        <v>RS-HVC-PROG-V05-190101</v>
      </c>
      <c r="BA400" s="1132" t="str">
        <f t="shared" si="323"/>
        <v>Nicor Gas PY11-PY14 Adjustable Goals Template_2025-03-01, Tab 5.3.11</v>
      </c>
      <c r="BB400" s="2247">
        <f>'5.3.11'!$Q$15</f>
        <v>62.31</v>
      </c>
      <c r="BC400" s="2505"/>
      <c r="BD400" s="1362">
        <f t="shared" si="324"/>
        <v>3968.7824865000007</v>
      </c>
      <c r="BE400" s="1360">
        <f t="shared" si="325"/>
        <v>0</v>
      </c>
      <c r="BF400" s="1132" t="str">
        <f t="shared" si="326"/>
        <v>RS-HVC-PROG-V05-190101</v>
      </c>
      <c r="BG400" s="1132" t="str">
        <f t="shared" si="327"/>
        <v>Nicor Gas PY11-PY14 Adjustable Goals Template_2025-03-01, Tab 5.3.11</v>
      </c>
      <c r="BH400" s="2247">
        <f>'5.3.11'!$Q$15</f>
        <v>62.31</v>
      </c>
      <c r="BI400" s="2505"/>
      <c r="BJ400" s="1362">
        <f t="shared" si="349"/>
        <v>3968.7824865000007</v>
      </c>
      <c r="BK400" s="1360">
        <f t="shared" si="328"/>
        <v>0</v>
      </c>
      <c r="BL400" s="1601">
        <f t="shared" si="329"/>
        <v>3968.7824865000007</v>
      </c>
      <c r="BM400" s="1601">
        <f t="shared" si="330"/>
        <v>3968.7824865000007</v>
      </c>
      <c r="BN400" s="1601">
        <f t="shared" si="331"/>
        <v>3968.7824865000007</v>
      </c>
      <c r="BO400" s="1601">
        <f t="shared" si="332"/>
        <v>3968.7824865000007</v>
      </c>
      <c r="BP400" s="1602">
        <f t="shared" si="333"/>
        <v>15875.129946000003</v>
      </c>
      <c r="BQ400" s="1629"/>
      <c r="BR400" s="1629" t="s">
        <v>708</v>
      </c>
      <c r="BS400" s="1602">
        <v>0</v>
      </c>
      <c r="BT400" s="1602">
        <v>8</v>
      </c>
      <c r="BU400" s="1602">
        <v>8</v>
      </c>
      <c r="BV400" s="1602">
        <v>8</v>
      </c>
      <c r="BW400" s="1602">
        <v>8</v>
      </c>
      <c r="BX400" s="1362">
        <f t="shared" si="350"/>
        <v>31750.259892000005</v>
      </c>
      <c r="BY400" s="1362">
        <f t="shared" si="351"/>
        <v>31750.259892000005</v>
      </c>
      <c r="BZ400" s="1362">
        <f t="shared" si="352"/>
        <v>31750.259892000005</v>
      </c>
      <c r="CA400" s="1362">
        <f t="shared" si="353"/>
        <v>31750.259892000005</v>
      </c>
      <c r="CB400" s="1362">
        <f t="shared" si="354"/>
        <v>127001.03956800002</v>
      </c>
      <c r="CC400" s="1360">
        <v>8</v>
      </c>
      <c r="CD400" s="1360">
        <v>8</v>
      </c>
      <c r="CE400" s="1360">
        <v>8</v>
      </c>
      <c r="CF400" s="1360">
        <v>8</v>
      </c>
      <c r="CG400" s="1604">
        <f t="shared" si="334"/>
        <v>31750.259892000005</v>
      </c>
      <c r="CH400" s="1604">
        <f t="shared" si="335"/>
        <v>31750.259892000005</v>
      </c>
      <c r="CI400" s="1604">
        <f t="shared" si="336"/>
        <v>31750.259892000005</v>
      </c>
      <c r="CJ400" s="1604">
        <f t="shared" si="337"/>
        <v>31750.259892000005</v>
      </c>
      <c r="CK400" s="1521">
        <f t="shared" si="338"/>
        <v>127001.03956800002</v>
      </c>
      <c r="CL400" s="1132">
        <v>393</v>
      </c>
      <c r="CM400" s="1132" t="s">
        <v>328</v>
      </c>
      <c r="CN400" s="1359">
        <v>1</v>
      </c>
      <c r="CO400" s="1360">
        <v>34.948945035124368</v>
      </c>
      <c r="CP400" s="1360">
        <v>34.948945035124368</v>
      </c>
      <c r="CQ400" s="1360">
        <v>34.948945035124368</v>
      </c>
      <c r="CR400" s="1360">
        <v>34.948945035124368</v>
      </c>
      <c r="CS400" s="1362">
        <f t="shared" si="339"/>
        <v>2177.6687651385996</v>
      </c>
      <c r="CT400" s="1362">
        <f t="shared" si="340"/>
        <v>2177.6687651385996</v>
      </c>
      <c r="CU400" s="1362">
        <f t="shared" si="341"/>
        <v>2177.6687651385996</v>
      </c>
      <c r="CV400" s="1362">
        <f t="shared" si="342"/>
        <v>2177.6687651385996</v>
      </c>
      <c r="CW400" s="1362">
        <f t="shared" si="343"/>
        <v>8710.6750605543984</v>
      </c>
      <c r="CY400" s="2887"/>
    </row>
    <row r="401" spans="1:103" s="1143" customFormat="1" ht="46.5" x14ac:dyDescent="0.35">
      <c r="A401" s="1132" t="s">
        <v>110</v>
      </c>
      <c r="B401" s="1132" t="s">
        <v>884</v>
      </c>
      <c r="C401" s="1132" t="s">
        <v>900</v>
      </c>
      <c r="D401" s="1359" t="s">
        <v>901</v>
      </c>
      <c r="E401" s="1359">
        <v>1</v>
      </c>
      <c r="F401" s="2564" t="s">
        <v>794</v>
      </c>
      <c r="G401" s="1132" t="s">
        <v>328</v>
      </c>
      <c r="H401" s="1360">
        <v>77.970425000000006</v>
      </c>
      <c r="I401" s="1360">
        <v>77.970425000000006</v>
      </c>
      <c r="J401" s="1360">
        <v>77.970425000000006</v>
      </c>
      <c r="K401" s="1360">
        <v>77.970425000000006</v>
      </c>
      <c r="L401" s="1132" t="s">
        <v>795</v>
      </c>
      <c r="M401" s="1132" t="str">
        <f t="shared" si="305"/>
        <v>Nicor Gas PY11-PY14 Adjustable Goals Template_2025-03-01, Tab 5.6.6</v>
      </c>
      <c r="N401" s="1361">
        <v>11.944575595889214</v>
      </c>
      <c r="O401" s="1361">
        <v>11.944575595889214</v>
      </c>
      <c r="P401" s="1361">
        <v>11.944575595889214</v>
      </c>
      <c r="Q401" s="1361">
        <v>11.944575595889214</v>
      </c>
      <c r="R401" s="1781">
        <v>1</v>
      </c>
      <c r="S401" s="1781">
        <v>1</v>
      </c>
      <c r="T401" s="1781">
        <v>1</v>
      </c>
      <c r="U401" s="1781">
        <v>1</v>
      </c>
      <c r="V401" s="1781">
        <v>1</v>
      </c>
      <c r="W401" s="1781">
        <v>1</v>
      </c>
      <c r="X401" s="1781">
        <v>1</v>
      </c>
      <c r="Y401" s="1781">
        <v>1</v>
      </c>
      <c r="Z401" s="1359">
        <v>0</v>
      </c>
      <c r="AA401" s="1781">
        <f t="shared" si="306"/>
        <v>1</v>
      </c>
      <c r="AB401" s="1781">
        <f t="shared" si="307"/>
        <v>1</v>
      </c>
      <c r="AC401" s="1781">
        <f t="shared" si="308"/>
        <v>1</v>
      </c>
      <c r="AD401" s="1781">
        <f t="shared" si="309"/>
        <v>1</v>
      </c>
      <c r="AE401" s="1781">
        <f t="shared" si="310"/>
        <v>1</v>
      </c>
      <c r="AF401" s="1781">
        <f t="shared" si="311"/>
        <v>1</v>
      </c>
      <c r="AG401" s="1781">
        <f t="shared" si="312"/>
        <v>1</v>
      </c>
      <c r="AH401" s="1781">
        <f t="shared" si="313"/>
        <v>1</v>
      </c>
      <c r="AI401" s="1362">
        <f t="shared" si="344"/>
        <v>931.32363565611035</v>
      </c>
      <c r="AJ401" s="1362">
        <f t="shared" si="345"/>
        <v>931.32363565611035</v>
      </c>
      <c r="AK401" s="1362">
        <f t="shared" si="346"/>
        <v>931.32363565611035</v>
      </c>
      <c r="AL401" s="1362">
        <f t="shared" si="347"/>
        <v>931.32363565611035</v>
      </c>
      <c r="AM401" s="1362">
        <f t="shared" si="348"/>
        <v>3725.2945426244414</v>
      </c>
      <c r="AN401" s="1132" t="str">
        <f t="shared" si="314"/>
        <v>RS-SHL-RINS-V01-190101</v>
      </c>
      <c r="AO401" s="1132" t="str">
        <f t="shared" si="315"/>
        <v>Nicor Gas PY11-PY14 Adjustable Goals Template_2025-03-01, Tab 5.6.6</v>
      </c>
      <c r="AP401" s="2505">
        <f>'5.6.6'!$X$4</f>
        <v>11.944575595889214</v>
      </c>
      <c r="AQ401" s="2505"/>
      <c r="AR401" s="2505">
        <f t="shared" si="316"/>
        <v>931.32363565611035</v>
      </c>
      <c r="AS401" s="2505">
        <f t="shared" si="317"/>
        <v>0</v>
      </c>
      <c r="AT401" s="1132" t="str">
        <f t="shared" si="318"/>
        <v>RS-SHL-RINS-V01-190101</v>
      </c>
      <c r="AU401" s="1132" t="str">
        <f t="shared" si="319"/>
        <v>Nicor Gas PY11-PY14 Adjustable Goals Template_2025-03-01, Tab 5.6.6</v>
      </c>
      <c r="AV401" s="2505">
        <f>'5.6.6'!$X$4</f>
        <v>11.944575595889214</v>
      </c>
      <c r="AW401" s="2505"/>
      <c r="AX401" s="1362">
        <f t="shared" si="320"/>
        <v>931.32363565611035</v>
      </c>
      <c r="AY401" s="1360">
        <f t="shared" si="321"/>
        <v>0</v>
      </c>
      <c r="AZ401" s="1132" t="str">
        <f t="shared" si="322"/>
        <v>RS-SHL-RINS-V01-190101</v>
      </c>
      <c r="BA401" s="1132" t="str">
        <f t="shared" si="323"/>
        <v>Nicor Gas PY11-PY14 Adjustable Goals Template_2025-03-01, Tab 5.6.6</v>
      </c>
      <c r="BB401" s="2505">
        <f>'5.6.6'!$X$4</f>
        <v>11.944575595889214</v>
      </c>
      <c r="BC401" s="2505"/>
      <c r="BD401" s="1362">
        <f t="shared" si="324"/>
        <v>931.32363565611035</v>
      </c>
      <c r="BE401" s="1360">
        <f t="shared" si="325"/>
        <v>0</v>
      </c>
      <c r="BF401" s="1132" t="str">
        <f t="shared" si="326"/>
        <v>RS-SHL-RINS-V01-190101</v>
      </c>
      <c r="BG401" s="1132" t="str">
        <f t="shared" si="327"/>
        <v>Nicor Gas PY11-PY14 Adjustable Goals Template_2025-03-01, Tab 5.6.6</v>
      </c>
      <c r="BH401" s="2505">
        <f>'5.6.6'!$X$4</f>
        <v>11.944575595889214</v>
      </c>
      <c r="BI401" s="2505"/>
      <c r="BJ401" s="1362">
        <f t="shared" si="349"/>
        <v>931.32363565611035</v>
      </c>
      <c r="BK401" s="1360">
        <f t="shared" si="328"/>
        <v>0</v>
      </c>
      <c r="BL401" s="1601">
        <f t="shared" si="329"/>
        <v>931.32363565611035</v>
      </c>
      <c r="BM401" s="1601">
        <f t="shared" si="330"/>
        <v>931.32363565611035</v>
      </c>
      <c r="BN401" s="1601">
        <f t="shared" si="331"/>
        <v>931.32363565611035</v>
      </c>
      <c r="BO401" s="1601">
        <f t="shared" si="332"/>
        <v>931.32363565611035</v>
      </c>
      <c r="BP401" s="1602">
        <f t="shared" si="333"/>
        <v>3725.2945426244414</v>
      </c>
      <c r="BQ401" s="1629"/>
      <c r="BR401" s="1629" t="s">
        <v>794</v>
      </c>
      <c r="BS401" s="2773">
        <v>1</v>
      </c>
      <c r="BT401" s="1602">
        <v>19.411764705882351</v>
      </c>
      <c r="BU401" s="1602">
        <v>19.411764705882351</v>
      </c>
      <c r="BV401" s="1602">
        <v>19.411764705882351</v>
      </c>
      <c r="BW401" s="1602">
        <v>19.411764705882351</v>
      </c>
      <c r="BX401" s="1362">
        <f t="shared" si="350"/>
        <v>18078.635280383318</v>
      </c>
      <c r="BY401" s="1362">
        <f t="shared" si="351"/>
        <v>18078.635280383318</v>
      </c>
      <c r="BZ401" s="1362">
        <f t="shared" si="352"/>
        <v>18078.635280383318</v>
      </c>
      <c r="CA401" s="1362">
        <f t="shared" si="353"/>
        <v>18078.635280383318</v>
      </c>
      <c r="CB401" s="1362">
        <f t="shared" si="354"/>
        <v>72314.541121533272</v>
      </c>
      <c r="CC401" s="2775">
        <v>20</v>
      </c>
      <c r="CD401" s="2775">
        <v>20</v>
      </c>
      <c r="CE401" s="2775">
        <v>20</v>
      </c>
      <c r="CF401" s="2775">
        <v>20</v>
      </c>
      <c r="CG401" s="1604">
        <f t="shared" si="334"/>
        <v>18626.472713122206</v>
      </c>
      <c r="CH401" s="1604">
        <f t="shared" si="335"/>
        <v>18626.472713122206</v>
      </c>
      <c r="CI401" s="1604">
        <f t="shared" si="336"/>
        <v>18626.472713122206</v>
      </c>
      <c r="CJ401" s="1604">
        <f t="shared" si="337"/>
        <v>18626.472713122206</v>
      </c>
      <c r="CK401" s="1521">
        <f t="shared" si="338"/>
        <v>74505.890852488825</v>
      </c>
      <c r="CL401" s="1132">
        <v>394</v>
      </c>
      <c r="CM401" s="1132" t="s">
        <v>328</v>
      </c>
      <c r="CN401" s="1359">
        <v>1</v>
      </c>
      <c r="CO401" s="1360">
        <v>36.707921619176844</v>
      </c>
      <c r="CP401" s="1360">
        <v>36.707921619176844</v>
      </c>
      <c r="CQ401" s="1360">
        <v>36.707921619176844</v>
      </c>
      <c r="CR401" s="1360">
        <v>36.707921619176844</v>
      </c>
      <c r="CS401" s="1362">
        <f t="shared" si="339"/>
        <v>438.46054474823381</v>
      </c>
      <c r="CT401" s="1362">
        <f t="shared" si="340"/>
        <v>438.46054474823381</v>
      </c>
      <c r="CU401" s="1362">
        <f t="shared" si="341"/>
        <v>438.46054474823381</v>
      </c>
      <c r="CV401" s="1362">
        <f t="shared" si="342"/>
        <v>438.46054474823381</v>
      </c>
      <c r="CW401" s="1362">
        <f t="shared" si="343"/>
        <v>1753.8421789929353</v>
      </c>
      <c r="CY401" s="2887"/>
    </row>
    <row r="402" spans="1:103" s="1143" customFormat="1" ht="46.5" x14ac:dyDescent="0.35">
      <c r="A402" s="1132" t="s">
        <v>110</v>
      </c>
      <c r="B402" s="1132" t="s">
        <v>884</v>
      </c>
      <c r="C402" s="1132" t="s">
        <v>902</v>
      </c>
      <c r="D402" s="1359" t="s">
        <v>903</v>
      </c>
      <c r="E402" s="1359">
        <v>1</v>
      </c>
      <c r="F402" s="2807" t="s">
        <v>691</v>
      </c>
      <c r="G402" s="1132" t="s">
        <v>328</v>
      </c>
      <c r="H402" s="1360">
        <v>79.068600000000004</v>
      </c>
      <c r="I402" s="1360">
        <v>79.068600000000004</v>
      </c>
      <c r="J402" s="1360">
        <v>79.068600000000004</v>
      </c>
      <c r="K402" s="1360">
        <v>79.068600000000004</v>
      </c>
      <c r="L402" s="1132" t="s">
        <v>692</v>
      </c>
      <c r="M402" s="1132" t="str">
        <f t="shared" si="305"/>
        <v>Nicor Gas PY11-PY14 Adjustable Goals Template_2025-03-01, Tab 5.4.5</v>
      </c>
      <c r="N402" s="2245">
        <v>2.8513052508388848</v>
      </c>
      <c r="O402" s="1361">
        <v>2.8513052508388848</v>
      </c>
      <c r="P402" s="1361">
        <v>2.8513052508388848</v>
      </c>
      <c r="Q402" s="1361">
        <v>2.8513052508388848</v>
      </c>
      <c r="R402" s="1781">
        <v>1</v>
      </c>
      <c r="S402" s="1781">
        <v>1</v>
      </c>
      <c r="T402" s="1781">
        <v>1</v>
      </c>
      <c r="U402" s="1781">
        <v>1</v>
      </c>
      <c r="V402" s="1781">
        <v>1</v>
      </c>
      <c r="W402" s="1781">
        <v>1</v>
      </c>
      <c r="X402" s="1781">
        <v>1</v>
      </c>
      <c r="Y402" s="1781">
        <v>1</v>
      </c>
      <c r="Z402" s="1359">
        <v>0</v>
      </c>
      <c r="AA402" s="1781">
        <f t="shared" si="306"/>
        <v>1</v>
      </c>
      <c r="AB402" s="1781">
        <f t="shared" si="307"/>
        <v>1</v>
      </c>
      <c r="AC402" s="1781">
        <f t="shared" si="308"/>
        <v>1</v>
      </c>
      <c r="AD402" s="1781">
        <f t="shared" si="309"/>
        <v>1</v>
      </c>
      <c r="AE402" s="1781">
        <f t="shared" si="310"/>
        <v>1</v>
      </c>
      <c r="AF402" s="1781">
        <f t="shared" si="311"/>
        <v>1</v>
      </c>
      <c r="AG402" s="1781">
        <f t="shared" si="312"/>
        <v>1</v>
      </c>
      <c r="AH402" s="1781">
        <f t="shared" si="313"/>
        <v>1</v>
      </c>
      <c r="AI402" s="1362">
        <f t="shared" si="344"/>
        <v>225.44871435647946</v>
      </c>
      <c r="AJ402" s="1362">
        <f t="shared" si="345"/>
        <v>225.44871435647946</v>
      </c>
      <c r="AK402" s="1362">
        <f t="shared" si="346"/>
        <v>225.44871435647946</v>
      </c>
      <c r="AL402" s="1362">
        <f t="shared" si="347"/>
        <v>225.44871435647946</v>
      </c>
      <c r="AM402" s="1362">
        <f t="shared" si="348"/>
        <v>901.79485742591783</v>
      </c>
      <c r="AN402" s="1132" t="str">
        <f t="shared" si="314"/>
        <v>RS-HWE-LFSH-V06-190101</v>
      </c>
      <c r="AO402" s="1132" t="str">
        <f t="shared" si="315"/>
        <v>Nicor Gas PY11-PY14 Adjustable Goals Template_2025-03-01, Tab 5.4.5</v>
      </c>
      <c r="AP402" s="2737">
        <f>'5.4.5'!$P$20</f>
        <v>3.0732631446167629</v>
      </c>
      <c r="AQ402" s="2568" t="s">
        <v>557</v>
      </c>
      <c r="AR402" s="2505">
        <f t="shared" si="316"/>
        <v>242.99861427644498</v>
      </c>
      <c r="AS402" s="2505">
        <f t="shared" si="317"/>
        <v>17.549899919965526</v>
      </c>
      <c r="AT402" s="1132" t="str">
        <f t="shared" si="318"/>
        <v>RS-HWE-LFSH-V06-190101</v>
      </c>
      <c r="AU402" s="1132" t="str">
        <f t="shared" si="319"/>
        <v>Nicor Gas PY11-PY14 Adjustable Goals Template_2025-03-01, Tab 5.4.5</v>
      </c>
      <c r="AV402" s="2508">
        <f>'5.4.5'!$P$20</f>
        <v>3.0732631446167629</v>
      </c>
      <c r="AW402" s="2568" t="s">
        <v>557</v>
      </c>
      <c r="AX402" s="1362">
        <f t="shared" si="320"/>
        <v>242.99861427644498</v>
      </c>
      <c r="AY402" s="1360">
        <f t="shared" si="321"/>
        <v>17.549899919965526</v>
      </c>
      <c r="AZ402" s="1132" t="str">
        <f t="shared" si="322"/>
        <v>RS-HWE-LFSH-V06-190101</v>
      </c>
      <c r="BA402" s="1132" t="str">
        <f t="shared" si="323"/>
        <v>Nicor Gas PY11-PY14 Adjustable Goals Template_2025-03-01, Tab 5.4.5</v>
      </c>
      <c r="BB402" s="2508">
        <f>'5.4.5'!$P$20</f>
        <v>3.0732631446167629</v>
      </c>
      <c r="BC402" s="2568" t="s">
        <v>557</v>
      </c>
      <c r="BD402" s="1362">
        <f t="shared" si="324"/>
        <v>242.99861427644498</v>
      </c>
      <c r="BE402" s="1360">
        <f t="shared" si="325"/>
        <v>17.549899919965526</v>
      </c>
      <c r="BF402" s="1132" t="str">
        <f t="shared" si="326"/>
        <v>RS-HWE-LFSH-V06-190101</v>
      </c>
      <c r="BG402" s="1132" t="str">
        <f t="shared" si="327"/>
        <v>Nicor Gas PY11-PY14 Adjustable Goals Template_2025-03-01, Tab 5.4.5</v>
      </c>
      <c r="BH402" s="2508">
        <f>'5.4.5'!$P$20</f>
        <v>3.0732631446167629</v>
      </c>
      <c r="BI402" s="2568" t="s">
        <v>557</v>
      </c>
      <c r="BJ402" s="1362">
        <f t="shared" si="349"/>
        <v>242.99861427644498</v>
      </c>
      <c r="BK402" s="1360">
        <f t="shared" si="328"/>
        <v>17.549899919965526</v>
      </c>
      <c r="BL402" s="1601">
        <f t="shared" si="329"/>
        <v>242.99861427644498</v>
      </c>
      <c r="BM402" s="1601">
        <f t="shared" si="330"/>
        <v>242.99861427644498</v>
      </c>
      <c r="BN402" s="1601">
        <f t="shared" si="331"/>
        <v>242.99861427644498</v>
      </c>
      <c r="BO402" s="1601">
        <f t="shared" si="332"/>
        <v>242.99861427644498</v>
      </c>
      <c r="BP402" s="1602">
        <f t="shared" si="333"/>
        <v>971.99445710577993</v>
      </c>
      <c r="BQ402" s="1629"/>
      <c r="BR402" s="1629" t="s">
        <v>691</v>
      </c>
      <c r="BS402" s="1602">
        <v>0</v>
      </c>
      <c r="BT402" s="1602">
        <v>10</v>
      </c>
      <c r="BU402" s="1602">
        <v>10</v>
      </c>
      <c r="BV402" s="1602">
        <v>10</v>
      </c>
      <c r="BW402" s="1602">
        <v>10</v>
      </c>
      <c r="BX402" s="1362">
        <f t="shared" si="350"/>
        <v>2254.4871435647947</v>
      </c>
      <c r="BY402" s="1362">
        <f t="shared" si="351"/>
        <v>2254.4871435647947</v>
      </c>
      <c r="BZ402" s="1362">
        <f t="shared" si="352"/>
        <v>2254.4871435647947</v>
      </c>
      <c r="CA402" s="1362">
        <f t="shared" si="353"/>
        <v>2254.4871435647947</v>
      </c>
      <c r="CB402" s="1362">
        <f t="shared" si="354"/>
        <v>9017.9485742591787</v>
      </c>
      <c r="CC402" s="1360">
        <v>10</v>
      </c>
      <c r="CD402" s="1360">
        <v>10</v>
      </c>
      <c r="CE402" s="1360">
        <v>10</v>
      </c>
      <c r="CF402" s="1360">
        <v>10</v>
      </c>
      <c r="CG402" s="1604">
        <f t="shared" si="334"/>
        <v>2429.9861427644501</v>
      </c>
      <c r="CH402" s="1604">
        <f t="shared" si="335"/>
        <v>2429.9861427644501</v>
      </c>
      <c r="CI402" s="1604">
        <f t="shared" si="336"/>
        <v>2429.9861427644501</v>
      </c>
      <c r="CJ402" s="1604">
        <f t="shared" si="337"/>
        <v>2429.9861427644501</v>
      </c>
      <c r="CK402" s="1521">
        <f t="shared" si="338"/>
        <v>9719.9445710578002</v>
      </c>
      <c r="CL402" s="1132">
        <v>395</v>
      </c>
      <c r="CM402" s="1132" t="s">
        <v>328</v>
      </c>
      <c r="CN402" s="1359">
        <v>1</v>
      </c>
      <c r="CO402" s="1360">
        <v>43.385779083094562</v>
      </c>
      <c r="CP402" s="1360">
        <v>43.385779083094562</v>
      </c>
      <c r="CQ402" s="1360">
        <v>43.385779083094562</v>
      </c>
      <c r="CR402" s="1360">
        <v>43.385779083094562</v>
      </c>
      <c r="CS402" s="1362">
        <f t="shared" si="339"/>
        <v>123.70609971136338</v>
      </c>
      <c r="CT402" s="1362">
        <f t="shared" si="340"/>
        <v>123.70609971136338</v>
      </c>
      <c r="CU402" s="1362">
        <f t="shared" si="341"/>
        <v>123.70609971136338</v>
      </c>
      <c r="CV402" s="1362">
        <f t="shared" si="342"/>
        <v>123.70609971136338</v>
      </c>
      <c r="CW402" s="1362">
        <f t="shared" si="343"/>
        <v>494.82439884545352</v>
      </c>
      <c r="CY402" s="2887"/>
    </row>
    <row r="403" spans="1:103" s="1143" customFormat="1" ht="46.5" x14ac:dyDescent="0.35">
      <c r="A403" s="1132" t="s">
        <v>110</v>
      </c>
      <c r="B403" s="1132" t="s">
        <v>884</v>
      </c>
      <c r="C403" s="1132" t="s">
        <v>477</v>
      </c>
      <c r="D403" s="1359" t="s">
        <v>478</v>
      </c>
      <c r="E403" s="1359">
        <v>1</v>
      </c>
      <c r="F403" s="2807" t="s">
        <v>479</v>
      </c>
      <c r="G403" s="1132" t="s">
        <v>356</v>
      </c>
      <c r="H403" s="1360">
        <v>175.70800000000003</v>
      </c>
      <c r="I403" s="1360">
        <v>175.70800000000003</v>
      </c>
      <c r="J403" s="1360">
        <v>175.70800000000003</v>
      </c>
      <c r="K403" s="1360">
        <v>175.70800000000003</v>
      </c>
      <c r="L403" s="1132" t="s">
        <v>480</v>
      </c>
      <c r="M403" s="1132" t="str">
        <f t="shared" si="305"/>
        <v>Nicor Gas PY11-PY14 Adjustable Goals Template_2025-03-01, Tab 4.3.1</v>
      </c>
      <c r="N403" s="1361">
        <v>48.22116686119378</v>
      </c>
      <c r="O403" s="1361">
        <v>48.22116686119378</v>
      </c>
      <c r="P403" s="1361">
        <v>48.22116686119378</v>
      </c>
      <c r="Q403" s="1361">
        <v>48.22116686119378</v>
      </c>
      <c r="R403" s="1781">
        <v>1</v>
      </c>
      <c r="S403" s="1781">
        <v>1</v>
      </c>
      <c r="T403" s="1781">
        <v>1</v>
      </c>
      <c r="U403" s="1781">
        <v>1</v>
      </c>
      <c r="V403" s="1781">
        <v>1</v>
      </c>
      <c r="W403" s="1781">
        <v>1</v>
      </c>
      <c r="X403" s="1781">
        <v>1</v>
      </c>
      <c r="Y403" s="1781">
        <v>1</v>
      </c>
      <c r="Z403" s="1359">
        <v>0</v>
      </c>
      <c r="AA403" s="1781">
        <f t="shared" si="306"/>
        <v>1</v>
      </c>
      <c r="AB403" s="1781">
        <f t="shared" si="307"/>
        <v>1</v>
      </c>
      <c r="AC403" s="1781">
        <f t="shared" si="308"/>
        <v>1</v>
      </c>
      <c r="AD403" s="1781">
        <f t="shared" si="309"/>
        <v>1</v>
      </c>
      <c r="AE403" s="1781">
        <f t="shared" si="310"/>
        <v>1</v>
      </c>
      <c r="AF403" s="1781">
        <f t="shared" si="311"/>
        <v>1</v>
      </c>
      <c r="AG403" s="1781">
        <f t="shared" si="312"/>
        <v>1</v>
      </c>
      <c r="AH403" s="1781">
        <f t="shared" si="313"/>
        <v>1</v>
      </c>
      <c r="AI403" s="1362">
        <f t="shared" si="344"/>
        <v>8472.8447868466374</v>
      </c>
      <c r="AJ403" s="1362">
        <f t="shared" si="345"/>
        <v>8472.8447868466374</v>
      </c>
      <c r="AK403" s="1362">
        <f t="shared" si="346"/>
        <v>8472.8447868466374</v>
      </c>
      <c r="AL403" s="1362">
        <f t="shared" si="347"/>
        <v>8472.8447868466374</v>
      </c>
      <c r="AM403" s="1362">
        <f t="shared" si="348"/>
        <v>33891.379147386549</v>
      </c>
      <c r="AN403" s="1132" t="str">
        <f t="shared" si="314"/>
        <v>CI-HW_-HWE-V03-190101</v>
      </c>
      <c r="AO403" s="1132" t="str">
        <f t="shared" si="315"/>
        <v>Nicor Gas PY11-PY14 Adjustable Goals Template_2025-03-01, Tab 4.3.1</v>
      </c>
      <c r="AP403" s="2568">
        <f>'4.3.1'!$Q$4</f>
        <v>50.462432363192917</v>
      </c>
      <c r="AQ403" s="2568" t="s">
        <v>481</v>
      </c>
      <c r="AR403" s="2505">
        <f t="shared" si="316"/>
        <v>8866.6530656719024</v>
      </c>
      <c r="AS403" s="2505">
        <f t="shared" si="317"/>
        <v>393.80827882526501</v>
      </c>
      <c r="AT403" s="1132" t="str">
        <f t="shared" si="318"/>
        <v>CI-HW_-HWE-V03-190101</v>
      </c>
      <c r="AU403" s="1132" t="str">
        <f t="shared" si="319"/>
        <v>Nicor Gas PY11-PY14 Adjustable Goals Template_2025-03-01, Tab 4.3.1</v>
      </c>
      <c r="AV403" s="2505">
        <f>'4.3.1'!$Q$4</f>
        <v>50.462432363192917</v>
      </c>
      <c r="AW403" s="2568" t="s">
        <v>481</v>
      </c>
      <c r="AX403" s="1362">
        <f t="shared" si="320"/>
        <v>8866.6530656719024</v>
      </c>
      <c r="AY403" s="1360">
        <f t="shared" si="321"/>
        <v>393.80827882526501</v>
      </c>
      <c r="AZ403" s="1132" t="str">
        <f t="shared" si="322"/>
        <v>CI-HW_-HWE-V03-190101</v>
      </c>
      <c r="BA403" s="1132" t="str">
        <f t="shared" si="323"/>
        <v>Nicor Gas PY11-PY14 Adjustable Goals Template_2025-03-01, Tab 4.3.1</v>
      </c>
      <c r="BB403" s="2505">
        <f>'4.3.1'!$Q$4</f>
        <v>50.462432363192917</v>
      </c>
      <c r="BC403" s="2568" t="s">
        <v>481</v>
      </c>
      <c r="BD403" s="1362">
        <f t="shared" si="324"/>
        <v>8866.6530656719024</v>
      </c>
      <c r="BE403" s="1360">
        <f t="shared" si="325"/>
        <v>393.80827882526501</v>
      </c>
      <c r="BF403" s="1132" t="str">
        <f t="shared" si="326"/>
        <v>CI-HW_-HWE-V03-190101</v>
      </c>
      <c r="BG403" s="1132" t="str">
        <f t="shared" si="327"/>
        <v>Nicor Gas PY11-PY14 Adjustable Goals Template_2025-03-01, Tab 4.3.1</v>
      </c>
      <c r="BH403" s="2505">
        <f>'4.3.1'!$Q$4</f>
        <v>50.462432363192917</v>
      </c>
      <c r="BI403" s="2568" t="s">
        <v>481</v>
      </c>
      <c r="BJ403" s="1362">
        <f t="shared" si="349"/>
        <v>8866.6530656719024</v>
      </c>
      <c r="BK403" s="1360">
        <f t="shared" si="328"/>
        <v>393.80827882526501</v>
      </c>
      <c r="BL403" s="1601">
        <f t="shared" si="329"/>
        <v>8866.6530656719024</v>
      </c>
      <c r="BM403" s="1601">
        <f t="shared" si="330"/>
        <v>8866.6530656719024</v>
      </c>
      <c r="BN403" s="1601">
        <f t="shared" si="331"/>
        <v>8866.6530656719024</v>
      </c>
      <c r="BO403" s="1601">
        <f t="shared" si="332"/>
        <v>8866.6530656719024</v>
      </c>
      <c r="BP403" s="1602">
        <f t="shared" si="333"/>
        <v>35466.612262687609</v>
      </c>
      <c r="BQ403" s="1629"/>
      <c r="BR403" s="1629" t="s">
        <v>479</v>
      </c>
      <c r="BS403" s="1602">
        <v>0</v>
      </c>
      <c r="BT403" s="1602">
        <v>15</v>
      </c>
      <c r="BU403" s="1602">
        <v>15</v>
      </c>
      <c r="BV403" s="1602">
        <v>15</v>
      </c>
      <c r="BW403" s="1602">
        <v>15</v>
      </c>
      <c r="BX403" s="1362">
        <f t="shared" si="350"/>
        <v>127092.67180269957</v>
      </c>
      <c r="BY403" s="1362">
        <f t="shared" si="351"/>
        <v>127092.67180269957</v>
      </c>
      <c r="BZ403" s="1362">
        <f t="shared" si="352"/>
        <v>127092.67180269957</v>
      </c>
      <c r="CA403" s="1362">
        <f t="shared" si="353"/>
        <v>127092.67180269957</v>
      </c>
      <c r="CB403" s="1362">
        <f t="shared" si="354"/>
        <v>508370.68721079826</v>
      </c>
      <c r="CC403" s="1360">
        <v>15</v>
      </c>
      <c r="CD403" s="1360">
        <v>15</v>
      </c>
      <c r="CE403" s="1360">
        <v>15</v>
      </c>
      <c r="CF403" s="1360">
        <v>15</v>
      </c>
      <c r="CG403" s="1604">
        <f t="shared" si="334"/>
        <v>132999.79598507853</v>
      </c>
      <c r="CH403" s="1604">
        <f t="shared" si="335"/>
        <v>132999.79598507853</v>
      </c>
      <c r="CI403" s="1604">
        <f t="shared" si="336"/>
        <v>132999.79598507853</v>
      </c>
      <c r="CJ403" s="1604">
        <f t="shared" si="337"/>
        <v>132999.79598507853</v>
      </c>
      <c r="CK403" s="1521">
        <f t="shared" si="338"/>
        <v>531999.18394031411</v>
      </c>
      <c r="CL403" s="1132">
        <v>396</v>
      </c>
      <c r="CM403" s="1132" t="s">
        <v>356</v>
      </c>
      <c r="CN403" s="1359">
        <v>1</v>
      </c>
      <c r="CO403" s="1360">
        <v>153.71441046564345</v>
      </c>
      <c r="CP403" s="1360">
        <v>153.71441046564345</v>
      </c>
      <c r="CQ403" s="1360">
        <v>153.71441046564345</v>
      </c>
      <c r="CR403" s="1360">
        <v>153.71441046564345</v>
      </c>
      <c r="CS403" s="1362">
        <f t="shared" si="339"/>
        <v>7412.2882360338244</v>
      </c>
      <c r="CT403" s="1362">
        <f t="shared" si="340"/>
        <v>7412.2882360338244</v>
      </c>
      <c r="CU403" s="1362">
        <f t="shared" si="341"/>
        <v>7412.2882360338244</v>
      </c>
      <c r="CV403" s="1362">
        <f t="shared" si="342"/>
        <v>7412.2882360338244</v>
      </c>
      <c r="CW403" s="1362">
        <f t="shared" si="343"/>
        <v>29649.152944135298</v>
      </c>
      <c r="CY403" s="2887"/>
    </row>
    <row r="404" spans="1:103" s="1143" customFormat="1" ht="46.5" x14ac:dyDescent="0.35">
      <c r="A404" s="1132" t="s">
        <v>110</v>
      </c>
      <c r="B404" s="1132" t="s">
        <v>884</v>
      </c>
      <c r="C404" s="1132" t="s">
        <v>904</v>
      </c>
      <c r="D404" s="1359" t="s">
        <v>905</v>
      </c>
      <c r="E404" s="1359">
        <v>1</v>
      </c>
      <c r="F404" s="2564" t="s">
        <v>679</v>
      </c>
      <c r="G404" s="1132" t="s">
        <v>328</v>
      </c>
      <c r="H404" s="1360">
        <v>97.737575000000007</v>
      </c>
      <c r="I404" s="1360">
        <v>97.737575000000007</v>
      </c>
      <c r="J404" s="1360">
        <v>97.737575000000007</v>
      </c>
      <c r="K404" s="1360">
        <v>97.737575000000007</v>
      </c>
      <c r="L404" s="1132" t="s">
        <v>660</v>
      </c>
      <c r="M404" s="1132" t="str">
        <f t="shared" si="305"/>
        <v>Nicor Gas PY11-PY14 Adjustable Goals Template_2025-03-01, Tab 5.6.4</v>
      </c>
      <c r="N404" s="1361">
        <v>60.136767818181816</v>
      </c>
      <c r="O404" s="1361">
        <v>60.136767818181816</v>
      </c>
      <c r="P404" s="1361">
        <v>60.136767818181816</v>
      </c>
      <c r="Q404" s="1361">
        <v>60.136767818181816</v>
      </c>
      <c r="R404" s="1781">
        <v>1</v>
      </c>
      <c r="S404" s="1781">
        <v>1</v>
      </c>
      <c r="T404" s="1781">
        <v>1</v>
      </c>
      <c r="U404" s="1781">
        <v>1</v>
      </c>
      <c r="V404" s="1781">
        <v>1</v>
      </c>
      <c r="W404" s="1781">
        <v>1</v>
      </c>
      <c r="X404" s="1781">
        <v>1</v>
      </c>
      <c r="Y404" s="1781">
        <v>1</v>
      </c>
      <c r="Z404" s="1359">
        <v>0</v>
      </c>
      <c r="AA404" s="1781">
        <f t="shared" si="306"/>
        <v>1</v>
      </c>
      <c r="AB404" s="1781">
        <f t="shared" si="307"/>
        <v>1</v>
      </c>
      <c r="AC404" s="1781">
        <f t="shared" si="308"/>
        <v>1</v>
      </c>
      <c r="AD404" s="1781">
        <f t="shared" si="309"/>
        <v>1</v>
      </c>
      <c r="AE404" s="1781">
        <f t="shared" si="310"/>
        <v>1</v>
      </c>
      <c r="AF404" s="1781">
        <f t="shared" si="311"/>
        <v>1</v>
      </c>
      <c r="AG404" s="1781">
        <f t="shared" si="312"/>
        <v>1</v>
      </c>
      <c r="AH404" s="1781">
        <f t="shared" si="313"/>
        <v>1</v>
      </c>
      <c r="AI404" s="1362">
        <f t="shared" si="344"/>
        <v>5877.621854887132</v>
      </c>
      <c r="AJ404" s="1362">
        <f t="shared" si="345"/>
        <v>5877.621854887132</v>
      </c>
      <c r="AK404" s="1362">
        <f t="shared" si="346"/>
        <v>5877.621854887132</v>
      </c>
      <c r="AL404" s="1362">
        <f t="shared" si="347"/>
        <v>5877.621854887132</v>
      </c>
      <c r="AM404" s="1362">
        <f t="shared" si="348"/>
        <v>23510.487419548528</v>
      </c>
      <c r="AN404" s="1132" t="str">
        <f t="shared" si="314"/>
        <v>RS-SHL-AINS-V07-180101</v>
      </c>
      <c r="AO404" s="1132" t="str">
        <f t="shared" si="315"/>
        <v>Nicor Gas PY11-PY14 Adjustable Goals Template_2025-03-01, Tab 5.6.4</v>
      </c>
      <c r="AP404" s="2505">
        <f>'5.6.4&amp;5.6.5'!$X$23</f>
        <v>60.136767818181816</v>
      </c>
      <c r="AQ404" s="2505"/>
      <c r="AR404" s="2505">
        <f t="shared" si="316"/>
        <v>5877.621854887132</v>
      </c>
      <c r="AS404" s="2505">
        <f t="shared" si="317"/>
        <v>0</v>
      </c>
      <c r="AT404" s="1132" t="str">
        <f t="shared" si="318"/>
        <v>RS-SHL-AINS-V07-180101</v>
      </c>
      <c r="AU404" s="1132" t="str">
        <f t="shared" si="319"/>
        <v>Nicor Gas PY11-PY14 Adjustable Goals Template_2025-03-01, Tab 5.6.4</v>
      </c>
      <c r="AV404" s="2505">
        <f>'5.6.4&amp;5.6.5'!$X$23</f>
        <v>60.136767818181816</v>
      </c>
      <c r="AW404" s="2505"/>
      <c r="AX404" s="1362">
        <f t="shared" si="320"/>
        <v>5877.621854887132</v>
      </c>
      <c r="AY404" s="1360">
        <f t="shared" si="321"/>
        <v>0</v>
      </c>
      <c r="AZ404" s="1132" t="str">
        <f t="shared" si="322"/>
        <v>RS-SHL-AINS-V07-180101</v>
      </c>
      <c r="BA404" s="1132" t="str">
        <f t="shared" si="323"/>
        <v>Nicor Gas PY11-PY14 Adjustable Goals Template_2025-03-01, Tab 5.6.4</v>
      </c>
      <c r="BB404" s="2505">
        <f>'5.6.4&amp;5.6.5'!$X$23</f>
        <v>60.136767818181816</v>
      </c>
      <c r="BC404" s="2505"/>
      <c r="BD404" s="1362">
        <f t="shared" si="324"/>
        <v>5877.621854887132</v>
      </c>
      <c r="BE404" s="1360">
        <f t="shared" si="325"/>
        <v>0</v>
      </c>
      <c r="BF404" s="1132" t="str">
        <f t="shared" si="326"/>
        <v>RS-SHL-AINS-V07-180101</v>
      </c>
      <c r="BG404" s="1132" t="str">
        <f t="shared" si="327"/>
        <v>Nicor Gas PY11-PY14 Adjustable Goals Template_2025-03-01, Tab 5.6.4</v>
      </c>
      <c r="BH404" s="2505">
        <f>'5.6.4&amp;5.6.5'!$X$23</f>
        <v>60.136767818181816</v>
      </c>
      <c r="BI404" s="2505"/>
      <c r="BJ404" s="1362">
        <f t="shared" si="349"/>
        <v>5877.621854887132</v>
      </c>
      <c r="BK404" s="1360">
        <f t="shared" si="328"/>
        <v>0</v>
      </c>
      <c r="BL404" s="1601">
        <f t="shared" si="329"/>
        <v>5877.621854887132</v>
      </c>
      <c r="BM404" s="1601">
        <f t="shared" si="330"/>
        <v>5877.621854887132</v>
      </c>
      <c r="BN404" s="1601">
        <f t="shared" si="331"/>
        <v>5877.621854887132</v>
      </c>
      <c r="BO404" s="1601">
        <f t="shared" si="332"/>
        <v>5877.621854887132</v>
      </c>
      <c r="BP404" s="1602">
        <f t="shared" si="333"/>
        <v>23510.487419548528</v>
      </c>
      <c r="BQ404" s="1629"/>
      <c r="BR404" s="1629" t="s">
        <v>679</v>
      </c>
      <c r="BS404" s="2773">
        <v>1</v>
      </c>
      <c r="BT404" s="1602">
        <v>19.41176471</v>
      </c>
      <c r="BU404" s="1602">
        <v>19.41176471</v>
      </c>
      <c r="BV404" s="1602">
        <v>19.41176471</v>
      </c>
      <c r="BW404" s="1602">
        <v>19.41176471</v>
      </c>
      <c r="BX404" s="1362">
        <f t="shared" si="350"/>
        <v>114095.01250142277</v>
      </c>
      <c r="BY404" s="1362">
        <f t="shared" si="351"/>
        <v>114095.01250142277</v>
      </c>
      <c r="BZ404" s="1362">
        <f t="shared" si="352"/>
        <v>114095.01250142277</v>
      </c>
      <c r="CA404" s="1362">
        <f t="shared" si="353"/>
        <v>114095.01250142277</v>
      </c>
      <c r="CB404" s="1362">
        <f t="shared" si="354"/>
        <v>456380.05000569107</v>
      </c>
      <c r="CC404" s="2775">
        <v>20</v>
      </c>
      <c r="CD404" s="2775">
        <v>20</v>
      </c>
      <c r="CE404" s="2775">
        <v>20</v>
      </c>
      <c r="CF404" s="2775">
        <v>20</v>
      </c>
      <c r="CG404" s="1604">
        <f t="shared" si="334"/>
        <v>117552.43709774264</v>
      </c>
      <c r="CH404" s="1604">
        <f t="shared" si="335"/>
        <v>117552.43709774264</v>
      </c>
      <c r="CI404" s="1604">
        <f t="shared" si="336"/>
        <v>117552.43709774264</v>
      </c>
      <c r="CJ404" s="1604">
        <f t="shared" si="337"/>
        <v>117552.43709774264</v>
      </c>
      <c r="CK404" s="1521">
        <f t="shared" si="338"/>
        <v>470209.74839097058</v>
      </c>
      <c r="CL404" s="1132">
        <v>397</v>
      </c>
      <c r="CM404" s="1132" t="s">
        <v>328</v>
      </c>
      <c r="CN404" s="1359">
        <v>1</v>
      </c>
      <c r="CO404" s="1360">
        <v>51.326595271480805</v>
      </c>
      <c r="CP404" s="1360">
        <v>51.326595271480805</v>
      </c>
      <c r="CQ404" s="1360">
        <v>51.326595271480805</v>
      </c>
      <c r="CR404" s="1360">
        <v>51.326595271480805</v>
      </c>
      <c r="CS404" s="1362">
        <f t="shared" si="339"/>
        <v>3086.6155427388298</v>
      </c>
      <c r="CT404" s="1362">
        <f t="shared" si="340"/>
        <v>3086.6155427388298</v>
      </c>
      <c r="CU404" s="1362">
        <f t="shared" si="341"/>
        <v>3086.6155427388298</v>
      </c>
      <c r="CV404" s="1362">
        <f t="shared" si="342"/>
        <v>3086.6155427388298</v>
      </c>
      <c r="CW404" s="1362">
        <f t="shared" si="343"/>
        <v>12346.462170955319</v>
      </c>
      <c r="CY404" s="2887"/>
    </row>
    <row r="405" spans="1:103" s="1143" customFormat="1" ht="15.5" x14ac:dyDescent="0.35">
      <c r="A405" s="1132" t="s">
        <v>110</v>
      </c>
      <c r="B405" s="1132" t="s">
        <v>884</v>
      </c>
      <c r="C405" s="1132" t="s">
        <v>652</v>
      </c>
      <c r="D405" s="1359" t="s">
        <v>105</v>
      </c>
      <c r="E405" s="1359">
        <f>IF(AI405-AR405=0,0,1)</f>
        <v>0</v>
      </c>
      <c r="F405" s="1132" t="s">
        <v>105</v>
      </c>
      <c r="G405" s="1132" t="s">
        <v>356</v>
      </c>
      <c r="H405" s="1360">
        <v>15.374450000000003</v>
      </c>
      <c r="I405" s="1360">
        <v>15.374450000000003</v>
      </c>
      <c r="J405" s="1360">
        <v>15.374450000000003</v>
      </c>
      <c r="K405" s="1360">
        <v>15.374450000000003</v>
      </c>
      <c r="L405" s="1132" t="s">
        <v>105</v>
      </c>
      <c r="M405" s="1132" t="str">
        <f t="shared" si="305"/>
        <v/>
      </c>
      <c r="N405" s="1361">
        <v>0</v>
      </c>
      <c r="O405" s="1361">
        <v>0</v>
      </c>
      <c r="P405" s="1361">
        <v>0</v>
      </c>
      <c r="Q405" s="1361">
        <v>0</v>
      </c>
      <c r="R405" s="1781">
        <v>1</v>
      </c>
      <c r="S405" s="1781">
        <v>1</v>
      </c>
      <c r="T405" s="1781">
        <v>1</v>
      </c>
      <c r="U405" s="1781">
        <v>1</v>
      </c>
      <c r="V405" s="1781">
        <v>1</v>
      </c>
      <c r="W405" s="1781">
        <v>1</v>
      </c>
      <c r="X405" s="1781">
        <v>1</v>
      </c>
      <c r="Y405" s="1781">
        <v>1</v>
      </c>
      <c r="Z405" s="1359">
        <v>0</v>
      </c>
      <c r="AA405" s="1781">
        <f t="shared" si="306"/>
        <v>1</v>
      </c>
      <c r="AB405" s="1781">
        <f t="shared" si="307"/>
        <v>1</v>
      </c>
      <c r="AC405" s="1781">
        <f t="shared" si="308"/>
        <v>1</v>
      </c>
      <c r="AD405" s="1781">
        <f t="shared" si="309"/>
        <v>1</v>
      </c>
      <c r="AE405" s="1781">
        <f t="shared" si="310"/>
        <v>1</v>
      </c>
      <c r="AF405" s="1781">
        <f t="shared" si="311"/>
        <v>1</v>
      </c>
      <c r="AG405" s="1781">
        <f t="shared" si="312"/>
        <v>1</v>
      </c>
      <c r="AH405" s="1781">
        <f t="shared" si="313"/>
        <v>1</v>
      </c>
      <c r="AI405" s="1362">
        <f t="shared" si="344"/>
        <v>0</v>
      </c>
      <c r="AJ405" s="1362">
        <f t="shared" si="345"/>
        <v>0</v>
      </c>
      <c r="AK405" s="1362">
        <f t="shared" si="346"/>
        <v>0</v>
      </c>
      <c r="AL405" s="1362">
        <f t="shared" si="347"/>
        <v>0</v>
      </c>
      <c r="AM405" s="1362">
        <f t="shared" si="348"/>
        <v>0</v>
      </c>
      <c r="AN405" s="1132" t="str">
        <f t="shared" si="314"/>
        <v>Custom</v>
      </c>
      <c r="AO405" s="1132" t="str">
        <f t="shared" si="315"/>
        <v/>
      </c>
      <c r="AP405" s="2505">
        <v>0</v>
      </c>
      <c r="AQ405" s="2505"/>
      <c r="AR405" s="2505">
        <f t="shared" si="316"/>
        <v>0</v>
      </c>
      <c r="AS405" s="2505">
        <f t="shared" si="317"/>
        <v>0</v>
      </c>
      <c r="AT405" s="1132" t="str">
        <f t="shared" si="318"/>
        <v>Custom</v>
      </c>
      <c r="AU405" s="1132" t="str">
        <f t="shared" si="319"/>
        <v/>
      </c>
      <c r="AV405" s="2505">
        <v>0</v>
      </c>
      <c r="AW405" s="2505"/>
      <c r="AX405" s="1362">
        <f t="shared" si="320"/>
        <v>0</v>
      </c>
      <c r="AY405" s="1360">
        <f t="shared" si="321"/>
        <v>0</v>
      </c>
      <c r="AZ405" s="1132" t="str">
        <f t="shared" si="322"/>
        <v>Custom</v>
      </c>
      <c r="BA405" s="1132" t="str">
        <f t="shared" si="323"/>
        <v/>
      </c>
      <c r="BB405" s="2505">
        <v>0</v>
      </c>
      <c r="BC405" s="2505"/>
      <c r="BD405" s="1362">
        <f t="shared" si="324"/>
        <v>0</v>
      </c>
      <c r="BE405" s="1360">
        <f t="shared" si="325"/>
        <v>0</v>
      </c>
      <c r="BF405" s="1132" t="str">
        <f t="shared" si="326"/>
        <v>Custom</v>
      </c>
      <c r="BG405" s="1132" t="str">
        <f t="shared" si="327"/>
        <v/>
      </c>
      <c r="BH405" s="2505">
        <v>0</v>
      </c>
      <c r="BI405" s="2505"/>
      <c r="BJ405" s="1362">
        <f t="shared" si="349"/>
        <v>0</v>
      </c>
      <c r="BK405" s="1360">
        <f t="shared" si="328"/>
        <v>0</v>
      </c>
      <c r="BL405" s="1601">
        <f t="shared" si="329"/>
        <v>0</v>
      </c>
      <c r="BM405" s="1601">
        <f t="shared" si="330"/>
        <v>0</v>
      </c>
      <c r="BN405" s="1601">
        <f t="shared" si="331"/>
        <v>0</v>
      </c>
      <c r="BO405" s="1601">
        <f t="shared" si="332"/>
        <v>0</v>
      </c>
      <c r="BP405" s="1602">
        <f t="shared" si="333"/>
        <v>0</v>
      </c>
      <c r="BQ405" s="1629"/>
      <c r="BR405" s="1629"/>
      <c r="BS405" s="1602">
        <v>0</v>
      </c>
      <c r="BT405" s="1602">
        <v>1</v>
      </c>
      <c r="BU405" s="1602">
        <v>1</v>
      </c>
      <c r="BV405" s="1602">
        <v>1</v>
      </c>
      <c r="BW405" s="1602">
        <v>1</v>
      </c>
      <c r="BX405" s="1362">
        <f t="shared" si="350"/>
        <v>0</v>
      </c>
      <c r="BY405" s="1362">
        <f t="shared" si="351"/>
        <v>0</v>
      </c>
      <c r="BZ405" s="1362">
        <f t="shared" si="352"/>
        <v>0</v>
      </c>
      <c r="CA405" s="1362">
        <f t="shared" si="353"/>
        <v>0</v>
      </c>
      <c r="CB405" s="1362">
        <f t="shared" si="354"/>
        <v>0</v>
      </c>
      <c r="CC405" s="1360">
        <v>1</v>
      </c>
      <c r="CD405" s="1360">
        <v>1</v>
      </c>
      <c r="CE405" s="1360">
        <v>1</v>
      </c>
      <c r="CF405" s="1360">
        <v>1</v>
      </c>
      <c r="CG405" s="1604">
        <f t="shared" si="334"/>
        <v>0</v>
      </c>
      <c r="CH405" s="1604">
        <f t="shared" si="335"/>
        <v>0</v>
      </c>
      <c r="CI405" s="1604">
        <f t="shared" si="336"/>
        <v>0</v>
      </c>
      <c r="CJ405" s="1604">
        <f t="shared" si="337"/>
        <v>0</v>
      </c>
      <c r="CK405" s="1521">
        <f t="shared" si="338"/>
        <v>0</v>
      </c>
      <c r="CL405" s="1132">
        <v>398</v>
      </c>
      <c r="CM405" s="1132" t="s">
        <v>356</v>
      </c>
      <c r="CN405" s="1359">
        <v>1</v>
      </c>
      <c r="CO405" s="1360">
        <v>15.374450000000003</v>
      </c>
      <c r="CP405" s="1360">
        <v>15.374450000000003</v>
      </c>
      <c r="CQ405" s="1360">
        <v>15.374450000000003</v>
      </c>
      <c r="CR405" s="1360">
        <v>15.374450000000003</v>
      </c>
      <c r="CS405" s="1362">
        <f t="shared" si="339"/>
        <v>0</v>
      </c>
      <c r="CT405" s="1362">
        <f t="shared" si="340"/>
        <v>0</v>
      </c>
      <c r="CU405" s="1362">
        <f t="shared" si="341"/>
        <v>0</v>
      </c>
      <c r="CV405" s="1362">
        <f t="shared" si="342"/>
        <v>0</v>
      </c>
      <c r="CW405" s="1362">
        <f t="shared" si="343"/>
        <v>0</v>
      </c>
      <c r="CY405" s="2887"/>
    </row>
    <row r="406" spans="1:103" s="1143" customFormat="1" ht="46.5" x14ac:dyDescent="0.35">
      <c r="A406" s="1132" t="s">
        <v>110</v>
      </c>
      <c r="B406" s="1132" t="s">
        <v>884</v>
      </c>
      <c r="C406" s="1132" t="s">
        <v>906</v>
      </c>
      <c r="D406" s="1359" t="s">
        <v>907</v>
      </c>
      <c r="E406" s="1359">
        <v>1</v>
      </c>
      <c r="F406" s="1780" t="s">
        <v>649</v>
      </c>
      <c r="G406" s="1132" t="s">
        <v>356</v>
      </c>
      <c r="H406" s="1360">
        <v>7.6872250000000015</v>
      </c>
      <c r="I406" s="1360">
        <v>7.6872250000000015</v>
      </c>
      <c r="J406" s="1360">
        <v>7.6872250000000015</v>
      </c>
      <c r="K406" s="1360">
        <v>7.6872250000000015</v>
      </c>
      <c r="L406" s="1132" t="s">
        <v>650</v>
      </c>
      <c r="M406" s="1132" t="str">
        <f t="shared" si="305"/>
        <v>Nicor Gas PY11-PY14 Adjustable Goals Template_2025-03-01, Tab 5.3.16</v>
      </c>
      <c r="N406" s="1361">
        <v>102.47939999999998</v>
      </c>
      <c r="O406" s="1361">
        <v>102.47939999999998</v>
      </c>
      <c r="P406" s="1361">
        <v>102.47939999999998</v>
      </c>
      <c r="Q406" s="1361">
        <v>102.47939999999998</v>
      </c>
      <c r="R406" s="1781">
        <v>1</v>
      </c>
      <c r="S406" s="1781">
        <v>1</v>
      </c>
      <c r="T406" s="1781">
        <v>1</v>
      </c>
      <c r="U406" s="1781">
        <v>1</v>
      </c>
      <c r="V406" s="1781">
        <v>1</v>
      </c>
      <c r="W406" s="1781">
        <v>1</v>
      </c>
      <c r="X406" s="1781">
        <v>1</v>
      </c>
      <c r="Y406" s="1781">
        <v>1</v>
      </c>
      <c r="Z406" s="1359">
        <v>0</v>
      </c>
      <c r="AA406" s="1781">
        <f t="shared" si="306"/>
        <v>1</v>
      </c>
      <c r="AB406" s="1781">
        <f t="shared" si="307"/>
        <v>1</v>
      </c>
      <c r="AC406" s="1781">
        <f t="shared" si="308"/>
        <v>1</v>
      </c>
      <c r="AD406" s="1781">
        <f t="shared" si="309"/>
        <v>1</v>
      </c>
      <c r="AE406" s="1781">
        <f t="shared" si="310"/>
        <v>1</v>
      </c>
      <c r="AF406" s="1781">
        <f t="shared" si="311"/>
        <v>1</v>
      </c>
      <c r="AG406" s="1781">
        <f t="shared" si="312"/>
        <v>1</v>
      </c>
      <c r="AH406" s="1781">
        <f t="shared" si="313"/>
        <v>1</v>
      </c>
      <c r="AI406" s="1362">
        <f t="shared" si="344"/>
        <v>787.78220566499999</v>
      </c>
      <c r="AJ406" s="1362">
        <f t="shared" si="345"/>
        <v>787.78220566499999</v>
      </c>
      <c r="AK406" s="1362">
        <f t="shared" si="346"/>
        <v>787.78220566499999</v>
      </c>
      <c r="AL406" s="1362">
        <f t="shared" si="347"/>
        <v>787.78220566499999</v>
      </c>
      <c r="AM406" s="1362">
        <f t="shared" si="348"/>
        <v>3151.12882266</v>
      </c>
      <c r="AN406" s="1132" t="str">
        <f t="shared" si="314"/>
        <v>RS-HVC-ADTH-V03-190101</v>
      </c>
      <c r="AO406" s="1132" t="str">
        <f t="shared" si="315"/>
        <v>Nicor Gas PY11-PY14 Adjustable Goals Template_2025-03-01, Tab 5.3.16</v>
      </c>
      <c r="AP406" s="2247">
        <f>'5.3.16'!$S$7</f>
        <v>102.47939999999998</v>
      </c>
      <c r="AQ406" s="2505"/>
      <c r="AR406" s="2505">
        <f t="shared" si="316"/>
        <v>787.78220566499999</v>
      </c>
      <c r="AS406" s="2505">
        <f t="shared" si="317"/>
        <v>0</v>
      </c>
      <c r="AT406" s="1132" t="str">
        <f t="shared" si="318"/>
        <v>RS-HVC-ADTH-V03-190101</v>
      </c>
      <c r="AU406" s="1132" t="str">
        <f t="shared" si="319"/>
        <v>Nicor Gas PY11-PY14 Adjustable Goals Template_2025-03-01, Tab 5.3.16</v>
      </c>
      <c r="AV406" s="2247">
        <f>'5.3.16'!$S$7</f>
        <v>102.47939999999998</v>
      </c>
      <c r="AW406" s="2505"/>
      <c r="AX406" s="1362">
        <f t="shared" si="320"/>
        <v>787.78220566499999</v>
      </c>
      <c r="AY406" s="1360">
        <f t="shared" si="321"/>
        <v>0</v>
      </c>
      <c r="AZ406" s="1132" t="str">
        <f t="shared" si="322"/>
        <v>RS-HVC-ADTH-V03-190101</v>
      </c>
      <c r="BA406" s="1132" t="str">
        <f t="shared" si="323"/>
        <v>Nicor Gas PY11-PY14 Adjustable Goals Template_2025-03-01, Tab 5.3.16</v>
      </c>
      <c r="BB406" s="2247">
        <f>'5.3.16'!$S$7</f>
        <v>102.47939999999998</v>
      </c>
      <c r="BC406" s="2505"/>
      <c r="BD406" s="1362">
        <f t="shared" si="324"/>
        <v>787.78220566499999</v>
      </c>
      <c r="BE406" s="1360">
        <f t="shared" si="325"/>
        <v>0</v>
      </c>
      <c r="BF406" s="1132" t="str">
        <f t="shared" si="326"/>
        <v>RS-HVC-ADTH-V03-190101</v>
      </c>
      <c r="BG406" s="1132" t="str">
        <f t="shared" si="327"/>
        <v>Nicor Gas PY11-PY14 Adjustable Goals Template_2025-03-01, Tab 5.3.16</v>
      </c>
      <c r="BH406" s="2247">
        <f>'5.3.16'!$S$7</f>
        <v>102.47939999999998</v>
      </c>
      <c r="BI406" s="2505"/>
      <c r="BJ406" s="1362">
        <f t="shared" si="349"/>
        <v>787.78220566499999</v>
      </c>
      <c r="BK406" s="1360">
        <f t="shared" si="328"/>
        <v>0</v>
      </c>
      <c r="BL406" s="1601">
        <f t="shared" si="329"/>
        <v>787.78220566499999</v>
      </c>
      <c r="BM406" s="1601">
        <f t="shared" si="330"/>
        <v>787.78220566499999</v>
      </c>
      <c r="BN406" s="1601">
        <f t="shared" si="331"/>
        <v>787.78220566499999</v>
      </c>
      <c r="BO406" s="1601">
        <f t="shared" si="332"/>
        <v>787.78220566499999</v>
      </c>
      <c r="BP406" s="1602">
        <f t="shared" si="333"/>
        <v>3151.12882266</v>
      </c>
      <c r="BQ406" s="1629"/>
      <c r="BR406" s="1629" t="s">
        <v>649</v>
      </c>
      <c r="BS406" s="1602">
        <v>0</v>
      </c>
      <c r="BT406" s="1602">
        <v>11</v>
      </c>
      <c r="BU406" s="1602">
        <v>11</v>
      </c>
      <c r="BV406" s="1602">
        <v>11</v>
      </c>
      <c r="BW406" s="1602">
        <v>11</v>
      </c>
      <c r="BX406" s="1362">
        <f t="shared" si="350"/>
        <v>8665.6042623150006</v>
      </c>
      <c r="BY406" s="1362">
        <f t="shared" si="351"/>
        <v>8665.6042623150006</v>
      </c>
      <c r="BZ406" s="1362">
        <f t="shared" si="352"/>
        <v>8665.6042623150006</v>
      </c>
      <c r="CA406" s="1362">
        <f t="shared" si="353"/>
        <v>8665.6042623150006</v>
      </c>
      <c r="CB406" s="1362">
        <f t="shared" si="354"/>
        <v>34662.417049260002</v>
      </c>
      <c r="CC406" s="1360">
        <v>11</v>
      </c>
      <c r="CD406" s="1360">
        <v>11</v>
      </c>
      <c r="CE406" s="1360">
        <v>11</v>
      </c>
      <c r="CF406" s="1360">
        <v>11</v>
      </c>
      <c r="CG406" s="1604">
        <f t="shared" si="334"/>
        <v>8665.6042623150006</v>
      </c>
      <c r="CH406" s="1604">
        <f t="shared" si="335"/>
        <v>8665.6042623150006</v>
      </c>
      <c r="CI406" s="1604">
        <f t="shared" si="336"/>
        <v>8665.6042623150006</v>
      </c>
      <c r="CJ406" s="1604">
        <f t="shared" si="337"/>
        <v>8665.6042623150006</v>
      </c>
      <c r="CK406" s="1521">
        <f t="shared" si="338"/>
        <v>34662.417049260002</v>
      </c>
      <c r="CL406" s="1132">
        <v>399</v>
      </c>
      <c r="CM406" s="1132" t="s">
        <v>356</v>
      </c>
      <c r="CN406" s="1359">
        <v>1</v>
      </c>
      <c r="CO406" s="1360">
        <v>7.6872250000000015</v>
      </c>
      <c r="CP406" s="1360">
        <v>7.6872250000000015</v>
      </c>
      <c r="CQ406" s="1360">
        <v>7.6872250000000015</v>
      </c>
      <c r="CR406" s="1360">
        <v>7.6872250000000015</v>
      </c>
      <c r="CS406" s="1362">
        <f t="shared" si="339"/>
        <v>787.78220566499999</v>
      </c>
      <c r="CT406" s="1362">
        <f t="shared" si="340"/>
        <v>787.78220566499999</v>
      </c>
      <c r="CU406" s="1362">
        <f t="shared" si="341"/>
        <v>787.78220566499999</v>
      </c>
      <c r="CV406" s="1362">
        <f t="shared" si="342"/>
        <v>787.78220566499999</v>
      </c>
      <c r="CW406" s="1362">
        <f t="shared" si="343"/>
        <v>3151.12882266</v>
      </c>
      <c r="CY406" s="2887"/>
    </row>
    <row r="407" spans="1:103" s="1143" customFormat="1" ht="46.5" x14ac:dyDescent="0.35">
      <c r="A407" s="1132" t="s">
        <v>110</v>
      </c>
      <c r="B407" s="1132" t="s">
        <v>884</v>
      </c>
      <c r="C407" s="1132" t="s">
        <v>908</v>
      </c>
      <c r="D407" s="1359" t="s">
        <v>909</v>
      </c>
      <c r="E407" s="1359">
        <v>1</v>
      </c>
      <c r="F407" s="1780" t="s">
        <v>649</v>
      </c>
      <c r="G407" s="1132" t="s">
        <v>356</v>
      </c>
      <c r="H407" s="1360">
        <v>4.3927000000000005</v>
      </c>
      <c r="I407" s="1360">
        <v>4.3927000000000005</v>
      </c>
      <c r="J407" s="1360">
        <v>4.3927000000000005</v>
      </c>
      <c r="K407" s="1360">
        <v>4.3927000000000005</v>
      </c>
      <c r="L407" s="1132" t="s">
        <v>650</v>
      </c>
      <c r="M407" s="1132" t="str">
        <f t="shared" si="305"/>
        <v>Nicor Gas PY11-PY14 Adjustable Goals Template_2025-03-01, Tab 5.3.16</v>
      </c>
      <c r="N407" s="1361">
        <v>71.333699999999993</v>
      </c>
      <c r="O407" s="1361">
        <v>71.333699999999993</v>
      </c>
      <c r="P407" s="1361">
        <v>71.333699999999993</v>
      </c>
      <c r="Q407" s="1361">
        <v>71.333699999999993</v>
      </c>
      <c r="R407" s="1781">
        <v>1</v>
      </c>
      <c r="S407" s="1781">
        <v>1</v>
      </c>
      <c r="T407" s="1781">
        <v>1</v>
      </c>
      <c r="U407" s="1781">
        <v>1</v>
      </c>
      <c r="V407" s="1781">
        <v>1</v>
      </c>
      <c r="W407" s="1781">
        <v>1</v>
      </c>
      <c r="X407" s="1781">
        <v>1</v>
      </c>
      <c r="Y407" s="1781">
        <v>1</v>
      </c>
      <c r="Z407" s="1359">
        <v>0</v>
      </c>
      <c r="AA407" s="1781">
        <f t="shared" si="306"/>
        <v>1</v>
      </c>
      <c r="AB407" s="1781">
        <f t="shared" si="307"/>
        <v>1</v>
      </c>
      <c r="AC407" s="1781">
        <f t="shared" si="308"/>
        <v>1</v>
      </c>
      <c r="AD407" s="1781">
        <f t="shared" si="309"/>
        <v>1</v>
      </c>
      <c r="AE407" s="1781">
        <f t="shared" si="310"/>
        <v>1</v>
      </c>
      <c r="AF407" s="1781">
        <f t="shared" si="311"/>
        <v>1</v>
      </c>
      <c r="AG407" s="1781">
        <f t="shared" si="312"/>
        <v>1</v>
      </c>
      <c r="AH407" s="1781">
        <f t="shared" si="313"/>
        <v>1</v>
      </c>
      <c r="AI407" s="1362">
        <f t="shared" si="344"/>
        <v>313.34754399000002</v>
      </c>
      <c r="AJ407" s="1362">
        <f t="shared" si="345"/>
        <v>313.34754399000002</v>
      </c>
      <c r="AK407" s="1362">
        <f t="shared" si="346"/>
        <v>313.34754399000002</v>
      </c>
      <c r="AL407" s="1362">
        <f t="shared" si="347"/>
        <v>313.34754399000002</v>
      </c>
      <c r="AM407" s="1362">
        <f t="shared" si="348"/>
        <v>1253.3901759600001</v>
      </c>
      <c r="AN407" s="1132" t="str">
        <f t="shared" si="314"/>
        <v>RS-HVC-ADTH-V03-190101</v>
      </c>
      <c r="AO407" s="1132" t="str">
        <f t="shared" si="315"/>
        <v>Nicor Gas PY11-PY14 Adjustable Goals Template_2025-03-01, Tab 5.3.16</v>
      </c>
      <c r="AP407" s="2247">
        <f>'5.3.16'!$S$8</f>
        <v>71.333699999999993</v>
      </c>
      <c r="AQ407" s="2505"/>
      <c r="AR407" s="2505">
        <f t="shared" si="316"/>
        <v>313.34754399000002</v>
      </c>
      <c r="AS407" s="2505">
        <f t="shared" si="317"/>
        <v>0</v>
      </c>
      <c r="AT407" s="1132" t="str">
        <f t="shared" si="318"/>
        <v>RS-HVC-ADTH-V03-190101</v>
      </c>
      <c r="AU407" s="1132" t="str">
        <f t="shared" si="319"/>
        <v>Nicor Gas PY11-PY14 Adjustable Goals Template_2025-03-01, Tab 5.3.16</v>
      </c>
      <c r="AV407" s="2247">
        <f>'5.3.16'!$S$8</f>
        <v>71.333699999999993</v>
      </c>
      <c r="AW407" s="2505"/>
      <c r="AX407" s="1362">
        <f t="shared" si="320"/>
        <v>313.34754399000002</v>
      </c>
      <c r="AY407" s="1360">
        <f t="shared" si="321"/>
        <v>0</v>
      </c>
      <c r="AZ407" s="1132" t="str">
        <f t="shared" si="322"/>
        <v>RS-HVC-ADTH-V03-190101</v>
      </c>
      <c r="BA407" s="1132" t="str">
        <f t="shared" si="323"/>
        <v>Nicor Gas PY11-PY14 Adjustable Goals Template_2025-03-01, Tab 5.3.16</v>
      </c>
      <c r="BB407" s="2247">
        <f>'5.3.16'!$S$8</f>
        <v>71.333699999999993</v>
      </c>
      <c r="BC407" s="2505"/>
      <c r="BD407" s="1362">
        <f t="shared" si="324"/>
        <v>313.34754399000002</v>
      </c>
      <c r="BE407" s="1360">
        <f t="shared" si="325"/>
        <v>0</v>
      </c>
      <c r="BF407" s="1132" t="str">
        <f t="shared" si="326"/>
        <v>RS-HVC-ADTH-V03-190101</v>
      </c>
      <c r="BG407" s="1132" t="str">
        <f t="shared" si="327"/>
        <v>Nicor Gas PY11-PY14 Adjustable Goals Template_2025-03-01, Tab 5.3.16</v>
      </c>
      <c r="BH407" s="2247">
        <f>'5.3.16'!$S$8</f>
        <v>71.333699999999993</v>
      </c>
      <c r="BI407" s="2505"/>
      <c r="BJ407" s="1362">
        <f t="shared" si="349"/>
        <v>313.34754399000002</v>
      </c>
      <c r="BK407" s="1360">
        <f t="shared" si="328"/>
        <v>0</v>
      </c>
      <c r="BL407" s="1601">
        <f t="shared" si="329"/>
        <v>313.34754399000002</v>
      </c>
      <c r="BM407" s="1601">
        <f t="shared" si="330"/>
        <v>313.34754399000002</v>
      </c>
      <c r="BN407" s="1601">
        <f t="shared" si="331"/>
        <v>313.34754399000002</v>
      </c>
      <c r="BO407" s="1601">
        <f t="shared" si="332"/>
        <v>313.34754399000002</v>
      </c>
      <c r="BP407" s="1602">
        <f t="shared" si="333"/>
        <v>1253.3901759600001</v>
      </c>
      <c r="BQ407" s="1629"/>
      <c r="BR407" s="1629" t="s">
        <v>649</v>
      </c>
      <c r="BS407" s="1602">
        <v>0</v>
      </c>
      <c r="BT407" s="1602">
        <v>11</v>
      </c>
      <c r="BU407" s="1602">
        <v>11</v>
      </c>
      <c r="BV407" s="1602">
        <v>11</v>
      </c>
      <c r="BW407" s="1602">
        <v>11</v>
      </c>
      <c r="BX407" s="1362">
        <f t="shared" si="350"/>
        <v>3446.8229838900002</v>
      </c>
      <c r="BY407" s="1362">
        <f t="shared" si="351"/>
        <v>3446.8229838900002</v>
      </c>
      <c r="BZ407" s="1362">
        <f t="shared" si="352"/>
        <v>3446.8229838900002</v>
      </c>
      <c r="CA407" s="1362">
        <f t="shared" si="353"/>
        <v>3446.8229838900002</v>
      </c>
      <c r="CB407" s="1362">
        <f t="shared" si="354"/>
        <v>13787.291935560001</v>
      </c>
      <c r="CC407" s="1360">
        <v>11</v>
      </c>
      <c r="CD407" s="1360">
        <v>11</v>
      </c>
      <c r="CE407" s="1360">
        <v>11</v>
      </c>
      <c r="CF407" s="1360">
        <v>11</v>
      </c>
      <c r="CG407" s="1604">
        <f t="shared" si="334"/>
        <v>3446.8229838900002</v>
      </c>
      <c r="CH407" s="1604">
        <f t="shared" si="335"/>
        <v>3446.8229838900002</v>
      </c>
      <c r="CI407" s="1604">
        <f t="shared" si="336"/>
        <v>3446.8229838900002</v>
      </c>
      <c r="CJ407" s="1604">
        <f t="shared" si="337"/>
        <v>3446.8229838900002</v>
      </c>
      <c r="CK407" s="1521">
        <f t="shared" si="338"/>
        <v>13787.291935560001</v>
      </c>
      <c r="CL407" s="1132">
        <v>400</v>
      </c>
      <c r="CM407" s="1132" t="s">
        <v>356</v>
      </c>
      <c r="CN407" s="1359">
        <v>1</v>
      </c>
      <c r="CO407" s="1360">
        <v>4.3927000000000005</v>
      </c>
      <c r="CP407" s="1360">
        <v>4.3927000000000005</v>
      </c>
      <c r="CQ407" s="1360">
        <v>4.3927000000000005</v>
      </c>
      <c r="CR407" s="1360">
        <v>4.3927000000000005</v>
      </c>
      <c r="CS407" s="1362">
        <f t="shared" si="339"/>
        <v>313.34754399000002</v>
      </c>
      <c r="CT407" s="1362">
        <f t="shared" si="340"/>
        <v>313.34754399000002</v>
      </c>
      <c r="CU407" s="1362">
        <f t="shared" si="341"/>
        <v>313.34754399000002</v>
      </c>
      <c r="CV407" s="1362">
        <f t="shared" si="342"/>
        <v>313.34754399000002</v>
      </c>
      <c r="CW407" s="1362">
        <f t="shared" si="343"/>
        <v>1253.3901759600001</v>
      </c>
      <c r="CY407" s="2887"/>
    </row>
    <row r="408" spans="1:103" s="1143" customFormat="1" ht="15" customHeight="1" x14ac:dyDescent="0.35">
      <c r="A408" s="1132" t="s">
        <v>110</v>
      </c>
      <c r="B408" s="1132" t="s">
        <v>884</v>
      </c>
      <c r="C408" s="1132" t="s">
        <v>788</v>
      </c>
      <c r="D408" s="1359" t="s">
        <v>789</v>
      </c>
      <c r="E408" s="1359">
        <v>1</v>
      </c>
      <c r="F408" s="2564" t="s">
        <v>655</v>
      </c>
      <c r="G408" s="1132" t="s">
        <v>328</v>
      </c>
      <c r="H408" s="1360">
        <v>15.374450000000003</v>
      </c>
      <c r="I408" s="1360">
        <v>15.374450000000003</v>
      </c>
      <c r="J408" s="1360">
        <v>15.374450000000003</v>
      </c>
      <c r="K408" s="1360">
        <v>15.374450000000003</v>
      </c>
      <c r="L408" s="1132" t="s">
        <v>656</v>
      </c>
      <c r="M408" s="1132" t="str">
        <f t="shared" si="305"/>
        <v>Nicor Gas PY11-PY14 Adjustable Goals Template_2025-03-01, Tab 5.6.1</v>
      </c>
      <c r="N408" s="1361">
        <v>61.518888303197848</v>
      </c>
      <c r="O408" s="1361">
        <v>61.518888303197848</v>
      </c>
      <c r="P408" s="1361">
        <v>61.518888303197848</v>
      </c>
      <c r="Q408" s="1361">
        <v>61.518888303197848</v>
      </c>
      <c r="R408" s="1781">
        <v>1</v>
      </c>
      <c r="S408" s="1781">
        <v>1</v>
      </c>
      <c r="T408" s="1781">
        <v>1</v>
      </c>
      <c r="U408" s="1781">
        <v>1</v>
      </c>
      <c r="V408" s="1781">
        <v>1</v>
      </c>
      <c r="W408" s="1781">
        <v>1</v>
      </c>
      <c r="X408" s="1781">
        <v>1</v>
      </c>
      <c r="Y408" s="1781">
        <v>1</v>
      </c>
      <c r="Z408" s="1359">
        <v>0</v>
      </c>
      <c r="AA408" s="1781">
        <f t="shared" si="306"/>
        <v>1</v>
      </c>
      <c r="AB408" s="1781">
        <f t="shared" si="307"/>
        <v>1</v>
      </c>
      <c r="AC408" s="1781">
        <f t="shared" si="308"/>
        <v>1</v>
      </c>
      <c r="AD408" s="1781">
        <f t="shared" si="309"/>
        <v>1</v>
      </c>
      <c r="AE408" s="1781">
        <f t="shared" si="310"/>
        <v>1</v>
      </c>
      <c r="AF408" s="1781">
        <f t="shared" si="311"/>
        <v>1</v>
      </c>
      <c r="AG408" s="1781">
        <f t="shared" si="312"/>
        <v>1</v>
      </c>
      <c r="AH408" s="1781">
        <f t="shared" si="313"/>
        <v>1</v>
      </c>
      <c r="AI408" s="1362">
        <f t="shared" si="344"/>
        <v>945.81907227310035</v>
      </c>
      <c r="AJ408" s="1362">
        <f t="shared" si="345"/>
        <v>945.81907227310035</v>
      </c>
      <c r="AK408" s="1362">
        <f t="shared" si="346"/>
        <v>945.81907227310035</v>
      </c>
      <c r="AL408" s="1362">
        <f t="shared" si="347"/>
        <v>945.81907227310035</v>
      </c>
      <c r="AM408" s="1362">
        <f t="shared" si="348"/>
        <v>3783.2762890924014</v>
      </c>
      <c r="AN408" s="1132" t="str">
        <f t="shared" si="314"/>
        <v>RS-SHL-AIRS-V07-190101</v>
      </c>
      <c r="AO408" s="1132" t="str">
        <f t="shared" si="315"/>
        <v>Nicor Gas PY11-PY14 Adjustable Goals Template_2025-03-01, Tab 5.6.1</v>
      </c>
      <c r="AP408" s="2247">
        <f>'5.6.1'!$V$10</f>
        <v>61.518888303197848</v>
      </c>
      <c r="AQ408" s="2505"/>
      <c r="AR408" s="2505">
        <f t="shared" si="316"/>
        <v>945.81907227310035</v>
      </c>
      <c r="AS408" s="2505">
        <f t="shared" si="317"/>
        <v>0</v>
      </c>
      <c r="AT408" s="1132" t="str">
        <f t="shared" si="318"/>
        <v>RS-SHL-AIRS-V07-190101</v>
      </c>
      <c r="AU408" s="1132" t="str">
        <f t="shared" si="319"/>
        <v>Nicor Gas PY11-PY14 Adjustable Goals Template_2025-03-01, Tab 5.6.1</v>
      </c>
      <c r="AV408" s="2247">
        <f>'5.6.1'!$V$10</f>
        <v>61.518888303197848</v>
      </c>
      <c r="AW408" s="2505"/>
      <c r="AX408" s="1362">
        <f t="shared" si="320"/>
        <v>945.81907227310035</v>
      </c>
      <c r="AY408" s="1360">
        <f t="shared" si="321"/>
        <v>0</v>
      </c>
      <c r="AZ408" s="1132" t="str">
        <f t="shared" si="322"/>
        <v>RS-SHL-AIRS-V07-190101</v>
      </c>
      <c r="BA408" s="1132" t="str">
        <f t="shared" si="323"/>
        <v>Nicor Gas PY11-PY14 Adjustable Goals Template_2025-03-01, Tab 5.6.1</v>
      </c>
      <c r="BB408" s="2247">
        <f>'5.6.1'!$V$10</f>
        <v>61.518888303197848</v>
      </c>
      <c r="BC408" s="2505"/>
      <c r="BD408" s="1362">
        <f t="shared" si="324"/>
        <v>945.81907227310035</v>
      </c>
      <c r="BE408" s="1360">
        <f t="shared" si="325"/>
        <v>0</v>
      </c>
      <c r="BF408" s="1132" t="str">
        <f t="shared" si="326"/>
        <v>RS-SHL-AIRS-V07-190101</v>
      </c>
      <c r="BG408" s="1132" t="str">
        <f t="shared" si="327"/>
        <v>Nicor Gas PY11-PY14 Adjustable Goals Template_2025-03-01, Tab 5.6.1</v>
      </c>
      <c r="BH408" s="2247">
        <f>'5.6.1'!$V$10</f>
        <v>61.518888303197848</v>
      </c>
      <c r="BI408" s="2505"/>
      <c r="BJ408" s="1362">
        <f t="shared" si="349"/>
        <v>945.81907227310035</v>
      </c>
      <c r="BK408" s="1360">
        <f t="shared" si="328"/>
        <v>0</v>
      </c>
      <c r="BL408" s="1601">
        <f t="shared" si="329"/>
        <v>945.81907227310035</v>
      </c>
      <c r="BM408" s="1601">
        <f t="shared" si="330"/>
        <v>945.81907227310035</v>
      </c>
      <c r="BN408" s="1601">
        <f t="shared" si="331"/>
        <v>945.81907227310035</v>
      </c>
      <c r="BO408" s="1601">
        <f t="shared" si="332"/>
        <v>945.81907227310035</v>
      </c>
      <c r="BP408" s="1602">
        <f t="shared" si="333"/>
        <v>3783.2762890924014</v>
      </c>
      <c r="BQ408" s="1629"/>
      <c r="BR408" s="1629" t="s">
        <v>655</v>
      </c>
      <c r="BS408" s="2773">
        <v>1</v>
      </c>
      <c r="BT408" s="1602">
        <v>19.411764705882348</v>
      </c>
      <c r="BU408" s="1602">
        <v>19.411764705882348</v>
      </c>
      <c r="BV408" s="1602">
        <v>19.411764705882348</v>
      </c>
      <c r="BW408" s="1602">
        <v>19.411764705882348</v>
      </c>
      <c r="BX408" s="1362">
        <f t="shared" si="350"/>
        <v>18360.017285301354</v>
      </c>
      <c r="BY408" s="1362">
        <f t="shared" si="351"/>
        <v>18360.017285301354</v>
      </c>
      <c r="BZ408" s="1362">
        <f t="shared" si="352"/>
        <v>18360.017285301354</v>
      </c>
      <c r="CA408" s="1362">
        <f t="shared" si="353"/>
        <v>18360.017285301354</v>
      </c>
      <c r="CB408" s="1362">
        <f t="shared" si="354"/>
        <v>73440.069141205415</v>
      </c>
      <c r="CC408" s="2775">
        <v>20</v>
      </c>
      <c r="CD408" s="2775">
        <v>20</v>
      </c>
      <c r="CE408" s="2775">
        <v>20</v>
      </c>
      <c r="CF408" s="2775">
        <v>20</v>
      </c>
      <c r="CG408" s="1604">
        <f t="shared" si="334"/>
        <v>18916.381445462008</v>
      </c>
      <c r="CH408" s="1604">
        <f t="shared" si="335"/>
        <v>18916.381445462008</v>
      </c>
      <c r="CI408" s="1604">
        <f t="shared" si="336"/>
        <v>18916.381445462008</v>
      </c>
      <c r="CJ408" s="1604">
        <f t="shared" si="337"/>
        <v>18916.381445462008</v>
      </c>
      <c r="CK408" s="1521">
        <f t="shared" si="338"/>
        <v>75665.525781848031</v>
      </c>
      <c r="CL408" s="1132">
        <v>401</v>
      </c>
      <c r="CM408" s="1132" t="s">
        <v>328</v>
      </c>
      <c r="CN408" s="1359">
        <v>1</v>
      </c>
      <c r="CO408" s="1360">
        <v>15.374450000000003</v>
      </c>
      <c r="CP408" s="1360">
        <v>15.374450000000003</v>
      </c>
      <c r="CQ408" s="1360">
        <v>15.374450000000003</v>
      </c>
      <c r="CR408" s="1360">
        <v>15.374450000000003</v>
      </c>
      <c r="CS408" s="1362">
        <f t="shared" si="339"/>
        <v>945.81907227310035</v>
      </c>
      <c r="CT408" s="1362">
        <f t="shared" si="340"/>
        <v>945.81907227310035</v>
      </c>
      <c r="CU408" s="1362">
        <f t="shared" si="341"/>
        <v>945.81907227310035</v>
      </c>
      <c r="CV408" s="1362">
        <f t="shared" si="342"/>
        <v>945.81907227310035</v>
      </c>
      <c r="CW408" s="1362">
        <f t="shared" si="343"/>
        <v>3783.2762890924014</v>
      </c>
      <c r="CY408" s="2887"/>
    </row>
    <row r="409" spans="1:103" s="1143" customFormat="1" ht="15" customHeight="1" x14ac:dyDescent="0.35">
      <c r="A409" s="1132" t="s">
        <v>110</v>
      </c>
      <c r="B409" s="1132" t="s">
        <v>884</v>
      </c>
      <c r="C409" s="1132" t="s">
        <v>790</v>
      </c>
      <c r="D409" s="1359" t="s">
        <v>791</v>
      </c>
      <c r="E409" s="1359">
        <v>1</v>
      </c>
      <c r="F409" s="2564" t="s">
        <v>659</v>
      </c>
      <c r="G409" s="1132" t="s">
        <v>328</v>
      </c>
      <c r="H409" s="1360">
        <v>1.0981750000000001</v>
      </c>
      <c r="I409" s="1360">
        <v>1.0981750000000001</v>
      </c>
      <c r="J409" s="1360">
        <v>1.0981750000000001</v>
      </c>
      <c r="K409" s="1360">
        <v>1.0981750000000001</v>
      </c>
      <c r="L409" s="1132" t="s">
        <v>660</v>
      </c>
      <c r="M409" s="1132" t="str">
        <f t="shared" si="305"/>
        <v>Nicor Gas PY11-PY14 Adjustable Goals Template_2025-03-01, Tab 5.6.5</v>
      </c>
      <c r="N409" s="1361">
        <v>92.52358102112359</v>
      </c>
      <c r="O409" s="1361">
        <v>92.52358102112359</v>
      </c>
      <c r="P409" s="1361">
        <v>92.52358102112359</v>
      </c>
      <c r="Q409" s="1361">
        <v>92.52358102112359</v>
      </c>
      <c r="R409" s="1781">
        <v>1</v>
      </c>
      <c r="S409" s="1781">
        <v>1</v>
      </c>
      <c r="T409" s="1781">
        <v>1</v>
      </c>
      <c r="U409" s="1781">
        <v>1</v>
      </c>
      <c r="V409" s="1781">
        <v>1</v>
      </c>
      <c r="W409" s="1781">
        <v>1</v>
      </c>
      <c r="X409" s="1781">
        <v>1</v>
      </c>
      <c r="Y409" s="1781">
        <v>1</v>
      </c>
      <c r="Z409" s="1359">
        <v>0</v>
      </c>
      <c r="AA409" s="1781">
        <f t="shared" si="306"/>
        <v>1</v>
      </c>
      <c r="AB409" s="1781">
        <f t="shared" si="307"/>
        <v>1</v>
      </c>
      <c r="AC409" s="1781">
        <f t="shared" si="308"/>
        <v>1</v>
      </c>
      <c r="AD409" s="1781">
        <f t="shared" si="309"/>
        <v>1</v>
      </c>
      <c r="AE409" s="1781">
        <f t="shared" si="310"/>
        <v>1</v>
      </c>
      <c r="AF409" s="1781">
        <f t="shared" si="311"/>
        <v>1</v>
      </c>
      <c r="AG409" s="1781">
        <f t="shared" si="312"/>
        <v>1</v>
      </c>
      <c r="AH409" s="1781">
        <f t="shared" si="313"/>
        <v>1</v>
      </c>
      <c r="AI409" s="1362">
        <f t="shared" si="344"/>
        <v>101.60708358787241</v>
      </c>
      <c r="AJ409" s="1362">
        <f t="shared" si="345"/>
        <v>101.60708358787241</v>
      </c>
      <c r="AK409" s="1362">
        <f t="shared" si="346"/>
        <v>101.60708358787241</v>
      </c>
      <c r="AL409" s="1362">
        <f t="shared" si="347"/>
        <v>101.60708358787241</v>
      </c>
      <c r="AM409" s="1362">
        <f t="shared" si="348"/>
        <v>406.42833435148964</v>
      </c>
      <c r="AN409" s="1132" t="str">
        <f t="shared" si="314"/>
        <v>RS-SHL-AINS-V07-180101</v>
      </c>
      <c r="AO409" s="1132" t="str">
        <f t="shared" si="315"/>
        <v>Nicor Gas PY11-PY14 Adjustable Goals Template_2025-03-01, Tab 5.6.5</v>
      </c>
      <c r="AP409" s="2505">
        <f>'5.6.4&amp;5.6.5'!$X$9</f>
        <v>92.52358102112359</v>
      </c>
      <c r="AQ409" s="2505"/>
      <c r="AR409" s="2505">
        <f t="shared" si="316"/>
        <v>101.60708358787241</v>
      </c>
      <c r="AS409" s="2505">
        <f t="shared" si="317"/>
        <v>0</v>
      </c>
      <c r="AT409" s="1132" t="str">
        <f t="shared" si="318"/>
        <v>RS-SHL-AINS-V07-180101</v>
      </c>
      <c r="AU409" s="1132" t="str">
        <f t="shared" si="319"/>
        <v>Nicor Gas PY11-PY14 Adjustable Goals Template_2025-03-01, Tab 5.6.5</v>
      </c>
      <c r="AV409" s="2505">
        <f>'5.6.4&amp;5.6.5'!$X$9</f>
        <v>92.52358102112359</v>
      </c>
      <c r="AW409" s="2505"/>
      <c r="AX409" s="1362">
        <f t="shared" si="320"/>
        <v>101.60708358787241</v>
      </c>
      <c r="AY409" s="1360">
        <f t="shared" si="321"/>
        <v>0</v>
      </c>
      <c r="AZ409" s="1132" t="str">
        <f t="shared" si="322"/>
        <v>RS-SHL-AINS-V07-180101</v>
      </c>
      <c r="BA409" s="1132" t="str">
        <f t="shared" si="323"/>
        <v>Nicor Gas PY11-PY14 Adjustable Goals Template_2025-03-01, Tab 5.6.5</v>
      </c>
      <c r="BB409" s="2505">
        <f>'5.6.4&amp;5.6.5'!$X$9</f>
        <v>92.52358102112359</v>
      </c>
      <c r="BC409" s="2505"/>
      <c r="BD409" s="1362">
        <f t="shared" si="324"/>
        <v>101.60708358787241</v>
      </c>
      <c r="BE409" s="1360">
        <f t="shared" si="325"/>
        <v>0</v>
      </c>
      <c r="BF409" s="1132" t="str">
        <f t="shared" si="326"/>
        <v>RS-SHL-AINS-V07-180101</v>
      </c>
      <c r="BG409" s="1132" t="str">
        <f t="shared" si="327"/>
        <v>Nicor Gas PY11-PY14 Adjustable Goals Template_2025-03-01, Tab 5.6.5</v>
      </c>
      <c r="BH409" s="2505">
        <f>'5.6.4&amp;5.6.5'!$X$9</f>
        <v>92.52358102112359</v>
      </c>
      <c r="BI409" s="2505"/>
      <c r="BJ409" s="1362">
        <f t="shared" si="349"/>
        <v>101.60708358787241</v>
      </c>
      <c r="BK409" s="1360">
        <f t="shared" si="328"/>
        <v>0</v>
      </c>
      <c r="BL409" s="1601">
        <f t="shared" si="329"/>
        <v>101.60708358787241</v>
      </c>
      <c r="BM409" s="1601">
        <f t="shared" si="330"/>
        <v>101.60708358787241</v>
      </c>
      <c r="BN409" s="1601">
        <f t="shared" si="331"/>
        <v>101.60708358787241</v>
      </c>
      <c r="BO409" s="1601">
        <f t="shared" si="332"/>
        <v>101.60708358787241</v>
      </c>
      <c r="BP409" s="1602">
        <f t="shared" si="333"/>
        <v>406.42833435148964</v>
      </c>
      <c r="BQ409" s="1629"/>
      <c r="BR409" s="1629" t="s">
        <v>659</v>
      </c>
      <c r="BS409" s="2773">
        <v>1</v>
      </c>
      <c r="BT409" s="1602">
        <v>19.411764705882351</v>
      </c>
      <c r="BU409" s="1602">
        <v>19.411764705882351</v>
      </c>
      <c r="BV409" s="1602">
        <v>19.411764705882351</v>
      </c>
      <c r="BW409" s="1602">
        <v>19.411764705882351</v>
      </c>
      <c r="BX409" s="1362">
        <f t="shared" si="350"/>
        <v>1972.3727990586995</v>
      </c>
      <c r="BY409" s="1362">
        <f t="shared" si="351"/>
        <v>1972.3727990586995</v>
      </c>
      <c r="BZ409" s="1362">
        <f t="shared" si="352"/>
        <v>1972.3727990586995</v>
      </c>
      <c r="CA409" s="1362">
        <f t="shared" si="353"/>
        <v>1972.3727990586995</v>
      </c>
      <c r="CB409" s="1362">
        <f t="shared" si="354"/>
        <v>7889.4911962347978</v>
      </c>
      <c r="CC409" s="2775">
        <v>20</v>
      </c>
      <c r="CD409" s="2775">
        <v>20</v>
      </c>
      <c r="CE409" s="2775">
        <v>20</v>
      </c>
      <c r="CF409" s="2775">
        <v>20</v>
      </c>
      <c r="CG409" s="1604">
        <f t="shared" si="334"/>
        <v>2032.1416717574482</v>
      </c>
      <c r="CH409" s="1604">
        <f t="shared" si="335"/>
        <v>2032.1416717574482</v>
      </c>
      <c r="CI409" s="1604">
        <f t="shared" si="336"/>
        <v>2032.1416717574482</v>
      </c>
      <c r="CJ409" s="1604">
        <f t="shared" si="337"/>
        <v>2032.1416717574482</v>
      </c>
      <c r="CK409" s="1521">
        <f t="shared" si="338"/>
        <v>8128.5666870297928</v>
      </c>
      <c r="CL409" s="1132">
        <v>402</v>
      </c>
      <c r="CM409" s="1132" t="s">
        <v>328</v>
      </c>
      <c r="CN409" s="1359">
        <v>1</v>
      </c>
      <c r="CO409" s="1360">
        <v>1.0981750000000001</v>
      </c>
      <c r="CP409" s="1360">
        <v>1.0981750000000001</v>
      </c>
      <c r="CQ409" s="1360">
        <v>1.0981750000000001</v>
      </c>
      <c r="CR409" s="1360">
        <v>1.0981750000000001</v>
      </c>
      <c r="CS409" s="1362">
        <f t="shared" si="339"/>
        <v>101.60708358787241</v>
      </c>
      <c r="CT409" s="1362">
        <f t="shared" si="340"/>
        <v>101.60708358787241</v>
      </c>
      <c r="CU409" s="1362">
        <f t="shared" si="341"/>
        <v>101.60708358787241</v>
      </c>
      <c r="CV409" s="1362">
        <f t="shared" si="342"/>
        <v>101.60708358787241</v>
      </c>
      <c r="CW409" s="1362">
        <f t="shared" si="343"/>
        <v>406.42833435148964</v>
      </c>
      <c r="CY409" s="2887"/>
    </row>
    <row r="410" spans="1:103" s="1143" customFormat="1" ht="46.5" x14ac:dyDescent="0.35">
      <c r="A410" s="1132" t="s">
        <v>110</v>
      </c>
      <c r="B410" s="1132" t="s">
        <v>884</v>
      </c>
      <c r="C410" s="1132" t="s">
        <v>871</v>
      </c>
      <c r="D410" s="1359" t="s">
        <v>872</v>
      </c>
      <c r="E410" s="1359">
        <v>1</v>
      </c>
      <c r="F410" s="2564" t="s">
        <v>675</v>
      </c>
      <c r="G410" s="1132" t="s">
        <v>328</v>
      </c>
      <c r="H410" s="1360">
        <v>1.0981750000000001</v>
      </c>
      <c r="I410" s="1360">
        <v>1.0981750000000001</v>
      </c>
      <c r="J410" s="1360">
        <v>1.0981750000000001</v>
      </c>
      <c r="K410" s="1360">
        <v>1.0981750000000001</v>
      </c>
      <c r="L410" s="1132" t="s">
        <v>676</v>
      </c>
      <c r="M410" s="1132" t="str">
        <f t="shared" si="305"/>
        <v>Nicor Gas PY11-PY14 Adjustable Goals Template_2025-03-01, Tab 5.6.2</v>
      </c>
      <c r="N410" s="1361">
        <v>38.649577485862721</v>
      </c>
      <c r="O410" s="1361">
        <v>38.649577485862721</v>
      </c>
      <c r="P410" s="1361">
        <v>38.649577485862721</v>
      </c>
      <c r="Q410" s="1361">
        <v>38.649577485862721</v>
      </c>
      <c r="R410" s="1781">
        <v>1</v>
      </c>
      <c r="S410" s="1781">
        <v>1</v>
      </c>
      <c r="T410" s="1781">
        <v>1</v>
      </c>
      <c r="U410" s="1781">
        <v>1</v>
      </c>
      <c r="V410" s="1781">
        <v>1</v>
      </c>
      <c r="W410" s="1781">
        <v>1</v>
      </c>
      <c r="X410" s="1781">
        <v>1</v>
      </c>
      <c r="Y410" s="1781">
        <v>1</v>
      </c>
      <c r="Z410" s="1359">
        <v>0</v>
      </c>
      <c r="AA410" s="1781">
        <f t="shared" si="306"/>
        <v>1</v>
      </c>
      <c r="AB410" s="1781">
        <f t="shared" si="307"/>
        <v>1</v>
      </c>
      <c r="AC410" s="1781">
        <f t="shared" si="308"/>
        <v>1</v>
      </c>
      <c r="AD410" s="1781">
        <f t="shared" si="309"/>
        <v>1</v>
      </c>
      <c r="AE410" s="1781">
        <f t="shared" si="310"/>
        <v>1</v>
      </c>
      <c r="AF410" s="1781">
        <f t="shared" si="311"/>
        <v>1</v>
      </c>
      <c r="AG410" s="1781">
        <f t="shared" si="312"/>
        <v>1</v>
      </c>
      <c r="AH410" s="1781">
        <f t="shared" si="313"/>
        <v>1</v>
      </c>
      <c r="AI410" s="1362">
        <f t="shared" si="344"/>
        <v>42.443999755537298</v>
      </c>
      <c r="AJ410" s="1362">
        <f t="shared" si="345"/>
        <v>42.443999755537298</v>
      </c>
      <c r="AK410" s="1362">
        <f t="shared" si="346"/>
        <v>42.443999755537298</v>
      </c>
      <c r="AL410" s="1362">
        <f t="shared" si="347"/>
        <v>42.443999755537298</v>
      </c>
      <c r="AM410" s="1362">
        <f t="shared" si="348"/>
        <v>169.77599902214919</v>
      </c>
      <c r="AN410" s="1132" t="str">
        <f t="shared" si="314"/>
        <v>RS-SHL-BINS-V09-190101</v>
      </c>
      <c r="AO410" s="1132" t="str">
        <f t="shared" si="315"/>
        <v>Nicor Gas PY11-PY14 Adjustable Goals Template_2025-03-01, Tab 5.6.2</v>
      </c>
      <c r="AP410" s="2505">
        <f>'5.6.2'!$AA$7</f>
        <v>38.649577485862721</v>
      </c>
      <c r="AQ410" s="2505"/>
      <c r="AR410" s="2505">
        <f t="shared" si="316"/>
        <v>42.443999755537298</v>
      </c>
      <c r="AS410" s="2505">
        <f t="shared" si="317"/>
        <v>0</v>
      </c>
      <c r="AT410" s="1132" t="str">
        <f t="shared" si="318"/>
        <v>RS-SHL-BINS-V09-190101</v>
      </c>
      <c r="AU410" s="1132" t="str">
        <f t="shared" si="319"/>
        <v>Nicor Gas PY11-PY14 Adjustable Goals Template_2025-03-01, Tab 5.6.2</v>
      </c>
      <c r="AV410" s="2505">
        <f>'5.6.2'!$AA$7</f>
        <v>38.649577485862721</v>
      </c>
      <c r="AW410" s="2505"/>
      <c r="AX410" s="1362">
        <f t="shared" si="320"/>
        <v>42.443999755537298</v>
      </c>
      <c r="AY410" s="1360">
        <f t="shared" si="321"/>
        <v>0</v>
      </c>
      <c r="AZ410" s="1132" t="str">
        <f t="shared" si="322"/>
        <v>RS-SHL-BINS-V09-190101</v>
      </c>
      <c r="BA410" s="1132" t="str">
        <f t="shared" si="323"/>
        <v>Nicor Gas PY11-PY14 Adjustable Goals Template_2025-03-01, Tab 5.6.2</v>
      </c>
      <c r="BB410" s="2505">
        <f>'5.6.2'!$AA$7</f>
        <v>38.649577485862721</v>
      </c>
      <c r="BC410" s="2505"/>
      <c r="BD410" s="1362">
        <f t="shared" si="324"/>
        <v>42.443999755537298</v>
      </c>
      <c r="BE410" s="1360">
        <f t="shared" si="325"/>
        <v>0</v>
      </c>
      <c r="BF410" s="1132" t="str">
        <f t="shared" si="326"/>
        <v>RS-SHL-BINS-V09-190101</v>
      </c>
      <c r="BG410" s="1132" t="str">
        <f t="shared" si="327"/>
        <v>Nicor Gas PY11-PY14 Adjustable Goals Template_2025-03-01, Tab 5.6.2</v>
      </c>
      <c r="BH410" s="2505">
        <f>'5.6.2'!$AA$7</f>
        <v>38.649577485862721</v>
      </c>
      <c r="BI410" s="2505"/>
      <c r="BJ410" s="1362">
        <f t="shared" si="349"/>
        <v>42.443999755537298</v>
      </c>
      <c r="BK410" s="1360">
        <f t="shared" si="328"/>
        <v>0</v>
      </c>
      <c r="BL410" s="1601">
        <f t="shared" si="329"/>
        <v>42.443999755537298</v>
      </c>
      <c r="BM410" s="1601">
        <f t="shared" si="330"/>
        <v>42.443999755537298</v>
      </c>
      <c r="BN410" s="1601">
        <f t="shared" si="331"/>
        <v>42.443999755537298</v>
      </c>
      <c r="BO410" s="1601">
        <f t="shared" si="332"/>
        <v>42.443999755537298</v>
      </c>
      <c r="BP410" s="1602">
        <f t="shared" si="333"/>
        <v>169.77599902214919</v>
      </c>
      <c r="BQ410" s="1629"/>
      <c r="BR410" s="1629" t="s">
        <v>675</v>
      </c>
      <c r="BS410" s="2773">
        <v>1</v>
      </c>
      <c r="BT410" s="1602">
        <v>19.411764705882351</v>
      </c>
      <c r="BU410" s="1602">
        <v>19.411764705882351</v>
      </c>
      <c r="BV410" s="1602">
        <v>19.411764705882351</v>
      </c>
      <c r="BW410" s="1602">
        <v>19.411764705882351</v>
      </c>
      <c r="BX410" s="1362">
        <f t="shared" si="350"/>
        <v>823.91293643101812</v>
      </c>
      <c r="BY410" s="1362">
        <f t="shared" si="351"/>
        <v>823.91293643101812</v>
      </c>
      <c r="BZ410" s="1362">
        <f t="shared" si="352"/>
        <v>823.91293643101812</v>
      </c>
      <c r="CA410" s="1362">
        <f t="shared" si="353"/>
        <v>823.91293643101812</v>
      </c>
      <c r="CB410" s="1362">
        <f t="shared" si="354"/>
        <v>3295.6517457240725</v>
      </c>
      <c r="CC410" s="2775">
        <v>20</v>
      </c>
      <c r="CD410" s="2775">
        <v>20</v>
      </c>
      <c r="CE410" s="2775">
        <v>20</v>
      </c>
      <c r="CF410" s="2775">
        <v>20</v>
      </c>
      <c r="CG410" s="1604">
        <f t="shared" si="334"/>
        <v>848.87999511074599</v>
      </c>
      <c r="CH410" s="1604">
        <f t="shared" si="335"/>
        <v>848.87999511074599</v>
      </c>
      <c r="CI410" s="1604">
        <f t="shared" si="336"/>
        <v>848.87999511074599</v>
      </c>
      <c r="CJ410" s="1604">
        <f t="shared" si="337"/>
        <v>848.87999511074599</v>
      </c>
      <c r="CK410" s="1521">
        <f t="shared" si="338"/>
        <v>3395.519980442984</v>
      </c>
      <c r="CL410" s="1132">
        <v>403</v>
      </c>
      <c r="CM410" s="1132" t="s">
        <v>328</v>
      </c>
      <c r="CN410" s="1359">
        <v>1</v>
      </c>
      <c r="CO410" s="1360">
        <v>1.0981750000000001</v>
      </c>
      <c r="CP410" s="1360">
        <v>1.0981750000000001</v>
      </c>
      <c r="CQ410" s="1360">
        <v>1.0981750000000001</v>
      </c>
      <c r="CR410" s="1360">
        <v>1.0981750000000001</v>
      </c>
      <c r="CS410" s="1362">
        <f t="shared" si="339"/>
        <v>42.443999755537298</v>
      </c>
      <c r="CT410" s="1362">
        <f t="shared" si="340"/>
        <v>42.443999755537298</v>
      </c>
      <c r="CU410" s="1362">
        <f t="shared" si="341"/>
        <v>42.443999755537298</v>
      </c>
      <c r="CV410" s="1362">
        <f t="shared" si="342"/>
        <v>42.443999755537298</v>
      </c>
      <c r="CW410" s="1362">
        <f t="shared" si="343"/>
        <v>169.77599902214919</v>
      </c>
      <c r="CY410" s="2887"/>
    </row>
    <row r="411" spans="1:103" s="1143" customFormat="1" ht="46.5" x14ac:dyDescent="0.35">
      <c r="A411" s="1132" t="s">
        <v>110</v>
      </c>
      <c r="B411" s="1132" t="s">
        <v>884</v>
      </c>
      <c r="C411" s="1132" t="s">
        <v>910</v>
      </c>
      <c r="D411" s="1359" t="s">
        <v>911</v>
      </c>
      <c r="E411" s="1359">
        <v>1</v>
      </c>
      <c r="F411" s="2807" t="s">
        <v>697</v>
      </c>
      <c r="G411" s="1132" t="s">
        <v>328</v>
      </c>
      <c r="H411" s="1360">
        <v>4.3927000000000005</v>
      </c>
      <c r="I411" s="1360">
        <v>4.3927000000000005</v>
      </c>
      <c r="J411" s="1360">
        <v>4.3927000000000005</v>
      </c>
      <c r="K411" s="1360">
        <v>4.3927000000000005</v>
      </c>
      <c r="L411" s="1132" t="s">
        <v>698</v>
      </c>
      <c r="M411" s="1132" t="str">
        <f t="shared" si="305"/>
        <v>Nicor Gas PY11-PY14 Adjustable Goals Template_2025-03-01, Tab 5.4.4</v>
      </c>
      <c r="N411" s="1361">
        <v>0.86466343134530088</v>
      </c>
      <c r="O411" s="1361">
        <v>0.86466343134530088</v>
      </c>
      <c r="P411" s="1361">
        <v>0.86466343134530088</v>
      </c>
      <c r="Q411" s="1361">
        <v>0.86466343134530088</v>
      </c>
      <c r="R411" s="1781">
        <v>1</v>
      </c>
      <c r="S411" s="1781">
        <v>1</v>
      </c>
      <c r="T411" s="1781">
        <v>1</v>
      </c>
      <c r="U411" s="1781">
        <v>1</v>
      </c>
      <c r="V411" s="1781">
        <v>1</v>
      </c>
      <c r="W411" s="1781">
        <v>1</v>
      </c>
      <c r="X411" s="1781">
        <v>1</v>
      </c>
      <c r="Y411" s="1781">
        <v>1</v>
      </c>
      <c r="Z411" s="1359">
        <v>0</v>
      </c>
      <c r="AA411" s="1781">
        <f t="shared" si="306"/>
        <v>1</v>
      </c>
      <c r="AB411" s="1781">
        <f t="shared" si="307"/>
        <v>1</v>
      </c>
      <c r="AC411" s="1781">
        <f t="shared" si="308"/>
        <v>1</v>
      </c>
      <c r="AD411" s="1781">
        <f t="shared" si="309"/>
        <v>1</v>
      </c>
      <c r="AE411" s="1781">
        <f t="shared" si="310"/>
        <v>1</v>
      </c>
      <c r="AF411" s="1781">
        <f t="shared" si="311"/>
        <v>1</v>
      </c>
      <c r="AG411" s="1781">
        <f t="shared" si="312"/>
        <v>1</v>
      </c>
      <c r="AH411" s="1781">
        <f t="shared" si="313"/>
        <v>1</v>
      </c>
      <c r="AI411" s="1362">
        <f t="shared" si="344"/>
        <v>3.7982070548705038</v>
      </c>
      <c r="AJ411" s="1362">
        <f t="shared" si="345"/>
        <v>3.7982070548705038</v>
      </c>
      <c r="AK411" s="1362">
        <f t="shared" si="346"/>
        <v>3.7982070548705038</v>
      </c>
      <c r="AL411" s="1362">
        <f t="shared" si="347"/>
        <v>3.7982070548705038</v>
      </c>
      <c r="AM411" s="1362">
        <f t="shared" si="348"/>
        <v>15.192828219482015</v>
      </c>
      <c r="AN411" s="1132" t="str">
        <f t="shared" si="314"/>
        <v>RS-HWE-LFFA-V07-190101</v>
      </c>
      <c r="AO411" s="1132" t="str">
        <f t="shared" si="315"/>
        <v>Nicor Gas PY11-PY14 Adjustable Goals Template_2025-03-01, Tab 5.4.4</v>
      </c>
      <c r="AP411" s="2738">
        <f>'5.4.4'!$O$4</f>
        <v>0.9635545569243823</v>
      </c>
      <c r="AQ411" s="2568" t="s">
        <v>557</v>
      </c>
      <c r="AR411" s="2505">
        <f t="shared" si="316"/>
        <v>4.2326061022017347</v>
      </c>
      <c r="AS411" s="2247">
        <f t="shared" si="317"/>
        <v>0.43439904733123091</v>
      </c>
      <c r="AT411" s="1132" t="str">
        <f t="shared" si="318"/>
        <v>RS-HWE-LFFA-V07-190101</v>
      </c>
      <c r="AU411" s="1132" t="str">
        <f t="shared" si="319"/>
        <v>Nicor Gas PY11-PY14 Adjustable Goals Template_2025-03-01, Tab 5.4.4</v>
      </c>
      <c r="AV411" s="2247">
        <f>'5.4.4'!$O$4</f>
        <v>0.9635545569243823</v>
      </c>
      <c r="AW411" s="2568" t="s">
        <v>557</v>
      </c>
      <c r="AX411" s="1362">
        <f t="shared" si="320"/>
        <v>4.2326061022017347</v>
      </c>
      <c r="AY411" s="1360">
        <f t="shared" si="321"/>
        <v>0.43439904733123091</v>
      </c>
      <c r="AZ411" s="1132" t="str">
        <f t="shared" si="322"/>
        <v>RS-HWE-LFFA-V07-190101</v>
      </c>
      <c r="BA411" s="1132" t="str">
        <f t="shared" si="323"/>
        <v>Nicor Gas PY11-PY14 Adjustable Goals Template_2025-03-01, Tab 5.4.4</v>
      </c>
      <c r="BB411" s="2247">
        <f>'5.4.4'!$O$4</f>
        <v>0.9635545569243823</v>
      </c>
      <c r="BC411" s="2568" t="s">
        <v>557</v>
      </c>
      <c r="BD411" s="1362">
        <f t="shared" si="324"/>
        <v>4.2326061022017347</v>
      </c>
      <c r="BE411" s="1360">
        <f t="shared" si="325"/>
        <v>0.43439904733123091</v>
      </c>
      <c r="BF411" s="1132" t="str">
        <f t="shared" si="326"/>
        <v>RS-HWE-LFFA-V07-190101</v>
      </c>
      <c r="BG411" s="1132" t="str">
        <f t="shared" si="327"/>
        <v>Nicor Gas PY11-PY14 Adjustable Goals Template_2025-03-01, Tab 5.4.4</v>
      </c>
      <c r="BH411" s="2247">
        <f>'5.4.4'!$O$4</f>
        <v>0.9635545569243823</v>
      </c>
      <c r="BI411" s="2568" t="s">
        <v>557</v>
      </c>
      <c r="BJ411" s="1362">
        <f t="shared" si="349"/>
        <v>4.2326061022017347</v>
      </c>
      <c r="BK411" s="1360">
        <f t="shared" si="328"/>
        <v>0.43439904733123091</v>
      </c>
      <c r="BL411" s="1601">
        <f t="shared" si="329"/>
        <v>4.2326061022017347</v>
      </c>
      <c r="BM411" s="1601">
        <f t="shared" si="330"/>
        <v>4.2326061022017347</v>
      </c>
      <c r="BN411" s="1601">
        <f t="shared" si="331"/>
        <v>4.2326061022017347</v>
      </c>
      <c r="BO411" s="1601">
        <f t="shared" si="332"/>
        <v>4.2326061022017347</v>
      </c>
      <c r="BP411" s="1602">
        <f t="shared" si="333"/>
        <v>16.930424408806939</v>
      </c>
      <c r="BQ411" s="1629"/>
      <c r="BR411" s="1629" t="s">
        <v>697</v>
      </c>
      <c r="BS411" s="1602">
        <v>0</v>
      </c>
      <c r="BT411" s="1602">
        <v>10</v>
      </c>
      <c r="BU411" s="1602">
        <v>10</v>
      </c>
      <c r="BV411" s="1602">
        <v>10</v>
      </c>
      <c r="BW411" s="1602">
        <v>10</v>
      </c>
      <c r="BX411" s="1362">
        <f t="shared" si="350"/>
        <v>37.982070548705039</v>
      </c>
      <c r="BY411" s="1362">
        <f t="shared" si="351"/>
        <v>37.982070548705039</v>
      </c>
      <c r="BZ411" s="1362">
        <f t="shared" si="352"/>
        <v>37.982070548705039</v>
      </c>
      <c r="CA411" s="1362">
        <f t="shared" si="353"/>
        <v>37.982070548705039</v>
      </c>
      <c r="CB411" s="1362">
        <f t="shared" si="354"/>
        <v>151.92828219482016</v>
      </c>
      <c r="CC411" s="1360">
        <v>10</v>
      </c>
      <c r="CD411" s="1360">
        <v>10</v>
      </c>
      <c r="CE411" s="1360">
        <v>10</v>
      </c>
      <c r="CF411" s="1360">
        <v>10</v>
      </c>
      <c r="CG411" s="1604">
        <f t="shared" si="334"/>
        <v>42.326061022017349</v>
      </c>
      <c r="CH411" s="1604">
        <f t="shared" si="335"/>
        <v>42.326061022017349</v>
      </c>
      <c r="CI411" s="1604">
        <f t="shared" si="336"/>
        <v>42.326061022017349</v>
      </c>
      <c r="CJ411" s="1604">
        <f t="shared" si="337"/>
        <v>42.326061022017349</v>
      </c>
      <c r="CK411" s="1521">
        <f t="shared" si="338"/>
        <v>169.3042440880694</v>
      </c>
      <c r="CL411" s="1132">
        <v>404</v>
      </c>
      <c r="CM411" s="1132" t="s">
        <v>328</v>
      </c>
      <c r="CN411" s="1359">
        <v>1</v>
      </c>
      <c r="CO411" s="1360">
        <v>4.3927000000000005</v>
      </c>
      <c r="CP411" s="1360">
        <v>4.3927000000000005</v>
      </c>
      <c r="CQ411" s="1360">
        <v>4.3927000000000005</v>
      </c>
      <c r="CR411" s="1360">
        <v>4.3927000000000005</v>
      </c>
      <c r="CS411" s="1362">
        <f t="shared" si="339"/>
        <v>3.7982070548705038</v>
      </c>
      <c r="CT411" s="1362">
        <f t="shared" si="340"/>
        <v>3.7982070548705038</v>
      </c>
      <c r="CU411" s="1362">
        <f t="shared" si="341"/>
        <v>3.7982070548705038</v>
      </c>
      <c r="CV411" s="1362">
        <f t="shared" si="342"/>
        <v>3.7982070548705038</v>
      </c>
      <c r="CW411" s="1362">
        <f t="shared" si="343"/>
        <v>15.192828219482015</v>
      </c>
      <c r="CY411" s="2887"/>
    </row>
    <row r="412" spans="1:103" s="1143" customFormat="1" ht="46.5" x14ac:dyDescent="0.35">
      <c r="A412" s="1132" t="s">
        <v>110</v>
      </c>
      <c r="B412" s="1132" t="s">
        <v>884</v>
      </c>
      <c r="C412" s="1132" t="s">
        <v>635</v>
      </c>
      <c r="D412" s="1359" t="s">
        <v>636</v>
      </c>
      <c r="E412" s="1359">
        <v>1</v>
      </c>
      <c r="F412" s="2564" t="s">
        <v>637</v>
      </c>
      <c r="G412" s="1132" t="s">
        <v>356</v>
      </c>
      <c r="H412" s="1360">
        <v>1.0981750000000001</v>
      </c>
      <c r="I412" s="1360">
        <v>1.0981750000000001</v>
      </c>
      <c r="J412" s="1360">
        <v>1.0981750000000001</v>
      </c>
      <c r="K412" s="1360">
        <v>1.0981750000000001</v>
      </c>
      <c r="L412" s="1132" t="s">
        <v>638</v>
      </c>
      <c r="M412" s="1132" t="str">
        <f t="shared" si="305"/>
        <v>Nicor Gas PY11-PY14 Adjustable Goals Template_2025-03-01, Tab 5.3.6</v>
      </c>
      <c r="N412" s="2515">
        <v>200.87617986470349</v>
      </c>
      <c r="O412" s="1361">
        <v>200.87617986470349</v>
      </c>
      <c r="P412" s="1361">
        <v>200.87617986470349</v>
      </c>
      <c r="Q412" s="1361">
        <v>200.87617986470349</v>
      </c>
      <c r="R412" s="1781">
        <v>1</v>
      </c>
      <c r="S412" s="1781">
        <v>1</v>
      </c>
      <c r="T412" s="1781">
        <v>1</v>
      </c>
      <c r="U412" s="1781">
        <v>1</v>
      </c>
      <c r="V412" s="1781">
        <v>1</v>
      </c>
      <c r="W412" s="1781">
        <v>1</v>
      </c>
      <c r="X412" s="1781">
        <v>1</v>
      </c>
      <c r="Y412" s="1781">
        <v>1</v>
      </c>
      <c r="Z412" s="1359">
        <v>0</v>
      </c>
      <c r="AA412" s="1781">
        <f t="shared" si="306"/>
        <v>1</v>
      </c>
      <c r="AB412" s="1781">
        <f t="shared" si="307"/>
        <v>1</v>
      </c>
      <c r="AC412" s="1781">
        <f t="shared" si="308"/>
        <v>1</v>
      </c>
      <c r="AD412" s="1781">
        <f t="shared" si="309"/>
        <v>1</v>
      </c>
      <c r="AE412" s="1781">
        <f t="shared" si="310"/>
        <v>1</v>
      </c>
      <c r="AF412" s="1781">
        <f t="shared" si="311"/>
        <v>1</v>
      </c>
      <c r="AG412" s="1781">
        <f t="shared" si="312"/>
        <v>1</v>
      </c>
      <c r="AH412" s="1781">
        <f t="shared" si="313"/>
        <v>1</v>
      </c>
      <c r="AI412" s="1362">
        <f t="shared" si="344"/>
        <v>220.59719882292077</v>
      </c>
      <c r="AJ412" s="1362">
        <f t="shared" si="345"/>
        <v>220.59719882292077</v>
      </c>
      <c r="AK412" s="1362">
        <f t="shared" si="346"/>
        <v>220.59719882292077</v>
      </c>
      <c r="AL412" s="1362">
        <f t="shared" si="347"/>
        <v>220.59719882292077</v>
      </c>
      <c r="AM412" s="1362">
        <f t="shared" si="348"/>
        <v>882.3887952916831</v>
      </c>
      <c r="AN412" s="1132" t="str">
        <f t="shared" si="314"/>
        <v>RS-HVC-GHEB-V07-190101</v>
      </c>
      <c r="AO412" s="1132" t="str">
        <f t="shared" si="315"/>
        <v>Nicor Gas PY11-PY14 Adjustable Goals Template_2025-03-01, Tab 5.3.6</v>
      </c>
      <c r="AP412" s="2247">
        <f>'5.3.6'!$P$4</f>
        <v>200.87617986470349</v>
      </c>
      <c r="AQ412" s="2531"/>
      <c r="AR412" s="2505">
        <f t="shared" si="316"/>
        <v>220.59719882292077</v>
      </c>
      <c r="AS412" s="2247">
        <f t="shared" si="317"/>
        <v>0</v>
      </c>
      <c r="AT412" s="1132" t="str">
        <f t="shared" si="318"/>
        <v>RS-HVC-GHEB-V07-190101</v>
      </c>
      <c r="AU412" s="1132" t="str">
        <f t="shared" si="319"/>
        <v>Nicor Gas PY11-PY14 Adjustable Goals Template_2025-03-01, Tab 5.3.6</v>
      </c>
      <c r="AV412" s="2247">
        <f>'5.3.6'!$P$4</f>
        <v>200.87617986470349</v>
      </c>
      <c r="AW412" s="2531"/>
      <c r="AX412" s="1362">
        <f t="shared" si="320"/>
        <v>220.59719882292077</v>
      </c>
      <c r="AY412" s="1360">
        <f t="shared" si="321"/>
        <v>0</v>
      </c>
      <c r="AZ412" s="1132" t="str">
        <f t="shared" si="322"/>
        <v>RS-HVC-GHEB-V07-190101</v>
      </c>
      <c r="BA412" s="1132" t="str">
        <f t="shared" si="323"/>
        <v>Nicor Gas PY11-PY14 Adjustable Goals Template_2025-03-01, Tab 5.3.6</v>
      </c>
      <c r="BB412" s="2247">
        <f>'5.3.6'!$P$4</f>
        <v>200.87617986470349</v>
      </c>
      <c r="BC412" s="2531"/>
      <c r="BD412" s="1362">
        <f t="shared" si="324"/>
        <v>220.59719882292077</v>
      </c>
      <c r="BE412" s="1360">
        <f t="shared" si="325"/>
        <v>0</v>
      </c>
      <c r="BF412" s="1132" t="str">
        <f t="shared" si="326"/>
        <v>RS-HVC-GHEB-V07-190101</v>
      </c>
      <c r="BG412" s="1132" t="str">
        <f t="shared" si="327"/>
        <v>Nicor Gas PY11-PY14 Adjustable Goals Template_2025-03-01, Tab 5.3.6</v>
      </c>
      <c r="BH412" s="2247">
        <f>'5.3.6'!$P$4</f>
        <v>200.87617986470349</v>
      </c>
      <c r="BI412" s="2531"/>
      <c r="BJ412" s="1362">
        <f t="shared" si="349"/>
        <v>220.59719882292077</v>
      </c>
      <c r="BK412" s="1360">
        <f t="shared" si="328"/>
        <v>0</v>
      </c>
      <c r="BL412" s="1601">
        <f t="shared" si="329"/>
        <v>220.59719882292077</v>
      </c>
      <c r="BM412" s="1601">
        <f t="shared" si="330"/>
        <v>220.59719882292077</v>
      </c>
      <c r="BN412" s="1601">
        <f t="shared" si="331"/>
        <v>220.59719882292077</v>
      </c>
      <c r="BO412" s="1601">
        <f t="shared" si="332"/>
        <v>220.59719882292077</v>
      </c>
      <c r="BP412" s="1602">
        <f t="shared" si="333"/>
        <v>882.3887952916831</v>
      </c>
      <c r="BQ412" s="1629"/>
      <c r="BR412" s="1629" t="s">
        <v>637</v>
      </c>
      <c r="BS412" s="1602">
        <v>0</v>
      </c>
      <c r="BT412" s="1602">
        <v>25</v>
      </c>
      <c r="BU412" s="1602">
        <v>25</v>
      </c>
      <c r="BV412" s="1602">
        <v>25</v>
      </c>
      <c r="BW412" s="1602">
        <v>25</v>
      </c>
      <c r="BX412" s="1362">
        <f t="shared" si="350"/>
        <v>5514.9299705730191</v>
      </c>
      <c r="BY412" s="1362">
        <f t="shared" si="351"/>
        <v>5514.9299705730191</v>
      </c>
      <c r="BZ412" s="1362">
        <f t="shared" si="352"/>
        <v>5514.9299705730191</v>
      </c>
      <c r="CA412" s="1362">
        <f t="shared" si="353"/>
        <v>5514.9299705730191</v>
      </c>
      <c r="CB412" s="1362">
        <f t="shared" si="354"/>
        <v>22059.719882292076</v>
      </c>
      <c r="CC412" s="1360">
        <v>25</v>
      </c>
      <c r="CD412" s="1360">
        <v>25</v>
      </c>
      <c r="CE412" s="1360">
        <v>25</v>
      </c>
      <c r="CF412" s="1360">
        <v>25</v>
      </c>
      <c r="CG412" s="1604">
        <f t="shared" si="334"/>
        <v>5514.9299705730191</v>
      </c>
      <c r="CH412" s="1604">
        <f t="shared" si="335"/>
        <v>5514.9299705730191</v>
      </c>
      <c r="CI412" s="1604">
        <f t="shared" si="336"/>
        <v>5514.9299705730191</v>
      </c>
      <c r="CJ412" s="1604">
        <f t="shared" si="337"/>
        <v>5514.9299705730191</v>
      </c>
      <c r="CK412" s="1521">
        <f t="shared" si="338"/>
        <v>22059.719882292076</v>
      </c>
      <c r="CL412" s="1132">
        <v>405</v>
      </c>
      <c r="CM412" s="1132" t="s">
        <v>356</v>
      </c>
      <c r="CN412" s="1359">
        <v>1</v>
      </c>
      <c r="CO412" s="1360">
        <v>1.0981750000000001</v>
      </c>
      <c r="CP412" s="1360">
        <v>1.0981750000000001</v>
      </c>
      <c r="CQ412" s="1360">
        <v>1.0981750000000001</v>
      </c>
      <c r="CR412" s="1360">
        <v>1.0981750000000001</v>
      </c>
      <c r="CS412" s="1362">
        <f t="shared" si="339"/>
        <v>220.59719882292077</v>
      </c>
      <c r="CT412" s="1362">
        <f t="shared" si="340"/>
        <v>220.59719882292077</v>
      </c>
      <c r="CU412" s="1362">
        <f t="shared" si="341"/>
        <v>220.59719882292077</v>
      </c>
      <c r="CV412" s="1362">
        <f t="shared" si="342"/>
        <v>220.59719882292077</v>
      </c>
      <c r="CW412" s="1362">
        <f t="shared" si="343"/>
        <v>882.3887952916831</v>
      </c>
      <c r="CY412" s="2887"/>
    </row>
    <row r="413" spans="1:103" s="1143" customFormat="1" ht="46.5" x14ac:dyDescent="0.35">
      <c r="A413" s="1132" t="s">
        <v>110</v>
      </c>
      <c r="B413" s="1132" t="s">
        <v>884</v>
      </c>
      <c r="C413" s="1132" t="s">
        <v>669</v>
      </c>
      <c r="D413" s="1359" t="s">
        <v>670</v>
      </c>
      <c r="E413" s="1359">
        <v>1</v>
      </c>
      <c r="F413" s="2564" t="s">
        <v>671</v>
      </c>
      <c r="G413" s="1132" t="s">
        <v>328</v>
      </c>
      <c r="H413" s="1360">
        <v>1.0981750000000001</v>
      </c>
      <c r="I413" s="1360">
        <v>1.0981750000000001</v>
      </c>
      <c r="J413" s="1360">
        <v>1.0981750000000001</v>
      </c>
      <c r="K413" s="1360">
        <v>1.0981750000000001</v>
      </c>
      <c r="L413" s="1132" t="s">
        <v>672</v>
      </c>
      <c r="M413" s="1132" t="str">
        <f t="shared" si="305"/>
        <v>Nicor Gas PY11-PY14 Adjustable Goals Template_2025-03-01, Tab 5.3.4</v>
      </c>
      <c r="N413" s="1361">
        <v>126.70426992521378</v>
      </c>
      <c r="O413" s="1361">
        <v>126.70426992521378</v>
      </c>
      <c r="P413" s="1361">
        <v>126.70426992521378</v>
      </c>
      <c r="Q413" s="1361">
        <v>126.70426992521378</v>
      </c>
      <c r="R413" s="1781">
        <v>1</v>
      </c>
      <c r="S413" s="1781">
        <v>1</v>
      </c>
      <c r="T413" s="1781">
        <v>1</v>
      </c>
      <c r="U413" s="1781">
        <v>1</v>
      </c>
      <c r="V413" s="1781">
        <v>1</v>
      </c>
      <c r="W413" s="1781">
        <v>1</v>
      </c>
      <c r="X413" s="1781">
        <v>1</v>
      </c>
      <c r="Y413" s="1781">
        <v>1</v>
      </c>
      <c r="Z413" s="1359">
        <v>0</v>
      </c>
      <c r="AA413" s="1781">
        <f t="shared" si="306"/>
        <v>1</v>
      </c>
      <c r="AB413" s="1781">
        <f t="shared" si="307"/>
        <v>1</v>
      </c>
      <c r="AC413" s="1781">
        <f t="shared" si="308"/>
        <v>1</v>
      </c>
      <c r="AD413" s="1781">
        <f t="shared" si="309"/>
        <v>1</v>
      </c>
      <c r="AE413" s="1781">
        <f t="shared" si="310"/>
        <v>1</v>
      </c>
      <c r="AF413" s="1781">
        <f t="shared" si="311"/>
        <v>1</v>
      </c>
      <c r="AG413" s="1781">
        <f t="shared" si="312"/>
        <v>1</v>
      </c>
      <c r="AH413" s="1781">
        <f t="shared" si="313"/>
        <v>1</v>
      </c>
      <c r="AI413" s="1362">
        <f t="shared" si="344"/>
        <v>139.14346162512166</v>
      </c>
      <c r="AJ413" s="1362">
        <f t="shared" si="345"/>
        <v>139.14346162512166</v>
      </c>
      <c r="AK413" s="1362">
        <f t="shared" si="346"/>
        <v>139.14346162512166</v>
      </c>
      <c r="AL413" s="1362">
        <f t="shared" si="347"/>
        <v>139.14346162512166</v>
      </c>
      <c r="AM413" s="1362">
        <f t="shared" si="348"/>
        <v>556.57384650048664</v>
      </c>
      <c r="AN413" s="1132" t="str">
        <f t="shared" si="314"/>
        <v>RS-HVC-DINS-V07-190101</v>
      </c>
      <c r="AO413" s="1132" t="str">
        <f t="shared" si="315"/>
        <v>Nicor Gas PY11-PY14 Adjustable Goals Template_2025-03-01, Tab 5.3.4</v>
      </c>
      <c r="AP413" s="2505">
        <f>'5.3.4'!$T$6</f>
        <v>126.70426992521378</v>
      </c>
      <c r="AQ413" s="2505"/>
      <c r="AR413" s="2505">
        <f t="shared" si="316"/>
        <v>139.14346162512166</v>
      </c>
      <c r="AS413" s="2505">
        <f t="shared" si="317"/>
        <v>0</v>
      </c>
      <c r="AT413" s="1132" t="str">
        <f t="shared" si="318"/>
        <v>RS-HVC-DINS-V07-190101</v>
      </c>
      <c r="AU413" s="1132" t="str">
        <f t="shared" si="319"/>
        <v>Nicor Gas PY11-PY14 Adjustable Goals Template_2025-03-01, Tab 5.3.4</v>
      </c>
      <c r="AV413" s="2505">
        <f>'5.3.4'!$T$6</f>
        <v>126.70426992521378</v>
      </c>
      <c r="AW413" s="2505"/>
      <c r="AX413" s="1362">
        <f t="shared" si="320"/>
        <v>139.14346162512166</v>
      </c>
      <c r="AY413" s="1360">
        <f t="shared" si="321"/>
        <v>0</v>
      </c>
      <c r="AZ413" s="1132" t="str">
        <f t="shared" si="322"/>
        <v>RS-HVC-DINS-V07-190101</v>
      </c>
      <c r="BA413" s="1132" t="str">
        <f t="shared" si="323"/>
        <v>Nicor Gas PY11-PY14 Adjustable Goals Template_2025-03-01, Tab 5.3.4</v>
      </c>
      <c r="BB413" s="2505">
        <f>'5.3.4'!$T$6</f>
        <v>126.70426992521378</v>
      </c>
      <c r="BC413" s="2505"/>
      <c r="BD413" s="1362">
        <f t="shared" si="324"/>
        <v>139.14346162512166</v>
      </c>
      <c r="BE413" s="1360">
        <f t="shared" si="325"/>
        <v>0</v>
      </c>
      <c r="BF413" s="1132" t="str">
        <f t="shared" si="326"/>
        <v>RS-HVC-DINS-V07-190101</v>
      </c>
      <c r="BG413" s="1132" t="str">
        <f t="shared" si="327"/>
        <v>Nicor Gas PY11-PY14 Adjustable Goals Template_2025-03-01, Tab 5.3.4</v>
      </c>
      <c r="BH413" s="2505">
        <f>'5.3.4'!$T$6</f>
        <v>126.70426992521378</v>
      </c>
      <c r="BI413" s="2505"/>
      <c r="BJ413" s="1362">
        <f t="shared" si="349"/>
        <v>139.14346162512166</v>
      </c>
      <c r="BK413" s="1360">
        <f t="shared" si="328"/>
        <v>0</v>
      </c>
      <c r="BL413" s="1601">
        <f t="shared" si="329"/>
        <v>139.14346162512166</v>
      </c>
      <c r="BM413" s="1601">
        <f t="shared" si="330"/>
        <v>139.14346162512166</v>
      </c>
      <c r="BN413" s="1601">
        <f t="shared" si="331"/>
        <v>139.14346162512166</v>
      </c>
      <c r="BO413" s="1601">
        <f t="shared" si="332"/>
        <v>139.14346162512166</v>
      </c>
      <c r="BP413" s="1602">
        <f t="shared" si="333"/>
        <v>556.57384650048664</v>
      </c>
      <c r="BQ413" s="1629"/>
      <c r="BR413" s="1629" t="s">
        <v>671</v>
      </c>
      <c r="BS413" s="2773">
        <v>1</v>
      </c>
      <c r="BT413" s="1602">
        <v>18.512820512820507</v>
      </c>
      <c r="BU413" s="1602">
        <v>18.512820512820507</v>
      </c>
      <c r="BV413" s="1602">
        <v>18.512820512820507</v>
      </c>
      <c r="BW413" s="1602">
        <v>18.512820512820507</v>
      </c>
      <c r="BX413" s="1362">
        <f t="shared" si="350"/>
        <v>2575.9379305984053</v>
      </c>
      <c r="BY413" s="1362">
        <f t="shared" si="351"/>
        <v>2575.9379305984053</v>
      </c>
      <c r="BZ413" s="1362">
        <f t="shared" si="352"/>
        <v>2575.9379305984053</v>
      </c>
      <c r="CA413" s="1362">
        <f t="shared" si="353"/>
        <v>2575.9379305984053</v>
      </c>
      <c r="CB413" s="1362">
        <f t="shared" si="354"/>
        <v>10303.751722393621</v>
      </c>
      <c r="CC413" s="2775">
        <v>20</v>
      </c>
      <c r="CD413" s="2775">
        <v>20</v>
      </c>
      <c r="CE413" s="2775">
        <v>20</v>
      </c>
      <c r="CF413" s="2775">
        <v>20</v>
      </c>
      <c r="CG413" s="1604">
        <f t="shared" si="334"/>
        <v>2782.8692325024331</v>
      </c>
      <c r="CH413" s="1604">
        <f t="shared" si="335"/>
        <v>2782.8692325024331</v>
      </c>
      <c r="CI413" s="1604">
        <f t="shared" si="336"/>
        <v>2782.8692325024331</v>
      </c>
      <c r="CJ413" s="1604">
        <f t="shared" si="337"/>
        <v>2782.8692325024331</v>
      </c>
      <c r="CK413" s="1521">
        <f t="shared" si="338"/>
        <v>11131.476930009732</v>
      </c>
      <c r="CL413" s="1132">
        <v>406</v>
      </c>
      <c r="CM413" s="1132" t="s">
        <v>328</v>
      </c>
      <c r="CN413" s="1359">
        <v>1</v>
      </c>
      <c r="CO413" s="1360">
        <v>1.0981750000000001</v>
      </c>
      <c r="CP413" s="1360">
        <v>1.0981750000000001</v>
      </c>
      <c r="CQ413" s="1360">
        <v>1.0981750000000001</v>
      </c>
      <c r="CR413" s="1360">
        <v>1.0981750000000001</v>
      </c>
      <c r="CS413" s="1362">
        <f t="shared" si="339"/>
        <v>139.14346162512166</v>
      </c>
      <c r="CT413" s="1362">
        <f t="shared" si="340"/>
        <v>139.14346162512166</v>
      </c>
      <c r="CU413" s="1362">
        <f t="shared" si="341"/>
        <v>139.14346162512166</v>
      </c>
      <c r="CV413" s="1362">
        <f t="shared" si="342"/>
        <v>139.14346162512166</v>
      </c>
      <c r="CW413" s="1362">
        <f t="shared" si="343"/>
        <v>556.57384650048664</v>
      </c>
      <c r="CY413" s="2887"/>
    </row>
    <row r="414" spans="1:103" s="1143" customFormat="1" ht="46.5" x14ac:dyDescent="0.35">
      <c r="A414" s="1132" t="s">
        <v>110</v>
      </c>
      <c r="B414" s="1132" t="s">
        <v>884</v>
      </c>
      <c r="C414" s="1132" t="s">
        <v>826</v>
      </c>
      <c r="D414" s="1359" t="s">
        <v>827</v>
      </c>
      <c r="E414" s="1359">
        <v>1</v>
      </c>
      <c r="F414" s="2564" t="s">
        <v>828</v>
      </c>
      <c r="G414" s="1132" t="s">
        <v>328</v>
      </c>
      <c r="H414" s="1360">
        <v>1.0981750000000001</v>
      </c>
      <c r="I414" s="1360">
        <v>1.0981750000000001</v>
      </c>
      <c r="J414" s="1360">
        <v>1.0981750000000001</v>
      </c>
      <c r="K414" s="1360">
        <v>1.0981750000000001</v>
      </c>
      <c r="L414" s="1132" t="s">
        <v>829</v>
      </c>
      <c r="M414" s="1132" t="str">
        <f t="shared" si="305"/>
        <v>Nicor Gas PY11-PY14 Adjustable Goals Template_2025-03-01, Tab 5.6.3</v>
      </c>
      <c r="N414" s="1361">
        <v>68.676057718385039</v>
      </c>
      <c r="O414" s="1361">
        <v>68.676057718385039</v>
      </c>
      <c r="P414" s="1361">
        <v>68.676057718385039</v>
      </c>
      <c r="Q414" s="1361">
        <v>68.676057718385039</v>
      </c>
      <c r="R414" s="1781">
        <v>1</v>
      </c>
      <c r="S414" s="1781">
        <v>1</v>
      </c>
      <c r="T414" s="1781">
        <v>1</v>
      </c>
      <c r="U414" s="1781">
        <v>1</v>
      </c>
      <c r="V414" s="1781">
        <v>1</v>
      </c>
      <c r="W414" s="1781">
        <v>1</v>
      </c>
      <c r="X414" s="1781">
        <v>1</v>
      </c>
      <c r="Y414" s="1781">
        <v>1</v>
      </c>
      <c r="Z414" s="1359">
        <v>0</v>
      </c>
      <c r="AA414" s="1781">
        <f t="shared" si="306"/>
        <v>1</v>
      </c>
      <c r="AB414" s="1781">
        <f t="shared" si="307"/>
        <v>1</v>
      </c>
      <c r="AC414" s="1781">
        <f t="shared" si="308"/>
        <v>1</v>
      </c>
      <c r="AD414" s="1781">
        <f t="shared" si="309"/>
        <v>1</v>
      </c>
      <c r="AE414" s="1781">
        <f t="shared" si="310"/>
        <v>1</v>
      </c>
      <c r="AF414" s="1781">
        <f t="shared" si="311"/>
        <v>1</v>
      </c>
      <c r="AG414" s="1781">
        <f t="shared" si="312"/>
        <v>1</v>
      </c>
      <c r="AH414" s="1781">
        <f t="shared" si="313"/>
        <v>1</v>
      </c>
      <c r="AI414" s="1362">
        <f t="shared" si="344"/>
        <v>75.418329684887496</v>
      </c>
      <c r="AJ414" s="1362">
        <f t="shared" si="345"/>
        <v>75.418329684887496</v>
      </c>
      <c r="AK414" s="1362">
        <f t="shared" si="346"/>
        <v>75.418329684887496</v>
      </c>
      <c r="AL414" s="1362">
        <f t="shared" si="347"/>
        <v>75.418329684887496</v>
      </c>
      <c r="AM414" s="1362">
        <f t="shared" si="348"/>
        <v>301.67331873954998</v>
      </c>
      <c r="AN414" s="1132" t="str">
        <f t="shared" si="314"/>
        <v>RS-SHL-FINS-V09-190101</v>
      </c>
      <c r="AO414" s="1132" t="str">
        <f t="shared" si="315"/>
        <v>Nicor Gas PY11-PY14 Adjustable Goals Template_2025-03-01, Tab 5.6.3</v>
      </c>
      <c r="AP414" s="2505">
        <f>'5.6.3'!$T$5</f>
        <v>68.676057718385039</v>
      </c>
      <c r="AQ414" s="2505"/>
      <c r="AR414" s="2505">
        <f t="shared" si="316"/>
        <v>75.418329684887496</v>
      </c>
      <c r="AS414" s="2505">
        <f t="shared" si="317"/>
        <v>0</v>
      </c>
      <c r="AT414" s="1132" t="str">
        <f t="shared" si="318"/>
        <v>RS-SHL-FINS-V09-190101</v>
      </c>
      <c r="AU414" s="1132" t="str">
        <f t="shared" si="319"/>
        <v>Nicor Gas PY11-PY14 Adjustable Goals Template_2025-03-01, Tab 5.6.3</v>
      </c>
      <c r="AV414" s="2505">
        <f>'5.6.3'!$T$5</f>
        <v>68.676057718385039</v>
      </c>
      <c r="AW414" s="2505"/>
      <c r="AX414" s="1362">
        <f t="shared" si="320"/>
        <v>75.418329684887496</v>
      </c>
      <c r="AY414" s="1360">
        <f t="shared" si="321"/>
        <v>0</v>
      </c>
      <c r="AZ414" s="1132" t="str">
        <f t="shared" si="322"/>
        <v>RS-SHL-FINS-V09-190101</v>
      </c>
      <c r="BA414" s="1132" t="str">
        <f t="shared" si="323"/>
        <v>Nicor Gas PY11-PY14 Adjustable Goals Template_2025-03-01, Tab 5.6.3</v>
      </c>
      <c r="BB414" s="2505">
        <f>'5.6.3'!$T$5</f>
        <v>68.676057718385039</v>
      </c>
      <c r="BC414" s="2505"/>
      <c r="BD414" s="1362">
        <f t="shared" si="324"/>
        <v>75.418329684887496</v>
      </c>
      <c r="BE414" s="1360">
        <f t="shared" si="325"/>
        <v>0</v>
      </c>
      <c r="BF414" s="1132" t="str">
        <f t="shared" si="326"/>
        <v>RS-SHL-FINS-V09-190101</v>
      </c>
      <c r="BG414" s="1132" t="str">
        <f t="shared" si="327"/>
        <v>Nicor Gas PY11-PY14 Adjustable Goals Template_2025-03-01, Tab 5.6.3</v>
      </c>
      <c r="BH414" s="2505">
        <f>'5.6.3'!$T$5</f>
        <v>68.676057718385039</v>
      </c>
      <c r="BI414" s="2505"/>
      <c r="BJ414" s="1362">
        <f t="shared" si="349"/>
        <v>75.418329684887496</v>
      </c>
      <c r="BK414" s="1360">
        <f t="shared" si="328"/>
        <v>0</v>
      </c>
      <c r="BL414" s="1601">
        <f t="shared" si="329"/>
        <v>75.418329684887496</v>
      </c>
      <c r="BM414" s="1601">
        <f t="shared" si="330"/>
        <v>75.418329684887496</v>
      </c>
      <c r="BN414" s="1601">
        <f t="shared" si="331"/>
        <v>75.418329684887496</v>
      </c>
      <c r="BO414" s="1601">
        <f t="shared" si="332"/>
        <v>75.418329684887496</v>
      </c>
      <c r="BP414" s="1602">
        <f t="shared" si="333"/>
        <v>301.67331873954998</v>
      </c>
      <c r="BQ414" s="1629"/>
      <c r="BR414" s="1629" t="s">
        <v>828</v>
      </c>
      <c r="BS414" s="2773">
        <v>1</v>
      </c>
      <c r="BT414" s="1602">
        <v>19.411764705882351</v>
      </c>
      <c r="BU414" s="1602">
        <v>19.411764705882351</v>
      </c>
      <c r="BV414" s="1602">
        <v>19.411764705882351</v>
      </c>
      <c r="BW414" s="1602">
        <v>19.411764705882351</v>
      </c>
      <c r="BX414" s="1362">
        <f t="shared" si="350"/>
        <v>1464.0028703536984</v>
      </c>
      <c r="BY414" s="1362">
        <f t="shared" si="351"/>
        <v>1464.0028703536984</v>
      </c>
      <c r="BZ414" s="1362">
        <f t="shared" si="352"/>
        <v>1464.0028703536984</v>
      </c>
      <c r="CA414" s="1362">
        <f t="shared" si="353"/>
        <v>1464.0028703536984</v>
      </c>
      <c r="CB414" s="1362">
        <f t="shared" si="354"/>
        <v>5856.0114814147937</v>
      </c>
      <c r="CC414" s="2775">
        <v>20</v>
      </c>
      <c r="CD414" s="2775">
        <v>20</v>
      </c>
      <c r="CE414" s="2775">
        <v>20</v>
      </c>
      <c r="CF414" s="2775">
        <v>20</v>
      </c>
      <c r="CG414" s="1604">
        <f t="shared" si="334"/>
        <v>1508.36659369775</v>
      </c>
      <c r="CH414" s="1604">
        <f t="shared" si="335"/>
        <v>1508.36659369775</v>
      </c>
      <c r="CI414" s="1604">
        <f t="shared" si="336"/>
        <v>1508.36659369775</v>
      </c>
      <c r="CJ414" s="1604">
        <f t="shared" si="337"/>
        <v>1508.36659369775</v>
      </c>
      <c r="CK414" s="1521">
        <f t="shared" si="338"/>
        <v>6033.4663747909999</v>
      </c>
      <c r="CL414" s="1132">
        <v>407</v>
      </c>
      <c r="CM414" s="1132" t="s">
        <v>328</v>
      </c>
      <c r="CN414" s="1359">
        <v>1</v>
      </c>
      <c r="CO414" s="1360">
        <v>1.0981750000000001</v>
      </c>
      <c r="CP414" s="1360">
        <v>1.0981750000000001</v>
      </c>
      <c r="CQ414" s="1360">
        <v>1.0981750000000001</v>
      </c>
      <c r="CR414" s="1360">
        <v>1.0981750000000001</v>
      </c>
      <c r="CS414" s="1362">
        <f t="shared" si="339"/>
        <v>75.418329684887496</v>
      </c>
      <c r="CT414" s="1362">
        <f t="shared" si="340"/>
        <v>75.418329684887496</v>
      </c>
      <c r="CU414" s="1362">
        <f t="shared" si="341"/>
        <v>75.418329684887496</v>
      </c>
      <c r="CV414" s="1362">
        <f t="shared" si="342"/>
        <v>75.418329684887496</v>
      </c>
      <c r="CW414" s="1362">
        <f t="shared" si="343"/>
        <v>301.67331873954998</v>
      </c>
      <c r="CY414" s="2887"/>
    </row>
    <row r="415" spans="1:103" s="1143" customFormat="1" ht="15" customHeight="1" x14ac:dyDescent="0.35">
      <c r="A415" s="1132" t="s">
        <v>110</v>
      </c>
      <c r="B415" s="1132" t="s">
        <v>884</v>
      </c>
      <c r="C415" s="1132" t="s">
        <v>629</v>
      </c>
      <c r="D415" s="1359" t="s">
        <v>630</v>
      </c>
      <c r="E415" s="1359">
        <v>1</v>
      </c>
      <c r="F415" s="2564" t="s">
        <v>631</v>
      </c>
      <c r="G415" s="1132" t="s">
        <v>356</v>
      </c>
      <c r="H415" s="1360">
        <v>1.0981750000000001</v>
      </c>
      <c r="I415" s="1360">
        <v>1.0981750000000001</v>
      </c>
      <c r="J415" s="1360">
        <v>1.0981750000000001</v>
      </c>
      <c r="K415" s="1360">
        <v>1.0981750000000001</v>
      </c>
      <c r="L415" s="1132" t="s">
        <v>632</v>
      </c>
      <c r="M415" s="1132" t="str">
        <f t="shared" si="305"/>
        <v>Nicor Gas PY11-PY14 Adjustable Goals Template_2025-03-01, Tab 5.3.7</v>
      </c>
      <c r="N415" s="1361">
        <v>185.21062775919711</v>
      </c>
      <c r="O415" s="1361">
        <v>185.21062775919711</v>
      </c>
      <c r="P415" s="1361">
        <v>185.21062775919711</v>
      </c>
      <c r="Q415" s="1361">
        <v>185.21062775919711</v>
      </c>
      <c r="R415" s="1781">
        <v>1</v>
      </c>
      <c r="S415" s="1781">
        <v>1</v>
      </c>
      <c r="T415" s="1781">
        <v>1</v>
      </c>
      <c r="U415" s="1781">
        <v>1</v>
      </c>
      <c r="V415" s="1781">
        <v>1</v>
      </c>
      <c r="W415" s="1781">
        <v>1</v>
      </c>
      <c r="X415" s="1781">
        <v>1</v>
      </c>
      <c r="Y415" s="1781">
        <v>1</v>
      </c>
      <c r="Z415" s="1359">
        <v>0</v>
      </c>
      <c r="AA415" s="1781">
        <f t="shared" si="306"/>
        <v>1</v>
      </c>
      <c r="AB415" s="1781">
        <f t="shared" si="307"/>
        <v>1</v>
      </c>
      <c r="AC415" s="1781">
        <f t="shared" si="308"/>
        <v>1</v>
      </c>
      <c r="AD415" s="1781">
        <f t="shared" si="309"/>
        <v>1</v>
      </c>
      <c r="AE415" s="1781">
        <f t="shared" si="310"/>
        <v>1</v>
      </c>
      <c r="AF415" s="1781">
        <f t="shared" si="311"/>
        <v>1</v>
      </c>
      <c r="AG415" s="1781">
        <f t="shared" si="312"/>
        <v>1</v>
      </c>
      <c r="AH415" s="1781">
        <f t="shared" si="313"/>
        <v>1</v>
      </c>
      <c r="AI415" s="1362">
        <f t="shared" si="344"/>
        <v>203.39368113945631</v>
      </c>
      <c r="AJ415" s="1362">
        <f t="shared" si="345"/>
        <v>203.39368113945631</v>
      </c>
      <c r="AK415" s="1362">
        <f t="shared" si="346"/>
        <v>203.39368113945631</v>
      </c>
      <c r="AL415" s="1362">
        <f t="shared" si="347"/>
        <v>203.39368113945631</v>
      </c>
      <c r="AM415" s="1362">
        <f t="shared" si="348"/>
        <v>813.57472455782522</v>
      </c>
      <c r="AN415" s="1132" t="str">
        <f t="shared" si="314"/>
        <v>RS-HVC-GHEF-V08-190101</v>
      </c>
      <c r="AO415" s="1132" t="str">
        <f t="shared" si="315"/>
        <v>Nicor Gas PY11-PY14 Adjustable Goals Template_2025-03-01, Tab 5.3.7</v>
      </c>
      <c r="AP415" s="2505">
        <f>'5.3.7'!$P$4</f>
        <v>185.21062775919711</v>
      </c>
      <c r="AQ415" s="2505"/>
      <c r="AR415" s="2505">
        <f t="shared" si="316"/>
        <v>203.39368113945631</v>
      </c>
      <c r="AS415" s="2505">
        <f t="shared" si="317"/>
        <v>0</v>
      </c>
      <c r="AT415" s="1132" t="str">
        <f t="shared" si="318"/>
        <v>RS-HVC-GHEF-V08-190101</v>
      </c>
      <c r="AU415" s="1132" t="str">
        <f t="shared" si="319"/>
        <v>Nicor Gas PY11-PY14 Adjustable Goals Template_2025-03-01, Tab 5.3.7</v>
      </c>
      <c r="AV415" s="2505">
        <f>'5.3.7'!$P$4</f>
        <v>185.21062775919711</v>
      </c>
      <c r="AW415" s="2505"/>
      <c r="AX415" s="1362">
        <f t="shared" si="320"/>
        <v>203.39368113945631</v>
      </c>
      <c r="AY415" s="1360">
        <f t="shared" si="321"/>
        <v>0</v>
      </c>
      <c r="AZ415" s="1132" t="str">
        <f t="shared" si="322"/>
        <v>RS-HVC-GHEF-V08-190101</v>
      </c>
      <c r="BA415" s="1132" t="str">
        <f t="shared" si="323"/>
        <v>Nicor Gas PY11-PY14 Adjustable Goals Template_2025-03-01, Tab 5.3.7</v>
      </c>
      <c r="BB415" s="2505">
        <f>'5.3.7'!$P$4</f>
        <v>185.21062775919711</v>
      </c>
      <c r="BC415" s="2505"/>
      <c r="BD415" s="1362">
        <f t="shared" si="324"/>
        <v>203.39368113945631</v>
      </c>
      <c r="BE415" s="1360">
        <f t="shared" si="325"/>
        <v>0</v>
      </c>
      <c r="BF415" s="1132" t="str">
        <f t="shared" si="326"/>
        <v>RS-HVC-GHEF-V08-190101</v>
      </c>
      <c r="BG415" s="1132" t="str">
        <f t="shared" si="327"/>
        <v>Nicor Gas PY11-PY14 Adjustable Goals Template_2025-03-01, Tab 5.3.7</v>
      </c>
      <c r="BH415" s="2505">
        <f>'5.3.7'!$P$4</f>
        <v>185.21062775919711</v>
      </c>
      <c r="BI415" s="2505"/>
      <c r="BJ415" s="1362">
        <f t="shared" si="349"/>
        <v>203.39368113945631</v>
      </c>
      <c r="BK415" s="1360">
        <f t="shared" si="328"/>
        <v>0</v>
      </c>
      <c r="BL415" s="1601">
        <f t="shared" si="329"/>
        <v>203.39368113945631</v>
      </c>
      <c r="BM415" s="1601">
        <f t="shared" si="330"/>
        <v>203.39368113945631</v>
      </c>
      <c r="BN415" s="1601">
        <f t="shared" si="331"/>
        <v>203.39368113945631</v>
      </c>
      <c r="BO415" s="1601">
        <f t="shared" si="332"/>
        <v>203.39368113945631</v>
      </c>
      <c r="BP415" s="1602">
        <f t="shared" si="333"/>
        <v>813.57472455782522</v>
      </c>
      <c r="BQ415" s="1629"/>
      <c r="BR415" s="1629" t="s">
        <v>631</v>
      </c>
      <c r="BS415" s="1602">
        <v>0</v>
      </c>
      <c r="BT415" s="1602">
        <v>20</v>
      </c>
      <c r="BU415" s="1602">
        <v>20</v>
      </c>
      <c r="BV415" s="1602">
        <v>20</v>
      </c>
      <c r="BW415" s="1602">
        <v>20</v>
      </c>
      <c r="BX415" s="1362">
        <f t="shared" si="350"/>
        <v>4067.8736227891259</v>
      </c>
      <c r="BY415" s="1362">
        <f t="shared" si="351"/>
        <v>4067.8736227891259</v>
      </c>
      <c r="BZ415" s="1362">
        <f t="shared" si="352"/>
        <v>4067.8736227891259</v>
      </c>
      <c r="CA415" s="1362">
        <f t="shared" si="353"/>
        <v>4067.8736227891259</v>
      </c>
      <c r="CB415" s="1362">
        <f t="shared" si="354"/>
        <v>16271.494491156503</v>
      </c>
      <c r="CC415" s="1360">
        <v>20</v>
      </c>
      <c r="CD415" s="1360">
        <v>20</v>
      </c>
      <c r="CE415" s="1360">
        <v>20</v>
      </c>
      <c r="CF415" s="1360">
        <v>20</v>
      </c>
      <c r="CG415" s="1604">
        <f t="shared" si="334"/>
        <v>4067.8736227891259</v>
      </c>
      <c r="CH415" s="1604">
        <f t="shared" si="335"/>
        <v>4067.8736227891259</v>
      </c>
      <c r="CI415" s="1604">
        <f t="shared" si="336"/>
        <v>4067.8736227891259</v>
      </c>
      <c r="CJ415" s="1604">
        <f t="shared" si="337"/>
        <v>4067.8736227891259</v>
      </c>
      <c r="CK415" s="1521">
        <f t="shared" si="338"/>
        <v>16271.494491156503</v>
      </c>
      <c r="CL415" s="1132">
        <v>408</v>
      </c>
      <c r="CM415" s="1132" t="s">
        <v>356</v>
      </c>
      <c r="CN415" s="1359">
        <v>1</v>
      </c>
      <c r="CO415" s="1360">
        <v>1.0981750000000001</v>
      </c>
      <c r="CP415" s="1360">
        <v>1.0981750000000001</v>
      </c>
      <c r="CQ415" s="1360">
        <v>1.0981750000000001</v>
      </c>
      <c r="CR415" s="1360">
        <v>1.0981750000000001</v>
      </c>
      <c r="CS415" s="1362">
        <f t="shared" si="339"/>
        <v>203.39368113945631</v>
      </c>
      <c r="CT415" s="1362">
        <f t="shared" si="340"/>
        <v>203.39368113945631</v>
      </c>
      <c r="CU415" s="1362">
        <f t="shared" si="341"/>
        <v>203.39368113945631</v>
      </c>
      <c r="CV415" s="1362">
        <f t="shared" si="342"/>
        <v>203.39368113945631</v>
      </c>
      <c r="CW415" s="1362">
        <f t="shared" si="343"/>
        <v>813.57472455782522</v>
      </c>
      <c r="CY415" s="2887"/>
    </row>
    <row r="416" spans="1:103" s="1143" customFormat="1" ht="15" customHeight="1" x14ac:dyDescent="0.35">
      <c r="A416" s="1132" t="s">
        <v>110</v>
      </c>
      <c r="B416" s="1132" t="s">
        <v>884</v>
      </c>
      <c r="C416" s="1132" t="s">
        <v>912</v>
      </c>
      <c r="D416" s="1359" t="s">
        <v>913</v>
      </c>
      <c r="E416" s="1359">
        <v>1</v>
      </c>
      <c r="F416" s="2807" t="s">
        <v>691</v>
      </c>
      <c r="G416" s="1132" t="s">
        <v>328</v>
      </c>
      <c r="H416" s="1360">
        <v>1.0981750000000001</v>
      </c>
      <c r="I416" s="1360">
        <v>1.0981750000000001</v>
      </c>
      <c r="J416" s="1360">
        <v>1.0981750000000001</v>
      </c>
      <c r="K416" s="1360">
        <v>1.0981750000000001</v>
      </c>
      <c r="L416" s="1132" t="s">
        <v>692</v>
      </c>
      <c r="M416" s="1132" t="str">
        <f t="shared" si="305"/>
        <v>Nicor Gas PY11-PY14 Adjustable Goals Template_2025-03-01, Tab 5.4.5</v>
      </c>
      <c r="N416" s="2245">
        <v>8.7915245234198895</v>
      </c>
      <c r="O416" s="1361">
        <v>8.7915245234198895</v>
      </c>
      <c r="P416" s="1361">
        <v>8.7915245234198895</v>
      </c>
      <c r="Q416" s="1361">
        <v>8.7915245234198895</v>
      </c>
      <c r="R416" s="1781">
        <v>1</v>
      </c>
      <c r="S416" s="1781">
        <v>1</v>
      </c>
      <c r="T416" s="1781">
        <v>1</v>
      </c>
      <c r="U416" s="1781">
        <v>1</v>
      </c>
      <c r="V416" s="1781">
        <v>1</v>
      </c>
      <c r="W416" s="1781">
        <v>1</v>
      </c>
      <c r="X416" s="1781">
        <v>1</v>
      </c>
      <c r="Y416" s="1781">
        <v>1</v>
      </c>
      <c r="Z416" s="1359">
        <v>0</v>
      </c>
      <c r="AA416" s="1781">
        <f t="shared" si="306"/>
        <v>1</v>
      </c>
      <c r="AB416" s="1781">
        <f t="shared" si="307"/>
        <v>1</v>
      </c>
      <c r="AC416" s="1781">
        <f t="shared" si="308"/>
        <v>1</v>
      </c>
      <c r="AD416" s="1781">
        <f t="shared" si="309"/>
        <v>1</v>
      </c>
      <c r="AE416" s="1781">
        <f t="shared" si="310"/>
        <v>1</v>
      </c>
      <c r="AF416" s="1781">
        <f t="shared" si="311"/>
        <v>1</v>
      </c>
      <c r="AG416" s="1781">
        <f t="shared" si="312"/>
        <v>1</v>
      </c>
      <c r="AH416" s="1781">
        <f t="shared" si="313"/>
        <v>1</v>
      </c>
      <c r="AI416" s="1362">
        <f t="shared" si="344"/>
        <v>9.6546324435066389</v>
      </c>
      <c r="AJ416" s="1362">
        <f t="shared" si="345"/>
        <v>9.6546324435066389</v>
      </c>
      <c r="AK416" s="1362">
        <f t="shared" si="346"/>
        <v>9.6546324435066389</v>
      </c>
      <c r="AL416" s="1362">
        <f t="shared" si="347"/>
        <v>9.6546324435066389</v>
      </c>
      <c r="AM416" s="1362">
        <f t="shared" si="348"/>
        <v>38.618529774026555</v>
      </c>
      <c r="AN416" s="1132" t="str">
        <f t="shared" si="314"/>
        <v>RS-HWE-LFSH-V06-190101</v>
      </c>
      <c r="AO416" s="1132" t="str">
        <f t="shared" si="315"/>
        <v>Nicor Gas PY11-PY14 Adjustable Goals Template_2025-03-01, Tab 5.4.5</v>
      </c>
      <c r="AP416" s="2737">
        <f>'5.4.5'!$P$5</f>
        <v>9.4758946959016797</v>
      </c>
      <c r="AQ416" s="2568" t="s">
        <v>557</v>
      </c>
      <c r="AR416" s="2505">
        <f t="shared" si="316"/>
        <v>10.406190657671829</v>
      </c>
      <c r="AS416" s="2247">
        <f t="shared" si="317"/>
        <v>0.75155821416518975</v>
      </c>
      <c r="AT416" s="1132" t="str">
        <f t="shared" si="318"/>
        <v>RS-HWE-LFSH-V06-190101</v>
      </c>
      <c r="AU416" s="1132" t="str">
        <f t="shared" si="319"/>
        <v>Nicor Gas PY11-PY14 Adjustable Goals Template_2025-03-01, Tab 5.4.5</v>
      </c>
      <c r="AV416" s="2508">
        <f>'5.4.5'!$P$5</f>
        <v>9.4758946959016797</v>
      </c>
      <c r="AW416" s="2568" t="s">
        <v>557</v>
      </c>
      <c r="AX416" s="1362">
        <f t="shared" si="320"/>
        <v>10.406190657671829</v>
      </c>
      <c r="AY416" s="1360">
        <f t="shared" si="321"/>
        <v>0.75155821416518975</v>
      </c>
      <c r="AZ416" s="1132" t="str">
        <f t="shared" si="322"/>
        <v>RS-HWE-LFSH-V06-190101</v>
      </c>
      <c r="BA416" s="1132" t="str">
        <f t="shared" si="323"/>
        <v>Nicor Gas PY11-PY14 Adjustable Goals Template_2025-03-01, Tab 5.4.5</v>
      </c>
      <c r="BB416" s="2508">
        <f>'5.4.5'!$P$5</f>
        <v>9.4758946959016797</v>
      </c>
      <c r="BC416" s="2568" t="s">
        <v>557</v>
      </c>
      <c r="BD416" s="1362">
        <f t="shared" si="324"/>
        <v>10.406190657671829</v>
      </c>
      <c r="BE416" s="1360">
        <f t="shared" si="325"/>
        <v>0.75155821416518975</v>
      </c>
      <c r="BF416" s="1132" t="str">
        <f t="shared" si="326"/>
        <v>RS-HWE-LFSH-V06-190101</v>
      </c>
      <c r="BG416" s="1132" t="str">
        <f t="shared" si="327"/>
        <v>Nicor Gas PY11-PY14 Adjustable Goals Template_2025-03-01, Tab 5.4.5</v>
      </c>
      <c r="BH416" s="2508">
        <f>'5.4.5'!$P$5</f>
        <v>9.4758946959016797</v>
      </c>
      <c r="BI416" s="2568" t="s">
        <v>557</v>
      </c>
      <c r="BJ416" s="1362">
        <f t="shared" si="349"/>
        <v>10.406190657671829</v>
      </c>
      <c r="BK416" s="1360">
        <f t="shared" si="328"/>
        <v>0.75155821416518975</v>
      </c>
      <c r="BL416" s="1601">
        <f t="shared" si="329"/>
        <v>10.406190657671829</v>
      </c>
      <c r="BM416" s="1601">
        <f t="shared" si="330"/>
        <v>10.406190657671829</v>
      </c>
      <c r="BN416" s="1601">
        <f t="shared" si="331"/>
        <v>10.406190657671829</v>
      </c>
      <c r="BO416" s="1601">
        <f t="shared" si="332"/>
        <v>10.406190657671829</v>
      </c>
      <c r="BP416" s="1602">
        <f t="shared" si="333"/>
        <v>41.624762630687314</v>
      </c>
      <c r="BQ416" s="1629"/>
      <c r="BR416" s="1629" t="s">
        <v>691</v>
      </c>
      <c r="BS416" s="1602">
        <v>0</v>
      </c>
      <c r="BT416" s="1602">
        <v>10</v>
      </c>
      <c r="BU416" s="1602">
        <v>10</v>
      </c>
      <c r="BV416" s="1602">
        <v>10</v>
      </c>
      <c r="BW416" s="1602">
        <v>10</v>
      </c>
      <c r="BX416" s="1362">
        <f t="shared" si="350"/>
        <v>96.546324435066396</v>
      </c>
      <c r="BY416" s="1362">
        <f t="shared" si="351"/>
        <v>96.546324435066396</v>
      </c>
      <c r="BZ416" s="1362">
        <f t="shared" si="352"/>
        <v>96.546324435066396</v>
      </c>
      <c r="CA416" s="1362">
        <f t="shared" si="353"/>
        <v>96.546324435066396</v>
      </c>
      <c r="CB416" s="1362">
        <f t="shared" si="354"/>
        <v>386.18529774026558</v>
      </c>
      <c r="CC416" s="1360">
        <v>10</v>
      </c>
      <c r="CD416" s="1360">
        <v>10</v>
      </c>
      <c r="CE416" s="1360">
        <v>10</v>
      </c>
      <c r="CF416" s="1360">
        <v>10</v>
      </c>
      <c r="CG416" s="1604">
        <f t="shared" si="334"/>
        <v>104.06190657671829</v>
      </c>
      <c r="CH416" s="1604">
        <f t="shared" si="335"/>
        <v>104.06190657671829</v>
      </c>
      <c r="CI416" s="1604">
        <f t="shared" si="336"/>
        <v>104.06190657671829</v>
      </c>
      <c r="CJ416" s="1604">
        <f t="shared" si="337"/>
        <v>104.06190657671829</v>
      </c>
      <c r="CK416" s="1521">
        <f t="shared" si="338"/>
        <v>416.24762630687314</v>
      </c>
      <c r="CL416" s="1132">
        <v>409</v>
      </c>
      <c r="CM416" s="1132" t="s">
        <v>328</v>
      </c>
      <c r="CN416" s="1359">
        <v>1</v>
      </c>
      <c r="CO416" s="1360">
        <v>1.0981750000000001</v>
      </c>
      <c r="CP416" s="1360">
        <v>1.0981750000000001</v>
      </c>
      <c r="CQ416" s="1360">
        <v>1.0981750000000001</v>
      </c>
      <c r="CR416" s="1360">
        <v>1.0981750000000001</v>
      </c>
      <c r="CS416" s="1362">
        <f t="shared" si="339"/>
        <v>9.6546324435066389</v>
      </c>
      <c r="CT416" s="1362">
        <f t="shared" si="340"/>
        <v>9.6546324435066389</v>
      </c>
      <c r="CU416" s="1362">
        <f t="shared" si="341"/>
        <v>9.6546324435066389</v>
      </c>
      <c r="CV416" s="1362">
        <f t="shared" si="342"/>
        <v>9.6546324435066389</v>
      </c>
      <c r="CW416" s="1362">
        <f t="shared" si="343"/>
        <v>38.618529774026555</v>
      </c>
      <c r="CY416" s="2887"/>
    </row>
    <row r="417" spans="1:103" s="1143" customFormat="1" ht="45.75" customHeight="1" x14ac:dyDescent="0.35">
      <c r="A417" s="1132" t="s">
        <v>110</v>
      </c>
      <c r="B417" s="1132" t="s">
        <v>884</v>
      </c>
      <c r="C417" s="1132" t="s">
        <v>741</v>
      </c>
      <c r="D417" s="1359" t="s">
        <v>105</v>
      </c>
      <c r="E417" s="1359">
        <f>IF(AI417-AR417=0,0,1)</f>
        <v>0</v>
      </c>
      <c r="F417" s="1132" t="s">
        <v>105</v>
      </c>
      <c r="G417" s="1132" t="s">
        <v>356</v>
      </c>
      <c r="H417" s="1360">
        <v>5.4908750000000008</v>
      </c>
      <c r="I417" s="1360">
        <v>5.4908750000000008</v>
      </c>
      <c r="J417" s="1360">
        <v>5.4908750000000008</v>
      </c>
      <c r="K417" s="1360">
        <v>5.4908750000000008</v>
      </c>
      <c r="L417" s="1132" t="s">
        <v>105</v>
      </c>
      <c r="M417" s="1132" t="str">
        <f t="shared" si="305"/>
        <v/>
      </c>
      <c r="N417" s="1361">
        <v>0</v>
      </c>
      <c r="O417" s="1361">
        <v>0</v>
      </c>
      <c r="P417" s="1361">
        <v>0</v>
      </c>
      <c r="Q417" s="1361">
        <v>0</v>
      </c>
      <c r="R417" s="1781">
        <v>1</v>
      </c>
      <c r="S417" s="1781">
        <v>1</v>
      </c>
      <c r="T417" s="1781">
        <v>1</v>
      </c>
      <c r="U417" s="1781">
        <v>1</v>
      </c>
      <c r="V417" s="1781">
        <v>1</v>
      </c>
      <c r="W417" s="1781">
        <v>1</v>
      </c>
      <c r="X417" s="1781">
        <v>1</v>
      </c>
      <c r="Y417" s="1781">
        <v>1</v>
      </c>
      <c r="Z417" s="1359">
        <v>0</v>
      </c>
      <c r="AA417" s="1781">
        <f t="shared" si="306"/>
        <v>1</v>
      </c>
      <c r="AB417" s="1781">
        <f t="shared" si="307"/>
        <v>1</v>
      </c>
      <c r="AC417" s="1781">
        <f t="shared" si="308"/>
        <v>1</v>
      </c>
      <c r="AD417" s="1781">
        <f t="shared" si="309"/>
        <v>1</v>
      </c>
      <c r="AE417" s="1781">
        <f t="shared" si="310"/>
        <v>1</v>
      </c>
      <c r="AF417" s="1781">
        <f t="shared" si="311"/>
        <v>1</v>
      </c>
      <c r="AG417" s="1781">
        <f t="shared" si="312"/>
        <v>1</v>
      </c>
      <c r="AH417" s="1781">
        <f t="shared" si="313"/>
        <v>1</v>
      </c>
      <c r="AI417" s="1362">
        <f t="shared" si="344"/>
        <v>0</v>
      </c>
      <c r="AJ417" s="1362">
        <f t="shared" si="345"/>
        <v>0</v>
      </c>
      <c r="AK417" s="1362">
        <f t="shared" si="346"/>
        <v>0</v>
      </c>
      <c r="AL417" s="1362">
        <f t="shared" si="347"/>
        <v>0</v>
      </c>
      <c r="AM417" s="1362">
        <f t="shared" si="348"/>
        <v>0</v>
      </c>
      <c r="AN417" s="1132" t="str">
        <f t="shared" si="314"/>
        <v>Custom</v>
      </c>
      <c r="AO417" s="1132" t="str">
        <f t="shared" si="315"/>
        <v/>
      </c>
      <c r="AP417" s="2505">
        <v>0</v>
      </c>
      <c r="AQ417" s="2505"/>
      <c r="AR417" s="2505">
        <f t="shared" si="316"/>
        <v>0</v>
      </c>
      <c r="AS417" s="2505">
        <f t="shared" si="317"/>
        <v>0</v>
      </c>
      <c r="AT417" s="1132" t="str">
        <f t="shared" si="318"/>
        <v>Custom</v>
      </c>
      <c r="AU417" s="1132" t="str">
        <f t="shared" si="319"/>
        <v/>
      </c>
      <c r="AV417" s="2505">
        <v>0</v>
      </c>
      <c r="AW417" s="2505"/>
      <c r="AX417" s="1362">
        <f t="shared" si="320"/>
        <v>0</v>
      </c>
      <c r="AY417" s="1360">
        <f t="shared" si="321"/>
        <v>0</v>
      </c>
      <c r="AZ417" s="1132" t="str">
        <f t="shared" si="322"/>
        <v>Custom</v>
      </c>
      <c r="BA417" s="1132" t="str">
        <f t="shared" si="323"/>
        <v/>
      </c>
      <c r="BB417" s="2505">
        <v>0</v>
      </c>
      <c r="BC417" s="2505"/>
      <c r="BD417" s="1362">
        <f t="shared" si="324"/>
        <v>0</v>
      </c>
      <c r="BE417" s="1360">
        <f t="shared" si="325"/>
        <v>0</v>
      </c>
      <c r="BF417" s="1132" t="str">
        <f t="shared" si="326"/>
        <v>Custom</v>
      </c>
      <c r="BG417" s="1132" t="str">
        <f t="shared" si="327"/>
        <v/>
      </c>
      <c r="BH417" s="2505">
        <v>0</v>
      </c>
      <c r="BI417" s="2505"/>
      <c r="BJ417" s="1362">
        <f t="shared" si="349"/>
        <v>0</v>
      </c>
      <c r="BK417" s="1360">
        <f t="shared" si="328"/>
        <v>0</v>
      </c>
      <c r="BL417" s="1601">
        <f t="shared" si="329"/>
        <v>0</v>
      </c>
      <c r="BM417" s="1601">
        <f t="shared" si="330"/>
        <v>0</v>
      </c>
      <c r="BN417" s="1601">
        <f t="shared" si="331"/>
        <v>0</v>
      </c>
      <c r="BO417" s="1601">
        <f t="shared" si="332"/>
        <v>0</v>
      </c>
      <c r="BP417" s="1602">
        <f t="shared" si="333"/>
        <v>0</v>
      </c>
      <c r="BQ417" s="1629"/>
      <c r="BR417" s="1629"/>
      <c r="BS417" s="1602">
        <v>0</v>
      </c>
      <c r="BT417" s="1602">
        <v>1</v>
      </c>
      <c r="BU417" s="1602">
        <v>1</v>
      </c>
      <c r="BV417" s="1602">
        <v>1</v>
      </c>
      <c r="BW417" s="1602">
        <v>1</v>
      </c>
      <c r="BX417" s="1362">
        <f t="shared" si="350"/>
        <v>0</v>
      </c>
      <c r="BY417" s="1362">
        <f t="shared" si="351"/>
        <v>0</v>
      </c>
      <c r="BZ417" s="1362">
        <f t="shared" si="352"/>
        <v>0</v>
      </c>
      <c r="CA417" s="1362">
        <f t="shared" si="353"/>
        <v>0</v>
      </c>
      <c r="CB417" s="1362">
        <f t="shared" si="354"/>
        <v>0</v>
      </c>
      <c r="CC417" s="1360">
        <v>1</v>
      </c>
      <c r="CD417" s="1360">
        <v>1</v>
      </c>
      <c r="CE417" s="1360">
        <v>1</v>
      </c>
      <c r="CF417" s="1360">
        <v>1</v>
      </c>
      <c r="CG417" s="1604">
        <f t="shared" si="334"/>
        <v>0</v>
      </c>
      <c r="CH417" s="1604">
        <f t="shared" si="335"/>
        <v>0</v>
      </c>
      <c r="CI417" s="1604">
        <f t="shared" si="336"/>
        <v>0</v>
      </c>
      <c r="CJ417" s="1604">
        <f t="shared" si="337"/>
        <v>0</v>
      </c>
      <c r="CK417" s="1521">
        <f t="shared" si="338"/>
        <v>0</v>
      </c>
      <c r="CL417" s="1132">
        <v>410</v>
      </c>
      <c r="CM417" s="1132" t="s">
        <v>356</v>
      </c>
      <c r="CN417" s="1359">
        <v>1</v>
      </c>
      <c r="CO417" s="1360">
        <v>5.4908750000000008</v>
      </c>
      <c r="CP417" s="1360">
        <v>5.4908750000000008</v>
      </c>
      <c r="CQ417" s="1360">
        <v>5.4908750000000008</v>
      </c>
      <c r="CR417" s="1360">
        <v>5.4908750000000008</v>
      </c>
      <c r="CS417" s="1362">
        <f t="shared" si="339"/>
        <v>0</v>
      </c>
      <c r="CT417" s="1362">
        <f t="shared" si="340"/>
        <v>0</v>
      </c>
      <c r="CU417" s="1362">
        <f t="shared" si="341"/>
        <v>0</v>
      </c>
      <c r="CV417" s="1362">
        <f t="shared" si="342"/>
        <v>0</v>
      </c>
      <c r="CW417" s="1362">
        <f t="shared" si="343"/>
        <v>0</v>
      </c>
      <c r="CY417" s="2887"/>
    </row>
    <row r="418" spans="1:103" s="1143" customFormat="1" ht="62" x14ac:dyDescent="0.35">
      <c r="A418" s="1132" t="s">
        <v>110</v>
      </c>
      <c r="B418" s="1132" t="s">
        <v>884</v>
      </c>
      <c r="C418" s="1132" t="s">
        <v>701</v>
      </c>
      <c r="D418" s="1359" t="s">
        <v>702</v>
      </c>
      <c r="E418" s="1359">
        <v>1</v>
      </c>
      <c r="F418" s="2807" t="s">
        <v>703</v>
      </c>
      <c r="G418" s="1132" t="s">
        <v>356</v>
      </c>
      <c r="H418" s="1360">
        <v>24.159850000000002</v>
      </c>
      <c r="I418" s="1360">
        <v>24.159850000000002</v>
      </c>
      <c r="J418" s="1360">
        <v>24.159850000000002</v>
      </c>
      <c r="K418" s="1360">
        <v>24.159850000000002</v>
      </c>
      <c r="L418" s="1132" t="s">
        <v>704</v>
      </c>
      <c r="M418" s="1132" t="str">
        <f t="shared" si="305"/>
        <v>Nicor Gas PY11-PY14 Adjustable Goals Template_2025-03-01, Tab 5.4.1</v>
      </c>
      <c r="N418" s="1361">
        <v>0.88064584615384589</v>
      </c>
      <c r="O418" s="1361">
        <v>0.88064584615384589</v>
      </c>
      <c r="P418" s="1361">
        <v>0.88064584615384589</v>
      </c>
      <c r="Q418" s="1361">
        <v>0.88064584615384589</v>
      </c>
      <c r="R418" s="1781">
        <v>1</v>
      </c>
      <c r="S418" s="1781">
        <v>1</v>
      </c>
      <c r="T418" s="1781">
        <v>1</v>
      </c>
      <c r="U418" s="1781">
        <v>1</v>
      </c>
      <c r="V418" s="1781">
        <v>1</v>
      </c>
      <c r="W418" s="1781">
        <v>1</v>
      </c>
      <c r="X418" s="1781">
        <v>1</v>
      </c>
      <c r="Y418" s="1781">
        <v>1</v>
      </c>
      <c r="Z418" s="1359">
        <v>0</v>
      </c>
      <c r="AA418" s="1781">
        <f t="shared" si="306"/>
        <v>1</v>
      </c>
      <c r="AB418" s="1781">
        <f t="shared" si="307"/>
        <v>1</v>
      </c>
      <c r="AC418" s="1781">
        <f t="shared" si="308"/>
        <v>1</v>
      </c>
      <c r="AD418" s="1781">
        <f t="shared" si="309"/>
        <v>1</v>
      </c>
      <c r="AE418" s="1781">
        <f t="shared" si="310"/>
        <v>1</v>
      </c>
      <c r="AF418" s="1781">
        <f t="shared" si="311"/>
        <v>1</v>
      </c>
      <c r="AG418" s="1781">
        <f t="shared" si="312"/>
        <v>1</v>
      </c>
      <c r="AH418" s="1781">
        <f t="shared" si="313"/>
        <v>1</v>
      </c>
      <c r="AI418" s="1362">
        <f t="shared" si="344"/>
        <v>21.276271546199997</v>
      </c>
      <c r="AJ418" s="1362">
        <f t="shared" si="345"/>
        <v>21.276271546199997</v>
      </c>
      <c r="AK418" s="1362">
        <f t="shared" si="346"/>
        <v>21.276271546199997</v>
      </c>
      <c r="AL418" s="1362">
        <f t="shared" si="347"/>
        <v>21.276271546199997</v>
      </c>
      <c r="AM418" s="1362">
        <f t="shared" si="348"/>
        <v>85.105086184799987</v>
      </c>
      <c r="AN418" s="1132" t="str">
        <f t="shared" si="314"/>
        <v>RS-HWE-PINS-V02-150601</v>
      </c>
      <c r="AO418" s="1132" t="str">
        <f t="shared" si="315"/>
        <v>Nicor Gas PY11-PY14 Adjustable Goals Template_2025-03-01, Tab 5.4.1</v>
      </c>
      <c r="AP418" s="2738">
        <f>'5.4.1'!$P$7</f>
        <v>2.1563397498882169</v>
      </c>
      <c r="AQ418" s="2568" t="s">
        <v>705</v>
      </c>
      <c r="AR418" s="2505">
        <f t="shared" si="316"/>
        <v>52.096844906336841</v>
      </c>
      <c r="AS418" s="2505">
        <f t="shared" si="317"/>
        <v>30.820573360136844</v>
      </c>
      <c r="AT418" s="1132" t="str">
        <f t="shared" si="318"/>
        <v>RS-HWE-PINS-V02-150601</v>
      </c>
      <c r="AU418" s="1132" t="str">
        <f t="shared" si="319"/>
        <v>Nicor Gas PY11-PY14 Adjustable Goals Template_2025-03-01, Tab 5.4.1</v>
      </c>
      <c r="AV418" s="2247">
        <f>'5.4.1'!$P$7</f>
        <v>2.1563397498882169</v>
      </c>
      <c r="AW418" s="2568" t="s">
        <v>705</v>
      </c>
      <c r="AX418" s="1362">
        <f t="shared" si="320"/>
        <v>52.096844906336841</v>
      </c>
      <c r="AY418" s="1360">
        <f t="shared" si="321"/>
        <v>30.820573360136844</v>
      </c>
      <c r="AZ418" s="1132" t="str">
        <f t="shared" si="322"/>
        <v>RS-HWE-PINS-V02-150601</v>
      </c>
      <c r="BA418" s="1132" t="str">
        <f t="shared" si="323"/>
        <v>Nicor Gas PY11-PY14 Adjustable Goals Template_2025-03-01, Tab 5.4.1</v>
      </c>
      <c r="BB418" s="2247">
        <f>'5.4.1'!$P$7</f>
        <v>2.1563397498882169</v>
      </c>
      <c r="BC418" s="2568" t="s">
        <v>705</v>
      </c>
      <c r="BD418" s="1362">
        <f t="shared" si="324"/>
        <v>52.096844906336841</v>
      </c>
      <c r="BE418" s="1360">
        <f t="shared" si="325"/>
        <v>30.820573360136844</v>
      </c>
      <c r="BF418" s="1132" t="str">
        <f t="shared" si="326"/>
        <v>RS-HWE-PINS-V02-150601</v>
      </c>
      <c r="BG418" s="1132" t="str">
        <f t="shared" si="327"/>
        <v>Nicor Gas PY11-PY14 Adjustable Goals Template_2025-03-01, Tab 5.4.1</v>
      </c>
      <c r="BH418" s="2247">
        <f>'5.4.1'!$P$7</f>
        <v>2.1563397498882169</v>
      </c>
      <c r="BI418" s="2568" t="s">
        <v>705</v>
      </c>
      <c r="BJ418" s="1362">
        <f t="shared" si="349"/>
        <v>52.096844906336841</v>
      </c>
      <c r="BK418" s="1360">
        <f t="shared" si="328"/>
        <v>30.820573360136844</v>
      </c>
      <c r="BL418" s="1601">
        <f t="shared" si="329"/>
        <v>52.096844906336841</v>
      </c>
      <c r="BM418" s="1601">
        <f t="shared" si="330"/>
        <v>52.096844906336841</v>
      </c>
      <c r="BN418" s="1601">
        <f t="shared" si="331"/>
        <v>52.096844906336841</v>
      </c>
      <c r="BO418" s="1601">
        <f t="shared" si="332"/>
        <v>52.096844906336841</v>
      </c>
      <c r="BP418" s="1602">
        <f t="shared" si="333"/>
        <v>208.38737962534736</v>
      </c>
      <c r="BQ418" s="1629"/>
      <c r="BR418" s="1629" t="s">
        <v>703</v>
      </c>
      <c r="BS418" s="1602">
        <v>0</v>
      </c>
      <c r="BT418" s="1602">
        <v>15</v>
      </c>
      <c r="BU418" s="1602">
        <v>15</v>
      </c>
      <c r="BV418" s="1602">
        <v>15</v>
      </c>
      <c r="BW418" s="1602">
        <v>15</v>
      </c>
      <c r="BX418" s="1362">
        <f t="shared" si="350"/>
        <v>319.14407319299994</v>
      </c>
      <c r="BY418" s="1362">
        <f t="shared" si="351"/>
        <v>319.14407319299994</v>
      </c>
      <c r="BZ418" s="1362">
        <f t="shared" si="352"/>
        <v>319.14407319299994</v>
      </c>
      <c r="CA418" s="1362">
        <f t="shared" si="353"/>
        <v>319.14407319299994</v>
      </c>
      <c r="CB418" s="1362">
        <f t="shared" si="354"/>
        <v>1276.5762927719998</v>
      </c>
      <c r="CC418" s="1360">
        <v>15</v>
      </c>
      <c r="CD418" s="1360">
        <v>15</v>
      </c>
      <c r="CE418" s="1360">
        <v>15</v>
      </c>
      <c r="CF418" s="1360">
        <v>15</v>
      </c>
      <c r="CG418" s="1604">
        <f t="shared" si="334"/>
        <v>781.4526735950526</v>
      </c>
      <c r="CH418" s="1604">
        <f t="shared" si="335"/>
        <v>781.4526735950526</v>
      </c>
      <c r="CI418" s="1604">
        <f t="shared" si="336"/>
        <v>781.4526735950526</v>
      </c>
      <c r="CJ418" s="1604">
        <f t="shared" si="337"/>
        <v>781.4526735950526</v>
      </c>
      <c r="CK418" s="1521">
        <f t="shared" si="338"/>
        <v>3125.8106943802104</v>
      </c>
      <c r="CL418" s="1132">
        <v>411</v>
      </c>
      <c r="CM418" s="1132" t="s">
        <v>356</v>
      </c>
      <c r="CN418" s="1359">
        <v>1</v>
      </c>
      <c r="CO418" s="1360">
        <v>24.159850000000002</v>
      </c>
      <c r="CP418" s="1360">
        <v>24.159850000000002</v>
      </c>
      <c r="CQ418" s="1360">
        <v>24.159850000000002</v>
      </c>
      <c r="CR418" s="1360">
        <v>24.159850000000002</v>
      </c>
      <c r="CS418" s="1362">
        <f t="shared" si="339"/>
        <v>21.276271546199997</v>
      </c>
      <c r="CT418" s="1362">
        <f t="shared" si="340"/>
        <v>21.276271546199997</v>
      </c>
      <c r="CU418" s="1362">
        <f t="shared" si="341"/>
        <v>21.276271546199997</v>
      </c>
      <c r="CV418" s="1362">
        <f t="shared" si="342"/>
        <v>21.276271546199997</v>
      </c>
      <c r="CW418" s="1362">
        <f t="shared" si="343"/>
        <v>85.105086184799987</v>
      </c>
      <c r="CY418" s="2887"/>
    </row>
    <row r="419" spans="1:103" s="1143" customFormat="1" ht="46.5" x14ac:dyDescent="0.35">
      <c r="A419" s="1132" t="s">
        <v>110</v>
      </c>
      <c r="B419" s="1132" t="s">
        <v>884</v>
      </c>
      <c r="C419" s="1132" t="s">
        <v>914</v>
      </c>
      <c r="D419" s="1359" t="s">
        <v>915</v>
      </c>
      <c r="E419" s="1359">
        <v>1</v>
      </c>
      <c r="F419" s="2807" t="s">
        <v>697</v>
      </c>
      <c r="G419" s="1132" t="s">
        <v>328</v>
      </c>
      <c r="H419" s="1360">
        <v>2.1963500000000002</v>
      </c>
      <c r="I419" s="1360">
        <v>2.1963500000000002</v>
      </c>
      <c r="J419" s="1360">
        <v>2.1963500000000002</v>
      </c>
      <c r="K419" s="1360">
        <v>2.1963500000000002</v>
      </c>
      <c r="L419" s="1132" t="s">
        <v>698</v>
      </c>
      <c r="M419" s="1132" t="str">
        <f t="shared" si="305"/>
        <v>Nicor Gas PY11-PY14 Adjustable Goals Template_2025-03-01, Tab 5.4.4</v>
      </c>
      <c r="N419" s="1361">
        <v>2.7869147711999975</v>
      </c>
      <c r="O419" s="1361">
        <v>2.7869147711999975</v>
      </c>
      <c r="P419" s="1361">
        <v>2.7869147711999975</v>
      </c>
      <c r="Q419" s="1361">
        <v>2.7869147711999975</v>
      </c>
      <c r="R419" s="1781">
        <v>1</v>
      </c>
      <c r="S419" s="1781">
        <v>1</v>
      </c>
      <c r="T419" s="1781">
        <v>1</v>
      </c>
      <c r="U419" s="1781">
        <v>1</v>
      </c>
      <c r="V419" s="1781">
        <v>1</v>
      </c>
      <c r="W419" s="1781">
        <v>1</v>
      </c>
      <c r="X419" s="1781">
        <v>1</v>
      </c>
      <c r="Y419" s="1781">
        <v>1</v>
      </c>
      <c r="Z419" s="1359">
        <v>0</v>
      </c>
      <c r="AA419" s="1781">
        <f t="shared" si="306"/>
        <v>1</v>
      </c>
      <c r="AB419" s="1781">
        <f t="shared" si="307"/>
        <v>1</v>
      </c>
      <c r="AC419" s="1781">
        <f t="shared" si="308"/>
        <v>1</v>
      </c>
      <c r="AD419" s="1781">
        <f t="shared" si="309"/>
        <v>1</v>
      </c>
      <c r="AE419" s="1781">
        <f t="shared" si="310"/>
        <v>1</v>
      </c>
      <c r="AF419" s="1781">
        <f t="shared" si="311"/>
        <v>1</v>
      </c>
      <c r="AG419" s="1781">
        <f t="shared" si="312"/>
        <v>1</v>
      </c>
      <c r="AH419" s="1781">
        <f t="shared" si="313"/>
        <v>1</v>
      </c>
      <c r="AI419" s="1362">
        <f t="shared" si="344"/>
        <v>6.1210402577251148</v>
      </c>
      <c r="AJ419" s="1362">
        <f t="shared" si="345"/>
        <v>6.1210402577251148</v>
      </c>
      <c r="AK419" s="1362">
        <f t="shared" si="346"/>
        <v>6.1210402577251148</v>
      </c>
      <c r="AL419" s="1362">
        <f t="shared" si="347"/>
        <v>6.1210402577251148</v>
      </c>
      <c r="AM419" s="1362">
        <f t="shared" si="348"/>
        <v>24.484161030900459</v>
      </c>
      <c r="AN419" s="1132" t="str">
        <f t="shared" si="314"/>
        <v>RS-HWE-LFFA-V07-190101</v>
      </c>
      <c r="AO419" s="1132" t="str">
        <f t="shared" si="315"/>
        <v>Nicor Gas PY11-PY14 Adjustable Goals Template_2025-03-01, Tab 5.4.4</v>
      </c>
      <c r="AP419" s="2738">
        <f>'5.4.4'!$O$5</f>
        <v>3.0219557759999969</v>
      </c>
      <c r="AQ419" s="2568" t="s">
        <v>557</v>
      </c>
      <c r="AR419" s="2505">
        <f t="shared" si="316"/>
        <v>6.6372725686175942</v>
      </c>
      <c r="AS419" s="2247">
        <f t="shared" si="317"/>
        <v>0.51623231089247934</v>
      </c>
      <c r="AT419" s="1132" t="str">
        <f t="shared" si="318"/>
        <v>RS-HWE-LFFA-V07-190101</v>
      </c>
      <c r="AU419" s="1132" t="str">
        <f t="shared" si="319"/>
        <v>Nicor Gas PY11-PY14 Adjustable Goals Template_2025-03-01, Tab 5.4.4</v>
      </c>
      <c r="AV419" s="2247">
        <f>'5.4.4'!$O$5</f>
        <v>3.0219557759999969</v>
      </c>
      <c r="AW419" s="2568" t="s">
        <v>557</v>
      </c>
      <c r="AX419" s="1362">
        <f t="shared" si="320"/>
        <v>6.6372725686175942</v>
      </c>
      <c r="AY419" s="1360">
        <f t="shared" si="321"/>
        <v>0.51623231089247934</v>
      </c>
      <c r="AZ419" s="1132" t="str">
        <f t="shared" si="322"/>
        <v>RS-HWE-LFFA-V07-190101</v>
      </c>
      <c r="BA419" s="1132" t="str">
        <f t="shared" si="323"/>
        <v>Nicor Gas PY11-PY14 Adjustable Goals Template_2025-03-01, Tab 5.4.4</v>
      </c>
      <c r="BB419" s="2247">
        <f>'5.4.4'!$O$5</f>
        <v>3.0219557759999969</v>
      </c>
      <c r="BC419" s="2568" t="s">
        <v>557</v>
      </c>
      <c r="BD419" s="1362">
        <f t="shared" si="324"/>
        <v>6.6372725686175942</v>
      </c>
      <c r="BE419" s="1360">
        <f t="shared" si="325"/>
        <v>0.51623231089247934</v>
      </c>
      <c r="BF419" s="1132" t="str">
        <f t="shared" si="326"/>
        <v>RS-HWE-LFFA-V07-190101</v>
      </c>
      <c r="BG419" s="1132" t="str">
        <f t="shared" si="327"/>
        <v>Nicor Gas PY11-PY14 Adjustable Goals Template_2025-03-01, Tab 5.4.4</v>
      </c>
      <c r="BH419" s="2247">
        <f>'5.4.4'!$O$5</f>
        <v>3.0219557759999969</v>
      </c>
      <c r="BI419" s="2568" t="s">
        <v>557</v>
      </c>
      <c r="BJ419" s="1362">
        <f t="shared" si="349"/>
        <v>6.6372725686175942</v>
      </c>
      <c r="BK419" s="1360">
        <f t="shared" si="328"/>
        <v>0.51623231089247934</v>
      </c>
      <c r="BL419" s="1601">
        <f t="shared" si="329"/>
        <v>6.6372725686175942</v>
      </c>
      <c r="BM419" s="1601">
        <f t="shared" si="330"/>
        <v>6.6372725686175942</v>
      </c>
      <c r="BN419" s="1601">
        <f t="shared" si="331"/>
        <v>6.6372725686175942</v>
      </c>
      <c r="BO419" s="1601">
        <f t="shared" si="332"/>
        <v>6.6372725686175942</v>
      </c>
      <c r="BP419" s="1602">
        <f t="shared" si="333"/>
        <v>26.549090274470377</v>
      </c>
      <c r="BQ419" s="1629"/>
      <c r="BR419" s="1629" t="s">
        <v>697</v>
      </c>
      <c r="BS419" s="1602">
        <v>0</v>
      </c>
      <c r="BT419" s="1602">
        <v>10</v>
      </c>
      <c r="BU419" s="1602">
        <v>10</v>
      </c>
      <c r="BV419" s="1602">
        <v>10</v>
      </c>
      <c r="BW419" s="1602">
        <v>10</v>
      </c>
      <c r="BX419" s="1362">
        <f t="shared" si="350"/>
        <v>61.210402577251145</v>
      </c>
      <c r="BY419" s="1362">
        <f t="shared" si="351"/>
        <v>61.210402577251145</v>
      </c>
      <c r="BZ419" s="1362">
        <f t="shared" si="352"/>
        <v>61.210402577251145</v>
      </c>
      <c r="CA419" s="1362">
        <f t="shared" si="353"/>
        <v>61.210402577251145</v>
      </c>
      <c r="CB419" s="1362">
        <f t="shared" si="354"/>
        <v>244.84161030900458</v>
      </c>
      <c r="CC419" s="1360">
        <v>10</v>
      </c>
      <c r="CD419" s="1360">
        <v>10</v>
      </c>
      <c r="CE419" s="1360">
        <v>10</v>
      </c>
      <c r="CF419" s="1360">
        <v>10</v>
      </c>
      <c r="CG419" s="1604">
        <f t="shared" si="334"/>
        <v>66.37272568617594</v>
      </c>
      <c r="CH419" s="1604">
        <f t="shared" si="335"/>
        <v>66.37272568617594</v>
      </c>
      <c r="CI419" s="1604">
        <f t="shared" si="336"/>
        <v>66.37272568617594</v>
      </c>
      <c r="CJ419" s="1604">
        <f t="shared" si="337"/>
        <v>66.37272568617594</v>
      </c>
      <c r="CK419" s="1521">
        <f t="shared" si="338"/>
        <v>265.49090274470376</v>
      </c>
      <c r="CL419" s="1132">
        <v>412</v>
      </c>
      <c r="CM419" s="1132" t="s">
        <v>328</v>
      </c>
      <c r="CN419" s="1359">
        <v>1</v>
      </c>
      <c r="CO419" s="1360">
        <v>2.1963500000000002</v>
      </c>
      <c r="CP419" s="1360">
        <v>2.1963500000000002</v>
      </c>
      <c r="CQ419" s="1360">
        <v>2.1963500000000002</v>
      </c>
      <c r="CR419" s="1360">
        <v>2.1963500000000002</v>
      </c>
      <c r="CS419" s="1362">
        <f t="shared" si="339"/>
        <v>6.1210402577251148</v>
      </c>
      <c r="CT419" s="1362">
        <f t="shared" si="340"/>
        <v>6.1210402577251148</v>
      </c>
      <c r="CU419" s="1362">
        <f t="shared" si="341"/>
        <v>6.1210402577251148</v>
      </c>
      <c r="CV419" s="1362">
        <f t="shared" si="342"/>
        <v>6.1210402577251148</v>
      </c>
      <c r="CW419" s="1362">
        <f t="shared" si="343"/>
        <v>24.484161030900459</v>
      </c>
      <c r="CY419" s="2887"/>
    </row>
    <row r="420" spans="1:103" s="1143" customFormat="1" ht="44.25" customHeight="1" x14ac:dyDescent="0.35">
      <c r="A420" s="1132" t="s">
        <v>110</v>
      </c>
      <c r="B420" s="1132" t="s">
        <v>884</v>
      </c>
      <c r="C420" s="1132" t="s">
        <v>916</v>
      </c>
      <c r="D420" s="1359" t="s">
        <v>917</v>
      </c>
      <c r="E420" s="1359">
        <v>1</v>
      </c>
      <c r="F420" s="2564" t="s">
        <v>708</v>
      </c>
      <c r="G420" s="1132" t="s">
        <v>328</v>
      </c>
      <c r="H420" s="1360">
        <v>1.0981750000000001</v>
      </c>
      <c r="I420" s="1360">
        <v>1.0981750000000001</v>
      </c>
      <c r="J420" s="1360">
        <v>1.0981750000000001</v>
      </c>
      <c r="K420" s="1360">
        <v>1.0981750000000001</v>
      </c>
      <c r="L420" s="1132" t="s">
        <v>709</v>
      </c>
      <c r="M420" s="1132" t="str">
        <f t="shared" si="305"/>
        <v>Nicor Gas PY11-PY14 Adjustable Goals Template_2025-03-01, Tab 5.3.11</v>
      </c>
      <c r="N420" s="1361">
        <v>62.31</v>
      </c>
      <c r="O420" s="1361">
        <v>62.31</v>
      </c>
      <c r="P420" s="1361">
        <v>62.31</v>
      </c>
      <c r="Q420" s="1361">
        <v>62.31</v>
      </c>
      <c r="R420" s="1781">
        <v>1</v>
      </c>
      <c r="S420" s="1781">
        <v>1</v>
      </c>
      <c r="T420" s="1781">
        <v>1</v>
      </c>
      <c r="U420" s="1781">
        <v>1</v>
      </c>
      <c r="V420" s="1781">
        <v>1</v>
      </c>
      <c r="W420" s="1781">
        <v>1</v>
      </c>
      <c r="X420" s="1781">
        <v>1</v>
      </c>
      <c r="Y420" s="1781">
        <v>1</v>
      </c>
      <c r="Z420" s="1359">
        <v>0</v>
      </c>
      <c r="AA420" s="1781">
        <f t="shared" si="306"/>
        <v>1</v>
      </c>
      <c r="AB420" s="1781">
        <f t="shared" si="307"/>
        <v>1</v>
      </c>
      <c r="AC420" s="1781">
        <f t="shared" si="308"/>
        <v>1</v>
      </c>
      <c r="AD420" s="1781">
        <f t="shared" si="309"/>
        <v>1</v>
      </c>
      <c r="AE420" s="1781">
        <f t="shared" si="310"/>
        <v>1</v>
      </c>
      <c r="AF420" s="1781">
        <f t="shared" si="311"/>
        <v>1</v>
      </c>
      <c r="AG420" s="1781">
        <f t="shared" si="312"/>
        <v>1</v>
      </c>
      <c r="AH420" s="1781">
        <f t="shared" si="313"/>
        <v>1</v>
      </c>
      <c r="AI420" s="1362">
        <f t="shared" si="344"/>
        <v>68.427284250000014</v>
      </c>
      <c r="AJ420" s="1362">
        <f t="shared" si="345"/>
        <v>68.427284250000014</v>
      </c>
      <c r="AK420" s="1362">
        <f t="shared" si="346"/>
        <v>68.427284250000014</v>
      </c>
      <c r="AL420" s="1362">
        <f t="shared" si="347"/>
        <v>68.427284250000014</v>
      </c>
      <c r="AM420" s="1362">
        <f t="shared" si="348"/>
        <v>273.70913700000006</v>
      </c>
      <c r="AN420" s="1132" t="str">
        <f t="shared" si="314"/>
        <v>RS-HVC-PROG-V05-190101</v>
      </c>
      <c r="AO420" s="1132" t="str">
        <f t="shared" si="315"/>
        <v>Nicor Gas PY11-PY14 Adjustable Goals Template_2025-03-01, Tab 5.3.11</v>
      </c>
      <c r="AP420" s="2247">
        <f>'5.3.11'!$Q$4</f>
        <v>62.31</v>
      </c>
      <c r="AQ420" s="2505"/>
      <c r="AR420" s="2505">
        <f t="shared" si="316"/>
        <v>68.427284250000014</v>
      </c>
      <c r="AS420" s="2505">
        <f t="shared" si="317"/>
        <v>0</v>
      </c>
      <c r="AT420" s="1132" t="str">
        <f t="shared" si="318"/>
        <v>RS-HVC-PROG-V05-190101</v>
      </c>
      <c r="AU420" s="1132" t="str">
        <f t="shared" si="319"/>
        <v>Nicor Gas PY11-PY14 Adjustable Goals Template_2025-03-01, Tab 5.3.11</v>
      </c>
      <c r="AV420" s="2247">
        <f>'5.3.11'!$Q$4</f>
        <v>62.31</v>
      </c>
      <c r="AW420" s="2505"/>
      <c r="AX420" s="1362">
        <f t="shared" si="320"/>
        <v>68.427284250000014</v>
      </c>
      <c r="AY420" s="1360">
        <f t="shared" si="321"/>
        <v>0</v>
      </c>
      <c r="AZ420" s="1132" t="str">
        <f t="shared" si="322"/>
        <v>RS-HVC-PROG-V05-190101</v>
      </c>
      <c r="BA420" s="1132" t="str">
        <f t="shared" si="323"/>
        <v>Nicor Gas PY11-PY14 Adjustable Goals Template_2025-03-01, Tab 5.3.11</v>
      </c>
      <c r="BB420" s="2247">
        <f>'5.3.11'!$Q$4</f>
        <v>62.31</v>
      </c>
      <c r="BC420" s="2505"/>
      <c r="BD420" s="1362">
        <f t="shared" si="324"/>
        <v>68.427284250000014</v>
      </c>
      <c r="BE420" s="1360">
        <f t="shared" si="325"/>
        <v>0</v>
      </c>
      <c r="BF420" s="1132" t="str">
        <f t="shared" si="326"/>
        <v>RS-HVC-PROG-V05-190101</v>
      </c>
      <c r="BG420" s="1132" t="str">
        <f t="shared" si="327"/>
        <v>Nicor Gas PY11-PY14 Adjustable Goals Template_2025-03-01, Tab 5.3.11</v>
      </c>
      <c r="BH420" s="2247">
        <f>'5.3.11'!$Q$4</f>
        <v>62.31</v>
      </c>
      <c r="BI420" s="2505"/>
      <c r="BJ420" s="1362">
        <f t="shared" si="349"/>
        <v>68.427284250000014</v>
      </c>
      <c r="BK420" s="1360">
        <f t="shared" si="328"/>
        <v>0</v>
      </c>
      <c r="BL420" s="1601">
        <f t="shared" si="329"/>
        <v>68.427284250000014</v>
      </c>
      <c r="BM420" s="1601">
        <f t="shared" si="330"/>
        <v>68.427284250000014</v>
      </c>
      <c r="BN420" s="1601">
        <f t="shared" si="331"/>
        <v>68.427284250000014</v>
      </c>
      <c r="BO420" s="1601">
        <f t="shared" si="332"/>
        <v>68.427284250000014</v>
      </c>
      <c r="BP420" s="1602">
        <f t="shared" si="333"/>
        <v>273.70913700000006</v>
      </c>
      <c r="BQ420" s="1629"/>
      <c r="BR420" s="1629" t="s">
        <v>708</v>
      </c>
      <c r="BS420" s="1602">
        <v>0</v>
      </c>
      <c r="BT420" s="1602">
        <v>8</v>
      </c>
      <c r="BU420" s="1602">
        <v>8</v>
      </c>
      <c r="BV420" s="1602">
        <v>8</v>
      </c>
      <c r="BW420" s="1602">
        <v>8</v>
      </c>
      <c r="BX420" s="1362">
        <f t="shared" si="350"/>
        <v>547.41827400000011</v>
      </c>
      <c r="BY420" s="1362">
        <f t="shared" si="351"/>
        <v>547.41827400000011</v>
      </c>
      <c r="BZ420" s="1362">
        <f t="shared" si="352"/>
        <v>547.41827400000011</v>
      </c>
      <c r="CA420" s="1362">
        <f t="shared" si="353"/>
        <v>547.41827400000011</v>
      </c>
      <c r="CB420" s="1362">
        <f t="shared" si="354"/>
        <v>2189.6730960000004</v>
      </c>
      <c r="CC420" s="1360">
        <v>8</v>
      </c>
      <c r="CD420" s="1360">
        <v>8</v>
      </c>
      <c r="CE420" s="1360">
        <v>8</v>
      </c>
      <c r="CF420" s="1360">
        <v>8</v>
      </c>
      <c r="CG420" s="1604">
        <f t="shared" si="334"/>
        <v>547.41827400000011</v>
      </c>
      <c r="CH420" s="1604">
        <f t="shared" si="335"/>
        <v>547.41827400000011</v>
      </c>
      <c r="CI420" s="1604">
        <f t="shared" si="336"/>
        <v>547.41827400000011</v>
      </c>
      <c r="CJ420" s="1604">
        <f t="shared" si="337"/>
        <v>547.41827400000011</v>
      </c>
      <c r="CK420" s="1521">
        <f t="shared" si="338"/>
        <v>2189.6730960000004</v>
      </c>
      <c r="CL420" s="1132">
        <v>413</v>
      </c>
      <c r="CM420" s="1132" t="s">
        <v>328</v>
      </c>
      <c r="CN420" s="1359">
        <v>1</v>
      </c>
      <c r="CO420" s="1360">
        <v>1.0981750000000001</v>
      </c>
      <c r="CP420" s="1360">
        <v>1.0981750000000001</v>
      </c>
      <c r="CQ420" s="1360">
        <v>1.0981750000000001</v>
      </c>
      <c r="CR420" s="1360">
        <v>1.0981750000000001</v>
      </c>
      <c r="CS420" s="1362">
        <f t="shared" si="339"/>
        <v>68.427284250000014</v>
      </c>
      <c r="CT420" s="1362">
        <f t="shared" si="340"/>
        <v>68.427284250000014</v>
      </c>
      <c r="CU420" s="1362">
        <f t="shared" si="341"/>
        <v>68.427284250000014</v>
      </c>
      <c r="CV420" s="1362">
        <f t="shared" si="342"/>
        <v>68.427284250000014</v>
      </c>
      <c r="CW420" s="1362">
        <f t="shared" si="343"/>
        <v>273.70913700000006</v>
      </c>
      <c r="CY420" s="2887"/>
    </row>
    <row r="421" spans="1:103" s="1143" customFormat="1" ht="46.5" x14ac:dyDescent="0.35">
      <c r="A421" s="1132" t="s">
        <v>110</v>
      </c>
      <c r="B421" s="1132" t="s">
        <v>884</v>
      </c>
      <c r="C421" s="1132" t="s">
        <v>918</v>
      </c>
      <c r="D421" s="1359" t="s">
        <v>919</v>
      </c>
      <c r="E421" s="1359">
        <v>1</v>
      </c>
      <c r="F421" s="2564" t="s">
        <v>794</v>
      </c>
      <c r="G421" s="1132" t="s">
        <v>328</v>
      </c>
      <c r="H421" s="1360">
        <v>1.0981750000000001</v>
      </c>
      <c r="I421" s="1360">
        <v>1.0981750000000001</v>
      </c>
      <c r="J421" s="1360">
        <v>1.0981750000000001</v>
      </c>
      <c r="K421" s="1360">
        <v>1.0981750000000001</v>
      </c>
      <c r="L421" s="1132" t="s">
        <v>795</v>
      </c>
      <c r="M421" s="1132" t="str">
        <f t="shared" si="305"/>
        <v>Nicor Gas PY11-PY14 Adjustable Goals Template_2025-03-01, Tab 5.6.6</v>
      </c>
      <c r="N421" s="1361">
        <v>14.000961671469589</v>
      </c>
      <c r="O421" s="1361">
        <v>14.000961671469589</v>
      </c>
      <c r="P421" s="1361">
        <v>14.000961671469589</v>
      </c>
      <c r="Q421" s="1361">
        <v>14.000961671469589</v>
      </c>
      <c r="R421" s="1781">
        <v>1</v>
      </c>
      <c r="S421" s="1781">
        <v>1</v>
      </c>
      <c r="T421" s="1781">
        <v>1</v>
      </c>
      <c r="U421" s="1781">
        <v>1</v>
      </c>
      <c r="V421" s="1781">
        <v>1</v>
      </c>
      <c r="W421" s="1781">
        <v>1</v>
      </c>
      <c r="X421" s="1781">
        <v>1</v>
      </c>
      <c r="Y421" s="1781">
        <v>1</v>
      </c>
      <c r="Z421" s="1359">
        <v>0</v>
      </c>
      <c r="AA421" s="1781">
        <f t="shared" si="306"/>
        <v>1</v>
      </c>
      <c r="AB421" s="1781">
        <f t="shared" si="307"/>
        <v>1</v>
      </c>
      <c r="AC421" s="1781">
        <f t="shared" si="308"/>
        <v>1</v>
      </c>
      <c r="AD421" s="1781">
        <f t="shared" si="309"/>
        <v>1</v>
      </c>
      <c r="AE421" s="1781">
        <f t="shared" si="310"/>
        <v>1</v>
      </c>
      <c r="AF421" s="1781">
        <f t="shared" si="311"/>
        <v>1</v>
      </c>
      <c r="AG421" s="1781">
        <f t="shared" si="312"/>
        <v>1</v>
      </c>
      <c r="AH421" s="1781">
        <f t="shared" si="313"/>
        <v>1</v>
      </c>
      <c r="AI421" s="1362">
        <f t="shared" si="344"/>
        <v>15.375506083566119</v>
      </c>
      <c r="AJ421" s="1362">
        <f t="shared" si="345"/>
        <v>15.375506083566119</v>
      </c>
      <c r="AK421" s="1362">
        <f t="shared" si="346"/>
        <v>15.375506083566119</v>
      </c>
      <c r="AL421" s="1362">
        <f t="shared" si="347"/>
        <v>15.375506083566119</v>
      </c>
      <c r="AM421" s="1362">
        <f t="shared" si="348"/>
        <v>61.502024334264476</v>
      </c>
      <c r="AN421" s="1132" t="str">
        <f t="shared" si="314"/>
        <v>RS-SHL-RINS-V01-190101</v>
      </c>
      <c r="AO421" s="1132" t="str">
        <f t="shared" si="315"/>
        <v>Nicor Gas PY11-PY14 Adjustable Goals Template_2025-03-01, Tab 5.6.6</v>
      </c>
      <c r="AP421" s="2505">
        <f>'5.6.6'!$X$5</f>
        <v>14.000961671469589</v>
      </c>
      <c r="AQ421" s="2505"/>
      <c r="AR421" s="2505">
        <f t="shared" si="316"/>
        <v>15.375506083566119</v>
      </c>
      <c r="AS421" s="2505">
        <f t="shared" si="317"/>
        <v>0</v>
      </c>
      <c r="AT421" s="1132" t="str">
        <f t="shared" si="318"/>
        <v>RS-SHL-RINS-V01-190101</v>
      </c>
      <c r="AU421" s="1132" t="str">
        <f t="shared" si="319"/>
        <v>Nicor Gas PY11-PY14 Adjustable Goals Template_2025-03-01, Tab 5.6.6</v>
      </c>
      <c r="AV421" s="2505">
        <f>'5.6.6'!$X$5</f>
        <v>14.000961671469589</v>
      </c>
      <c r="AW421" s="2505"/>
      <c r="AX421" s="1362">
        <f t="shared" si="320"/>
        <v>15.375506083566119</v>
      </c>
      <c r="AY421" s="1360">
        <f t="shared" si="321"/>
        <v>0</v>
      </c>
      <c r="AZ421" s="1132" t="str">
        <f t="shared" si="322"/>
        <v>RS-SHL-RINS-V01-190101</v>
      </c>
      <c r="BA421" s="1132" t="str">
        <f t="shared" si="323"/>
        <v>Nicor Gas PY11-PY14 Adjustable Goals Template_2025-03-01, Tab 5.6.6</v>
      </c>
      <c r="BB421" s="2505">
        <f>'5.6.6'!$X$5</f>
        <v>14.000961671469589</v>
      </c>
      <c r="BC421" s="2505"/>
      <c r="BD421" s="1362">
        <f t="shared" si="324"/>
        <v>15.375506083566119</v>
      </c>
      <c r="BE421" s="1360">
        <f t="shared" si="325"/>
        <v>0</v>
      </c>
      <c r="BF421" s="1132" t="str">
        <f t="shared" si="326"/>
        <v>RS-SHL-RINS-V01-190101</v>
      </c>
      <c r="BG421" s="1132" t="str">
        <f t="shared" si="327"/>
        <v>Nicor Gas PY11-PY14 Adjustable Goals Template_2025-03-01, Tab 5.6.6</v>
      </c>
      <c r="BH421" s="2505">
        <f>'5.6.6'!$X$5</f>
        <v>14.000961671469589</v>
      </c>
      <c r="BI421" s="2505"/>
      <c r="BJ421" s="1362">
        <f t="shared" si="349"/>
        <v>15.375506083566119</v>
      </c>
      <c r="BK421" s="1360">
        <f t="shared" si="328"/>
        <v>0</v>
      </c>
      <c r="BL421" s="1601">
        <f t="shared" si="329"/>
        <v>15.375506083566119</v>
      </c>
      <c r="BM421" s="1601">
        <f t="shared" si="330"/>
        <v>15.375506083566119</v>
      </c>
      <c r="BN421" s="1601">
        <f t="shared" si="331"/>
        <v>15.375506083566119</v>
      </c>
      <c r="BO421" s="1601">
        <f t="shared" si="332"/>
        <v>15.375506083566119</v>
      </c>
      <c r="BP421" s="1602">
        <f t="shared" si="333"/>
        <v>61.502024334264476</v>
      </c>
      <c r="BQ421" s="1629"/>
      <c r="BR421" s="1629" t="s">
        <v>794</v>
      </c>
      <c r="BS421" s="2773">
        <v>1</v>
      </c>
      <c r="BT421" s="1602">
        <v>19.41176471</v>
      </c>
      <c r="BU421" s="1602">
        <v>19.41176471</v>
      </c>
      <c r="BV421" s="1602">
        <v>19.41176471</v>
      </c>
      <c r="BW421" s="1602">
        <v>19.41176471</v>
      </c>
      <c r="BX421" s="1362">
        <f t="shared" si="350"/>
        <v>298.46570639135911</v>
      </c>
      <c r="BY421" s="1362">
        <f t="shared" si="351"/>
        <v>298.46570639135911</v>
      </c>
      <c r="BZ421" s="1362">
        <f t="shared" si="352"/>
        <v>298.46570639135911</v>
      </c>
      <c r="CA421" s="1362">
        <f t="shared" si="353"/>
        <v>298.46570639135911</v>
      </c>
      <c r="CB421" s="1362">
        <f t="shared" si="354"/>
        <v>1193.8628255654364</v>
      </c>
      <c r="CC421" s="2775">
        <v>20</v>
      </c>
      <c r="CD421" s="2775">
        <v>20</v>
      </c>
      <c r="CE421" s="2775">
        <v>20</v>
      </c>
      <c r="CF421" s="2775">
        <v>20</v>
      </c>
      <c r="CG421" s="1604">
        <f t="shared" si="334"/>
        <v>307.51012167132239</v>
      </c>
      <c r="CH421" s="1604">
        <f t="shared" si="335"/>
        <v>307.51012167132239</v>
      </c>
      <c r="CI421" s="1604">
        <f t="shared" si="336"/>
        <v>307.51012167132239</v>
      </c>
      <c r="CJ421" s="1604">
        <f t="shared" si="337"/>
        <v>307.51012167132239</v>
      </c>
      <c r="CK421" s="1521">
        <f t="shared" si="338"/>
        <v>1230.0404866852896</v>
      </c>
      <c r="CL421" s="1132">
        <v>414</v>
      </c>
      <c r="CM421" s="1132" t="s">
        <v>328</v>
      </c>
      <c r="CN421" s="1359">
        <v>1</v>
      </c>
      <c r="CO421" s="1360">
        <v>1.0981750000000001</v>
      </c>
      <c r="CP421" s="1360">
        <v>1.0981750000000001</v>
      </c>
      <c r="CQ421" s="1360">
        <v>1.0981750000000001</v>
      </c>
      <c r="CR421" s="1360">
        <v>1.0981750000000001</v>
      </c>
      <c r="CS421" s="1362">
        <f t="shared" si="339"/>
        <v>15.375506083566119</v>
      </c>
      <c r="CT421" s="1362">
        <f t="shared" si="340"/>
        <v>15.375506083566119</v>
      </c>
      <c r="CU421" s="1362">
        <f t="shared" si="341"/>
        <v>15.375506083566119</v>
      </c>
      <c r="CV421" s="1362">
        <f t="shared" si="342"/>
        <v>15.375506083566119</v>
      </c>
      <c r="CW421" s="1362">
        <f t="shared" si="343"/>
        <v>61.502024334264476</v>
      </c>
      <c r="CY421" s="2887"/>
    </row>
    <row r="422" spans="1:103" s="1143" customFormat="1" ht="46.5" x14ac:dyDescent="0.35">
      <c r="A422" s="1132" t="s">
        <v>110</v>
      </c>
      <c r="B422" s="1132" t="s">
        <v>884</v>
      </c>
      <c r="C422" s="1132" t="s">
        <v>920</v>
      </c>
      <c r="D422" s="1359" t="s">
        <v>921</v>
      </c>
      <c r="E422" s="1359">
        <v>1</v>
      </c>
      <c r="F422" s="2807" t="s">
        <v>691</v>
      </c>
      <c r="G422" s="1132" t="s">
        <v>328</v>
      </c>
      <c r="H422" s="1360">
        <v>3.2945250000000006</v>
      </c>
      <c r="I422" s="1360">
        <v>3.2945250000000006</v>
      </c>
      <c r="J422" s="1360">
        <v>3.2945250000000006</v>
      </c>
      <c r="K422" s="1360">
        <v>3.2945250000000006</v>
      </c>
      <c r="L422" s="1132" t="s">
        <v>692</v>
      </c>
      <c r="M422" s="1132" t="str">
        <f t="shared" si="305"/>
        <v>Nicor Gas PY11-PY14 Adjustable Goals Template_2025-03-01, Tab 5.4.5</v>
      </c>
      <c r="N422" s="2245">
        <v>8.7915245234198895</v>
      </c>
      <c r="O422" s="1361">
        <v>8.7915245234198895</v>
      </c>
      <c r="P422" s="1361">
        <v>8.7915245234198895</v>
      </c>
      <c r="Q422" s="1361">
        <v>8.7915245234198895</v>
      </c>
      <c r="R422" s="1781">
        <v>1</v>
      </c>
      <c r="S422" s="1781">
        <v>1</v>
      </c>
      <c r="T422" s="1781">
        <v>1</v>
      </c>
      <c r="U422" s="1781">
        <v>1</v>
      </c>
      <c r="V422" s="1781">
        <v>1</v>
      </c>
      <c r="W422" s="1781">
        <v>1</v>
      </c>
      <c r="X422" s="1781">
        <v>1</v>
      </c>
      <c r="Y422" s="1781">
        <v>1</v>
      </c>
      <c r="Z422" s="1359">
        <v>0</v>
      </c>
      <c r="AA422" s="1781">
        <f t="shared" si="306"/>
        <v>1</v>
      </c>
      <c r="AB422" s="1781">
        <f t="shared" si="307"/>
        <v>1</v>
      </c>
      <c r="AC422" s="1781">
        <f t="shared" si="308"/>
        <v>1</v>
      </c>
      <c r="AD422" s="1781">
        <f t="shared" si="309"/>
        <v>1</v>
      </c>
      <c r="AE422" s="1781">
        <f t="shared" si="310"/>
        <v>1</v>
      </c>
      <c r="AF422" s="1781">
        <f t="shared" si="311"/>
        <v>1</v>
      </c>
      <c r="AG422" s="1781">
        <f t="shared" si="312"/>
        <v>1</v>
      </c>
      <c r="AH422" s="1781">
        <f t="shared" si="313"/>
        <v>1</v>
      </c>
      <c r="AI422" s="1362">
        <f t="shared" si="344"/>
        <v>28.963897330519917</v>
      </c>
      <c r="AJ422" s="1362">
        <f t="shared" si="345"/>
        <v>28.963897330519917</v>
      </c>
      <c r="AK422" s="1362">
        <f t="shared" si="346"/>
        <v>28.963897330519917</v>
      </c>
      <c r="AL422" s="1362">
        <f t="shared" si="347"/>
        <v>28.963897330519917</v>
      </c>
      <c r="AM422" s="1362">
        <f t="shared" si="348"/>
        <v>115.85558932207967</v>
      </c>
      <c r="AN422" s="1132" t="str">
        <f t="shared" si="314"/>
        <v>RS-HWE-LFSH-V06-190101</v>
      </c>
      <c r="AO422" s="1132" t="str">
        <f t="shared" si="315"/>
        <v>Nicor Gas PY11-PY14 Adjustable Goals Template_2025-03-01, Tab 5.4.5</v>
      </c>
      <c r="AP422" s="2737">
        <f>'5.4.5'!$P$4</f>
        <v>9.4758946959016797</v>
      </c>
      <c r="AQ422" s="2568" t="s">
        <v>557</v>
      </c>
      <c r="AR422" s="2505">
        <f t="shared" si="316"/>
        <v>31.218571973015486</v>
      </c>
      <c r="AS422" s="2505">
        <f t="shared" si="317"/>
        <v>2.2546746424955693</v>
      </c>
      <c r="AT422" s="1132" t="str">
        <f t="shared" si="318"/>
        <v>RS-HWE-LFSH-V06-190101</v>
      </c>
      <c r="AU422" s="1132" t="str">
        <f t="shared" si="319"/>
        <v>Nicor Gas PY11-PY14 Adjustable Goals Template_2025-03-01, Tab 5.4.5</v>
      </c>
      <c r="AV422" s="2508">
        <f>'5.4.5'!$P$4</f>
        <v>9.4758946959016797</v>
      </c>
      <c r="AW422" s="2568" t="s">
        <v>557</v>
      </c>
      <c r="AX422" s="1362">
        <f t="shared" si="320"/>
        <v>31.218571973015486</v>
      </c>
      <c r="AY422" s="1360">
        <f t="shared" si="321"/>
        <v>2.2546746424955693</v>
      </c>
      <c r="AZ422" s="1132" t="str">
        <f t="shared" si="322"/>
        <v>RS-HWE-LFSH-V06-190101</v>
      </c>
      <c r="BA422" s="1132" t="str">
        <f t="shared" si="323"/>
        <v>Nicor Gas PY11-PY14 Adjustable Goals Template_2025-03-01, Tab 5.4.5</v>
      </c>
      <c r="BB422" s="2508">
        <f>'5.4.5'!$P$4</f>
        <v>9.4758946959016797</v>
      </c>
      <c r="BC422" s="2568" t="s">
        <v>557</v>
      </c>
      <c r="BD422" s="1362">
        <f t="shared" si="324"/>
        <v>31.218571973015486</v>
      </c>
      <c r="BE422" s="1360">
        <f t="shared" si="325"/>
        <v>2.2546746424955693</v>
      </c>
      <c r="BF422" s="1132" t="str">
        <f t="shared" si="326"/>
        <v>RS-HWE-LFSH-V06-190101</v>
      </c>
      <c r="BG422" s="1132" t="str">
        <f t="shared" si="327"/>
        <v>Nicor Gas PY11-PY14 Adjustable Goals Template_2025-03-01, Tab 5.4.5</v>
      </c>
      <c r="BH422" s="2508">
        <f>'5.4.5'!$P$4</f>
        <v>9.4758946959016797</v>
      </c>
      <c r="BI422" s="2568" t="s">
        <v>557</v>
      </c>
      <c r="BJ422" s="1362">
        <f t="shared" si="349"/>
        <v>31.218571973015486</v>
      </c>
      <c r="BK422" s="1360">
        <f t="shared" si="328"/>
        <v>2.2546746424955693</v>
      </c>
      <c r="BL422" s="1601">
        <f t="shared" si="329"/>
        <v>31.218571973015486</v>
      </c>
      <c r="BM422" s="1601">
        <f t="shared" si="330"/>
        <v>31.218571973015486</v>
      </c>
      <c r="BN422" s="1601">
        <f t="shared" si="331"/>
        <v>31.218571973015486</v>
      </c>
      <c r="BO422" s="1601">
        <f t="shared" si="332"/>
        <v>31.218571973015486</v>
      </c>
      <c r="BP422" s="1602">
        <f t="shared" si="333"/>
        <v>124.87428789206194</v>
      </c>
      <c r="BQ422" s="1629"/>
      <c r="BR422" s="1629" t="s">
        <v>691</v>
      </c>
      <c r="BS422" s="1602">
        <v>0</v>
      </c>
      <c r="BT422" s="1602">
        <v>10</v>
      </c>
      <c r="BU422" s="1602">
        <v>10</v>
      </c>
      <c r="BV422" s="1602">
        <v>10</v>
      </c>
      <c r="BW422" s="1602">
        <v>10</v>
      </c>
      <c r="BX422" s="1362">
        <f t="shared" si="350"/>
        <v>289.63897330519916</v>
      </c>
      <c r="BY422" s="1362">
        <f t="shared" si="351"/>
        <v>289.63897330519916</v>
      </c>
      <c r="BZ422" s="1362">
        <f t="shared" si="352"/>
        <v>289.63897330519916</v>
      </c>
      <c r="CA422" s="1362">
        <f t="shared" si="353"/>
        <v>289.63897330519916</v>
      </c>
      <c r="CB422" s="1362">
        <f t="shared" si="354"/>
        <v>1158.5558932207966</v>
      </c>
      <c r="CC422" s="1360">
        <v>10</v>
      </c>
      <c r="CD422" s="1360">
        <v>10</v>
      </c>
      <c r="CE422" s="1360">
        <v>10</v>
      </c>
      <c r="CF422" s="1360">
        <v>10</v>
      </c>
      <c r="CG422" s="1604">
        <f t="shared" si="334"/>
        <v>312.18571973015486</v>
      </c>
      <c r="CH422" s="1604">
        <f t="shared" si="335"/>
        <v>312.18571973015486</v>
      </c>
      <c r="CI422" s="1604">
        <f t="shared" si="336"/>
        <v>312.18571973015486</v>
      </c>
      <c r="CJ422" s="1604">
        <f t="shared" si="337"/>
        <v>312.18571973015486</v>
      </c>
      <c r="CK422" s="1521">
        <f t="shared" si="338"/>
        <v>1248.7428789206194</v>
      </c>
      <c r="CL422" s="1132">
        <v>415</v>
      </c>
      <c r="CM422" s="1132" t="s">
        <v>328</v>
      </c>
      <c r="CN422" s="1359">
        <v>1</v>
      </c>
      <c r="CO422" s="1360">
        <v>3.2945250000000006</v>
      </c>
      <c r="CP422" s="1360">
        <v>3.2945250000000006</v>
      </c>
      <c r="CQ422" s="1360">
        <v>3.2945250000000006</v>
      </c>
      <c r="CR422" s="1360">
        <v>3.2945250000000006</v>
      </c>
      <c r="CS422" s="1362">
        <f t="shared" si="339"/>
        <v>28.963897330519917</v>
      </c>
      <c r="CT422" s="1362">
        <f t="shared" si="340"/>
        <v>28.963897330519917</v>
      </c>
      <c r="CU422" s="1362">
        <f t="shared" si="341"/>
        <v>28.963897330519917</v>
      </c>
      <c r="CV422" s="1362">
        <f t="shared" si="342"/>
        <v>28.963897330519917</v>
      </c>
      <c r="CW422" s="1362">
        <f t="shared" si="343"/>
        <v>115.85558932207967</v>
      </c>
      <c r="CY422" s="2887"/>
    </row>
    <row r="423" spans="1:103" s="1143" customFormat="1" ht="46.5" x14ac:dyDescent="0.35">
      <c r="A423" s="1132" t="s">
        <v>110</v>
      </c>
      <c r="B423" s="1132" t="s">
        <v>884</v>
      </c>
      <c r="C423" s="1132" t="s">
        <v>477</v>
      </c>
      <c r="D423" s="1359" t="s">
        <v>478</v>
      </c>
      <c r="E423" s="1359">
        <v>1</v>
      </c>
      <c r="F423" s="2807" t="s">
        <v>479</v>
      </c>
      <c r="G423" s="1132" t="s">
        <v>356</v>
      </c>
      <c r="H423" s="1360">
        <v>1.0981750000000001</v>
      </c>
      <c r="I423" s="1360">
        <v>1.0981750000000001</v>
      </c>
      <c r="J423" s="1360">
        <v>1.0981750000000001</v>
      </c>
      <c r="K423" s="1360">
        <v>1.0981750000000001</v>
      </c>
      <c r="L423" s="1132" t="s">
        <v>480</v>
      </c>
      <c r="M423" s="1132" t="str">
        <f t="shared" si="305"/>
        <v>Nicor Gas PY11-PY14 Adjustable Goals Template_2025-03-01, Tab 4.3.1</v>
      </c>
      <c r="N423" s="1361">
        <v>48.22116686119378</v>
      </c>
      <c r="O423" s="1361">
        <v>48.22116686119378</v>
      </c>
      <c r="P423" s="1361">
        <v>48.22116686119378</v>
      </c>
      <c r="Q423" s="1361">
        <v>48.22116686119378</v>
      </c>
      <c r="R423" s="1781">
        <v>1</v>
      </c>
      <c r="S423" s="1781">
        <v>1</v>
      </c>
      <c r="T423" s="1781">
        <v>1</v>
      </c>
      <c r="U423" s="1781">
        <v>1</v>
      </c>
      <c r="V423" s="1781">
        <v>1</v>
      </c>
      <c r="W423" s="1781">
        <v>1</v>
      </c>
      <c r="X423" s="1781">
        <v>1</v>
      </c>
      <c r="Y423" s="1781">
        <v>1</v>
      </c>
      <c r="Z423" s="1359">
        <v>0</v>
      </c>
      <c r="AA423" s="1781">
        <f t="shared" si="306"/>
        <v>1</v>
      </c>
      <c r="AB423" s="1781">
        <f t="shared" si="307"/>
        <v>1</v>
      </c>
      <c r="AC423" s="1781">
        <f t="shared" si="308"/>
        <v>1</v>
      </c>
      <c r="AD423" s="1781">
        <f t="shared" si="309"/>
        <v>1</v>
      </c>
      <c r="AE423" s="1781">
        <f t="shared" si="310"/>
        <v>1</v>
      </c>
      <c r="AF423" s="1781">
        <f t="shared" si="311"/>
        <v>1</v>
      </c>
      <c r="AG423" s="1781">
        <f t="shared" si="312"/>
        <v>1</v>
      </c>
      <c r="AH423" s="1781">
        <f t="shared" si="313"/>
        <v>1</v>
      </c>
      <c r="AI423" s="1362">
        <f t="shared" si="344"/>
        <v>52.955279917791486</v>
      </c>
      <c r="AJ423" s="1362">
        <f t="shared" si="345"/>
        <v>52.955279917791486</v>
      </c>
      <c r="AK423" s="1362">
        <f t="shared" si="346"/>
        <v>52.955279917791486</v>
      </c>
      <c r="AL423" s="1362">
        <f t="shared" si="347"/>
        <v>52.955279917791486</v>
      </c>
      <c r="AM423" s="1362">
        <f t="shared" si="348"/>
        <v>211.82111967116595</v>
      </c>
      <c r="AN423" s="1132" t="str">
        <f t="shared" si="314"/>
        <v>CI-HW_-HWE-V03-190101</v>
      </c>
      <c r="AO423" s="1132" t="str">
        <f t="shared" si="315"/>
        <v>Nicor Gas PY11-PY14 Adjustable Goals Template_2025-03-01, Tab 4.3.1</v>
      </c>
      <c r="AP423" s="2568">
        <f>'4.3.1'!$Q$4</f>
        <v>50.462432363192917</v>
      </c>
      <c r="AQ423" s="2568" t="s">
        <v>481</v>
      </c>
      <c r="AR423" s="2505">
        <f t="shared" si="316"/>
        <v>55.416581660449388</v>
      </c>
      <c r="AS423" s="2505">
        <f t="shared" si="317"/>
        <v>2.461301742657902</v>
      </c>
      <c r="AT423" s="1132" t="str">
        <f t="shared" si="318"/>
        <v>CI-HW_-HWE-V03-190101</v>
      </c>
      <c r="AU423" s="1132" t="str">
        <f t="shared" si="319"/>
        <v>Nicor Gas PY11-PY14 Adjustable Goals Template_2025-03-01, Tab 4.3.1</v>
      </c>
      <c r="AV423" s="2505">
        <f>'4.3.1'!$Q$4</f>
        <v>50.462432363192917</v>
      </c>
      <c r="AW423" s="2568" t="s">
        <v>481</v>
      </c>
      <c r="AX423" s="1362">
        <f t="shared" si="320"/>
        <v>55.416581660449388</v>
      </c>
      <c r="AY423" s="1360">
        <f t="shared" si="321"/>
        <v>2.461301742657902</v>
      </c>
      <c r="AZ423" s="1132" t="str">
        <f t="shared" si="322"/>
        <v>CI-HW_-HWE-V03-190101</v>
      </c>
      <c r="BA423" s="1132" t="str">
        <f t="shared" si="323"/>
        <v>Nicor Gas PY11-PY14 Adjustable Goals Template_2025-03-01, Tab 4.3.1</v>
      </c>
      <c r="BB423" s="2505">
        <f>'4.3.1'!$Q$4</f>
        <v>50.462432363192917</v>
      </c>
      <c r="BC423" s="2568" t="s">
        <v>481</v>
      </c>
      <c r="BD423" s="1362">
        <f t="shared" si="324"/>
        <v>55.416581660449388</v>
      </c>
      <c r="BE423" s="1360">
        <f t="shared" si="325"/>
        <v>2.461301742657902</v>
      </c>
      <c r="BF423" s="1132" t="str">
        <f t="shared" si="326"/>
        <v>CI-HW_-HWE-V03-190101</v>
      </c>
      <c r="BG423" s="1132" t="str">
        <f t="shared" si="327"/>
        <v>Nicor Gas PY11-PY14 Adjustable Goals Template_2025-03-01, Tab 4.3.1</v>
      </c>
      <c r="BH423" s="2505">
        <f>'4.3.1'!$Q$4</f>
        <v>50.462432363192917</v>
      </c>
      <c r="BI423" s="2568" t="s">
        <v>481</v>
      </c>
      <c r="BJ423" s="1362">
        <f t="shared" si="349"/>
        <v>55.416581660449388</v>
      </c>
      <c r="BK423" s="1360">
        <f t="shared" si="328"/>
        <v>2.461301742657902</v>
      </c>
      <c r="BL423" s="1601">
        <f t="shared" si="329"/>
        <v>55.416581660449388</v>
      </c>
      <c r="BM423" s="1601">
        <f t="shared" si="330"/>
        <v>55.416581660449388</v>
      </c>
      <c r="BN423" s="1601">
        <f t="shared" si="331"/>
        <v>55.416581660449388</v>
      </c>
      <c r="BO423" s="1601">
        <f t="shared" si="332"/>
        <v>55.416581660449388</v>
      </c>
      <c r="BP423" s="1602">
        <f t="shared" si="333"/>
        <v>221.66632664179755</v>
      </c>
      <c r="BQ423" s="1629"/>
      <c r="BR423" s="1629" t="s">
        <v>479</v>
      </c>
      <c r="BS423" s="1602">
        <v>0</v>
      </c>
      <c r="BT423" s="1602">
        <v>15</v>
      </c>
      <c r="BU423" s="1602">
        <v>15</v>
      </c>
      <c r="BV423" s="1602">
        <v>15</v>
      </c>
      <c r="BW423" s="1602">
        <v>15</v>
      </c>
      <c r="BX423" s="1362">
        <f t="shared" si="350"/>
        <v>794.32919876687231</v>
      </c>
      <c r="BY423" s="1362">
        <f t="shared" si="351"/>
        <v>794.32919876687231</v>
      </c>
      <c r="BZ423" s="1362">
        <f t="shared" si="352"/>
        <v>794.32919876687231</v>
      </c>
      <c r="CA423" s="1362">
        <f t="shared" si="353"/>
        <v>794.32919876687231</v>
      </c>
      <c r="CB423" s="1362">
        <f t="shared" si="354"/>
        <v>3177.3167950674892</v>
      </c>
      <c r="CC423" s="1360">
        <v>15</v>
      </c>
      <c r="CD423" s="1360">
        <v>15</v>
      </c>
      <c r="CE423" s="1360">
        <v>15</v>
      </c>
      <c r="CF423" s="1360">
        <v>15</v>
      </c>
      <c r="CG423" s="1604">
        <f t="shared" si="334"/>
        <v>831.24872490674079</v>
      </c>
      <c r="CH423" s="1604">
        <f t="shared" si="335"/>
        <v>831.24872490674079</v>
      </c>
      <c r="CI423" s="1604">
        <f t="shared" si="336"/>
        <v>831.24872490674079</v>
      </c>
      <c r="CJ423" s="1604">
        <f t="shared" si="337"/>
        <v>831.24872490674079</v>
      </c>
      <c r="CK423" s="1521">
        <f t="shared" si="338"/>
        <v>3324.9948996269632</v>
      </c>
      <c r="CL423" s="1132">
        <v>416</v>
      </c>
      <c r="CM423" s="1132" t="s">
        <v>356</v>
      </c>
      <c r="CN423" s="1359">
        <v>1</v>
      </c>
      <c r="CO423" s="1360">
        <v>1.0981750000000001</v>
      </c>
      <c r="CP423" s="1360">
        <v>1.0981750000000001</v>
      </c>
      <c r="CQ423" s="1360">
        <v>1.0981750000000001</v>
      </c>
      <c r="CR423" s="1360">
        <v>1.0981750000000001</v>
      </c>
      <c r="CS423" s="1362">
        <f t="shared" si="339"/>
        <v>52.955279917791486</v>
      </c>
      <c r="CT423" s="1362">
        <f t="shared" si="340"/>
        <v>52.955279917791486</v>
      </c>
      <c r="CU423" s="1362">
        <f t="shared" si="341"/>
        <v>52.955279917791486</v>
      </c>
      <c r="CV423" s="1362">
        <f t="shared" si="342"/>
        <v>52.955279917791486</v>
      </c>
      <c r="CW423" s="1362">
        <f t="shared" si="343"/>
        <v>211.82111967116595</v>
      </c>
      <c r="CY423" s="2887"/>
    </row>
    <row r="424" spans="1:103" s="1143" customFormat="1" ht="46.5" x14ac:dyDescent="0.35">
      <c r="A424" s="1132" t="s">
        <v>110</v>
      </c>
      <c r="B424" s="1132" t="s">
        <v>884</v>
      </c>
      <c r="C424" s="1132" t="s">
        <v>798</v>
      </c>
      <c r="D424" s="1359" t="s">
        <v>799</v>
      </c>
      <c r="E424" s="1359">
        <v>1</v>
      </c>
      <c r="F424" s="2564" t="s">
        <v>679</v>
      </c>
      <c r="G424" s="1132" t="s">
        <v>328</v>
      </c>
      <c r="H424" s="1360">
        <v>1.0981750000000001</v>
      </c>
      <c r="I424" s="1360">
        <v>1.0981750000000001</v>
      </c>
      <c r="J424" s="1360">
        <v>1.0981750000000001</v>
      </c>
      <c r="K424" s="1360">
        <v>1.0981750000000001</v>
      </c>
      <c r="L424" s="1132" t="s">
        <v>660</v>
      </c>
      <c r="M424" s="1132" t="str">
        <f t="shared" si="305"/>
        <v>Nicor Gas PY11-PY14 Adjustable Goals Template_2025-03-01, Tab 5.6.4</v>
      </c>
      <c r="N424" s="1361">
        <v>82.567153846153829</v>
      </c>
      <c r="O424" s="1361">
        <v>82.567153846153829</v>
      </c>
      <c r="P424" s="1361">
        <v>82.567153846153829</v>
      </c>
      <c r="Q424" s="1361">
        <v>82.567153846153829</v>
      </c>
      <c r="R424" s="1781">
        <v>1</v>
      </c>
      <c r="S424" s="1781">
        <v>1</v>
      </c>
      <c r="T424" s="1781">
        <v>1</v>
      </c>
      <c r="U424" s="1781">
        <v>1</v>
      </c>
      <c r="V424" s="1781">
        <v>1</v>
      </c>
      <c r="W424" s="1781">
        <v>1</v>
      </c>
      <c r="X424" s="1781">
        <v>1</v>
      </c>
      <c r="Y424" s="1781">
        <v>1</v>
      </c>
      <c r="Z424" s="1359">
        <v>0</v>
      </c>
      <c r="AA424" s="1781">
        <f t="shared" si="306"/>
        <v>1</v>
      </c>
      <c r="AB424" s="1781">
        <f t="shared" si="307"/>
        <v>1</v>
      </c>
      <c r="AC424" s="1781">
        <f t="shared" si="308"/>
        <v>1</v>
      </c>
      <c r="AD424" s="1781">
        <f t="shared" si="309"/>
        <v>1</v>
      </c>
      <c r="AE424" s="1781">
        <f t="shared" si="310"/>
        <v>1</v>
      </c>
      <c r="AF424" s="1781">
        <f t="shared" si="311"/>
        <v>1</v>
      </c>
      <c r="AG424" s="1781">
        <f t="shared" si="312"/>
        <v>1</v>
      </c>
      <c r="AH424" s="1781">
        <f t="shared" si="313"/>
        <v>1</v>
      </c>
      <c r="AI424" s="1362">
        <f t="shared" si="344"/>
        <v>90.673184174999989</v>
      </c>
      <c r="AJ424" s="1362">
        <f t="shared" si="345"/>
        <v>90.673184174999989</v>
      </c>
      <c r="AK424" s="1362">
        <f t="shared" si="346"/>
        <v>90.673184174999989</v>
      </c>
      <c r="AL424" s="1362">
        <f t="shared" si="347"/>
        <v>90.673184174999989</v>
      </c>
      <c r="AM424" s="1362">
        <f t="shared" si="348"/>
        <v>362.69273669999995</v>
      </c>
      <c r="AN424" s="1132" t="str">
        <f t="shared" si="314"/>
        <v>RS-SHL-AINS-V07-180101</v>
      </c>
      <c r="AO424" s="1132" t="str">
        <f t="shared" si="315"/>
        <v>Nicor Gas PY11-PY14 Adjustable Goals Template_2025-03-01, Tab 5.6.4</v>
      </c>
      <c r="AP424" s="2505">
        <f>'5.6.4&amp;5.6.5'!$X$22</f>
        <v>82.567153846153829</v>
      </c>
      <c r="AQ424" s="2505"/>
      <c r="AR424" s="2505">
        <f t="shared" si="316"/>
        <v>90.673184174999989</v>
      </c>
      <c r="AS424" s="2505">
        <f t="shared" si="317"/>
        <v>0</v>
      </c>
      <c r="AT424" s="1132" t="str">
        <f t="shared" si="318"/>
        <v>RS-SHL-AINS-V07-180101</v>
      </c>
      <c r="AU424" s="1132" t="str">
        <f t="shared" si="319"/>
        <v>Nicor Gas PY11-PY14 Adjustable Goals Template_2025-03-01, Tab 5.6.4</v>
      </c>
      <c r="AV424" s="2505">
        <f>'5.6.4&amp;5.6.5'!$X$22</f>
        <v>82.567153846153829</v>
      </c>
      <c r="AW424" s="2505"/>
      <c r="AX424" s="1362">
        <f t="shared" si="320"/>
        <v>90.673184174999989</v>
      </c>
      <c r="AY424" s="1360">
        <f t="shared" si="321"/>
        <v>0</v>
      </c>
      <c r="AZ424" s="1132" t="str">
        <f t="shared" si="322"/>
        <v>RS-SHL-AINS-V07-180101</v>
      </c>
      <c r="BA424" s="1132" t="str">
        <f t="shared" si="323"/>
        <v>Nicor Gas PY11-PY14 Adjustable Goals Template_2025-03-01, Tab 5.6.4</v>
      </c>
      <c r="BB424" s="2505">
        <f>'5.6.4&amp;5.6.5'!$X$22</f>
        <v>82.567153846153829</v>
      </c>
      <c r="BC424" s="2505"/>
      <c r="BD424" s="1362">
        <f t="shared" si="324"/>
        <v>90.673184174999989</v>
      </c>
      <c r="BE424" s="1360">
        <f t="shared" si="325"/>
        <v>0</v>
      </c>
      <c r="BF424" s="1132" t="str">
        <f t="shared" si="326"/>
        <v>RS-SHL-AINS-V07-180101</v>
      </c>
      <c r="BG424" s="1132" t="str">
        <f t="shared" si="327"/>
        <v>Nicor Gas PY11-PY14 Adjustable Goals Template_2025-03-01, Tab 5.6.4</v>
      </c>
      <c r="BH424" s="2505">
        <f>'5.6.4&amp;5.6.5'!$X$22</f>
        <v>82.567153846153829</v>
      </c>
      <c r="BI424" s="2505"/>
      <c r="BJ424" s="1362">
        <f t="shared" si="349"/>
        <v>90.673184174999989</v>
      </c>
      <c r="BK424" s="1360">
        <f t="shared" si="328"/>
        <v>0</v>
      </c>
      <c r="BL424" s="1601">
        <f t="shared" si="329"/>
        <v>90.673184174999989</v>
      </c>
      <c r="BM424" s="1601">
        <f t="shared" si="330"/>
        <v>90.673184174999989</v>
      </c>
      <c r="BN424" s="1601">
        <f t="shared" si="331"/>
        <v>90.673184174999989</v>
      </c>
      <c r="BO424" s="1601">
        <f t="shared" si="332"/>
        <v>90.673184174999989</v>
      </c>
      <c r="BP424" s="1602">
        <f t="shared" si="333"/>
        <v>362.69273669999995</v>
      </c>
      <c r="BQ424" s="1629"/>
      <c r="BR424" s="1629" t="s">
        <v>679</v>
      </c>
      <c r="BS424" s="2773">
        <v>1</v>
      </c>
      <c r="BT424" s="1602">
        <v>19.41176471</v>
      </c>
      <c r="BU424" s="1602">
        <v>19.41176471</v>
      </c>
      <c r="BV424" s="1602">
        <v>19.41176471</v>
      </c>
      <c r="BW424" s="1602">
        <v>19.41176471</v>
      </c>
      <c r="BX424" s="1362">
        <f t="shared" si="350"/>
        <v>1760.1265167115953</v>
      </c>
      <c r="BY424" s="1362">
        <f t="shared" si="351"/>
        <v>1760.1265167115953</v>
      </c>
      <c r="BZ424" s="1362">
        <f t="shared" si="352"/>
        <v>1760.1265167115953</v>
      </c>
      <c r="CA424" s="1362">
        <f t="shared" si="353"/>
        <v>1760.1265167115953</v>
      </c>
      <c r="CB424" s="1362">
        <f t="shared" si="354"/>
        <v>7040.5060668463811</v>
      </c>
      <c r="CC424" s="2775">
        <v>20</v>
      </c>
      <c r="CD424" s="2775">
        <v>20</v>
      </c>
      <c r="CE424" s="2775">
        <v>20</v>
      </c>
      <c r="CF424" s="2775">
        <v>20</v>
      </c>
      <c r="CG424" s="1604">
        <f t="shared" si="334"/>
        <v>1813.4636834999997</v>
      </c>
      <c r="CH424" s="1604">
        <f t="shared" si="335"/>
        <v>1813.4636834999997</v>
      </c>
      <c r="CI424" s="1604">
        <f t="shared" si="336"/>
        <v>1813.4636834999997</v>
      </c>
      <c r="CJ424" s="1604">
        <f t="shared" si="337"/>
        <v>1813.4636834999997</v>
      </c>
      <c r="CK424" s="1521">
        <f t="shared" si="338"/>
        <v>7253.8547339999986</v>
      </c>
      <c r="CL424" s="1132">
        <v>417</v>
      </c>
      <c r="CM424" s="1132" t="s">
        <v>328</v>
      </c>
      <c r="CN424" s="1359">
        <v>1</v>
      </c>
      <c r="CO424" s="1360">
        <v>1.0981750000000001</v>
      </c>
      <c r="CP424" s="1360">
        <v>1.0981750000000001</v>
      </c>
      <c r="CQ424" s="1360">
        <v>1.0981750000000001</v>
      </c>
      <c r="CR424" s="1360">
        <v>1.0981750000000001</v>
      </c>
      <c r="CS424" s="1362">
        <f t="shared" si="339"/>
        <v>90.673184174999989</v>
      </c>
      <c r="CT424" s="1362">
        <f t="shared" si="340"/>
        <v>90.673184174999989</v>
      </c>
      <c r="CU424" s="1362">
        <f t="shared" si="341"/>
        <v>90.673184174999989</v>
      </c>
      <c r="CV424" s="1362">
        <f t="shared" si="342"/>
        <v>90.673184174999989</v>
      </c>
      <c r="CW424" s="1362">
        <f t="shared" si="343"/>
        <v>362.69273669999995</v>
      </c>
      <c r="CY424" s="2887"/>
    </row>
    <row r="425" spans="1:103" s="1143" customFormat="1" ht="15.5" x14ac:dyDescent="0.35">
      <c r="A425" s="1132" t="s">
        <v>110</v>
      </c>
      <c r="B425" s="1132" t="s">
        <v>884</v>
      </c>
      <c r="C425" s="1132" t="s">
        <v>803</v>
      </c>
      <c r="D425" s="1359" t="s">
        <v>105</v>
      </c>
      <c r="E425" s="1359">
        <f>IF(AI425-AR425=0,0,1)</f>
        <v>0</v>
      </c>
      <c r="F425" s="1132" t="s">
        <v>105</v>
      </c>
      <c r="G425" s="1132" t="s">
        <v>328</v>
      </c>
      <c r="H425" s="1360">
        <v>8.2363125000000004</v>
      </c>
      <c r="I425" s="1360">
        <v>8.2363125000000004</v>
      </c>
      <c r="J425" s="1360">
        <v>8.2363125000000004</v>
      </c>
      <c r="K425" s="1360">
        <v>8.2363125000000004</v>
      </c>
      <c r="L425" s="1132" t="s">
        <v>105</v>
      </c>
      <c r="M425" s="1132" t="str">
        <f t="shared" si="305"/>
        <v/>
      </c>
      <c r="N425" s="1361">
        <v>91.676929759551214</v>
      </c>
      <c r="O425" s="1361">
        <v>91.676929759551214</v>
      </c>
      <c r="P425" s="1361">
        <v>91.676929759551214</v>
      </c>
      <c r="Q425" s="1361">
        <v>91.676929759551214</v>
      </c>
      <c r="R425" s="1781">
        <v>1</v>
      </c>
      <c r="S425" s="1781">
        <v>1</v>
      </c>
      <c r="T425" s="1781">
        <v>1</v>
      </c>
      <c r="U425" s="1781">
        <v>1</v>
      </c>
      <c r="V425" s="1781">
        <v>1</v>
      </c>
      <c r="W425" s="1781">
        <v>1</v>
      </c>
      <c r="X425" s="1781">
        <v>1</v>
      </c>
      <c r="Y425" s="1781">
        <v>1</v>
      </c>
      <c r="Z425" s="1359">
        <v>0</v>
      </c>
      <c r="AA425" s="1781">
        <f t="shared" si="306"/>
        <v>1</v>
      </c>
      <c r="AB425" s="1781">
        <f t="shared" si="307"/>
        <v>1</v>
      </c>
      <c r="AC425" s="1781">
        <f t="shared" si="308"/>
        <v>1</v>
      </c>
      <c r="AD425" s="1781">
        <f t="shared" si="309"/>
        <v>1</v>
      </c>
      <c r="AE425" s="1781">
        <f t="shared" si="310"/>
        <v>1</v>
      </c>
      <c r="AF425" s="1781">
        <f t="shared" si="311"/>
        <v>1</v>
      </c>
      <c r="AG425" s="1781">
        <f t="shared" si="312"/>
        <v>1</v>
      </c>
      <c r="AH425" s="1781">
        <f t="shared" si="313"/>
        <v>1</v>
      </c>
      <c r="AI425" s="1362">
        <f t="shared" si="344"/>
        <v>755.07984254021369</v>
      </c>
      <c r="AJ425" s="1362">
        <f t="shared" si="345"/>
        <v>755.07984254021369</v>
      </c>
      <c r="AK425" s="1362">
        <f t="shared" si="346"/>
        <v>755.07984254021369</v>
      </c>
      <c r="AL425" s="1362">
        <f t="shared" si="347"/>
        <v>755.07984254021369</v>
      </c>
      <c r="AM425" s="1362">
        <f t="shared" si="348"/>
        <v>3020.3193701608548</v>
      </c>
      <c r="AN425" s="1132" t="str">
        <f t="shared" si="314"/>
        <v>Custom</v>
      </c>
      <c r="AO425" s="1132" t="str">
        <f t="shared" si="315"/>
        <v/>
      </c>
      <c r="AP425" s="2505">
        <v>91.676929759551214</v>
      </c>
      <c r="AQ425" s="2505"/>
      <c r="AR425" s="2505">
        <f t="shared" si="316"/>
        <v>755.07984254021369</v>
      </c>
      <c r="AS425" s="2505">
        <f t="shared" si="317"/>
        <v>0</v>
      </c>
      <c r="AT425" s="1132" t="str">
        <f t="shared" si="318"/>
        <v>Custom</v>
      </c>
      <c r="AU425" s="1132" t="str">
        <f t="shared" si="319"/>
        <v/>
      </c>
      <c r="AV425" s="2505">
        <v>91.676929759551214</v>
      </c>
      <c r="AW425" s="2505"/>
      <c r="AX425" s="1362">
        <f t="shared" si="320"/>
        <v>755.07984254021369</v>
      </c>
      <c r="AY425" s="1360">
        <f t="shared" si="321"/>
        <v>0</v>
      </c>
      <c r="AZ425" s="1132" t="str">
        <f t="shared" si="322"/>
        <v>Custom</v>
      </c>
      <c r="BA425" s="1132" t="str">
        <f t="shared" si="323"/>
        <v/>
      </c>
      <c r="BB425" s="2505">
        <v>91.676929759551214</v>
      </c>
      <c r="BC425" s="2505"/>
      <c r="BD425" s="1362">
        <f t="shared" si="324"/>
        <v>755.07984254021369</v>
      </c>
      <c r="BE425" s="1360">
        <f t="shared" si="325"/>
        <v>0</v>
      </c>
      <c r="BF425" s="1132" t="str">
        <f t="shared" si="326"/>
        <v>Custom</v>
      </c>
      <c r="BG425" s="1132" t="str">
        <f t="shared" si="327"/>
        <v/>
      </c>
      <c r="BH425" s="2505">
        <v>91.676929759551214</v>
      </c>
      <c r="BI425" s="2505"/>
      <c r="BJ425" s="1362">
        <f t="shared" si="349"/>
        <v>755.07984254021369</v>
      </c>
      <c r="BK425" s="1360">
        <f t="shared" si="328"/>
        <v>0</v>
      </c>
      <c r="BL425" s="1601">
        <f t="shared" si="329"/>
        <v>755.07984254021369</v>
      </c>
      <c r="BM425" s="1601">
        <f t="shared" si="330"/>
        <v>755.07984254021369</v>
      </c>
      <c r="BN425" s="1601">
        <f t="shared" si="331"/>
        <v>755.07984254021369</v>
      </c>
      <c r="BO425" s="1601">
        <f t="shared" si="332"/>
        <v>755.07984254021369</v>
      </c>
      <c r="BP425" s="1602">
        <f t="shared" si="333"/>
        <v>3020.3193701608548</v>
      </c>
      <c r="BQ425" s="1629"/>
      <c r="BR425" s="1629"/>
      <c r="BS425" s="1602">
        <v>0</v>
      </c>
      <c r="BT425" s="1602">
        <v>15</v>
      </c>
      <c r="BU425" s="1602">
        <v>15</v>
      </c>
      <c r="BV425" s="1602">
        <v>15</v>
      </c>
      <c r="BW425" s="1602">
        <v>15</v>
      </c>
      <c r="BX425" s="1362">
        <f t="shared" si="350"/>
        <v>11326.197638103205</v>
      </c>
      <c r="BY425" s="1362">
        <f t="shared" si="351"/>
        <v>11326.197638103205</v>
      </c>
      <c r="BZ425" s="1362">
        <f t="shared" si="352"/>
        <v>11326.197638103205</v>
      </c>
      <c r="CA425" s="1362">
        <f t="shared" si="353"/>
        <v>11326.197638103205</v>
      </c>
      <c r="CB425" s="1362">
        <f t="shared" si="354"/>
        <v>45304.790552412822</v>
      </c>
      <c r="CC425" s="1360">
        <v>15</v>
      </c>
      <c r="CD425" s="1360">
        <v>15</v>
      </c>
      <c r="CE425" s="1360">
        <v>15</v>
      </c>
      <c r="CF425" s="1360">
        <v>15</v>
      </c>
      <c r="CG425" s="1604">
        <f t="shared" si="334"/>
        <v>11326.197638103205</v>
      </c>
      <c r="CH425" s="1604">
        <f t="shared" si="335"/>
        <v>11326.197638103205</v>
      </c>
      <c r="CI425" s="1604">
        <f t="shared" si="336"/>
        <v>11326.197638103205</v>
      </c>
      <c r="CJ425" s="1604">
        <f t="shared" si="337"/>
        <v>11326.197638103205</v>
      </c>
      <c r="CK425" s="1521">
        <f t="shared" si="338"/>
        <v>45304.790552412822</v>
      </c>
      <c r="CL425" s="1132">
        <v>418</v>
      </c>
      <c r="CM425" s="1132" t="s">
        <v>328</v>
      </c>
      <c r="CN425" s="1359">
        <v>1</v>
      </c>
      <c r="CO425" s="1360">
        <v>8.2363125000000004</v>
      </c>
      <c r="CP425" s="1360">
        <v>8.2363125000000004</v>
      </c>
      <c r="CQ425" s="1360">
        <v>8.2363125000000004</v>
      </c>
      <c r="CR425" s="1360">
        <v>8.2363125000000004</v>
      </c>
      <c r="CS425" s="1362">
        <f t="shared" si="339"/>
        <v>755.07984254021369</v>
      </c>
      <c r="CT425" s="1362">
        <f t="shared" si="340"/>
        <v>755.07984254021369</v>
      </c>
      <c r="CU425" s="1362">
        <f t="shared" si="341"/>
        <v>755.07984254021369</v>
      </c>
      <c r="CV425" s="1362">
        <f t="shared" si="342"/>
        <v>755.07984254021369</v>
      </c>
      <c r="CW425" s="1362">
        <f t="shared" si="343"/>
        <v>3020.3193701608548</v>
      </c>
      <c r="CY425" s="2887"/>
    </row>
    <row r="426" spans="1:103" s="1143" customFormat="1" ht="45.75" customHeight="1" x14ac:dyDescent="0.35">
      <c r="A426" s="1132" t="s">
        <v>110</v>
      </c>
      <c r="B426" s="1132" t="s">
        <v>884</v>
      </c>
      <c r="C426" s="1132" t="s">
        <v>685</v>
      </c>
      <c r="D426" s="1359" t="s">
        <v>105</v>
      </c>
      <c r="E426" s="1359">
        <f>IF(AI426-AR426=0,0,1)</f>
        <v>0</v>
      </c>
      <c r="F426" s="1132" t="s">
        <v>105</v>
      </c>
      <c r="G426" s="1132" t="s">
        <v>356</v>
      </c>
      <c r="H426" s="1360">
        <v>117.661606855</v>
      </c>
      <c r="I426" s="1360">
        <v>117.661606855</v>
      </c>
      <c r="J426" s="1360">
        <v>117.661606855</v>
      </c>
      <c r="K426" s="1360">
        <v>117.661606855</v>
      </c>
      <c r="L426" s="1132" t="s">
        <v>105</v>
      </c>
      <c r="M426" s="1132" t="str">
        <f t="shared" si="305"/>
        <v/>
      </c>
      <c r="N426" s="1361">
        <v>1.7712549049185877</v>
      </c>
      <c r="O426" s="1361">
        <v>1.7712549049185877</v>
      </c>
      <c r="P426" s="1361">
        <v>1.7712549049185877</v>
      </c>
      <c r="Q426" s="1361">
        <v>1.7712549049185877</v>
      </c>
      <c r="R426" s="1781">
        <v>1</v>
      </c>
      <c r="S426" s="1781">
        <v>1</v>
      </c>
      <c r="T426" s="1781">
        <v>1</v>
      </c>
      <c r="U426" s="1781">
        <v>1</v>
      </c>
      <c r="V426" s="1781">
        <v>1</v>
      </c>
      <c r="W426" s="1781">
        <v>1</v>
      </c>
      <c r="X426" s="1781">
        <v>1</v>
      </c>
      <c r="Y426" s="1781">
        <v>1</v>
      </c>
      <c r="Z426" s="1359">
        <v>0</v>
      </c>
      <c r="AA426" s="1781">
        <f t="shared" si="306"/>
        <v>1</v>
      </c>
      <c r="AB426" s="1781">
        <f t="shared" si="307"/>
        <v>1</v>
      </c>
      <c r="AC426" s="1781">
        <f t="shared" si="308"/>
        <v>1</v>
      </c>
      <c r="AD426" s="1781">
        <f t="shared" si="309"/>
        <v>1</v>
      </c>
      <c r="AE426" s="1781">
        <f t="shared" si="310"/>
        <v>1</v>
      </c>
      <c r="AF426" s="1781">
        <f t="shared" si="311"/>
        <v>1</v>
      </c>
      <c r="AG426" s="1781">
        <f t="shared" si="312"/>
        <v>1</v>
      </c>
      <c r="AH426" s="1781">
        <f t="shared" si="313"/>
        <v>1</v>
      </c>
      <c r="AI426" s="1362">
        <f t="shared" si="344"/>
        <v>208.40869826252128</v>
      </c>
      <c r="AJ426" s="1362">
        <f t="shared" si="345"/>
        <v>208.40869826252128</v>
      </c>
      <c r="AK426" s="1362">
        <f t="shared" si="346"/>
        <v>208.40869826252128</v>
      </c>
      <c r="AL426" s="1362">
        <f t="shared" si="347"/>
        <v>208.40869826252128</v>
      </c>
      <c r="AM426" s="1362">
        <f t="shared" si="348"/>
        <v>833.63479305008514</v>
      </c>
      <c r="AN426" s="1132" t="str">
        <f t="shared" si="314"/>
        <v>Custom</v>
      </c>
      <c r="AO426" s="1132" t="str">
        <f t="shared" si="315"/>
        <v/>
      </c>
      <c r="AP426" s="2505">
        <v>1.7712549049185877</v>
      </c>
      <c r="AQ426" s="2505"/>
      <c r="AR426" s="2505">
        <f t="shared" si="316"/>
        <v>208.40869826252128</v>
      </c>
      <c r="AS426" s="2505">
        <f t="shared" si="317"/>
        <v>0</v>
      </c>
      <c r="AT426" s="1132" t="str">
        <f t="shared" si="318"/>
        <v>Custom</v>
      </c>
      <c r="AU426" s="1132" t="str">
        <f t="shared" si="319"/>
        <v/>
      </c>
      <c r="AV426" s="2505">
        <v>1.7712549049185877</v>
      </c>
      <c r="AW426" s="2505"/>
      <c r="AX426" s="1362">
        <f t="shared" si="320"/>
        <v>208.40869826252128</v>
      </c>
      <c r="AY426" s="1360">
        <f t="shared" si="321"/>
        <v>0</v>
      </c>
      <c r="AZ426" s="1132" t="str">
        <f t="shared" si="322"/>
        <v>Custom</v>
      </c>
      <c r="BA426" s="1132" t="str">
        <f t="shared" si="323"/>
        <v/>
      </c>
      <c r="BB426" s="2505">
        <v>1.7712549049185877</v>
      </c>
      <c r="BC426" s="2505"/>
      <c r="BD426" s="1362">
        <f t="shared" si="324"/>
        <v>208.40869826252128</v>
      </c>
      <c r="BE426" s="1360">
        <f t="shared" si="325"/>
        <v>0</v>
      </c>
      <c r="BF426" s="1132" t="str">
        <f t="shared" si="326"/>
        <v>Custom</v>
      </c>
      <c r="BG426" s="1132" t="str">
        <f t="shared" si="327"/>
        <v/>
      </c>
      <c r="BH426" s="2505">
        <v>1.7712549049185877</v>
      </c>
      <c r="BI426" s="2505"/>
      <c r="BJ426" s="1362">
        <f t="shared" si="349"/>
        <v>208.40869826252128</v>
      </c>
      <c r="BK426" s="1360">
        <f t="shared" si="328"/>
        <v>0</v>
      </c>
      <c r="BL426" s="1601">
        <f t="shared" si="329"/>
        <v>208.40869826252128</v>
      </c>
      <c r="BM426" s="1601">
        <f t="shared" si="330"/>
        <v>208.40869826252128</v>
      </c>
      <c r="BN426" s="1601">
        <f t="shared" si="331"/>
        <v>208.40869826252128</v>
      </c>
      <c r="BO426" s="1601">
        <f t="shared" si="332"/>
        <v>208.40869826252128</v>
      </c>
      <c r="BP426" s="1602">
        <f t="shared" si="333"/>
        <v>833.63479305008514</v>
      </c>
      <c r="BQ426" s="1629"/>
      <c r="BR426" s="1629"/>
      <c r="BS426" s="1602">
        <v>0</v>
      </c>
      <c r="BT426" s="1602">
        <v>30</v>
      </c>
      <c r="BU426" s="1602">
        <v>30</v>
      </c>
      <c r="BV426" s="1602">
        <v>30</v>
      </c>
      <c r="BW426" s="1602">
        <v>30</v>
      </c>
      <c r="BX426" s="1362">
        <f t="shared" si="350"/>
        <v>6252.2609478756385</v>
      </c>
      <c r="BY426" s="1362">
        <f t="shared" si="351"/>
        <v>6252.2609478756385</v>
      </c>
      <c r="BZ426" s="1362">
        <f t="shared" si="352"/>
        <v>6252.2609478756385</v>
      </c>
      <c r="CA426" s="1362">
        <f t="shared" si="353"/>
        <v>6252.2609478756385</v>
      </c>
      <c r="CB426" s="1362">
        <f t="shared" si="354"/>
        <v>25009.043791502554</v>
      </c>
      <c r="CC426" s="1360">
        <v>30</v>
      </c>
      <c r="CD426" s="1360">
        <v>30</v>
      </c>
      <c r="CE426" s="1360">
        <v>30</v>
      </c>
      <c r="CF426" s="1360">
        <v>30</v>
      </c>
      <c r="CG426" s="1604">
        <f t="shared" si="334"/>
        <v>6252.2609478756385</v>
      </c>
      <c r="CH426" s="1604">
        <f t="shared" si="335"/>
        <v>6252.2609478756385</v>
      </c>
      <c r="CI426" s="1604">
        <f t="shared" si="336"/>
        <v>6252.2609478756385</v>
      </c>
      <c r="CJ426" s="1604">
        <f t="shared" si="337"/>
        <v>6252.2609478756385</v>
      </c>
      <c r="CK426" s="1521">
        <f t="shared" si="338"/>
        <v>25009.043791502554</v>
      </c>
      <c r="CL426" s="1132">
        <v>419</v>
      </c>
      <c r="CM426" s="1132" t="s">
        <v>356</v>
      </c>
      <c r="CN426" s="1359">
        <v>1</v>
      </c>
      <c r="CO426" s="1360">
        <v>117.661606855</v>
      </c>
      <c r="CP426" s="1360">
        <v>117.661606855</v>
      </c>
      <c r="CQ426" s="1360">
        <v>117.661606855</v>
      </c>
      <c r="CR426" s="1360">
        <v>117.661606855</v>
      </c>
      <c r="CS426" s="1362">
        <f t="shared" si="339"/>
        <v>208.40869826252128</v>
      </c>
      <c r="CT426" s="1362">
        <f t="shared" si="340"/>
        <v>208.40869826252128</v>
      </c>
      <c r="CU426" s="1362">
        <f t="shared" si="341"/>
        <v>208.40869826252128</v>
      </c>
      <c r="CV426" s="1362">
        <f t="shared" si="342"/>
        <v>208.40869826252128</v>
      </c>
      <c r="CW426" s="1362">
        <f t="shared" si="343"/>
        <v>833.63479305008514</v>
      </c>
      <c r="CY426" s="2887"/>
    </row>
    <row r="427" spans="1:103" s="1143" customFormat="1" ht="46.5" x14ac:dyDescent="0.35">
      <c r="A427" s="1132" t="s">
        <v>110</v>
      </c>
      <c r="B427" s="1132" t="s">
        <v>884</v>
      </c>
      <c r="C427" s="1132" t="s">
        <v>681</v>
      </c>
      <c r="D427" s="1359" t="s">
        <v>682</v>
      </c>
      <c r="E427" s="1359">
        <v>1</v>
      </c>
      <c r="F427" s="2564" t="s">
        <v>683</v>
      </c>
      <c r="G427" s="1132" t="s">
        <v>356</v>
      </c>
      <c r="H427" s="1360">
        <v>35.141600000000004</v>
      </c>
      <c r="I427" s="1360">
        <v>35.141600000000004</v>
      </c>
      <c r="J427" s="1360">
        <v>35.141600000000004</v>
      </c>
      <c r="K427" s="1360">
        <v>35.141600000000004</v>
      </c>
      <c r="L427" s="1132" t="s">
        <v>684</v>
      </c>
      <c r="M427" s="1132" t="str">
        <f t="shared" si="305"/>
        <v>Nicor Gas PY11-PY14 Adjustable Goals Template_2025-03-01, Tab 5.6.7</v>
      </c>
      <c r="N427" s="1361">
        <v>9.1319999999999979</v>
      </c>
      <c r="O427" s="1361">
        <v>9.1319999999999979</v>
      </c>
      <c r="P427" s="1361">
        <v>9.1319999999999979</v>
      </c>
      <c r="Q427" s="1361">
        <v>9.1319999999999979</v>
      </c>
      <c r="R427" s="1781">
        <v>1</v>
      </c>
      <c r="S427" s="1781">
        <v>1</v>
      </c>
      <c r="T427" s="1781">
        <v>1</v>
      </c>
      <c r="U427" s="1781">
        <v>1</v>
      </c>
      <c r="V427" s="1781">
        <v>1</v>
      </c>
      <c r="W427" s="1781">
        <v>1</v>
      </c>
      <c r="X427" s="1781">
        <v>1</v>
      </c>
      <c r="Y427" s="1781">
        <v>1</v>
      </c>
      <c r="Z427" s="1359">
        <v>0</v>
      </c>
      <c r="AA427" s="1781">
        <f t="shared" si="306"/>
        <v>1</v>
      </c>
      <c r="AB427" s="1781">
        <f t="shared" si="307"/>
        <v>1</v>
      </c>
      <c r="AC427" s="1781">
        <f t="shared" si="308"/>
        <v>1</v>
      </c>
      <c r="AD427" s="1781">
        <f t="shared" si="309"/>
        <v>1</v>
      </c>
      <c r="AE427" s="1781">
        <f t="shared" si="310"/>
        <v>1</v>
      </c>
      <c r="AF427" s="1781">
        <f t="shared" si="311"/>
        <v>1</v>
      </c>
      <c r="AG427" s="1781">
        <f t="shared" si="312"/>
        <v>1</v>
      </c>
      <c r="AH427" s="1781">
        <f t="shared" si="313"/>
        <v>1</v>
      </c>
      <c r="AI427" s="1362">
        <f t="shared" si="344"/>
        <v>320.91309119999994</v>
      </c>
      <c r="AJ427" s="1362">
        <f t="shared" si="345"/>
        <v>320.91309119999994</v>
      </c>
      <c r="AK427" s="1362">
        <f t="shared" si="346"/>
        <v>320.91309119999994</v>
      </c>
      <c r="AL427" s="1362">
        <f t="shared" si="347"/>
        <v>320.91309119999994</v>
      </c>
      <c r="AM427" s="1362">
        <f t="shared" si="348"/>
        <v>1283.6523647999998</v>
      </c>
      <c r="AN427" s="1132" t="str">
        <f t="shared" si="314"/>
        <v>RS-SHL-LESW-V01-210101</v>
      </c>
      <c r="AO427" s="1132" t="str">
        <f t="shared" si="315"/>
        <v>Nicor Gas PY11-PY14 Adjustable Goals Template_2025-03-01, Tab 5.6.7</v>
      </c>
      <c r="AP427" s="2505">
        <f>'5.6.7'!$R$4</f>
        <v>9.1319999999999979</v>
      </c>
      <c r="AQ427" s="2505"/>
      <c r="AR427" s="2505">
        <f t="shared" si="316"/>
        <v>320.91309119999994</v>
      </c>
      <c r="AS427" s="2505">
        <f t="shared" si="317"/>
        <v>0</v>
      </c>
      <c r="AT427" s="1132" t="str">
        <f t="shared" si="318"/>
        <v>RS-SHL-LESW-V01-210101</v>
      </c>
      <c r="AU427" s="1132" t="str">
        <f t="shared" si="319"/>
        <v>Nicor Gas PY11-PY14 Adjustable Goals Template_2025-03-01, Tab 5.6.7</v>
      </c>
      <c r="AV427" s="2505">
        <f>'5.6.7'!$R$4</f>
        <v>9.1319999999999979</v>
      </c>
      <c r="AW427" s="2505"/>
      <c r="AX427" s="1362">
        <f t="shared" si="320"/>
        <v>320.91309119999994</v>
      </c>
      <c r="AY427" s="1360">
        <f t="shared" si="321"/>
        <v>0</v>
      </c>
      <c r="AZ427" s="1132" t="str">
        <f t="shared" si="322"/>
        <v>RS-SHL-LESW-V01-210101</v>
      </c>
      <c r="BA427" s="1132" t="str">
        <f t="shared" si="323"/>
        <v>Nicor Gas PY11-PY14 Adjustable Goals Template_2025-03-01, Tab 5.6.7</v>
      </c>
      <c r="BB427" s="2505">
        <f>'5.6.7'!$R$4</f>
        <v>9.1319999999999979</v>
      </c>
      <c r="BC427" s="2505"/>
      <c r="BD427" s="1362">
        <f t="shared" si="324"/>
        <v>320.91309119999994</v>
      </c>
      <c r="BE427" s="1360">
        <f t="shared" si="325"/>
        <v>0</v>
      </c>
      <c r="BF427" s="1132" t="str">
        <f t="shared" si="326"/>
        <v>RS-SHL-LESW-V01-210101</v>
      </c>
      <c r="BG427" s="1132" t="str">
        <f t="shared" si="327"/>
        <v>Nicor Gas PY11-PY14 Adjustable Goals Template_2025-03-01, Tab 5.6.7</v>
      </c>
      <c r="BH427" s="2505">
        <f>'5.6.7'!$R$4</f>
        <v>9.1319999999999979</v>
      </c>
      <c r="BI427" s="2505"/>
      <c r="BJ427" s="1362">
        <f t="shared" si="349"/>
        <v>320.91309119999994</v>
      </c>
      <c r="BK427" s="1360">
        <f t="shared" si="328"/>
        <v>0</v>
      </c>
      <c r="BL427" s="1601">
        <f t="shared" si="329"/>
        <v>320.91309119999994</v>
      </c>
      <c r="BM427" s="1601">
        <f t="shared" si="330"/>
        <v>320.91309119999994</v>
      </c>
      <c r="BN427" s="1601">
        <f t="shared" si="331"/>
        <v>320.91309119999994</v>
      </c>
      <c r="BO427" s="1601">
        <f t="shared" si="332"/>
        <v>320.91309119999994</v>
      </c>
      <c r="BP427" s="1602">
        <f t="shared" si="333"/>
        <v>1283.6523647999998</v>
      </c>
      <c r="BQ427" s="1629"/>
      <c r="BR427" s="1629" t="s">
        <v>683</v>
      </c>
      <c r="BS427" s="1602">
        <v>0</v>
      </c>
      <c r="BT427" s="1602">
        <v>20</v>
      </c>
      <c r="BU427" s="1602">
        <v>20</v>
      </c>
      <c r="BV427" s="1602">
        <v>20</v>
      </c>
      <c r="BW427" s="1602">
        <v>20</v>
      </c>
      <c r="BX427" s="1362">
        <f t="shared" si="350"/>
        <v>6418.2618239999993</v>
      </c>
      <c r="BY427" s="1362">
        <f t="shared" si="351"/>
        <v>6418.2618239999993</v>
      </c>
      <c r="BZ427" s="1362">
        <f t="shared" si="352"/>
        <v>6418.2618239999993</v>
      </c>
      <c r="CA427" s="1362">
        <f t="shared" si="353"/>
        <v>6418.2618239999993</v>
      </c>
      <c r="CB427" s="1362">
        <f t="shared" si="354"/>
        <v>25673.047295999997</v>
      </c>
      <c r="CC427" s="1360">
        <v>20</v>
      </c>
      <c r="CD427" s="1360">
        <v>20</v>
      </c>
      <c r="CE427" s="1360">
        <v>20</v>
      </c>
      <c r="CF427" s="1360">
        <v>20</v>
      </c>
      <c r="CG427" s="1604">
        <f t="shared" si="334"/>
        <v>6418.2618239999993</v>
      </c>
      <c r="CH427" s="1604">
        <f t="shared" si="335"/>
        <v>6418.2618239999993</v>
      </c>
      <c r="CI427" s="1604">
        <f t="shared" si="336"/>
        <v>6418.2618239999993</v>
      </c>
      <c r="CJ427" s="1604">
        <f t="shared" si="337"/>
        <v>6418.2618239999993</v>
      </c>
      <c r="CK427" s="1521">
        <f t="shared" si="338"/>
        <v>25673.047295999997</v>
      </c>
      <c r="CL427" s="1132">
        <v>420</v>
      </c>
      <c r="CM427" s="1132" t="s">
        <v>356</v>
      </c>
      <c r="CN427" s="1359">
        <v>1</v>
      </c>
      <c r="CO427" s="1360">
        <v>35.141600000000004</v>
      </c>
      <c r="CP427" s="1360">
        <v>35.141600000000004</v>
      </c>
      <c r="CQ427" s="1360">
        <v>35.141600000000004</v>
      </c>
      <c r="CR427" s="1360">
        <v>35.141600000000004</v>
      </c>
      <c r="CS427" s="1362">
        <f t="shared" si="339"/>
        <v>320.91309119999994</v>
      </c>
      <c r="CT427" s="1362">
        <f t="shared" si="340"/>
        <v>320.91309119999994</v>
      </c>
      <c r="CU427" s="1362">
        <f t="shared" si="341"/>
        <v>320.91309119999994</v>
      </c>
      <c r="CV427" s="1362">
        <f t="shared" si="342"/>
        <v>320.91309119999994</v>
      </c>
      <c r="CW427" s="1362">
        <f t="shared" si="343"/>
        <v>1283.6523647999998</v>
      </c>
      <c r="CY427" s="2887"/>
    </row>
    <row r="428" spans="1:103" s="1143" customFormat="1" ht="45.75" customHeight="1" x14ac:dyDescent="0.35">
      <c r="A428" s="1132" t="s">
        <v>111</v>
      </c>
      <c r="B428" s="1132" t="s">
        <v>111</v>
      </c>
      <c r="C428" s="1132" t="s">
        <v>652</v>
      </c>
      <c r="D428" s="1359" t="s">
        <v>105</v>
      </c>
      <c r="E428" s="1359">
        <f t="shared" ref="E428:E436" si="355">IF(AI428-AR428=0,0,1)</f>
        <v>0</v>
      </c>
      <c r="F428" s="1132" t="s">
        <v>105</v>
      </c>
      <c r="G428" s="1132" t="s">
        <v>356</v>
      </c>
      <c r="H428" s="1360">
        <v>214.20000000000002</v>
      </c>
      <c r="I428" s="1360">
        <v>214.20000000000002</v>
      </c>
      <c r="J428" s="1360">
        <v>214.20000000000002</v>
      </c>
      <c r="K428" s="1360">
        <v>214.20000000000002</v>
      </c>
      <c r="L428" s="1132" t="s">
        <v>105</v>
      </c>
      <c r="M428" s="1132" t="str">
        <f t="shared" si="305"/>
        <v/>
      </c>
      <c r="N428" s="1361">
        <v>0</v>
      </c>
      <c r="O428" s="1361">
        <v>0</v>
      </c>
      <c r="P428" s="1361">
        <v>0</v>
      </c>
      <c r="Q428" s="1361">
        <v>0</v>
      </c>
      <c r="R428" s="1781">
        <v>1</v>
      </c>
      <c r="S428" s="1781">
        <v>1</v>
      </c>
      <c r="T428" s="1781">
        <v>1</v>
      </c>
      <c r="U428" s="1781">
        <v>1</v>
      </c>
      <c r="V428" s="1781">
        <v>1</v>
      </c>
      <c r="W428" s="1781">
        <v>1</v>
      </c>
      <c r="X428" s="1781">
        <v>1</v>
      </c>
      <c r="Y428" s="1781">
        <v>1</v>
      </c>
      <c r="Z428" s="1359">
        <v>0</v>
      </c>
      <c r="AA428" s="1781">
        <f t="shared" si="306"/>
        <v>1</v>
      </c>
      <c r="AB428" s="1781">
        <f t="shared" si="307"/>
        <v>1</v>
      </c>
      <c r="AC428" s="1781">
        <f t="shared" si="308"/>
        <v>1</v>
      </c>
      <c r="AD428" s="1781">
        <f t="shared" si="309"/>
        <v>1</v>
      </c>
      <c r="AE428" s="1781">
        <f t="shared" si="310"/>
        <v>1</v>
      </c>
      <c r="AF428" s="1781">
        <f t="shared" si="311"/>
        <v>1</v>
      </c>
      <c r="AG428" s="1781">
        <f t="shared" si="312"/>
        <v>1</v>
      </c>
      <c r="AH428" s="1781">
        <f t="shared" si="313"/>
        <v>1</v>
      </c>
      <c r="AI428" s="1362">
        <f t="shared" si="344"/>
        <v>0</v>
      </c>
      <c r="AJ428" s="1362">
        <f t="shared" si="345"/>
        <v>0</v>
      </c>
      <c r="AK428" s="1362">
        <f t="shared" si="346"/>
        <v>0</v>
      </c>
      <c r="AL428" s="1362">
        <f t="shared" si="347"/>
        <v>0</v>
      </c>
      <c r="AM428" s="1362">
        <f t="shared" si="348"/>
        <v>0</v>
      </c>
      <c r="AN428" s="1132" t="str">
        <f t="shared" si="314"/>
        <v>Custom</v>
      </c>
      <c r="AO428" s="1132" t="str">
        <f t="shared" si="315"/>
        <v/>
      </c>
      <c r="AP428" s="2505">
        <v>0</v>
      </c>
      <c r="AQ428" s="2505"/>
      <c r="AR428" s="2505">
        <f t="shared" si="316"/>
        <v>0</v>
      </c>
      <c r="AS428" s="2505">
        <f t="shared" si="317"/>
        <v>0</v>
      </c>
      <c r="AT428" s="1132" t="str">
        <f t="shared" si="318"/>
        <v>Custom</v>
      </c>
      <c r="AU428" s="1132" t="str">
        <f t="shared" si="319"/>
        <v/>
      </c>
      <c r="AV428" s="2505">
        <v>0</v>
      </c>
      <c r="AW428" s="2505"/>
      <c r="AX428" s="1362">
        <f t="shared" si="320"/>
        <v>0</v>
      </c>
      <c r="AY428" s="1360">
        <f t="shared" si="321"/>
        <v>0</v>
      </c>
      <c r="AZ428" s="1132" t="str">
        <f t="shared" si="322"/>
        <v>Custom</v>
      </c>
      <c r="BA428" s="1132" t="str">
        <f t="shared" si="323"/>
        <v/>
      </c>
      <c r="BB428" s="2505">
        <v>0</v>
      </c>
      <c r="BC428" s="2505"/>
      <c r="BD428" s="1362">
        <f t="shared" si="324"/>
        <v>0</v>
      </c>
      <c r="BE428" s="1360">
        <f t="shared" si="325"/>
        <v>0</v>
      </c>
      <c r="BF428" s="1132" t="str">
        <f t="shared" si="326"/>
        <v>Custom</v>
      </c>
      <c r="BG428" s="1132" t="str">
        <f t="shared" si="327"/>
        <v/>
      </c>
      <c r="BH428" s="2505">
        <v>0</v>
      </c>
      <c r="BI428" s="2505"/>
      <c r="BJ428" s="1362">
        <f t="shared" si="349"/>
        <v>0</v>
      </c>
      <c r="BK428" s="1360">
        <f t="shared" si="328"/>
        <v>0</v>
      </c>
      <c r="BL428" s="1601">
        <f t="shared" si="329"/>
        <v>0</v>
      </c>
      <c r="BM428" s="1601">
        <f t="shared" si="330"/>
        <v>0</v>
      </c>
      <c r="BN428" s="1601">
        <f t="shared" si="331"/>
        <v>0</v>
      </c>
      <c r="BO428" s="1601">
        <f t="shared" si="332"/>
        <v>0</v>
      </c>
      <c r="BP428" s="1602">
        <f t="shared" si="333"/>
        <v>0</v>
      </c>
      <c r="BQ428" s="1629"/>
      <c r="BR428" s="1629"/>
      <c r="BS428" s="1602">
        <v>0</v>
      </c>
      <c r="BT428" s="1602">
        <v>1</v>
      </c>
      <c r="BU428" s="1602">
        <v>1</v>
      </c>
      <c r="BV428" s="1602">
        <v>1</v>
      </c>
      <c r="BW428" s="1602">
        <v>1</v>
      </c>
      <c r="BX428" s="1362">
        <f t="shared" si="350"/>
        <v>0</v>
      </c>
      <c r="BY428" s="1362">
        <f t="shared" si="351"/>
        <v>0</v>
      </c>
      <c r="BZ428" s="1362">
        <f t="shared" si="352"/>
        <v>0</v>
      </c>
      <c r="CA428" s="1362">
        <f t="shared" si="353"/>
        <v>0</v>
      </c>
      <c r="CB428" s="1362">
        <f t="shared" si="354"/>
        <v>0</v>
      </c>
      <c r="CC428" s="1360">
        <v>1</v>
      </c>
      <c r="CD428" s="1360">
        <v>1</v>
      </c>
      <c r="CE428" s="1360">
        <v>1</v>
      </c>
      <c r="CF428" s="1360">
        <v>1</v>
      </c>
      <c r="CG428" s="1604">
        <f t="shared" si="334"/>
        <v>0</v>
      </c>
      <c r="CH428" s="1604">
        <f t="shared" si="335"/>
        <v>0</v>
      </c>
      <c r="CI428" s="1604">
        <f t="shared" si="336"/>
        <v>0</v>
      </c>
      <c r="CJ428" s="1604">
        <f t="shared" si="337"/>
        <v>0</v>
      </c>
      <c r="CK428" s="1521">
        <f t="shared" si="338"/>
        <v>0</v>
      </c>
      <c r="CL428" s="1132">
        <v>421</v>
      </c>
      <c r="CM428" s="1132" t="s">
        <v>356</v>
      </c>
      <c r="CN428" s="1359">
        <v>1</v>
      </c>
      <c r="CO428" s="1360">
        <v>206.85599999999999</v>
      </c>
      <c r="CP428" s="1360">
        <v>206.85599999999999</v>
      </c>
      <c r="CQ428" s="1360">
        <v>206.85599999999999</v>
      </c>
      <c r="CR428" s="1360">
        <v>206.85599999999999</v>
      </c>
      <c r="CS428" s="1362">
        <f t="shared" si="339"/>
        <v>0</v>
      </c>
      <c r="CT428" s="1362">
        <f t="shared" si="340"/>
        <v>0</v>
      </c>
      <c r="CU428" s="1362">
        <f t="shared" si="341"/>
        <v>0</v>
      </c>
      <c r="CV428" s="1362">
        <f t="shared" si="342"/>
        <v>0</v>
      </c>
      <c r="CW428" s="1362">
        <f t="shared" si="343"/>
        <v>0</v>
      </c>
      <c r="CY428" s="2887"/>
    </row>
    <row r="429" spans="1:103" s="1143" customFormat="1" ht="45.75" customHeight="1" x14ac:dyDescent="0.35">
      <c r="A429" s="1132" t="s">
        <v>111</v>
      </c>
      <c r="B429" s="1132" t="s">
        <v>111</v>
      </c>
      <c r="C429" s="1132" t="s">
        <v>922</v>
      </c>
      <c r="D429" s="1359" t="s">
        <v>105</v>
      </c>
      <c r="E429" s="1359">
        <f t="shared" si="355"/>
        <v>0</v>
      </c>
      <c r="F429" s="1132" t="s">
        <v>105</v>
      </c>
      <c r="G429" s="1132" t="s">
        <v>356</v>
      </c>
      <c r="H429" s="1360">
        <v>8.5680000000000014</v>
      </c>
      <c r="I429" s="1360">
        <v>8.5680000000000014</v>
      </c>
      <c r="J429" s="1360">
        <v>8.5680000000000014</v>
      </c>
      <c r="K429" s="1360">
        <v>8.5680000000000014</v>
      </c>
      <c r="L429" s="1132" t="s">
        <v>105</v>
      </c>
      <c r="M429" s="1132" t="str">
        <f t="shared" si="305"/>
        <v/>
      </c>
      <c r="N429" s="1361">
        <v>0</v>
      </c>
      <c r="O429" s="1361">
        <v>0</v>
      </c>
      <c r="P429" s="1361">
        <v>0</v>
      </c>
      <c r="Q429" s="1361">
        <v>0</v>
      </c>
      <c r="R429" s="1781">
        <v>1</v>
      </c>
      <c r="S429" s="1781">
        <v>1</v>
      </c>
      <c r="T429" s="1781">
        <v>1</v>
      </c>
      <c r="U429" s="1781">
        <v>1</v>
      </c>
      <c r="V429" s="1781">
        <v>1</v>
      </c>
      <c r="W429" s="1781">
        <v>1</v>
      </c>
      <c r="X429" s="1781">
        <v>1</v>
      </c>
      <c r="Y429" s="1781">
        <v>1</v>
      </c>
      <c r="Z429" s="1359">
        <v>0</v>
      </c>
      <c r="AA429" s="1781">
        <f t="shared" si="306"/>
        <v>1</v>
      </c>
      <c r="AB429" s="1781">
        <f t="shared" si="307"/>
        <v>1</v>
      </c>
      <c r="AC429" s="1781">
        <f t="shared" si="308"/>
        <v>1</v>
      </c>
      <c r="AD429" s="1781">
        <f t="shared" si="309"/>
        <v>1</v>
      </c>
      <c r="AE429" s="1781">
        <f t="shared" si="310"/>
        <v>1</v>
      </c>
      <c r="AF429" s="1781">
        <f t="shared" si="311"/>
        <v>1</v>
      </c>
      <c r="AG429" s="1781">
        <f t="shared" si="312"/>
        <v>1</v>
      </c>
      <c r="AH429" s="1781">
        <f t="shared" si="313"/>
        <v>1</v>
      </c>
      <c r="AI429" s="1362">
        <f t="shared" si="344"/>
        <v>0</v>
      </c>
      <c r="AJ429" s="1362">
        <f t="shared" si="345"/>
        <v>0</v>
      </c>
      <c r="AK429" s="1362">
        <f t="shared" si="346"/>
        <v>0</v>
      </c>
      <c r="AL429" s="1362">
        <f t="shared" si="347"/>
        <v>0</v>
      </c>
      <c r="AM429" s="1362">
        <f t="shared" si="348"/>
        <v>0</v>
      </c>
      <c r="AN429" s="1132" t="str">
        <f t="shared" si="314"/>
        <v>Custom</v>
      </c>
      <c r="AO429" s="1132" t="str">
        <f t="shared" si="315"/>
        <v/>
      </c>
      <c r="AP429" s="2505">
        <v>0</v>
      </c>
      <c r="AQ429" s="2505"/>
      <c r="AR429" s="2505">
        <f t="shared" si="316"/>
        <v>0</v>
      </c>
      <c r="AS429" s="2505">
        <f t="shared" si="317"/>
        <v>0</v>
      </c>
      <c r="AT429" s="1132" t="str">
        <f t="shared" si="318"/>
        <v>Custom</v>
      </c>
      <c r="AU429" s="1132" t="str">
        <f t="shared" si="319"/>
        <v/>
      </c>
      <c r="AV429" s="2505">
        <v>0</v>
      </c>
      <c r="AW429" s="2505"/>
      <c r="AX429" s="1362">
        <f t="shared" si="320"/>
        <v>0</v>
      </c>
      <c r="AY429" s="1360">
        <f t="shared" si="321"/>
        <v>0</v>
      </c>
      <c r="AZ429" s="1132" t="str">
        <f t="shared" si="322"/>
        <v>Custom</v>
      </c>
      <c r="BA429" s="1132" t="str">
        <f t="shared" si="323"/>
        <v/>
      </c>
      <c r="BB429" s="2505">
        <v>0</v>
      </c>
      <c r="BC429" s="2505"/>
      <c r="BD429" s="1362">
        <f t="shared" si="324"/>
        <v>0</v>
      </c>
      <c r="BE429" s="1360">
        <f t="shared" si="325"/>
        <v>0</v>
      </c>
      <c r="BF429" s="1132" t="str">
        <f t="shared" si="326"/>
        <v>Custom</v>
      </c>
      <c r="BG429" s="1132" t="str">
        <f t="shared" si="327"/>
        <v/>
      </c>
      <c r="BH429" s="2505">
        <v>0</v>
      </c>
      <c r="BI429" s="2505"/>
      <c r="BJ429" s="1362">
        <f t="shared" si="349"/>
        <v>0</v>
      </c>
      <c r="BK429" s="1360">
        <f t="shared" si="328"/>
        <v>0</v>
      </c>
      <c r="BL429" s="1601">
        <f t="shared" si="329"/>
        <v>0</v>
      </c>
      <c r="BM429" s="1601">
        <f t="shared" si="330"/>
        <v>0</v>
      </c>
      <c r="BN429" s="1601">
        <f t="shared" si="331"/>
        <v>0</v>
      </c>
      <c r="BO429" s="1601">
        <f t="shared" si="332"/>
        <v>0</v>
      </c>
      <c r="BP429" s="1602">
        <f t="shared" si="333"/>
        <v>0</v>
      </c>
      <c r="BQ429" s="1629"/>
      <c r="BR429" s="1629"/>
      <c r="BS429" s="1602">
        <v>0</v>
      </c>
      <c r="BT429" s="1602">
        <v>1</v>
      </c>
      <c r="BU429" s="1602">
        <v>1</v>
      </c>
      <c r="BV429" s="1602">
        <v>1</v>
      </c>
      <c r="BW429" s="1602">
        <v>1</v>
      </c>
      <c r="BX429" s="1362">
        <f t="shared" si="350"/>
        <v>0</v>
      </c>
      <c r="BY429" s="1362">
        <f t="shared" si="351"/>
        <v>0</v>
      </c>
      <c r="BZ429" s="1362">
        <f t="shared" si="352"/>
        <v>0</v>
      </c>
      <c r="CA429" s="1362">
        <f t="shared" si="353"/>
        <v>0</v>
      </c>
      <c r="CB429" s="1362">
        <f t="shared" si="354"/>
        <v>0</v>
      </c>
      <c r="CC429" s="1360">
        <v>1</v>
      </c>
      <c r="CD429" s="1360">
        <v>1</v>
      </c>
      <c r="CE429" s="1360">
        <v>1</v>
      </c>
      <c r="CF429" s="1360">
        <v>1</v>
      </c>
      <c r="CG429" s="1604">
        <f t="shared" si="334"/>
        <v>0</v>
      </c>
      <c r="CH429" s="1604">
        <f t="shared" si="335"/>
        <v>0</v>
      </c>
      <c r="CI429" s="1604">
        <f t="shared" si="336"/>
        <v>0</v>
      </c>
      <c r="CJ429" s="1604">
        <f t="shared" si="337"/>
        <v>0</v>
      </c>
      <c r="CK429" s="1521">
        <f t="shared" si="338"/>
        <v>0</v>
      </c>
      <c r="CL429" s="1132">
        <v>422</v>
      </c>
      <c r="CM429" s="1132" t="s">
        <v>356</v>
      </c>
      <c r="CN429" s="1359">
        <v>1</v>
      </c>
      <c r="CO429" s="1360">
        <v>0</v>
      </c>
      <c r="CP429" s="1360">
        <v>0</v>
      </c>
      <c r="CQ429" s="1360">
        <v>0</v>
      </c>
      <c r="CR429" s="1360">
        <v>0</v>
      </c>
      <c r="CS429" s="1362">
        <f t="shared" si="339"/>
        <v>0</v>
      </c>
      <c r="CT429" s="1362">
        <f t="shared" si="340"/>
        <v>0</v>
      </c>
      <c r="CU429" s="1362">
        <f t="shared" si="341"/>
        <v>0</v>
      </c>
      <c r="CV429" s="1362">
        <f t="shared" si="342"/>
        <v>0</v>
      </c>
      <c r="CW429" s="1362">
        <f t="shared" si="343"/>
        <v>0</v>
      </c>
      <c r="CY429" s="2887"/>
    </row>
    <row r="430" spans="1:103" s="1143" customFormat="1" ht="15.5" x14ac:dyDescent="0.35">
      <c r="A430" s="1132" t="s">
        <v>111</v>
      </c>
      <c r="B430" s="1132" t="s">
        <v>111</v>
      </c>
      <c r="C430" s="1132" t="s">
        <v>923</v>
      </c>
      <c r="D430" s="1359" t="s">
        <v>105</v>
      </c>
      <c r="E430" s="1359">
        <f t="shared" si="355"/>
        <v>0</v>
      </c>
      <c r="F430" s="1132" t="s">
        <v>105</v>
      </c>
      <c r="G430" s="1132" t="s">
        <v>356</v>
      </c>
      <c r="H430" s="1360">
        <v>1.224</v>
      </c>
      <c r="I430" s="1360">
        <v>1.224</v>
      </c>
      <c r="J430" s="1360">
        <v>1.224</v>
      </c>
      <c r="K430" s="1360">
        <v>1.224</v>
      </c>
      <c r="L430" s="1132" t="s">
        <v>105</v>
      </c>
      <c r="M430" s="1132" t="str">
        <f t="shared" si="305"/>
        <v/>
      </c>
      <c r="N430" s="1361">
        <v>0</v>
      </c>
      <c r="O430" s="1361">
        <v>0</v>
      </c>
      <c r="P430" s="1361">
        <v>0</v>
      </c>
      <c r="Q430" s="1361">
        <v>0</v>
      </c>
      <c r="R430" s="1781">
        <v>1</v>
      </c>
      <c r="S430" s="1781">
        <v>1</v>
      </c>
      <c r="T430" s="1781">
        <v>1</v>
      </c>
      <c r="U430" s="1781">
        <v>1</v>
      </c>
      <c r="V430" s="1781">
        <v>1</v>
      </c>
      <c r="W430" s="1781">
        <v>1</v>
      </c>
      <c r="X430" s="1781">
        <v>1</v>
      </c>
      <c r="Y430" s="1781">
        <v>1</v>
      </c>
      <c r="Z430" s="1359">
        <v>0</v>
      </c>
      <c r="AA430" s="1781">
        <f t="shared" si="306"/>
        <v>1</v>
      </c>
      <c r="AB430" s="1781">
        <f t="shared" si="307"/>
        <v>1</v>
      </c>
      <c r="AC430" s="1781">
        <f t="shared" si="308"/>
        <v>1</v>
      </c>
      <c r="AD430" s="1781">
        <f t="shared" si="309"/>
        <v>1</v>
      </c>
      <c r="AE430" s="1781">
        <f t="shared" si="310"/>
        <v>1</v>
      </c>
      <c r="AF430" s="1781">
        <f t="shared" si="311"/>
        <v>1</v>
      </c>
      <c r="AG430" s="1781">
        <f t="shared" si="312"/>
        <v>1</v>
      </c>
      <c r="AH430" s="1781">
        <f t="shared" si="313"/>
        <v>1</v>
      </c>
      <c r="AI430" s="1362">
        <f t="shared" si="344"/>
        <v>0</v>
      </c>
      <c r="AJ430" s="1362">
        <f t="shared" si="345"/>
        <v>0</v>
      </c>
      <c r="AK430" s="1362">
        <f t="shared" si="346"/>
        <v>0</v>
      </c>
      <c r="AL430" s="1362">
        <f t="shared" si="347"/>
        <v>0</v>
      </c>
      <c r="AM430" s="1362">
        <f t="shared" si="348"/>
        <v>0</v>
      </c>
      <c r="AN430" s="1132" t="str">
        <f t="shared" si="314"/>
        <v>Custom</v>
      </c>
      <c r="AO430" s="1132" t="str">
        <f t="shared" si="315"/>
        <v/>
      </c>
      <c r="AP430" s="2505">
        <v>0</v>
      </c>
      <c r="AQ430" s="2505"/>
      <c r="AR430" s="2505">
        <f t="shared" si="316"/>
        <v>0</v>
      </c>
      <c r="AS430" s="2505">
        <f t="shared" si="317"/>
        <v>0</v>
      </c>
      <c r="AT430" s="1132" t="str">
        <f t="shared" si="318"/>
        <v>Custom</v>
      </c>
      <c r="AU430" s="1132" t="str">
        <f t="shared" si="319"/>
        <v/>
      </c>
      <c r="AV430" s="2505">
        <v>0</v>
      </c>
      <c r="AW430" s="2505"/>
      <c r="AX430" s="1362">
        <f t="shared" si="320"/>
        <v>0</v>
      </c>
      <c r="AY430" s="1360">
        <f t="shared" si="321"/>
        <v>0</v>
      </c>
      <c r="AZ430" s="1132" t="str">
        <f t="shared" si="322"/>
        <v>Custom</v>
      </c>
      <c r="BA430" s="1132" t="str">
        <f t="shared" si="323"/>
        <v/>
      </c>
      <c r="BB430" s="2505">
        <v>0</v>
      </c>
      <c r="BC430" s="2505"/>
      <c r="BD430" s="1362">
        <f t="shared" si="324"/>
        <v>0</v>
      </c>
      <c r="BE430" s="1360">
        <f t="shared" si="325"/>
        <v>0</v>
      </c>
      <c r="BF430" s="1132" t="str">
        <f t="shared" si="326"/>
        <v>Custom</v>
      </c>
      <c r="BG430" s="1132" t="str">
        <f t="shared" si="327"/>
        <v/>
      </c>
      <c r="BH430" s="2505">
        <v>0</v>
      </c>
      <c r="BI430" s="2505"/>
      <c r="BJ430" s="1362">
        <f t="shared" si="349"/>
        <v>0</v>
      </c>
      <c r="BK430" s="1360">
        <f t="shared" si="328"/>
        <v>0</v>
      </c>
      <c r="BL430" s="1601">
        <f t="shared" si="329"/>
        <v>0</v>
      </c>
      <c r="BM430" s="1601">
        <f t="shared" si="330"/>
        <v>0</v>
      </c>
      <c r="BN430" s="1601">
        <f t="shared" si="331"/>
        <v>0</v>
      </c>
      <c r="BO430" s="1601">
        <f t="shared" si="332"/>
        <v>0</v>
      </c>
      <c r="BP430" s="1602">
        <f t="shared" si="333"/>
        <v>0</v>
      </c>
      <c r="BQ430" s="1629"/>
      <c r="BR430" s="1629"/>
      <c r="BS430" s="1602">
        <v>0</v>
      </c>
      <c r="BT430" s="1602">
        <v>1</v>
      </c>
      <c r="BU430" s="1602">
        <v>1</v>
      </c>
      <c r="BV430" s="1602">
        <v>1</v>
      </c>
      <c r="BW430" s="1602">
        <v>1</v>
      </c>
      <c r="BX430" s="1362">
        <f t="shared" si="350"/>
        <v>0</v>
      </c>
      <c r="BY430" s="1362">
        <f t="shared" si="351"/>
        <v>0</v>
      </c>
      <c r="BZ430" s="1362">
        <f t="shared" si="352"/>
        <v>0</v>
      </c>
      <c r="CA430" s="1362">
        <f t="shared" si="353"/>
        <v>0</v>
      </c>
      <c r="CB430" s="1362">
        <f t="shared" si="354"/>
        <v>0</v>
      </c>
      <c r="CC430" s="1360">
        <v>1</v>
      </c>
      <c r="CD430" s="1360">
        <v>1</v>
      </c>
      <c r="CE430" s="1360">
        <v>1</v>
      </c>
      <c r="CF430" s="1360">
        <v>1</v>
      </c>
      <c r="CG430" s="1604">
        <f t="shared" si="334"/>
        <v>0</v>
      </c>
      <c r="CH430" s="1604">
        <f t="shared" si="335"/>
        <v>0</v>
      </c>
      <c r="CI430" s="1604">
        <f t="shared" si="336"/>
        <v>0</v>
      </c>
      <c r="CJ430" s="1604">
        <f t="shared" si="337"/>
        <v>0</v>
      </c>
      <c r="CK430" s="1521">
        <f t="shared" si="338"/>
        <v>0</v>
      </c>
      <c r="CL430" s="1132">
        <v>423</v>
      </c>
      <c r="CM430" s="1132" t="s">
        <v>356</v>
      </c>
      <c r="CN430" s="1359">
        <v>1</v>
      </c>
      <c r="CO430" s="1360">
        <v>5.508</v>
      </c>
      <c r="CP430" s="1360">
        <v>5.508</v>
      </c>
      <c r="CQ430" s="1360">
        <v>5.508</v>
      </c>
      <c r="CR430" s="1360">
        <v>5.508</v>
      </c>
      <c r="CS430" s="1362">
        <f t="shared" si="339"/>
        <v>0</v>
      </c>
      <c r="CT430" s="1362">
        <f t="shared" si="340"/>
        <v>0</v>
      </c>
      <c r="CU430" s="1362">
        <f t="shared" si="341"/>
        <v>0</v>
      </c>
      <c r="CV430" s="1362">
        <f t="shared" si="342"/>
        <v>0</v>
      </c>
      <c r="CW430" s="1362">
        <f t="shared" si="343"/>
        <v>0</v>
      </c>
      <c r="CY430" s="2887"/>
    </row>
    <row r="431" spans="1:103" s="1143" customFormat="1" ht="15.5" x14ac:dyDescent="0.35">
      <c r="A431" s="1132" t="s">
        <v>111</v>
      </c>
      <c r="B431" s="1132" t="s">
        <v>111</v>
      </c>
      <c r="C431" s="1132" t="s">
        <v>924</v>
      </c>
      <c r="D431" s="1359" t="s">
        <v>105</v>
      </c>
      <c r="E431" s="1359">
        <f t="shared" si="355"/>
        <v>0</v>
      </c>
      <c r="F431" s="1132" t="s">
        <v>105</v>
      </c>
      <c r="G431" s="1132" t="s">
        <v>356</v>
      </c>
      <c r="H431" s="1360">
        <v>8.5680000000000014</v>
      </c>
      <c r="I431" s="1360">
        <v>8.5680000000000014</v>
      </c>
      <c r="J431" s="1360">
        <v>8.5680000000000014</v>
      </c>
      <c r="K431" s="1360">
        <v>8.5680000000000014</v>
      </c>
      <c r="L431" s="1132" t="s">
        <v>105</v>
      </c>
      <c r="M431" s="1132" t="str">
        <f t="shared" si="305"/>
        <v/>
      </c>
      <c r="N431" s="1361">
        <v>0</v>
      </c>
      <c r="O431" s="1361">
        <v>0</v>
      </c>
      <c r="P431" s="1361">
        <v>0</v>
      </c>
      <c r="Q431" s="1361">
        <v>0</v>
      </c>
      <c r="R431" s="1781">
        <v>1</v>
      </c>
      <c r="S431" s="1781">
        <v>1</v>
      </c>
      <c r="T431" s="1781">
        <v>1</v>
      </c>
      <c r="U431" s="1781">
        <v>1</v>
      </c>
      <c r="V431" s="1781">
        <v>1</v>
      </c>
      <c r="W431" s="1781">
        <v>1</v>
      </c>
      <c r="X431" s="1781">
        <v>1</v>
      </c>
      <c r="Y431" s="1781">
        <v>1</v>
      </c>
      <c r="Z431" s="1359">
        <v>0</v>
      </c>
      <c r="AA431" s="1781">
        <f t="shared" si="306"/>
        <v>1</v>
      </c>
      <c r="AB431" s="1781">
        <f t="shared" si="307"/>
        <v>1</v>
      </c>
      <c r="AC431" s="1781">
        <f t="shared" si="308"/>
        <v>1</v>
      </c>
      <c r="AD431" s="1781">
        <f t="shared" si="309"/>
        <v>1</v>
      </c>
      <c r="AE431" s="1781">
        <f t="shared" si="310"/>
        <v>1</v>
      </c>
      <c r="AF431" s="1781">
        <f t="shared" si="311"/>
        <v>1</v>
      </c>
      <c r="AG431" s="1781">
        <f t="shared" si="312"/>
        <v>1</v>
      </c>
      <c r="AH431" s="1781">
        <f t="shared" si="313"/>
        <v>1</v>
      </c>
      <c r="AI431" s="1362">
        <f t="shared" si="344"/>
        <v>0</v>
      </c>
      <c r="AJ431" s="1362">
        <f t="shared" si="345"/>
        <v>0</v>
      </c>
      <c r="AK431" s="1362">
        <f t="shared" si="346"/>
        <v>0</v>
      </c>
      <c r="AL431" s="1362">
        <f t="shared" si="347"/>
        <v>0</v>
      </c>
      <c r="AM431" s="1362">
        <f t="shared" si="348"/>
        <v>0</v>
      </c>
      <c r="AN431" s="1132" t="str">
        <f t="shared" si="314"/>
        <v>Custom</v>
      </c>
      <c r="AO431" s="1132" t="str">
        <f t="shared" si="315"/>
        <v/>
      </c>
      <c r="AP431" s="2505">
        <v>0</v>
      </c>
      <c r="AQ431" s="2505"/>
      <c r="AR431" s="2505">
        <f t="shared" si="316"/>
        <v>0</v>
      </c>
      <c r="AS431" s="2505">
        <f t="shared" si="317"/>
        <v>0</v>
      </c>
      <c r="AT431" s="1132" t="str">
        <f t="shared" si="318"/>
        <v>Custom</v>
      </c>
      <c r="AU431" s="1132" t="str">
        <f t="shared" si="319"/>
        <v/>
      </c>
      <c r="AV431" s="2505">
        <v>0</v>
      </c>
      <c r="AW431" s="2505"/>
      <c r="AX431" s="1362">
        <f t="shared" si="320"/>
        <v>0</v>
      </c>
      <c r="AY431" s="1360">
        <f t="shared" si="321"/>
        <v>0</v>
      </c>
      <c r="AZ431" s="1132" t="str">
        <f t="shared" si="322"/>
        <v>Custom</v>
      </c>
      <c r="BA431" s="1132" t="str">
        <f t="shared" si="323"/>
        <v/>
      </c>
      <c r="BB431" s="2505">
        <v>0</v>
      </c>
      <c r="BC431" s="2505"/>
      <c r="BD431" s="1362">
        <f t="shared" si="324"/>
        <v>0</v>
      </c>
      <c r="BE431" s="1360">
        <f t="shared" si="325"/>
        <v>0</v>
      </c>
      <c r="BF431" s="1132" t="str">
        <f t="shared" si="326"/>
        <v>Custom</v>
      </c>
      <c r="BG431" s="1132" t="str">
        <f t="shared" si="327"/>
        <v/>
      </c>
      <c r="BH431" s="2505">
        <v>0</v>
      </c>
      <c r="BI431" s="2505"/>
      <c r="BJ431" s="1362">
        <f t="shared" si="349"/>
        <v>0</v>
      </c>
      <c r="BK431" s="1360">
        <f t="shared" si="328"/>
        <v>0</v>
      </c>
      <c r="BL431" s="1601">
        <f t="shared" si="329"/>
        <v>0</v>
      </c>
      <c r="BM431" s="1601">
        <f t="shared" si="330"/>
        <v>0</v>
      </c>
      <c r="BN431" s="1601">
        <f t="shared" si="331"/>
        <v>0</v>
      </c>
      <c r="BO431" s="1601">
        <f t="shared" si="332"/>
        <v>0</v>
      </c>
      <c r="BP431" s="1602">
        <f t="shared" si="333"/>
        <v>0</v>
      </c>
      <c r="BQ431" s="1629"/>
      <c r="BR431" s="1629"/>
      <c r="BS431" s="1602">
        <v>0</v>
      </c>
      <c r="BT431" s="1602">
        <v>1</v>
      </c>
      <c r="BU431" s="1602">
        <v>1</v>
      </c>
      <c r="BV431" s="1602">
        <v>1</v>
      </c>
      <c r="BW431" s="1602">
        <v>1</v>
      </c>
      <c r="BX431" s="1362">
        <f t="shared" si="350"/>
        <v>0</v>
      </c>
      <c r="BY431" s="1362">
        <f t="shared" si="351"/>
        <v>0</v>
      </c>
      <c r="BZ431" s="1362">
        <f t="shared" si="352"/>
        <v>0</v>
      </c>
      <c r="CA431" s="1362">
        <f t="shared" si="353"/>
        <v>0</v>
      </c>
      <c r="CB431" s="1362">
        <f t="shared" si="354"/>
        <v>0</v>
      </c>
      <c r="CC431" s="1360">
        <v>1</v>
      </c>
      <c r="CD431" s="1360">
        <v>1</v>
      </c>
      <c r="CE431" s="1360">
        <v>1</v>
      </c>
      <c r="CF431" s="1360">
        <v>1</v>
      </c>
      <c r="CG431" s="1604">
        <f t="shared" si="334"/>
        <v>0</v>
      </c>
      <c r="CH431" s="1604">
        <f t="shared" si="335"/>
        <v>0</v>
      </c>
      <c r="CI431" s="1604">
        <f t="shared" si="336"/>
        <v>0</v>
      </c>
      <c r="CJ431" s="1604">
        <f t="shared" si="337"/>
        <v>0</v>
      </c>
      <c r="CK431" s="1521">
        <f t="shared" si="338"/>
        <v>0</v>
      </c>
      <c r="CL431" s="1132">
        <v>424</v>
      </c>
      <c r="CM431" s="1132" t="s">
        <v>356</v>
      </c>
      <c r="CN431" s="1359">
        <v>1</v>
      </c>
      <c r="CO431" s="1360">
        <v>0</v>
      </c>
      <c r="CP431" s="1360">
        <v>0</v>
      </c>
      <c r="CQ431" s="1360">
        <v>0</v>
      </c>
      <c r="CR431" s="1360">
        <v>0</v>
      </c>
      <c r="CS431" s="1362">
        <f t="shared" si="339"/>
        <v>0</v>
      </c>
      <c r="CT431" s="1362">
        <f t="shared" si="340"/>
        <v>0</v>
      </c>
      <c r="CU431" s="1362">
        <f t="shared" si="341"/>
        <v>0</v>
      </c>
      <c r="CV431" s="1362">
        <f t="shared" si="342"/>
        <v>0</v>
      </c>
      <c r="CW431" s="1362">
        <f t="shared" si="343"/>
        <v>0</v>
      </c>
      <c r="CY431" s="2887"/>
    </row>
    <row r="432" spans="1:103" s="1143" customFormat="1" ht="45.75" customHeight="1" x14ac:dyDescent="0.35">
      <c r="A432" s="1132" t="s">
        <v>111</v>
      </c>
      <c r="B432" s="1132" t="s">
        <v>111</v>
      </c>
      <c r="C432" s="1132" t="s">
        <v>925</v>
      </c>
      <c r="D432" s="1359" t="s">
        <v>105</v>
      </c>
      <c r="E432" s="1359">
        <f t="shared" si="355"/>
        <v>0</v>
      </c>
      <c r="F432" s="1132" t="s">
        <v>105</v>
      </c>
      <c r="G432" s="1132" t="s">
        <v>356</v>
      </c>
      <c r="H432" s="1360">
        <v>1.224</v>
      </c>
      <c r="I432" s="1360">
        <v>1.224</v>
      </c>
      <c r="J432" s="1360">
        <v>1.224</v>
      </c>
      <c r="K432" s="1360">
        <v>1.224</v>
      </c>
      <c r="L432" s="1132" t="s">
        <v>105</v>
      </c>
      <c r="M432" s="1132" t="str">
        <f t="shared" si="305"/>
        <v/>
      </c>
      <c r="N432" s="1361">
        <v>0</v>
      </c>
      <c r="O432" s="1361">
        <v>0</v>
      </c>
      <c r="P432" s="1361">
        <v>0</v>
      </c>
      <c r="Q432" s="1361">
        <v>0</v>
      </c>
      <c r="R432" s="1781">
        <v>1</v>
      </c>
      <c r="S432" s="1781">
        <v>1</v>
      </c>
      <c r="T432" s="1781">
        <v>1</v>
      </c>
      <c r="U432" s="1781">
        <v>1</v>
      </c>
      <c r="V432" s="1781">
        <v>1</v>
      </c>
      <c r="W432" s="1781">
        <v>1</v>
      </c>
      <c r="X432" s="1781">
        <v>1</v>
      </c>
      <c r="Y432" s="1781">
        <v>1</v>
      </c>
      <c r="Z432" s="1359">
        <v>0</v>
      </c>
      <c r="AA432" s="1781">
        <f t="shared" si="306"/>
        <v>1</v>
      </c>
      <c r="AB432" s="1781">
        <f t="shared" si="307"/>
        <v>1</v>
      </c>
      <c r="AC432" s="1781">
        <f t="shared" si="308"/>
        <v>1</v>
      </c>
      <c r="AD432" s="1781">
        <f t="shared" si="309"/>
        <v>1</v>
      </c>
      <c r="AE432" s="1781">
        <f t="shared" si="310"/>
        <v>1</v>
      </c>
      <c r="AF432" s="1781">
        <f t="shared" si="311"/>
        <v>1</v>
      </c>
      <c r="AG432" s="1781">
        <f t="shared" si="312"/>
        <v>1</v>
      </c>
      <c r="AH432" s="1781">
        <f t="shared" si="313"/>
        <v>1</v>
      </c>
      <c r="AI432" s="1362">
        <f t="shared" si="344"/>
        <v>0</v>
      </c>
      <c r="AJ432" s="1362">
        <f t="shared" si="345"/>
        <v>0</v>
      </c>
      <c r="AK432" s="1362">
        <f t="shared" si="346"/>
        <v>0</v>
      </c>
      <c r="AL432" s="1362">
        <f t="shared" si="347"/>
        <v>0</v>
      </c>
      <c r="AM432" s="1362">
        <f t="shared" si="348"/>
        <v>0</v>
      </c>
      <c r="AN432" s="1132" t="str">
        <f t="shared" si="314"/>
        <v>Custom</v>
      </c>
      <c r="AO432" s="1132" t="str">
        <f t="shared" si="315"/>
        <v/>
      </c>
      <c r="AP432" s="2505">
        <v>0</v>
      </c>
      <c r="AQ432" s="2505"/>
      <c r="AR432" s="2505">
        <f t="shared" si="316"/>
        <v>0</v>
      </c>
      <c r="AS432" s="2505">
        <f t="shared" si="317"/>
        <v>0</v>
      </c>
      <c r="AT432" s="1132" t="str">
        <f t="shared" si="318"/>
        <v>Custom</v>
      </c>
      <c r="AU432" s="1132" t="str">
        <f t="shared" si="319"/>
        <v/>
      </c>
      <c r="AV432" s="2505">
        <v>0</v>
      </c>
      <c r="AW432" s="2505"/>
      <c r="AX432" s="1362">
        <f t="shared" si="320"/>
        <v>0</v>
      </c>
      <c r="AY432" s="1360">
        <f t="shared" si="321"/>
        <v>0</v>
      </c>
      <c r="AZ432" s="1132" t="str">
        <f t="shared" si="322"/>
        <v>Custom</v>
      </c>
      <c r="BA432" s="1132" t="str">
        <f t="shared" si="323"/>
        <v/>
      </c>
      <c r="BB432" s="2505">
        <v>0</v>
      </c>
      <c r="BC432" s="2505"/>
      <c r="BD432" s="1362">
        <f t="shared" si="324"/>
        <v>0</v>
      </c>
      <c r="BE432" s="1360">
        <f t="shared" si="325"/>
        <v>0</v>
      </c>
      <c r="BF432" s="1132" t="str">
        <f t="shared" si="326"/>
        <v>Custom</v>
      </c>
      <c r="BG432" s="1132" t="str">
        <f t="shared" si="327"/>
        <v/>
      </c>
      <c r="BH432" s="2505">
        <v>0</v>
      </c>
      <c r="BI432" s="2505"/>
      <c r="BJ432" s="1362">
        <f t="shared" si="349"/>
        <v>0</v>
      </c>
      <c r="BK432" s="1360">
        <f t="shared" si="328"/>
        <v>0</v>
      </c>
      <c r="BL432" s="1601">
        <f t="shared" si="329"/>
        <v>0</v>
      </c>
      <c r="BM432" s="1601">
        <f t="shared" si="330"/>
        <v>0</v>
      </c>
      <c r="BN432" s="1601">
        <f t="shared" si="331"/>
        <v>0</v>
      </c>
      <c r="BO432" s="1601">
        <f t="shared" si="332"/>
        <v>0</v>
      </c>
      <c r="BP432" s="1602">
        <f t="shared" si="333"/>
        <v>0</v>
      </c>
      <c r="BQ432" s="1629"/>
      <c r="BR432" s="1629"/>
      <c r="BS432" s="1602">
        <v>0</v>
      </c>
      <c r="BT432" s="1602">
        <v>1</v>
      </c>
      <c r="BU432" s="1602">
        <v>1</v>
      </c>
      <c r="BV432" s="1602">
        <v>1</v>
      </c>
      <c r="BW432" s="1602">
        <v>1</v>
      </c>
      <c r="BX432" s="1362">
        <f t="shared" si="350"/>
        <v>0</v>
      </c>
      <c r="BY432" s="1362">
        <f t="shared" si="351"/>
        <v>0</v>
      </c>
      <c r="BZ432" s="1362">
        <f t="shared" si="352"/>
        <v>0</v>
      </c>
      <c r="CA432" s="1362">
        <f t="shared" si="353"/>
        <v>0</v>
      </c>
      <c r="CB432" s="1362">
        <f t="shared" si="354"/>
        <v>0</v>
      </c>
      <c r="CC432" s="1360">
        <v>1</v>
      </c>
      <c r="CD432" s="1360">
        <v>1</v>
      </c>
      <c r="CE432" s="1360">
        <v>1</v>
      </c>
      <c r="CF432" s="1360">
        <v>1</v>
      </c>
      <c r="CG432" s="1604">
        <f t="shared" si="334"/>
        <v>0</v>
      </c>
      <c r="CH432" s="1604">
        <f t="shared" si="335"/>
        <v>0</v>
      </c>
      <c r="CI432" s="1604">
        <f t="shared" si="336"/>
        <v>0</v>
      </c>
      <c r="CJ432" s="1604">
        <f t="shared" si="337"/>
        <v>0</v>
      </c>
      <c r="CK432" s="1521">
        <f t="shared" si="338"/>
        <v>0</v>
      </c>
      <c r="CL432" s="1132">
        <v>425</v>
      </c>
      <c r="CM432" s="1132" t="s">
        <v>356</v>
      </c>
      <c r="CN432" s="1359">
        <v>1</v>
      </c>
      <c r="CO432" s="1360">
        <v>5.508</v>
      </c>
      <c r="CP432" s="1360">
        <v>5.508</v>
      </c>
      <c r="CQ432" s="1360">
        <v>5.508</v>
      </c>
      <c r="CR432" s="1360">
        <v>5.508</v>
      </c>
      <c r="CS432" s="1362">
        <f t="shared" si="339"/>
        <v>0</v>
      </c>
      <c r="CT432" s="1362">
        <f t="shared" si="340"/>
        <v>0</v>
      </c>
      <c r="CU432" s="1362">
        <f t="shared" si="341"/>
        <v>0</v>
      </c>
      <c r="CV432" s="1362">
        <f t="shared" si="342"/>
        <v>0</v>
      </c>
      <c r="CW432" s="1362">
        <f t="shared" si="343"/>
        <v>0</v>
      </c>
      <c r="CY432" s="2887"/>
    </row>
    <row r="433" spans="1:103" s="1143" customFormat="1" ht="45.75" customHeight="1" x14ac:dyDescent="0.35">
      <c r="A433" s="1132" t="s">
        <v>111</v>
      </c>
      <c r="B433" s="1132" t="s">
        <v>111</v>
      </c>
      <c r="C433" s="1132" t="s">
        <v>926</v>
      </c>
      <c r="D433" s="1359" t="s">
        <v>105</v>
      </c>
      <c r="E433" s="1359">
        <f t="shared" si="355"/>
        <v>0</v>
      </c>
      <c r="F433" s="1132" t="s">
        <v>105</v>
      </c>
      <c r="G433" s="1132" t="s">
        <v>356</v>
      </c>
      <c r="H433" s="1360">
        <v>1.224</v>
      </c>
      <c r="I433" s="1360">
        <v>1.224</v>
      </c>
      <c r="J433" s="1360">
        <v>1.224</v>
      </c>
      <c r="K433" s="1360">
        <v>1.224</v>
      </c>
      <c r="L433" s="1132" t="s">
        <v>105</v>
      </c>
      <c r="M433" s="1132" t="str">
        <f t="shared" si="305"/>
        <v/>
      </c>
      <c r="N433" s="1361">
        <v>0</v>
      </c>
      <c r="O433" s="1361">
        <v>0</v>
      </c>
      <c r="P433" s="1361">
        <v>0</v>
      </c>
      <c r="Q433" s="1361">
        <v>0</v>
      </c>
      <c r="R433" s="1781">
        <v>1</v>
      </c>
      <c r="S433" s="1781">
        <v>1</v>
      </c>
      <c r="T433" s="1781">
        <v>1</v>
      </c>
      <c r="U433" s="1781">
        <v>1</v>
      </c>
      <c r="V433" s="1781">
        <v>1</v>
      </c>
      <c r="W433" s="1781">
        <v>1</v>
      </c>
      <c r="X433" s="1781">
        <v>1</v>
      </c>
      <c r="Y433" s="1781">
        <v>1</v>
      </c>
      <c r="Z433" s="1359">
        <v>0</v>
      </c>
      <c r="AA433" s="1781">
        <f t="shared" si="306"/>
        <v>1</v>
      </c>
      <c r="AB433" s="1781">
        <f t="shared" si="307"/>
        <v>1</v>
      </c>
      <c r="AC433" s="1781">
        <f t="shared" si="308"/>
        <v>1</v>
      </c>
      <c r="AD433" s="1781">
        <f t="shared" si="309"/>
        <v>1</v>
      </c>
      <c r="AE433" s="1781">
        <f t="shared" si="310"/>
        <v>1</v>
      </c>
      <c r="AF433" s="1781">
        <f t="shared" si="311"/>
        <v>1</v>
      </c>
      <c r="AG433" s="1781">
        <f t="shared" si="312"/>
        <v>1</v>
      </c>
      <c r="AH433" s="1781">
        <f t="shared" si="313"/>
        <v>1</v>
      </c>
      <c r="AI433" s="1362">
        <f t="shared" si="344"/>
        <v>0</v>
      </c>
      <c r="AJ433" s="1362">
        <f t="shared" si="345"/>
        <v>0</v>
      </c>
      <c r="AK433" s="1362">
        <f t="shared" si="346"/>
        <v>0</v>
      </c>
      <c r="AL433" s="1362">
        <f t="shared" si="347"/>
        <v>0</v>
      </c>
      <c r="AM433" s="1362">
        <f t="shared" si="348"/>
        <v>0</v>
      </c>
      <c r="AN433" s="1132" t="str">
        <f t="shared" si="314"/>
        <v>Custom</v>
      </c>
      <c r="AO433" s="1132" t="str">
        <f t="shared" si="315"/>
        <v/>
      </c>
      <c r="AP433" s="2505">
        <v>0</v>
      </c>
      <c r="AQ433" s="2505"/>
      <c r="AR433" s="2505">
        <f t="shared" si="316"/>
        <v>0</v>
      </c>
      <c r="AS433" s="2505">
        <f t="shared" si="317"/>
        <v>0</v>
      </c>
      <c r="AT433" s="1132" t="str">
        <f t="shared" si="318"/>
        <v>Custom</v>
      </c>
      <c r="AU433" s="1132" t="str">
        <f t="shared" si="319"/>
        <v/>
      </c>
      <c r="AV433" s="2505">
        <v>0</v>
      </c>
      <c r="AW433" s="2505"/>
      <c r="AX433" s="1362">
        <f t="shared" si="320"/>
        <v>0</v>
      </c>
      <c r="AY433" s="1360">
        <f t="shared" si="321"/>
        <v>0</v>
      </c>
      <c r="AZ433" s="1132" t="str">
        <f t="shared" si="322"/>
        <v>Custom</v>
      </c>
      <c r="BA433" s="1132" t="str">
        <f t="shared" si="323"/>
        <v/>
      </c>
      <c r="BB433" s="2505">
        <v>0</v>
      </c>
      <c r="BC433" s="2505"/>
      <c r="BD433" s="1362">
        <f t="shared" si="324"/>
        <v>0</v>
      </c>
      <c r="BE433" s="1360">
        <f t="shared" si="325"/>
        <v>0</v>
      </c>
      <c r="BF433" s="1132" t="str">
        <f t="shared" si="326"/>
        <v>Custom</v>
      </c>
      <c r="BG433" s="1132" t="str">
        <f t="shared" si="327"/>
        <v/>
      </c>
      <c r="BH433" s="2505">
        <v>0</v>
      </c>
      <c r="BI433" s="2505"/>
      <c r="BJ433" s="1362">
        <f t="shared" si="349"/>
        <v>0</v>
      </c>
      <c r="BK433" s="1360">
        <f t="shared" si="328"/>
        <v>0</v>
      </c>
      <c r="BL433" s="1601">
        <f t="shared" si="329"/>
        <v>0</v>
      </c>
      <c r="BM433" s="1601">
        <f t="shared" si="330"/>
        <v>0</v>
      </c>
      <c r="BN433" s="1601">
        <f t="shared" si="331"/>
        <v>0</v>
      </c>
      <c r="BO433" s="1601">
        <f t="shared" si="332"/>
        <v>0</v>
      </c>
      <c r="BP433" s="1602">
        <f t="shared" si="333"/>
        <v>0</v>
      </c>
      <c r="BQ433" s="1629"/>
      <c r="BR433" s="1629"/>
      <c r="BS433" s="1602">
        <v>0</v>
      </c>
      <c r="BT433" s="1602">
        <v>1</v>
      </c>
      <c r="BU433" s="1602">
        <v>1</v>
      </c>
      <c r="BV433" s="1602">
        <v>1</v>
      </c>
      <c r="BW433" s="1602">
        <v>1</v>
      </c>
      <c r="BX433" s="1362">
        <f t="shared" si="350"/>
        <v>0</v>
      </c>
      <c r="BY433" s="1362">
        <f t="shared" si="351"/>
        <v>0</v>
      </c>
      <c r="BZ433" s="1362">
        <f t="shared" si="352"/>
        <v>0</v>
      </c>
      <c r="CA433" s="1362">
        <f t="shared" si="353"/>
        <v>0</v>
      </c>
      <c r="CB433" s="1362">
        <f t="shared" si="354"/>
        <v>0</v>
      </c>
      <c r="CC433" s="1360">
        <v>1</v>
      </c>
      <c r="CD433" s="1360">
        <v>1</v>
      </c>
      <c r="CE433" s="1360">
        <v>1</v>
      </c>
      <c r="CF433" s="1360">
        <v>1</v>
      </c>
      <c r="CG433" s="1604">
        <f t="shared" si="334"/>
        <v>0</v>
      </c>
      <c r="CH433" s="1604">
        <f t="shared" si="335"/>
        <v>0</v>
      </c>
      <c r="CI433" s="1604">
        <f t="shared" si="336"/>
        <v>0</v>
      </c>
      <c r="CJ433" s="1604">
        <f t="shared" si="337"/>
        <v>0</v>
      </c>
      <c r="CK433" s="1521">
        <f t="shared" si="338"/>
        <v>0</v>
      </c>
      <c r="CL433" s="1132">
        <v>426</v>
      </c>
      <c r="CM433" s="1132" t="s">
        <v>356</v>
      </c>
      <c r="CN433" s="1359">
        <v>1</v>
      </c>
      <c r="CO433" s="1360">
        <v>0</v>
      </c>
      <c r="CP433" s="1360">
        <v>0</v>
      </c>
      <c r="CQ433" s="1360">
        <v>0</v>
      </c>
      <c r="CR433" s="1360">
        <v>0</v>
      </c>
      <c r="CS433" s="1362">
        <f t="shared" si="339"/>
        <v>0</v>
      </c>
      <c r="CT433" s="1362">
        <f t="shared" si="340"/>
        <v>0</v>
      </c>
      <c r="CU433" s="1362">
        <f t="shared" si="341"/>
        <v>0</v>
      </c>
      <c r="CV433" s="1362">
        <f t="shared" si="342"/>
        <v>0</v>
      </c>
      <c r="CW433" s="1362">
        <f t="shared" si="343"/>
        <v>0</v>
      </c>
      <c r="CY433" s="2887"/>
    </row>
    <row r="434" spans="1:103" s="1143" customFormat="1" ht="45.75" customHeight="1" x14ac:dyDescent="0.35">
      <c r="A434" s="1132" t="s">
        <v>111</v>
      </c>
      <c r="B434" s="1132" t="s">
        <v>111</v>
      </c>
      <c r="C434" s="1132" t="s">
        <v>927</v>
      </c>
      <c r="D434" s="1359" t="s">
        <v>105</v>
      </c>
      <c r="E434" s="1359">
        <f t="shared" si="355"/>
        <v>0</v>
      </c>
      <c r="F434" s="1132" t="s">
        <v>105</v>
      </c>
      <c r="G434" s="1132" t="s">
        <v>356</v>
      </c>
      <c r="H434" s="1360">
        <v>2.448</v>
      </c>
      <c r="I434" s="1360">
        <v>2.448</v>
      </c>
      <c r="J434" s="1360">
        <v>2.448</v>
      </c>
      <c r="K434" s="1360">
        <v>2.448</v>
      </c>
      <c r="L434" s="1132" t="s">
        <v>105</v>
      </c>
      <c r="M434" s="1132" t="str">
        <f t="shared" si="305"/>
        <v/>
      </c>
      <c r="N434" s="1361">
        <v>0</v>
      </c>
      <c r="O434" s="1361">
        <v>0</v>
      </c>
      <c r="P434" s="1361">
        <v>0</v>
      </c>
      <c r="Q434" s="1361">
        <v>0</v>
      </c>
      <c r="R434" s="1781">
        <v>1</v>
      </c>
      <c r="S434" s="1781">
        <v>1</v>
      </c>
      <c r="T434" s="1781">
        <v>1</v>
      </c>
      <c r="U434" s="1781">
        <v>1</v>
      </c>
      <c r="V434" s="1781">
        <v>1</v>
      </c>
      <c r="W434" s="1781">
        <v>1</v>
      </c>
      <c r="X434" s="1781">
        <v>1</v>
      </c>
      <c r="Y434" s="1781">
        <v>1</v>
      </c>
      <c r="Z434" s="1359">
        <v>0</v>
      </c>
      <c r="AA434" s="1781">
        <f t="shared" si="306"/>
        <v>1</v>
      </c>
      <c r="AB434" s="1781">
        <f t="shared" si="307"/>
        <v>1</v>
      </c>
      <c r="AC434" s="1781">
        <f t="shared" si="308"/>
        <v>1</v>
      </c>
      <c r="AD434" s="1781">
        <f t="shared" si="309"/>
        <v>1</v>
      </c>
      <c r="AE434" s="1781">
        <f t="shared" si="310"/>
        <v>1</v>
      </c>
      <c r="AF434" s="1781">
        <f t="shared" si="311"/>
        <v>1</v>
      </c>
      <c r="AG434" s="1781">
        <f t="shared" si="312"/>
        <v>1</v>
      </c>
      <c r="AH434" s="1781">
        <f t="shared" si="313"/>
        <v>1</v>
      </c>
      <c r="AI434" s="1362">
        <f t="shared" si="344"/>
        <v>0</v>
      </c>
      <c r="AJ434" s="1362">
        <f t="shared" si="345"/>
        <v>0</v>
      </c>
      <c r="AK434" s="1362">
        <f t="shared" si="346"/>
        <v>0</v>
      </c>
      <c r="AL434" s="1362">
        <f t="shared" si="347"/>
        <v>0</v>
      </c>
      <c r="AM434" s="1362">
        <f t="shared" si="348"/>
        <v>0</v>
      </c>
      <c r="AN434" s="1132" t="str">
        <f t="shared" si="314"/>
        <v>Custom</v>
      </c>
      <c r="AO434" s="1132" t="str">
        <f t="shared" si="315"/>
        <v/>
      </c>
      <c r="AP434" s="2505">
        <v>0</v>
      </c>
      <c r="AQ434" s="2505"/>
      <c r="AR434" s="2505">
        <f t="shared" si="316"/>
        <v>0</v>
      </c>
      <c r="AS434" s="2505">
        <f t="shared" si="317"/>
        <v>0</v>
      </c>
      <c r="AT434" s="1132" t="str">
        <f t="shared" si="318"/>
        <v>Custom</v>
      </c>
      <c r="AU434" s="1132" t="str">
        <f t="shared" si="319"/>
        <v/>
      </c>
      <c r="AV434" s="2505">
        <v>0</v>
      </c>
      <c r="AW434" s="2505"/>
      <c r="AX434" s="1362">
        <f t="shared" si="320"/>
        <v>0</v>
      </c>
      <c r="AY434" s="1360">
        <f t="shared" si="321"/>
        <v>0</v>
      </c>
      <c r="AZ434" s="1132" t="str">
        <f t="shared" si="322"/>
        <v>Custom</v>
      </c>
      <c r="BA434" s="1132" t="str">
        <f t="shared" si="323"/>
        <v/>
      </c>
      <c r="BB434" s="2505">
        <v>0</v>
      </c>
      <c r="BC434" s="2505"/>
      <c r="BD434" s="1362">
        <f t="shared" si="324"/>
        <v>0</v>
      </c>
      <c r="BE434" s="1360">
        <f t="shared" si="325"/>
        <v>0</v>
      </c>
      <c r="BF434" s="1132" t="str">
        <f t="shared" si="326"/>
        <v>Custom</v>
      </c>
      <c r="BG434" s="1132" t="str">
        <f t="shared" si="327"/>
        <v/>
      </c>
      <c r="BH434" s="2505">
        <v>0</v>
      </c>
      <c r="BI434" s="2505"/>
      <c r="BJ434" s="1362">
        <f t="shared" si="349"/>
        <v>0</v>
      </c>
      <c r="BK434" s="1360">
        <f t="shared" si="328"/>
        <v>0</v>
      </c>
      <c r="BL434" s="1601">
        <f t="shared" si="329"/>
        <v>0</v>
      </c>
      <c r="BM434" s="1601">
        <f t="shared" si="330"/>
        <v>0</v>
      </c>
      <c r="BN434" s="1601">
        <f t="shared" si="331"/>
        <v>0</v>
      </c>
      <c r="BO434" s="1601">
        <f t="shared" si="332"/>
        <v>0</v>
      </c>
      <c r="BP434" s="1602">
        <f t="shared" si="333"/>
        <v>0</v>
      </c>
      <c r="BQ434" s="1629"/>
      <c r="BR434" s="1629"/>
      <c r="BS434" s="1602">
        <v>0</v>
      </c>
      <c r="BT434" s="1602">
        <v>1</v>
      </c>
      <c r="BU434" s="1602">
        <v>1</v>
      </c>
      <c r="BV434" s="1602">
        <v>1</v>
      </c>
      <c r="BW434" s="1602">
        <v>1</v>
      </c>
      <c r="BX434" s="1362">
        <f t="shared" si="350"/>
        <v>0</v>
      </c>
      <c r="BY434" s="1362">
        <f t="shared" si="351"/>
        <v>0</v>
      </c>
      <c r="BZ434" s="1362">
        <f t="shared" si="352"/>
        <v>0</v>
      </c>
      <c r="CA434" s="1362">
        <f t="shared" si="353"/>
        <v>0</v>
      </c>
      <c r="CB434" s="1362">
        <f t="shared" si="354"/>
        <v>0</v>
      </c>
      <c r="CC434" s="1360">
        <v>1</v>
      </c>
      <c r="CD434" s="1360">
        <v>1</v>
      </c>
      <c r="CE434" s="1360">
        <v>1</v>
      </c>
      <c r="CF434" s="1360">
        <v>1</v>
      </c>
      <c r="CG434" s="1604">
        <f t="shared" si="334"/>
        <v>0</v>
      </c>
      <c r="CH434" s="1604">
        <f t="shared" si="335"/>
        <v>0</v>
      </c>
      <c r="CI434" s="1604">
        <f t="shared" si="336"/>
        <v>0</v>
      </c>
      <c r="CJ434" s="1604">
        <f t="shared" si="337"/>
        <v>0</v>
      </c>
      <c r="CK434" s="1521">
        <f t="shared" si="338"/>
        <v>0</v>
      </c>
      <c r="CL434" s="1132">
        <v>427</v>
      </c>
      <c r="CM434" s="1132" t="s">
        <v>356</v>
      </c>
      <c r="CN434" s="1359">
        <v>1</v>
      </c>
      <c r="CO434" s="1360">
        <v>3.0110399999999999</v>
      </c>
      <c r="CP434" s="1360">
        <v>3.0110399999999999</v>
      </c>
      <c r="CQ434" s="1360">
        <v>3.0110399999999999</v>
      </c>
      <c r="CR434" s="1360">
        <v>3.0110399999999999</v>
      </c>
      <c r="CS434" s="1362">
        <f t="shared" si="339"/>
        <v>0</v>
      </c>
      <c r="CT434" s="1362">
        <f t="shared" si="340"/>
        <v>0</v>
      </c>
      <c r="CU434" s="1362">
        <f t="shared" si="341"/>
        <v>0</v>
      </c>
      <c r="CV434" s="1362">
        <f t="shared" si="342"/>
        <v>0</v>
      </c>
      <c r="CW434" s="1362">
        <f t="shared" si="343"/>
        <v>0</v>
      </c>
      <c r="CY434" s="2887"/>
    </row>
    <row r="435" spans="1:103" s="1143" customFormat="1" ht="45.75" customHeight="1" x14ac:dyDescent="0.35">
      <c r="A435" s="1132" t="s">
        <v>111</v>
      </c>
      <c r="B435" s="1132" t="s">
        <v>111</v>
      </c>
      <c r="C435" s="1132" t="s">
        <v>928</v>
      </c>
      <c r="D435" s="1359" t="s">
        <v>105</v>
      </c>
      <c r="E435" s="1359">
        <f t="shared" si="355"/>
        <v>0</v>
      </c>
      <c r="F435" s="1132" t="s">
        <v>105</v>
      </c>
      <c r="G435" s="1132" t="s">
        <v>356</v>
      </c>
      <c r="H435" s="1360">
        <v>214.20000000000002</v>
      </c>
      <c r="I435" s="1360">
        <v>214.20000000000002</v>
      </c>
      <c r="J435" s="1360">
        <v>214.20000000000002</v>
      </c>
      <c r="K435" s="1360">
        <v>214.20000000000002</v>
      </c>
      <c r="L435" s="1132" t="s">
        <v>105</v>
      </c>
      <c r="M435" s="1132" t="str">
        <f t="shared" si="305"/>
        <v/>
      </c>
      <c r="N435" s="1361">
        <v>0</v>
      </c>
      <c r="O435" s="1361">
        <v>0</v>
      </c>
      <c r="P435" s="1361">
        <v>0</v>
      </c>
      <c r="Q435" s="1361">
        <v>0</v>
      </c>
      <c r="R435" s="1781">
        <v>1</v>
      </c>
      <c r="S435" s="1781">
        <v>1</v>
      </c>
      <c r="T435" s="1781">
        <v>1</v>
      </c>
      <c r="U435" s="1781">
        <v>1</v>
      </c>
      <c r="V435" s="1781">
        <v>1</v>
      </c>
      <c r="W435" s="1781">
        <v>1</v>
      </c>
      <c r="X435" s="1781">
        <v>1</v>
      </c>
      <c r="Y435" s="1781">
        <v>1</v>
      </c>
      <c r="Z435" s="1359">
        <v>0</v>
      </c>
      <c r="AA435" s="1781">
        <f t="shared" si="306"/>
        <v>1</v>
      </c>
      <c r="AB435" s="1781">
        <f t="shared" si="307"/>
        <v>1</v>
      </c>
      <c r="AC435" s="1781">
        <f t="shared" si="308"/>
        <v>1</v>
      </c>
      <c r="AD435" s="1781">
        <f t="shared" si="309"/>
        <v>1</v>
      </c>
      <c r="AE435" s="1781">
        <f t="shared" si="310"/>
        <v>1</v>
      </c>
      <c r="AF435" s="1781">
        <f t="shared" si="311"/>
        <v>1</v>
      </c>
      <c r="AG435" s="1781">
        <f t="shared" si="312"/>
        <v>1</v>
      </c>
      <c r="AH435" s="1781">
        <f t="shared" si="313"/>
        <v>1</v>
      </c>
      <c r="AI435" s="1362">
        <f t="shared" si="344"/>
        <v>0</v>
      </c>
      <c r="AJ435" s="1362">
        <f t="shared" si="345"/>
        <v>0</v>
      </c>
      <c r="AK435" s="1362">
        <f t="shared" si="346"/>
        <v>0</v>
      </c>
      <c r="AL435" s="1362">
        <f t="shared" si="347"/>
        <v>0</v>
      </c>
      <c r="AM435" s="1362">
        <f t="shared" si="348"/>
        <v>0</v>
      </c>
      <c r="AN435" s="1132" t="str">
        <f t="shared" si="314"/>
        <v>Custom</v>
      </c>
      <c r="AO435" s="1132" t="str">
        <f t="shared" si="315"/>
        <v/>
      </c>
      <c r="AP435" s="2505">
        <v>0</v>
      </c>
      <c r="AQ435" s="2505"/>
      <c r="AR435" s="2505">
        <f t="shared" si="316"/>
        <v>0</v>
      </c>
      <c r="AS435" s="2505">
        <f t="shared" si="317"/>
        <v>0</v>
      </c>
      <c r="AT435" s="1132" t="str">
        <f t="shared" si="318"/>
        <v>Custom</v>
      </c>
      <c r="AU435" s="1132" t="str">
        <f t="shared" si="319"/>
        <v/>
      </c>
      <c r="AV435" s="2505">
        <v>0</v>
      </c>
      <c r="AW435" s="2505"/>
      <c r="AX435" s="1362">
        <f t="shared" si="320"/>
        <v>0</v>
      </c>
      <c r="AY435" s="1360">
        <f t="shared" si="321"/>
        <v>0</v>
      </c>
      <c r="AZ435" s="1132" t="str">
        <f t="shared" si="322"/>
        <v>Custom</v>
      </c>
      <c r="BA435" s="1132" t="str">
        <f t="shared" si="323"/>
        <v/>
      </c>
      <c r="BB435" s="2505">
        <v>0</v>
      </c>
      <c r="BC435" s="2505"/>
      <c r="BD435" s="1362">
        <f t="shared" si="324"/>
        <v>0</v>
      </c>
      <c r="BE435" s="1360">
        <f t="shared" si="325"/>
        <v>0</v>
      </c>
      <c r="BF435" s="1132" t="str">
        <f t="shared" si="326"/>
        <v>Custom</v>
      </c>
      <c r="BG435" s="1132" t="str">
        <f t="shared" si="327"/>
        <v/>
      </c>
      <c r="BH435" s="2505">
        <v>0</v>
      </c>
      <c r="BI435" s="2505"/>
      <c r="BJ435" s="1362">
        <f t="shared" si="349"/>
        <v>0</v>
      </c>
      <c r="BK435" s="1360">
        <f t="shared" si="328"/>
        <v>0</v>
      </c>
      <c r="BL435" s="1601">
        <f t="shared" si="329"/>
        <v>0</v>
      </c>
      <c r="BM435" s="1601">
        <f t="shared" si="330"/>
        <v>0</v>
      </c>
      <c r="BN435" s="1601">
        <f t="shared" si="331"/>
        <v>0</v>
      </c>
      <c r="BO435" s="1601">
        <f t="shared" si="332"/>
        <v>0</v>
      </c>
      <c r="BP435" s="1602">
        <f t="shared" si="333"/>
        <v>0</v>
      </c>
      <c r="BQ435" s="1629"/>
      <c r="BR435" s="1629"/>
      <c r="BS435" s="1602">
        <v>0</v>
      </c>
      <c r="BT435" s="1602">
        <v>1</v>
      </c>
      <c r="BU435" s="1602">
        <v>1</v>
      </c>
      <c r="BV435" s="1602">
        <v>1</v>
      </c>
      <c r="BW435" s="1602">
        <v>1</v>
      </c>
      <c r="BX435" s="1362">
        <f t="shared" si="350"/>
        <v>0</v>
      </c>
      <c r="BY435" s="1362">
        <f t="shared" si="351"/>
        <v>0</v>
      </c>
      <c r="BZ435" s="1362">
        <f t="shared" si="352"/>
        <v>0</v>
      </c>
      <c r="CA435" s="1362">
        <f t="shared" si="353"/>
        <v>0</v>
      </c>
      <c r="CB435" s="1362">
        <f t="shared" si="354"/>
        <v>0</v>
      </c>
      <c r="CC435" s="1360">
        <v>1</v>
      </c>
      <c r="CD435" s="1360">
        <v>1</v>
      </c>
      <c r="CE435" s="1360">
        <v>1</v>
      </c>
      <c r="CF435" s="1360">
        <v>1</v>
      </c>
      <c r="CG435" s="1604">
        <f t="shared" si="334"/>
        <v>0</v>
      </c>
      <c r="CH435" s="1604">
        <f t="shared" si="335"/>
        <v>0</v>
      </c>
      <c r="CI435" s="1604">
        <f t="shared" si="336"/>
        <v>0</v>
      </c>
      <c r="CJ435" s="1604">
        <f t="shared" si="337"/>
        <v>0</v>
      </c>
      <c r="CK435" s="1521">
        <f t="shared" si="338"/>
        <v>0</v>
      </c>
      <c r="CL435" s="1132">
        <v>428</v>
      </c>
      <c r="CM435" s="1132" t="s">
        <v>356</v>
      </c>
      <c r="CN435" s="1359">
        <v>1</v>
      </c>
      <c r="CO435" s="1360">
        <v>0</v>
      </c>
      <c r="CP435" s="1360">
        <v>0</v>
      </c>
      <c r="CQ435" s="1360">
        <v>0</v>
      </c>
      <c r="CR435" s="1360">
        <v>0</v>
      </c>
      <c r="CS435" s="1362">
        <f t="shared" si="339"/>
        <v>0</v>
      </c>
      <c r="CT435" s="1362">
        <f t="shared" si="340"/>
        <v>0</v>
      </c>
      <c r="CU435" s="1362">
        <f t="shared" si="341"/>
        <v>0</v>
      </c>
      <c r="CV435" s="1362">
        <f t="shared" si="342"/>
        <v>0</v>
      </c>
      <c r="CW435" s="1362">
        <f t="shared" si="343"/>
        <v>0</v>
      </c>
      <c r="CY435" s="2887"/>
    </row>
    <row r="436" spans="1:103" s="1143" customFormat="1" ht="31" x14ac:dyDescent="0.35">
      <c r="A436" s="1132" t="s">
        <v>111</v>
      </c>
      <c r="B436" s="1132" t="s">
        <v>111</v>
      </c>
      <c r="C436" s="1132" t="s">
        <v>929</v>
      </c>
      <c r="D436" s="1359" t="s">
        <v>105</v>
      </c>
      <c r="E436" s="1359">
        <f t="shared" si="355"/>
        <v>0</v>
      </c>
      <c r="F436" s="1132" t="s">
        <v>105</v>
      </c>
      <c r="G436" s="1132" t="s">
        <v>356</v>
      </c>
      <c r="H436" s="1360">
        <v>1.224</v>
      </c>
      <c r="I436" s="1360">
        <v>1.224</v>
      </c>
      <c r="J436" s="1360">
        <v>1.224</v>
      </c>
      <c r="K436" s="1360">
        <v>1.224</v>
      </c>
      <c r="L436" s="1132" t="s">
        <v>105</v>
      </c>
      <c r="M436" s="1132" t="str">
        <f t="shared" si="305"/>
        <v/>
      </c>
      <c r="N436" s="1361">
        <v>0</v>
      </c>
      <c r="O436" s="1361">
        <v>0</v>
      </c>
      <c r="P436" s="1361">
        <v>0</v>
      </c>
      <c r="Q436" s="1361">
        <v>0</v>
      </c>
      <c r="R436" s="1781">
        <v>1</v>
      </c>
      <c r="S436" s="1781">
        <v>1</v>
      </c>
      <c r="T436" s="1781">
        <v>1</v>
      </c>
      <c r="U436" s="1781">
        <v>1</v>
      </c>
      <c r="V436" s="1781">
        <v>1</v>
      </c>
      <c r="W436" s="1781">
        <v>1</v>
      </c>
      <c r="X436" s="1781">
        <v>1</v>
      </c>
      <c r="Y436" s="1781">
        <v>1</v>
      </c>
      <c r="Z436" s="1359">
        <v>0</v>
      </c>
      <c r="AA436" s="1781">
        <f t="shared" si="306"/>
        <v>1</v>
      </c>
      <c r="AB436" s="1781">
        <f t="shared" si="307"/>
        <v>1</v>
      </c>
      <c r="AC436" s="1781">
        <f t="shared" si="308"/>
        <v>1</v>
      </c>
      <c r="AD436" s="1781">
        <f t="shared" si="309"/>
        <v>1</v>
      </c>
      <c r="AE436" s="1781">
        <f t="shared" si="310"/>
        <v>1</v>
      </c>
      <c r="AF436" s="1781">
        <f t="shared" si="311"/>
        <v>1</v>
      </c>
      <c r="AG436" s="1781">
        <f t="shared" si="312"/>
        <v>1</v>
      </c>
      <c r="AH436" s="1781">
        <f t="shared" si="313"/>
        <v>1</v>
      </c>
      <c r="AI436" s="1362">
        <f t="shared" si="344"/>
        <v>0</v>
      </c>
      <c r="AJ436" s="1362">
        <f t="shared" si="345"/>
        <v>0</v>
      </c>
      <c r="AK436" s="1362">
        <f t="shared" si="346"/>
        <v>0</v>
      </c>
      <c r="AL436" s="1362">
        <f t="shared" si="347"/>
        <v>0</v>
      </c>
      <c r="AM436" s="1362">
        <f t="shared" si="348"/>
        <v>0</v>
      </c>
      <c r="AN436" s="1132" t="str">
        <f t="shared" si="314"/>
        <v>Custom</v>
      </c>
      <c r="AO436" s="1132" t="str">
        <f t="shared" si="315"/>
        <v/>
      </c>
      <c r="AP436" s="2505">
        <v>0</v>
      </c>
      <c r="AQ436" s="2505"/>
      <c r="AR436" s="2505">
        <f t="shared" si="316"/>
        <v>0</v>
      </c>
      <c r="AS436" s="2505">
        <f t="shared" si="317"/>
        <v>0</v>
      </c>
      <c r="AT436" s="1132" t="str">
        <f t="shared" si="318"/>
        <v>Custom</v>
      </c>
      <c r="AU436" s="1132" t="str">
        <f t="shared" si="319"/>
        <v/>
      </c>
      <c r="AV436" s="2505">
        <v>0</v>
      </c>
      <c r="AW436" s="2505"/>
      <c r="AX436" s="1362">
        <f t="shared" si="320"/>
        <v>0</v>
      </c>
      <c r="AY436" s="1360">
        <f t="shared" si="321"/>
        <v>0</v>
      </c>
      <c r="AZ436" s="1132" t="str">
        <f t="shared" si="322"/>
        <v>Custom</v>
      </c>
      <c r="BA436" s="1132" t="str">
        <f t="shared" si="323"/>
        <v/>
      </c>
      <c r="BB436" s="2505">
        <v>0</v>
      </c>
      <c r="BC436" s="2505"/>
      <c r="BD436" s="1362">
        <f t="shared" si="324"/>
        <v>0</v>
      </c>
      <c r="BE436" s="1360">
        <f t="shared" si="325"/>
        <v>0</v>
      </c>
      <c r="BF436" s="1132" t="str">
        <f t="shared" si="326"/>
        <v>Custom</v>
      </c>
      <c r="BG436" s="1132" t="str">
        <f t="shared" si="327"/>
        <v/>
      </c>
      <c r="BH436" s="2505">
        <v>0</v>
      </c>
      <c r="BI436" s="2505"/>
      <c r="BJ436" s="1362">
        <f t="shared" si="349"/>
        <v>0</v>
      </c>
      <c r="BK436" s="1360">
        <f t="shared" si="328"/>
        <v>0</v>
      </c>
      <c r="BL436" s="1601">
        <f t="shared" si="329"/>
        <v>0</v>
      </c>
      <c r="BM436" s="1601">
        <f t="shared" si="330"/>
        <v>0</v>
      </c>
      <c r="BN436" s="1601">
        <f t="shared" si="331"/>
        <v>0</v>
      </c>
      <c r="BO436" s="1601">
        <f t="shared" si="332"/>
        <v>0</v>
      </c>
      <c r="BP436" s="1602">
        <f t="shared" si="333"/>
        <v>0</v>
      </c>
      <c r="BQ436" s="1629"/>
      <c r="BR436" s="1629"/>
      <c r="BS436" s="1602">
        <v>0</v>
      </c>
      <c r="BT436" s="1602">
        <v>1</v>
      </c>
      <c r="BU436" s="1602">
        <v>1</v>
      </c>
      <c r="BV436" s="1602">
        <v>1</v>
      </c>
      <c r="BW436" s="1602">
        <v>1</v>
      </c>
      <c r="BX436" s="1362">
        <f t="shared" si="350"/>
        <v>0</v>
      </c>
      <c r="BY436" s="1362">
        <f t="shared" si="351"/>
        <v>0</v>
      </c>
      <c r="BZ436" s="1362">
        <f t="shared" si="352"/>
        <v>0</v>
      </c>
      <c r="CA436" s="1362">
        <f t="shared" si="353"/>
        <v>0</v>
      </c>
      <c r="CB436" s="1362">
        <f t="shared" si="354"/>
        <v>0</v>
      </c>
      <c r="CC436" s="1360">
        <v>1</v>
      </c>
      <c r="CD436" s="1360">
        <v>1</v>
      </c>
      <c r="CE436" s="1360">
        <v>1</v>
      </c>
      <c r="CF436" s="1360">
        <v>1</v>
      </c>
      <c r="CG436" s="1604">
        <f t="shared" si="334"/>
        <v>0</v>
      </c>
      <c r="CH436" s="1604">
        <f t="shared" si="335"/>
        <v>0</v>
      </c>
      <c r="CI436" s="1604">
        <f t="shared" si="336"/>
        <v>0</v>
      </c>
      <c r="CJ436" s="1604">
        <f t="shared" si="337"/>
        <v>0</v>
      </c>
      <c r="CK436" s="1521">
        <f t="shared" si="338"/>
        <v>0</v>
      </c>
      <c r="CL436" s="1132">
        <v>429</v>
      </c>
      <c r="CM436" s="1132" t="s">
        <v>356</v>
      </c>
      <c r="CN436" s="1359">
        <v>1</v>
      </c>
      <c r="CO436" s="1360">
        <v>206.85599999999999</v>
      </c>
      <c r="CP436" s="1360">
        <v>206.85599999999999</v>
      </c>
      <c r="CQ436" s="1360">
        <v>206.85599999999999</v>
      </c>
      <c r="CR436" s="1360">
        <v>206.85599999999999</v>
      </c>
      <c r="CS436" s="1362">
        <f t="shared" si="339"/>
        <v>0</v>
      </c>
      <c r="CT436" s="1362">
        <f t="shared" si="340"/>
        <v>0</v>
      </c>
      <c r="CU436" s="1362">
        <f t="shared" si="341"/>
        <v>0</v>
      </c>
      <c r="CV436" s="1362">
        <f t="shared" si="342"/>
        <v>0</v>
      </c>
      <c r="CW436" s="1362">
        <f t="shared" si="343"/>
        <v>0</v>
      </c>
      <c r="CY436" s="2887"/>
    </row>
    <row r="437" spans="1:103" s="1143" customFormat="1" ht="30" customHeight="1" x14ac:dyDescent="0.35">
      <c r="A437" s="1132" t="s">
        <v>111</v>
      </c>
      <c r="B437" s="1132" t="s">
        <v>111</v>
      </c>
      <c r="C437" s="1132" t="s">
        <v>726</v>
      </c>
      <c r="D437" s="1359" t="s">
        <v>727</v>
      </c>
      <c r="E437" s="1359">
        <v>1</v>
      </c>
      <c r="F437" s="2807" t="s">
        <v>697</v>
      </c>
      <c r="G437" s="1132" t="s">
        <v>328</v>
      </c>
      <c r="H437" s="1360">
        <v>31.823999999999998</v>
      </c>
      <c r="I437" s="1360">
        <v>31.823999999999998</v>
      </c>
      <c r="J437" s="1360">
        <v>31.823999999999998</v>
      </c>
      <c r="K437" s="1360">
        <v>31.823999999999998</v>
      </c>
      <c r="L437" s="1132" t="s">
        <v>698</v>
      </c>
      <c r="M437" s="1132" t="str">
        <f t="shared" si="305"/>
        <v>Nicor Gas PY11-PY14 Adjustable Goals Template_2025-03-01, Tab 5.4.4</v>
      </c>
      <c r="N437" s="1361">
        <v>1.5579651031560005</v>
      </c>
      <c r="O437" s="1361">
        <v>1.5579651031560005</v>
      </c>
      <c r="P437" s="1361">
        <v>1.5579651031560005</v>
      </c>
      <c r="Q437" s="1361">
        <v>1.5579651031560005</v>
      </c>
      <c r="R437" s="1781">
        <v>1</v>
      </c>
      <c r="S437" s="1781">
        <v>1</v>
      </c>
      <c r="T437" s="1781">
        <v>1</v>
      </c>
      <c r="U437" s="1781">
        <v>1</v>
      </c>
      <c r="V437" s="1781">
        <v>1</v>
      </c>
      <c r="W437" s="1781">
        <v>1</v>
      </c>
      <c r="X437" s="1781">
        <v>1</v>
      </c>
      <c r="Y437" s="1781">
        <v>1</v>
      </c>
      <c r="Z437" s="1359">
        <v>0</v>
      </c>
      <c r="AA437" s="1781">
        <f t="shared" si="306"/>
        <v>1</v>
      </c>
      <c r="AB437" s="1781">
        <f t="shared" si="307"/>
        <v>1</v>
      </c>
      <c r="AC437" s="1781">
        <f t="shared" si="308"/>
        <v>1</v>
      </c>
      <c r="AD437" s="1781">
        <f t="shared" si="309"/>
        <v>1</v>
      </c>
      <c r="AE437" s="1781">
        <f t="shared" si="310"/>
        <v>1</v>
      </c>
      <c r="AF437" s="1781">
        <f t="shared" si="311"/>
        <v>1</v>
      </c>
      <c r="AG437" s="1781">
        <f t="shared" si="312"/>
        <v>1</v>
      </c>
      <c r="AH437" s="1781">
        <f t="shared" si="313"/>
        <v>1</v>
      </c>
      <c r="AI437" s="1362">
        <f t="shared" si="344"/>
        <v>49.580681442836557</v>
      </c>
      <c r="AJ437" s="1362">
        <f t="shared" si="345"/>
        <v>49.580681442836557</v>
      </c>
      <c r="AK437" s="1362">
        <f t="shared" si="346"/>
        <v>49.580681442836557</v>
      </c>
      <c r="AL437" s="1362">
        <f t="shared" si="347"/>
        <v>49.580681442836557</v>
      </c>
      <c r="AM437" s="1362">
        <f t="shared" si="348"/>
        <v>198.32272577134623</v>
      </c>
      <c r="AN437" s="1132" t="str">
        <f t="shared" si="314"/>
        <v>RS-HWE-LFFA-V07-190101</v>
      </c>
      <c r="AO437" s="1132" t="str">
        <f t="shared" si="315"/>
        <v>Nicor Gas PY11-PY14 Adjustable Goals Template_2025-03-01, Tab 5.4.4</v>
      </c>
      <c r="AP437" s="2738">
        <f>'5.4.4'!$O$14</f>
        <v>1.7267119531200008</v>
      </c>
      <c r="AQ437" s="2568" t="s">
        <v>557</v>
      </c>
      <c r="AR437" s="2505">
        <f t="shared" si="316"/>
        <v>54.950881196090904</v>
      </c>
      <c r="AS437" s="2505">
        <f t="shared" si="317"/>
        <v>5.3701997532543473</v>
      </c>
      <c r="AT437" s="1132" t="str">
        <f t="shared" si="318"/>
        <v>RS-HWE-LFFA-V07-190101</v>
      </c>
      <c r="AU437" s="1132" t="str">
        <f t="shared" si="319"/>
        <v>Nicor Gas PY11-PY14 Adjustable Goals Template_2025-03-01, Tab 5.4.4</v>
      </c>
      <c r="AV437" s="2247">
        <f>'5.4.4'!$O$14</f>
        <v>1.7267119531200008</v>
      </c>
      <c r="AW437" s="2568" t="s">
        <v>557</v>
      </c>
      <c r="AX437" s="1362">
        <f t="shared" si="320"/>
        <v>54.950881196090904</v>
      </c>
      <c r="AY437" s="1360">
        <f t="shared" si="321"/>
        <v>5.3701997532543473</v>
      </c>
      <c r="AZ437" s="1132" t="str">
        <f t="shared" si="322"/>
        <v>RS-HWE-LFFA-V07-190101</v>
      </c>
      <c r="BA437" s="1132" t="str">
        <f t="shared" si="323"/>
        <v>Nicor Gas PY11-PY14 Adjustable Goals Template_2025-03-01, Tab 5.4.4</v>
      </c>
      <c r="BB437" s="2247">
        <f>'5.4.4'!$O$14</f>
        <v>1.7267119531200008</v>
      </c>
      <c r="BC437" s="2568" t="s">
        <v>557</v>
      </c>
      <c r="BD437" s="1362">
        <f t="shared" si="324"/>
        <v>54.950881196090904</v>
      </c>
      <c r="BE437" s="1360">
        <f t="shared" si="325"/>
        <v>5.3701997532543473</v>
      </c>
      <c r="BF437" s="1132" t="str">
        <f t="shared" si="326"/>
        <v>RS-HWE-LFFA-V07-190101</v>
      </c>
      <c r="BG437" s="1132" t="str">
        <f t="shared" si="327"/>
        <v>Nicor Gas PY11-PY14 Adjustable Goals Template_2025-03-01, Tab 5.4.4</v>
      </c>
      <c r="BH437" s="2247">
        <f>'5.4.4'!$O$14</f>
        <v>1.7267119531200008</v>
      </c>
      <c r="BI437" s="2568" t="s">
        <v>557</v>
      </c>
      <c r="BJ437" s="1362">
        <f t="shared" si="349"/>
        <v>54.950881196090904</v>
      </c>
      <c r="BK437" s="1360">
        <f t="shared" si="328"/>
        <v>5.3701997532543473</v>
      </c>
      <c r="BL437" s="1601">
        <f t="shared" si="329"/>
        <v>54.950881196090904</v>
      </c>
      <c r="BM437" s="1601">
        <f t="shared" si="330"/>
        <v>54.950881196090904</v>
      </c>
      <c r="BN437" s="1601">
        <f t="shared" si="331"/>
        <v>54.950881196090904</v>
      </c>
      <c r="BO437" s="1601">
        <f t="shared" si="332"/>
        <v>54.950881196090904</v>
      </c>
      <c r="BP437" s="1602">
        <f t="shared" si="333"/>
        <v>219.80352478436362</v>
      </c>
      <c r="BQ437" s="1629"/>
      <c r="BR437" s="1629" t="s">
        <v>697</v>
      </c>
      <c r="BS437" s="1602">
        <v>0</v>
      </c>
      <c r="BT437" s="1602">
        <v>10</v>
      </c>
      <c r="BU437" s="1602">
        <v>10</v>
      </c>
      <c r="BV437" s="1602">
        <v>10</v>
      </c>
      <c r="BW437" s="1602">
        <v>10</v>
      </c>
      <c r="BX437" s="1362">
        <f t="shared" si="350"/>
        <v>495.80681442836556</v>
      </c>
      <c r="BY437" s="1362">
        <f t="shared" si="351"/>
        <v>495.80681442836556</v>
      </c>
      <c r="BZ437" s="1362">
        <f t="shared" si="352"/>
        <v>495.80681442836556</v>
      </c>
      <c r="CA437" s="1362">
        <f t="shared" si="353"/>
        <v>495.80681442836556</v>
      </c>
      <c r="CB437" s="1362">
        <f t="shared" si="354"/>
        <v>1983.2272577134622</v>
      </c>
      <c r="CC437" s="1360">
        <v>10</v>
      </c>
      <c r="CD437" s="1360">
        <v>10</v>
      </c>
      <c r="CE437" s="1360">
        <v>10</v>
      </c>
      <c r="CF437" s="1360">
        <v>10</v>
      </c>
      <c r="CG437" s="1604">
        <f t="shared" si="334"/>
        <v>549.50881196090904</v>
      </c>
      <c r="CH437" s="1604">
        <f t="shared" si="335"/>
        <v>549.50881196090904</v>
      </c>
      <c r="CI437" s="1604">
        <f t="shared" si="336"/>
        <v>549.50881196090904</v>
      </c>
      <c r="CJ437" s="1604">
        <f t="shared" si="337"/>
        <v>549.50881196090904</v>
      </c>
      <c r="CK437" s="1521">
        <f t="shared" si="338"/>
        <v>2198.0352478436362</v>
      </c>
      <c r="CL437" s="1132">
        <v>430</v>
      </c>
      <c r="CM437" s="1132" t="s">
        <v>328</v>
      </c>
      <c r="CN437" s="1359">
        <v>1</v>
      </c>
      <c r="CO437" s="1360">
        <v>30.551039999999997</v>
      </c>
      <c r="CP437" s="1360">
        <v>30.551039999999997</v>
      </c>
      <c r="CQ437" s="1360">
        <v>30.551039999999997</v>
      </c>
      <c r="CR437" s="1360">
        <v>30.551039999999997</v>
      </c>
      <c r="CS437" s="1362">
        <f t="shared" si="339"/>
        <v>47.597454185123091</v>
      </c>
      <c r="CT437" s="1362">
        <f t="shared" si="340"/>
        <v>47.597454185123091</v>
      </c>
      <c r="CU437" s="1362">
        <f t="shared" si="341"/>
        <v>47.597454185123091</v>
      </c>
      <c r="CV437" s="1362">
        <f t="shared" si="342"/>
        <v>47.597454185123091</v>
      </c>
      <c r="CW437" s="1362">
        <f t="shared" si="343"/>
        <v>190.38981674049236</v>
      </c>
      <c r="CY437" s="2887"/>
    </row>
    <row r="438" spans="1:103" s="1143" customFormat="1" ht="46.5" x14ac:dyDescent="0.35">
      <c r="A438" s="1132" t="s">
        <v>111</v>
      </c>
      <c r="B438" s="1132" t="s">
        <v>111</v>
      </c>
      <c r="C438" s="1132" t="s">
        <v>728</v>
      </c>
      <c r="D438" s="1359" t="s">
        <v>729</v>
      </c>
      <c r="E438" s="1359">
        <v>1</v>
      </c>
      <c r="F438" s="2807" t="s">
        <v>697</v>
      </c>
      <c r="G438" s="1132" t="s">
        <v>328</v>
      </c>
      <c r="H438" s="1360">
        <v>52.02</v>
      </c>
      <c r="I438" s="1360">
        <v>52.02</v>
      </c>
      <c r="J438" s="1360">
        <v>52.02</v>
      </c>
      <c r="K438" s="1360">
        <v>52.02</v>
      </c>
      <c r="L438" s="1132" t="s">
        <v>698</v>
      </c>
      <c r="M438" s="1132" t="str">
        <f t="shared" si="305"/>
        <v>Nicor Gas PY11-PY14 Adjustable Goals Template_2025-03-01, Tab 5.4.4</v>
      </c>
      <c r="N438" s="1361">
        <v>2.5539833919599975</v>
      </c>
      <c r="O438" s="1361">
        <v>2.5539833919599975</v>
      </c>
      <c r="P438" s="1361">
        <v>2.5539833919599975</v>
      </c>
      <c r="Q438" s="1361">
        <v>2.5539833919599975</v>
      </c>
      <c r="R438" s="1781">
        <v>1</v>
      </c>
      <c r="S438" s="1781">
        <v>1</v>
      </c>
      <c r="T438" s="1781">
        <v>1</v>
      </c>
      <c r="U438" s="1781">
        <v>1</v>
      </c>
      <c r="V438" s="1781">
        <v>1</v>
      </c>
      <c r="W438" s="1781">
        <v>1</v>
      </c>
      <c r="X438" s="1781">
        <v>1</v>
      </c>
      <c r="Y438" s="1781">
        <v>1</v>
      </c>
      <c r="Z438" s="1359">
        <v>0</v>
      </c>
      <c r="AA438" s="1781">
        <f t="shared" si="306"/>
        <v>1</v>
      </c>
      <c r="AB438" s="1781">
        <f t="shared" si="307"/>
        <v>1</v>
      </c>
      <c r="AC438" s="1781">
        <f t="shared" si="308"/>
        <v>1</v>
      </c>
      <c r="AD438" s="1781">
        <f t="shared" si="309"/>
        <v>1</v>
      </c>
      <c r="AE438" s="1781">
        <f t="shared" si="310"/>
        <v>1</v>
      </c>
      <c r="AF438" s="1781">
        <f t="shared" si="311"/>
        <v>1</v>
      </c>
      <c r="AG438" s="1781">
        <f t="shared" si="312"/>
        <v>1</v>
      </c>
      <c r="AH438" s="1781">
        <f t="shared" si="313"/>
        <v>1</v>
      </c>
      <c r="AI438" s="1362">
        <f t="shared" si="344"/>
        <v>132.85821604975908</v>
      </c>
      <c r="AJ438" s="1362">
        <f t="shared" si="345"/>
        <v>132.85821604975908</v>
      </c>
      <c r="AK438" s="1362">
        <f t="shared" si="346"/>
        <v>132.85821604975908</v>
      </c>
      <c r="AL438" s="1362">
        <f t="shared" si="347"/>
        <v>132.85821604975908</v>
      </c>
      <c r="AM438" s="1362">
        <f t="shared" si="348"/>
        <v>531.43286419903632</v>
      </c>
      <c r="AN438" s="1132" t="str">
        <f t="shared" si="314"/>
        <v>RS-HWE-LFFA-V07-190101</v>
      </c>
      <c r="AO438" s="1132" t="str">
        <f t="shared" si="315"/>
        <v>Nicor Gas PY11-PY14 Adjustable Goals Template_2025-03-01, Tab 5.4.4</v>
      </c>
      <c r="AP438" s="2738">
        <f>'5.4.4'!$O$15</f>
        <v>2.7967173506999976</v>
      </c>
      <c r="AQ438" s="2568" t="s">
        <v>557</v>
      </c>
      <c r="AR438" s="2505">
        <f t="shared" si="316"/>
        <v>145.48523658341389</v>
      </c>
      <c r="AS438" s="2505">
        <f t="shared" si="317"/>
        <v>12.627020533654814</v>
      </c>
      <c r="AT438" s="1132" t="str">
        <f t="shared" si="318"/>
        <v>RS-HWE-LFFA-V07-190101</v>
      </c>
      <c r="AU438" s="1132" t="str">
        <f t="shared" si="319"/>
        <v>Nicor Gas PY11-PY14 Adjustable Goals Template_2025-03-01, Tab 5.4.4</v>
      </c>
      <c r="AV438" s="2247">
        <f>'5.4.4'!$O$15</f>
        <v>2.7967173506999976</v>
      </c>
      <c r="AW438" s="2568" t="s">
        <v>557</v>
      </c>
      <c r="AX438" s="1362">
        <f t="shared" si="320"/>
        <v>145.48523658341389</v>
      </c>
      <c r="AY438" s="1360">
        <f t="shared" si="321"/>
        <v>12.627020533654814</v>
      </c>
      <c r="AZ438" s="1132" t="str">
        <f t="shared" si="322"/>
        <v>RS-HWE-LFFA-V07-190101</v>
      </c>
      <c r="BA438" s="1132" t="str">
        <f t="shared" si="323"/>
        <v>Nicor Gas PY11-PY14 Adjustable Goals Template_2025-03-01, Tab 5.4.4</v>
      </c>
      <c r="BB438" s="2247">
        <f>'5.4.4'!$O$15</f>
        <v>2.7967173506999976</v>
      </c>
      <c r="BC438" s="2568" t="s">
        <v>557</v>
      </c>
      <c r="BD438" s="1362">
        <f t="shared" si="324"/>
        <v>145.48523658341389</v>
      </c>
      <c r="BE438" s="1360">
        <f t="shared" si="325"/>
        <v>12.627020533654814</v>
      </c>
      <c r="BF438" s="1132" t="str">
        <f t="shared" si="326"/>
        <v>RS-HWE-LFFA-V07-190101</v>
      </c>
      <c r="BG438" s="1132" t="str">
        <f t="shared" si="327"/>
        <v>Nicor Gas PY11-PY14 Adjustable Goals Template_2025-03-01, Tab 5.4.4</v>
      </c>
      <c r="BH438" s="2247">
        <f>'5.4.4'!$O$15</f>
        <v>2.7967173506999976</v>
      </c>
      <c r="BI438" s="2568" t="s">
        <v>557</v>
      </c>
      <c r="BJ438" s="1362">
        <f t="shared" si="349"/>
        <v>145.48523658341389</v>
      </c>
      <c r="BK438" s="1360">
        <f t="shared" si="328"/>
        <v>12.627020533654814</v>
      </c>
      <c r="BL438" s="1601">
        <f t="shared" si="329"/>
        <v>145.48523658341389</v>
      </c>
      <c r="BM438" s="1601">
        <f t="shared" si="330"/>
        <v>145.48523658341389</v>
      </c>
      <c r="BN438" s="1601">
        <f t="shared" si="331"/>
        <v>145.48523658341389</v>
      </c>
      <c r="BO438" s="1601">
        <f t="shared" si="332"/>
        <v>145.48523658341389</v>
      </c>
      <c r="BP438" s="1602">
        <f t="shared" si="333"/>
        <v>581.94094633365557</v>
      </c>
      <c r="BQ438" s="1629"/>
      <c r="BR438" s="1629" t="s">
        <v>697</v>
      </c>
      <c r="BS438" s="1602">
        <v>0</v>
      </c>
      <c r="BT438" s="1602">
        <v>10</v>
      </c>
      <c r="BU438" s="1602">
        <v>10</v>
      </c>
      <c r="BV438" s="1602">
        <v>10</v>
      </c>
      <c r="BW438" s="1602">
        <v>10</v>
      </c>
      <c r="BX438" s="1362">
        <f t="shared" si="350"/>
        <v>1328.5821604975908</v>
      </c>
      <c r="BY438" s="1362">
        <f t="shared" si="351"/>
        <v>1328.5821604975908</v>
      </c>
      <c r="BZ438" s="1362">
        <f t="shared" si="352"/>
        <v>1328.5821604975908</v>
      </c>
      <c r="CA438" s="1362">
        <f t="shared" si="353"/>
        <v>1328.5821604975908</v>
      </c>
      <c r="CB438" s="1362">
        <f t="shared" si="354"/>
        <v>5314.3286419903634</v>
      </c>
      <c r="CC438" s="1360">
        <v>10</v>
      </c>
      <c r="CD438" s="1360">
        <v>10</v>
      </c>
      <c r="CE438" s="1360">
        <v>10</v>
      </c>
      <c r="CF438" s="1360">
        <v>10</v>
      </c>
      <c r="CG438" s="1604">
        <f t="shared" si="334"/>
        <v>1454.8523658341389</v>
      </c>
      <c r="CH438" s="1604">
        <f t="shared" si="335"/>
        <v>1454.8523658341389</v>
      </c>
      <c r="CI438" s="1604">
        <f t="shared" si="336"/>
        <v>1454.8523658341389</v>
      </c>
      <c r="CJ438" s="1604">
        <f t="shared" si="337"/>
        <v>1454.8523658341389</v>
      </c>
      <c r="CK438" s="1521">
        <f t="shared" si="338"/>
        <v>5819.4094633365557</v>
      </c>
      <c r="CL438" s="1132">
        <v>431</v>
      </c>
      <c r="CM438" s="1132" t="s">
        <v>328</v>
      </c>
      <c r="CN438" s="1359">
        <v>1</v>
      </c>
      <c r="CO438" s="1360">
        <v>49.9392</v>
      </c>
      <c r="CP438" s="1360">
        <v>49.9392</v>
      </c>
      <c r="CQ438" s="1360">
        <v>49.9392</v>
      </c>
      <c r="CR438" s="1360">
        <v>49.9392</v>
      </c>
      <c r="CS438" s="1362">
        <f t="shared" si="339"/>
        <v>127.54388740776871</v>
      </c>
      <c r="CT438" s="1362">
        <f t="shared" si="340"/>
        <v>127.54388740776871</v>
      </c>
      <c r="CU438" s="1362">
        <f t="shared" si="341"/>
        <v>127.54388740776871</v>
      </c>
      <c r="CV438" s="1362">
        <f t="shared" si="342"/>
        <v>127.54388740776871</v>
      </c>
      <c r="CW438" s="1362">
        <f t="shared" si="343"/>
        <v>510.17554963107483</v>
      </c>
      <c r="CY438" s="2887"/>
    </row>
    <row r="439" spans="1:103" s="1143" customFormat="1" ht="46.5" x14ac:dyDescent="0.35">
      <c r="A439" s="1132" t="s">
        <v>111</v>
      </c>
      <c r="B439" s="1132" t="s">
        <v>111</v>
      </c>
      <c r="C439" s="1132" t="s">
        <v>724</v>
      </c>
      <c r="D439" s="1359" t="s">
        <v>725</v>
      </c>
      <c r="E439" s="1359">
        <v>1</v>
      </c>
      <c r="F439" s="2807" t="s">
        <v>691</v>
      </c>
      <c r="G439" s="1132" t="s">
        <v>328</v>
      </c>
      <c r="H439" s="1360">
        <v>36.72</v>
      </c>
      <c r="I439" s="1360">
        <v>36.72</v>
      </c>
      <c r="J439" s="1360">
        <v>36.72</v>
      </c>
      <c r="K439" s="1360">
        <v>36.72</v>
      </c>
      <c r="L439" s="1132" t="s">
        <v>692</v>
      </c>
      <c r="M439" s="1132" t="str">
        <f t="shared" si="305"/>
        <v>Nicor Gas PY11-PY14 Adjustable Goals Template_2025-03-01, Tab 5.4.5</v>
      </c>
      <c r="N439" s="2245">
        <v>11.317119452100005</v>
      </c>
      <c r="O439" s="1361">
        <v>11.317119452100005</v>
      </c>
      <c r="P439" s="1361">
        <v>11.317119452100005</v>
      </c>
      <c r="Q439" s="1361">
        <v>11.317119452100005</v>
      </c>
      <c r="R439" s="1781">
        <v>1</v>
      </c>
      <c r="S439" s="1781">
        <v>1</v>
      </c>
      <c r="T439" s="1781">
        <v>1</v>
      </c>
      <c r="U439" s="1781">
        <v>1</v>
      </c>
      <c r="V439" s="1781">
        <v>1</v>
      </c>
      <c r="W439" s="1781">
        <v>1</v>
      </c>
      <c r="X439" s="1781">
        <v>1</v>
      </c>
      <c r="Y439" s="1781">
        <v>1</v>
      </c>
      <c r="Z439" s="1359">
        <v>0</v>
      </c>
      <c r="AA439" s="1781">
        <f t="shared" si="306"/>
        <v>1</v>
      </c>
      <c r="AB439" s="1781">
        <f t="shared" si="307"/>
        <v>1</v>
      </c>
      <c r="AC439" s="1781">
        <f t="shared" si="308"/>
        <v>1</v>
      </c>
      <c r="AD439" s="1781">
        <f t="shared" si="309"/>
        <v>1</v>
      </c>
      <c r="AE439" s="1781">
        <f t="shared" si="310"/>
        <v>1</v>
      </c>
      <c r="AF439" s="1781">
        <f t="shared" si="311"/>
        <v>1</v>
      </c>
      <c r="AG439" s="1781">
        <f t="shared" si="312"/>
        <v>1</v>
      </c>
      <c r="AH439" s="1781">
        <f t="shared" si="313"/>
        <v>1</v>
      </c>
      <c r="AI439" s="1362">
        <f t="shared" si="344"/>
        <v>415.56462628111217</v>
      </c>
      <c r="AJ439" s="1362">
        <f t="shared" si="345"/>
        <v>415.56462628111217</v>
      </c>
      <c r="AK439" s="1362">
        <f t="shared" si="346"/>
        <v>415.56462628111217</v>
      </c>
      <c r="AL439" s="1362">
        <f t="shared" si="347"/>
        <v>415.56462628111217</v>
      </c>
      <c r="AM439" s="1362">
        <f t="shared" si="348"/>
        <v>1662.2585051244487</v>
      </c>
      <c r="AN439" s="1132" t="str">
        <f t="shared" si="314"/>
        <v>RS-HWE-LFSH-V06-190101</v>
      </c>
      <c r="AO439" s="1132" t="str">
        <f t="shared" si="315"/>
        <v>Nicor Gas PY11-PY14 Adjustable Goals Template_2025-03-01, Tab 5.4.5</v>
      </c>
      <c r="AP439" s="2737">
        <f>'5.4.5'!$P$15</f>
        <v>12.229477281000005</v>
      </c>
      <c r="AQ439" s="2568" t="s">
        <v>557</v>
      </c>
      <c r="AR439" s="2505">
        <f t="shared" si="316"/>
        <v>449.06640575832017</v>
      </c>
      <c r="AS439" s="2505">
        <f t="shared" si="317"/>
        <v>33.501779477208004</v>
      </c>
      <c r="AT439" s="1132" t="str">
        <f t="shared" si="318"/>
        <v>RS-HWE-LFSH-V06-190101</v>
      </c>
      <c r="AU439" s="1132" t="str">
        <f t="shared" si="319"/>
        <v>Nicor Gas PY11-PY14 Adjustable Goals Template_2025-03-01, Tab 5.4.5</v>
      </c>
      <c r="AV439" s="2508">
        <f>'5.4.5'!$P$15</f>
        <v>12.229477281000005</v>
      </c>
      <c r="AW439" s="2568" t="s">
        <v>557</v>
      </c>
      <c r="AX439" s="1362">
        <f t="shared" si="320"/>
        <v>449.06640575832017</v>
      </c>
      <c r="AY439" s="1360">
        <f t="shared" si="321"/>
        <v>33.501779477208004</v>
      </c>
      <c r="AZ439" s="1132" t="str">
        <f t="shared" si="322"/>
        <v>RS-HWE-LFSH-V06-190101</v>
      </c>
      <c r="BA439" s="1132" t="str">
        <f t="shared" si="323"/>
        <v>Nicor Gas PY11-PY14 Adjustable Goals Template_2025-03-01, Tab 5.4.5</v>
      </c>
      <c r="BB439" s="2508">
        <f>'5.4.5'!$P$15</f>
        <v>12.229477281000005</v>
      </c>
      <c r="BC439" s="2568" t="s">
        <v>557</v>
      </c>
      <c r="BD439" s="1362">
        <f t="shared" si="324"/>
        <v>449.06640575832017</v>
      </c>
      <c r="BE439" s="1360">
        <f t="shared" si="325"/>
        <v>33.501779477208004</v>
      </c>
      <c r="BF439" s="1132" t="str">
        <f t="shared" si="326"/>
        <v>RS-HWE-LFSH-V06-190101</v>
      </c>
      <c r="BG439" s="1132" t="str">
        <f t="shared" si="327"/>
        <v>Nicor Gas PY11-PY14 Adjustable Goals Template_2025-03-01, Tab 5.4.5</v>
      </c>
      <c r="BH439" s="2508">
        <f>'5.4.5'!$P$15</f>
        <v>12.229477281000005</v>
      </c>
      <c r="BI439" s="2568" t="s">
        <v>557</v>
      </c>
      <c r="BJ439" s="1362">
        <f t="shared" si="349"/>
        <v>449.06640575832017</v>
      </c>
      <c r="BK439" s="1360">
        <f t="shared" si="328"/>
        <v>33.501779477208004</v>
      </c>
      <c r="BL439" s="1601">
        <f t="shared" si="329"/>
        <v>449.06640575832017</v>
      </c>
      <c r="BM439" s="1601">
        <f t="shared" si="330"/>
        <v>449.06640575832017</v>
      </c>
      <c r="BN439" s="1601">
        <f t="shared" si="331"/>
        <v>449.06640575832017</v>
      </c>
      <c r="BO439" s="1601">
        <f t="shared" si="332"/>
        <v>449.06640575832017</v>
      </c>
      <c r="BP439" s="1602">
        <f t="shared" si="333"/>
        <v>1796.2656230332807</v>
      </c>
      <c r="BQ439" s="1629"/>
      <c r="BR439" s="1629" t="s">
        <v>691</v>
      </c>
      <c r="BS439" s="1602">
        <v>0</v>
      </c>
      <c r="BT439" s="1602">
        <v>10</v>
      </c>
      <c r="BU439" s="1602">
        <v>10</v>
      </c>
      <c r="BV439" s="1602">
        <v>10</v>
      </c>
      <c r="BW439" s="1602">
        <v>10</v>
      </c>
      <c r="BX439" s="1362">
        <f t="shared" si="350"/>
        <v>4155.6462628111221</v>
      </c>
      <c r="BY439" s="1362">
        <f t="shared" si="351"/>
        <v>4155.6462628111221</v>
      </c>
      <c r="BZ439" s="1362">
        <f t="shared" si="352"/>
        <v>4155.6462628111221</v>
      </c>
      <c r="CA439" s="1362">
        <f t="shared" si="353"/>
        <v>4155.6462628111221</v>
      </c>
      <c r="CB439" s="1362">
        <f t="shared" si="354"/>
        <v>16622.585051244489</v>
      </c>
      <c r="CC439" s="1360">
        <v>10</v>
      </c>
      <c r="CD439" s="1360">
        <v>10</v>
      </c>
      <c r="CE439" s="1360">
        <v>10</v>
      </c>
      <c r="CF439" s="1360">
        <v>10</v>
      </c>
      <c r="CG439" s="1604">
        <f t="shared" si="334"/>
        <v>4490.6640575832016</v>
      </c>
      <c r="CH439" s="1604">
        <f t="shared" si="335"/>
        <v>4490.6640575832016</v>
      </c>
      <c r="CI439" s="1604">
        <f t="shared" si="336"/>
        <v>4490.6640575832016</v>
      </c>
      <c r="CJ439" s="1604">
        <f t="shared" si="337"/>
        <v>4490.6640575832016</v>
      </c>
      <c r="CK439" s="1521">
        <f t="shared" si="338"/>
        <v>17962.656230332806</v>
      </c>
      <c r="CL439" s="1132">
        <v>432</v>
      </c>
      <c r="CM439" s="1132" t="s">
        <v>328</v>
      </c>
      <c r="CN439" s="1359">
        <v>1</v>
      </c>
      <c r="CO439" s="1360">
        <v>35.251199999999997</v>
      </c>
      <c r="CP439" s="1360">
        <v>35.251199999999997</v>
      </c>
      <c r="CQ439" s="1360">
        <v>35.251199999999997</v>
      </c>
      <c r="CR439" s="1360">
        <v>35.251199999999997</v>
      </c>
      <c r="CS439" s="1362">
        <f t="shared" si="339"/>
        <v>398.9420412298677</v>
      </c>
      <c r="CT439" s="1362">
        <f t="shared" si="340"/>
        <v>398.9420412298677</v>
      </c>
      <c r="CU439" s="1362">
        <f t="shared" si="341"/>
        <v>398.9420412298677</v>
      </c>
      <c r="CV439" s="1362">
        <f t="shared" si="342"/>
        <v>398.9420412298677</v>
      </c>
      <c r="CW439" s="1362">
        <f t="shared" si="343"/>
        <v>1595.7681649194708</v>
      </c>
      <c r="CY439" s="2887"/>
    </row>
    <row r="440" spans="1:103" s="1143" customFormat="1" ht="46.5" x14ac:dyDescent="0.35">
      <c r="A440" s="1132" t="s">
        <v>111</v>
      </c>
      <c r="B440" s="1132" t="s">
        <v>111</v>
      </c>
      <c r="C440" s="1132" t="s">
        <v>820</v>
      </c>
      <c r="D440" s="1359" t="s">
        <v>821</v>
      </c>
      <c r="E440" s="1359">
        <v>1</v>
      </c>
      <c r="F440" s="2807" t="s">
        <v>691</v>
      </c>
      <c r="G440" s="1132" t="s">
        <v>328</v>
      </c>
      <c r="H440" s="1360">
        <v>7.3439999999999994</v>
      </c>
      <c r="I440" s="1360">
        <v>7.3439999999999994</v>
      </c>
      <c r="J440" s="1360">
        <v>7.3439999999999994</v>
      </c>
      <c r="K440" s="1360">
        <v>7.3439999999999994</v>
      </c>
      <c r="L440" s="1132" t="s">
        <v>692</v>
      </c>
      <c r="M440" s="1132" t="str">
        <f t="shared" si="305"/>
        <v>Nicor Gas PY11-PY14 Adjustable Goals Template_2025-03-01, Tab 5.4.5</v>
      </c>
      <c r="N440" s="2245">
        <v>11.317119452100005</v>
      </c>
      <c r="O440" s="1361">
        <v>11.317119452100005</v>
      </c>
      <c r="P440" s="1361">
        <v>11.317119452100005</v>
      </c>
      <c r="Q440" s="1361">
        <v>11.317119452100005</v>
      </c>
      <c r="R440" s="1781">
        <v>1</v>
      </c>
      <c r="S440" s="1781">
        <v>1</v>
      </c>
      <c r="T440" s="1781">
        <v>1</v>
      </c>
      <c r="U440" s="1781">
        <v>1</v>
      </c>
      <c r="V440" s="1781">
        <v>1</v>
      </c>
      <c r="W440" s="1781">
        <v>1</v>
      </c>
      <c r="X440" s="1781">
        <v>1</v>
      </c>
      <c r="Y440" s="1781">
        <v>1</v>
      </c>
      <c r="Z440" s="1359">
        <v>0</v>
      </c>
      <c r="AA440" s="1781">
        <f t="shared" si="306"/>
        <v>1</v>
      </c>
      <c r="AB440" s="1781">
        <f t="shared" si="307"/>
        <v>1</v>
      </c>
      <c r="AC440" s="1781">
        <f t="shared" si="308"/>
        <v>1</v>
      </c>
      <c r="AD440" s="1781">
        <f t="shared" si="309"/>
        <v>1</v>
      </c>
      <c r="AE440" s="1781">
        <f t="shared" si="310"/>
        <v>1</v>
      </c>
      <c r="AF440" s="1781">
        <f t="shared" si="311"/>
        <v>1</v>
      </c>
      <c r="AG440" s="1781">
        <f t="shared" si="312"/>
        <v>1</v>
      </c>
      <c r="AH440" s="1781">
        <f t="shared" si="313"/>
        <v>1</v>
      </c>
      <c r="AI440" s="1362">
        <f t="shared" si="344"/>
        <v>83.112925256222439</v>
      </c>
      <c r="AJ440" s="1362">
        <f t="shared" si="345"/>
        <v>83.112925256222439</v>
      </c>
      <c r="AK440" s="1362">
        <f t="shared" si="346"/>
        <v>83.112925256222439</v>
      </c>
      <c r="AL440" s="1362">
        <f t="shared" si="347"/>
        <v>83.112925256222439</v>
      </c>
      <c r="AM440" s="1362">
        <f t="shared" si="348"/>
        <v>332.45170102488976</v>
      </c>
      <c r="AN440" s="1132" t="str">
        <f t="shared" si="314"/>
        <v>RS-HWE-LFSH-V06-190101</v>
      </c>
      <c r="AO440" s="1132" t="str">
        <f t="shared" si="315"/>
        <v>Nicor Gas PY11-PY14 Adjustable Goals Template_2025-03-01, Tab 5.4.5</v>
      </c>
      <c r="AP440" s="2737">
        <f>'5.4.5'!$P$16</f>
        <v>12.229477281000005</v>
      </c>
      <c r="AQ440" s="2568" t="s">
        <v>557</v>
      </c>
      <c r="AR440" s="2505">
        <f t="shared" si="316"/>
        <v>89.813281151664029</v>
      </c>
      <c r="AS440" s="2505">
        <f t="shared" si="317"/>
        <v>6.7003558954415894</v>
      </c>
      <c r="AT440" s="1132" t="str">
        <f t="shared" si="318"/>
        <v>RS-HWE-LFSH-V06-190101</v>
      </c>
      <c r="AU440" s="1132" t="str">
        <f t="shared" si="319"/>
        <v>Nicor Gas PY11-PY14 Adjustable Goals Template_2025-03-01, Tab 5.4.5</v>
      </c>
      <c r="AV440" s="2508">
        <f>'5.4.5'!$P$16</f>
        <v>12.229477281000005</v>
      </c>
      <c r="AW440" s="2568" t="s">
        <v>557</v>
      </c>
      <c r="AX440" s="1362">
        <f t="shared" si="320"/>
        <v>89.813281151664029</v>
      </c>
      <c r="AY440" s="1360">
        <f t="shared" si="321"/>
        <v>6.7003558954415894</v>
      </c>
      <c r="AZ440" s="1132" t="str">
        <f t="shared" si="322"/>
        <v>RS-HWE-LFSH-V06-190101</v>
      </c>
      <c r="BA440" s="1132" t="str">
        <f t="shared" si="323"/>
        <v>Nicor Gas PY11-PY14 Adjustable Goals Template_2025-03-01, Tab 5.4.5</v>
      </c>
      <c r="BB440" s="2508">
        <f>'5.4.5'!$P$16</f>
        <v>12.229477281000005</v>
      </c>
      <c r="BC440" s="2568" t="s">
        <v>557</v>
      </c>
      <c r="BD440" s="1362">
        <f t="shared" si="324"/>
        <v>89.813281151664029</v>
      </c>
      <c r="BE440" s="1360">
        <f t="shared" si="325"/>
        <v>6.7003558954415894</v>
      </c>
      <c r="BF440" s="1132" t="str">
        <f t="shared" si="326"/>
        <v>RS-HWE-LFSH-V06-190101</v>
      </c>
      <c r="BG440" s="1132" t="str">
        <f t="shared" si="327"/>
        <v>Nicor Gas PY11-PY14 Adjustable Goals Template_2025-03-01, Tab 5.4.5</v>
      </c>
      <c r="BH440" s="2508">
        <f>'5.4.5'!$P$16</f>
        <v>12.229477281000005</v>
      </c>
      <c r="BI440" s="2568" t="s">
        <v>557</v>
      </c>
      <c r="BJ440" s="1362">
        <f t="shared" si="349"/>
        <v>89.813281151664029</v>
      </c>
      <c r="BK440" s="1360">
        <f t="shared" si="328"/>
        <v>6.7003558954415894</v>
      </c>
      <c r="BL440" s="1601">
        <f t="shared" si="329"/>
        <v>89.813281151664029</v>
      </c>
      <c r="BM440" s="1601">
        <f t="shared" si="330"/>
        <v>89.813281151664029</v>
      </c>
      <c r="BN440" s="1601">
        <f t="shared" si="331"/>
        <v>89.813281151664029</v>
      </c>
      <c r="BO440" s="1601">
        <f t="shared" si="332"/>
        <v>89.813281151664029</v>
      </c>
      <c r="BP440" s="1602">
        <f t="shared" si="333"/>
        <v>359.25312460665612</v>
      </c>
      <c r="BQ440" s="1629"/>
      <c r="BR440" s="1629" t="s">
        <v>691</v>
      </c>
      <c r="BS440" s="1602">
        <v>0</v>
      </c>
      <c r="BT440" s="1602">
        <v>10</v>
      </c>
      <c r="BU440" s="1602">
        <v>10</v>
      </c>
      <c r="BV440" s="1602">
        <v>10</v>
      </c>
      <c r="BW440" s="1602">
        <v>10</v>
      </c>
      <c r="BX440" s="1362">
        <f t="shared" si="350"/>
        <v>831.12925256222434</v>
      </c>
      <c r="BY440" s="1362">
        <f t="shared" si="351"/>
        <v>831.12925256222434</v>
      </c>
      <c r="BZ440" s="1362">
        <f t="shared" si="352"/>
        <v>831.12925256222434</v>
      </c>
      <c r="CA440" s="1362">
        <f t="shared" si="353"/>
        <v>831.12925256222434</v>
      </c>
      <c r="CB440" s="1362">
        <f t="shared" si="354"/>
        <v>3324.5170102488973</v>
      </c>
      <c r="CC440" s="1360">
        <v>10</v>
      </c>
      <c r="CD440" s="1360">
        <v>10</v>
      </c>
      <c r="CE440" s="1360">
        <v>10</v>
      </c>
      <c r="CF440" s="1360">
        <v>10</v>
      </c>
      <c r="CG440" s="1604">
        <f t="shared" si="334"/>
        <v>898.13281151664023</v>
      </c>
      <c r="CH440" s="1604">
        <f t="shared" si="335"/>
        <v>898.13281151664023</v>
      </c>
      <c r="CI440" s="1604">
        <f t="shared" si="336"/>
        <v>898.13281151664023</v>
      </c>
      <c r="CJ440" s="1604">
        <f t="shared" si="337"/>
        <v>898.13281151664023</v>
      </c>
      <c r="CK440" s="1521">
        <f t="shared" si="338"/>
        <v>3592.5312460665609</v>
      </c>
      <c r="CL440" s="1132">
        <v>433</v>
      </c>
      <c r="CM440" s="1132" t="s">
        <v>328</v>
      </c>
      <c r="CN440" s="1359">
        <v>1</v>
      </c>
      <c r="CO440" s="1360">
        <v>7.0502399999999996</v>
      </c>
      <c r="CP440" s="1360">
        <v>7.0502399999999996</v>
      </c>
      <c r="CQ440" s="1360">
        <v>7.0502399999999996</v>
      </c>
      <c r="CR440" s="1360">
        <v>7.0502399999999996</v>
      </c>
      <c r="CS440" s="1362">
        <f t="shared" si="339"/>
        <v>79.788408245973542</v>
      </c>
      <c r="CT440" s="1362">
        <f t="shared" si="340"/>
        <v>79.788408245973542</v>
      </c>
      <c r="CU440" s="1362">
        <f t="shared" si="341"/>
        <v>79.788408245973542</v>
      </c>
      <c r="CV440" s="1362">
        <f t="shared" si="342"/>
        <v>79.788408245973542</v>
      </c>
      <c r="CW440" s="1362">
        <f t="shared" si="343"/>
        <v>319.15363298389417</v>
      </c>
      <c r="CY440" s="2887"/>
    </row>
    <row r="441" spans="1:103" s="1143" customFormat="1" ht="45" customHeight="1" x14ac:dyDescent="0.35">
      <c r="A441" s="1132" t="s">
        <v>111</v>
      </c>
      <c r="B441" s="1132" t="s">
        <v>111</v>
      </c>
      <c r="C441" s="1132" t="s">
        <v>742</v>
      </c>
      <c r="D441" s="1359" t="s">
        <v>743</v>
      </c>
      <c r="E441" s="1359">
        <v>1</v>
      </c>
      <c r="F441" s="2564" t="s">
        <v>708</v>
      </c>
      <c r="G441" s="1132" t="s">
        <v>328</v>
      </c>
      <c r="H441" s="1360">
        <v>49.572000000000003</v>
      </c>
      <c r="I441" s="1360">
        <v>49.572000000000003</v>
      </c>
      <c r="J441" s="1360">
        <v>49.572000000000003</v>
      </c>
      <c r="K441" s="1360">
        <v>49.572000000000003</v>
      </c>
      <c r="L441" s="1132" t="s">
        <v>709</v>
      </c>
      <c r="M441" s="1132" t="str">
        <f t="shared" si="305"/>
        <v>Nicor Gas PY11-PY14 Adjustable Goals Template_2025-03-01, Tab 5.3.11</v>
      </c>
      <c r="N441" s="1361">
        <v>40.5015</v>
      </c>
      <c r="O441" s="1361">
        <v>40.5015</v>
      </c>
      <c r="P441" s="1361">
        <v>40.5015</v>
      </c>
      <c r="Q441" s="1361">
        <v>40.5015</v>
      </c>
      <c r="R441" s="1781">
        <v>1</v>
      </c>
      <c r="S441" s="1781">
        <v>1</v>
      </c>
      <c r="T441" s="1781">
        <v>1</v>
      </c>
      <c r="U441" s="1781">
        <v>1</v>
      </c>
      <c r="V441" s="1781">
        <v>1</v>
      </c>
      <c r="W441" s="1781">
        <v>1</v>
      </c>
      <c r="X441" s="1781">
        <v>1</v>
      </c>
      <c r="Y441" s="1781">
        <v>1</v>
      </c>
      <c r="Z441" s="1359">
        <v>0</v>
      </c>
      <c r="AA441" s="1781">
        <f t="shared" si="306"/>
        <v>1</v>
      </c>
      <c r="AB441" s="1781">
        <f t="shared" si="307"/>
        <v>1</v>
      </c>
      <c r="AC441" s="1781">
        <f t="shared" si="308"/>
        <v>1</v>
      </c>
      <c r="AD441" s="1781">
        <f t="shared" si="309"/>
        <v>1</v>
      </c>
      <c r="AE441" s="1781">
        <f t="shared" si="310"/>
        <v>1</v>
      </c>
      <c r="AF441" s="1781">
        <f t="shared" si="311"/>
        <v>1</v>
      </c>
      <c r="AG441" s="1781">
        <f t="shared" si="312"/>
        <v>1</v>
      </c>
      <c r="AH441" s="1781">
        <f t="shared" si="313"/>
        <v>1</v>
      </c>
      <c r="AI441" s="1362">
        <f t="shared" si="344"/>
        <v>2007.740358</v>
      </c>
      <c r="AJ441" s="1362">
        <f t="shared" si="345"/>
        <v>2007.740358</v>
      </c>
      <c r="AK441" s="1362">
        <f t="shared" si="346"/>
        <v>2007.740358</v>
      </c>
      <c r="AL441" s="1362">
        <f t="shared" si="347"/>
        <v>2007.740358</v>
      </c>
      <c r="AM441" s="1362">
        <f t="shared" si="348"/>
        <v>8030.9614320000001</v>
      </c>
      <c r="AN441" s="1132" t="str">
        <f t="shared" si="314"/>
        <v>RS-HVC-PROG-V05-190101</v>
      </c>
      <c r="AO441" s="1132" t="str">
        <f t="shared" si="315"/>
        <v>Nicor Gas PY11-PY14 Adjustable Goals Template_2025-03-01, Tab 5.3.11</v>
      </c>
      <c r="AP441" s="2247">
        <f>'5.3.11'!$Q$12</f>
        <v>40.5015</v>
      </c>
      <c r="AQ441" s="2505"/>
      <c r="AR441" s="2505">
        <f t="shared" si="316"/>
        <v>2007.740358</v>
      </c>
      <c r="AS441" s="2505">
        <f t="shared" si="317"/>
        <v>0</v>
      </c>
      <c r="AT441" s="1132" t="str">
        <f t="shared" si="318"/>
        <v>RS-HVC-PROG-V05-190101</v>
      </c>
      <c r="AU441" s="1132" t="str">
        <f t="shared" si="319"/>
        <v>Nicor Gas PY11-PY14 Adjustable Goals Template_2025-03-01, Tab 5.3.11</v>
      </c>
      <c r="AV441" s="2247">
        <f>'5.3.11'!$Q$12</f>
        <v>40.5015</v>
      </c>
      <c r="AW441" s="2505"/>
      <c r="AX441" s="1362">
        <f t="shared" si="320"/>
        <v>2007.740358</v>
      </c>
      <c r="AY441" s="1360">
        <f t="shared" si="321"/>
        <v>0</v>
      </c>
      <c r="AZ441" s="1132" t="str">
        <f t="shared" si="322"/>
        <v>RS-HVC-PROG-V05-190101</v>
      </c>
      <c r="BA441" s="1132" t="str">
        <f t="shared" si="323"/>
        <v>Nicor Gas PY11-PY14 Adjustable Goals Template_2025-03-01, Tab 5.3.11</v>
      </c>
      <c r="BB441" s="2247">
        <f>'5.3.11'!$Q$12</f>
        <v>40.5015</v>
      </c>
      <c r="BC441" s="2505"/>
      <c r="BD441" s="1362">
        <f t="shared" si="324"/>
        <v>2007.740358</v>
      </c>
      <c r="BE441" s="1360">
        <f t="shared" si="325"/>
        <v>0</v>
      </c>
      <c r="BF441" s="1132" t="str">
        <f t="shared" si="326"/>
        <v>RS-HVC-PROG-V05-190101</v>
      </c>
      <c r="BG441" s="1132" t="str">
        <f t="shared" si="327"/>
        <v>Nicor Gas PY11-PY14 Adjustable Goals Template_2025-03-01, Tab 5.3.11</v>
      </c>
      <c r="BH441" s="2247">
        <f>'5.3.11'!$Q$12</f>
        <v>40.5015</v>
      </c>
      <c r="BI441" s="2505"/>
      <c r="BJ441" s="1362">
        <f t="shared" si="349"/>
        <v>2007.740358</v>
      </c>
      <c r="BK441" s="1360">
        <f t="shared" si="328"/>
        <v>0</v>
      </c>
      <c r="BL441" s="1601">
        <f t="shared" si="329"/>
        <v>2007.740358</v>
      </c>
      <c r="BM441" s="1601">
        <f t="shared" si="330"/>
        <v>2007.740358</v>
      </c>
      <c r="BN441" s="1601">
        <f t="shared" si="331"/>
        <v>2007.740358</v>
      </c>
      <c r="BO441" s="1601">
        <f t="shared" si="332"/>
        <v>2007.740358</v>
      </c>
      <c r="BP441" s="1602">
        <f t="shared" si="333"/>
        <v>8030.9614320000001</v>
      </c>
      <c r="BQ441" s="1629"/>
      <c r="BR441" s="1629" t="s">
        <v>708</v>
      </c>
      <c r="BS441" s="1602">
        <v>0</v>
      </c>
      <c r="BT441" s="1602">
        <v>8</v>
      </c>
      <c r="BU441" s="1602">
        <v>8</v>
      </c>
      <c r="BV441" s="1602">
        <v>8</v>
      </c>
      <c r="BW441" s="1602">
        <v>8</v>
      </c>
      <c r="BX441" s="1362">
        <f t="shared" si="350"/>
        <v>16061.922864</v>
      </c>
      <c r="BY441" s="1362">
        <f t="shared" si="351"/>
        <v>16061.922864</v>
      </c>
      <c r="BZ441" s="1362">
        <f t="shared" si="352"/>
        <v>16061.922864</v>
      </c>
      <c r="CA441" s="1362">
        <f t="shared" si="353"/>
        <v>16061.922864</v>
      </c>
      <c r="CB441" s="1362">
        <f t="shared" si="354"/>
        <v>64247.691456</v>
      </c>
      <c r="CC441" s="1360">
        <v>8</v>
      </c>
      <c r="CD441" s="1360">
        <v>8</v>
      </c>
      <c r="CE441" s="1360">
        <v>8</v>
      </c>
      <c r="CF441" s="1360">
        <v>8</v>
      </c>
      <c r="CG441" s="1604">
        <f t="shared" si="334"/>
        <v>16061.922864</v>
      </c>
      <c r="CH441" s="1604">
        <f t="shared" si="335"/>
        <v>16061.922864</v>
      </c>
      <c r="CI441" s="1604">
        <f t="shared" si="336"/>
        <v>16061.922864</v>
      </c>
      <c r="CJ441" s="1604">
        <f t="shared" si="337"/>
        <v>16061.922864</v>
      </c>
      <c r="CK441" s="1521">
        <f t="shared" si="338"/>
        <v>64247.691456</v>
      </c>
      <c r="CL441" s="1132">
        <v>434</v>
      </c>
      <c r="CM441" s="1132" t="s">
        <v>328</v>
      </c>
      <c r="CN441" s="1359">
        <v>1</v>
      </c>
      <c r="CO441" s="1360">
        <v>47.589120000000001</v>
      </c>
      <c r="CP441" s="1360">
        <v>47.589120000000001</v>
      </c>
      <c r="CQ441" s="1360">
        <v>47.589120000000001</v>
      </c>
      <c r="CR441" s="1360">
        <v>47.589120000000001</v>
      </c>
      <c r="CS441" s="1362">
        <f t="shared" si="339"/>
        <v>1927.43074368</v>
      </c>
      <c r="CT441" s="1362">
        <f t="shared" si="340"/>
        <v>1927.43074368</v>
      </c>
      <c r="CU441" s="1362">
        <f t="shared" si="341"/>
        <v>1927.43074368</v>
      </c>
      <c r="CV441" s="1362">
        <f t="shared" si="342"/>
        <v>1927.43074368</v>
      </c>
      <c r="CW441" s="1362">
        <f t="shared" si="343"/>
        <v>7709.7229747199999</v>
      </c>
      <c r="CY441" s="2887"/>
    </row>
    <row r="442" spans="1:103" s="1143" customFormat="1" ht="46.5" x14ac:dyDescent="0.35">
      <c r="A442" s="1132" t="s">
        <v>111</v>
      </c>
      <c r="B442" s="1132" t="s">
        <v>111</v>
      </c>
      <c r="C442" s="1132" t="s">
        <v>930</v>
      </c>
      <c r="D442" s="1359" t="s">
        <v>931</v>
      </c>
      <c r="E442" s="1359">
        <v>1</v>
      </c>
      <c r="F442" s="2564" t="s">
        <v>708</v>
      </c>
      <c r="G442" s="1132" t="s">
        <v>328</v>
      </c>
      <c r="H442" s="1360">
        <v>9.7919999999999998</v>
      </c>
      <c r="I442" s="1360">
        <v>9.7919999999999998</v>
      </c>
      <c r="J442" s="1360">
        <v>9.7919999999999998</v>
      </c>
      <c r="K442" s="1360">
        <v>9.7919999999999998</v>
      </c>
      <c r="L442" s="1132" t="s">
        <v>709</v>
      </c>
      <c r="M442" s="1132" t="str">
        <f t="shared" si="305"/>
        <v>Nicor Gas PY11-PY14 Adjustable Goals Template_2025-03-01, Tab 5.3.11</v>
      </c>
      <c r="N442" s="1361">
        <v>40.5015</v>
      </c>
      <c r="O442" s="1361">
        <v>40.5015</v>
      </c>
      <c r="P442" s="1361">
        <v>40.5015</v>
      </c>
      <c r="Q442" s="1361">
        <v>40.5015</v>
      </c>
      <c r="R442" s="1781">
        <v>1</v>
      </c>
      <c r="S442" s="1781">
        <v>1</v>
      </c>
      <c r="T442" s="1781">
        <v>1</v>
      </c>
      <c r="U442" s="1781">
        <v>1</v>
      </c>
      <c r="V442" s="1781">
        <v>1</v>
      </c>
      <c r="W442" s="1781">
        <v>1</v>
      </c>
      <c r="X442" s="1781">
        <v>1</v>
      </c>
      <c r="Y442" s="1781">
        <v>1</v>
      </c>
      <c r="Z442" s="1359">
        <v>0</v>
      </c>
      <c r="AA442" s="1781">
        <f t="shared" si="306"/>
        <v>1</v>
      </c>
      <c r="AB442" s="1781">
        <f t="shared" si="307"/>
        <v>1</v>
      </c>
      <c r="AC442" s="1781">
        <f t="shared" si="308"/>
        <v>1</v>
      </c>
      <c r="AD442" s="1781">
        <f t="shared" si="309"/>
        <v>1</v>
      </c>
      <c r="AE442" s="1781">
        <f t="shared" si="310"/>
        <v>1</v>
      </c>
      <c r="AF442" s="1781">
        <f t="shared" si="311"/>
        <v>1</v>
      </c>
      <c r="AG442" s="1781">
        <f t="shared" si="312"/>
        <v>1</v>
      </c>
      <c r="AH442" s="1781">
        <f t="shared" si="313"/>
        <v>1</v>
      </c>
      <c r="AI442" s="1362">
        <f t="shared" si="344"/>
        <v>396.590688</v>
      </c>
      <c r="AJ442" s="1362">
        <f t="shared" si="345"/>
        <v>396.590688</v>
      </c>
      <c r="AK442" s="1362">
        <f t="shared" si="346"/>
        <v>396.590688</v>
      </c>
      <c r="AL442" s="1362">
        <f t="shared" si="347"/>
        <v>396.590688</v>
      </c>
      <c r="AM442" s="1362">
        <f t="shared" si="348"/>
        <v>1586.362752</v>
      </c>
      <c r="AN442" s="1132" t="str">
        <f t="shared" si="314"/>
        <v>RS-HVC-PROG-V05-190101</v>
      </c>
      <c r="AO442" s="1132" t="str">
        <f t="shared" si="315"/>
        <v>Nicor Gas PY11-PY14 Adjustable Goals Template_2025-03-01, Tab 5.3.11</v>
      </c>
      <c r="AP442" s="2247">
        <f>'5.3.11'!$Q$13</f>
        <v>40.5015</v>
      </c>
      <c r="AQ442" s="2505"/>
      <c r="AR442" s="2505">
        <f t="shared" si="316"/>
        <v>396.590688</v>
      </c>
      <c r="AS442" s="2505">
        <f t="shared" si="317"/>
        <v>0</v>
      </c>
      <c r="AT442" s="1132" t="str">
        <f t="shared" si="318"/>
        <v>RS-HVC-PROG-V05-190101</v>
      </c>
      <c r="AU442" s="1132" t="str">
        <f t="shared" si="319"/>
        <v>Nicor Gas PY11-PY14 Adjustable Goals Template_2025-03-01, Tab 5.3.11</v>
      </c>
      <c r="AV442" s="2247">
        <f>'5.3.11'!$Q$13</f>
        <v>40.5015</v>
      </c>
      <c r="AW442" s="2505"/>
      <c r="AX442" s="1362">
        <f t="shared" si="320"/>
        <v>396.590688</v>
      </c>
      <c r="AY442" s="1360">
        <f t="shared" si="321"/>
        <v>0</v>
      </c>
      <c r="AZ442" s="1132" t="str">
        <f t="shared" si="322"/>
        <v>RS-HVC-PROG-V05-190101</v>
      </c>
      <c r="BA442" s="1132" t="str">
        <f t="shared" si="323"/>
        <v>Nicor Gas PY11-PY14 Adjustable Goals Template_2025-03-01, Tab 5.3.11</v>
      </c>
      <c r="BB442" s="2247">
        <f>'5.3.11'!$Q$13</f>
        <v>40.5015</v>
      </c>
      <c r="BC442" s="2505"/>
      <c r="BD442" s="1362">
        <f t="shared" si="324"/>
        <v>396.590688</v>
      </c>
      <c r="BE442" s="1360">
        <f t="shared" si="325"/>
        <v>0</v>
      </c>
      <c r="BF442" s="1132" t="str">
        <f t="shared" si="326"/>
        <v>RS-HVC-PROG-V05-190101</v>
      </c>
      <c r="BG442" s="1132" t="str">
        <f t="shared" si="327"/>
        <v>Nicor Gas PY11-PY14 Adjustable Goals Template_2025-03-01, Tab 5.3.11</v>
      </c>
      <c r="BH442" s="2247">
        <f>'5.3.11'!$Q$13</f>
        <v>40.5015</v>
      </c>
      <c r="BI442" s="2505"/>
      <c r="BJ442" s="1362">
        <f t="shared" si="349"/>
        <v>396.590688</v>
      </c>
      <c r="BK442" s="1360">
        <f t="shared" si="328"/>
        <v>0</v>
      </c>
      <c r="BL442" s="1601">
        <f t="shared" si="329"/>
        <v>396.590688</v>
      </c>
      <c r="BM442" s="1601">
        <f t="shared" si="330"/>
        <v>396.590688</v>
      </c>
      <c r="BN442" s="1601">
        <f t="shared" si="331"/>
        <v>396.590688</v>
      </c>
      <c r="BO442" s="1601">
        <f t="shared" si="332"/>
        <v>396.590688</v>
      </c>
      <c r="BP442" s="1602">
        <f t="shared" si="333"/>
        <v>1586.362752</v>
      </c>
      <c r="BQ442" s="1629"/>
      <c r="BR442" s="1629" t="s">
        <v>708</v>
      </c>
      <c r="BS442" s="1602">
        <v>0</v>
      </c>
      <c r="BT442" s="1602">
        <v>2</v>
      </c>
      <c r="BU442" s="1602">
        <v>2</v>
      </c>
      <c r="BV442" s="1602">
        <v>2</v>
      </c>
      <c r="BW442" s="1602">
        <v>2</v>
      </c>
      <c r="BX442" s="1362">
        <f t="shared" si="350"/>
        <v>793.181376</v>
      </c>
      <c r="BY442" s="1362">
        <f t="shared" si="351"/>
        <v>793.181376</v>
      </c>
      <c r="BZ442" s="1362">
        <f t="shared" si="352"/>
        <v>793.181376</v>
      </c>
      <c r="CA442" s="1362">
        <f t="shared" si="353"/>
        <v>793.181376</v>
      </c>
      <c r="CB442" s="1362">
        <f t="shared" si="354"/>
        <v>3172.725504</v>
      </c>
      <c r="CC442" s="1360">
        <v>2</v>
      </c>
      <c r="CD442" s="1360">
        <v>2</v>
      </c>
      <c r="CE442" s="1360">
        <v>2</v>
      </c>
      <c r="CF442" s="1360">
        <v>2</v>
      </c>
      <c r="CG442" s="1604">
        <f t="shared" si="334"/>
        <v>793.181376</v>
      </c>
      <c r="CH442" s="1604">
        <f t="shared" si="335"/>
        <v>793.181376</v>
      </c>
      <c r="CI442" s="1604">
        <f t="shared" si="336"/>
        <v>793.181376</v>
      </c>
      <c r="CJ442" s="1604">
        <f t="shared" si="337"/>
        <v>793.181376</v>
      </c>
      <c r="CK442" s="1521">
        <f t="shared" si="338"/>
        <v>3172.725504</v>
      </c>
      <c r="CL442" s="1132">
        <v>435</v>
      </c>
      <c r="CM442" s="1132" t="s">
        <v>328</v>
      </c>
      <c r="CN442" s="1359">
        <v>1</v>
      </c>
      <c r="CO442" s="1360">
        <v>9.4003199999999989</v>
      </c>
      <c r="CP442" s="1360">
        <v>9.4003199999999989</v>
      </c>
      <c r="CQ442" s="1360">
        <v>9.4003199999999989</v>
      </c>
      <c r="CR442" s="1360">
        <v>9.4003199999999989</v>
      </c>
      <c r="CS442" s="1362">
        <f t="shared" si="339"/>
        <v>380.72706047999998</v>
      </c>
      <c r="CT442" s="1362">
        <f t="shared" si="340"/>
        <v>380.72706047999998</v>
      </c>
      <c r="CU442" s="1362">
        <f t="shared" si="341"/>
        <v>380.72706047999998</v>
      </c>
      <c r="CV442" s="1362">
        <f t="shared" si="342"/>
        <v>380.72706047999998</v>
      </c>
      <c r="CW442" s="1362">
        <f t="shared" si="343"/>
        <v>1522.9082419199999</v>
      </c>
      <c r="CY442" s="2887"/>
    </row>
    <row r="443" spans="1:103" s="1143" customFormat="1" ht="46.5" x14ac:dyDescent="0.35">
      <c r="A443" s="1132" t="s">
        <v>111</v>
      </c>
      <c r="B443" s="1132" t="s">
        <v>111</v>
      </c>
      <c r="C443" s="1132" t="s">
        <v>345</v>
      </c>
      <c r="D443" s="1359" t="s">
        <v>346</v>
      </c>
      <c r="E443" s="1359">
        <v>1</v>
      </c>
      <c r="F443" s="2564" t="s">
        <v>336</v>
      </c>
      <c r="G443" s="1132" t="s">
        <v>337</v>
      </c>
      <c r="H443" s="1360">
        <v>45.287999999999997</v>
      </c>
      <c r="I443" s="1360">
        <v>45.287999999999997</v>
      </c>
      <c r="J443" s="1360">
        <v>45.287999999999997</v>
      </c>
      <c r="K443" s="1360">
        <v>45.287999999999997</v>
      </c>
      <c r="L443" s="1132" t="s">
        <v>338</v>
      </c>
      <c r="M443" s="1132" t="str">
        <f t="shared" si="305"/>
        <v>Nicor Gas PY11-PY14 Adjustable Goals Template_2025-03-01, Tab 4.4.14</v>
      </c>
      <c r="N443" s="1361">
        <v>2.0533046641791044</v>
      </c>
      <c r="O443" s="1361">
        <v>2.0533046641791044</v>
      </c>
      <c r="P443" s="1361">
        <v>2.0533046641791044</v>
      </c>
      <c r="Q443" s="1361">
        <v>2.0533046641791044</v>
      </c>
      <c r="R443" s="1781">
        <v>1</v>
      </c>
      <c r="S443" s="1781">
        <v>1</v>
      </c>
      <c r="T443" s="1781">
        <v>1</v>
      </c>
      <c r="U443" s="1781">
        <v>1</v>
      </c>
      <c r="V443" s="1781">
        <v>1</v>
      </c>
      <c r="W443" s="1781">
        <v>1</v>
      </c>
      <c r="X443" s="1781">
        <v>1</v>
      </c>
      <c r="Y443" s="1781">
        <v>1</v>
      </c>
      <c r="Z443" s="1359">
        <v>0</v>
      </c>
      <c r="AA443" s="1781">
        <f t="shared" si="306"/>
        <v>1</v>
      </c>
      <c r="AB443" s="1781">
        <f t="shared" si="307"/>
        <v>1</v>
      </c>
      <c r="AC443" s="1781">
        <f t="shared" si="308"/>
        <v>1</v>
      </c>
      <c r="AD443" s="1781">
        <f t="shared" si="309"/>
        <v>1</v>
      </c>
      <c r="AE443" s="1781">
        <f t="shared" si="310"/>
        <v>1</v>
      </c>
      <c r="AF443" s="1781">
        <f t="shared" si="311"/>
        <v>1</v>
      </c>
      <c r="AG443" s="1781">
        <f t="shared" si="312"/>
        <v>1</v>
      </c>
      <c r="AH443" s="1781">
        <f t="shared" si="313"/>
        <v>1</v>
      </c>
      <c r="AI443" s="1362">
        <f t="shared" si="344"/>
        <v>92.990061631343266</v>
      </c>
      <c r="AJ443" s="1362">
        <f t="shared" si="345"/>
        <v>92.990061631343266</v>
      </c>
      <c r="AK443" s="1362">
        <f t="shared" si="346"/>
        <v>92.990061631343266</v>
      </c>
      <c r="AL443" s="1362">
        <f t="shared" si="347"/>
        <v>92.990061631343266</v>
      </c>
      <c r="AM443" s="1362">
        <f t="shared" si="348"/>
        <v>371.96024652537307</v>
      </c>
      <c r="AN443" s="1132" t="str">
        <f t="shared" si="314"/>
        <v>CI-HVC-PINS-V05-190101</v>
      </c>
      <c r="AO443" s="1132" t="str">
        <f t="shared" si="315"/>
        <v>Nicor Gas PY11-PY14 Adjustable Goals Template_2025-03-01, Tab 4.4.14</v>
      </c>
      <c r="AP443" s="2505">
        <f>'4.4.14'!$T$9</f>
        <v>2.0533046641791044</v>
      </c>
      <c r="AQ443" s="2505"/>
      <c r="AR443" s="2505">
        <f t="shared" si="316"/>
        <v>92.990061631343266</v>
      </c>
      <c r="AS443" s="2505">
        <f t="shared" si="317"/>
        <v>0</v>
      </c>
      <c r="AT443" s="1132" t="str">
        <f t="shared" si="318"/>
        <v>CI-HVC-PINS-V05-190101</v>
      </c>
      <c r="AU443" s="1132" t="str">
        <f t="shared" si="319"/>
        <v>Nicor Gas PY11-PY14 Adjustable Goals Template_2025-03-01, Tab 4.4.14</v>
      </c>
      <c r="AV443" s="2505">
        <f>'4.4.14'!$T$9</f>
        <v>2.0533046641791044</v>
      </c>
      <c r="AW443" s="2505"/>
      <c r="AX443" s="1362">
        <f t="shared" si="320"/>
        <v>92.990061631343266</v>
      </c>
      <c r="AY443" s="1360">
        <f t="shared" si="321"/>
        <v>0</v>
      </c>
      <c r="AZ443" s="1132" t="str">
        <f t="shared" si="322"/>
        <v>CI-HVC-PINS-V05-190101</v>
      </c>
      <c r="BA443" s="1132" t="str">
        <f t="shared" si="323"/>
        <v>Nicor Gas PY11-PY14 Adjustable Goals Template_2025-03-01, Tab 4.4.14</v>
      </c>
      <c r="BB443" s="2505">
        <f>'4.4.14'!$T$9</f>
        <v>2.0533046641791044</v>
      </c>
      <c r="BC443" s="2505"/>
      <c r="BD443" s="1362">
        <f t="shared" si="324"/>
        <v>92.990061631343266</v>
      </c>
      <c r="BE443" s="1360">
        <f t="shared" si="325"/>
        <v>0</v>
      </c>
      <c r="BF443" s="1132" t="str">
        <f t="shared" si="326"/>
        <v>CI-HVC-PINS-V05-190101</v>
      </c>
      <c r="BG443" s="1132" t="str">
        <f t="shared" si="327"/>
        <v>Nicor Gas PY11-PY14 Adjustable Goals Template_2025-03-01, Tab 4.4.14</v>
      </c>
      <c r="BH443" s="2505">
        <f>'4.4.14'!$T$9</f>
        <v>2.0533046641791044</v>
      </c>
      <c r="BI443" s="2505"/>
      <c r="BJ443" s="1362">
        <f t="shared" si="349"/>
        <v>92.990061631343266</v>
      </c>
      <c r="BK443" s="1360">
        <f t="shared" si="328"/>
        <v>0</v>
      </c>
      <c r="BL443" s="1601">
        <f t="shared" si="329"/>
        <v>92.990061631343266</v>
      </c>
      <c r="BM443" s="1601">
        <f t="shared" si="330"/>
        <v>92.990061631343266</v>
      </c>
      <c r="BN443" s="1601">
        <f t="shared" si="331"/>
        <v>92.990061631343266</v>
      </c>
      <c r="BO443" s="1601">
        <f t="shared" si="332"/>
        <v>92.990061631343266</v>
      </c>
      <c r="BP443" s="1602">
        <f t="shared" si="333"/>
        <v>371.96024652537307</v>
      </c>
      <c r="BQ443" s="1629"/>
      <c r="BR443" s="1629" t="s">
        <v>336</v>
      </c>
      <c r="BS443" s="1602">
        <v>0</v>
      </c>
      <c r="BT443" s="1602">
        <v>15</v>
      </c>
      <c r="BU443" s="1602">
        <v>15</v>
      </c>
      <c r="BV443" s="1602">
        <v>15</v>
      </c>
      <c r="BW443" s="1602">
        <v>15</v>
      </c>
      <c r="BX443" s="1362">
        <f t="shared" si="350"/>
        <v>1394.850924470149</v>
      </c>
      <c r="BY443" s="1362">
        <f t="shared" si="351"/>
        <v>1394.850924470149</v>
      </c>
      <c r="BZ443" s="1362">
        <f t="shared" si="352"/>
        <v>1394.850924470149</v>
      </c>
      <c r="CA443" s="1362">
        <f t="shared" si="353"/>
        <v>1394.850924470149</v>
      </c>
      <c r="CB443" s="1362">
        <f t="shared" si="354"/>
        <v>5579.4036978805962</v>
      </c>
      <c r="CC443" s="1360">
        <v>15</v>
      </c>
      <c r="CD443" s="1360">
        <v>15</v>
      </c>
      <c r="CE443" s="1360">
        <v>15</v>
      </c>
      <c r="CF443" s="1360">
        <v>15</v>
      </c>
      <c r="CG443" s="1604">
        <f t="shared" si="334"/>
        <v>1394.850924470149</v>
      </c>
      <c r="CH443" s="1604">
        <f t="shared" si="335"/>
        <v>1394.850924470149</v>
      </c>
      <c r="CI443" s="1604">
        <f t="shared" si="336"/>
        <v>1394.850924470149</v>
      </c>
      <c r="CJ443" s="1604">
        <f t="shared" si="337"/>
        <v>1394.850924470149</v>
      </c>
      <c r="CK443" s="1521">
        <f t="shared" si="338"/>
        <v>5579.4036978805962</v>
      </c>
      <c r="CL443" s="1132">
        <v>436</v>
      </c>
      <c r="CM443" s="1132" t="s">
        <v>337</v>
      </c>
      <c r="CN443" s="1359">
        <v>1</v>
      </c>
      <c r="CO443" s="1360">
        <v>43.476479999999995</v>
      </c>
      <c r="CP443" s="1360">
        <v>43.476479999999995</v>
      </c>
      <c r="CQ443" s="1360">
        <v>43.476479999999995</v>
      </c>
      <c r="CR443" s="1360">
        <v>43.476479999999995</v>
      </c>
      <c r="CS443" s="1362">
        <f t="shared" si="339"/>
        <v>89.270459166089537</v>
      </c>
      <c r="CT443" s="1362">
        <f t="shared" si="340"/>
        <v>89.270459166089537</v>
      </c>
      <c r="CU443" s="1362">
        <f t="shared" si="341"/>
        <v>89.270459166089537</v>
      </c>
      <c r="CV443" s="1362">
        <f t="shared" si="342"/>
        <v>89.270459166089537</v>
      </c>
      <c r="CW443" s="1362">
        <f t="shared" si="343"/>
        <v>357.08183666435815</v>
      </c>
      <c r="CY443" s="2887"/>
    </row>
    <row r="444" spans="1:103" s="1143" customFormat="1" ht="15" customHeight="1" x14ac:dyDescent="0.35">
      <c r="A444" s="1132" t="s">
        <v>111</v>
      </c>
      <c r="B444" s="1132" t="s">
        <v>111</v>
      </c>
      <c r="C444" s="1132" t="s">
        <v>932</v>
      </c>
      <c r="D444" s="1359" t="s">
        <v>933</v>
      </c>
      <c r="E444" s="1359">
        <v>1</v>
      </c>
      <c r="F444" s="2808" t="s">
        <v>934</v>
      </c>
      <c r="G444" s="1132" t="s">
        <v>328</v>
      </c>
      <c r="H444" s="1360">
        <v>14.075999999999999</v>
      </c>
      <c r="I444" s="1360">
        <v>14.075999999999999</v>
      </c>
      <c r="J444" s="1360">
        <v>14.075999999999999</v>
      </c>
      <c r="K444" s="1360">
        <v>14.075999999999999</v>
      </c>
      <c r="L444" s="1132" t="s">
        <v>935</v>
      </c>
      <c r="M444" s="1132" t="str">
        <f t="shared" si="305"/>
        <v>Nicor Gas PY11-PY14 Adjustable Goals Template_2025-03-01, Tab 4.4.38</v>
      </c>
      <c r="N444" s="1361">
        <v>294.55200000000002</v>
      </c>
      <c r="O444" s="1361">
        <v>294.55200000000002</v>
      </c>
      <c r="P444" s="1361">
        <v>294.55200000000002</v>
      </c>
      <c r="Q444" s="1361">
        <v>294.55200000000002</v>
      </c>
      <c r="R444" s="1781">
        <v>1</v>
      </c>
      <c r="S444" s="1781">
        <v>1</v>
      </c>
      <c r="T444" s="1781">
        <v>1</v>
      </c>
      <c r="U444" s="1781">
        <v>1</v>
      </c>
      <c r="V444" s="1781">
        <v>1</v>
      </c>
      <c r="W444" s="1781">
        <v>1</v>
      </c>
      <c r="X444" s="1781">
        <v>1</v>
      </c>
      <c r="Y444" s="1781">
        <v>1</v>
      </c>
      <c r="Z444" s="1359">
        <v>0</v>
      </c>
      <c r="AA444" s="1781">
        <f t="shared" si="306"/>
        <v>1</v>
      </c>
      <c r="AB444" s="1781">
        <f t="shared" si="307"/>
        <v>1</v>
      </c>
      <c r="AC444" s="1781">
        <f t="shared" si="308"/>
        <v>1</v>
      </c>
      <c r="AD444" s="1781">
        <f t="shared" si="309"/>
        <v>1</v>
      </c>
      <c r="AE444" s="1781">
        <f t="shared" si="310"/>
        <v>1</v>
      </c>
      <c r="AF444" s="1781">
        <f t="shared" si="311"/>
        <v>1</v>
      </c>
      <c r="AG444" s="1781">
        <f t="shared" si="312"/>
        <v>1</v>
      </c>
      <c r="AH444" s="1781">
        <f t="shared" si="313"/>
        <v>1</v>
      </c>
      <c r="AI444" s="1362">
        <f t="shared" si="344"/>
        <v>4146.1139519999997</v>
      </c>
      <c r="AJ444" s="1362">
        <f t="shared" si="345"/>
        <v>4146.1139519999997</v>
      </c>
      <c r="AK444" s="1362">
        <f t="shared" si="346"/>
        <v>4146.1139519999997</v>
      </c>
      <c r="AL444" s="1362">
        <f t="shared" si="347"/>
        <v>4146.1139519999997</v>
      </c>
      <c r="AM444" s="1362">
        <f t="shared" si="348"/>
        <v>16584.455807999999</v>
      </c>
      <c r="AN444" s="1132" t="str">
        <f t="shared" si="314"/>
        <v>CI-HVC-CRAC-V01-180102</v>
      </c>
      <c r="AO444" s="1132" t="str">
        <f t="shared" si="315"/>
        <v>Nicor Gas PY11-PY14 Adjustable Goals Template_2025-03-01, Tab 4.4.38</v>
      </c>
      <c r="AP444" s="2505">
        <f>'4.4.38'!$Q$5</f>
        <v>294.55200000000002</v>
      </c>
      <c r="AQ444" s="2505"/>
      <c r="AR444" s="2505">
        <f t="shared" si="316"/>
        <v>4146.1139519999997</v>
      </c>
      <c r="AS444" s="2505">
        <f t="shared" si="317"/>
        <v>0</v>
      </c>
      <c r="AT444" s="1132" t="str">
        <f t="shared" si="318"/>
        <v>CI-HVC-CRAC-V01-180102</v>
      </c>
      <c r="AU444" s="1132" t="str">
        <f t="shared" si="319"/>
        <v>Nicor Gas PY11-PY14 Adjustable Goals Template_2025-03-01, Tab 4.4.38</v>
      </c>
      <c r="AV444" s="2505">
        <f>'4.4.38'!$Q$5</f>
        <v>294.55200000000002</v>
      </c>
      <c r="AW444" s="2505"/>
      <c r="AX444" s="1362">
        <f t="shared" si="320"/>
        <v>4146.1139519999997</v>
      </c>
      <c r="AY444" s="1360">
        <f t="shared" si="321"/>
        <v>0</v>
      </c>
      <c r="AZ444" s="1132" t="str">
        <f t="shared" si="322"/>
        <v>CI-HVC-CRAC-V01-180102</v>
      </c>
      <c r="BA444" s="1132" t="str">
        <f t="shared" si="323"/>
        <v>Nicor Gas PY11-PY14 Adjustable Goals Template_2025-03-01, Tab 4.4.38</v>
      </c>
      <c r="BB444" s="2505">
        <f>'4.4.38'!$Q$5</f>
        <v>294.55200000000002</v>
      </c>
      <c r="BC444" s="2505"/>
      <c r="BD444" s="1362">
        <f t="shared" si="324"/>
        <v>4146.1139519999997</v>
      </c>
      <c r="BE444" s="1360">
        <f t="shared" si="325"/>
        <v>0</v>
      </c>
      <c r="BF444" s="1132" t="str">
        <f t="shared" si="326"/>
        <v>CI-HVC-CRAC-V01-180102</v>
      </c>
      <c r="BG444" s="1132" t="str">
        <f t="shared" si="327"/>
        <v>Nicor Gas PY11-PY14 Adjustable Goals Template_2025-03-01, Tab 4.4.38</v>
      </c>
      <c r="BH444" s="2505">
        <f>'4.4.38'!$Q$5</f>
        <v>294.55200000000002</v>
      </c>
      <c r="BI444" s="2505"/>
      <c r="BJ444" s="1362">
        <f t="shared" si="349"/>
        <v>4146.1139519999997</v>
      </c>
      <c r="BK444" s="1360">
        <f t="shared" si="328"/>
        <v>0</v>
      </c>
      <c r="BL444" s="1601">
        <f t="shared" si="329"/>
        <v>4146.1139519999997</v>
      </c>
      <c r="BM444" s="1601">
        <f t="shared" si="330"/>
        <v>4146.1139519999997</v>
      </c>
      <c r="BN444" s="1601">
        <f t="shared" si="331"/>
        <v>4146.1139519999997</v>
      </c>
      <c r="BO444" s="1601">
        <f t="shared" si="332"/>
        <v>4146.1139519999997</v>
      </c>
      <c r="BP444" s="1602">
        <f t="shared" si="333"/>
        <v>16584.455807999999</v>
      </c>
      <c r="BQ444" s="1629"/>
      <c r="BR444" s="1629" t="s">
        <v>934</v>
      </c>
      <c r="BS444" s="1602">
        <v>0</v>
      </c>
      <c r="BT444" s="1602">
        <v>5</v>
      </c>
      <c r="BU444" s="1602">
        <v>5</v>
      </c>
      <c r="BV444" s="1602">
        <v>5</v>
      </c>
      <c r="BW444" s="1602">
        <v>5</v>
      </c>
      <c r="BX444" s="1362">
        <f t="shared" si="350"/>
        <v>20730.569759999998</v>
      </c>
      <c r="BY444" s="1362">
        <f t="shared" si="351"/>
        <v>20730.569759999998</v>
      </c>
      <c r="BZ444" s="1362">
        <f t="shared" si="352"/>
        <v>20730.569759999998</v>
      </c>
      <c r="CA444" s="1362">
        <f t="shared" si="353"/>
        <v>20730.569759999998</v>
      </c>
      <c r="CB444" s="1362">
        <f t="shared" si="354"/>
        <v>82922.279039999994</v>
      </c>
      <c r="CC444" s="1360">
        <v>5</v>
      </c>
      <c r="CD444" s="1360">
        <v>5</v>
      </c>
      <c r="CE444" s="1360">
        <v>5</v>
      </c>
      <c r="CF444" s="1360">
        <v>5</v>
      </c>
      <c r="CG444" s="1604">
        <f t="shared" si="334"/>
        <v>20730.569759999998</v>
      </c>
      <c r="CH444" s="1604">
        <f t="shared" si="335"/>
        <v>20730.569759999998</v>
      </c>
      <c r="CI444" s="1604">
        <f t="shared" si="336"/>
        <v>20730.569759999998</v>
      </c>
      <c r="CJ444" s="1604">
        <f t="shared" si="337"/>
        <v>20730.569759999998</v>
      </c>
      <c r="CK444" s="1521">
        <f t="shared" si="338"/>
        <v>82922.279039999994</v>
      </c>
      <c r="CL444" s="1132">
        <v>437</v>
      </c>
      <c r="CM444" s="1132" t="s">
        <v>328</v>
      </c>
      <c r="CN444" s="1359">
        <v>1</v>
      </c>
      <c r="CO444" s="1360">
        <v>13.512959999999998</v>
      </c>
      <c r="CP444" s="1360">
        <v>13.512959999999998</v>
      </c>
      <c r="CQ444" s="1360">
        <v>13.512959999999998</v>
      </c>
      <c r="CR444" s="1360">
        <v>13.512959999999998</v>
      </c>
      <c r="CS444" s="1362">
        <f t="shared" si="339"/>
        <v>3980.2693939199999</v>
      </c>
      <c r="CT444" s="1362">
        <f t="shared" si="340"/>
        <v>3980.2693939199999</v>
      </c>
      <c r="CU444" s="1362">
        <f t="shared" si="341"/>
        <v>3980.2693939199999</v>
      </c>
      <c r="CV444" s="1362">
        <f t="shared" si="342"/>
        <v>3980.2693939199999</v>
      </c>
      <c r="CW444" s="1362">
        <f t="shared" si="343"/>
        <v>15921.077575679999</v>
      </c>
      <c r="CY444" s="2887"/>
    </row>
    <row r="445" spans="1:103" s="1143" customFormat="1" ht="15" customHeight="1" x14ac:dyDescent="0.35">
      <c r="A445" s="1132" t="s">
        <v>111</v>
      </c>
      <c r="B445" s="1132" t="s">
        <v>111</v>
      </c>
      <c r="C445" s="1132" t="s">
        <v>856</v>
      </c>
      <c r="D445" s="1359" t="s">
        <v>857</v>
      </c>
      <c r="E445" s="1359">
        <v>1</v>
      </c>
      <c r="F445" s="2564" t="s">
        <v>631</v>
      </c>
      <c r="G445" s="1132" t="s">
        <v>356</v>
      </c>
      <c r="H445" s="1360">
        <v>58.751999999999995</v>
      </c>
      <c r="I445" s="1360">
        <v>58.751999999999995</v>
      </c>
      <c r="J445" s="1360">
        <v>58.751999999999995</v>
      </c>
      <c r="K445" s="1360">
        <v>58.751999999999995</v>
      </c>
      <c r="L445" s="1132" t="s">
        <v>632</v>
      </c>
      <c r="M445" s="1132" t="str">
        <f t="shared" si="305"/>
        <v>Nicor Gas PY11-PY14 Adjustable Goals Template_2025-03-01, Tab 5.3.7</v>
      </c>
      <c r="N445" s="1361">
        <v>107.53205128205116</v>
      </c>
      <c r="O445" s="1361">
        <v>107.53205128205116</v>
      </c>
      <c r="P445" s="1361">
        <v>107.53205128205116</v>
      </c>
      <c r="Q445" s="1361">
        <v>107.53205128205116</v>
      </c>
      <c r="R445" s="1781">
        <v>1</v>
      </c>
      <c r="S445" s="1781">
        <v>1</v>
      </c>
      <c r="T445" s="1781">
        <v>1</v>
      </c>
      <c r="U445" s="1781">
        <v>1</v>
      </c>
      <c r="V445" s="1781">
        <v>1</v>
      </c>
      <c r="W445" s="1781">
        <v>1</v>
      </c>
      <c r="X445" s="1781">
        <v>1</v>
      </c>
      <c r="Y445" s="1781">
        <v>1</v>
      </c>
      <c r="Z445" s="1359">
        <v>0</v>
      </c>
      <c r="AA445" s="1781">
        <f t="shared" si="306"/>
        <v>1</v>
      </c>
      <c r="AB445" s="1781">
        <f t="shared" si="307"/>
        <v>1</v>
      </c>
      <c r="AC445" s="1781">
        <f t="shared" si="308"/>
        <v>1</v>
      </c>
      <c r="AD445" s="1781">
        <f t="shared" si="309"/>
        <v>1</v>
      </c>
      <c r="AE445" s="1781">
        <f t="shared" si="310"/>
        <v>1</v>
      </c>
      <c r="AF445" s="1781">
        <f t="shared" si="311"/>
        <v>1</v>
      </c>
      <c r="AG445" s="1781">
        <f t="shared" si="312"/>
        <v>1</v>
      </c>
      <c r="AH445" s="1781">
        <f t="shared" si="313"/>
        <v>1</v>
      </c>
      <c r="AI445" s="1362">
        <f t="shared" si="344"/>
        <v>6317.7230769230691</v>
      </c>
      <c r="AJ445" s="1362">
        <f t="shared" si="345"/>
        <v>6317.7230769230691</v>
      </c>
      <c r="AK445" s="1362">
        <f t="shared" si="346"/>
        <v>6317.7230769230691</v>
      </c>
      <c r="AL445" s="1362">
        <f t="shared" si="347"/>
        <v>6317.7230769230691</v>
      </c>
      <c r="AM445" s="1362">
        <f t="shared" si="348"/>
        <v>25270.892307692277</v>
      </c>
      <c r="AN445" s="1132" t="str">
        <f t="shared" si="314"/>
        <v>RS-HVC-GHEF-V08-190101</v>
      </c>
      <c r="AO445" s="1132" t="str">
        <f t="shared" si="315"/>
        <v>Nicor Gas PY11-PY14 Adjustable Goals Template_2025-03-01, Tab 5.3.7</v>
      </c>
      <c r="AP445" s="2505">
        <f>'5.3.7'!$P$6</f>
        <v>107.53205128205116</v>
      </c>
      <c r="AQ445" s="2505"/>
      <c r="AR445" s="2505">
        <f t="shared" si="316"/>
        <v>6317.7230769230691</v>
      </c>
      <c r="AS445" s="2505">
        <f t="shared" si="317"/>
        <v>0</v>
      </c>
      <c r="AT445" s="1132" t="str">
        <f t="shared" si="318"/>
        <v>RS-HVC-GHEF-V08-190101</v>
      </c>
      <c r="AU445" s="1132" t="str">
        <f t="shared" si="319"/>
        <v>Nicor Gas PY11-PY14 Adjustable Goals Template_2025-03-01, Tab 5.3.7</v>
      </c>
      <c r="AV445" s="2505">
        <f>'5.3.7'!$P$6</f>
        <v>107.53205128205116</v>
      </c>
      <c r="AW445" s="2505"/>
      <c r="AX445" s="1362">
        <f t="shared" si="320"/>
        <v>6317.7230769230691</v>
      </c>
      <c r="AY445" s="1360">
        <f t="shared" si="321"/>
        <v>0</v>
      </c>
      <c r="AZ445" s="1132" t="str">
        <f t="shared" si="322"/>
        <v>RS-HVC-GHEF-V08-190101</v>
      </c>
      <c r="BA445" s="1132" t="str">
        <f t="shared" si="323"/>
        <v>Nicor Gas PY11-PY14 Adjustable Goals Template_2025-03-01, Tab 5.3.7</v>
      </c>
      <c r="BB445" s="2505">
        <f>'5.3.7'!$P$6</f>
        <v>107.53205128205116</v>
      </c>
      <c r="BC445" s="2505"/>
      <c r="BD445" s="1362">
        <f t="shared" si="324"/>
        <v>6317.7230769230691</v>
      </c>
      <c r="BE445" s="1360">
        <f t="shared" si="325"/>
        <v>0</v>
      </c>
      <c r="BF445" s="1132" t="str">
        <f t="shared" si="326"/>
        <v>RS-HVC-GHEF-V08-190101</v>
      </c>
      <c r="BG445" s="1132" t="str">
        <f t="shared" si="327"/>
        <v>Nicor Gas PY11-PY14 Adjustable Goals Template_2025-03-01, Tab 5.3.7</v>
      </c>
      <c r="BH445" s="2505">
        <f>'5.3.7'!$P$6</f>
        <v>107.53205128205116</v>
      </c>
      <c r="BI445" s="2505"/>
      <c r="BJ445" s="1362">
        <f t="shared" si="349"/>
        <v>6317.7230769230691</v>
      </c>
      <c r="BK445" s="1360">
        <f t="shared" si="328"/>
        <v>0</v>
      </c>
      <c r="BL445" s="1601">
        <f t="shared" si="329"/>
        <v>6317.7230769230691</v>
      </c>
      <c r="BM445" s="1601">
        <f t="shared" si="330"/>
        <v>6317.7230769230691</v>
      </c>
      <c r="BN445" s="1601">
        <f t="shared" si="331"/>
        <v>6317.7230769230691</v>
      </c>
      <c r="BO445" s="1601">
        <f t="shared" si="332"/>
        <v>6317.7230769230691</v>
      </c>
      <c r="BP445" s="1602">
        <f t="shared" si="333"/>
        <v>25270.892307692277</v>
      </c>
      <c r="BQ445" s="1629"/>
      <c r="BR445" s="1629" t="s">
        <v>631</v>
      </c>
      <c r="BS445" s="1602">
        <v>0</v>
      </c>
      <c r="BT445" s="1602">
        <v>20</v>
      </c>
      <c r="BU445" s="1602">
        <v>20</v>
      </c>
      <c r="BV445" s="1602">
        <v>20</v>
      </c>
      <c r="BW445" s="1602">
        <v>20</v>
      </c>
      <c r="BX445" s="1362">
        <f t="shared" si="350"/>
        <v>126354.46153846139</v>
      </c>
      <c r="BY445" s="1362">
        <f t="shared" si="351"/>
        <v>126354.46153846139</v>
      </c>
      <c r="BZ445" s="1362">
        <f t="shared" si="352"/>
        <v>126354.46153846139</v>
      </c>
      <c r="CA445" s="1362">
        <f t="shared" si="353"/>
        <v>126354.46153846139</v>
      </c>
      <c r="CB445" s="1362">
        <f t="shared" si="354"/>
        <v>505417.84615384554</v>
      </c>
      <c r="CC445" s="1360">
        <v>20</v>
      </c>
      <c r="CD445" s="1360">
        <v>20</v>
      </c>
      <c r="CE445" s="1360">
        <v>20</v>
      </c>
      <c r="CF445" s="1360">
        <v>20</v>
      </c>
      <c r="CG445" s="1604">
        <f t="shared" si="334"/>
        <v>126354.46153846139</v>
      </c>
      <c r="CH445" s="1604">
        <f t="shared" si="335"/>
        <v>126354.46153846139</v>
      </c>
      <c r="CI445" s="1604">
        <f t="shared" si="336"/>
        <v>126354.46153846139</v>
      </c>
      <c r="CJ445" s="1604">
        <f t="shared" si="337"/>
        <v>126354.46153846139</v>
      </c>
      <c r="CK445" s="1521">
        <f t="shared" si="338"/>
        <v>505417.84615384554</v>
      </c>
      <c r="CL445" s="1132">
        <v>438</v>
      </c>
      <c r="CM445" s="1132" t="s">
        <v>356</v>
      </c>
      <c r="CN445" s="1359">
        <v>1</v>
      </c>
      <c r="CO445" s="1360">
        <v>56.401919999999997</v>
      </c>
      <c r="CP445" s="1360">
        <v>56.401919999999997</v>
      </c>
      <c r="CQ445" s="1360">
        <v>56.401919999999997</v>
      </c>
      <c r="CR445" s="1360">
        <v>56.401919999999997</v>
      </c>
      <c r="CS445" s="1362">
        <f t="shared" si="339"/>
        <v>6065.0141538461467</v>
      </c>
      <c r="CT445" s="1362">
        <f t="shared" si="340"/>
        <v>6065.0141538461467</v>
      </c>
      <c r="CU445" s="1362">
        <f t="shared" si="341"/>
        <v>6065.0141538461467</v>
      </c>
      <c r="CV445" s="1362">
        <f t="shared" si="342"/>
        <v>6065.0141538461467</v>
      </c>
      <c r="CW445" s="1362">
        <f t="shared" si="343"/>
        <v>24260.056615384587</v>
      </c>
      <c r="CY445" s="2887"/>
    </row>
    <row r="446" spans="1:103" s="1143" customFormat="1" ht="46.5" x14ac:dyDescent="0.35">
      <c r="A446" s="1132" t="s">
        <v>111</v>
      </c>
      <c r="B446" s="1132" t="s">
        <v>111</v>
      </c>
      <c r="C446" s="1132" t="s">
        <v>744</v>
      </c>
      <c r="D446" s="1359" t="s">
        <v>745</v>
      </c>
      <c r="E446" s="1359">
        <v>1</v>
      </c>
      <c r="F446" s="1780" t="s">
        <v>649</v>
      </c>
      <c r="G446" s="1132" t="s">
        <v>356</v>
      </c>
      <c r="H446" s="1360">
        <v>26.316000000000003</v>
      </c>
      <c r="I446" s="1360">
        <v>26.316000000000003</v>
      </c>
      <c r="J446" s="1360">
        <v>26.316000000000003</v>
      </c>
      <c r="K446" s="1360">
        <v>26.316000000000003</v>
      </c>
      <c r="L446" s="1132" t="s">
        <v>650</v>
      </c>
      <c r="M446" s="1132" t="str">
        <f t="shared" si="305"/>
        <v>Nicor Gas PY11-PY14 Adjustable Goals Template_2025-03-01, Tab 5.3.16</v>
      </c>
      <c r="N446" s="1361">
        <v>55.509675000000001</v>
      </c>
      <c r="O446" s="1361">
        <v>55.509675000000001</v>
      </c>
      <c r="P446" s="1361">
        <v>55.509675000000001</v>
      </c>
      <c r="Q446" s="1361">
        <v>55.509675000000001</v>
      </c>
      <c r="R446" s="1781">
        <v>1</v>
      </c>
      <c r="S446" s="1781">
        <v>1</v>
      </c>
      <c r="T446" s="1781">
        <v>1</v>
      </c>
      <c r="U446" s="1781">
        <v>1</v>
      </c>
      <c r="V446" s="1781">
        <v>1</v>
      </c>
      <c r="W446" s="1781">
        <v>1</v>
      </c>
      <c r="X446" s="1781">
        <v>1</v>
      </c>
      <c r="Y446" s="1781">
        <v>1</v>
      </c>
      <c r="Z446" s="1359">
        <v>0</v>
      </c>
      <c r="AA446" s="1781">
        <f t="shared" si="306"/>
        <v>1</v>
      </c>
      <c r="AB446" s="1781">
        <f t="shared" si="307"/>
        <v>1</v>
      </c>
      <c r="AC446" s="1781">
        <f t="shared" si="308"/>
        <v>1</v>
      </c>
      <c r="AD446" s="1781">
        <f t="shared" si="309"/>
        <v>1</v>
      </c>
      <c r="AE446" s="1781">
        <f t="shared" si="310"/>
        <v>1</v>
      </c>
      <c r="AF446" s="1781">
        <f t="shared" si="311"/>
        <v>1</v>
      </c>
      <c r="AG446" s="1781">
        <f t="shared" si="312"/>
        <v>1</v>
      </c>
      <c r="AH446" s="1781">
        <f t="shared" si="313"/>
        <v>1</v>
      </c>
      <c r="AI446" s="1362">
        <f t="shared" si="344"/>
        <v>1460.7926073000001</v>
      </c>
      <c r="AJ446" s="1362">
        <f t="shared" si="345"/>
        <v>1460.7926073000001</v>
      </c>
      <c r="AK446" s="1362">
        <f t="shared" si="346"/>
        <v>1460.7926073000001</v>
      </c>
      <c r="AL446" s="1362">
        <f t="shared" si="347"/>
        <v>1460.7926073000001</v>
      </c>
      <c r="AM446" s="1362">
        <f t="shared" si="348"/>
        <v>5843.1704292000004</v>
      </c>
      <c r="AN446" s="1132" t="str">
        <f t="shared" si="314"/>
        <v>RS-HVC-ADTH-V03-190101</v>
      </c>
      <c r="AO446" s="1132" t="str">
        <f t="shared" si="315"/>
        <v>Nicor Gas PY11-PY14 Adjustable Goals Template_2025-03-01, Tab 5.3.16</v>
      </c>
      <c r="AP446" s="2247">
        <f>'5.3.16'!$S$15</f>
        <v>55.509675000000001</v>
      </c>
      <c r="AQ446" s="2505"/>
      <c r="AR446" s="2505">
        <f t="shared" si="316"/>
        <v>1460.7926073000001</v>
      </c>
      <c r="AS446" s="2505">
        <f t="shared" si="317"/>
        <v>0</v>
      </c>
      <c r="AT446" s="1132" t="str">
        <f t="shared" si="318"/>
        <v>RS-HVC-ADTH-V03-190101</v>
      </c>
      <c r="AU446" s="1132" t="str">
        <f t="shared" si="319"/>
        <v>Nicor Gas PY11-PY14 Adjustable Goals Template_2025-03-01, Tab 5.3.16</v>
      </c>
      <c r="AV446" s="2247">
        <f>'5.3.16'!$S$15</f>
        <v>55.509675000000001</v>
      </c>
      <c r="AW446" s="2505"/>
      <c r="AX446" s="1362">
        <f t="shared" si="320"/>
        <v>1460.7926073000001</v>
      </c>
      <c r="AY446" s="1360">
        <f t="shared" si="321"/>
        <v>0</v>
      </c>
      <c r="AZ446" s="1132" t="str">
        <f t="shared" si="322"/>
        <v>RS-HVC-ADTH-V03-190101</v>
      </c>
      <c r="BA446" s="1132" t="str">
        <f t="shared" si="323"/>
        <v>Nicor Gas PY11-PY14 Adjustable Goals Template_2025-03-01, Tab 5.3.16</v>
      </c>
      <c r="BB446" s="2247">
        <f>'5.3.16'!$S$15</f>
        <v>55.509675000000001</v>
      </c>
      <c r="BC446" s="2505"/>
      <c r="BD446" s="1362">
        <f t="shared" si="324"/>
        <v>1460.7926073000001</v>
      </c>
      <c r="BE446" s="1360">
        <f t="shared" si="325"/>
        <v>0</v>
      </c>
      <c r="BF446" s="1132" t="str">
        <f t="shared" si="326"/>
        <v>RS-HVC-ADTH-V03-190101</v>
      </c>
      <c r="BG446" s="1132" t="str">
        <f t="shared" si="327"/>
        <v>Nicor Gas PY11-PY14 Adjustable Goals Template_2025-03-01, Tab 5.3.16</v>
      </c>
      <c r="BH446" s="2247">
        <f>'5.3.16'!$S$15</f>
        <v>55.509675000000001</v>
      </c>
      <c r="BI446" s="2505"/>
      <c r="BJ446" s="1362">
        <f t="shared" si="349"/>
        <v>1460.7926073000001</v>
      </c>
      <c r="BK446" s="1360">
        <f t="shared" si="328"/>
        <v>0</v>
      </c>
      <c r="BL446" s="1601">
        <f t="shared" si="329"/>
        <v>1460.7926073000001</v>
      </c>
      <c r="BM446" s="1601">
        <f t="shared" si="330"/>
        <v>1460.7926073000001</v>
      </c>
      <c r="BN446" s="1601">
        <f t="shared" si="331"/>
        <v>1460.7926073000001</v>
      </c>
      <c r="BO446" s="1601">
        <f t="shared" si="332"/>
        <v>1460.7926073000001</v>
      </c>
      <c r="BP446" s="1602">
        <f t="shared" si="333"/>
        <v>5843.1704292000004</v>
      </c>
      <c r="BQ446" s="1629"/>
      <c r="BR446" s="1629" t="s">
        <v>649</v>
      </c>
      <c r="BS446" s="1602">
        <v>0</v>
      </c>
      <c r="BT446" s="1602">
        <v>11</v>
      </c>
      <c r="BU446" s="1602">
        <v>11</v>
      </c>
      <c r="BV446" s="1602">
        <v>11</v>
      </c>
      <c r="BW446" s="1602">
        <v>11</v>
      </c>
      <c r="BX446" s="1362">
        <f t="shared" si="350"/>
        <v>16068.7186803</v>
      </c>
      <c r="BY446" s="1362">
        <f t="shared" si="351"/>
        <v>16068.7186803</v>
      </c>
      <c r="BZ446" s="1362">
        <f t="shared" si="352"/>
        <v>16068.7186803</v>
      </c>
      <c r="CA446" s="1362">
        <f t="shared" si="353"/>
        <v>16068.7186803</v>
      </c>
      <c r="CB446" s="1362">
        <f t="shared" si="354"/>
        <v>64274.874721200002</v>
      </c>
      <c r="CC446" s="1360">
        <v>11</v>
      </c>
      <c r="CD446" s="1360">
        <v>11</v>
      </c>
      <c r="CE446" s="1360">
        <v>11</v>
      </c>
      <c r="CF446" s="1360">
        <v>11</v>
      </c>
      <c r="CG446" s="1604">
        <f t="shared" si="334"/>
        <v>16068.7186803</v>
      </c>
      <c r="CH446" s="1604">
        <f t="shared" si="335"/>
        <v>16068.7186803</v>
      </c>
      <c r="CI446" s="1604">
        <f t="shared" si="336"/>
        <v>16068.7186803</v>
      </c>
      <c r="CJ446" s="1604">
        <f t="shared" si="337"/>
        <v>16068.7186803</v>
      </c>
      <c r="CK446" s="1521">
        <f t="shared" si="338"/>
        <v>64274.874721200002</v>
      </c>
      <c r="CL446" s="1132">
        <v>439</v>
      </c>
      <c r="CM446" s="1132" t="s">
        <v>356</v>
      </c>
      <c r="CN446" s="1359">
        <v>1</v>
      </c>
      <c r="CO446" s="1360">
        <v>25.263360000000002</v>
      </c>
      <c r="CP446" s="1360">
        <v>25.263360000000002</v>
      </c>
      <c r="CQ446" s="1360">
        <v>25.263360000000002</v>
      </c>
      <c r="CR446" s="1360">
        <v>25.263360000000002</v>
      </c>
      <c r="CS446" s="1362">
        <f t="shared" si="339"/>
        <v>1402.3609030080002</v>
      </c>
      <c r="CT446" s="1362">
        <f t="shared" si="340"/>
        <v>1402.3609030080002</v>
      </c>
      <c r="CU446" s="1362">
        <f t="shared" si="341"/>
        <v>1402.3609030080002</v>
      </c>
      <c r="CV446" s="1362">
        <f t="shared" si="342"/>
        <v>1402.3609030080002</v>
      </c>
      <c r="CW446" s="1362">
        <f t="shared" si="343"/>
        <v>5609.4436120320006</v>
      </c>
      <c r="CY446" s="2887"/>
    </row>
    <row r="447" spans="1:103" s="1143" customFormat="1" ht="46.5" x14ac:dyDescent="0.35">
      <c r="A447" s="1132" t="s">
        <v>111</v>
      </c>
      <c r="B447" s="1132" t="s">
        <v>111</v>
      </c>
      <c r="C447" s="1132" t="s">
        <v>936</v>
      </c>
      <c r="D447" s="1359" t="s">
        <v>937</v>
      </c>
      <c r="E447" s="1359">
        <v>1</v>
      </c>
      <c r="F447" s="2564" t="s">
        <v>675</v>
      </c>
      <c r="G447" s="1132" t="s">
        <v>328</v>
      </c>
      <c r="H447" s="1360">
        <v>9.18</v>
      </c>
      <c r="I447" s="1360">
        <v>9.18</v>
      </c>
      <c r="J447" s="1360">
        <v>9.18</v>
      </c>
      <c r="K447" s="1360">
        <v>9.18</v>
      </c>
      <c r="L447" s="1132" t="s">
        <v>676</v>
      </c>
      <c r="M447" s="1132" t="str">
        <f t="shared" si="305"/>
        <v>Nicor Gas PY11-PY14 Adjustable Goals Template_2025-03-01, Tab 5.6.2</v>
      </c>
      <c r="N447" s="1361">
        <v>42.492434222767052</v>
      </c>
      <c r="O447" s="1361">
        <v>42.492434222767052</v>
      </c>
      <c r="P447" s="1361">
        <v>42.492434222767052</v>
      </c>
      <c r="Q447" s="1361">
        <v>42.492434222767052</v>
      </c>
      <c r="R447" s="1781">
        <v>1</v>
      </c>
      <c r="S447" s="1781">
        <v>1</v>
      </c>
      <c r="T447" s="1781">
        <v>1</v>
      </c>
      <c r="U447" s="1781">
        <v>1</v>
      </c>
      <c r="V447" s="1781">
        <v>1</v>
      </c>
      <c r="W447" s="1781">
        <v>1</v>
      </c>
      <c r="X447" s="1781">
        <v>1</v>
      </c>
      <c r="Y447" s="1781">
        <v>1</v>
      </c>
      <c r="Z447" s="1359">
        <v>0</v>
      </c>
      <c r="AA447" s="1781">
        <f t="shared" si="306"/>
        <v>1</v>
      </c>
      <c r="AB447" s="1781">
        <f t="shared" si="307"/>
        <v>1</v>
      </c>
      <c r="AC447" s="1781">
        <f t="shared" si="308"/>
        <v>1</v>
      </c>
      <c r="AD447" s="1781">
        <f t="shared" si="309"/>
        <v>1</v>
      </c>
      <c r="AE447" s="1781">
        <f t="shared" si="310"/>
        <v>1</v>
      </c>
      <c r="AF447" s="1781">
        <f t="shared" si="311"/>
        <v>1</v>
      </c>
      <c r="AG447" s="1781">
        <f t="shared" si="312"/>
        <v>1</v>
      </c>
      <c r="AH447" s="1781">
        <f t="shared" si="313"/>
        <v>1</v>
      </c>
      <c r="AI447" s="1362">
        <f t="shared" si="344"/>
        <v>390.08054616500152</v>
      </c>
      <c r="AJ447" s="1362">
        <f t="shared" si="345"/>
        <v>390.08054616500152</v>
      </c>
      <c r="AK447" s="1362">
        <f t="shared" si="346"/>
        <v>390.08054616500152</v>
      </c>
      <c r="AL447" s="1362">
        <f t="shared" si="347"/>
        <v>390.08054616500152</v>
      </c>
      <c r="AM447" s="1362">
        <f t="shared" si="348"/>
        <v>1560.3221846600061</v>
      </c>
      <c r="AN447" s="1132" t="str">
        <f t="shared" si="314"/>
        <v>RS-SHL-BINS-V09-190101</v>
      </c>
      <c r="AO447" s="1132" t="str">
        <f t="shared" si="315"/>
        <v>Nicor Gas PY11-PY14 Adjustable Goals Template_2025-03-01, Tab 5.6.2</v>
      </c>
      <c r="AP447" s="2505">
        <f>'5.6.2'!$AA$4</f>
        <v>42.492434222767052</v>
      </c>
      <c r="AQ447" s="2505"/>
      <c r="AR447" s="2505">
        <f t="shared" si="316"/>
        <v>390.08054616500152</v>
      </c>
      <c r="AS447" s="2505">
        <f t="shared" si="317"/>
        <v>0</v>
      </c>
      <c r="AT447" s="1132" t="str">
        <f t="shared" si="318"/>
        <v>RS-SHL-BINS-V09-190101</v>
      </c>
      <c r="AU447" s="1132" t="str">
        <f t="shared" si="319"/>
        <v>Nicor Gas PY11-PY14 Adjustable Goals Template_2025-03-01, Tab 5.6.2</v>
      </c>
      <c r="AV447" s="2505">
        <f>'5.6.2'!$AA$4</f>
        <v>42.492434222767052</v>
      </c>
      <c r="AW447" s="2505"/>
      <c r="AX447" s="1362">
        <f t="shared" si="320"/>
        <v>390.08054616500152</v>
      </c>
      <c r="AY447" s="1360">
        <f t="shared" si="321"/>
        <v>0</v>
      </c>
      <c r="AZ447" s="1132" t="str">
        <f t="shared" si="322"/>
        <v>RS-SHL-BINS-V09-190101</v>
      </c>
      <c r="BA447" s="1132" t="str">
        <f t="shared" si="323"/>
        <v>Nicor Gas PY11-PY14 Adjustable Goals Template_2025-03-01, Tab 5.6.2</v>
      </c>
      <c r="BB447" s="2505">
        <f>'5.6.2'!$AA$4</f>
        <v>42.492434222767052</v>
      </c>
      <c r="BC447" s="2505"/>
      <c r="BD447" s="1362">
        <f t="shared" si="324"/>
        <v>390.08054616500152</v>
      </c>
      <c r="BE447" s="1360">
        <f t="shared" si="325"/>
        <v>0</v>
      </c>
      <c r="BF447" s="1132" t="str">
        <f t="shared" si="326"/>
        <v>RS-SHL-BINS-V09-190101</v>
      </c>
      <c r="BG447" s="1132" t="str">
        <f t="shared" si="327"/>
        <v>Nicor Gas PY11-PY14 Adjustable Goals Template_2025-03-01, Tab 5.6.2</v>
      </c>
      <c r="BH447" s="2505">
        <f>'5.6.2'!$AA$4</f>
        <v>42.492434222767052</v>
      </c>
      <c r="BI447" s="2505"/>
      <c r="BJ447" s="1362">
        <f t="shared" si="349"/>
        <v>390.08054616500152</v>
      </c>
      <c r="BK447" s="1360">
        <f t="shared" si="328"/>
        <v>0</v>
      </c>
      <c r="BL447" s="1601">
        <f t="shared" si="329"/>
        <v>390.08054616500152</v>
      </c>
      <c r="BM447" s="1601">
        <f t="shared" si="330"/>
        <v>390.08054616500152</v>
      </c>
      <c r="BN447" s="1601">
        <f t="shared" si="331"/>
        <v>390.08054616500152</v>
      </c>
      <c r="BO447" s="1601">
        <f t="shared" si="332"/>
        <v>390.08054616500152</v>
      </c>
      <c r="BP447" s="1602">
        <f t="shared" si="333"/>
        <v>1560.3221846600061</v>
      </c>
      <c r="BQ447" s="1629"/>
      <c r="BR447" s="1629" t="s">
        <v>675</v>
      </c>
      <c r="BS447" s="2773">
        <v>1</v>
      </c>
      <c r="BT447" s="1602">
        <v>19.411764705882351</v>
      </c>
      <c r="BU447" s="1602">
        <v>19.411764705882351</v>
      </c>
      <c r="BV447" s="1602">
        <v>19.411764705882351</v>
      </c>
      <c r="BW447" s="1602">
        <v>19.411764705882351</v>
      </c>
      <c r="BX447" s="1362">
        <f t="shared" si="350"/>
        <v>7572.1517784970874</v>
      </c>
      <c r="BY447" s="1362">
        <f t="shared" si="351"/>
        <v>7572.1517784970874</v>
      </c>
      <c r="BZ447" s="1362">
        <f t="shared" si="352"/>
        <v>7572.1517784970874</v>
      </c>
      <c r="CA447" s="1362">
        <f t="shared" si="353"/>
        <v>7572.1517784970874</v>
      </c>
      <c r="CB447" s="1362">
        <f t="shared" si="354"/>
        <v>30288.60711398835</v>
      </c>
      <c r="CC447" s="2775">
        <v>20</v>
      </c>
      <c r="CD447" s="2775">
        <v>20</v>
      </c>
      <c r="CE447" s="2775">
        <v>20</v>
      </c>
      <c r="CF447" s="2775">
        <v>20</v>
      </c>
      <c r="CG447" s="1604">
        <f t="shared" si="334"/>
        <v>7801.6109233000307</v>
      </c>
      <c r="CH447" s="1604">
        <f t="shared" si="335"/>
        <v>7801.6109233000307</v>
      </c>
      <c r="CI447" s="1604">
        <f t="shared" si="336"/>
        <v>7801.6109233000307</v>
      </c>
      <c r="CJ447" s="1604">
        <f t="shared" si="337"/>
        <v>7801.6109233000307</v>
      </c>
      <c r="CK447" s="1521">
        <f t="shared" si="338"/>
        <v>31206.443693200123</v>
      </c>
      <c r="CL447" s="1132">
        <v>440</v>
      </c>
      <c r="CM447" s="1132" t="s">
        <v>328</v>
      </c>
      <c r="CN447" s="1359">
        <v>1</v>
      </c>
      <c r="CO447" s="1360">
        <v>8.8127999999999993</v>
      </c>
      <c r="CP447" s="1360">
        <v>8.8127999999999993</v>
      </c>
      <c r="CQ447" s="1360">
        <v>8.8127999999999993</v>
      </c>
      <c r="CR447" s="1360">
        <v>8.8127999999999993</v>
      </c>
      <c r="CS447" s="1362">
        <f t="shared" si="339"/>
        <v>374.47732431840143</v>
      </c>
      <c r="CT447" s="1362">
        <f t="shared" si="340"/>
        <v>374.47732431840143</v>
      </c>
      <c r="CU447" s="1362">
        <f t="shared" si="341"/>
        <v>374.47732431840143</v>
      </c>
      <c r="CV447" s="1362">
        <f t="shared" si="342"/>
        <v>374.47732431840143</v>
      </c>
      <c r="CW447" s="1362">
        <f t="shared" si="343"/>
        <v>1497.9092972736057</v>
      </c>
      <c r="CY447" s="2887"/>
    </row>
    <row r="448" spans="1:103" s="1143" customFormat="1" ht="46.5" x14ac:dyDescent="0.35">
      <c r="A448" s="1132" t="s">
        <v>111</v>
      </c>
      <c r="B448" s="1132" t="s">
        <v>111</v>
      </c>
      <c r="C448" s="1132" t="s">
        <v>938</v>
      </c>
      <c r="D448" s="1359" t="s">
        <v>939</v>
      </c>
      <c r="E448" s="1359">
        <v>1</v>
      </c>
      <c r="F448" s="2564" t="s">
        <v>659</v>
      </c>
      <c r="G448" s="1132" t="s">
        <v>328</v>
      </c>
      <c r="H448" s="1360">
        <v>28.151999999999997</v>
      </c>
      <c r="I448" s="1360">
        <v>28.151999999999997</v>
      </c>
      <c r="J448" s="1360">
        <v>28.151999999999997</v>
      </c>
      <c r="K448" s="1360">
        <v>28.151999999999997</v>
      </c>
      <c r="L448" s="1132" t="s">
        <v>660</v>
      </c>
      <c r="M448" s="1132" t="str">
        <f t="shared" si="305"/>
        <v>Nicor Gas PY11-PY14 Adjustable Goals Template_2025-03-01, Tab 5.6.5</v>
      </c>
      <c r="N448" s="1361">
        <v>126.4036951549421</v>
      </c>
      <c r="O448" s="1361">
        <v>126.4036951549421</v>
      </c>
      <c r="P448" s="1361">
        <v>126.4036951549421</v>
      </c>
      <c r="Q448" s="1361">
        <v>126.4036951549421</v>
      </c>
      <c r="R448" s="1781">
        <v>1</v>
      </c>
      <c r="S448" s="1781">
        <v>1</v>
      </c>
      <c r="T448" s="1781">
        <v>1</v>
      </c>
      <c r="U448" s="1781">
        <v>1</v>
      </c>
      <c r="V448" s="1781">
        <v>1</v>
      </c>
      <c r="W448" s="1781">
        <v>1</v>
      </c>
      <c r="X448" s="1781">
        <v>1</v>
      </c>
      <c r="Y448" s="1781">
        <v>1</v>
      </c>
      <c r="Z448" s="1359">
        <v>0</v>
      </c>
      <c r="AA448" s="1781">
        <f t="shared" si="306"/>
        <v>1</v>
      </c>
      <c r="AB448" s="1781">
        <f t="shared" si="307"/>
        <v>1</v>
      </c>
      <c r="AC448" s="1781">
        <f t="shared" si="308"/>
        <v>1</v>
      </c>
      <c r="AD448" s="1781">
        <f t="shared" si="309"/>
        <v>1</v>
      </c>
      <c r="AE448" s="1781">
        <f t="shared" si="310"/>
        <v>1</v>
      </c>
      <c r="AF448" s="1781">
        <f t="shared" si="311"/>
        <v>1</v>
      </c>
      <c r="AG448" s="1781">
        <f t="shared" si="312"/>
        <v>1</v>
      </c>
      <c r="AH448" s="1781">
        <f t="shared" si="313"/>
        <v>1</v>
      </c>
      <c r="AI448" s="1362">
        <f t="shared" si="344"/>
        <v>3558.5168260019295</v>
      </c>
      <c r="AJ448" s="1362">
        <f t="shared" si="345"/>
        <v>3558.5168260019295</v>
      </c>
      <c r="AK448" s="1362">
        <f t="shared" si="346"/>
        <v>3558.5168260019295</v>
      </c>
      <c r="AL448" s="1362">
        <f t="shared" si="347"/>
        <v>3558.5168260019295</v>
      </c>
      <c r="AM448" s="1362">
        <f t="shared" si="348"/>
        <v>14234.067304007718</v>
      </c>
      <c r="AN448" s="1132" t="str">
        <f t="shared" si="314"/>
        <v>RS-SHL-AINS-V07-180101</v>
      </c>
      <c r="AO448" s="1132" t="str">
        <f t="shared" si="315"/>
        <v>Nicor Gas PY11-PY14 Adjustable Goals Template_2025-03-01, Tab 5.6.5</v>
      </c>
      <c r="AP448" s="2505">
        <f>'5.6.4&amp;5.6.5'!$X$13</f>
        <v>126.4036951549421</v>
      </c>
      <c r="AQ448" s="2505"/>
      <c r="AR448" s="2505">
        <f t="shared" si="316"/>
        <v>3558.5168260019295</v>
      </c>
      <c r="AS448" s="2505">
        <f t="shared" si="317"/>
        <v>0</v>
      </c>
      <c r="AT448" s="1132" t="str">
        <f t="shared" si="318"/>
        <v>RS-SHL-AINS-V07-180101</v>
      </c>
      <c r="AU448" s="1132" t="str">
        <f t="shared" si="319"/>
        <v>Nicor Gas PY11-PY14 Adjustable Goals Template_2025-03-01, Tab 5.6.5</v>
      </c>
      <c r="AV448" s="2505">
        <f>'5.6.4&amp;5.6.5'!$X$13</f>
        <v>126.4036951549421</v>
      </c>
      <c r="AW448" s="2505"/>
      <c r="AX448" s="1362">
        <f t="shared" si="320"/>
        <v>3558.5168260019295</v>
      </c>
      <c r="AY448" s="1360">
        <f t="shared" si="321"/>
        <v>0</v>
      </c>
      <c r="AZ448" s="1132" t="str">
        <f t="shared" si="322"/>
        <v>RS-SHL-AINS-V07-180101</v>
      </c>
      <c r="BA448" s="1132" t="str">
        <f t="shared" si="323"/>
        <v>Nicor Gas PY11-PY14 Adjustable Goals Template_2025-03-01, Tab 5.6.5</v>
      </c>
      <c r="BB448" s="2505">
        <f>'5.6.4&amp;5.6.5'!$X$13</f>
        <v>126.4036951549421</v>
      </c>
      <c r="BC448" s="2505"/>
      <c r="BD448" s="1362">
        <f t="shared" si="324"/>
        <v>3558.5168260019295</v>
      </c>
      <c r="BE448" s="1360">
        <f t="shared" si="325"/>
        <v>0</v>
      </c>
      <c r="BF448" s="1132" t="str">
        <f t="shared" si="326"/>
        <v>RS-SHL-AINS-V07-180101</v>
      </c>
      <c r="BG448" s="1132" t="str">
        <f t="shared" si="327"/>
        <v>Nicor Gas PY11-PY14 Adjustable Goals Template_2025-03-01, Tab 5.6.5</v>
      </c>
      <c r="BH448" s="2505">
        <f>'5.6.4&amp;5.6.5'!$X$13</f>
        <v>126.4036951549421</v>
      </c>
      <c r="BI448" s="2505"/>
      <c r="BJ448" s="1362">
        <f t="shared" si="349"/>
        <v>3558.5168260019295</v>
      </c>
      <c r="BK448" s="1360">
        <f t="shared" si="328"/>
        <v>0</v>
      </c>
      <c r="BL448" s="1601">
        <f t="shared" si="329"/>
        <v>3558.5168260019295</v>
      </c>
      <c r="BM448" s="1601">
        <f t="shared" si="330"/>
        <v>3558.5168260019295</v>
      </c>
      <c r="BN448" s="1601">
        <f t="shared" si="331"/>
        <v>3558.5168260019295</v>
      </c>
      <c r="BO448" s="1601">
        <f t="shared" si="332"/>
        <v>3558.5168260019295</v>
      </c>
      <c r="BP448" s="1602">
        <f t="shared" si="333"/>
        <v>14234.067304007718</v>
      </c>
      <c r="BQ448" s="1629"/>
      <c r="BR448" s="1629" t="s">
        <v>659</v>
      </c>
      <c r="BS448" s="2773">
        <v>1</v>
      </c>
      <c r="BT448" s="1602">
        <v>19.411764705882355</v>
      </c>
      <c r="BU448" s="1602">
        <v>19.411764705882355</v>
      </c>
      <c r="BV448" s="1602">
        <v>19.411764705882355</v>
      </c>
      <c r="BW448" s="1602">
        <v>19.411764705882355</v>
      </c>
      <c r="BX448" s="1362">
        <f t="shared" si="350"/>
        <v>69077.091328272756</v>
      </c>
      <c r="BY448" s="1362">
        <f t="shared" si="351"/>
        <v>69077.091328272756</v>
      </c>
      <c r="BZ448" s="1362">
        <f t="shared" si="352"/>
        <v>69077.091328272756</v>
      </c>
      <c r="CA448" s="1362">
        <f t="shared" si="353"/>
        <v>69077.091328272756</v>
      </c>
      <c r="CB448" s="1362">
        <f t="shared" si="354"/>
        <v>276308.36531309102</v>
      </c>
      <c r="CC448" s="2775">
        <v>20</v>
      </c>
      <c r="CD448" s="2775">
        <v>20</v>
      </c>
      <c r="CE448" s="2775">
        <v>20</v>
      </c>
      <c r="CF448" s="2775">
        <v>20</v>
      </c>
      <c r="CG448" s="1604">
        <f t="shared" si="334"/>
        <v>71170.336520038589</v>
      </c>
      <c r="CH448" s="1604">
        <f t="shared" si="335"/>
        <v>71170.336520038589</v>
      </c>
      <c r="CI448" s="1604">
        <f t="shared" si="336"/>
        <v>71170.336520038589</v>
      </c>
      <c r="CJ448" s="1604">
        <f t="shared" si="337"/>
        <v>71170.336520038589</v>
      </c>
      <c r="CK448" s="1521">
        <f t="shared" si="338"/>
        <v>284681.34608015436</v>
      </c>
      <c r="CL448" s="1132">
        <v>441</v>
      </c>
      <c r="CM448" s="1132" t="s">
        <v>328</v>
      </c>
      <c r="CN448" s="1359">
        <v>1</v>
      </c>
      <c r="CO448" s="1360">
        <v>27.025919999999996</v>
      </c>
      <c r="CP448" s="1360">
        <v>27.025919999999996</v>
      </c>
      <c r="CQ448" s="1360">
        <v>27.025919999999996</v>
      </c>
      <c r="CR448" s="1360">
        <v>27.025919999999996</v>
      </c>
      <c r="CS448" s="1362">
        <f t="shared" si="339"/>
        <v>3416.176152961852</v>
      </c>
      <c r="CT448" s="1362">
        <f t="shared" si="340"/>
        <v>3416.176152961852</v>
      </c>
      <c r="CU448" s="1362">
        <f t="shared" si="341"/>
        <v>3416.176152961852</v>
      </c>
      <c r="CV448" s="1362">
        <f t="shared" si="342"/>
        <v>3416.176152961852</v>
      </c>
      <c r="CW448" s="1362">
        <f t="shared" si="343"/>
        <v>13664.704611847408</v>
      </c>
      <c r="CY448" s="2887"/>
    </row>
    <row r="449" spans="1:103" s="1143" customFormat="1" ht="15" customHeight="1" x14ac:dyDescent="0.35">
      <c r="A449" s="1132" t="s">
        <v>111</v>
      </c>
      <c r="B449" s="1132" t="s">
        <v>111</v>
      </c>
      <c r="C449" s="1132" t="s">
        <v>854</v>
      </c>
      <c r="D449" s="1359" t="s">
        <v>855</v>
      </c>
      <c r="E449" s="1359">
        <v>1</v>
      </c>
      <c r="F449" s="2564" t="s">
        <v>655</v>
      </c>
      <c r="G449" s="1132" t="s">
        <v>328</v>
      </c>
      <c r="H449" s="1360">
        <v>27945.756000000001</v>
      </c>
      <c r="I449" s="1360">
        <v>27945.756000000001</v>
      </c>
      <c r="J449" s="1360">
        <v>27945.756000000001</v>
      </c>
      <c r="K449" s="1360">
        <v>27945.756000000001</v>
      </c>
      <c r="L449" s="1132" t="s">
        <v>656</v>
      </c>
      <c r="M449" s="1132" t="str">
        <f t="shared" si="305"/>
        <v>Nicor Gas PY11-PY14 Adjustable Goals Template_2025-03-01, Tab 5.6.1</v>
      </c>
      <c r="N449" s="1361">
        <v>0.52</v>
      </c>
      <c r="O449" s="1361">
        <v>0.52</v>
      </c>
      <c r="P449" s="1361">
        <v>0.52</v>
      </c>
      <c r="Q449" s="1361">
        <v>0.52</v>
      </c>
      <c r="R449" s="1781">
        <v>1</v>
      </c>
      <c r="S449" s="1781">
        <v>1</v>
      </c>
      <c r="T449" s="1781">
        <v>1</v>
      </c>
      <c r="U449" s="1781">
        <v>1</v>
      </c>
      <c r="V449" s="1781">
        <v>1</v>
      </c>
      <c r="W449" s="1781">
        <v>1</v>
      </c>
      <c r="X449" s="1781">
        <v>1</v>
      </c>
      <c r="Y449" s="1781">
        <v>1</v>
      </c>
      <c r="Z449" s="1359">
        <v>0</v>
      </c>
      <c r="AA449" s="1781">
        <f t="shared" si="306"/>
        <v>1</v>
      </c>
      <c r="AB449" s="1781">
        <f t="shared" si="307"/>
        <v>1</v>
      </c>
      <c r="AC449" s="1781">
        <f t="shared" si="308"/>
        <v>1</v>
      </c>
      <c r="AD449" s="1781">
        <f t="shared" si="309"/>
        <v>1</v>
      </c>
      <c r="AE449" s="1781">
        <f t="shared" si="310"/>
        <v>1</v>
      </c>
      <c r="AF449" s="1781">
        <f t="shared" si="311"/>
        <v>1</v>
      </c>
      <c r="AG449" s="1781">
        <f t="shared" si="312"/>
        <v>1</v>
      </c>
      <c r="AH449" s="1781">
        <f t="shared" si="313"/>
        <v>1</v>
      </c>
      <c r="AI449" s="1362">
        <f t="shared" si="344"/>
        <v>14531.79312</v>
      </c>
      <c r="AJ449" s="1362">
        <f t="shared" si="345"/>
        <v>14531.79312</v>
      </c>
      <c r="AK449" s="1362">
        <f t="shared" si="346"/>
        <v>14531.79312</v>
      </c>
      <c r="AL449" s="1362">
        <f t="shared" si="347"/>
        <v>14531.79312</v>
      </c>
      <c r="AM449" s="1362">
        <f t="shared" si="348"/>
        <v>58127.172480000001</v>
      </c>
      <c r="AN449" s="1132" t="str">
        <f t="shared" si="314"/>
        <v>RS-SHL-AIRS-V07-190101</v>
      </c>
      <c r="AO449" s="1132" t="str">
        <f t="shared" si="315"/>
        <v>Nicor Gas PY11-PY14 Adjustable Goals Template_2025-03-01, Tab 5.6.1</v>
      </c>
      <c r="AP449" s="2247">
        <f>'5.6.1'!$V$14</f>
        <v>0.52</v>
      </c>
      <c r="AQ449" s="2505"/>
      <c r="AR449" s="2505">
        <f t="shared" si="316"/>
        <v>14531.79312</v>
      </c>
      <c r="AS449" s="2505">
        <f t="shared" si="317"/>
        <v>0</v>
      </c>
      <c r="AT449" s="1132" t="str">
        <f t="shared" si="318"/>
        <v>RS-SHL-AIRS-V07-190101</v>
      </c>
      <c r="AU449" s="1132" t="str">
        <f t="shared" si="319"/>
        <v>Nicor Gas PY11-PY14 Adjustable Goals Template_2025-03-01, Tab 5.6.1</v>
      </c>
      <c r="AV449" s="2247">
        <f>'5.6.1'!$V$14</f>
        <v>0.52</v>
      </c>
      <c r="AW449" s="2505"/>
      <c r="AX449" s="1362">
        <f t="shared" si="320"/>
        <v>14531.79312</v>
      </c>
      <c r="AY449" s="1360">
        <f t="shared" si="321"/>
        <v>0</v>
      </c>
      <c r="AZ449" s="1132" t="str">
        <f t="shared" si="322"/>
        <v>RS-SHL-AIRS-V07-190101</v>
      </c>
      <c r="BA449" s="1132" t="str">
        <f t="shared" si="323"/>
        <v>Nicor Gas PY11-PY14 Adjustable Goals Template_2025-03-01, Tab 5.6.1</v>
      </c>
      <c r="BB449" s="2247">
        <f>'5.6.1'!$V$14</f>
        <v>0.52</v>
      </c>
      <c r="BC449" s="2505"/>
      <c r="BD449" s="1362">
        <f t="shared" si="324"/>
        <v>14531.79312</v>
      </c>
      <c r="BE449" s="1360">
        <f t="shared" si="325"/>
        <v>0</v>
      </c>
      <c r="BF449" s="1132" t="str">
        <f t="shared" si="326"/>
        <v>RS-SHL-AIRS-V07-190101</v>
      </c>
      <c r="BG449" s="1132" t="str">
        <f t="shared" si="327"/>
        <v>Nicor Gas PY11-PY14 Adjustable Goals Template_2025-03-01, Tab 5.6.1</v>
      </c>
      <c r="BH449" s="2247">
        <f>'5.6.1'!$V$14</f>
        <v>0.52</v>
      </c>
      <c r="BI449" s="2505"/>
      <c r="BJ449" s="1362">
        <f t="shared" si="349"/>
        <v>14531.79312</v>
      </c>
      <c r="BK449" s="1360">
        <f t="shared" si="328"/>
        <v>0</v>
      </c>
      <c r="BL449" s="1601">
        <f t="shared" si="329"/>
        <v>14531.79312</v>
      </c>
      <c r="BM449" s="1601">
        <f t="shared" si="330"/>
        <v>14531.79312</v>
      </c>
      <c r="BN449" s="1601">
        <f t="shared" si="331"/>
        <v>14531.79312</v>
      </c>
      <c r="BO449" s="1601">
        <f t="shared" si="332"/>
        <v>14531.79312</v>
      </c>
      <c r="BP449" s="1602">
        <f t="shared" si="333"/>
        <v>58127.172480000001</v>
      </c>
      <c r="BQ449" s="1629"/>
      <c r="BR449" s="1629" t="s">
        <v>655</v>
      </c>
      <c r="BS449" s="2773">
        <v>1</v>
      </c>
      <c r="BT449" s="1602">
        <v>19.411764705882355</v>
      </c>
      <c r="BU449" s="1602">
        <v>19.411764705882355</v>
      </c>
      <c r="BV449" s="1602">
        <v>19.411764705882355</v>
      </c>
      <c r="BW449" s="1602">
        <v>19.411764705882355</v>
      </c>
      <c r="BX449" s="1362">
        <f t="shared" si="350"/>
        <v>282087.74880000006</v>
      </c>
      <c r="BY449" s="1362">
        <f t="shared" si="351"/>
        <v>282087.74880000006</v>
      </c>
      <c r="BZ449" s="1362">
        <f t="shared" si="352"/>
        <v>282087.74880000006</v>
      </c>
      <c r="CA449" s="1362">
        <f t="shared" si="353"/>
        <v>282087.74880000006</v>
      </c>
      <c r="CB449" s="1362">
        <f t="shared" si="354"/>
        <v>1128350.9952000002</v>
      </c>
      <c r="CC449" s="2775">
        <v>20</v>
      </c>
      <c r="CD449" s="2775">
        <v>20</v>
      </c>
      <c r="CE449" s="2775">
        <v>20</v>
      </c>
      <c r="CF449" s="2775">
        <v>20</v>
      </c>
      <c r="CG449" s="1604">
        <f t="shared" si="334"/>
        <v>290635.86239999998</v>
      </c>
      <c r="CH449" s="1604">
        <f t="shared" si="335"/>
        <v>290635.86239999998</v>
      </c>
      <c r="CI449" s="1604">
        <f t="shared" si="336"/>
        <v>290635.86239999998</v>
      </c>
      <c r="CJ449" s="1604">
        <f t="shared" si="337"/>
        <v>290635.86239999998</v>
      </c>
      <c r="CK449" s="1521">
        <f t="shared" si="338"/>
        <v>1162543.4495999999</v>
      </c>
      <c r="CL449" s="1132">
        <v>442</v>
      </c>
      <c r="CM449" s="1132" t="s">
        <v>328</v>
      </c>
      <c r="CN449" s="1359">
        <v>1</v>
      </c>
      <c r="CO449" s="1360">
        <v>26827.925760000002</v>
      </c>
      <c r="CP449" s="1360">
        <v>26827.925760000002</v>
      </c>
      <c r="CQ449" s="1360">
        <v>26827.925760000002</v>
      </c>
      <c r="CR449" s="1360">
        <v>26827.925760000002</v>
      </c>
      <c r="CS449" s="1362">
        <f t="shared" si="339"/>
        <v>13950.521395200001</v>
      </c>
      <c r="CT449" s="1362">
        <f t="shared" si="340"/>
        <v>13950.521395200001</v>
      </c>
      <c r="CU449" s="1362">
        <f t="shared" si="341"/>
        <v>13950.521395200001</v>
      </c>
      <c r="CV449" s="1362">
        <f t="shared" si="342"/>
        <v>13950.521395200001</v>
      </c>
      <c r="CW449" s="1362">
        <f t="shared" si="343"/>
        <v>55802.085580800005</v>
      </c>
      <c r="CY449" s="2887"/>
    </row>
    <row r="450" spans="1:103" s="1143" customFormat="1" ht="46.5" x14ac:dyDescent="0.35">
      <c r="A450" s="1132" t="s">
        <v>111</v>
      </c>
      <c r="B450" s="1132" t="s">
        <v>111</v>
      </c>
      <c r="C450" s="1132" t="s">
        <v>345</v>
      </c>
      <c r="D450" s="1359" t="s">
        <v>346</v>
      </c>
      <c r="E450" s="1359">
        <v>1</v>
      </c>
      <c r="F450" s="2564" t="s">
        <v>336</v>
      </c>
      <c r="G450" s="1132" t="s">
        <v>337</v>
      </c>
      <c r="H450" s="1360">
        <v>11.015999999999998</v>
      </c>
      <c r="I450" s="1360">
        <v>11.015999999999998</v>
      </c>
      <c r="J450" s="1360">
        <v>11.015999999999998</v>
      </c>
      <c r="K450" s="1360">
        <v>11.015999999999998</v>
      </c>
      <c r="L450" s="1132" t="s">
        <v>338</v>
      </c>
      <c r="M450" s="1132" t="str">
        <f t="shared" si="305"/>
        <v>Nicor Gas PY11-PY14 Adjustable Goals Template_2025-03-01, Tab 4.4.14</v>
      </c>
      <c r="N450" s="1361">
        <v>2.0533046641791044</v>
      </c>
      <c r="O450" s="1361">
        <v>2.0533046641791044</v>
      </c>
      <c r="P450" s="1361">
        <v>2.0533046641791044</v>
      </c>
      <c r="Q450" s="1361">
        <v>2.0533046641791044</v>
      </c>
      <c r="R450" s="1781">
        <v>1</v>
      </c>
      <c r="S450" s="1781">
        <v>1</v>
      </c>
      <c r="T450" s="1781">
        <v>1</v>
      </c>
      <c r="U450" s="1781">
        <v>1</v>
      </c>
      <c r="V450" s="1781">
        <v>1</v>
      </c>
      <c r="W450" s="1781">
        <v>1</v>
      </c>
      <c r="X450" s="1781">
        <v>1</v>
      </c>
      <c r="Y450" s="1781">
        <v>1</v>
      </c>
      <c r="Z450" s="1359">
        <v>0</v>
      </c>
      <c r="AA450" s="1781">
        <f t="shared" si="306"/>
        <v>1</v>
      </c>
      <c r="AB450" s="1781">
        <f t="shared" si="307"/>
        <v>1</v>
      </c>
      <c r="AC450" s="1781">
        <f t="shared" si="308"/>
        <v>1</v>
      </c>
      <c r="AD450" s="1781">
        <f t="shared" si="309"/>
        <v>1</v>
      </c>
      <c r="AE450" s="1781">
        <f t="shared" si="310"/>
        <v>1</v>
      </c>
      <c r="AF450" s="1781">
        <f t="shared" si="311"/>
        <v>1</v>
      </c>
      <c r="AG450" s="1781">
        <f t="shared" si="312"/>
        <v>1</v>
      </c>
      <c r="AH450" s="1781">
        <f t="shared" si="313"/>
        <v>1</v>
      </c>
      <c r="AI450" s="1362">
        <f t="shared" si="344"/>
        <v>22.619204180597009</v>
      </c>
      <c r="AJ450" s="1362">
        <f t="shared" si="345"/>
        <v>22.619204180597009</v>
      </c>
      <c r="AK450" s="1362">
        <f t="shared" si="346"/>
        <v>22.619204180597009</v>
      </c>
      <c r="AL450" s="1362">
        <f t="shared" si="347"/>
        <v>22.619204180597009</v>
      </c>
      <c r="AM450" s="1362">
        <f t="shared" si="348"/>
        <v>90.476816722388037</v>
      </c>
      <c r="AN450" s="1132" t="str">
        <f t="shared" si="314"/>
        <v>CI-HVC-PINS-V05-190101</v>
      </c>
      <c r="AO450" s="1132" t="str">
        <f t="shared" si="315"/>
        <v>Nicor Gas PY11-PY14 Adjustable Goals Template_2025-03-01, Tab 4.4.14</v>
      </c>
      <c r="AP450" s="2505">
        <f>'4.4.14'!$T$9</f>
        <v>2.0533046641791044</v>
      </c>
      <c r="AQ450" s="2505"/>
      <c r="AR450" s="2505">
        <f t="shared" si="316"/>
        <v>22.619204180597009</v>
      </c>
      <c r="AS450" s="2505">
        <f t="shared" si="317"/>
        <v>0</v>
      </c>
      <c r="AT450" s="1132" t="str">
        <f t="shared" si="318"/>
        <v>CI-HVC-PINS-V05-190101</v>
      </c>
      <c r="AU450" s="1132" t="str">
        <f t="shared" si="319"/>
        <v>Nicor Gas PY11-PY14 Adjustable Goals Template_2025-03-01, Tab 4.4.14</v>
      </c>
      <c r="AV450" s="2505">
        <f>'4.4.14'!$T$9</f>
        <v>2.0533046641791044</v>
      </c>
      <c r="AW450" s="2505"/>
      <c r="AX450" s="1362">
        <f t="shared" si="320"/>
        <v>22.619204180597009</v>
      </c>
      <c r="AY450" s="1360">
        <f t="shared" si="321"/>
        <v>0</v>
      </c>
      <c r="AZ450" s="1132" t="str">
        <f t="shared" si="322"/>
        <v>CI-HVC-PINS-V05-190101</v>
      </c>
      <c r="BA450" s="1132" t="str">
        <f t="shared" si="323"/>
        <v>Nicor Gas PY11-PY14 Adjustable Goals Template_2025-03-01, Tab 4.4.14</v>
      </c>
      <c r="BB450" s="2505">
        <f>'4.4.14'!$T$9</f>
        <v>2.0533046641791044</v>
      </c>
      <c r="BC450" s="2505"/>
      <c r="BD450" s="1362">
        <f t="shared" si="324"/>
        <v>22.619204180597009</v>
      </c>
      <c r="BE450" s="1360">
        <f t="shared" si="325"/>
        <v>0</v>
      </c>
      <c r="BF450" s="1132" t="str">
        <f t="shared" si="326"/>
        <v>CI-HVC-PINS-V05-190101</v>
      </c>
      <c r="BG450" s="1132" t="str">
        <f t="shared" si="327"/>
        <v>Nicor Gas PY11-PY14 Adjustable Goals Template_2025-03-01, Tab 4.4.14</v>
      </c>
      <c r="BH450" s="2505">
        <f>'4.4.14'!$T$9</f>
        <v>2.0533046641791044</v>
      </c>
      <c r="BI450" s="2505"/>
      <c r="BJ450" s="1362">
        <f t="shared" si="349"/>
        <v>22.619204180597009</v>
      </c>
      <c r="BK450" s="1360">
        <f t="shared" si="328"/>
        <v>0</v>
      </c>
      <c r="BL450" s="1601">
        <f t="shared" si="329"/>
        <v>22.619204180597009</v>
      </c>
      <c r="BM450" s="1601">
        <f t="shared" si="330"/>
        <v>22.619204180597009</v>
      </c>
      <c r="BN450" s="1601">
        <f t="shared" si="331"/>
        <v>22.619204180597009</v>
      </c>
      <c r="BO450" s="1601">
        <f t="shared" si="332"/>
        <v>22.619204180597009</v>
      </c>
      <c r="BP450" s="1602">
        <f t="shared" si="333"/>
        <v>90.476816722388037</v>
      </c>
      <c r="BQ450" s="1629"/>
      <c r="BR450" s="1629" t="s">
        <v>336</v>
      </c>
      <c r="BS450" s="1602">
        <v>0</v>
      </c>
      <c r="BT450" s="1602">
        <v>15</v>
      </c>
      <c r="BU450" s="1602">
        <v>15</v>
      </c>
      <c r="BV450" s="1602">
        <v>15</v>
      </c>
      <c r="BW450" s="1602">
        <v>15</v>
      </c>
      <c r="BX450" s="1362">
        <f t="shared" si="350"/>
        <v>339.28806270895512</v>
      </c>
      <c r="BY450" s="1362">
        <f t="shared" si="351"/>
        <v>339.28806270895512</v>
      </c>
      <c r="BZ450" s="1362">
        <f t="shared" si="352"/>
        <v>339.28806270895512</v>
      </c>
      <c r="CA450" s="1362">
        <f t="shared" si="353"/>
        <v>339.28806270895512</v>
      </c>
      <c r="CB450" s="1362">
        <f t="shared" si="354"/>
        <v>1357.1522508358205</v>
      </c>
      <c r="CC450" s="1360">
        <v>15</v>
      </c>
      <c r="CD450" s="1360">
        <v>15</v>
      </c>
      <c r="CE450" s="1360">
        <v>15</v>
      </c>
      <c r="CF450" s="1360">
        <v>15</v>
      </c>
      <c r="CG450" s="1604">
        <f t="shared" si="334"/>
        <v>339.28806270895512</v>
      </c>
      <c r="CH450" s="1604">
        <f t="shared" si="335"/>
        <v>339.28806270895512</v>
      </c>
      <c r="CI450" s="1604">
        <f t="shared" si="336"/>
        <v>339.28806270895512</v>
      </c>
      <c r="CJ450" s="1604">
        <f t="shared" si="337"/>
        <v>339.28806270895512</v>
      </c>
      <c r="CK450" s="1521">
        <f t="shared" si="338"/>
        <v>1357.1522508358205</v>
      </c>
      <c r="CL450" s="1132">
        <v>443</v>
      </c>
      <c r="CM450" s="1132" t="s">
        <v>337</v>
      </c>
      <c r="CN450" s="1359">
        <v>1</v>
      </c>
      <c r="CO450" s="1360">
        <v>10.575359999999998</v>
      </c>
      <c r="CP450" s="1360">
        <v>10.575359999999998</v>
      </c>
      <c r="CQ450" s="1360">
        <v>10.575359999999998</v>
      </c>
      <c r="CR450" s="1360">
        <v>10.575359999999998</v>
      </c>
      <c r="CS450" s="1362">
        <f t="shared" si="339"/>
        <v>21.714436013373131</v>
      </c>
      <c r="CT450" s="1362">
        <f t="shared" si="340"/>
        <v>21.714436013373131</v>
      </c>
      <c r="CU450" s="1362">
        <f t="shared" si="341"/>
        <v>21.714436013373131</v>
      </c>
      <c r="CV450" s="1362">
        <f t="shared" si="342"/>
        <v>21.714436013373131</v>
      </c>
      <c r="CW450" s="1362">
        <f t="shared" si="343"/>
        <v>86.857744053492524</v>
      </c>
      <c r="CY450" s="2887"/>
    </row>
    <row r="451" spans="1:103" s="1143" customFormat="1" ht="46.5" x14ac:dyDescent="0.35">
      <c r="A451" s="1132" t="s">
        <v>111</v>
      </c>
      <c r="B451" s="1132" t="s">
        <v>111</v>
      </c>
      <c r="C451" s="1132" t="s">
        <v>341</v>
      </c>
      <c r="D451" s="1359" t="s">
        <v>342</v>
      </c>
      <c r="E451" s="1359">
        <v>1</v>
      </c>
      <c r="F451" s="2564" t="s">
        <v>336</v>
      </c>
      <c r="G451" s="1132" t="s">
        <v>337</v>
      </c>
      <c r="H451" s="1360">
        <v>11.015999999999998</v>
      </c>
      <c r="I451" s="1360">
        <v>11.015999999999998</v>
      </c>
      <c r="J451" s="1360">
        <v>11.015999999999998</v>
      </c>
      <c r="K451" s="1360">
        <v>11.015999999999998</v>
      </c>
      <c r="L451" s="1132" t="s">
        <v>338</v>
      </c>
      <c r="M451" s="1132" t="str">
        <f t="shared" si="305"/>
        <v>Nicor Gas PY11-PY14 Adjustable Goals Template_2025-03-01, Tab 4.4.14</v>
      </c>
      <c r="N451" s="1361">
        <v>6.2725912019826513</v>
      </c>
      <c r="O451" s="1361">
        <v>6.2725912019826513</v>
      </c>
      <c r="P451" s="1361">
        <v>6.2725912019826513</v>
      </c>
      <c r="Q451" s="1361">
        <v>6.2725912019826513</v>
      </c>
      <c r="R451" s="1781">
        <v>1</v>
      </c>
      <c r="S451" s="1781">
        <v>1</v>
      </c>
      <c r="T451" s="1781">
        <v>1</v>
      </c>
      <c r="U451" s="1781">
        <v>1</v>
      </c>
      <c r="V451" s="1781">
        <v>1</v>
      </c>
      <c r="W451" s="1781">
        <v>1</v>
      </c>
      <c r="X451" s="1781">
        <v>1</v>
      </c>
      <c r="Y451" s="1781">
        <v>1</v>
      </c>
      <c r="Z451" s="1359">
        <v>0</v>
      </c>
      <c r="AA451" s="1781">
        <f t="shared" si="306"/>
        <v>1</v>
      </c>
      <c r="AB451" s="1781">
        <f t="shared" si="307"/>
        <v>1</v>
      </c>
      <c r="AC451" s="1781">
        <f t="shared" si="308"/>
        <v>1</v>
      </c>
      <c r="AD451" s="1781">
        <f t="shared" si="309"/>
        <v>1</v>
      </c>
      <c r="AE451" s="1781">
        <f t="shared" si="310"/>
        <v>1</v>
      </c>
      <c r="AF451" s="1781">
        <f t="shared" si="311"/>
        <v>1</v>
      </c>
      <c r="AG451" s="1781">
        <f t="shared" si="312"/>
        <v>1</v>
      </c>
      <c r="AH451" s="1781">
        <f t="shared" si="313"/>
        <v>1</v>
      </c>
      <c r="AI451" s="1362">
        <f t="shared" si="344"/>
        <v>69.09886468104088</v>
      </c>
      <c r="AJ451" s="1362">
        <f t="shared" si="345"/>
        <v>69.09886468104088</v>
      </c>
      <c r="AK451" s="1362">
        <f t="shared" si="346"/>
        <v>69.09886468104088</v>
      </c>
      <c r="AL451" s="1362">
        <f t="shared" si="347"/>
        <v>69.09886468104088</v>
      </c>
      <c r="AM451" s="1362">
        <f t="shared" si="348"/>
        <v>276.39545872416352</v>
      </c>
      <c r="AN451" s="1132" t="str">
        <f t="shared" si="314"/>
        <v>CI-HVC-PINS-V05-190101</v>
      </c>
      <c r="AO451" s="1132" t="str">
        <f t="shared" si="315"/>
        <v>Nicor Gas PY11-PY14 Adjustable Goals Template_2025-03-01, Tab 4.4.14</v>
      </c>
      <c r="AP451" s="2505">
        <f>'4.4.14'!$T$12</f>
        <v>6.2725912019826513</v>
      </c>
      <c r="AQ451" s="2505"/>
      <c r="AR451" s="2505">
        <f t="shared" si="316"/>
        <v>69.09886468104088</v>
      </c>
      <c r="AS451" s="2505">
        <f t="shared" si="317"/>
        <v>0</v>
      </c>
      <c r="AT451" s="1132" t="str">
        <f t="shared" si="318"/>
        <v>CI-HVC-PINS-V05-190101</v>
      </c>
      <c r="AU451" s="1132" t="str">
        <f t="shared" si="319"/>
        <v>Nicor Gas PY11-PY14 Adjustable Goals Template_2025-03-01, Tab 4.4.14</v>
      </c>
      <c r="AV451" s="2505">
        <f>'4.4.14'!$T$12</f>
        <v>6.2725912019826513</v>
      </c>
      <c r="AW451" s="2505"/>
      <c r="AX451" s="1362">
        <f t="shared" si="320"/>
        <v>69.09886468104088</v>
      </c>
      <c r="AY451" s="1360">
        <f t="shared" si="321"/>
        <v>0</v>
      </c>
      <c r="AZ451" s="1132" t="str">
        <f t="shared" si="322"/>
        <v>CI-HVC-PINS-V05-190101</v>
      </c>
      <c r="BA451" s="1132" t="str">
        <f t="shared" si="323"/>
        <v>Nicor Gas PY11-PY14 Adjustable Goals Template_2025-03-01, Tab 4.4.14</v>
      </c>
      <c r="BB451" s="2505">
        <f>'4.4.14'!$T$12</f>
        <v>6.2725912019826513</v>
      </c>
      <c r="BC451" s="2505"/>
      <c r="BD451" s="1362">
        <f t="shared" si="324"/>
        <v>69.09886468104088</v>
      </c>
      <c r="BE451" s="1360">
        <f t="shared" si="325"/>
        <v>0</v>
      </c>
      <c r="BF451" s="1132" t="str">
        <f t="shared" si="326"/>
        <v>CI-HVC-PINS-V05-190101</v>
      </c>
      <c r="BG451" s="1132" t="str">
        <f t="shared" si="327"/>
        <v>Nicor Gas PY11-PY14 Adjustable Goals Template_2025-03-01, Tab 4.4.14</v>
      </c>
      <c r="BH451" s="2505">
        <f>'4.4.14'!$T$12</f>
        <v>6.2725912019826513</v>
      </c>
      <c r="BI451" s="2505"/>
      <c r="BJ451" s="1362">
        <f t="shared" si="349"/>
        <v>69.09886468104088</v>
      </c>
      <c r="BK451" s="1360">
        <f t="shared" si="328"/>
        <v>0</v>
      </c>
      <c r="BL451" s="1601">
        <f t="shared" si="329"/>
        <v>69.09886468104088</v>
      </c>
      <c r="BM451" s="1601">
        <f t="shared" si="330"/>
        <v>69.09886468104088</v>
      </c>
      <c r="BN451" s="1601">
        <f t="shared" si="331"/>
        <v>69.09886468104088</v>
      </c>
      <c r="BO451" s="1601">
        <f t="shared" si="332"/>
        <v>69.09886468104088</v>
      </c>
      <c r="BP451" s="1602">
        <f t="shared" si="333"/>
        <v>276.39545872416352</v>
      </c>
      <c r="BQ451" s="1629"/>
      <c r="BR451" s="1629" t="s">
        <v>336</v>
      </c>
      <c r="BS451" s="1602">
        <v>0</v>
      </c>
      <c r="BT451" s="1602">
        <v>15</v>
      </c>
      <c r="BU451" s="1602">
        <v>15</v>
      </c>
      <c r="BV451" s="1602">
        <v>15</v>
      </c>
      <c r="BW451" s="1602">
        <v>15</v>
      </c>
      <c r="BX451" s="1362">
        <f t="shared" si="350"/>
        <v>1036.4829702156132</v>
      </c>
      <c r="BY451" s="1362">
        <f t="shared" si="351"/>
        <v>1036.4829702156132</v>
      </c>
      <c r="BZ451" s="1362">
        <f t="shared" si="352"/>
        <v>1036.4829702156132</v>
      </c>
      <c r="CA451" s="1362">
        <f t="shared" si="353"/>
        <v>1036.4829702156132</v>
      </c>
      <c r="CB451" s="1362">
        <f t="shared" si="354"/>
        <v>4145.931880862453</v>
      </c>
      <c r="CC451" s="1360">
        <v>15</v>
      </c>
      <c r="CD451" s="1360">
        <v>15</v>
      </c>
      <c r="CE451" s="1360">
        <v>15</v>
      </c>
      <c r="CF451" s="1360">
        <v>15</v>
      </c>
      <c r="CG451" s="1604">
        <f t="shared" si="334"/>
        <v>1036.4829702156132</v>
      </c>
      <c r="CH451" s="1604">
        <f t="shared" si="335"/>
        <v>1036.4829702156132</v>
      </c>
      <c r="CI451" s="1604">
        <f t="shared" si="336"/>
        <v>1036.4829702156132</v>
      </c>
      <c r="CJ451" s="1604">
        <f t="shared" si="337"/>
        <v>1036.4829702156132</v>
      </c>
      <c r="CK451" s="1521">
        <f t="shared" si="338"/>
        <v>4145.931880862453</v>
      </c>
      <c r="CL451" s="1132">
        <v>444</v>
      </c>
      <c r="CM451" s="1132" t="s">
        <v>337</v>
      </c>
      <c r="CN451" s="1359">
        <v>1</v>
      </c>
      <c r="CO451" s="1360">
        <v>10.575359999999998</v>
      </c>
      <c r="CP451" s="1360">
        <v>10.575359999999998</v>
      </c>
      <c r="CQ451" s="1360">
        <v>10.575359999999998</v>
      </c>
      <c r="CR451" s="1360">
        <v>10.575359999999998</v>
      </c>
      <c r="CS451" s="1362">
        <f t="shared" si="339"/>
        <v>66.334910093799238</v>
      </c>
      <c r="CT451" s="1362">
        <f t="shared" si="340"/>
        <v>66.334910093799238</v>
      </c>
      <c r="CU451" s="1362">
        <f t="shared" si="341"/>
        <v>66.334910093799238</v>
      </c>
      <c r="CV451" s="1362">
        <f t="shared" si="342"/>
        <v>66.334910093799238</v>
      </c>
      <c r="CW451" s="1362">
        <f t="shared" si="343"/>
        <v>265.33964037519695</v>
      </c>
      <c r="CY451" s="2887"/>
    </row>
    <row r="452" spans="1:103" s="1143" customFormat="1" ht="46.5" x14ac:dyDescent="0.35">
      <c r="A452" s="1132" t="s">
        <v>111</v>
      </c>
      <c r="B452" s="1132" t="s">
        <v>111</v>
      </c>
      <c r="C452" s="1132" t="s">
        <v>430</v>
      </c>
      <c r="D452" s="1359" t="s">
        <v>431</v>
      </c>
      <c r="E452" s="1359">
        <v>1</v>
      </c>
      <c r="F452" s="2807" t="s">
        <v>332</v>
      </c>
      <c r="G452" s="1132" t="s">
        <v>328</v>
      </c>
      <c r="H452" s="1360">
        <v>3.6719999999999997</v>
      </c>
      <c r="I452" s="1360">
        <v>3.6719999999999997</v>
      </c>
      <c r="J452" s="1360">
        <v>3.6719999999999997</v>
      </c>
      <c r="K452" s="1360">
        <v>3.6719999999999997</v>
      </c>
      <c r="L452" s="1132" t="s">
        <v>333</v>
      </c>
      <c r="M452" s="1132" t="str">
        <f t="shared" si="305"/>
        <v>Nicor Gas PY11-PY14 Adjustable Goals Template_2025-03-01, Tab 4.4.2</v>
      </c>
      <c r="N452" s="1361">
        <v>178.19138451334805</v>
      </c>
      <c r="O452" s="1361">
        <v>178.19138451334805</v>
      </c>
      <c r="P452" s="1361">
        <v>178.19138451334805</v>
      </c>
      <c r="Q452" s="1361">
        <v>178.19138451334805</v>
      </c>
      <c r="R452" s="1781">
        <v>1</v>
      </c>
      <c r="S452" s="1781">
        <v>1</v>
      </c>
      <c r="T452" s="1781">
        <v>1</v>
      </c>
      <c r="U452" s="1781">
        <v>1</v>
      </c>
      <c r="V452" s="1781">
        <v>1</v>
      </c>
      <c r="W452" s="1781">
        <v>1</v>
      </c>
      <c r="X452" s="1781">
        <v>1</v>
      </c>
      <c r="Y452" s="1781">
        <v>1</v>
      </c>
      <c r="Z452" s="1359">
        <v>0</v>
      </c>
      <c r="AA452" s="1781">
        <f t="shared" si="306"/>
        <v>1</v>
      </c>
      <c r="AB452" s="1781">
        <f t="shared" si="307"/>
        <v>1</v>
      </c>
      <c r="AC452" s="1781">
        <f t="shared" si="308"/>
        <v>1</v>
      </c>
      <c r="AD452" s="1781">
        <f t="shared" si="309"/>
        <v>1</v>
      </c>
      <c r="AE452" s="1781">
        <f t="shared" si="310"/>
        <v>1</v>
      </c>
      <c r="AF452" s="1781">
        <f t="shared" si="311"/>
        <v>1</v>
      </c>
      <c r="AG452" s="1781">
        <f t="shared" si="312"/>
        <v>1</v>
      </c>
      <c r="AH452" s="1781">
        <f t="shared" si="313"/>
        <v>1</v>
      </c>
      <c r="AI452" s="1362">
        <f t="shared" si="344"/>
        <v>654.318763933014</v>
      </c>
      <c r="AJ452" s="1362">
        <f t="shared" si="345"/>
        <v>654.318763933014</v>
      </c>
      <c r="AK452" s="1362">
        <f t="shared" si="346"/>
        <v>654.318763933014</v>
      </c>
      <c r="AL452" s="1362">
        <f t="shared" si="347"/>
        <v>654.318763933014</v>
      </c>
      <c r="AM452" s="1362">
        <f t="shared" si="348"/>
        <v>2617.275055732056</v>
      </c>
      <c r="AN452" s="1132" t="str">
        <f t="shared" si="314"/>
        <v>CI-HVC-BLRT-V06-160601</v>
      </c>
      <c r="AO452" s="1132" t="str">
        <f t="shared" si="315"/>
        <v>Nicor Gas PY11-PY14 Adjustable Goals Template_2025-03-01, Tab 4.4.2</v>
      </c>
      <c r="AP452" s="2568">
        <f>'4.4.2'!$O$4</f>
        <v>174.54860553805378</v>
      </c>
      <c r="AQ452" s="2568" t="s">
        <v>432</v>
      </c>
      <c r="AR452" s="2505">
        <f t="shared" si="316"/>
        <v>640.94247953573347</v>
      </c>
      <c r="AS452" s="2505">
        <f t="shared" si="317"/>
        <v>-13.376284397280529</v>
      </c>
      <c r="AT452" s="1132" t="str">
        <f t="shared" si="318"/>
        <v>CI-HVC-BLRT-V06-160601</v>
      </c>
      <c r="AU452" s="1132" t="str">
        <f t="shared" si="319"/>
        <v>Nicor Gas PY11-PY14 Adjustable Goals Template_2025-03-01, Tab 4.4.2</v>
      </c>
      <c r="AV452" s="2505">
        <f>'4.4.2'!$O$4</f>
        <v>174.54860553805378</v>
      </c>
      <c r="AW452" s="2568" t="s">
        <v>432</v>
      </c>
      <c r="AX452" s="1362">
        <f t="shared" si="320"/>
        <v>640.94247953573347</v>
      </c>
      <c r="AY452" s="1360">
        <f t="shared" si="321"/>
        <v>-13.376284397280529</v>
      </c>
      <c r="AZ452" s="1132" t="str">
        <f t="shared" si="322"/>
        <v>CI-HVC-BLRT-V06-160601</v>
      </c>
      <c r="BA452" s="1132" t="str">
        <f t="shared" si="323"/>
        <v>Nicor Gas PY11-PY14 Adjustable Goals Template_2025-03-01, Tab 4.4.2</v>
      </c>
      <c r="BB452" s="2505">
        <f>'4.4.2'!$O$4</f>
        <v>174.54860553805378</v>
      </c>
      <c r="BC452" s="2568" t="s">
        <v>432</v>
      </c>
      <c r="BD452" s="1362">
        <f t="shared" si="324"/>
        <v>640.94247953573347</v>
      </c>
      <c r="BE452" s="1360">
        <f t="shared" si="325"/>
        <v>-13.376284397280529</v>
      </c>
      <c r="BF452" s="1132" t="str">
        <f t="shared" si="326"/>
        <v>CI-HVC-BLRT-V06-160601</v>
      </c>
      <c r="BG452" s="1132" t="str">
        <f t="shared" si="327"/>
        <v>Nicor Gas PY11-PY14 Adjustable Goals Template_2025-03-01, Tab 4.4.2</v>
      </c>
      <c r="BH452" s="2505">
        <f>'4.4.2'!$O$4</f>
        <v>174.54860553805378</v>
      </c>
      <c r="BI452" s="2568" t="s">
        <v>432</v>
      </c>
      <c r="BJ452" s="1362">
        <f t="shared" si="349"/>
        <v>640.94247953573347</v>
      </c>
      <c r="BK452" s="1360">
        <f t="shared" si="328"/>
        <v>-13.376284397280529</v>
      </c>
      <c r="BL452" s="1601">
        <f t="shared" si="329"/>
        <v>640.94247953573347</v>
      </c>
      <c r="BM452" s="1601">
        <f t="shared" si="330"/>
        <v>640.94247953573347</v>
      </c>
      <c r="BN452" s="1601">
        <f t="shared" si="331"/>
        <v>640.94247953573347</v>
      </c>
      <c r="BO452" s="1601">
        <f t="shared" si="332"/>
        <v>640.94247953573347</v>
      </c>
      <c r="BP452" s="1602">
        <f t="shared" si="333"/>
        <v>2563.7699181429339</v>
      </c>
      <c r="BQ452" s="1629"/>
      <c r="BR452" s="1629" t="s">
        <v>332</v>
      </c>
      <c r="BS452" s="1602">
        <v>0</v>
      </c>
      <c r="BT452" s="1602">
        <v>3</v>
      </c>
      <c r="BU452" s="1602">
        <v>3</v>
      </c>
      <c r="BV452" s="1602">
        <v>3</v>
      </c>
      <c r="BW452" s="1602">
        <v>3</v>
      </c>
      <c r="BX452" s="1362">
        <f t="shared" si="350"/>
        <v>1962.956291799042</v>
      </c>
      <c r="BY452" s="1362">
        <f t="shared" si="351"/>
        <v>1962.956291799042</v>
      </c>
      <c r="BZ452" s="1362">
        <f t="shared" si="352"/>
        <v>1962.956291799042</v>
      </c>
      <c r="CA452" s="1362">
        <f t="shared" si="353"/>
        <v>1962.956291799042</v>
      </c>
      <c r="CB452" s="1362">
        <f t="shared" si="354"/>
        <v>7851.825167196168</v>
      </c>
      <c r="CC452" s="1360">
        <v>3</v>
      </c>
      <c r="CD452" s="1360">
        <v>3</v>
      </c>
      <c r="CE452" s="1360">
        <v>3</v>
      </c>
      <c r="CF452" s="1360">
        <v>3</v>
      </c>
      <c r="CG452" s="1604">
        <f t="shared" si="334"/>
        <v>1922.8274386072003</v>
      </c>
      <c r="CH452" s="1604">
        <f t="shared" si="335"/>
        <v>1922.8274386072003</v>
      </c>
      <c r="CI452" s="1604">
        <f t="shared" si="336"/>
        <v>1922.8274386072003</v>
      </c>
      <c r="CJ452" s="1604">
        <f t="shared" si="337"/>
        <v>1922.8274386072003</v>
      </c>
      <c r="CK452" s="1521">
        <f t="shared" si="338"/>
        <v>7691.3097544288012</v>
      </c>
      <c r="CL452" s="1132">
        <v>445</v>
      </c>
      <c r="CM452" s="1132" t="s">
        <v>328</v>
      </c>
      <c r="CN452" s="1359">
        <v>1</v>
      </c>
      <c r="CO452" s="1360">
        <v>3.5251199999999998</v>
      </c>
      <c r="CP452" s="1360">
        <v>3.5251199999999998</v>
      </c>
      <c r="CQ452" s="1360">
        <v>3.5251199999999998</v>
      </c>
      <c r="CR452" s="1360">
        <v>3.5251199999999998</v>
      </c>
      <c r="CS452" s="1362">
        <f t="shared" si="339"/>
        <v>628.14601337569343</v>
      </c>
      <c r="CT452" s="1362">
        <f t="shared" si="340"/>
        <v>628.14601337569343</v>
      </c>
      <c r="CU452" s="1362">
        <f t="shared" si="341"/>
        <v>628.14601337569343</v>
      </c>
      <c r="CV452" s="1362">
        <f t="shared" si="342"/>
        <v>628.14601337569343</v>
      </c>
      <c r="CW452" s="1362">
        <f t="shared" si="343"/>
        <v>2512.5840535027737</v>
      </c>
      <c r="CY452" s="2887"/>
    </row>
    <row r="453" spans="1:103" s="1143" customFormat="1" ht="46.5" x14ac:dyDescent="0.35">
      <c r="A453" s="1132" t="s">
        <v>111</v>
      </c>
      <c r="B453" s="1132" t="s">
        <v>111</v>
      </c>
      <c r="C453" s="1132" t="s">
        <v>353</v>
      </c>
      <c r="D453" s="1359" t="s">
        <v>354</v>
      </c>
      <c r="E453" s="1359">
        <v>1</v>
      </c>
      <c r="F453" s="2564" t="s">
        <v>355</v>
      </c>
      <c r="G453" s="1132" t="s">
        <v>356</v>
      </c>
      <c r="H453" s="1360">
        <v>3.06</v>
      </c>
      <c r="I453" s="1360">
        <v>3.06</v>
      </c>
      <c r="J453" s="1360">
        <v>3.06</v>
      </c>
      <c r="K453" s="1360">
        <v>3.06</v>
      </c>
      <c r="L453" s="1132" t="s">
        <v>357</v>
      </c>
      <c r="M453" s="1132" t="str">
        <f t="shared" si="305"/>
        <v>Nicor Gas PY11-PY14 Adjustable Goals Template_2025-03-01, Tab 4.4.16</v>
      </c>
      <c r="N453" s="1361">
        <v>102.13709764839483</v>
      </c>
      <c r="O453" s="1361">
        <v>102.13709764839483</v>
      </c>
      <c r="P453" s="1361">
        <v>102.13709764839483</v>
      </c>
      <c r="Q453" s="1361">
        <v>102.13709764839483</v>
      </c>
      <c r="R453" s="1781">
        <v>1</v>
      </c>
      <c r="S453" s="1781">
        <v>1</v>
      </c>
      <c r="T453" s="1781">
        <v>1</v>
      </c>
      <c r="U453" s="1781">
        <v>1</v>
      </c>
      <c r="V453" s="1781">
        <v>1</v>
      </c>
      <c r="W453" s="1781">
        <v>1</v>
      </c>
      <c r="X453" s="1781">
        <v>1</v>
      </c>
      <c r="Y453" s="1781">
        <v>1</v>
      </c>
      <c r="Z453" s="1359">
        <v>0</v>
      </c>
      <c r="AA453" s="1781">
        <f t="shared" si="306"/>
        <v>1</v>
      </c>
      <c r="AB453" s="1781">
        <f t="shared" si="307"/>
        <v>1</v>
      </c>
      <c r="AC453" s="1781">
        <f t="shared" si="308"/>
        <v>1</v>
      </c>
      <c r="AD453" s="1781">
        <f t="shared" si="309"/>
        <v>1</v>
      </c>
      <c r="AE453" s="1781">
        <f t="shared" si="310"/>
        <v>1</v>
      </c>
      <c r="AF453" s="1781">
        <f t="shared" si="311"/>
        <v>1</v>
      </c>
      <c r="AG453" s="1781">
        <f t="shared" si="312"/>
        <v>1</v>
      </c>
      <c r="AH453" s="1781">
        <f t="shared" si="313"/>
        <v>1</v>
      </c>
      <c r="AI453" s="1362">
        <f t="shared" si="344"/>
        <v>312.53951880408817</v>
      </c>
      <c r="AJ453" s="1362">
        <f t="shared" si="345"/>
        <v>312.53951880408817</v>
      </c>
      <c r="AK453" s="1362">
        <f t="shared" si="346"/>
        <v>312.53951880408817</v>
      </c>
      <c r="AL453" s="1362">
        <f t="shared" si="347"/>
        <v>312.53951880408817</v>
      </c>
      <c r="AM453" s="1362">
        <f t="shared" si="348"/>
        <v>1250.1580752163527</v>
      </c>
      <c r="AN453" s="1132" t="str">
        <f t="shared" si="314"/>
        <v>CI-HVC-STRE-V05-180101</v>
      </c>
      <c r="AO453" s="1132" t="str">
        <f t="shared" si="315"/>
        <v>Nicor Gas PY11-PY14 Adjustable Goals Template_2025-03-01, Tab 4.4.16</v>
      </c>
      <c r="AP453" s="2505">
        <f>'4.4.16'!$O$11</f>
        <v>102.13709764839483</v>
      </c>
      <c r="AQ453" s="2505"/>
      <c r="AR453" s="2505">
        <f t="shared" si="316"/>
        <v>312.53951880408817</v>
      </c>
      <c r="AS453" s="2505">
        <f t="shared" si="317"/>
        <v>0</v>
      </c>
      <c r="AT453" s="1132" t="str">
        <f t="shared" si="318"/>
        <v>CI-HVC-STRE-V05-180101</v>
      </c>
      <c r="AU453" s="1132" t="str">
        <f t="shared" si="319"/>
        <v>Nicor Gas PY11-PY14 Adjustable Goals Template_2025-03-01, Tab 4.4.16</v>
      </c>
      <c r="AV453" s="2505">
        <f>'4.4.16'!$O$11</f>
        <v>102.13709764839483</v>
      </c>
      <c r="AW453" s="2505"/>
      <c r="AX453" s="1362">
        <f t="shared" si="320"/>
        <v>312.53951880408817</v>
      </c>
      <c r="AY453" s="1360">
        <f t="shared" si="321"/>
        <v>0</v>
      </c>
      <c r="AZ453" s="1132" t="str">
        <f t="shared" si="322"/>
        <v>CI-HVC-STRE-V05-180101</v>
      </c>
      <c r="BA453" s="1132" t="str">
        <f t="shared" si="323"/>
        <v>Nicor Gas PY11-PY14 Adjustable Goals Template_2025-03-01, Tab 4.4.16</v>
      </c>
      <c r="BB453" s="2505">
        <f>'4.4.16'!$O$11</f>
        <v>102.13709764839483</v>
      </c>
      <c r="BC453" s="2505"/>
      <c r="BD453" s="1362">
        <f t="shared" si="324"/>
        <v>312.53951880408817</v>
      </c>
      <c r="BE453" s="1360">
        <f t="shared" si="325"/>
        <v>0</v>
      </c>
      <c r="BF453" s="1132" t="str">
        <f t="shared" si="326"/>
        <v>CI-HVC-STRE-V05-180101</v>
      </c>
      <c r="BG453" s="1132" t="str">
        <f t="shared" si="327"/>
        <v>Nicor Gas PY11-PY14 Adjustable Goals Template_2025-03-01, Tab 4.4.16</v>
      </c>
      <c r="BH453" s="2505">
        <f>'4.4.16'!$O$11</f>
        <v>102.13709764839483</v>
      </c>
      <c r="BI453" s="2505"/>
      <c r="BJ453" s="1362">
        <f t="shared" si="349"/>
        <v>312.53951880408817</v>
      </c>
      <c r="BK453" s="1360">
        <f t="shared" si="328"/>
        <v>0</v>
      </c>
      <c r="BL453" s="1601">
        <f t="shared" si="329"/>
        <v>312.53951880408817</v>
      </c>
      <c r="BM453" s="1601">
        <f t="shared" si="330"/>
        <v>312.53951880408817</v>
      </c>
      <c r="BN453" s="1601">
        <f t="shared" si="331"/>
        <v>312.53951880408817</v>
      </c>
      <c r="BO453" s="1601">
        <f t="shared" si="332"/>
        <v>312.53951880408817</v>
      </c>
      <c r="BP453" s="1602">
        <f t="shared" si="333"/>
        <v>1250.1580752163527</v>
      </c>
      <c r="BQ453" s="1629"/>
      <c r="BR453" s="1629" t="s">
        <v>355</v>
      </c>
      <c r="BS453" s="1602">
        <v>0</v>
      </c>
      <c r="BT453" s="1602">
        <v>6</v>
      </c>
      <c r="BU453" s="1602">
        <v>6</v>
      </c>
      <c r="BV453" s="1602">
        <v>6</v>
      </c>
      <c r="BW453" s="1602">
        <v>6</v>
      </c>
      <c r="BX453" s="1362">
        <f t="shared" si="350"/>
        <v>1875.237112824529</v>
      </c>
      <c r="BY453" s="1362">
        <f t="shared" si="351"/>
        <v>1875.237112824529</v>
      </c>
      <c r="BZ453" s="1362">
        <f t="shared" si="352"/>
        <v>1875.237112824529</v>
      </c>
      <c r="CA453" s="1362">
        <f t="shared" si="353"/>
        <v>1875.237112824529</v>
      </c>
      <c r="CB453" s="1362">
        <f t="shared" si="354"/>
        <v>7500.9484512981162</v>
      </c>
      <c r="CC453" s="1360">
        <v>6</v>
      </c>
      <c r="CD453" s="1360">
        <v>6</v>
      </c>
      <c r="CE453" s="1360">
        <v>6</v>
      </c>
      <c r="CF453" s="1360">
        <v>6</v>
      </c>
      <c r="CG453" s="1604">
        <f t="shared" si="334"/>
        <v>1875.237112824529</v>
      </c>
      <c r="CH453" s="1604">
        <f t="shared" si="335"/>
        <v>1875.237112824529</v>
      </c>
      <c r="CI453" s="1604">
        <f t="shared" si="336"/>
        <v>1875.237112824529</v>
      </c>
      <c r="CJ453" s="1604">
        <f t="shared" si="337"/>
        <v>1875.237112824529</v>
      </c>
      <c r="CK453" s="1521">
        <f t="shared" si="338"/>
        <v>7500.9484512981162</v>
      </c>
      <c r="CL453" s="1132">
        <v>446</v>
      </c>
      <c r="CM453" s="1132" t="s">
        <v>356</v>
      </c>
      <c r="CN453" s="1359">
        <v>1</v>
      </c>
      <c r="CO453" s="1360">
        <v>2.9375999999999998</v>
      </c>
      <c r="CP453" s="1360">
        <v>2.9375999999999998</v>
      </c>
      <c r="CQ453" s="1360">
        <v>2.9375999999999998</v>
      </c>
      <c r="CR453" s="1360">
        <v>2.9375999999999998</v>
      </c>
      <c r="CS453" s="1362">
        <f t="shared" si="339"/>
        <v>300.03793805192464</v>
      </c>
      <c r="CT453" s="1362">
        <f t="shared" si="340"/>
        <v>300.03793805192464</v>
      </c>
      <c r="CU453" s="1362">
        <f t="shared" si="341"/>
        <v>300.03793805192464</v>
      </c>
      <c r="CV453" s="1362">
        <f t="shared" si="342"/>
        <v>300.03793805192464</v>
      </c>
      <c r="CW453" s="1362">
        <f t="shared" si="343"/>
        <v>1200.1517522076986</v>
      </c>
      <c r="CY453" s="2887"/>
    </row>
    <row r="454" spans="1:103" s="1143" customFormat="1" ht="46.5" x14ac:dyDescent="0.35">
      <c r="A454" s="1132" t="s">
        <v>111</v>
      </c>
      <c r="B454" s="1132" t="s">
        <v>111</v>
      </c>
      <c r="C454" s="1132" t="s">
        <v>353</v>
      </c>
      <c r="D454" s="1359" t="s">
        <v>354</v>
      </c>
      <c r="E454" s="1359">
        <v>1</v>
      </c>
      <c r="F454" s="2564" t="s">
        <v>355</v>
      </c>
      <c r="G454" s="1132" t="s">
        <v>356</v>
      </c>
      <c r="H454" s="1360">
        <v>5.5079999999999991</v>
      </c>
      <c r="I454" s="1360">
        <v>5.5079999999999991</v>
      </c>
      <c r="J454" s="1360">
        <v>5.5079999999999991</v>
      </c>
      <c r="K454" s="1360">
        <v>5.5079999999999991</v>
      </c>
      <c r="L454" s="1132" t="s">
        <v>357</v>
      </c>
      <c r="M454" s="1132" t="str">
        <f t="shared" si="305"/>
        <v>Nicor Gas PY11-PY14 Adjustable Goals Template_2025-03-01, Tab 4.4.16</v>
      </c>
      <c r="N454" s="1361">
        <v>102.13709764839483</v>
      </c>
      <c r="O454" s="1361">
        <v>102.13709764839483</v>
      </c>
      <c r="P454" s="1361">
        <v>102.13709764839483</v>
      </c>
      <c r="Q454" s="1361">
        <v>102.13709764839483</v>
      </c>
      <c r="R454" s="1781">
        <v>1</v>
      </c>
      <c r="S454" s="1781">
        <v>1</v>
      </c>
      <c r="T454" s="1781">
        <v>1</v>
      </c>
      <c r="U454" s="1781">
        <v>1</v>
      </c>
      <c r="V454" s="1781">
        <v>1</v>
      </c>
      <c r="W454" s="1781">
        <v>1</v>
      </c>
      <c r="X454" s="1781">
        <v>1</v>
      </c>
      <c r="Y454" s="1781">
        <v>1</v>
      </c>
      <c r="Z454" s="1359">
        <v>0</v>
      </c>
      <c r="AA454" s="1781">
        <f t="shared" si="306"/>
        <v>1</v>
      </c>
      <c r="AB454" s="1781">
        <f t="shared" si="307"/>
        <v>1</v>
      </c>
      <c r="AC454" s="1781">
        <f t="shared" si="308"/>
        <v>1</v>
      </c>
      <c r="AD454" s="1781">
        <f t="shared" si="309"/>
        <v>1</v>
      </c>
      <c r="AE454" s="1781">
        <f t="shared" si="310"/>
        <v>1</v>
      </c>
      <c r="AF454" s="1781">
        <f t="shared" si="311"/>
        <v>1</v>
      </c>
      <c r="AG454" s="1781">
        <f t="shared" si="312"/>
        <v>1</v>
      </c>
      <c r="AH454" s="1781">
        <f t="shared" si="313"/>
        <v>1</v>
      </c>
      <c r="AI454" s="1362">
        <f t="shared" si="344"/>
        <v>562.57113384735862</v>
      </c>
      <c r="AJ454" s="1362">
        <f t="shared" si="345"/>
        <v>562.57113384735862</v>
      </c>
      <c r="AK454" s="1362">
        <f t="shared" si="346"/>
        <v>562.57113384735862</v>
      </c>
      <c r="AL454" s="1362">
        <f t="shared" si="347"/>
        <v>562.57113384735862</v>
      </c>
      <c r="AM454" s="1362">
        <f t="shared" si="348"/>
        <v>2250.2845353894345</v>
      </c>
      <c r="AN454" s="1132" t="str">
        <f t="shared" si="314"/>
        <v>CI-HVC-STRE-V05-180101</v>
      </c>
      <c r="AO454" s="1132" t="str">
        <f t="shared" si="315"/>
        <v>Nicor Gas PY11-PY14 Adjustable Goals Template_2025-03-01, Tab 4.4.16</v>
      </c>
      <c r="AP454" s="2505">
        <f>'4.4.16'!$O$11</f>
        <v>102.13709764839483</v>
      </c>
      <c r="AQ454" s="2505"/>
      <c r="AR454" s="2505">
        <f t="shared" si="316"/>
        <v>562.57113384735862</v>
      </c>
      <c r="AS454" s="2505">
        <f t="shared" si="317"/>
        <v>0</v>
      </c>
      <c r="AT454" s="1132" t="str">
        <f t="shared" si="318"/>
        <v>CI-HVC-STRE-V05-180101</v>
      </c>
      <c r="AU454" s="1132" t="str">
        <f t="shared" si="319"/>
        <v>Nicor Gas PY11-PY14 Adjustable Goals Template_2025-03-01, Tab 4.4.16</v>
      </c>
      <c r="AV454" s="2505">
        <f>'4.4.16'!$O$11</f>
        <v>102.13709764839483</v>
      </c>
      <c r="AW454" s="2505"/>
      <c r="AX454" s="1362">
        <f t="shared" si="320"/>
        <v>562.57113384735862</v>
      </c>
      <c r="AY454" s="1360">
        <f t="shared" si="321"/>
        <v>0</v>
      </c>
      <c r="AZ454" s="1132" t="str">
        <f t="shared" si="322"/>
        <v>CI-HVC-STRE-V05-180101</v>
      </c>
      <c r="BA454" s="1132" t="str">
        <f t="shared" si="323"/>
        <v>Nicor Gas PY11-PY14 Adjustable Goals Template_2025-03-01, Tab 4.4.16</v>
      </c>
      <c r="BB454" s="2505">
        <f>'4.4.16'!$O$11</f>
        <v>102.13709764839483</v>
      </c>
      <c r="BC454" s="2505"/>
      <c r="BD454" s="1362">
        <f t="shared" si="324"/>
        <v>562.57113384735862</v>
      </c>
      <c r="BE454" s="1360">
        <f t="shared" si="325"/>
        <v>0</v>
      </c>
      <c r="BF454" s="1132" t="str">
        <f t="shared" si="326"/>
        <v>CI-HVC-STRE-V05-180101</v>
      </c>
      <c r="BG454" s="1132" t="str">
        <f t="shared" si="327"/>
        <v>Nicor Gas PY11-PY14 Adjustable Goals Template_2025-03-01, Tab 4.4.16</v>
      </c>
      <c r="BH454" s="2505">
        <f>'4.4.16'!$O$11</f>
        <v>102.13709764839483</v>
      </c>
      <c r="BI454" s="2505"/>
      <c r="BJ454" s="1362">
        <f t="shared" si="349"/>
        <v>562.57113384735862</v>
      </c>
      <c r="BK454" s="1360">
        <f t="shared" si="328"/>
        <v>0</v>
      </c>
      <c r="BL454" s="1601">
        <f t="shared" si="329"/>
        <v>562.57113384735862</v>
      </c>
      <c r="BM454" s="1601">
        <f t="shared" si="330"/>
        <v>562.57113384735862</v>
      </c>
      <c r="BN454" s="1601">
        <f t="shared" si="331"/>
        <v>562.57113384735862</v>
      </c>
      <c r="BO454" s="1601">
        <f t="shared" si="332"/>
        <v>562.57113384735862</v>
      </c>
      <c r="BP454" s="1602">
        <f t="shared" si="333"/>
        <v>2250.2845353894345</v>
      </c>
      <c r="BQ454" s="1629"/>
      <c r="BR454" s="1629" t="s">
        <v>355</v>
      </c>
      <c r="BS454" s="1602">
        <v>0</v>
      </c>
      <c r="BT454" s="1602">
        <v>6</v>
      </c>
      <c r="BU454" s="1602">
        <v>6</v>
      </c>
      <c r="BV454" s="1602">
        <v>6</v>
      </c>
      <c r="BW454" s="1602">
        <v>6</v>
      </c>
      <c r="BX454" s="1362">
        <f t="shared" si="350"/>
        <v>3375.4268030841517</v>
      </c>
      <c r="BY454" s="1362">
        <f t="shared" si="351"/>
        <v>3375.4268030841517</v>
      </c>
      <c r="BZ454" s="1362">
        <f t="shared" si="352"/>
        <v>3375.4268030841517</v>
      </c>
      <c r="CA454" s="1362">
        <f t="shared" si="353"/>
        <v>3375.4268030841517</v>
      </c>
      <c r="CB454" s="1362">
        <f t="shared" si="354"/>
        <v>13501.707212336607</v>
      </c>
      <c r="CC454" s="1360">
        <v>6</v>
      </c>
      <c r="CD454" s="1360">
        <v>6</v>
      </c>
      <c r="CE454" s="1360">
        <v>6</v>
      </c>
      <c r="CF454" s="1360">
        <v>6</v>
      </c>
      <c r="CG454" s="1604">
        <f t="shared" si="334"/>
        <v>3375.4268030841517</v>
      </c>
      <c r="CH454" s="1604">
        <f t="shared" si="335"/>
        <v>3375.4268030841517</v>
      </c>
      <c r="CI454" s="1604">
        <f t="shared" si="336"/>
        <v>3375.4268030841517</v>
      </c>
      <c r="CJ454" s="1604">
        <f t="shared" si="337"/>
        <v>3375.4268030841517</v>
      </c>
      <c r="CK454" s="1521">
        <f t="shared" si="338"/>
        <v>13501.707212336607</v>
      </c>
      <c r="CL454" s="1132">
        <v>447</v>
      </c>
      <c r="CM454" s="1132" t="s">
        <v>356</v>
      </c>
      <c r="CN454" s="1359">
        <v>1</v>
      </c>
      <c r="CO454" s="1360">
        <v>5.287679999999999</v>
      </c>
      <c r="CP454" s="1360">
        <v>5.287679999999999</v>
      </c>
      <c r="CQ454" s="1360">
        <v>5.287679999999999</v>
      </c>
      <c r="CR454" s="1360">
        <v>5.287679999999999</v>
      </c>
      <c r="CS454" s="1362">
        <f t="shared" si="339"/>
        <v>540.06828849346425</v>
      </c>
      <c r="CT454" s="1362">
        <f t="shared" si="340"/>
        <v>540.06828849346425</v>
      </c>
      <c r="CU454" s="1362">
        <f t="shared" si="341"/>
        <v>540.06828849346425</v>
      </c>
      <c r="CV454" s="1362">
        <f t="shared" si="342"/>
        <v>540.06828849346425</v>
      </c>
      <c r="CW454" s="1362">
        <f t="shared" si="343"/>
        <v>2160.273153973857</v>
      </c>
      <c r="CY454" s="2887"/>
    </row>
    <row r="455" spans="1:103" s="1143" customFormat="1" ht="46.5" x14ac:dyDescent="0.35">
      <c r="A455" s="1132" t="s">
        <v>111</v>
      </c>
      <c r="B455" s="1132" t="s">
        <v>111</v>
      </c>
      <c r="C455" s="1132" t="s">
        <v>447</v>
      </c>
      <c r="D455" s="1359" t="s">
        <v>448</v>
      </c>
      <c r="E455" s="1359">
        <v>1</v>
      </c>
      <c r="F455" s="2807" t="s">
        <v>435</v>
      </c>
      <c r="G455" s="1132" t="s">
        <v>356</v>
      </c>
      <c r="H455" s="1360">
        <v>4.8959999999999999</v>
      </c>
      <c r="I455" s="1360">
        <v>4.8959999999999999</v>
      </c>
      <c r="J455" s="1360">
        <v>4.8959999999999999</v>
      </c>
      <c r="K455" s="1360">
        <v>4.8959999999999999</v>
      </c>
      <c r="L455" s="1132" t="s">
        <v>436</v>
      </c>
      <c r="M455" s="1132" t="str">
        <f t="shared" si="305"/>
        <v>Nicor Gas PY11-PY14 Adjustable Goals Template_2025-03-01, Tab 4.4.10</v>
      </c>
      <c r="N455" s="1361">
        <v>74.980804054054119</v>
      </c>
      <c r="O455" s="1361">
        <v>74.980804054054119</v>
      </c>
      <c r="P455" s="1361">
        <v>74.980804054054119</v>
      </c>
      <c r="Q455" s="1361">
        <v>74.980804054054119</v>
      </c>
      <c r="R455" s="1781">
        <v>1</v>
      </c>
      <c r="S455" s="1781">
        <v>1</v>
      </c>
      <c r="T455" s="1781">
        <v>1</v>
      </c>
      <c r="U455" s="1781">
        <v>1</v>
      </c>
      <c r="V455" s="1781">
        <v>1</v>
      </c>
      <c r="W455" s="1781">
        <v>1</v>
      </c>
      <c r="X455" s="1781">
        <v>1</v>
      </c>
      <c r="Y455" s="1781">
        <v>1</v>
      </c>
      <c r="Z455" s="1359">
        <v>0</v>
      </c>
      <c r="AA455" s="1781">
        <f t="shared" si="306"/>
        <v>1</v>
      </c>
      <c r="AB455" s="1781">
        <f t="shared" si="307"/>
        <v>1</v>
      </c>
      <c r="AC455" s="1781">
        <f t="shared" si="308"/>
        <v>1</v>
      </c>
      <c r="AD455" s="1781">
        <f t="shared" si="309"/>
        <v>1</v>
      </c>
      <c r="AE455" s="1781">
        <f t="shared" si="310"/>
        <v>1</v>
      </c>
      <c r="AF455" s="1781">
        <f t="shared" si="311"/>
        <v>1</v>
      </c>
      <c r="AG455" s="1781">
        <f t="shared" si="312"/>
        <v>1</v>
      </c>
      <c r="AH455" s="1781">
        <f t="shared" si="313"/>
        <v>1</v>
      </c>
      <c r="AI455" s="1362">
        <f t="shared" si="344"/>
        <v>367.10601664864896</v>
      </c>
      <c r="AJ455" s="1362">
        <f t="shared" si="345"/>
        <v>367.10601664864896</v>
      </c>
      <c r="AK455" s="1362">
        <f t="shared" si="346"/>
        <v>367.10601664864896</v>
      </c>
      <c r="AL455" s="1362">
        <f t="shared" si="347"/>
        <v>367.10601664864896</v>
      </c>
      <c r="AM455" s="1362">
        <f t="shared" si="348"/>
        <v>1468.4240665945958</v>
      </c>
      <c r="AN455" s="1132" t="str">
        <f t="shared" si="314"/>
        <v>CI-HVC-BOIL-V06-190101</v>
      </c>
      <c r="AO455" s="1132" t="str">
        <f t="shared" si="315"/>
        <v>Nicor Gas PY11-PY14 Adjustable Goals Template_2025-03-01, Tab 4.4.10</v>
      </c>
      <c r="AP455" s="2568">
        <f>'4.4.10'!$Q$10</f>
        <v>73.447966216216287</v>
      </c>
      <c r="AQ455" s="2568" t="s">
        <v>432</v>
      </c>
      <c r="AR455" s="2505">
        <f t="shared" si="316"/>
        <v>359.60124259459491</v>
      </c>
      <c r="AS455" s="2505">
        <f t="shared" si="317"/>
        <v>-7.5047740540540531</v>
      </c>
      <c r="AT455" s="1132" t="str">
        <f t="shared" si="318"/>
        <v>CI-HVC-BOIL-V06-190101</v>
      </c>
      <c r="AU455" s="1132" t="str">
        <f t="shared" si="319"/>
        <v>Nicor Gas PY11-PY14 Adjustable Goals Template_2025-03-01, Tab 4.4.10</v>
      </c>
      <c r="AV455" s="2505">
        <f>'4.4.10'!$Q$10</f>
        <v>73.447966216216287</v>
      </c>
      <c r="AW455" s="2568" t="s">
        <v>432</v>
      </c>
      <c r="AX455" s="1362">
        <f t="shared" si="320"/>
        <v>359.60124259459491</v>
      </c>
      <c r="AY455" s="1360">
        <f t="shared" si="321"/>
        <v>-7.5047740540540531</v>
      </c>
      <c r="AZ455" s="1132" t="str">
        <f t="shared" si="322"/>
        <v>CI-HVC-BOIL-V06-190101</v>
      </c>
      <c r="BA455" s="1132" t="str">
        <f t="shared" si="323"/>
        <v>Nicor Gas PY11-PY14 Adjustable Goals Template_2025-03-01, Tab 4.4.10</v>
      </c>
      <c r="BB455" s="2505">
        <f>'4.4.10'!$Q$10</f>
        <v>73.447966216216287</v>
      </c>
      <c r="BC455" s="2568" t="s">
        <v>432</v>
      </c>
      <c r="BD455" s="1362">
        <f t="shared" si="324"/>
        <v>359.60124259459491</v>
      </c>
      <c r="BE455" s="1360">
        <f t="shared" si="325"/>
        <v>-7.5047740540540531</v>
      </c>
      <c r="BF455" s="1132" t="str">
        <f t="shared" si="326"/>
        <v>CI-HVC-BOIL-V06-190101</v>
      </c>
      <c r="BG455" s="1132" t="str">
        <f t="shared" si="327"/>
        <v>Nicor Gas PY11-PY14 Adjustable Goals Template_2025-03-01, Tab 4.4.10</v>
      </c>
      <c r="BH455" s="2505">
        <f>'4.4.10'!$Q$10</f>
        <v>73.447966216216287</v>
      </c>
      <c r="BI455" s="2568" t="s">
        <v>432</v>
      </c>
      <c r="BJ455" s="1362">
        <f t="shared" si="349"/>
        <v>359.60124259459491</v>
      </c>
      <c r="BK455" s="1360">
        <f t="shared" si="328"/>
        <v>-7.5047740540540531</v>
      </c>
      <c r="BL455" s="1601">
        <f t="shared" si="329"/>
        <v>359.60124259459491</v>
      </c>
      <c r="BM455" s="1601">
        <f t="shared" si="330"/>
        <v>359.60124259459491</v>
      </c>
      <c r="BN455" s="1601">
        <f t="shared" si="331"/>
        <v>359.60124259459491</v>
      </c>
      <c r="BO455" s="1601">
        <f t="shared" si="332"/>
        <v>359.60124259459491</v>
      </c>
      <c r="BP455" s="1602">
        <f t="shared" si="333"/>
        <v>1438.4049703783796</v>
      </c>
      <c r="BQ455" s="1629"/>
      <c r="BR455" s="1629" t="s">
        <v>435</v>
      </c>
      <c r="BS455" s="1602">
        <v>0</v>
      </c>
      <c r="BT455" s="1602">
        <v>25</v>
      </c>
      <c r="BU455" s="1602">
        <v>25</v>
      </c>
      <c r="BV455" s="1602">
        <v>25</v>
      </c>
      <c r="BW455" s="1602">
        <v>25</v>
      </c>
      <c r="BX455" s="1362">
        <f t="shared" si="350"/>
        <v>9177.6504162162237</v>
      </c>
      <c r="BY455" s="1362">
        <f t="shared" si="351"/>
        <v>9177.6504162162237</v>
      </c>
      <c r="BZ455" s="1362">
        <f t="shared" si="352"/>
        <v>9177.6504162162237</v>
      </c>
      <c r="CA455" s="1362">
        <f t="shared" si="353"/>
        <v>9177.6504162162237</v>
      </c>
      <c r="CB455" s="1362">
        <f t="shared" si="354"/>
        <v>36710.601664864895</v>
      </c>
      <c r="CC455" s="1360">
        <v>25</v>
      </c>
      <c r="CD455" s="1360">
        <v>25</v>
      </c>
      <c r="CE455" s="1360">
        <v>25</v>
      </c>
      <c r="CF455" s="1360">
        <v>25</v>
      </c>
      <c r="CG455" s="1604">
        <f t="shared" si="334"/>
        <v>8990.031064864872</v>
      </c>
      <c r="CH455" s="1604">
        <f t="shared" si="335"/>
        <v>8990.031064864872</v>
      </c>
      <c r="CI455" s="1604">
        <f t="shared" si="336"/>
        <v>8990.031064864872</v>
      </c>
      <c r="CJ455" s="1604">
        <f t="shared" si="337"/>
        <v>8990.031064864872</v>
      </c>
      <c r="CK455" s="1521">
        <f t="shared" si="338"/>
        <v>35960.124259459488</v>
      </c>
      <c r="CL455" s="1132">
        <v>448</v>
      </c>
      <c r="CM455" s="1132" t="s">
        <v>356</v>
      </c>
      <c r="CN455" s="1359">
        <v>1</v>
      </c>
      <c r="CO455" s="1360">
        <v>4.7001599999999994</v>
      </c>
      <c r="CP455" s="1360">
        <v>4.7001599999999994</v>
      </c>
      <c r="CQ455" s="1360">
        <v>4.7001599999999994</v>
      </c>
      <c r="CR455" s="1360">
        <v>4.7001599999999994</v>
      </c>
      <c r="CS455" s="1362">
        <f t="shared" si="339"/>
        <v>352.42177598270297</v>
      </c>
      <c r="CT455" s="1362">
        <f t="shared" si="340"/>
        <v>352.42177598270297</v>
      </c>
      <c r="CU455" s="1362">
        <f t="shared" si="341"/>
        <v>352.42177598270297</v>
      </c>
      <c r="CV455" s="1362">
        <f t="shared" si="342"/>
        <v>352.42177598270297</v>
      </c>
      <c r="CW455" s="1362">
        <f t="shared" si="343"/>
        <v>1409.6871039308119</v>
      </c>
      <c r="CY455" s="2887"/>
    </row>
    <row r="456" spans="1:103" s="1143" customFormat="1" ht="46.5" x14ac:dyDescent="0.35">
      <c r="A456" s="1132" t="s">
        <v>111</v>
      </c>
      <c r="B456" s="1132" t="s">
        <v>111</v>
      </c>
      <c r="C456" s="1132" t="s">
        <v>940</v>
      </c>
      <c r="D456" s="1359" t="s">
        <v>941</v>
      </c>
      <c r="E456" s="1359">
        <v>1</v>
      </c>
      <c r="F456" s="2564" t="s">
        <v>567</v>
      </c>
      <c r="G456" s="1132" t="s">
        <v>337</v>
      </c>
      <c r="H456" s="1360">
        <v>28.151999999999997</v>
      </c>
      <c r="I456" s="1360">
        <v>28.151999999999997</v>
      </c>
      <c r="J456" s="1360">
        <v>28.151999999999997</v>
      </c>
      <c r="K456" s="1360">
        <v>28.151999999999997</v>
      </c>
      <c r="L456" s="1132" t="s">
        <v>942</v>
      </c>
      <c r="M456" s="1132" t="str">
        <f t="shared" ref="M456:M519" si="356">IF(F456&lt;&gt;"Custom",CONCATENATE($I$1,", ",$J$1," ",F456),"")</f>
        <v>Nicor Gas PY11-PY14 Adjustable Goals Template_2025-03-01, Tab 4.8.16</v>
      </c>
      <c r="N456" s="1361">
        <v>10.32</v>
      </c>
      <c r="O456" s="1361">
        <v>10.32</v>
      </c>
      <c r="P456" s="1361">
        <v>10.32</v>
      </c>
      <c r="Q456" s="1361">
        <v>10.32</v>
      </c>
      <c r="R456" s="1781">
        <v>1</v>
      </c>
      <c r="S456" s="1781">
        <v>1</v>
      </c>
      <c r="T456" s="1781">
        <v>1</v>
      </c>
      <c r="U456" s="1781">
        <v>1</v>
      </c>
      <c r="V456" s="1781">
        <v>1</v>
      </c>
      <c r="W456" s="1781">
        <v>1</v>
      </c>
      <c r="X456" s="1781">
        <v>1</v>
      </c>
      <c r="Y456" s="1781">
        <v>1</v>
      </c>
      <c r="Z456" s="1359">
        <v>0</v>
      </c>
      <c r="AA456" s="1781">
        <f t="shared" ref="AA456:AA519" si="357">V456</f>
        <v>1</v>
      </c>
      <c r="AB456" s="1781">
        <f t="shared" ref="AB456:AB519" si="358">W456</f>
        <v>1</v>
      </c>
      <c r="AC456" s="1781">
        <f t="shared" ref="AC456:AC519" si="359">X456</f>
        <v>1</v>
      </c>
      <c r="AD456" s="1781">
        <f t="shared" ref="AD456:AD519" si="360">Y456</f>
        <v>1</v>
      </c>
      <c r="AE456" s="1781">
        <f t="shared" ref="AE456:AE519" si="361">V456</f>
        <v>1</v>
      </c>
      <c r="AF456" s="1781">
        <f t="shared" ref="AF456:AF519" si="362">W456</f>
        <v>1</v>
      </c>
      <c r="AG456" s="1781">
        <f t="shared" ref="AG456:AG519" si="363">X456</f>
        <v>1</v>
      </c>
      <c r="AH456" s="1781">
        <f t="shared" ref="AH456:AH519" si="364">Y456</f>
        <v>1</v>
      </c>
      <c r="AI456" s="1362">
        <f t="shared" si="344"/>
        <v>290.52864</v>
      </c>
      <c r="AJ456" s="1362">
        <f t="shared" si="345"/>
        <v>290.52864</v>
      </c>
      <c r="AK456" s="1362">
        <f t="shared" si="346"/>
        <v>290.52864</v>
      </c>
      <c r="AL456" s="1362">
        <f t="shared" si="347"/>
        <v>290.52864</v>
      </c>
      <c r="AM456" s="1362">
        <f t="shared" si="348"/>
        <v>1162.11456</v>
      </c>
      <c r="AN456" s="1132" t="str">
        <f t="shared" ref="AN456:AN519" si="365">L456</f>
        <v>C202</v>
      </c>
      <c r="AO456" s="1132" t="str">
        <f t="shared" ref="AO456:AO519" si="366">M456</f>
        <v>Nicor Gas PY11-PY14 Adjustable Goals Template_2025-03-01, Tab 4.8.16</v>
      </c>
      <c r="AP456" s="2505">
        <f>'4.8.16'!$J$5</f>
        <v>10.32</v>
      </c>
      <c r="AQ456" s="2505"/>
      <c r="AR456" s="2505">
        <f t="shared" ref="AR456:AR519" si="367">H456*AP456*V456</f>
        <v>290.52864</v>
      </c>
      <c r="AS456" s="2505">
        <f t="shared" ref="AS456:AS519" si="368">AR456-AI456</f>
        <v>0</v>
      </c>
      <c r="AT456" s="1132" t="str">
        <f t="shared" ref="AT456:AT519" si="369">L456</f>
        <v>C202</v>
      </c>
      <c r="AU456" s="1132" t="str">
        <f t="shared" ref="AU456:AU519" si="370">M456</f>
        <v>Nicor Gas PY11-PY14 Adjustable Goals Template_2025-03-01, Tab 4.8.16</v>
      </c>
      <c r="AV456" s="2505">
        <f>'4.8.16'!$J$5</f>
        <v>10.32</v>
      </c>
      <c r="AW456" s="2505"/>
      <c r="AX456" s="1362">
        <f t="shared" ref="AX456:AX519" si="371">I456*AV456*W456</f>
        <v>290.52864</v>
      </c>
      <c r="AY456" s="1360">
        <f t="shared" ref="AY456:AY519" si="372">AX456-AJ456</f>
        <v>0</v>
      </c>
      <c r="AZ456" s="1132" t="str">
        <f t="shared" ref="AZ456:AZ519" si="373">L456</f>
        <v>C202</v>
      </c>
      <c r="BA456" s="1132" t="str">
        <f t="shared" ref="BA456:BA519" si="374">M456</f>
        <v>Nicor Gas PY11-PY14 Adjustable Goals Template_2025-03-01, Tab 4.8.16</v>
      </c>
      <c r="BB456" s="2505">
        <f>'4.8.16'!$J$5</f>
        <v>10.32</v>
      </c>
      <c r="BC456" s="2505"/>
      <c r="BD456" s="1362">
        <f t="shared" ref="BD456:BD519" si="375">J456*BB456*X456</f>
        <v>290.52864</v>
      </c>
      <c r="BE456" s="1360">
        <f t="shared" ref="BE456:BE519" si="376">BD456-AK456</f>
        <v>0</v>
      </c>
      <c r="BF456" s="1132" t="str">
        <f t="shared" ref="BF456:BF519" si="377">L456</f>
        <v>C202</v>
      </c>
      <c r="BG456" s="1132" t="str">
        <f t="shared" ref="BG456:BG519" si="378">M456</f>
        <v>Nicor Gas PY11-PY14 Adjustable Goals Template_2025-03-01, Tab 4.8.16</v>
      </c>
      <c r="BH456" s="2505">
        <f>'4.8.16'!$J$5</f>
        <v>10.32</v>
      </c>
      <c r="BI456" s="2505"/>
      <c r="BJ456" s="1362">
        <f t="shared" si="349"/>
        <v>290.52864</v>
      </c>
      <c r="BK456" s="1360">
        <f t="shared" ref="BK456:BK519" si="379">BJ456-AL456</f>
        <v>0</v>
      </c>
      <c r="BL456" s="1601">
        <f t="shared" ref="BL456:BL519" si="380">IF($BL$2=2022,IF($E456=1,AR456,AR456),IF($E456=1,AR456,AI456))</f>
        <v>290.52864</v>
      </c>
      <c r="BM456" s="1601">
        <f t="shared" ref="BM456:BM519" si="381">IF($BL$2=2022,IF($E456=1,AX456,AX456),IF($E456=1,AX456,AJ456))</f>
        <v>290.52864</v>
      </c>
      <c r="BN456" s="1601">
        <f t="shared" ref="BN456:BN519" si="382">IF($BL$2=2022,IF($E456=1,BD456,BD456),IF($E456=1,BD456,AK456))</f>
        <v>290.52864</v>
      </c>
      <c r="BO456" s="1601">
        <f t="shared" ref="BO456:BO519" si="383">IF($BL$2=2022,IF($E456=1,BJ456,BJ456),IF($E456=1,BJ456,AL456))</f>
        <v>290.52864</v>
      </c>
      <c r="BP456" s="1602">
        <f t="shared" ref="BP456:BP519" si="384">SUM(BL456:BO456)</f>
        <v>1162.11456</v>
      </c>
      <c r="BQ456" s="1629"/>
      <c r="BR456" s="1629" t="s">
        <v>567</v>
      </c>
      <c r="BS456" s="1602">
        <v>0</v>
      </c>
      <c r="BT456" s="1602">
        <v>10</v>
      </c>
      <c r="BU456" s="1602">
        <v>10</v>
      </c>
      <c r="BV456" s="1602">
        <v>10</v>
      </c>
      <c r="BW456" s="1602">
        <v>10</v>
      </c>
      <c r="BX456" s="1362">
        <f t="shared" si="350"/>
        <v>2905.2864</v>
      </c>
      <c r="BY456" s="1362">
        <f t="shared" si="351"/>
        <v>2905.2864</v>
      </c>
      <c r="BZ456" s="1362">
        <f t="shared" si="352"/>
        <v>2905.2864</v>
      </c>
      <c r="CA456" s="1362">
        <f t="shared" si="353"/>
        <v>2905.2864</v>
      </c>
      <c r="CB456" s="1362">
        <f t="shared" si="354"/>
        <v>11621.1456</v>
      </c>
      <c r="CC456" s="1360">
        <v>10</v>
      </c>
      <c r="CD456" s="1360">
        <v>10</v>
      </c>
      <c r="CE456" s="1360">
        <v>10</v>
      </c>
      <c r="CF456" s="1360">
        <v>10</v>
      </c>
      <c r="CG456" s="1604">
        <f t="shared" ref="CG456:CG519" si="385">H456*V456*AP456*CC456</f>
        <v>2905.2864</v>
      </c>
      <c r="CH456" s="1604">
        <f t="shared" ref="CH456:CH519" si="386">I456*W456*AV456*CD456</f>
        <v>2905.2864</v>
      </c>
      <c r="CI456" s="1604">
        <f t="shared" ref="CI456:CI519" si="387">J456*X456*BB456*CE456</f>
        <v>2905.2864</v>
      </c>
      <c r="CJ456" s="1604">
        <f t="shared" ref="CJ456:CJ519" si="388">K456*Y456*BH456*CF456</f>
        <v>2905.2864</v>
      </c>
      <c r="CK456" s="1521">
        <f t="shared" ref="CK456:CK519" si="389">SUM(CG456:CJ456)</f>
        <v>11621.1456</v>
      </c>
      <c r="CL456" s="1132">
        <v>449</v>
      </c>
      <c r="CM456" s="1132" t="s">
        <v>337</v>
      </c>
      <c r="CN456" s="1359">
        <v>1</v>
      </c>
      <c r="CO456" s="1360">
        <v>27.025919999999996</v>
      </c>
      <c r="CP456" s="1360">
        <v>27.025919999999996</v>
      </c>
      <c r="CQ456" s="1360">
        <v>27.025919999999996</v>
      </c>
      <c r="CR456" s="1360">
        <v>27.025919999999996</v>
      </c>
      <c r="CS456" s="1362">
        <f t="shared" ref="CS456:CS519" si="390">IF($CN456=1,CO456*N456*AE456,BL456)</f>
        <v>278.90749439999996</v>
      </c>
      <c r="CT456" s="1362">
        <f t="shared" ref="CT456:CT519" si="391">IF($CN456=1,CP456*O456*AF456,BM456)</f>
        <v>278.90749439999996</v>
      </c>
      <c r="CU456" s="1362">
        <f t="shared" ref="CU456:CU519" si="392">IF($CN456=1,CQ456*P456*AG456,BN456)</f>
        <v>278.90749439999996</v>
      </c>
      <c r="CV456" s="1362">
        <f t="shared" ref="CV456:CV519" si="393">IF($CN456=1,CR456*Q456*AH456,BO456)</f>
        <v>278.90749439999996</v>
      </c>
      <c r="CW456" s="1362">
        <f t="shared" ref="CW456:CW519" si="394">+SUM(CS456:CV456)</f>
        <v>1115.6299775999998</v>
      </c>
      <c r="CY456" s="2887"/>
    </row>
    <row r="457" spans="1:103" s="1143" customFormat="1" ht="46.5" x14ac:dyDescent="0.35">
      <c r="A457" s="1132" t="s">
        <v>111</v>
      </c>
      <c r="B457" s="1132" t="s">
        <v>111</v>
      </c>
      <c r="C457" s="1132" t="s">
        <v>477</v>
      </c>
      <c r="D457" s="1359" t="s">
        <v>478</v>
      </c>
      <c r="E457" s="1359">
        <v>1</v>
      </c>
      <c r="F457" s="2807" t="s">
        <v>479</v>
      </c>
      <c r="G457" s="1132" t="s">
        <v>356</v>
      </c>
      <c r="H457" s="1360">
        <v>17.747999999999998</v>
      </c>
      <c r="I457" s="1360">
        <v>17.747999999999998</v>
      </c>
      <c r="J457" s="1360">
        <v>17.747999999999998</v>
      </c>
      <c r="K457" s="1360">
        <v>17.747999999999998</v>
      </c>
      <c r="L457" s="1132" t="s">
        <v>480</v>
      </c>
      <c r="M457" s="1132" t="str">
        <f t="shared" si="356"/>
        <v>Nicor Gas PY11-PY14 Adjustable Goals Template_2025-03-01, Tab 4.3.1</v>
      </c>
      <c r="N457" s="1361">
        <v>48.22116686119378</v>
      </c>
      <c r="O457" s="1361">
        <v>48.22116686119378</v>
      </c>
      <c r="P457" s="1361">
        <v>48.22116686119378</v>
      </c>
      <c r="Q457" s="1361">
        <v>48.22116686119378</v>
      </c>
      <c r="R457" s="1781">
        <v>1</v>
      </c>
      <c r="S457" s="1781">
        <v>1</v>
      </c>
      <c r="T457" s="1781">
        <v>1</v>
      </c>
      <c r="U457" s="1781">
        <v>1</v>
      </c>
      <c r="V457" s="1781">
        <v>1</v>
      </c>
      <c r="W457" s="1781">
        <v>1</v>
      </c>
      <c r="X457" s="1781">
        <v>1</v>
      </c>
      <c r="Y457" s="1781">
        <v>1</v>
      </c>
      <c r="Z457" s="1359">
        <v>0</v>
      </c>
      <c r="AA457" s="1781">
        <f t="shared" si="357"/>
        <v>1</v>
      </c>
      <c r="AB457" s="1781">
        <f t="shared" si="358"/>
        <v>1</v>
      </c>
      <c r="AC457" s="1781">
        <f t="shared" si="359"/>
        <v>1</v>
      </c>
      <c r="AD457" s="1781">
        <f t="shared" si="360"/>
        <v>1</v>
      </c>
      <c r="AE457" s="1781">
        <f t="shared" si="361"/>
        <v>1</v>
      </c>
      <c r="AF457" s="1781">
        <f t="shared" si="362"/>
        <v>1</v>
      </c>
      <c r="AG457" s="1781">
        <f t="shared" si="363"/>
        <v>1</v>
      </c>
      <c r="AH457" s="1781">
        <f t="shared" si="364"/>
        <v>1</v>
      </c>
      <c r="AI457" s="1362">
        <f t="shared" ref="AI457:AI520" si="395">H457*N457*R457</f>
        <v>855.82926945246709</v>
      </c>
      <c r="AJ457" s="1362">
        <f t="shared" ref="AJ457:AJ520" si="396">I457*O457*S457</f>
        <v>855.82926945246709</v>
      </c>
      <c r="AK457" s="1362">
        <f t="shared" ref="AK457:AK520" si="397">J457*P457*T457</f>
        <v>855.82926945246709</v>
      </c>
      <c r="AL457" s="1362">
        <f t="shared" ref="AL457:AL520" si="398">K457*Q457*U457</f>
        <v>855.82926945246709</v>
      </c>
      <c r="AM457" s="1362">
        <f t="shared" ref="AM457:AM520" si="399">SUM(AI457:AL457)</f>
        <v>3423.3170778098684</v>
      </c>
      <c r="AN457" s="1132" t="str">
        <f t="shared" si="365"/>
        <v>CI-HW_-HWE-V03-190101</v>
      </c>
      <c r="AO457" s="1132" t="str">
        <f t="shared" si="366"/>
        <v>Nicor Gas PY11-PY14 Adjustable Goals Template_2025-03-01, Tab 4.3.1</v>
      </c>
      <c r="AP457" s="2568">
        <f>'4.3.1'!$Q$4</f>
        <v>50.462432363192917</v>
      </c>
      <c r="AQ457" s="2568" t="s">
        <v>481</v>
      </c>
      <c r="AR457" s="2505">
        <f t="shared" si="367"/>
        <v>895.60724958194783</v>
      </c>
      <c r="AS457" s="2505">
        <f t="shared" si="368"/>
        <v>39.777980129480738</v>
      </c>
      <c r="AT457" s="1132" t="str">
        <f t="shared" si="369"/>
        <v>CI-HW_-HWE-V03-190101</v>
      </c>
      <c r="AU457" s="1132" t="str">
        <f t="shared" si="370"/>
        <v>Nicor Gas PY11-PY14 Adjustable Goals Template_2025-03-01, Tab 4.3.1</v>
      </c>
      <c r="AV457" s="2505">
        <f>'4.3.1'!$Q$4</f>
        <v>50.462432363192917</v>
      </c>
      <c r="AW457" s="2568" t="s">
        <v>481</v>
      </c>
      <c r="AX457" s="1362">
        <f t="shared" si="371"/>
        <v>895.60724958194783</v>
      </c>
      <c r="AY457" s="1360">
        <f t="shared" si="372"/>
        <v>39.777980129480738</v>
      </c>
      <c r="AZ457" s="1132" t="str">
        <f t="shared" si="373"/>
        <v>CI-HW_-HWE-V03-190101</v>
      </c>
      <c r="BA457" s="1132" t="str">
        <f t="shared" si="374"/>
        <v>Nicor Gas PY11-PY14 Adjustable Goals Template_2025-03-01, Tab 4.3.1</v>
      </c>
      <c r="BB457" s="2505">
        <f>'4.3.1'!$Q$4</f>
        <v>50.462432363192917</v>
      </c>
      <c r="BC457" s="2568" t="s">
        <v>481</v>
      </c>
      <c r="BD457" s="1362">
        <f t="shared" si="375"/>
        <v>895.60724958194783</v>
      </c>
      <c r="BE457" s="1360">
        <f t="shared" si="376"/>
        <v>39.777980129480738</v>
      </c>
      <c r="BF457" s="1132" t="str">
        <f t="shared" si="377"/>
        <v>CI-HW_-HWE-V03-190101</v>
      </c>
      <c r="BG457" s="1132" t="str">
        <f t="shared" si="378"/>
        <v>Nicor Gas PY11-PY14 Adjustable Goals Template_2025-03-01, Tab 4.3.1</v>
      </c>
      <c r="BH457" s="2505">
        <f>'4.3.1'!$Q$4</f>
        <v>50.462432363192917</v>
      </c>
      <c r="BI457" s="2568" t="s">
        <v>481</v>
      </c>
      <c r="BJ457" s="1362">
        <f t="shared" ref="BJ457:BJ520" si="400">K457*BH457*Y457</f>
        <v>895.60724958194783</v>
      </c>
      <c r="BK457" s="1360">
        <f t="shared" si="379"/>
        <v>39.777980129480738</v>
      </c>
      <c r="BL457" s="1601">
        <f t="shared" si="380"/>
        <v>895.60724958194783</v>
      </c>
      <c r="BM457" s="1601">
        <f t="shared" si="381"/>
        <v>895.60724958194783</v>
      </c>
      <c r="BN457" s="1601">
        <f t="shared" si="382"/>
        <v>895.60724958194783</v>
      </c>
      <c r="BO457" s="1601">
        <f t="shared" si="383"/>
        <v>895.60724958194783</v>
      </c>
      <c r="BP457" s="1602">
        <f t="shared" si="384"/>
        <v>3582.4289983277913</v>
      </c>
      <c r="BQ457" s="1629"/>
      <c r="BR457" s="1629" t="s">
        <v>479</v>
      </c>
      <c r="BS457" s="1602">
        <v>0</v>
      </c>
      <c r="BT457" s="1602">
        <v>15</v>
      </c>
      <c r="BU457" s="1602">
        <v>15</v>
      </c>
      <c r="BV457" s="1602">
        <v>15</v>
      </c>
      <c r="BW457" s="1602">
        <v>15</v>
      </c>
      <c r="BX457" s="1362">
        <f t="shared" ref="BX457:BX520" si="401">H457*N457*R457*BT457</f>
        <v>12837.439041787005</v>
      </c>
      <c r="BY457" s="1362">
        <f t="shared" ref="BY457:BY520" si="402">I457*O457*S457*BU457</f>
        <v>12837.439041787005</v>
      </c>
      <c r="BZ457" s="1362">
        <f t="shared" ref="BZ457:BZ520" si="403">J457*P457*T457*BV457</f>
        <v>12837.439041787005</v>
      </c>
      <c r="CA457" s="1362">
        <f t="shared" ref="CA457:CA520" si="404">K457*Q457*U457*BW457</f>
        <v>12837.439041787005</v>
      </c>
      <c r="CB457" s="1362">
        <f t="shared" ref="CB457:CB520" si="405">SUM(BX457:CA457)</f>
        <v>51349.756167148022</v>
      </c>
      <c r="CC457" s="1360">
        <v>15</v>
      </c>
      <c r="CD457" s="1360">
        <v>15</v>
      </c>
      <c r="CE457" s="1360">
        <v>15</v>
      </c>
      <c r="CF457" s="1360">
        <v>15</v>
      </c>
      <c r="CG457" s="1604">
        <f t="shared" si="385"/>
        <v>13434.108743729217</v>
      </c>
      <c r="CH457" s="1604">
        <f t="shared" si="386"/>
        <v>13434.108743729217</v>
      </c>
      <c r="CI457" s="1604">
        <f t="shared" si="387"/>
        <v>13434.108743729217</v>
      </c>
      <c r="CJ457" s="1604">
        <f t="shared" si="388"/>
        <v>13434.108743729217</v>
      </c>
      <c r="CK457" s="1521">
        <f t="shared" si="389"/>
        <v>53736.434974916869</v>
      </c>
      <c r="CL457" s="1132">
        <v>450</v>
      </c>
      <c r="CM457" s="1132" t="s">
        <v>356</v>
      </c>
      <c r="CN457" s="1359">
        <v>1</v>
      </c>
      <c r="CO457" s="1360">
        <v>17.038079999999997</v>
      </c>
      <c r="CP457" s="1360">
        <v>17.038079999999997</v>
      </c>
      <c r="CQ457" s="1360">
        <v>17.038079999999997</v>
      </c>
      <c r="CR457" s="1360">
        <v>17.038079999999997</v>
      </c>
      <c r="CS457" s="1362">
        <f t="shared" si="390"/>
        <v>821.59609867436836</v>
      </c>
      <c r="CT457" s="1362">
        <f t="shared" si="391"/>
        <v>821.59609867436836</v>
      </c>
      <c r="CU457" s="1362">
        <f t="shared" si="392"/>
        <v>821.59609867436836</v>
      </c>
      <c r="CV457" s="1362">
        <f t="shared" si="393"/>
        <v>821.59609867436836</v>
      </c>
      <c r="CW457" s="1362">
        <f t="shared" si="394"/>
        <v>3286.3843946974735</v>
      </c>
      <c r="CY457" s="2887"/>
    </row>
    <row r="458" spans="1:103" s="1143" customFormat="1" ht="46.5" x14ac:dyDescent="0.35">
      <c r="A458" s="1132" t="s">
        <v>111</v>
      </c>
      <c r="B458" s="1132" t="s">
        <v>111</v>
      </c>
      <c r="C458" s="1132" t="s">
        <v>770</v>
      </c>
      <c r="D458" s="1359" t="s">
        <v>771</v>
      </c>
      <c r="E458" s="1359">
        <v>1</v>
      </c>
      <c r="F458" s="2807" t="s">
        <v>772</v>
      </c>
      <c r="G458" s="1132" t="s">
        <v>356</v>
      </c>
      <c r="H458" s="1360">
        <v>2.448</v>
      </c>
      <c r="I458" s="1360">
        <v>2.448</v>
      </c>
      <c r="J458" s="1360">
        <v>2.448</v>
      </c>
      <c r="K458" s="1360">
        <v>2.448</v>
      </c>
      <c r="L458" s="1132" t="s">
        <v>773</v>
      </c>
      <c r="M458" s="1132" t="str">
        <f t="shared" si="356"/>
        <v>Nicor Gas PY11-PY14 Adjustable Goals Template_2025-03-01, Tab 5.4.11</v>
      </c>
      <c r="N458" s="1361">
        <v>93.772701509759997</v>
      </c>
      <c r="O458" s="1361">
        <v>93.772701509759997</v>
      </c>
      <c r="P458" s="1361">
        <v>93.772701509759997</v>
      </c>
      <c r="Q458" s="1361">
        <v>93.772701509759997</v>
      </c>
      <c r="R458" s="1781">
        <v>1</v>
      </c>
      <c r="S458" s="1781">
        <v>1</v>
      </c>
      <c r="T458" s="1781">
        <v>1</v>
      </c>
      <c r="U458" s="1781">
        <v>1</v>
      </c>
      <c r="V458" s="1781">
        <v>1</v>
      </c>
      <c r="W458" s="1781">
        <v>1</v>
      </c>
      <c r="X458" s="1781">
        <v>1</v>
      </c>
      <c r="Y458" s="1781">
        <v>1</v>
      </c>
      <c r="Z458" s="1359">
        <v>0</v>
      </c>
      <c r="AA458" s="1781">
        <f t="shared" si="357"/>
        <v>1</v>
      </c>
      <c r="AB458" s="1781">
        <f t="shared" si="358"/>
        <v>1</v>
      </c>
      <c r="AC458" s="1781">
        <f t="shared" si="359"/>
        <v>1</v>
      </c>
      <c r="AD458" s="1781">
        <f t="shared" si="360"/>
        <v>1</v>
      </c>
      <c r="AE458" s="1781">
        <f t="shared" si="361"/>
        <v>1</v>
      </c>
      <c r="AF458" s="1781">
        <f t="shared" si="362"/>
        <v>1</v>
      </c>
      <c r="AG458" s="1781">
        <f t="shared" si="363"/>
        <v>1</v>
      </c>
      <c r="AH458" s="1781">
        <f t="shared" si="364"/>
        <v>1</v>
      </c>
      <c r="AI458" s="1362">
        <f t="shared" si="395"/>
        <v>229.55557329589246</v>
      </c>
      <c r="AJ458" s="1362">
        <f t="shared" si="396"/>
        <v>229.55557329589246</v>
      </c>
      <c r="AK458" s="1362">
        <f t="shared" si="397"/>
        <v>229.55557329589246</v>
      </c>
      <c r="AL458" s="1362">
        <f t="shared" si="398"/>
        <v>229.55557329589246</v>
      </c>
      <c r="AM458" s="1362">
        <f t="shared" si="399"/>
        <v>918.22229318356983</v>
      </c>
      <c r="AN458" s="1132" t="str">
        <f t="shared" si="365"/>
        <v>RS-DHW-DWHR-V01-210101</v>
      </c>
      <c r="AO458" s="1132" t="str">
        <f t="shared" si="366"/>
        <v>Nicor Gas PY11-PY14 Adjustable Goals Template_2025-03-01, Tab 5.4.11</v>
      </c>
      <c r="AP458" s="2738">
        <f>'5.4.11'!$P$4</f>
        <v>100.57072251473197</v>
      </c>
      <c r="AQ458" s="2568" t="s">
        <v>481</v>
      </c>
      <c r="AR458" s="2505">
        <f t="shared" si="367"/>
        <v>246.19712871606384</v>
      </c>
      <c r="AS458" s="2505">
        <f t="shared" si="368"/>
        <v>16.641555420171386</v>
      </c>
      <c r="AT458" s="1132" t="str">
        <f t="shared" si="369"/>
        <v>RS-DHW-DWHR-V01-210101</v>
      </c>
      <c r="AU458" s="1132" t="str">
        <f t="shared" si="370"/>
        <v>Nicor Gas PY11-PY14 Adjustable Goals Template_2025-03-01, Tab 5.4.11</v>
      </c>
      <c r="AV458" s="2247">
        <f>'5.4.11'!$P$4</f>
        <v>100.57072251473197</v>
      </c>
      <c r="AW458" s="2568" t="s">
        <v>481</v>
      </c>
      <c r="AX458" s="1362">
        <f t="shared" si="371"/>
        <v>246.19712871606384</v>
      </c>
      <c r="AY458" s="1360">
        <f t="shared" si="372"/>
        <v>16.641555420171386</v>
      </c>
      <c r="AZ458" s="1132" t="str">
        <f t="shared" si="373"/>
        <v>RS-DHW-DWHR-V01-210101</v>
      </c>
      <c r="BA458" s="1132" t="str">
        <f t="shared" si="374"/>
        <v>Nicor Gas PY11-PY14 Adjustable Goals Template_2025-03-01, Tab 5.4.11</v>
      </c>
      <c r="BB458" s="2247">
        <f>'5.4.11'!$P$4</f>
        <v>100.57072251473197</v>
      </c>
      <c r="BC458" s="2568" t="s">
        <v>481</v>
      </c>
      <c r="BD458" s="1362">
        <f t="shared" si="375"/>
        <v>246.19712871606384</v>
      </c>
      <c r="BE458" s="1360">
        <f t="shared" si="376"/>
        <v>16.641555420171386</v>
      </c>
      <c r="BF458" s="1132" t="str">
        <f t="shared" si="377"/>
        <v>RS-DHW-DWHR-V01-210101</v>
      </c>
      <c r="BG458" s="1132" t="str">
        <f t="shared" si="378"/>
        <v>Nicor Gas PY11-PY14 Adjustable Goals Template_2025-03-01, Tab 5.4.11</v>
      </c>
      <c r="BH458" s="2247">
        <f>'5.4.11'!$P$4</f>
        <v>100.57072251473197</v>
      </c>
      <c r="BI458" s="2568" t="s">
        <v>481</v>
      </c>
      <c r="BJ458" s="1362">
        <f t="shared" si="400"/>
        <v>246.19712871606384</v>
      </c>
      <c r="BK458" s="1360">
        <f t="shared" si="379"/>
        <v>16.641555420171386</v>
      </c>
      <c r="BL458" s="1601">
        <f t="shared" si="380"/>
        <v>246.19712871606384</v>
      </c>
      <c r="BM458" s="1601">
        <f t="shared" si="381"/>
        <v>246.19712871606384</v>
      </c>
      <c r="BN458" s="1601">
        <f t="shared" si="382"/>
        <v>246.19712871606384</v>
      </c>
      <c r="BO458" s="1601">
        <f t="shared" si="383"/>
        <v>246.19712871606384</v>
      </c>
      <c r="BP458" s="1602">
        <f t="shared" si="384"/>
        <v>984.78851486425538</v>
      </c>
      <c r="BQ458" s="1629"/>
      <c r="BR458" s="1629" t="s">
        <v>772</v>
      </c>
      <c r="BS458" s="1602">
        <v>0</v>
      </c>
      <c r="BT458" s="1602">
        <v>30</v>
      </c>
      <c r="BU458" s="1602">
        <v>30</v>
      </c>
      <c r="BV458" s="1602">
        <v>30</v>
      </c>
      <c r="BW458" s="1602">
        <v>30</v>
      </c>
      <c r="BX458" s="1362">
        <f t="shared" si="401"/>
        <v>6886.6671988767739</v>
      </c>
      <c r="BY458" s="1362">
        <f t="shared" si="402"/>
        <v>6886.6671988767739</v>
      </c>
      <c r="BZ458" s="1362">
        <f t="shared" si="403"/>
        <v>6886.6671988767739</v>
      </c>
      <c r="CA458" s="1362">
        <f t="shared" si="404"/>
        <v>6886.6671988767739</v>
      </c>
      <c r="CB458" s="1362">
        <f t="shared" si="405"/>
        <v>27546.668795507096</v>
      </c>
      <c r="CC458" s="1360">
        <v>30</v>
      </c>
      <c r="CD458" s="1360">
        <v>30</v>
      </c>
      <c r="CE458" s="1360">
        <v>30</v>
      </c>
      <c r="CF458" s="1360">
        <v>30</v>
      </c>
      <c r="CG458" s="1604">
        <f t="shared" si="385"/>
        <v>7385.9138614819149</v>
      </c>
      <c r="CH458" s="1604">
        <f t="shared" si="386"/>
        <v>7385.9138614819149</v>
      </c>
      <c r="CI458" s="1604">
        <f t="shared" si="387"/>
        <v>7385.9138614819149</v>
      </c>
      <c r="CJ458" s="1604">
        <f t="shared" si="388"/>
        <v>7385.9138614819149</v>
      </c>
      <c r="CK458" s="1521">
        <f t="shared" si="389"/>
        <v>29543.655445927659</v>
      </c>
      <c r="CL458" s="1132">
        <v>451</v>
      </c>
      <c r="CM458" s="1132" t="s">
        <v>356</v>
      </c>
      <c r="CN458" s="1359">
        <v>1</v>
      </c>
      <c r="CO458" s="1360">
        <v>2.3500799999999997</v>
      </c>
      <c r="CP458" s="1360">
        <v>2.3500799999999997</v>
      </c>
      <c r="CQ458" s="1360">
        <v>2.3500799999999997</v>
      </c>
      <c r="CR458" s="1360">
        <v>2.3500799999999997</v>
      </c>
      <c r="CS458" s="1362">
        <f t="shared" si="390"/>
        <v>220.37335036405676</v>
      </c>
      <c r="CT458" s="1362">
        <f t="shared" si="391"/>
        <v>220.37335036405676</v>
      </c>
      <c r="CU458" s="1362">
        <f t="shared" si="392"/>
        <v>220.37335036405676</v>
      </c>
      <c r="CV458" s="1362">
        <f t="shared" si="393"/>
        <v>220.37335036405676</v>
      </c>
      <c r="CW458" s="1362">
        <f t="shared" si="394"/>
        <v>881.49340145622705</v>
      </c>
      <c r="CY458" s="2887"/>
    </row>
    <row r="459" spans="1:103" s="1143" customFormat="1" ht="46.5" x14ac:dyDescent="0.35">
      <c r="A459" s="1132" t="s">
        <v>111</v>
      </c>
      <c r="B459" s="1132" t="s">
        <v>111</v>
      </c>
      <c r="C459" s="1132" t="s">
        <v>581</v>
      </c>
      <c r="D459" s="1359" t="s">
        <v>582</v>
      </c>
      <c r="E459" s="1359">
        <v>1</v>
      </c>
      <c r="F459" s="2564" t="s">
        <v>583</v>
      </c>
      <c r="G459" s="1132" t="s">
        <v>328</v>
      </c>
      <c r="H459" s="1360">
        <v>1.224</v>
      </c>
      <c r="I459" s="1360">
        <v>1.224</v>
      </c>
      <c r="J459" s="1360">
        <v>1.224</v>
      </c>
      <c r="K459" s="1360">
        <v>1.224</v>
      </c>
      <c r="L459" s="1132" t="s">
        <v>584</v>
      </c>
      <c r="M459" s="1132" t="str">
        <f t="shared" si="356"/>
        <v>Nicor Gas PY11-PY14 Adjustable Goals Template_2025-03-01, Tab 4.4.49</v>
      </c>
      <c r="N459" s="1361">
        <v>288.1875</v>
      </c>
      <c r="O459" s="1361">
        <v>288.1875</v>
      </c>
      <c r="P459" s="1361">
        <v>288.1875</v>
      </c>
      <c r="Q459" s="1361">
        <v>288.1875</v>
      </c>
      <c r="R459" s="1781">
        <v>1</v>
      </c>
      <c r="S459" s="1781">
        <v>1</v>
      </c>
      <c r="T459" s="1781">
        <v>1</v>
      </c>
      <c r="U459" s="1781">
        <v>1</v>
      </c>
      <c r="V459" s="1781">
        <v>1</v>
      </c>
      <c r="W459" s="1781">
        <v>1</v>
      </c>
      <c r="X459" s="1781">
        <v>1</v>
      </c>
      <c r="Y459" s="1781">
        <v>1</v>
      </c>
      <c r="Z459" s="1359">
        <v>0</v>
      </c>
      <c r="AA459" s="1781">
        <f t="shared" si="357"/>
        <v>1</v>
      </c>
      <c r="AB459" s="1781">
        <f t="shared" si="358"/>
        <v>1</v>
      </c>
      <c r="AC459" s="1781">
        <f t="shared" si="359"/>
        <v>1</v>
      </c>
      <c r="AD459" s="1781">
        <f t="shared" si="360"/>
        <v>1</v>
      </c>
      <c r="AE459" s="1781">
        <f t="shared" si="361"/>
        <v>1</v>
      </c>
      <c r="AF459" s="1781">
        <f t="shared" si="362"/>
        <v>1</v>
      </c>
      <c r="AG459" s="1781">
        <f t="shared" si="363"/>
        <v>1</v>
      </c>
      <c r="AH459" s="1781">
        <f t="shared" si="364"/>
        <v>1</v>
      </c>
      <c r="AI459" s="1362">
        <f t="shared" si="395"/>
        <v>352.74149999999997</v>
      </c>
      <c r="AJ459" s="1362">
        <f t="shared" si="396"/>
        <v>352.74149999999997</v>
      </c>
      <c r="AK459" s="1362">
        <f t="shared" si="397"/>
        <v>352.74149999999997</v>
      </c>
      <c r="AL459" s="1362">
        <f t="shared" si="398"/>
        <v>352.74149999999997</v>
      </c>
      <c r="AM459" s="1362">
        <f t="shared" si="399"/>
        <v>1410.9659999999999</v>
      </c>
      <c r="AN459" s="1132" t="str">
        <f t="shared" si="365"/>
        <v>CI-HVC-BCHD-V01-210101</v>
      </c>
      <c r="AO459" s="1132" t="str">
        <f t="shared" si="366"/>
        <v>Nicor Gas PY11-PY14 Adjustable Goals Template_2025-03-01, Tab 4.4.49</v>
      </c>
      <c r="AP459" s="2505">
        <f>'4.4.49'!$Q$4</f>
        <v>288.1875</v>
      </c>
      <c r="AQ459" s="2505"/>
      <c r="AR459" s="2505">
        <f t="shared" si="367"/>
        <v>352.74149999999997</v>
      </c>
      <c r="AS459" s="2505">
        <f t="shared" si="368"/>
        <v>0</v>
      </c>
      <c r="AT459" s="1132" t="str">
        <f t="shared" si="369"/>
        <v>CI-HVC-BCHD-V01-210101</v>
      </c>
      <c r="AU459" s="1132" t="str">
        <f t="shared" si="370"/>
        <v>Nicor Gas PY11-PY14 Adjustable Goals Template_2025-03-01, Tab 4.4.49</v>
      </c>
      <c r="AV459" s="2505">
        <f>'4.4.49'!$Q$4</f>
        <v>288.1875</v>
      </c>
      <c r="AW459" s="2505"/>
      <c r="AX459" s="1362">
        <f t="shared" si="371"/>
        <v>352.74149999999997</v>
      </c>
      <c r="AY459" s="1360">
        <f t="shared" si="372"/>
        <v>0</v>
      </c>
      <c r="AZ459" s="1132" t="str">
        <f t="shared" si="373"/>
        <v>CI-HVC-BCHD-V01-210101</v>
      </c>
      <c r="BA459" s="1132" t="str">
        <f t="shared" si="374"/>
        <v>Nicor Gas PY11-PY14 Adjustable Goals Template_2025-03-01, Tab 4.4.49</v>
      </c>
      <c r="BB459" s="2505">
        <f>'4.4.49'!$Q$4</f>
        <v>288.1875</v>
      </c>
      <c r="BC459" s="2505"/>
      <c r="BD459" s="1362">
        <f t="shared" si="375"/>
        <v>352.74149999999997</v>
      </c>
      <c r="BE459" s="1360">
        <f t="shared" si="376"/>
        <v>0</v>
      </c>
      <c r="BF459" s="1132" t="str">
        <f t="shared" si="377"/>
        <v>CI-HVC-BCHD-V01-210101</v>
      </c>
      <c r="BG459" s="1132" t="str">
        <f t="shared" si="378"/>
        <v>Nicor Gas PY11-PY14 Adjustable Goals Template_2025-03-01, Tab 4.4.49</v>
      </c>
      <c r="BH459" s="2505">
        <f>'4.4.49'!$Q$4</f>
        <v>288.1875</v>
      </c>
      <c r="BI459" s="2505"/>
      <c r="BJ459" s="1362">
        <f t="shared" si="400"/>
        <v>352.74149999999997</v>
      </c>
      <c r="BK459" s="1360">
        <f t="shared" si="379"/>
        <v>0</v>
      </c>
      <c r="BL459" s="1601">
        <f t="shared" si="380"/>
        <v>352.74149999999997</v>
      </c>
      <c r="BM459" s="1601">
        <f t="shared" si="381"/>
        <v>352.74149999999997</v>
      </c>
      <c r="BN459" s="1601">
        <f t="shared" si="382"/>
        <v>352.74149999999997</v>
      </c>
      <c r="BO459" s="1601">
        <f t="shared" si="383"/>
        <v>352.74149999999997</v>
      </c>
      <c r="BP459" s="1602">
        <f t="shared" si="384"/>
        <v>1410.9659999999999</v>
      </c>
      <c r="BQ459" s="1629"/>
      <c r="BR459" s="1629" t="s">
        <v>583</v>
      </c>
      <c r="BS459" s="1602">
        <v>0</v>
      </c>
      <c r="BT459" s="1602">
        <v>2</v>
      </c>
      <c r="BU459" s="1602">
        <v>2</v>
      </c>
      <c r="BV459" s="1602">
        <v>2</v>
      </c>
      <c r="BW459" s="1602">
        <v>2</v>
      </c>
      <c r="BX459" s="1362">
        <f t="shared" si="401"/>
        <v>705.48299999999995</v>
      </c>
      <c r="BY459" s="1362">
        <f t="shared" si="402"/>
        <v>705.48299999999995</v>
      </c>
      <c r="BZ459" s="1362">
        <f t="shared" si="403"/>
        <v>705.48299999999995</v>
      </c>
      <c r="CA459" s="1362">
        <f t="shared" si="404"/>
        <v>705.48299999999995</v>
      </c>
      <c r="CB459" s="1362">
        <f t="shared" si="405"/>
        <v>2821.9319999999998</v>
      </c>
      <c r="CC459" s="1360">
        <v>2</v>
      </c>
      <c r="CD459" s="1360">
        <v>2</v>
      </c>
      <c r="CE459" s="1360">
        <v>2</v>
      </c>
      <c r="CF459" s="1360">
        <v>2</v>
      </c>
      <c r="CG459" s="1604">
        <f t="shared" si="385"/>
        <v>705.48299999999995</v>
      </c>
      <c r="CH459" s="1604">
        <f t="shared" si="386"/>
        <v>705.48299999999995</v>
      </c>
      <c r="CI459" s="1604">
        <f t="shared" si="387"/>
        <v>705.48299999999995</v>
      </c>
      <c r="CJ459" s="1604">
        <f t="shared" si="388"/>
        <v>705.48299999999995</v>
      </c>
      <c r="CK459" s="1521">
        <f t="shared" si="389"/>
        <v>2821.9319999999998</v>
      </c>
      <c r="CL459" s="1132">
        <v>452</v>
      </c>
      <c r="CM459" s="1132" t="s">
        <v>328</v>
      </c>
      <c r="CN459" s="1359">
        <v>1</v>
      </c>
      <c r="CO459" s="1360">
        <v>1.1750399999999999</v>
      </c>
      <c r="CP459" s="1360">
        <v>1.1750399999999999</v>
      </c>
      <c r="CQ459" s="1360">
        <v>1.1750399999999999</v>
      </c>
      <c r="CR459" s="1360">
        <v>1.1750399999999999</v>
      </c>
      <c r="CS459" s="1362">
        <f t="shared" si="390"/>
        <v>338.63183999999995</v>
      </c>
      <c r="CT459" s="1362">
        <f t="shared" si="391"/>
        <v>338.63183999999995</v>
      </c>
      <c r="CU459" s="1362">
        <f t="shared" si="392"/>
        <v>338.63183999999995</v>
      </c>
      <c r="CV459" s="1362">
        <f t="shared" si="393"/>
        <v>338.63183999999995</v>
      </c>
      <c r="CW459" s="1362">
        <f t="shared" si="394"/>
        <v>1354.5273599999998</v>
      </c>
      <c r="CY459" s="2887"/>
    </row>
    <row r="460" spans="1:103" s="1143" customFormat="1" ht="30" customHeight="1" x14ac:dyDescent="0.35">
      <c r="A460" s="1132" t="s">
        <v>111</v>
      </c>
      <c r="B460" s="1132" t="s">
        <v>111</v>
      </c>
      <c r="C460" s="1132" t="s">
        <v>774</v>
      </c>
      <c r="D460" s="1359" t="s">
        <v>775</v>
      </c>
      <c r="E460" s="1359">
        <v>1</v>
      </c>
      <c r="F460" s="2564" t="s">
        <v>776</v>
      </c>
      <c r="G460" s="1132" t="s">
        <v>356</v>
      </c>
      <c r="H460" s="1360">
        <v>6.12</v>
      </c>
      <c r="I460" s="1360">
        <v>6.12</v>
      </c>
      <c r="J460" s="1360">
        <v>6.12</v>
      </c>
      <c r="K460" s="1360">
        <v>6.12</v>
      </c>
      <c r="L460" s="1132" t="s">
        <v>777</v>
      </c>
      <c r="M460" s="1132" t="str">
        <f t="shared" si="356"/>
        <v>Nicor Gas PY11-PY14 Adjustable Goals Template_2025-03-01, Tab 5.3.19</v>
      </c>
      <c r="N460" s="1361">
        <v>21.68</v>
      </c>
      <c r="O460" s="1361">
        <v>21.68</v>
      </c>
      <c r="P460" s="1361">
        <v>21.68</v>
      </c>
      <c r="Q460" s="1361">
        <v>21.68</v>
      </c>
      <c r="R460" s="1781">
        <v>1</v>
      </c>
      <c r="S460" s="1781">
        <v>1</v>
      </c>
      <c r="T460" s="1781">
        <v>1</v>
      </c>
      <c r="U460" s="1781">
        <v>1</v>
      </c>
      <c r="V460" s="1781">
        <v>1</v>
      </c>
      <c r="W460" s="1781">
        <v>1</v>
      </c>
      <c r="X460" s="1781">
        <v>1</v>
      </c>
      <c r="Y460" s="1781">
        <v>1</v>
      </c>
      <c r="Z460" s="1359">
        <v>0</v>
      </c>
      <c r="AA460" s="1781">
        <f t="shared" si="357"/>
        <v>1</v>
      </c>
      <c r="AB460" s="1781">
        <f t="shared" si="358"/>
        <v>1</v>
      </c>
      <c r="AC460" s="1781">
        <f t="shared" si="359"/>
        <v>1</v>
      </c>
      <c r="AD460" s="1781">
        <f t="shared" si="360"/>
        <v>1</v>
      </c>
      <c r="AE460" s="1781">
        <f t="shared" si="361"/>
        <v>1</v>
      </c>
      <c r="AF460" s="1781">
        <f t="shared" si="362"/>
        <v>1</v>
      </c>
      <c r="AG460" s="1781">
        <f t="shared" si="363"/>
        <v>1</v>
      </c>
      <c r="AH460" s="1781">
        <f t="shared" si="364"/>
        <v>1</v>
      </c>
      <c r="AI460" s="1362">
        <f t="shared" si="395"/>
        <v>132.6816</v>
      </c>
      <c r="AJ460" s="1362">
        <f t="shared" si="396"/>
        <v>132.6816</v>
      </c>
      <c r="AK460" s="1362">
        <f t="shared" si="397"/>
        <v>132.6816</v>
      </c>
      <c r="AL460" s="1362">
        <f t="shared" si="398"/>
        <v>132.6816</v>
      </c>
      <c r="AM460" s="1362">
        <f t="shared" si="399"/>
        <v>530.72640000000001</v>
      </c>
      <c r="AN460" s="1132" t="str">
        <f t="shared" si="365"/>
        <v>RS-HVC-TRVS-V01-210101</v>
      </c>
      <c r="AO460" s="1132" t="str">
        <f t="shared" si="366"/>
        <v>Nicor Gas PY11-PY14 Adjustable Goals Template_2025-03-01, Tab 5.3.19</v>
      </c>
      <c r="AP460" s="2505">
        <f>'5.3.19'!$O$4</f>
        <v>21.68</v>
      </c>
      <c r="AQ460" s="2505"/>
      <c r="AR460" s="2505">
        <f t="shared" si="367"/>
        <v>132.6816</v>
      </c>
      <c r="AS460" s="2505">
        <f t="shared" si="368"/>
        <v>0</v>
      </c>
      <c r="AT460" s="1132" t="str">
        <f t="shared" si="369"/>
        <v>RS-HVC-TRVS-V01-210101</v>
      </c>
      <c r="AU460" s="1132" t="str">
        <f t="shared" si="370"/>
        <v>Nicor Gas PY11-PY14 Adjustable Goals Template_2025-03-01, Tab 5.3.19</v>
      </c>
      <c r="AV460" s="2505">
        <f>'5.3.19'!$O$4</f>
        <v>21.68</v>
      </c>
      <c r="AW460" s="2505"/>
      <c r="AX460" s="1362">
        <f t="shared" si="371"/>
        <v>132.6816</v>
      </c>
      <c r="AY460" s="1360">
        <f t="shared" si="372"/>
        <v>0</v>
      </c>
      <c r="AZ460" s="1132" t="str">
        <f t="shared" si="373"/>
        <v>RS-HVC-TRVS-V01-210101</v>
      </c>
      <c r="BA460" s="1132" t="str">
        <f t="shared" si="374"/>
        <v>Nicor Gas PY11-PY14 Adjustable Goals Template_2025-03-01, Tab 5.3.19</v>
      </c>
      <c r="BB460" s="2505">
        <f>'5.3.19'!$O$4</f>
        <v>21.68</v>
      </c>
      <c r="BC460" s="2505"/>
      <c r="BD460" s="1362">
        <f t="shared" si="375"/>
        <v>132.6816</v>
      </c>
      <c r="BE460" s="1360">
        <f t="shared" si="376"/>
        <v>0</v>
      </c>
      <c r="BF460" s="1132" t="str">
        <f t="shared" si="377"/>
        <v>RS-HVC-TRVS-V01-210101</v>
      </c>
      <c r="BG460" s="1132" t="str">
        <f t="shared" si="378"/>
        <v>Nicor Gas PY11-PY14 Adjustable Goals Template_2025-03-01, Tab 5.3.19</v>
      </c>
      <c r="BH460" s="2505">
        <f>'5.3.19'!$O$4</f>
        <v>21.68</v>
      </c>
      <c r="BI460" s="2505"/>
      <c r="BJ460" s="1362">
        <f t="shared" si="400"/>
        <v>132.6816</v>
      </c>
      <c r="BK460" s="1360">
        <f t="shared" si="379"/>
        <v>0</v>
      </c>
      <c r="BL460" s="1601">
        <f t="shared" si="380"/>
        <v>132.6816</v>
      </c>
      <c r="BM460" s="1601">
        <f t="shared" si="381"/>
        <v>132.6816</v>
      </c>
      <c r="BN460" s="1601">
        <f t="shared" si="382"/>
        <v>132.6816</v>
      </c>
      <c r="BO460" s="1601">
        <f t="shared" si="383"/>
        <v>132.6816</v>
      </c>
      <c r="BP460" s="1602">
        <f t="shared" si="384"/>
        <v>530.72640000000001</v>
      </c>
      <c r="BQ460" s="1629"/>
      <c r="BR460" s="1629" t="s">
        <v>776</v>
      </c>
      <c r="BS460" s="1602">
        <v>0</v>
      </c>
      <c r="BT460" s="1602">
        <v>15</v>
      </c>
      <c r="BU460" s="1602">
        <v>15</v>
      </c>
      <c r="BV460" s="1602">
        <v>15</v>
      </c>
      <c r="BW460" s="1602">
        <v>15</v>
      </c>
      <c r="BX460" s="1362">
        <f t="shared" si="401"/>
        <v>1990.2240000000002</v>
      </c>
      <c r="BY460" s="1362">
        <f t="shared" si="402"/>
        <v>1990.2240000000002</v>
      </c>
      <c r="BZ460" s="1362">
        <f t="shared" si="403"/>
        <v>1990.2240000000002</v>
      </c>
      <c r="CA460" s="1362">
        <f t="shared" si="404"/>
        <v>1990.2240000000002</v>
      </c>
      <c r="CB460" s="1362">
        <f t="shared" si="405"/>
        <v>7960.8960000000006</v>
      </c>
      <c r="CC460" s="1360">
        <v>15</v>
      </c>
      <c r="CD460" s="1360">
        <v>15</v>
      </c>
      <c r="CE460" s="1360">
        <v>15</v>
      </c>
      <c r="CF460" s="1360">
        <v>15</v>
      </c>
      <c r="CG460" s="1604">
        <f t="shared" si="385"/>
        <v>1990.2240000000002</v>
      </c>
      <c r="CH460" s="1604">
        <f t="shared" si="386"/>
        <v>1990.2240000000002</v>
      </c>
      <c r="CI460" s="1604">
        <f t="shared" si="387"/>
        <v>1990.2240000000002</v>
      </c>
      <c r="CJ460" s="1604">
        <f t="shared" si="388"/>
        <v>1990.2240000000002</v>
      </c>
      <c r="CK460" s="1521">
        <f t="shared" si="389"/>
        <v>7960.8960000000006</v>
      </c>
      <c r="CL460" s="1132">
        <v>453</v>
      </c>
      <c r="CM460" s="1132" t="s">
        <v>356</v>
      </c>
      <c r="CN460" s="1359">
        <v>1</v>
      </c>
      <c r="CO460" s="1360">
        <v>5.8751999999999995</v>
      </c>
      <c r="CP460" s="1360">
        <v>5.8751999999999995</v>
      </c>
      <c r="CQ460" s="1360">
        <v>5.8751999999999995</v>
      </c>
      <c r="CR460" s="1360">
        <v>5.8751999999999995</v>
      </c>
      <c r="CS460" s="1362">
        <f t="shared" si="390"/>
        <v>127.37433599999999</v>
      </c>
      <c r="CT460" s="1362">
        <f t="shared" si="391"/>
        <v>127.37433599999999</v>
      </c>
      <c r="CU460" s="1362">
        <f t="shared" si="392"/>
        <v>127.37433599999999</v>
      </c>
      <c r="CV460" s="1362">
        <f t="shared" si="393"/>
        <v>127.37433599999999</v>
      </c>
      <c r="CW460" s="1362">
        <f t="shared" si="394"/>
        <v>509.49734399999994</v>
      </c>
      <c r="CY460" s="2887"/>
    </row>
    <row r="461" spans="1:103" s="1143" customFormat="1" ht="30" customHeight="1" x14ac:dyDescent="0.35">
      <c r="A461" s="1132" t="s">
        <v>111</v>
      </c>
      <c r="B461" s="1132" t="s">
        <v>111</v>
      </c>
      <c r="C461" s="1132" t="s">
        <v>943</v>
      </c>
      <c r="D461" s="1359" t="s">
        <v>944</v>
      </c>
      <c r="E461" s="1359">
        <v>1</v>
      </c>
      <c r="F461" s="2564" t="s">
        <v>683</v>
      </c>
      <c r="G461" s="1132" t="s">
        <v>356</v>
      </c>
      <c r="H461" s="1360">
        <v>19.584</v>
      </c>
      <c r="I461" s="1360">
        <v>19.584</v>
      </c>
      <c r="J461" s="1360">
        <v>19.584</v>
      </c>
      <c r="K461" s="1360">
        <v>19.584</v>
      </c>
      <c r="L461" s="1132" t="s">
        <v>684</v>
      </c>
      <c r="M461" s="1132" t="str">
        <f t="shared" si="356"/>
        <v>Nicor Gas PY11-PY14 Adjustable Goals Template_2025-03-01, Tab 5.6.7</v>
      </c>
      <c r="N461" s="1361">
        <v>9.1319999999999979</v>
      </c>
      <c r="O461" s="1361">
        <v>9.1319999999999979</v>
      </c>
      <c r="P461" s="1361">
        <v>9.1319999999999979</v>
      </c>
      <c r="Q461" s="1361">
        <v>9.1319999999999979</v>
      </c>
      <c r="R461" s="1781">
        <v>1</v>
      </c>
      <c r="S461" s="1781">
        <v>1</v>
      </c>
      <c r="T461" s="1781">
        <v>1</v>
      </c>
      <c r="U461" s="1781">
        <v>1</v>
      </c>
      <c r="V461" s="1781">
        <v>1</v>
      </c>
      <c r="W461" s="1781">
        <v>1</v>
      </c>
      <c r="X461" s="1781">
        <v>1</v>
      </c>
      <c r="Y461" s="1781">
        <v>1</v>
      </c>
      <c r="Z461" s="1359">
        <v>0</v>
      </c>
      <c r="AA461" s="1781">
        <f t="shared" si="357"/>
        <v>1</v>
      </c>
      <c r="AB461" s="1781">
        <f t="shared" si="358"/>
        <v>1</v>
      </c>
      <c r="AC461" s="1781">
        <f t="shared" si="359"/>
        <v>1</v>
      </c>
      <c r="AD461" s="1781">
        <f t="shared" si="360"/>
        <v>1</v>
      </c>
      <c r="AE461" s="1781">
        <f t="shared" si="361"/>
        <v>1</v>
      </c>
      <c r="AF461" s="1781">
        <f t="shared" si="362"/>
        <v>1</v>
      </c>
      <c r="AG461" s="1781">
        <f t="shared" si="363"/>
        <v>1</v>
      </c>
      <c r="AH461" s="1781">
        <f t="shared" si="364"/>
        <v>1</v>
      </c>
      <c r="AI461" s="1362">
        <f t="shared" si="395"/>
        <v>178.84108799999996</v>
      </c>
      <c r="AJ461" s="1362">
        <f t="shared" si="396"/>
        <v>178.84108799999996</v>
      </c>
      <c r="AK461" s="1362">
        <f t="shared" si="397"/>
        <v>178.84108799999996</v>
      </c>
      <c r="AL461" s="1362">
        <f t="shared" si="398"/>
        <v>178.84108799999996</v>
      </c>
      <c r="AM461" s="1362">
        <f t="shared" si="399"/>
        <v>715.36435199999983</v>
      </c>
      <c r="AN461" s="1132" t="str">
        <f t="shared" si="365"/>
        <v>RS-SHL-LESW-V01-210101</v>
      </c>
      <c r="AO461" s="1132" t="str">
        <f t="shared" si="366"/>
        <v>Nicor Gas PY11-PY14 Adjustable Goals Template_2025-03-01, Tab 5.6.7</v>
      </c>
      <c r="AP461" s="2505">
        <f>'5.6.7'!$R$5</f>
        <v>9.1319999999999979</v>
      </c>
      <c r="AQ461" s="2505"/>
      <c r="AR461" s="2505">
        <f t="shared" si="367"/>
        <v>178.84108799999996</v>
      </c>
      <c r="AS461" s="2505">
        <f t="shared" si="368"/>
        <v>0</v>
      </c>
      <c r="AT461" s="1132" t="str">
        <f t="shared" si="369"/>
        <v>RS-SHL-LESW-V01-210101</v>
      </c>
      <c r="AU461" s="1132" t="str">
        <f t="shared" si="370"/>
        <v>Nicor Gas PY11-PY14 Adjustable Goals Template_2025-03-01, Tab 5.6.7</v>
      </c>
      <c r="AV461" s="2505">
        <f>'5.6.7'!$R$5</f>
        <v>9.1319999999999979</v>
      </c>
      <c r="AW461" s="2505"/>
      <c r="AX461" s="1362">
        <f t="shared" si="371"/>
        <v>178.84108799999996</v>
      </c>
      <c r="AY461" s="1360">
        <f t="shared" si="372"/>
        <v>0</v>
      </c>
      <c r="AZ461" s="1132" t="str">
        <f t="shared" si="373"/>
        <v>RS-SHL-LESW-V01-210101</v>
      </c>
      <c r="BA461" s="1132" t="str">
        <f t="shared" si="374"/>
        <v>Nicor Gas PY11-PY14 Adjustable Goals Template_2025-03-01, Tab 5.6.7</v>
      </c>
      <c r="BB461" s="2505">
        <f>'5.6.7'!$R$5</f>
        <v>9.1319999999999979</v>
      </c>
      <c r="BC461" s="2505"/>
      <c r="BD461" s="1362">
        <f t="shared" si="375"/>
        <v>178.84108799999996</v>
      </c>
      <c r="BE461" s="1360">
        <f t="shared" si="376"/>
        <v>0</v>
      </c>
      <c r="BF461" s="1132" t="str">
        <f t="shared" si="377"/>
        <v>RS-SHL-LESW-V01-210101</v>
      </c>
      <c r="BG461" s="1132" t="str">
        <f t="shared" si="378"/>
        <v>Nicor Gas PY11-PY14 Adjustable Goals Template_2025-03-01, Tab 5.6.7</v>
      </c>
      <c r="BH461" s="2505">
        <f>'5.6.7'!$R$5</f>
        <v>9.1319999999999979</v>
      </c>
      <c r="BI461" s="2505"/>
      <c r="BJ461" s="1362">
        <f t="shared" si="400"/>
        <v>178.84108799999996</v>
      </c>
      <c r="BK461" s="1360">
        <f t="shared" si="379"/>
        <v>0</v>
      </c>
      <c r="BL461" s="1601">
        <f t="shared" si="380"/>
        <v>178.84108799999996</v>
      </c>
      <c r="BM461" s="1601">
        <f t="shared" si="381"/>
        <v>178.84108799999996</v>
      </c>
      <c r="BN461" s="1601">
        <f t="shared" si="382"/>
        <v>178.84108799999996</v>
      </c>
      <c r="BO461" s="1601">
        <f t="shared" si="383"/>
        <v>178.84108799999996</v>
      </c>
      <c r="BP461" s="1602">
        <f t="shared" si="384"/>
        <v>715.36435199999983</v>
      </c>
      <c r="BQ461" s="1629"/>
      <c r="BR461" s="1629" t="s">
        <v>683</v>
      </c>
      <c r="BS461" s="1602">
        <v>0</v>
      </c>
      <c r="BT461" s="1602">
        <v>20</v>
      </c>
      <c r="BU461" s="1602">
        <v>20</v>
      </c>
      <c r="BV461" s="1602">
        <v>20</v>
      </c>
      <c r="BW461" s="1602">
        <v>20</v>
      </c>
      <c r="BX461" s="1362">
        <f t="shared" si="401"/>
        <v>3576.8217599999989</v>
      </c>
      <c r="BY461" s="1362">
        <f t="shared" si="402"/>
        <v>3576.8217599999989</v>
      </c>
      <c r="BZ461" s="1362">
        <f t="shared" si="403"/>
        <v>3576.8217599999989</v>
      </c>
      <c r="CA461" s="1362">
        <f t="shared" si="404"/>
        <v>3576.8217599999989</v>
      </c>
      <c r="CB461" s="1362">
        <f t="shared" si="405"/>
        <v>14307.287039999996</v>
      </c>
      <c r="CC461" s="1360">
        <v>20</v>
      </c>
      <c r="CD461" s="1360">
        <v>20</v>
      </c>
      <c r="CE461" s="1360">
        <v>20</v>
      </c>
      <c r="CF461" s="1360">
        <v>20</v>
      </c>
      <c r="CG461" s="1604">
        <f t="shared" si="385"/>
        <v>3576.8217599999989</v>
      </c>
      <c r="CH461" s="1604">
        <f t="shared" si="386"/>
        <v>3576.8217599999989</v>
      </c>
      <c r="CI461" s="1604">
        <f t="shared" si="387"/>
        <v>3576.8217599999989</v>
      </c>
      <c r="CJ461" s="1604">
        <f t="shared" si="388"/>
        <v>3576.8217599999989</v>
      </c>
      <c r="CK461" s="1521">
        <f t="shared" si="389"/>
        <v>14307.287039999996</v>
      </c>
      <c r="CL461" s="1132">
        <v>454</v>
      </c>
      <c r="CM461" s="1132" t="s">
        <v>356</v>
      </c>
      <c r="CN461" s="1359">
        <v>1</v>
      </c>
      <c r="CO461" s="1360">
        <v>18.800639999999998</v>
      </c>
      <c r="CP461" s="1360">
        <v>18.800639999999998</v>
      </c>
      <c r="CQ461" s="1360">
        <v>18.800639999999998</v>
      </c>
      <c r="CR461" s="1360">
        <v>18.800639999999998</v>
      </c>
      <c r="CS461" s="1362">
        <f t="shared" si="390"/>
        <v>171.68744447999995</v>
      </c>
      <c r="CT461" s="1362">
        <f t="shared" si="391"/>
        <v>171.68744447999995</v>
      </c>
      <c r="CU461" s="1362">
        <f t="shared" si="392"/>
        <v>171.68744447999995</v>
      </c>
      <c r="CV461" s="1362">
        <f t="shared" si="393"/>
        <v>171.68744447999995</v>
      </c>
      <c r="CW461" s="1362">
        <f t="shared" si="394"/>
        <v>686.74977791999981</v>
      </c>
      <c r="CY461" s="2887"/>
    </row>
    <row r="462" spans="1:103" s="1143" customFormat="1" ht="46.5" x14ac:dyDescent="0.35">
      <c r="A462" s="1132" t="s">
        <v>114</v>
      </c>
      <c r="B462" s="1132" t="s">
        <v>945</v>
      </c>
      <c r="C462" s="1132" t="s">
        <v>426</v>
      </c>
      <c r="D462" s="1359" t="s">
        <v>427</v>
      </c>
      <c r="E462" s="1359">
        <v>1</v>
      </c>
      <c r="F462" s="1780" t="s">
        <v>428</v>
      </c>
      <c r="G462" s="1132" t="s">
        <v>328</v>
      </c>
      <c r="H462" s="1360">
        <v>13.847</v>
      </c>
      <c r="I462" s="1360">
        <v>13.847</v>
      </c>
      <c r="J462" s="1360">
        <v>13.847</v>
      </c>
      <c r="K462" s="1360">
        <v>13.847</v>
      </c>
      <c r="L462" s="1132" t="s">
        <v>429</v>
      </c>
      <c r="M462" s="1132" t="str">
        <f t="shared" si="356"/>
        <v>Nicor Gas PY11-PY14 Adjustable Goals Template_2025-03-01, Tab 4.4.4</v>
      </c>
      <c r="N462" s="1361">
        <v>400.87199999999996</v>
      </c>
      <c r="O462" s="1361">
        <v>400.87199999999996</v>
      </c>
      <c r="P462" s="1361">
        <v>400.87199999999996</v>
      </c>
      <c r="Q462" s="1361">
        <v>400.87199999999996</v>
      </c>
      <c r="R462" s="1781">
        <v>0.93</v>
      </c>
      <c r="S462" s="1781">
        <v>0.93</v>
      </c>
      <c r="T462" s="1781">
        <v>0.93</v>
      </c>
      <c r="U462" s="1781">
        <v>0.93</v>
      </c>
      <c r="V462" s="1781">
        <v>0.93</v>
      </c>
      <c r="W462" s="1781">
        <v>0.93</v>
      </c>
      <c r="X462" s="1781">
        <v>0.93</v>
      </c>
      <c r="Y462" s="1781">
        <v>0.93</v>
      </c>
      <c r="Z462" s="1359">
        <v>0</v>
      </c>
      <c r="AA462" s="1781">
        <f t="shared" si="357"/>
        <v>0.93</v>
      </c>
      <c r="AB462" s="1781">
        <f t="shared" si="358"/>
        <v>0.93</v>
      </c>
      <c r="AC462" s="1781">
        <f t="shared" si="359"/>
        <v>0.93</v>
      </c>
      <c r="AD462" s="1781">
        <f t="shared" si="360"/>
        <v>0.93</v>
      </c>
      <c r="AE462" s="1781">
        <f t="shared" si="361"/>
        <v>0.93</v>
      </c>
      <c r="AF462" s="1781">
        <f t="shared" si="362"/>
        <v>0.93</v>
      </c>
      <c r="AG462" s="1781">
        <f t="shared" si="363"/>
        <v>0.93</v>
      </c>
      <c r="AH462" s="1781">
        <f t="shared" si="364"/>
        <v>0.93</v>
      </c>
      <c r="AI462" s="1362">
        <f t="shared" si="395"/>
        <v>5162.3133631199998</v>
      </c>
      <c r="AJ462" s="1362">
        <f t="shared" si="396"/>
        <v>5162.3133631199998</v>
      </c>
      <c r="AK462" s="1362">
        <f t="shared" si="397"/>
        <v>5162.3133631199998</v>
      </c>
      <c r="AL462" s="1362">
        <f t="shared" si="398"/>
        <v>5162.3133631199998</v>
      </c>
      <c r="AM462" s="1362">
        <f t="shared" si="399"/>
        <v>20649.253452479999</v>
      </c>
      <c r="AN462" s="1132" t="str">
        <f t="shared" si="365"/>
        <v>CI-HVC-BLRC-V03-150601</v>
      </c>
      <c r="AO462" s="1132" t="str">
        <f t="shared" si="366"/>
        <v>Nicor Gas PY11-PY14 Adjustable Goals Template_2025-03-01, Tab 4.4.4</v>
      </c>
      <c r="AP462" s="2505">
        <f>'4.4.4'!$N$4</f>
        <v>400.87199999999996</v>
      </c>
      <c r="AQ462" s="2505"/>
      <c r="AR462" s="2505">
        <f t="shared" si="367"/>
        <v>5162.3133631199998</v>
      </c>
      <c r="AS462" s="2505">
        <f t="shared" si="368"/>
        <v>0</v>
      </c>
      <c r="AT462" s="1132" t="str">
        <f t="shared" si="369"/>
        <v>CI-HVC-BLRC-V03-150601</v>
      </c>
      <c r="AU462" s="1132" t="str">
        <f t="shared" si="370"/>
        <v>Nicor Gas PY11-PY14 Adjustable Goals Template_2025-03-01, Tab 4.4.4</v>
      </c>
      <c r="AV462" s="2505">
        <f>'4.4.4'!$N$4</f>
        <v>400.87199999999996</v>
      </c>
      <c r="AW462" s="2505"/>
      <c r="AX462" s="1362">
        <f t="shared" si="371"/>
        <v>5162.3133631199998</v>
      </c>
      <c r="AY462" s="1360">
        <f t="shared" si="372"/>
        <v>0</v>
      </c>
      <c r="AZ462" s="1132" t="str">
        <f t="shared" si="373"/>
        <v>CI-HVC-BLRC-V03-150601</v>
      </c>
      <c r="BA462" s="1132" t="str">
        <f t="shared" si="374"/>
        <v>Nicor Gas PY11-PY14 Adjustable Goals Template_2025-03-01, Tab 4.4.4</v>
      </c>
      <c r="BB462" s="2505">
        <f>'4.4.4'!$N$4</f>
        <v>400.87199999999996</v>
      </c>
      <c r="BC462" s="2505"/>
      <c r="BD462" s="1362">
        <f t="shared" si="375"/>
        <v>5162.3133631199998</v>
      </c>
      <c r="BE462" s="1360">
        <f t="shared" si="376"/>
        <v>0</v>
      </c>
      <c r="BF462" s="1132" t="str">
        <f t="shared" si="377"/>
        <v>CI-HVC-BLRC-V03-150601</v>
      </c>
      <c r="BG462" s="1132" t="str">
        <f t="shared" si="378"/>
        <v>Nicor Gas PY11-PY14 Adjustable Goals Template_2025-03-01, Tab 4.4.4</v>
      </c>
      <c r="BH462" s="2505">
        <f>'4.4.4'!$N$4</f>
        <v>400.87199999999996</v>
      </c>
      <c r="BI462" s="2505"/>
      <c r="BJ462" s="1362">
        <f t="shared" si="400"/>
        <v>5162.3133631199998</v>
      </c>
      <c r="BK462" s="1360">
        <f t="shared" si="379"/>
        <v>0</v>
      </c>
      <c r="BL462" s="1601">
        <f t="shared" si="380"/>
        <v>5162.3133631199998</v>
      </c>
      <c r="BM462" s="1601">
        <f t="shared" si="381"/>
        <v>5162.3133631199998</v>
      </c>
      <c r="BN462" s="1601">
        <f t="shared" si="382"/>
        <v>5162.3133631199998</v>
      </c>
      <c r="BO462" s="1601">
        <f t="shared" si="383"/>
        <v>5162.3133631199998</v>
      </c>
      <c r="BP462" s="1602">
        <f t="shared" si="384"/>
        <v>20649.253452479999</v>
      </c>
      <c r="BQ462" s="1629"/>
      <c r="BR462" s="1629" t="s">
        <v>428</v>
      </c>
      <c r="BS462" s="1602">
        <v>0</v>
      </c>
      <c r="BT462" s="1602">
        <v>16</v>
      </c>
      <c r="BU462" s="1602">
        <v>16</v>
      </c>
      <c r="BV462" s="1602">
        <v>16</v>
      </c>
      <c r="BW462" s="1602">
        <v>16</v>
      </c>
      <c r="BX462" s="1362">
        <f t="shared" si="401"/>
        <v>82597.013809919998</v>
      </c>
      <c r="BY462" s="1362">
        <f t="shared" si="402"/>
        <v>82597.013809919998</v>
      </c>
      <c r="BZ462" s="1362">
        <f t="shared" si="403"/>
        <v>82597.013809919998</v>
      </c>
      <c r="CA462" s="1362">
        <f t="shared" si="404"/>
        <v>82597.013809919998</v>
      </c>
      <c r="CB462" s="1362">
        <f t="shared" si="405"/>
        <v>330388.05523967999</v>
      </c>
      <c r="CC462" s="1360">
        <v>16</v>
      </c>
      <c r="CD462" s="1360">
        <v>16</v>
      </c>
      <c r="CE462" s="1360">
        <v>16</v>
      </c>
      <c r="CF462" s="1360">
        <v>16</v>
      </c>
      <c r="CG462" s="1604">
        <f t="shared" si="385"/>
        <v>82597.013809919998</v>
      </c>
      <c r="CH462" s="1604">
        <f t="shared" si="386"/>
        <v>82597.013809919998</v>
      </c>
      <c r="CI462" s="1604">
        <f t="shared" si="387"/>
        <v>82597.013809919998</v>
      </c>
      <c r="CJ462" s="1604">
        <f t="shared" si="388"/>
        <v>82597.013809919998</v>
      </c>
      <c r="CK462" s="1521">
        <f t="shared" si="389"/>
        <v>330388.05523967999</v>
      </c>
      <c r="CL462" s="1132">
        <v>455</v>
      </c>
      <c r="CM462" s="1132" t="s">
        <v>328</v>
      </c>
      <c r="CN462" s="1359">
        <v>0</v>
      </c>
      <c r="CO462" s="1360">
        <v>13.847</v>
      </c>
      <c r="CP462" s="1360">
        <v>13.847</v>
      </c>
      <c r="CQ462" s="1360">
        <v>13.847</v>
      </c>
      <c r="CR462" s="1360">
        <v>13.847</v>
      </c>
      <c r="CS462" s="1362">
        <f t="shared" si="390"/>
        <v>5162.3133631199998</v>
      </c>
      <c r="CT462" s="1362">
        <f t="shared" si="391"/>
        <v>5162.3133631199998</v>
      </c>
      <c r="CU462" s="1362">
        <f t="shared" si="392"/>
        <v>5162.3133631199998</v>
      </c>
      <c r="CV462" s="1362">
        <f t="shared" si="393"/>
        <v>5162.3133631199998</v>
      </c>
      <c r="CW462" s="1362">
        <f t="shared" si="394"/>
        <v>20649.253452479999</v>
      </c>
      <c r="CY462" s="2887"/>
    </row>
    <row r="463" spans="1:103" s="1143" customFormat="1" ht="79.5" customHeight="1" x14ac:dyDescent="0.35">
      <c r="A463" s="1132" t="s">
        <v>114</v>
      </c>
      <c r="B463" s="1132" t="s">
        <v>945</v>
      </c>
      <c r="C463" s="1132" t="s">
        <v>334</v>
      </c>
      <c r="D463" s="1359" t="s">
        <v>335</v>
      </c>
      <c r="E463" s="1359">
        <v>1</v>
      </c>
      <c r="F463" s="1780" t="s">
        <v>336</v>
      </c>
      <c r="G463" s="1132" t="s">
        <v>337</v>
      </c>
      <c r="H463" s="1360">
        <v>394.6395</v>
      </c>
      <c r="I463" s="1360">
        <v>394.6395</v>
      </c>
      <c r="J463" s="1360">
        <v>394.6395</v>
      </c>
      <c r="K463" s="1360">
        <v>394.6395</v>
      </c>
      <c r="L463" s="1132" t="s">
        <v>338</v>
      </c>
      <c r="M463" s="1132" t="str">
        <f t="shared" si="356"/>
        <v>Nicor Gas PY11-PY14 Adjustable Goals Template_2025-03-01, Tab 4.4.14</v>
      </c>
      <c r="N463" s="1361">
        <v>1.6846271672771671</v>
      </c>
      <c r="O463" s="1361">
        <v>1.6846271672771671</v>
      </c>
      <c r="P463" s="1361">
        <v>1.6846271672771671</v>
      </c>
      <c r="Q463" s="1361">
        <v>1.6846271672771671</v>
      </c>
      <c r="R463" s="1781">
        <v>0.93</v>
      </c>
      <c r="S463" s="1781">
        <v>0.93</v>
      </c>
      <c r="T463" s="1781">
        <v>0.93</v>
      </c>
      <c r="U463" s="1781">
        <v>0.93</v>
      </c>
      <c r="V463" s="1781">
        <v>0.93</v>
      </c>
      <c r="W463" s="1781">
        <v>0.93</v>
      </c>
      <c r="X463" s="1781">
        <v>0.93</v>
      </c>
      <c r="Y463" s="1781">
        <v>0.93</v>
      </c>
      <c r="Z463" s="1359">
        <v>0</v>
      </c>
      <c r="AA463" s="1781">
        <f t="shared" si="357"/>
        <v>0.93</v>
      </c>
      <c r="AB463" s="1781">
        <f t="shared" si="358"/>
        <v>0.93</v>
      </c>
      <c r="AC463" s="1781">
        <f t="shared" si="359"/>
        <v>0.93</v>
      </c>
      <c r="AD463" s="1781">
        <f t="shared" si="360"/>
        <v>0.93</v>
      </c>
      <c r="AE463" s="1781">
        <f t="shared" si="361"/>
        <v>0.93</v>
      </c>
      <c r="AF463" s="1781">
        <f t="shared" si="362"/>
        <v>0.93</v>
      </c>
      <c r="AG463" s="1781">
        <f t="shared" si="363"/>
        <v>0.93</v>
      </c>
      <c r="AH463" s="1781">
        <f t="shared" si="364"/>
        <v>0.93</v>
      </c>
      <c r="AI463" s="1362">
        <f t="shared" si="395"/>
        <v>618.28299337203021</v>
      </c>
      <c r="AJ463" s="1362">
        <f t="shared" si="396"/>
        <v>618.28299337203021</v>
      </c>
      <c r="AK463" s="1362">
        <f t="shared" si="397"/>
        <v>618.28299337203021</v>
      </c>
      <c r="AL463" s="1362">
        <f t="shared" si="398"/>
        <v>618.28299337203021</v>
      </c>
      <c r="AM463" s="1362">
        <f t="shared" si="399"/>
        <v>2473.1319734881208</v>
      </c>
      <c r="AN463" s="1132" t="str">
        <f t="shared" si="365"/>
        <v>CI-HVC-PINS-V05-190101</v>
      </c>
      <c r="AO463" s="1132" t="str">
        <f t="shared" si="366"/>
        <v>Nicor Gas PY11-PY14 Adjustable Goals Template_2025-03-01, Tab 4.4.14</v>
      </c>
      <c r="AP463" s="2505">
        <f>'4.4.14'!$T$10</f>
        <v>1.6846271672771671</v>
      </c>
      <c r="AQ463" s="2505"/>
      <c r="AR463" s="2505">
        <f t="shared" si="367"/>
        <v>618.28299337203021</v>
      </c>
      <c r="AS463" s="2505">
        <f t="shared" si="368"/>
        <v>0</v>
      </c>
      <c r="AT463" s="1132" t="str">
        <f t="shared" si="369"/>
        <v>CI-HVC-PINS-V05-190101</v>
      </c>
      <c r="AU463" s="1132" t="str">
        <f t="shared" si="370"/>
        <v>Nicor Gas PY11-PY14 Adjustable Goals Template_2025-03-01, Tab 4.4.14</v>
      </c>
      <c r="AV463" s="2505">
        <f>'4.4.14'!$T$10</f>
        <v>1.6846271672771671</v>
      </c>
      <c r="AW463" s="2505"/>
      <c r="AX463" s="1362">
        <f t="shared" si="371"/>
        <v>618.28299337203021</v>
      </c>
      <c r="AY463" s="1360">
        <f t="shared" si="372"/>
        <v>0</v>
      </c>
      <c r="AZ463" s="1132" t="str">
        <f t="shared" si="373"/>
        <v>CI-HVC-PINS-V05-190101</v>
      </c>
      <c r="BA463" s="1132" t="str">
        <f t="shared" si="374"/>
        <v>Nicor Gas PY11-PY14 Adjustable Goals Template_2025-03-01, Tab 4.4.14</v>
      </c>
      <c r="BB463" s="2505">
        <f>'4.4.14'!$T$10</f>
        <v>1.6846271672771671</v>
      </c>
      <c r="BC463" s="2505"/>
      <c r="BD463" s="1362">
        <f t="shared" si="375"/>
        <v>618.28299337203021</v>
      </c>
      <c r="BE463" s="1360">
        <f t="shared" si="376"/>
        <v>0</v>
      </c>
      <c r="BF463" s="1132" t="str">
        <f t="shared" si="377"/>
        <v>CI-HVC-PINS-V05-190101</v>
      </c>
      <c r="BG463" s="1132" t="str">
        <f t="shared" si="378"/>
        <v>Nicor Gas PY11-PY14 Adjustable Goals Template_2025-03-01, Tab 4.4.14</v>
      </c>
      <c r="BH463" s="2505">
        <f>'4.4.14'!$T$10</f>
        <v>1.6846271672771671</v>
      </c>
      <c r="BI463" s="2505"/>
      <c r="BJ463" s="1362">
        <f t="shared" si="400"/>
        <v>618.28299337203021</v>
      </c>
      <c r="BK463" s="1360">
        <f t="shared" si="379"/>
        <v>0</v>
      </c>
      <c r="BL463" s="1601">
        <f t="shared" si="380"/>
        <v>618.28299337203021</v>
      </c>
      <c r="BM463" s="1601">
        <f t="shared" si="381"/>
        <v>618.28299337203021</v>
      </c>
      <c r="BN463" s="1601">
        <f t="shared" si="382"/>
        <v>618.28299337203021</v>
      </c>
      <c r="BO463" s="1601">
        <f t="shared" si="383"/>
        <v>618.28299337203021</v>
      </c>
      <c r="BP463" s="1602">
        <f t="shared" si="384"/>
        <v>2473.1319734881208</v>
      </c>
      <c r="BQ463" s="1629"/>
      <c r="BR463" s="1629" t="s">
        <v>336</v>
      </c>
      <c r="BS463" s="1602">
        <v>0</v>
      </c>
      <c r="BT463" s="1602">
        <v>15</v>
      </c>
      <c r="BU463" s="1602">
        <v>15</v>
      </c>
      <c r="BV463" s="1602">
        <v>15</v>
      </c>
      <c r="BW463" s="1602">
        <v>15</v>
      </c>
      <c r="BX463" s="1362">
        <f t="shared" si="401"/>
        <v>9274.2449005804538</v>
      </c>
      <c r="BY463" s="1362">
        <f t="shared" si="402"/>
        <v>9274.2449005804538</v>
      </c>
      <c r="BZ463" s="1362">
        <f t="shared" si="403"/>
        <v>9274.2449005804538</v>
      </c>
      <c r="CA463" s="1362">
        <f t="shared" si="404"/>
        <v>9274.2449005804538</v>
      </c>
      <c r="CB463" s="1362">
        <f t="shared" si="405"/>
        <v>37096.979602321815</v>
      </c>
      <c r="CC463" s="1360">
        <v>15</v>
      </c>
      <c r="CD463" s="1360">
        <v>15</v>
      </c>
      <c r="CE463" s="1360">
        <v>15</v>
      </c>
      <c r="CF463" s="1360">
        <v>15</v>
      </c>
      <c r="CG463" s="1604">
        <f t="shared" si="385"/>
        <v>9274.2449005804538</v>
      </c>
      <c r="CH463" s="1604">
        <f t="shared" si="386"/>
        <v>9274.2449005804538</v>
      </c>
      <c r="CI463" s="1604">
        <f t="shared" si="387"/>
        <v>9274.2449005804538</v>
      </c>
      <c r="CJ463" s="1604">
        <f t="shared" si="388"/>
        <v>9274.2449005804538</v>
      </c>
      <c r="CK463" s="1521">
        <f t="shared" si="389"/>
        <v>37096.979602321815</v>
      </c>
      <c r="CL463" s="1132">
        <v>456</v>
      </c>
      <c r="CM463" s="1132" t="s">
        <v>337</v>
      </c>
      <c r="CN463" s="1359">
        <v>0</v>
      </c>
      <c r="CO463" s="1360">
        <v>394.6395</v>
      </c>
      <c r="CP463" s="1360">
        <v>394.6395</v>
      </c>
      <c r="CQ463" s="1360">
        <v>394.6395</v>
      </c>
      <c r="CR463" s="1360">
        <v>394.6395</v>
      </c>
      <c r="CS463" s="1362">
        <f t="shared" si="390"/>
        <v>618.28299337203021</v>
      </c>
      <c r="CT463" s="1362">
        <f t="shared" si="391"/>
        <v>618.28299337203021</v>
      </c>
      <c r="CU463" s="1362">
        <f t="shared" si="392"/>
        <v>618.28299337203021</v>
      </c>
      <c r="CV463" s="1362">
        <f t="shared" si="393"/>
        <v>618.28299337203021</v>
      </c>
      <c r="CW463" s="1362">
        <f t="shared" si="394"/>
        <v>2473.1319734881208</v>
      </c>
      <c r="CY463" s="2887"/>
    </row>
    <row r="464" spans="1:103" s="1143" customFormat="1" ht="77.25" customHeight="1" x14ac:dyDescent="0.35">
      <c r="A464" s="1132" t="s">
        <v>114</v>
      </c>
      <c r="B464" s="1132" t="s">
        <v>945</v>
      </c>
      <c r="C464" s="1132" t="s">
        <v>339</v>
      </c>
      <c r="D464" s="1359" t="s">
        <v>340</v>
      </c>
      <c r="E464" s="1359">
        <v>1</v>
      </c>
      <c r="F464" s="1780" t="s">
        <v>336</v>
      </c>
      <c r="G464" s="1132" t="s">
        <v>337</v>
      </c>
      <c r="H464" s="1360">
        <v>6202.0713000000005</v>
      </c>
      <c r="I464" s="1360">
        <v>6202.0713000000005</v>
      </c>
      <c r="J464" s="1360">
        <v>6202.0713000000005</v>
      </c>
      <c r="K464" s="1360">
        <v>6202.0713000000005</v>
      </c>
      <c r="L464" s="1132" t="s">
        <v>338</v>
      </c>
      <c r="M464" s="1132" t="str">
        <f t="shared" si="356"/>
        <v>Nicor Gas PY11-PY14 Adjustable Goals Template_2025-03-01, Tab 4.4.14</v>
      </c>
      <c r="N464" s="1361">
        <v>4.3477888475836428</v>
      </c>
      <c r="O464" s="1361">
        <v>4.3477888475836428</v>
      </c>
      <c r="P464" s="1361">
        <v>4.3477888475836428</v>
      </c>
      <c r="Q464" s="1361">
        <v>4.3477888475836428</v>
      </c>
      <c r="R464" s="1781">
        <v>0.93</v>
      </c>
      <c r="S464" s="1781">
        <v>0.93</v>
      </c>
      <c r="T464" s="1781">
        <v>0.93</v>
      </c>
      <c r="U464" s="1781">
        <v>0.93</v>
      </c>
      <c r="V464" s="1781">
        <v>0.93</v>
      </c>
      <c r="W464" s="1781">
        <v>0.93</v>
      </c>
      <c r="X464" s="1781">
        <v>0.93</v>
      </c>
      <c r="Y464" s="1781">
        <v>0.93</v>
      </c>
      <c r="Z464" s="1359">
        <v>0</v>
      </c>
      <c r="AA464" s="1781">
        <f t="shared" si="357"/>
        <v>0.93</v>
      </c>
      <c r="AB464" s="1781">
        <f t="shared" si="358"/>
        <v>0.93</v>
      </c>
      <c r="AC464" s="1781">
        <f t="shared" si="359"/>
        <v>0.93</v>
      </c>
      <c r="AD464" s="1781">
        <f t="shared" si="360"/>
        <v>0.93</v>
      </c>
      <c r="AE464" s="1781">
        <f t="shared" si="361"/>
        <v>0.93</v>
      </c>
      <c r="AF464" s="1781">
        <f t="shared" si="362"/>
        <v>0.93</v>
      </c>
      <c r="AG464" s="1781">
        <f t="shared" si="363"/>
        <v>0.93</v>
      </c>
      <c r="AH464" s="1781">
        <f t="shared" si="364"/>
        <v>0.93</v>
      </c>
      <c r="AI464" s="1362">
        <f t="shared" si="395"/>
        <v>25077.725679954488</v>
      </c>
      <c r="AJ464" s="1362">
        <f t="shared" si="396"/>
        <v>25077.725679954488</v>
      </c>
      <c r="AK464" s="1362">
        <f t="shared" si="397"/>
        <v>25077.725679954488</v>
      </c>
      <c r="AL464" s="1362">
        <f t="shared" si="398"/>
        <v>25077.725679954488</v>
      </c>
      <c r="AM464" s="1362">
        <f t="shared" si="399"/>
        <v>100310.90271981795</v>
      </c>
      <c r="AN464" s="1132" t="str">
        <f t="shared" si="365"/>
        <v>CI-HVC-PINS-V05-190101</v>
      </c>
      <c r="AO464" s="1132" t="str">
        <f t="shared" si="366"/>
        <v>Nicor Gas PY11-PY14 Adjustable Goals Template_2025-03-01, Tab 4.4.14</v>
      </c>
      <c r="AP464" s="2505">
        <f>'4.4.14'!$T$7</f>
        <v>4.3477888475836428</v>
      </c>
      <c r="AQ464" s="2505"/>
      <c r="AR464" s="2505">
        <f t="shared" si="367"/>
        <v>25077.725679954488</v>
      </c>
      <c r="AS464" s="2505">
        <f t="shared" si="368"/>
        <v>0</v>
      </c>
      <c r="AT464" s="1132" t="str">
        <f t="shared" si="369"/>
        <v>CI-HVC-PINS-V05-190101</v>
      </c>
      <c r="AU464" s="1132" t="str">
        <f t="shared" si="370"/>
        <v>Nicor Gas PY11-PY14 Adjustable Goals Template_2025-03-01, Tab 4.4.14</v>
      </c>
      <c r="AV464" s="2505">
        <f>'4.4.14'!$T$7</f>
        <v>4.3477888475836428</v>
      </c>
      <c r="AW464" s="2505"/>
      <c r="AX464" s="1362">
        <f t="shared" si="371"/>
        <v>25077.725679954488</v>
      </c>
      <c r="AY464" s="1360">
        <f t="shared" si="372"/>
        <v>0</v>
      </c>
      <c r="AZ464" s="1132" t="str">
        <f t="shared" si="373"/>
        <v>CI-HVC-PINS-V05-190101</v>
      </c>
      <c r="BA464" s="1132" t="str">
        <f t="shared" si="374"/>
        <v>Nicor Gas PY11-PY14 Adjustable Goals Template_2025-03-01, Tab 4.4.14</v>
      </c>
      <c r="BB464" s="2505">
        <f>'4.4.14'!$T$7</f>
        <v>4.3477888475836428</v>
      </c>
      <c r="BC464" s="2505"/>
      <c r="BD464" s="1362">
        <f t="shared" si="375"/>
        <v>25077.725679954488</v>
      </c>
      <c r="BE464" s="1360">
        <f t="shared" si="376"/>
        <v>0</v>
      </c>
      <c r="BF464" s="1132" t="str">
        <f t="shared" si="377"/>
        <v>CI-HVC-PINS-V05-190101</v>
      </c>
      <c r="BG464" s="1132" t="str">
        <f t="shared" si="378"/>
        <v>Nicor Gas PY11-PY14 Adjustable Goals Template_2025-03-01, Tab 4.4.14</v>
      </c>
      <c r="BH464" s="2505">
        <f>'4.4.14'!$T$7</f>
        <v>4.3477888475836428</v>
      </c>
      <c r="BI464" s="2505"/>
      <c r="BJ464" s="1362">
        <f t="shared" si="400"/>
        <v>25077.725679954488</v>
      </c>
      <c r="BK464" s="1360">
        <f t="shared" si="379"/>
        <v>0</v>
      </c>
      <c r="BL464" s="1601">
        <f t="shared" si="380"/>
        <v>25077.725679954488</v>
      </c>
      <c r="BM464" s="1601">
        <f t="shared" si="381"/>
        <v>25077.725679954488</v>
      </c>
      <c r="BN464" s="1601">
        <f t="shared" si="382"/>
        <v>25077.725679954488</v>
      </c>
      <c r="BO464" s="1601">
        <f t="shared" si="383"/>
        <v>25077.725679954488</v>
      </c>
      <c r="BP464" s="1602">
        <f t="shared" si="384"/>
        <v>100310.90271981795</v>
      </c>
      <c r="BQ464" s="1629"/>
      <c r="BR464" s="1629" t="s">
        <v>336</v>
      </c>
      <c r="BS464" s="1602">
        <v>0</v>
      </c>
      <c r="BT464" s="1602">
        <v>15</v>
      </c>
      <c r="BU464" s="1602">
        <v>15</v>
      </c>
      <c r="BV464" s="1602">
        <v>15</v>
      </c>
      <c r="BW464" s="1602">
        <v>15</v>
      </c>
      <c r="BX464" s="1362">
        <f t="shared" si="401"/>
        <v>376165.8851993173</v>
      </c>
      <c r="BY464" s="1362">
        <f t="shared" si="402"/>
        <v>376165.8851993173</v>
      </c>
      <c r="BZ464" s="1362">
        <f t="shared" si="403"/>
        <v>376165.8851993173</v>
      </c>
      <c r="CA464" s="1362">
        <f t="shared" si="404"/>
        <v>376165.8851993173</v>
      </c>
      <c r="CB464" s="1362">
        <f t="shared" si="405"/>
        <v>1504663.5407972692</v>
      </c>
      <c r="CC464" s="1360">
        <v>15</v>
      </c>
      <c r="CD464" s="1360">
        <v>15</v>
      </c>
      <c r="CE464" s="1360">
        <v>15</v>
      </c>
      <c r="CF464" s="1360">
        <v>15</v>
      </c>
      <c r="CG464" s="1604">
        <f t="shared" si="385"/>
        <v>376165.88519931724</v>
      </c>
      <c r="CH464" s="1604">
        <f t="shared" si="386"/>
        <v>376165.88519931724</v>
      </c>
      <c r="CI464" s="1604">
        <f t="shared" si="387"/>
        <v>376165.88519931724</v>
      </c>
      <c r="CJ464" s="1604">
        <f t="shared" si="388"/>
        <v>376165.88519931724</v>
      </c>
      <c r="CK464" s="1521">
        <f t="shared" si="389"/>
        <v>1504663.540797269</v>
      </c>
      <c r="CL464" s="1132">
        <v>457</v>
      </c>
      <c r="CM464" s="1132" t="s">
        <v>337</v>
      </c>
      <c r="CN464" s="1359">
        <v>0</v>
      </c>
      <c r="CO464" s="1360">
        <v>6202.0713000000005</v>
      </c>
      <c r="CP464" s="1360">
        <v>6202.0713000000005</v>
      </c>
      <c r="CQ464" s="1360">
        <v>6202.0713000000005</v>
      </c>
      <c r="CR464" s="1360">
        <v>6202.0713000000005</v>
      </c>
      <c r="CS464" s="1362">
        <f t="shared" si="390"/>
        <v>25077.725679954488</v>
      </c>
      <c r="CT464" s="1362">
        <f t="shared" si="391"/>
        <v>25077.725679954488</v>
      </c>
      <c r="CU464" s="1362">
        <f t="shared" si="392"/>
        <v>25077.725679954488</v>
      </c>
      <c r="CV464" s="1362">
        <f t="shared" si="393"/>
        <v>25077.725679954488</v>
      </c>
      <c r="CW464" s="1362">
        <f t="shared" si="394"/>
        <v>100310.90271981795</v>
      </c>
      <c r="CY464" s="2887"/>
    </row>
    <row r="465" spans="1:103" s="1143" customFormat="1" ht="78" customHeight="1" x14ac:dyDescent="0.35">
      <c r="A465" s="1132" t="s">
        <v>114</v>
      </c>
      <c r="B465" s="1132" t="s">
        <v>945</v>
      </c>
      <c r="C465" s="1132" t="s">
        <v>343</v>
      </c>
      <c r="D465" s="1359" t="s">
        <v>344</v>
      </c>
      <c r="E465" s="1359">
        <v>1</v>
      </c>
      <c r="F465" s="1780" t="s">
        <v>336</v>
      </c>
      <c r="G465" s="1132" t="s">
        <v>337</v>
      </c>
      <c r="H465" s="1360">
        <v>27.240000000000002</v>
      </c>
      <c r="I465" s="1360">
        <v>27.240000000000002</v>
      </c>
      <c r="J465" s="1360">
        <v>27.240000000000002</v>
      </c>
      <c r="K465" s="1360">
        <v>27.240000000000002</v>
      </c>
      <c r="L465" s="1132" t="s">
        <v>338</v>
      </c>
      <c r="M465" s="1132" t="str">
        <f t="shared" si="356"/>
        <v>Nicor Gas PY11-PY14 Adjustable Goals Template_2025-03-01, Tab 4.4.14</v>
      </c>
      <c r="N465" s="1361">
        <v>8.1973935563816607</v>
      </c>
      <c r="O465" s="1361">
        <v>8.1973935563816607</v>
      </c>
      <c r="P465" s="1361">
        <v>8.1973935563816607</v>
      </c>
      <c r="Q465" s="1361">
        <v>8.1973935563816607</v>
      </c>
      <c r="R465" s="1781">
        <v>0.93</v>
      </c>
      <c r="S465" s="1781">
        <v>0.93</v>
      </c>
      <c r="T465" s="1781">
        <v>0.93</v>
      </c>
      <c r="U465" s="1781">
        <v>0.93</v>
      </c>
      <c r="V465" s="1781">
        <v>0.93</v>
      </c>
      <c r="W465" s="1781">
        <v>0.93</v>
      </c>
      <c r="X465" s="1781">
        <v>0.93</v>
      </c>
      <c r="Y465" s="1781">
        <v>0.93</v>
      </c>
      <c r="Z465" s="1359">
        <v>0</v>
      </c>
      <c r="AA465" s="1781">
        <f t="shared" si="357"/>
        <v>0.93</v>
      </c>
      <c r="AB465" s="1781">
        <f t="shared" si="358"/>
        <v>0.93</v>
      </c>
      <c r="AC465" s="1781">
        <f t="shared" si="359"/>
        <v>0.93</v>
      </c>
      <c r="AD465" s="1781">
        <f t="shared" si="360"/>
        <v>0.93</v>
      </c>
      <c r="AE465" s="1781">
        <f t="shared" si="361"/>
        <v>0.93</v>
      </c>
      <c r="AF465" s="1781">
        <f t="shared" si="362"/>
        <v>0.93</v>
      </c>
      <c r="AG465" s="1781">
        <f t="shared" si="363"/>
        <v>0.93</v>
      </c>
      <c r="AH465" s="1781">
        <f t="shared" si="364"/>
        <v>0.93</v>
      </c>
      <c r="AI465" s="1362">
        <f t="shared" si="395"/>
        <v>207.66621044252793</v>
      </c>
      <c r="AJ465" s="1362">
        <f t="shared" si="396"/>
        <v>207.66621044252793</v>
      </c>
      <c r="AK465" s="1362">
        <f t="shared" si="397"/>
        <v>207.66621044252793</v>
      </c>
      <c r="AL465" s="1362">
        <f t="shared" si="398"/>
        <v>207.66621044252793</v>
      </c>
      <c r="AM465" s="1362">
        <f t="shared" si="399"/>
        <v>830.66484177011171</v>
      </c>
      <c r="AN465" s="1132" t="str">
        <f t="shared" si="365"/>
        <v>CI-HVC-PINS-V05-190101</v>
      </c>
      <c r="AO465" s="1132" t="str">
        <f t="shared" si="366"/>
        <v>Nicor Gas PY11-PY14 Adjustable Goals Template_2025-03-01, Tab 4.4.14</v>
      </c>
      <c r="AP465" s="2505">
        <f>'4.4.14'!$T$6</f>
        <v>8.1973935563816607</v>
      </c>
      <c r="AQ465" s="2505"/>
      <c r="AR465" s="2505">
        <f t="shared" si="367"/>
        <v>207.66621044252793</v>
      </c>
      <c r="AS465" s="2505">
        <f t="shared" si="368"/>
        <v>0</v>
      </c>
      <c r="AT465" s="1132" t="str">
        <f t="shared" si="369"/>
        <v>CI-HVC-PINS-V05-190101</v>
      </c>
      <c r="AU465" s="1132" t="str">
        <f t="shared" si="370"/>
        <v>Nicor Gas PY11-PY14 Adjustable Goals Template_2025-03-01, Tab 4.4.14</v>
      </c>
      <c r="AV465" s="2505">
        <f>'4.4.14'!$T$6</f>
        <v>8.1973935563816607</v>
      </c>
      <c r="AW465" s="2505"/>
      <c r="AX465" s="1362">
        <f t="shared" si="371"/>
        <v>207.66621044252793</v>
      </c>
      <c r="AY465" s="1360">
        <f t="shared" si="372"/>
        <v>0</v>
      </c>
      <c r="AZ465" s="1132" t="str">
        <f t="shared" si="373"/>
        <v>CI-HVC-PINS-V05-190101</v>
      </c>
      <c r="BA465" s="1132" t="str">
        <f t="shared" si="374"/>
        <v>Nicor Gas PY11-PY14 Adjustable Goals Template_2025-03-01, Tab 4.4.14</v>
      </c>
      <c r="BB465" s="2505">
        <f>'4.4.14'!$T$6</f>
        <v>8.1973935563816607</v>
      </c>
      <c r="BC465" s="2505"/>
      <c r="BD465" s="1362">
        <f t="shared" si="375"/>
        <v>207.66621044252793</v>
      </c>
      <c r="BE465" s="1360">
        <f t="shared" si="376"/>
        <v>0</v>
      </c>
      <c r="BF465" s="1132" t="str">
        <f t="shared" si="377"/>
        <v>CI-HVC-PINS-V05-190101</v>
      </c>
      <c r="BG465" s="1132" t="str">
        <f t="shared" si="378"/>
        <v>Nicor Gas PY11-PY14 Adjustable Goals Template_2025-03-01, Tab 4.4.14</v>
      </c>
      <c r="BH465" s="2505">
        <f>'4.4.14'!$T$6</f>
        <v>8.1973935563816607</v>
      </c>
      <c r="BI465" s="2505"/>
      <c r="BJ465" s="1362">
        <f t="shared" si="400"/>
        <v>207.66621044252793</v>
      </c>
      <c r="BK465" s="1360">
        <f t="shared" si="379"/>
        <v>0</v>
      </c>
      <c r="BL465" s="1601">
        <f t="shared" si="380"/>
        <v>207.66621044252793</v>
      </c>
      <c r="BM465" s="1601">
        <f t="shared" si="381"/>
        <v>207.66621044252793</v>
      </c>
      <c r="BN465" s="1601">
        <f t="shared" si="382"/>
        <v>207.66621044252793</v>
      </c>
      <c r="BO465" s="1601">
        <f t="shared" si="383"/>
        <v>207.66621044252793</v>
      </c>
      <c r="BP465" s="1602">
        <f t="shared" si="384"/>
        <v>830.66484177011171</v>
      </c>
      <c r="BQ465" s="1629"/>
      <c r="BR465" s="1629" t="s">
        <v>336</v>
      </c>
      <c r="BS465" s="1602">
        <v>0</v>
      </c>
      <c r="BT465" s="1602">
        <v>15</v>
      </c>
      <c r="BU465" s="1602">
        <v>15</v>
      </c>
      <c r="BV465" s="1602">
        <v>15</v>
      </c>
      <c r="BW465" s="1602">
        <v>15</v>
      </c>
      <c r="BX465" s="1362">
        <f t="shared" si="401"/>
        <v>3114.9931566379191</v>
      </c>
      <c r="BY465" s="1362">
        <f t="shared" si="402"/>
        <v>3114.9931566379191</v>
      </c>
      <c r="BZ465" s="1362">
        <f t="shared" si="403"/>
        <v>3114.9931566379191</v>
      </c>
      <c r="CA465" s="1362">
        <f t="shared" si="404"/>
        <v>3114.9931566379191</v>
      </c>
      <c r="CB465" s="1362">
        <f t="shared" si="405"/>
        <v>12459.972626551677</v>
      </c>
      <c r="CC465" s="1360">
        <v>15</v>
      </c>
      <c r="CD465" s="1360">
        <v>15</v>
      </c>
      <c r="CE465" s="1360">
        <v>15</v>
      </c>
      <c r="CF465" s="1360">
        <v>15</v>
      </c>
      <c r="CG465" s="1604">
        <f t="shared" si="385"/>
        <v>3114.9931566379187</v>
      </c>
      <c r="CH465" s="1604">
        <f t="shared" si="386"/>
        <v>3114.9931566379187</v>
      </c>
      <c r="CI465" s="1604">
        <f t="shared" si="387"/>
        <v>3114.9931566379187</v>
      </c>
      <c r="CJ465" s="1604">
        <f t="shared" si="388"/>
        <v>3114.9931566379187</v>
      </c>
      <c r="CK465" s="1521">
        <f t="shared" si="389"/>
        <v>12459.972626551675</v>
      </c>
      <c r="CL465" s="1132">
        <v>458</v>
      </c>
      <c r="CM465" s="1132" t="s">
        <v>337</v>
      </c>
      <c r="CN465" s="1359">
        <v>0</v>
      </c>
      <c r="CO465" s="1360">
        <v>27.240000000000002</v>
      </c>
      <c r="CP465" s="1360">
        <v>27.240000000000002</v>
      </c>
      <c r="CQ465" s="1360">
        <v>27.240000000000002</v>
      </c>
      <c r="CR465" s="1360">
        <v>27.240000000000002</v>
      </c>
      <c r="CS465" s="1362">
        <f t="shared" si="390"/>
        <v>207.66621044252793</v>
      </c>
      <c r="CT465" s="1362">
        <f t="shared" si="391"/>
        <v>207.66621044252793</v>
      </c>
      <c r="CU465" s="1362">
        <f t="shared" si="392"/>
        <v>207.66621044252793</v>
      </c>
      <c r="CV465" s="1362">
        <f t="shared" si="393"/>
        <v>207.66621044252793</v>
      </c>
      <c r="CW465" s="1362">
        <f t="shared" si="394"/>
        <v>830.66484177011171</v>
      </c>
      <c r="CY465" s="2887"/>
    </row>
    <row r="466" spans="1:103" s="1143" customFormat="1" ht="77.25" customHeight="1" x14ac:dyDescent="0.35">
      <c r="A466" s="1132" t="s">
        <v>114</v>
      </c>
      <c r="B466" s="1132" t="s">
        <v>945</v>
      </c>
      <c r="C466" s="1132" t="s">
        <v>345</v>
      </c>
      <c r="D466" s="1359" t="s">
        <v>346</v>
      </c>
      <c r="E466" s="1359">
        <v>1</v>
      </c>
      <c r="F466" s="1780" t="s">
        <v>336</v>
      </c>
      <c r="G466" s="1132" t="s">
        <v>337</v>
      </c>
      <c r="H466" s="1360">
        <v>1163.1479999999999</v>
      </c>
      <c r="I466" s="1360">
        <v>1163.1479999999999</v>
      </c>
      <c r="J466" s="1360">
        <v>1163.1479999999999</v>
      </c>
      <c r="K466" s="1360">
        <v>1163.1479999999999</v>
      </c>
      <c r="L466" s="1132" t="s">
        <v>338</v>
      </c>
      <c r="M466" s="1132" t="str">
        <f t="shared" si="356"/>
        <v>Nicor Gas PY11-PY14 Adjustable Goals Template_2025-03-01, Tab 4.4.14</v>
      </c>
      <c r="N466" s="1361">
        <v>2.0533046641791044</v>
      </c>
      <c r="O466" s="1361">
        <v>2.0533046641791044</v>
      </c>
      <c r="P466" s="1361">
        <v>2.0533046641791044</v>
      </c>
      <c r="Q466" s="1361">
        <v>2.0533046641791044</v>
      </c>
      <c r="R466" s="1781">
        <v>0.93</v>
      </c>
      <c r="S466" s="1781">
        <v>0.93</v>
      </c>
      <c r="T466" s="1781">
        <v>0.93</v>
      </c>
      <c r="U466" s="1781">
        <v>0.93</v>
      </c>
      <c r="V466" s="1781">
        <v>0.93</v>
      </c>
      <c r="W466" s="1781">
        <v>0.93</v>
      </c>
      <c r="X466" s="1781">
        <v>0.93</v>
      </c>
      <c r="Y466" s="1781">
        <v>0.93</v>
      </c>
      <c r="Z466" s="1359">
        <v>0</v>
      </c>
      <c r="AA466" s="1781">
        <f t="shared" si="357"/>
        <v>0.93</v>
      </c>
      <c r="AB466" s="1781">
        <f t="shared" si="358"/>
        <v>0.93</v>
      </c>
      <c r="AC466" s="1781">
        <f t="shared" si="359"/>
        <v>0.93</v>
      </c>
      <c r="AD466" s="1781">
        <f t="shared" si="360"/>
        <v>0.93</v>
      </c>
      <c r="AE466" s="1781">
        <f t="shared" si="361"/>
        <v>0.93</v>
      </c>
      <c r="AF466" s="1781">
        <f t="shared" si="362"/>
        <v>0.93</v>
      </c>
      <c r="AG466" s="1781">
        <f t="shared" si="363"/>
        <v>0.93</v>
      </c>
      <c r="AH466" s="1781">
        <f t="shared" si="364"/>
        <v>0.93</v>
      </c>
      <c r="AI466" s="1362">
        <f t="shared" si="395"/>
        <v>2221.1164085834553</v>
      </c>
      <c r="AJ466" s="1362">
        <f t="shared" si="396"/>
        <v>2221.1164085834553</v>
      </c>
      <c r="AK466" s="1362">
        <f t="shared" si="397"/>
        <v>2221.1164085834553</v>
      </c>
      <c r="AL466" s="1362">
        <f t="shared" si="398"/>
        <v>2221.1164085834553</v>
      </c>
      <c r="AM466" s="1362">
        <f t="shared" si="399"/>
        <v>8884.4656343338211</v>
      </c>
      <c r="AN466" s="1132" t="str">
        <f t="shared" si="365"/>
        <v>CI-HVC-PINS-V05-190101</v>
      </c>
      <c r="AO466" s="1132" t="str">
        <f t="shared" si="366"/>
        <v>Nicor Gas PY11-PY14 Adjustable Goals Template_2025-03-01, Tab 4.4.14</v>
      </c>
      <c r="AP466" s="2505">
        <f>'4.4.14'!$T$9</f>
        <v>2.0533046641791044</v>
      </c>
      <c r="AQ466" s="2505"/>
      <c r="AR466" s="2505">
        <f t="shared" si="367"/>
        <v>2221.1164085834553</v>
      </c>
      <c r="AS466" s="2505">
        <f t="shared" si="368"/>
        <v>0</v>
      </c>
      <c r="AT466" s="1132" t="str">
        <f t="shared" si="369"/>
        <v>CI-HVC-PINS-V05-190101</v>
      </c>
      <c r="AU466" s="1132" t="str">
        <f t="shared" si="370"/>
        <v>Nicor Gas PY11-PY14 Adjustable Goals Template_2025-03-01, Tab 4.4.14</v>
      </c>
      <c r="AV466" s="2505">
        <f>'4.4.14'!$T$9</f>
        <v>2.0533046641791044</v>
      </c>
      <c r="AW466" s="2505"/>
      <c r="AX466" s="1362">
        <f t="shared" si="371"/>
        <v>2221.1164085834553</v>
      </c>
      <c r="AY466" s="1360">
        <f t="shared" si="372"/>
        <v>0</v>
      </c>
      <c r="AZ466" s="1132" t="str">
        <f t="shared" si="373"/>
        <v>CI-HVC-PINS-V05-190101</v>
      </c>
      <c r="BA466" s="1132" t="str">
        <f t="shared" si="374"/>
        <v>Nicor Gas PY11-PY14 Adjustable Goals Template_2025-03-01, Tab 4.4.14</v>
      </c>
      <c r="BB466" s="2505">
        <f>'4.4.14'!$T$9</f>
        <v>2.0533046641791044</v>
      </c>
      <c r="BC466" s="2505"/>
      <c r="BD466" s="1362">
        <f t="shared" si="375"/>
        <v>2221.1164085834553</v>
      </c>
      <c r="BE466" s="1360">
        <f t="shared" si="376"/>
        <v>0</v>
      </c>
      <c r="BF466" s="1132" t="str">
        <f t="shared" si="377"/>
        <v>CI-HVC-PINS-V05-190101</v>
      </c>
      <c r="BG466" s="1132" t="str">
        <f t="shared" si="378"/>
        <v>Nicor Gas PY11-PY14 Adjustable Goals Template_2025-03-01, Tab 4.4.14</v>
      </c>
      <c r="BH466" s="2505">
        <f>'4.4.14'!$T$9</f>
        <v>2.0533046641791044</v>
      </c>
      <c r="BI466" s="2505"/>
      <c r="BJ466" s="1362">
        <f t="shared" si="400"/>
        <v>2221.1164085834553</v>
      </c>
      <c r="BK466" s="1360">
        <f t="shared" si="379"/>
        <v>0</v>
      </c>
      <c r="BL466" s="1601">
        <f t="shared" si="380"/>
        <v>2221.1164085834553</v>
      </c>
      <c r="BM466" s="1601">
        <f t="shared" si="381"/>
        <v>2221.1164085834553</v>
      </c>
      <c r="BN466" s="1601">
        <f t="shared" si="382"/>
        <v>2221.1164085834553</v>
      </c>
      <c r="BO466" s="1601">
        <f t="shared" si="383"/>
        <v>2221.1164085834553</v>
      </c>
      <c r="BP466" s="1602">
        <f t="shared" si="384"/>
        <v>8884.4656343338211</v>
      </c>
      <c r="BQ466" s="1629"/>
      <c r="BR466" s="1629" t="s">
        <v>336</v>
      </c>
      <c r="BS466" s="1602">
        <v>0</v>
      </c>
      <c r="BT466" s="1602">
        <v>15</v>
      </c>
      <c r="BU466" s="1602">
        <v>15</v>
      </c>
      <c r="BV466" s="1602">
        <v>15</v>
      </c>
      <c r="BW466" s="1602">
        <v>15</v>
      </c>
      <c r="BX466" s="1362">
        <f t="shared" si="401"/>
        <v>33316.746128751831</v>
      </c>
      <c r="BY466" s="1362">
        <f t="shared" si="402"/>
        <v>33316.746128751831</v>
      </c>
      <c r="BZ466" s="1362">
        <f t="shared" si="403"/>
        <v>33316.746128751831</v>
      </c>
      <c r="CA466" s="1362">
        <f t="shared" si="404"/>
        <v>33316.746128751831</v>
      </c>
      <c r="CB466" s="1362">
        <f t="shared" si="405"/>
        <v>133266.98451500732</v>
      </c>
      <c r="CC466" s="1360">
        <v>15</v>
      </c>
      <c r="CD466" s="1360">
        <v>15</v>
      </c>
      <c r="CE466" s="1360">
        <v>15</v>
      </c>
      <c r="CF466" s="1360">
        <v>15</v>
      </c>
      <c r="CG466" s="1604">
        <f t="shared" si="385"/>
        <v>33316.746128751831</v>
      </c>
      <c r="CH466" s="1604">
        <f t="shared" si="386"/>
        <v>33316.746128751831</v>
      </c>
      <c r="CI466" s="1604">
        <f t="shared" si="387"/>
        <v>33316.746128751831</v>
      </c>
      <c r="CJ466" s="1604">
        <f t="shared" si="388"/>
        <v>33316.746128751831</v>
      </c>
      <c r="CK466" s="1521">
        <f t="shared" si="389"/>
        <v>133266.98451500732</v>
      </c>
      <c r="CL466" s="1132">
        <v>459</v>
      </c>
      <c r="CM466" s="1132" t="s">
        <v>337</v>
      </c>
      <c r="CN466" s="1359">
        <v>0</v>
      </c>
      <c r="CO466" s="1360">
        <v>1163.1479999999999</v>
      </c>
      <c r="CP466" s="1360">
        <v>1163.1479999999999</v>
      </c>
      <c r="CQ466" s="1360">
        <v>1163.1479999999999</v>
      </c>
      <c r="CR466" s="1360">
        <v>1163.1479999999999</v>
      </c>
      <c r="CS466" s="1362">
        <f t="shared" si="390"/>
        <v>2221.1164085834553</v>
      </c>
      <c r="CT466" s="1362">
        <f t="shared" si="391"/>
        <v>2221.1164085834553</v>
      </c>
      <c r="CU466" s="1362">
        <f t="shared" si="392"/>
        <v>2221.1164085834553</v>
      </c>
      <c r="CV466" s="1362">
        <f t="shared" si="393"/>
        <v>2221.1164085834553</v>
      </c>
      <c r="CW466" s="1362">
        <f t="shared" si="394"/>
        <v>8884.4656343338211</v>
      </c>
      <c r="CY466" s="2887"/>
    </row>
    <row r="467" spans="1:103" s="1143" customFormat="1" ht="75.75" customHeight="1" x14ac:dyDescent="0.35">
      <c r="A467" s="1132" t="s">
        <v>114</v>
      </c>
      <c r="B467" s="1132" t="s">
        <v>945</v>
      </c>
      <c r="C467" s="1132" t="s">
        <v>521</v>
      </c>
      <c r="D467" s="1359" t="s">
        <v>522</v>
      </c>
      <c r="E467" s="1359">
        <v>1</v>
      </c>
      <c r="F467" s="1780" t="s">
        <v>519</v>
      </c>
      <c r="G467" s="1132" t="s">
        <v>337</v>
      </c>
      <c r="H467" s="1360">
        <v>1.3847</v>
      </c>
      <c r="I467" s="1360">
        <v>1.3847</v>
      </c>
      <c r="J467" s="1360">
        <v>1.3847</v>
      </c>
      <c r="K467" s="1360">
        <v>1.3847</v>
      </c>
      <c r="L467" s="1132" t="s">
        <v>520</v>
      </c>
      <c r="M467" s="1132" t="str">
        <f t="shared" si="356"/>
        <v>Nicor Gas PY11-PY14 Adjustable Goals Template_2025-03-01, Tab 4.4.24</v>
      </c>
      <c r="N467" s="1361">
        <v>0.14470700000000003</v>
      </c>
      <c r="O467" s="1361">
        <v>0.14470700000000003</v>
      </c>
      <c r="P467" s="1361">
        <v>0.14470700000000003</v>
      </c>
      <c r="Q467" s="1361">
        <v>0.14470700000000003</v>
      </c>
      <c r="R467" s="1781">
        <v>0.93</v>
      </c>
      <c r="S467" s="1781">
        <v>0.93</v>
      </c>
      <c r="T467" s="1781">
        <v>0.93</v>
      </c>
      <c r="U467" s="1781">
        <v>0.93</v>
      </c>
      <c r="V467" s="1781">
        <v>0.93</v>
      </c>
      <c r="W467" s="1781">
        <v>0.93</v>
      </c>
      <c r="X467" s="1781">
        <v>0.93</v>
      </c>
      <c r="Y467" s="1781">
        <v>0.93</v>
      </c>
      <c r="Z467" s="1359">
        <v>0</v>
      </c>
      <c r="AA467" s="1781">
        <f t="shared" si="357"/>
        <v>0.93</v>
      </c>
      <c r="AB467" s="1781">
        <f t="shared" si="358"/>
        <v>0.93</v>
      </c>
      <c r="AC467" s="1781">
        <f t="shared" si="359"/>
        <v>0.93</v>
      </c>
      <c r="AD467" s="1781">
        <f t="shared" si="360"/>
        <v>0.93</v>
      </c>
      <c r="AE467" s="1781">
        <f t="shared" si="361"/>
        <v>0.93</v>
      </c>
      <c r="AF467" s="1781">
        <f t="shared" si="362"/>
        <v>0.93</v>
      </c>
      <c r="AG467" s="1781">
        <f t="shared" si="363"/>
        <v>0.93</v>
      </c>
      <c r="AH467" s="1781">
        <f t="shared" si="364"/>
        <v>0.93</v>
      </c>
      <c r="AI467" s="1362">
        <f t="shared" si="395"/>
        <v>0.18634947809700006</v>
      </c>
      <c r="AJ467" s="1362">
        <f t="shared" si="396"/>
        <v>0.18634947809700006</v>
      </c>
      <c r="AK467" s="1362">
        <f t="shared" si="397"/>
        <v>0.18634947809700006</v>
      </c>
      <c r="AL467" s="1362">
        <f t="shared" si="398"/>
        <v>0.18634947809700006</v>
      </c>
      <c r="AM467" s="1362">
        <f t="shared" si="399"/>
        <v>0.74539791238800024</v>
      </c>
      <c r="AN467" s="1132" t="str">
        <f t="shared" si="365"/>
        <v>CI-HVC-SPIN-V02-160601</v>
      </c>
      <c r="AO467" s="1132" t="str">
        <f t="shared" si="366"/>
        <v>Nicor Gas PY11-PY14 Adjustable Goals Template_2025-03-01, Tab 4.4.24</v>
      </c>
      <c r="AP467" s="2507">
        <f>'4.4.24 '!$R$5</f>
        <v>0.14470700000000003</v>
      </c>
      <c r="AQ467" s="2505"/>
      <c r="AR467" s="2505">
        <f t="shared" si="367"/>
        <v>0.18634947809700006</v>
      </c>
      <c r="AS467" s="2505">
        <f t="shared" si="368"/>
        <v>0</v>
      </c>
      <c r="AT467" s="1132" t="str">
        <f t="shared" si="369"/>
        <v>CI-HVC-SPIN-V02-160601</v>
      </c>
      <c r="AU467" s="1132" t="str">
        <f t="shared" si="370"/>
        <v>Nicor Gas PY11-PY14 Adjustable Goals Template_2025-03-01, Tab 4.4.24</v>
      </c>
      <c r="AV467" s="2505">
        <f>'4.4.24 '!$R$5</f>
        <v>0.14470700000000003</v>
      </c>
      <c r="AW467" s="2505"/>
      <c r="AX467" s="1362">
        <f t="shared" si="371"/>
        <v>0.18634947809700006</v>
      </c>
      <c r="AY467" s="1360">
        <f t="shared" si="372"/>
        <v>0</v>
      </c>
      <c r="AZ467" s="1132" t="str">
        <f t="shared" si="373"/>
        <v>CI-HVC-SPIN-V02-160601</v>
      </c>
      <c r="BA467" s="1132" t="str">
        <f t="shared" si="374"/>
        <v>Nicor Gas PY11-PY14 Adjustable Goals Template_2025-03-01, Tab 4.4.24</v>
      </c>
      <c r="BB467" s="2505">
        <f>'4.4.24 '!$R$5</f>
        <v>0.14470700000000003</v>
      </c>
      <c r="BC467" s="2505"/>
      <c r="BD467" s="1362">
        <f t="shared" si="375"/>
        <v>0.18634947809700006</v>
      </c>
      <c r="BE467" s="1360">
        <f t="shared" si="376"/>
        <v>0</v>
      </c>
      <c r="BF467" s="1132" t="str">
        <f t="shared" si="377"/>
        <v>CI-HVC-SPIN-V02-160601</v>
      </c>
      <c r="BG467" s="1132" t="str">
        <f t="shared" si="378"/>
        <v>Nicor Gas PY11-PY14 Adjustable Goals Template_2025-03-01, Tab 4.4.24</v>
      </c>
      <c r="BH467" s="2505">
        <f>'4.4.24 '!$R$5</f>
        <v>0.14470700000000003</v>
      </c>
      <c r="BI467" s="2505"/>
      <c r="BJ467" s="1362">
        <f t="shared" si="400"/>
        <v>0.18634947809700006</v>
      </c>
      <c r="BK467" s="1360">
        <f t="shared" si="379"/>
        <v>0</v>
      </c>
      <c r="BL467" s="1601">
        <f t="shared" si="380"/>
        <v>0.18634947809700006</v>
      </c>
      <c r="BM467" s="1601">
        <f t="shared" si="381"/>
        <v>0.18634947809700006</v>
      </c>
      <c r="BN467" s="1601">
        <f t="shared" si="382"/>
        <v>0.18634947809700006</v>
      </c>
      <c r="BO467" s="1601">
        <f t="shared" si="383"/>
        <v>0.18634947809700006</v>
      </c>
      <c r="BP467" s="1602">
        <f t="shared" si="384"/>
        <v>0.74539791238800024</v>
      </c>
      <c r="BQ467" s="1629"/>
      <c r="BR467" s="1629" t="s">
        <v>519</v>
      </c>
      <c r="BS467" s="1602">
        <v>0</v>
      </c>
      <c r="BT467" s="1602">
        <v>15</v>
      </c>
      <c r="BU467" s="1602">
        <v>15</v>
      </c>
      <c r="BV467" s="1602">
        <v>15</v>
      </c>
      <c r="BW467" s="1602">
        <v>15</v>
      </c>
      <c r="BX467" s="1362">
        <f t="shared" si="401"/>
        <v>2.7952421714550009</v>
      </c>
      <c r="BY467" s="1362">
        <f t="shared" si="402"/>
        <v>2.7952421714550009</v>
      </c>
      <c r="BZ467" s="1362">
        <f t="shared" si="403"/>
        <v>2.7952421714550009</v>
      </c>
      <c r="CA467" s="1362">
        <f t="shared" si="404"/>
        <v>2.7952421714550009</v>
      </c>
      <c r="CB467" s="1362">
        <f t="shared" si="405"/>
        <v>11.180968685820003</v>
      </c>
      <c r="CC467" s="1360">
        <v>15</v>
      </c>
      <c r="CD467" s="1360">
        <v>15</v>
      </c>
      <c r="CE467" s="1360">
        <v>15</v>
      </c>
      <c r="CF467" s="1360">
        <v>15</v>
      </c>
      <c r="CG467" s="1604">
        <f t="shared" si="385"/>
        <v>2.7952421714550004</v>
      </c>
      <c r="CH467" s="1604">
        <f t="shared" si="386"/>
        <v>2.7952421714550004</v>
      </c>
      <c r="CI467" s="1604">
        <f t="shared" si="387"/>
        <v>2.7952421714550004</v>
      </c>
      <c r="CJ467" s="1604">
        <f t="shared" si="388"/>
        <v>2.7952421714550004</v>
      </c>
      <c r="CK467" s="1521">
        <f t="shared" si="389"/>
        <v>11.180968685820002</v>
      </c>
      <c r="CL467" s="1132">
        <v>460</v>
      </c>
      <c r="CM467" s="1132" t="s">
        <v>337</v>
      </c>
      <c r="CN467" s="1359">
        <v>0</v>
      </c>
      <c r="CO467" s="1360">
        <v>1.3847</v>
      </c>
      <c r="CP467" s="1360">
        <v>1.3847</v>
      </c>
      <c r="CQ467" s="1360">
        <v>1.3847</v>
      </c>
      <c r="CR467" s="1360">
        <v>1.3847</v>
      </c>
      <c r="CS467" s="1362">
        <f t="shared" si="390"/>
        <v>0.18634947809700006</v>
      </c>
      <c r="CT467" s="1362">
        <f t="shared" si="391"/>
        <v>0.18634947809700006</v>
      </c>
      <c r="CU467" s="1362">
        <f t="shared" si="392"/>
        <v>0.18634947809700006</v>
      </c>
      <c r="CV467" s="1362">
        <f t="shared" si="393"/>
        <v>0.18634947809700006</v>
      </c>
      <c r="CW467" s="1362">
        <f t="shared" si="394"/>
        <v>0.74539791238800024</v>
      </c>
      <c r="CY467" s="2887"/>
    </row>
    <row r="468" spans="1:103" s="1143" customFormat="1" ht="79.5" customHeight="1" x14ac:dyDescent="0.35">
      <c r="A468" s="1132" t="s">
        <v>114</v>
      </c>
      <c r="B468" s="1132" t="s">
        <v>945</v>
      </c>
      <c r="C468" s="1132" t="s">
        <v>525</v>
      </c>
      <c r="D468" s="1359" t="s">
        <v>526</v>
      </c>
      <c r="E468" s="1359">
        <v>1</v>
      </c>
      <c r="F468" s="1780" t="s">
        <v>519</v>
      </c>
      <c r="G468" s="1132" t="s">
        <v>337</v>
      </c>
      <c r="H468" s="1360">
        <v>74.773799999999994</v>
      </c>
      <c r="I468" s="1360">
        <v>74.773799999999994</v>
      </c>
      <c r="J468" s="1360">
        <v>74.773799999999994</v>
      </c>
      <c r="K468" s="1360">
        <v>74.773799999999994</v>
      </c>
      <c r="L468" s="1132" t="s">
        <v>520</v>
      </c>
      <c r="M468" s="1132" t="str">
        <f t="shared" si="356"/>
        <v>Nicor Gas PY11-PY14 Adjustable Goals Template_2025-03-01, Tab 4.4.24</v>
      </c>
      <c r="N468" s="1361">
        <v>0.28106999999999999</v>
      </c>
      <c r="O468" s="1361">
        <v>0.28106999999999999</v>
      </c>
      <c r="P468" s="1361">
        <v>0.28106999999999999</v>
      </c>
      <c r="Q468" s="1361">
        <v>0.28106999999999999</v>
      </c>
      <c r="R468" s="1781">
        <v>0.93</v>
      </c>
      <c r="S468" s="1781">
        <v>0.93</v>
      </c>
      <c r="T468" s="1781">
        <v>0.93</v>
      </c>
      <c r="U468" s="1781">
        <v>0.93</v>
      </c>
      <c r="V468" s="1781">
        <v>0.93</v>
      </c>
      <c r="W468" s="1781">
        <v>0.93</v>
      </c>
      <c r="X468" s="1781">
        <v>0.93</v>
      </c>
      <c r="Y468" s="1781">
        <v>0.93</v>
      </c>
      <c r="Z468" s="1359">
        <v>0</v>
      </c>
      <c r="AA468" s="1781">
        <f t="shared" si="357"/>
        <v>0.93</v>
      </c>
      <c r="AB468" s="1781">
        <f t="shared" si="358"/>
        <v>0.93</v>
      </c>
      <c r="AC468" s="1781">
        <f t="shared" si="359"/>
        <v>0.93</v>
      </c>
      <c r="AD468" s="1781">
        <f t="shared" si="360"/>
        <v>0.93</v>
      </c>
      <c r="AE468" s="1781">
        <f t="shared" si="361"/>
        <v>0.93</v>
      </c>
      <c r="AF468" s="1781">
        <f t="shared" si="362"/>
        <v>0.93</v>
      </c>
      <c r="AG468" s="1781">
        <f t="shared" si="363"/>
        <v>0.93</v>
      </c>
      <c r="AH468" s="1781">
        <f t="shared" si="364"/>
        <v>0.93</v>
      </c>
      <c r="AI468" s="1362">
        <f t="shared" si="395"/>
        <v>19.545504928379998</v>
      </c>
      <c r="AJ468" s="1362">
        <f t="shared" si="396"/>
        <v>19.545504928379998</v>
      </c>
      <c r="AK468" s="1362">
        <f t="shared" si="397"/>
        <v>19.545504928379998</v>
      </c>
      <c r="AL468" s="1362">
        <f t="shared" si="398"/>
        <v>19.545504928379998</v>
      </c>
      <c r="AM468" s="1362">
        <f t="shared" si="399"/>
        <v>78.182019713519992</v>
      </c>
      <c r="AN468" s="1132" t="str">
        <f t="shared" si="365"/>
        <v>CI-HVC-SPIN-V02-160601</v>
      </c>
      <c r="AO468" s="1132" t="str">
        <f t="shared" si="366"/>
        <v>Nicor Gas PY11-PY14 Adjustable Goals Template_2025-03-01, Tab 4.4.24</v>
      </c>
      <c r="AP468" s="2507">
        <f>'4.4.24 '!$R$7</f>
        <v>0.28106999999999999</v>
      </c>
      <c r="AQ468" s="2505"/>
      <c r="AR468" s="2505">
        <f t="shared" si="367"/>
        <v>19.545504928379998</v>
      </c>
      <c r="AS468" s="2505">
        <f t="shared" si="368"/>
        <v>0</v>
      </c>
      <c r="AT468" s="1132" t="str">
        <f t="shared" si="369"/>
        <v>CI-HVC-SPIN-V02-160601</v>
      </c>
      <c r="AU468" s="1132" t="str">
        <f t="shared" si="370"/>
        <v>Nicor Gas PY11-PY14 Adjustable Goals Template_2025-03-01, Tab 4.4.24</v>
      </c>
      <c r="AV468" s="2505">
        <f>'4.4.24 '!$R$7</f>
        <v>0.28106999999999999</v>
      </c>
      <c r="AW468" s="2505"/>
      <c r="AX468" s="1362">
        <f t="shared" si="371"/>
        <v>19.545504928379998</v>
      </c>
      <c r="AY468" s="1360">
        <f t="shared" si="372"/>
        <v>0</v>
      </c>
      <c r="AZ468" s="1132" t="str">
        <f t="shared" si="373"/>
        <v>CI-HVC-SPIN-V02-160601</v>
      </c>
      <c r="BA468" s="1132" t="str">
        <f t="shared" si="374"/>
        <v>Nicor Gas PY11-PY14 Adjustable Goals Template_2025-03-01, Tab 4.4.24</v>
      </c>
      <c r="BB468" s="2505">
        <f>'4.4.24 '!$R$7</f>
        <v>0.28106999999999999</v>
      </c>
      <c r="BC468" s="2505"/>
      <c r="BD468" s="1362">
        <f t="shared" si="375"/>
        <v>19.545504928379998</v>
      </c>
      <c r="BE468" s="1360">
        <f t="shared" si="376"/>
        <v>0</v>
      </c>
      <c r="BF468" s="1132" t="str">
        <f t="shared" si="377"/>
        <v>CI-HVC-SPIN-V02-160601</v>
      </c>
      <c r="BG468" s="1132" t="str">
        <f t="shared" si="378"/>
        <v>Nicor Gas PY11-PY14 Adjustable Goals Template_2025-03-01, Tab 4.4.24</v>
      </c>
      <c r="BH468" s="2505">
        <f>'4.4.24 '!$R$7</f>
        <v>0.28106999999999999</v>
      </c>
      <c r="BI468" s="2505"/>
      <c r="BJ468" s="1362">
        <f t="shared" si="400"/>
        <v>19.545504928379998</v>
      </c>
      <c r="BK468" s="1360">
        <f t="shared" si="379"/>
        <v>0</v>
      </c>
      <c r="BL468" s="1601">
        <f t="shared" si="380"/>
        <v>19.545504928379998</v>
      </c>
      <c r="BM468" s="1601">
        <f t="shared" si="381"/>
        <v>19.545504928379998</v>
      </c>
      <c r="BN468" s="1601">
        <f t="shared" si="382"/>
        <v>19.545504928379998</v>
      </c>
      <c r="BO468" s="1601">
        <f t="shared" si="383"/>
        <v>19.545504928379998</v>
      </c>
      <c r="BP468" s="1602">
        <f t="shared" si="384"/>
        <v>78.182019713519992</v>
      </c>
      <c r="BQ468" s="1629"/>
      <c r="BR468" s="1629" t="s">
        <v>519</v>
      </c>
      <c r="BS468" s="1602">
        <v>0</v>
      </c>
      <c r="BT468" s="1602">
        <v>15</v>
      </c>
      <c r="BU468" s="1602">
        <v>15</v>
      </c>
      <c r="BV468" s="1602">
        <v>15</v>
      </c>
      <c r="BW468" s="1602">
        <v>15</v>
      </c>
      <c r="BX468" s="1362">
        <f t="shared" si="401"/>
        <v>293.18257392569996</v>
      </c>
      <c r="BY468" s="1362">
        <f t="shared" si="402"/>
        <v>293.18257392569996</v>
      </c>
      <c r="BZ468" s="1362">
        <f t="shared" si="403"/>
        <v>293.18257392569996</v>
      </c>
      <c r="CA468" s="1362">
        <f t="shared" si="404"/>
        <v>293.18257392569996</v>
      </c>
      <c r="CB468" s="1362">
        <f t="shared" si="405"/>
        <v>1172.7302957027998</v>
      </c>
      <c r="CC468" s="1360">
        <v>15</v>
      </c>
      <c r="CD468" s="1360">
        <v>15</v>
      </c>
      <c r="CE468" s="1360">
        <v>15</v>
      </c>
      <c r="CF468" s="1360">
        <v>15</v>
      </c>
      <c r="CG468" s="1604">
        <f t="shared" si="385"/>
        <v>293.18257392569996</v>
      </c>
      <c r="CH468" s="1604">
        <f t="shared" si="386"/>
        <v>293.18257392569996</v>
      </c>
      <c r="CI468" s="1604">
        <f t="shared" si="387"/>
        <v>293.18257392569996</v>
      </c>
      <c r="CJ468" s="1604">
        <f t="shared" si="388"/>
        <v>293.18257392569996</v>
      </c>
      <c r="CK468" s="1521">
        <f t="shared" si="389"/>
        <v>1172.7302957027998</v>
      </c>
      <c r="CL468" s="1132">
        <v>461</v>
      </c>
      <c r="CM468" s="1132" t="s">
        <v>337</v>
      </c>
      <c r="CN468" s="1359">
        <v>0</v>
      </c>
      <c r="CO468" s="1360">
        <v>74.773799999999994</v>
      </c>
      <c r="CP468" s="1360">
        <v>74.773799999999994</v>
      </c>
      <c r="CQ468" s="1360">
        <v>74.773799999999994</v>
      </c>
      <c r="CR468" s="1360">
        <v>74.773799999999994</v>
      </c>
      <c r="CS468" s="1362">
        <f t="shared" si="390"/>
        <v>19.545504928379998</v>
      </c>
      <c r="CT468" s="1362">
        <f t="shared" si="391"/>
        <v>19.545504928379998</v>
      </c>
      <c r="CU468" s="1362">
        <f t="shared" si="392"/>
        <v>19.545504928379998</v>
      </c>
      <c r="CV468" s="1362">
        <f t="shared" si="393"/>
        <v>19.545504928379998</v>
      </c>
      <c r="CW468" s="1362">
        <f t="shared" si="394"/>
        <v>78.182019713519992</v>
      </c>
      <c r="CY468" s="2887"/>
    </row>
    <row r="469" spans="1:103" s="1143" customFormat="1" ht="45.75" customHeight="1" x14ac:dyDescent="0.35">
      <c r="A469" s="1132" t="s">
        <v>114</v>
      </c>
      <c r="B469" s="1132" t="s">
        <v>945</v>
      </c>
      <c r="C469" s="1132" t="s">
        <v>868</v>
      </c>
      <c r="D469" s="1359" t="s">
        <v>105</v>
      </c>
      <c r="E469" s="1359">
        <f>IF(AI469-AR469=0,0,1)</f>
        <v>0</v>
      </c>
      <c r="F469" s="1132" t="s">
        <v>105</v>
      </c>
      <c r="G469" s="1132" t="s">
        <v>328</v>
      </c>
      <c r="H469" s="1360">
        <v>6.9234999999999998</v>
      </c>
      <c r="I469" s="1360">
        <v>6.9234999999999998</v>
      </c>
      <c r="J469" s="1360">
        <v>6.9234999999999998</v>
      </c>
      <c r="K469" s="1360">
        <v>6.9234999999999998</v>
      </c>
      <c r="L469" s="1132" t="s">
        <v>105</v>
      </c>
      <c r="M469" s="1132" t="str">
        <f t="shared" si="356"/>
        <v/>
      </c>
      <c r="N469" s="1361">
        <v>2439.1999999999998</v>
      </c>
      <c r="O469" s="1361">
        <v>2439.1999999999998</v>
      </c>
      <c r="P469" s="1361">
        <v>2439.1999999999998</v>
      </c>
      <c r="Q469" s="1361">
        <v>2439.1999999999998</v>
      </c>
      <c r="R469" s="1781">
        <v>0.93</v>
      </c>
      <c r="S469" s="1781">
        <v>0.93</v>
      </c>
      <c r="T469" s="1781">
        <v>0.93</v>
      </c>
      <c r="U469" s="1781">
        <v>0.93</v>
      </c>
      <c r="V469" s="1781">
        <v>0.93</v>
      </c>
      <c r="W469" s="1781">
        <v>0.93</v>
      </c>
      <c r="X469" s="1781">
        <v>0.93</v>
      </c>
      <c r="Y469" s="1781">
        <v>0.93</v>
      </c>
      <c r="Z469" s="1359">
        <v>0</v>
      </c>
      <c r="AA469" s="1781">
        <f t="shared" si="357"/>
        <v>0.93</v>
      </c>
      <c r="AB469" s="1781">
        <f t="shared" si="358"/>
        <v>0.93</v>
      </c>
      <c r="AC469" s="1781">
        <f t="shared" si="359"/>
        <v>0.93</v>
      </c>
      <c r="AD469" s="1781">
        <f t="shared" si="360"/>
        <v>0.93</v>
      </c>
      <c r="AE469" s="1781">
        <f t="shared" si="361"/>
        <v>0.93</v>
      </c>
      <c r="AF469" s="1781">
        <f t="shared" si="362"/>
        <v>0.93</v>
      </c>
      <c r="AG469" s="1781">
        <f t="shared" si="363"/>
        <v>0.93</v>
      </c>
      <c r="AH469" s="1781">
        <f t="shared" si="364"/>
        <v>0.93</v>
      </c>
      <c r="AI469" s="1362">
        <f t="shared" si="395"/>
        <v>15705.655116</v>
      </c>
      <c r="AJ469" s="1362">
        <f t="shared" si="396"/>
        <v>15705.655116</v>
      </c>
      <c r="AK469" s="1362">
        <f t="shared" si="397"/>
        <v>15705.655116</v>
      </c>
      <c r="AL469" s="1362">
        <f t="shared" si="398"/>
        <v>15705.655116</v>
      </c>
      <c r="AM469" s="1362">
        <f t="shared" si="399"/>
        <v>62822.620464</v>
      </c>
      <c r="AN469" s="1132" t="str">
        <f t="shared" si="365"/>
        <v>Custom</v>
      </c>
      <c r="AO469" s="1132" t="str">
        <f t="shared" si="366"/>
        <v/>
      </c>
      <c r="AP469" s="2505">
        <v>2439.1999999999998</v>
      </c>
      <c r="AQ469" s="2505"/>
      <c r="AR469" s="2505">
        <f t="shared" si="367"/>
        <v>15705.655116</v>
      </c>
      <c r="AS469" s="2505">
        <f t="shared" si="368"/>
        <v>0</v>
      </c>
      <c r="AT469" s="1132" t="str">
        <f t="shared" si="369"/>
        <v>Custom</v>
      </c>
      <c r="AU469" s="1132" t="str">
        <f t="shared" si="370"/>
        <v/>
      </c>
      <c r="AV469" s="2505">
        <v>2439.1999999999998</v>
      </c>
      <c r="AW469" s="2505"/>
      <c r="AX469" s="1362">
        <f t="shared" si="371"/>
        <v>15705.655116</v>
      </c>
      <c r="AY469" s="1360">
        <f t="shared" si="372"/>
        <v>0</v>
      </c>
      <c r="AZ469" s="1132" t="str">
        <f t="shared" si="373"/>
        <v>Custom</v>
      </c>
      <c r="BA469" s="1132" t="str">
        <f t="shared" si="374"/>
        <v/>
      </c>
      <c r="BB469" s="2505">
        <v>2439.1999999999998</v>
      </c>
      <c r="BC469" s="2505"/>
      <c r="BD469" s="1362">
        <f t="shared" si="375"/>
        <v>15705.655116</v>
      </c>
      <c r="BE469" s="1360">
        <f t="shared" si="376"/>
        <v>0</v>
      </c>
      <c r="BF469" s="1132" t="str">
        <f t="shared" si="377"/>
        <v>Custom</v>
      </c>
      <c r="BG469" s="1132" t="str">
        <f t="shared" si="378"/>
        <v/>
      </c>
      <c r="BH469" s="2505">
        <v>2439.1999999999998</v>
      </c>
      <c r="BI469" s="2505"/>
      <c r="BJ469" s="1362">
        <f t="shared" si="400"/>
        <v>15705.655116</v>
      </c>
      <c r="BK469" s="1360">
        <f t="shared" si="379"/>
        <v>0</v>
      </c>
      <c r="BL469" s="1601">
        <f t="shared" si="380"/>
        <v>15705.655116</v>
      </c>
      <c r="BM469" s="1601">
        <f t="shared" si="381"/>
        <v>15705.655116</v>
      </c>
      <c r="BN469" s="1601">
        <f t="shared" si="382"/>
        <v>15705.655116</v>
      </c>
      <c r="BO469" s="1601">
        <f t="shared" si="383"/>
        <v>15705.655116</v>
      </c>
      <c r="BP469" s="1602">
        <f t="shared" si="384"/>
        <v>62822.620464</v>
      </c>
      <c r="BQ469" s="1629"/>
      <c r="BR469" s="1629"/>
      <c r="BS469" s="1602">
        <v>0</v>
      </c>
      <c r="BT469" s="1602">
        <v>15</v>
      </c>
      <c r="BU469" s="1602">
        <v>15</v>
      </c>
      <c r="BV469" s="1602">
        <v>15</v>
      </c>
      <c r="BW469" s="1602">
        <v>15</v>
      </c>
      <c r="BX469" s="1362">
        <f t="shared" si="401"/>
        <v>235584.82673999999</v>
      </c>
      <c r="BY469" s="1362">
        <f t="shared" si="402"/>
        <v>235584.82673999999</v>
      </c>
      <c r="BZ469" s="1362">
        <f t="shared" si="403"/>
        <v>235584.82673999999</v>
      </c>
      <c r="CA469" s="1362">
        <f t="shared" si="404"/>
        <v>235584.82673999999</v>
      </c>
      <c r="CB469" s="1362">
        <f t="shared" si="405"/>
        <v>942339.30695999996</v>
      </c>
      <c r="CC469" s="1360">
        <v>15</v>
      </c>
      <c r="CD469" s="1360">
        <v>15</v>
      </c>
      <c r="CE469" s="1360">
        <v>15</v>
      </c>
      <c r="CF469" s="1360">
        <v>15</v>
      </c>
      <c r="CG469" s="1604">
        <f t="shared" si="385"/>
        <v>235584.82673999999</v>
      </c>
      <c r="CH469" s="1604">
        <f t="shared" si="386"/>
        <v>235584.82673999999</v>
      </c>
      <c r="CI469" s="1604">
        <f t="shared" si="387"/>
        <v>235584.82673999999</v>
      </c>
      <c r="CJ469" s="1604">
        <f t="shared" si="388"/>
        <v>235584.82673999999</v>
      </c>
      <c r="CK469" s="1521">
        <f t="shared" si="389"/>
        <v>942339.30695999996</v>
      </c>
      <c r="CL469" s="1132">
        <v>462</v>
      </c>
      <c r="CM469" s="1132" t="s">
        <v>328</v>
      </c>
      <c r="CN469" s="1359">
        <v>0</v>
      </c>
      <c r="CO469" s="1360">
        <v>6.9234999999999998</v>
      </c>
      <c r="CP469" s="1360">
        <v>6.9234999999999998</v>
      </c>
      <c r="CQ469" s="1360">
        <v>6.9234999999999998</v>
      </c>
      <c r="CR469" s="1360">
        <v>6.9234999999999998</v>
      </c>
      <c r="CS469" s="1362">
        <f t="shared" si="390"/>
        <v>15705.655116</v>
      </c>
      <c r="CT469" s="1362">
        <f t="shared" si="391"/>
        <v>15705.655116</v>
      </c>
      <c r="CU469" s="1362">
        <f t="shared" si="392"/>
        <v>15705.655116</v>
      </c>
      <c r="CV469" s="1362">
        <f t="shared" si="393"/>
        <v>15705.655116</v>
      </c>
      <c r="CW469" s="1362">
        <f t="shared" si="394"/>
        <v>62822.620464</v>
      </c>
      <c r="CY469" s="2887"/>
    </row>
    <row r="470" spans="1:103" s="1143" customFormat="1" ht="45.75" customHeight="1" x14ac:dyDescent="0.35">
      <c r="A470" s="1132" t="s">
        <v>114</v>
      </c>
      <c r="B470" s="1132" t="s">
        <v>945</v>
      </c>
      <c r="C470" s="1132" t="s">
        <v>946</v>
      </c>
      <c r="D470" s="1359" t="s">
        <v>105</v>
      </c>
      <c r="E470" s="1359">
        <f>IF(AI470-AR470=0,0,1)</f>
        <v>0</v>
      </c>
      <c r="F470" s="1132" t="s">
        <v>105</v>
      </c>
      <c r="G470" s="1132" t="s">
        <v>328</v>
      </c>
      <c r="H470" s="1360">
        <v>1.3847</v>
      </c>
      <c r="I470" s="1360">
        <v>1.3847</v>
      </c>
      <c r="J470" s="1360">
        <v>1.3847</v>
      </c>
      <c r="K470" s="1360">
        <v>1.3847</v>
      </c>
      <c r="L470" s="1132" t="s">
        <v>105</v>
      </c>
      <c r="M470" s="1132" t="str">
        <f t="shared" si="356"/>
        <v/>
      </c>
      <c r="N470" s="1361">
        <v>26846.076000000001</v>
      </c>
      <c r="O470" s="1361">
        <v>26846.076000000001</v>
      </c>
      <c r="P470" s="1361">
        <v>26846.076000000001</v>
      </c>
      <c r="Q470" s="1361">
        <v>26846.076000000001</v>
      </c>
      <c r="R470" s="1781">
        <v>0.93</v>
      </c>
      <c r="S470" s="1781">
        <v>0.93</v>
      </c>
      <c r="T470" s="1781">
        <v>0.93</v>
      </c>
      <c r="U470" s="1781">
        <v>0.93</v>
      </c>
      <c r="V470" s="1781">
        <v>0.93</v>
      </c>
      <c r="W470" s="1781">
        <v>0.93</v>
      </c>
      <c r="X470" s="1781">
        <v>0.93</v>
      </c>
      <c r="Y470" s="1781">
        <v>0.93</v>
      </c>
      <c r="Z470" s="1359">
        <v>0</v>
      </c>
      <c r="AA470" s="1781">
        <f t="shared" si="357"/>
        <v>0.93</v>
      </c>
      <c r="AB470" s="1781">
        <f t="shared" si="358"/>
        <v>0.93</v>
      </c>
      <c r="AC470" s="1781">
        <f t="shared" si="359"/>
        <v>0.93</v>
      </c>
      <c r="AD470" s="1781">
        <f t="shared" si="360"/>
        <v>0.93</v>
      </c>
      <c r="AE470" s="1781">
        <f t="shared" si="361"/>
        <v>0.93</v>
      </c>
      <c r="AF470" s="1781">
        <f t="shared" si="362"/>
        <v>0.93</v>
      </c>
      <c r="AG470" s="1781">
        <f t="shared" si="363"/>
        <v>0.93</v>
      </c>
      <c r="AH470" s="1781">
        <f t="shared" si="364"/>
        <v>0.93</v>
      </c>
      <c r="AI470" s="1362">
        <f t="shared" si="395"/>
        <v>34571.598136596003</v>
      </c>
      <c r="AJ470" s="1362">
        <f t="shared" si="396"/>
        <v>34571.598136596003</v>
      </c>
      <c r="AK470" s="1362">
        <f t="shared" si="397"/>
        <v>34571.598136596003</v>
      </c>
      <c r="AL470" s="1362">
        <f t="shared" si="398"/>
        <v>34571.598136596003</v>
      </c>
      <c r="AM470" s="1362">
        <f t="shared" si="399"/>
        <v>138286.39254638401</v>
      </c>
      <c r="AN470" s="1132" t="str">
        <f t="shared" si="365"/>
        <v>Custom</v>
      </c>
      <c r="AO470" s="1132" t="str">
        <f t="shared" si="366"/>
        <v/>
      </c>
      <c r="AP470" s="2505">
        <v>26846.076000000001</v>
      </c>
      <c r="AQ470" s="2505"/>
      <c r="AR470" s="2505">
        <f t="shared" si="367"/>
        <v>34571.598136596003</v>
      </c>
      <c r="AS470" s="2505">
        <f t="shared" si="368"/>
        <v>0</v>
      </c>
      <c r="AT470" s="1132" t="str">
        <f t="shared" si="369"/>
        <v>Custom</v>
      </c>
      <c r="AU470" s="1132" t="str">
        <f t="shared" si="370"/>
        <v/>
      </c>
      <c r="AV470" s="2505">
        <v>26846.076000000001</v>
      </c>
      <c r="AW470" s="2505"/>
      <c r="AX470" s="1362">
        <f t="shared" si="371"/>
        <v>34571.598136596003</v>
      </c>
      <c r="AY470" s="1360">
        <f t="shared" si="372"/>
        <v>0</v>
      </c>
      <c r="AZ470" s="1132" t="str">
        <f t="shared" si="373"/>
        <v>Custom</v>
      </c>
      <c r="BA470" s="1132" t="str">
        <f t="shared" si="374"/>
        <v/>
      </c>
      <c r="BB470" s="2505">
        <v>26846.076000000001</v>
      </c>
      <c r="BC470" s="2505"/>
      <c r="BD470" s="1362">
        <f t="shared" si="375"/>
        <v>34571.598136596003</v>
      </c>
      <c r="BE470" s="1360">
        <f t="shared" si="376"/>
        <v>0</v>
      </c>
      <c r="BF470" s="1132" t="str">
        <f t="shared" si="377"/>
        <v>Custom</v>
      </c>
      <c r="BG470" s="1132" t="str">
        <f t="shared" si="378"/>
        <v/>
      </c>
      <c r="BH470" s="2505">
        <v>26846.076000000001</v>
      </c>
      <c r="BI470" s="2505"/>
      <c r="BJ470" s="1362">
        <f t="shared" si="400"/>
        <v>34571.598136596003</v>
      </c>
      <c r="BK470" s="1360">
        <f t="shared" si="379"/>
        <v>0</v>
      </c>
      <c r="BL470" s="1601">
        <f t="shared" si="380"/>
        <v>34571.598136596003</v>
      </c>
      <c r="BM470" s="1601">
        <f t="shared" si="381"/>
        <v>34571.598136596003</v>
      </c>
      <c r="BN470" s="1601">
        <f t="shared" si="382"/>
        <v>34571.598136596003</v>
      </c>
      <c r="BO470" s="1601">
        <f t="shared" si="383"/>
        <v>34571.598136596003</v>
      </c>
      <c r="BP470" s="1602">
        <f t="shared" si="384"/>
        <v>138286.39254638401</v>
      </c>
      <c r="BQ470" s="1629"/>
      <c r="BR470" s="1629"/>
      <c r="BS470" s="1602">
        <v>0</v>
      </c>
      <c r="BT470" s="1602">
        <v>18.866793749445428</v>
      </c>
      <c r="BU470" s="1602">
        <v>18.866793749445428</v>
      </c>
      <c r="BV470" s="1602">
        <v>18.866793749445428</v>
      </c>
      <c r="BW470" s="1602">
        <v>18.866793749445428</v>
      </c>
      <c r="BX470" s="1362">
        <f t="shared" si="401"/>
        <v>652255.21163186873</v>
      </c>
      <c r="BY470" s="1362">
        <f t="shared" si="402"/>
        <v>652255.21163186873</v>
      </c>
      <c r="BZ470" s="1362">
        <f t="shared" si="403"/>
        <v>652255.21163186873</v>
      </c>
      <c r="CA470" s="1362">
        <f t="shared" si="404"/>
        <v>652255.21163186873</v>
      </c>
      <c r="CB470" s="1362">
        <f t="shared" si="405"/>
        <v>2609020.8465274749</v>
      </c>
      <c r="CC470" s="1360">
        <v>18.866793749445428</v>
      </c>
      <c r="CD470" s="1360">
        <v>18.866793749445428</v>
      </c>
      <c r="CE470" s="1360">
        <v>18.866793749445428</v>
      </c>
      <c r="CF470" s="1360">
        <v>18.866793749445428</v>
      </c>
      <c r="CG470" s="1604">
        <f t="shared" si="385"/>
        <v>652255.21163186873</v>
      </c>
      <c r="CH470" s="1604">
        <f t="shared" si="386"/>
        <v>652255.21163186873</v>
      </c>
      <c r="CI470" s="1604">
        <f t="shared" si="387"/>
        <v>652255.21163186873</v>
      </c>
      <c r="CJ470" s="1604">
        <f t="shared" si="388"/>
        <v>652255.21163186873</v>
      </c>
      <c r="CK470" s="1521">
        <f t="shared" si="389"/>
        <v>2609020.8465274749</v>
      </c>
      <c r="CL470" s="1132">
        <v>463</v>
      </c>
      <c r="CM470" s="1132" t="s">
        <v>328</v>
      </c>
      <c r="CN470" s="1359">
        <v>0</v>
      </c>
      <c r="CO470" s="1360">
        <v>1.3847</v>
      </c>
      <c r="CP470" s="1360">
        <v>1.3847</v>
      </c>
      <c r="CQ470" s="1360">
        <v>1.3847</v>
      </c>
      <c r="CR470" s="1360">
        <v>1.3847</v>
      </c>
      <c r="CS470" s="1362">
        <f t="shared" si="390"/>
        <v>34571.598136596003</v>
      </c>
      <c r="CT470" s="1362">
        <f t="shared" si="391"/>
        <v>34571.598136596003</v>
      </c>
      <c r="CU470" s="1362">
        <f t="shared" si="392"/>
        <v>34571.598136596003</v>
      </c>
      <c r="CV470" s="1362">
        <f t="shared" si="393"/>
        <v>34571.598136596003</v>
      </c>
      <c r="CW470" s="1362">
        <f t="shared" si="394"/>
        <v>138286.39254638401</v>
      </c>
      <c r="CY470" s="2887"/>
    </row>
    <row r="471" spans="1:103" s="1143" customFormat="1" ht="83.25" customHeight="1" x14ac:dyDescent="0.35">
      <c r="A471" s="1132" t="s">
        <v>114</v>
      </c>
      <c r="B471" s="1132" t="s">
        <v>945</v>
      </c>
      <c r="C471" s="1132" t="s">
        <v>770</v>
      </c>
      <c r="D471" s="1359" t="s">
        <v>771</v>
      </c>
      <c r="E471" s="1359">
        <v>1</v>
      </c>
      <c r="F471" s="2807" t="s">
        <v>772</v>
      </c>
      <c r="G471" s="1132" t="s">
        <v>356</v>
      </c>
      <c r="H471" s="1360">
        <v>2.7694000000000001</v>
      </c>
      <c r="I471" s="1360">
        <v>2.7694000000000001</v>
      </c>
      <c r="J471" s="1360">
        <v>2.7694000000000001</v>
      </c>
      <c r="K471" s="1360">
        <v>2.7694000000000001</v>
      </c>
      <c r="L471" s="1132" t="s">
        <v>773</v>
      </c>
      <c r="M471" s="1132" t="str">
        <f t="shared" si="356"/>
        <v>Nicor Gas PY11-PY14 Adjustable Goals Template_2025-03-01, Tab 5.4.11</v>
      </c>
      <c r="N471" s="1361">
        <v>93.772701509759997</v>
      </c>
      <c r="O471" s="1361">
        <v>93.772701509759997</v>
      </c>
      <c r="P471" s="1361">
        <v>93.772701509759997</v>
      </c>
      <c r="Q471" s="1361">
        <v>93.772701509759997</v>
      </c>
      <c r="R471" s="1781">
        <v>0.93</v>
      </c>
      <c r="S471" s="1781">
        <v>0.93</v>
      </c>
      <c r="T471" s="1781">
        <v>0.93</v>
      </c>
      <c r="U471" s="1781">
        <v>0.93</v>
      </c>
      <c r="V471" s="1781">
        <v>0.93</v>
      </c>
      <c r="W471" s="1781">
        <v>0.93</v>
      </c>
      <c r="X471" s="1781">
        <v>0.93</v>
      </c>
      <c r="Y471" s="1781">
        <v>0.93</v>
      </c>
      <c r="Z471" s="1359">
        <v>0</v>
      </c>
      <c r="AA471" s="1781">
        <f t="shared" si="357"/>
        <v>0.93</v>
      </c>
      <c r="AB471" s="1781">
        <f t="shared" si="358"/>
        <v>0.93</v>
      </c>
      <c r="AC471" s="1781">
        <f t="shared" si="359"/>
        <v>0.93</v>
      </c>
      <c r="AD471" s="1781">
        <f t="shared" si="360"/>
        <v>0.93</v>
      </c>
      <c r="AE471" s="1781">
        <f t="shared" si="361"/>
        <v>0.93</v>
      </c>
      <c r="AF471" s="1781">
        <f t="shared" si="362"/>
        <v>0.93</v>
      </c>
      <c r="AG471" s="1781">
        <f t="shared" si="363"/>
        <v>0.93</v>
      </c>
      <c r="AH471" s="1781">
        <f t="shared" si="364"/>
        <v>0.93</v>
      </c>
      <c r="AI471" s="1362">
        <f t="shared" si="395"/>
        <v>241.5155311918503</v>
      </c>
      <c r="AJ471" s="1362">
        <f t="shared" si="396"/>
        <v>241.5155311918503</v>
      </c>
      <c r="AK471" s="1362">
        <f t="shared" si="397"/>
        <v>241.5155311918503</v>
      </c>
      <c r="AL471" s="1362">
        <f t="shared" si="398"/>
        <v>241.5155311918503</v>
      </c>
      <c r="AM471" s="1362">
        <f t="shared" si="399"/>
        <v>966.0621247674012</v>
      </c>
      <c r="AN471" s="1132" t="str">
        <f t="shared" si="365"/>
        <v>RS-DHW-DWHR-V01-210101</v>
      </c>
      <c r="AO471" s="1132" t="str">
        <f t="shared" si="366"/>
        <v>Nicor Gas PY11-PY14 Adjustable Goals Template_2025-03-01, Tab 5.4.11</v>
      </c>
      <c r="AP471" s="2738">
        <f>'5.4.11'!$P$4</f>
        <v>100.57072251473197</v>
      </c>
      <c r="AQ471" s="2568" t="s">
        <v>481</v>
      </c>
      <c r="AR471" s="2505">
        <f t="shared" si="367"/>
        <v>259.02411980703783</v>
      </c>
      <c r="AS471" s="2505">
        <f t="shared" si="368"/>
        <v>17.508588615187534</v>
      </c>
      <c r="AT471" s="1132" t="str">
        <f t="shared" si="369"/>
        <v>RS-DHW-DWHR-V01-210101</v>
      </c>
      <c r="AU471" s="1132" t="str">
        <f t="shared" si="370"/>
        <v>Nicor Gas PY11-PY14 Adjustable Goals Template_2025-03-01, Tab 5.4.11</v>
      </c>
      <c r="AV471" s="2247">
        <f>'5.4.11'!$P$4</f>
        <v>100.57072251473197</v>
      </c>
      <c r="AW471" s="2568" t="s">
        <v>481</v>
      </c>
      <c r="AX471" s="1362">
        <f t="shared" si="371"/>
        <v>259.02411980703783</v>
      </c>
      <c r="AY471" s="1360">
        <f t="shared" si="372"/>
        <v>17.508588615187534</v>
      </c>
      <c r="AZ471" s="1132" t="str">
        <f t="shared" si="373"/>
        <v>RS-DHW-DWHR-V01-210101</v>
      </c>
      <c r="BA471" s="1132" t="str">
        <f t="shared" si="374"/>
        <v>Nicor Gas PY11-PY14 Adjustable Goals Template_2025-03-01, Tab 5.4.11</v>
      </c>
      <c r="BB471" s="2247">
        <f>'5.4.11'!$P$4</f>
        <v>100.57072251473197</v>
      </c>
      <c r="BC471" s="2568" t="s">
        <v>481</v>
      </c>
      <c r="BD471" s="1362">
        <f t="shared" si="375"/>
        <v>259.02411980703783</v>
      </c>
      <c r="BE471" s="1360">
        <f t="shared" si="376"/>
        <v>17.508588615187534</v>
      </c>
      <c r="BF471" s="1132" t="str">
        <f t="shared" si="377"/>
        <v>RS-DHW-DWHR-V01-210101</v>
      </c>
      <c r="BG471" s="1132" t="str">
        <f t="shared" si="378"/>
        <v>Nicor Gas PY11-PY14 Adjustable Goals Template_2025-03-01, Tab 5.4.11</v>
      </c>
      <c r="BH471" s="2247">
        <f>'5.4.11'!$P$4</f>
        <v>100.57072251473197</v>
      </c>
      <c r="BI471" s="2568" t="s">
        <v>481</v>
      </c>
      <c r="BJ471" s="1362">
        <f t="shared" si="400"/>
        <v>259.02411980703783</v>
      </c>
      <c r="BK471" s="1360">
        <f t="shared" si="379"/>
        <v>17.508588615187534</v>
      </c>
      <c r="BL471" s="1601">
        <f t="shared" si="380"/>
        <v>259.02411980703783</v>
      </c>
      <c r="BM471" s="1601">
        <f t="shared" si="381"/>
        <v>259.02411980703783</v>
      </c>
      <c r="BN471" s="1601">
        <f t="shared" si="382"/>
        <v>259.02411980703783</v>
      </c>
      <c r="BO471" s="1601">
        <f t="shared" si="383"/>
        <v>259.02411980703783</v>
      </c>
      <c r="BP471" s="1602">
        <f t="shared" si="384"/>
        <v>1036.0964792281513</v>
      </c>
      <c r="BQ471" s="1629"/>
      <c r="BR471" s="1629" t="s">
        <v>772</v>
      </c>
      <c r="BS471" s="1602">
        <v>0</v>
      </c>
      <c r="BT471" s="1602">
        <v>30</v>
      </c>
      <c r="BU471" s="1602">
        <v>30</v>
      </c>
      <c r="BV471" s="1602">
        <v>30</v>
      </c>
      <c r="BW471" s="1602">
        <v>30</v>
      </c>
      <c r="BX471" s="1362">
        <f t="shared" si="401"/>
        <v>7245.4659357555092</v>
      </c>
      <c r="BY471" s="1362">
        <f t="shared" si="402"/>
        <v>7245.4659357555092</v>
      </c>
      <c r="BZ471" s="1362">
        <f t="shared" si="403"/>
        <v>7245.4659357555092</v>
      </c>
      <c r="CA471" s="1362">
        <f t="shared" si="404"/>
        <v>7245.4659357555092</v>
      </c>
      <c r="CB471" s="1362">
        <f t="shared" si="405"/>
        <v>28981.863743022037</v>
      </c>
      <c r="CC471" s="1360">
        <v>30</v>
      </c>
      <c r="CD471" s="1360">
        <v>30</v>
      </c>
      <c r="CE471" s="1360">
        <v>30</v>
      </c>
      <c r="CF471" s="1360">
        <v>30</v>
      </c>
      <c r="CG471" s="1604">
        <f t="shared" si="385"/>
        <v>7770.7235942111329</v>
      </c>
      <c r="CH471" s="1604">
        <f t="shared" si="386"/>
        <v>7770.7235942111329</v>
      </c>
      <c r="CI471" s="1604">
        <f t="shared" si="387"/>
        <v>7770.7235942111329</v>
      </c>
      <c r="CJ471" s="1604">
        <f t="shared" si="388"/>
        <v>7770.7235942111329</v>
      </c>
      <c r="CK471" s="1521">
        <f t="shared" si="389"/>
        <v>31082.894376844532</v>
      </c>
      <c r="CL471" s="1132">
        <v>464</v>
      </c>
      <c r="CM471" s="1132" t="s">
        <v>356</v>
      </c>
      <c r="CN471" s="1359">
        <v>0</v>
      </c>
      <c r="CO471" s="1360">
        <v>2.7694000000000001</v>
      </c>
      <c r="CP471" s="1360">
        <v>2.7694000000000001</v>
      </c>
      <c r="CQ471" s="1360">
        <v>2.7694000000000001</v>
      </c>
      <c r="CR471" s="1360">
        <v>2.7694000000000001</v>
      </c>
      <c r="CS471" s="1362">
        <f t="shared" si="390"/>
        <v>259.02411980703783</v>
      </c>
      <c r="CT471" s="1362">
        <f t="shared" si="391"/>
        <v>259.02411980703783</v>
      </c>
      <c r="CU471" s="1362">
        <f t="shared" si="392"/>
        <v>259.02411980703783</v>
      </c>
      <c r="CV471" s="1362">
        <f t="shared" si="393"/>
        <v>259.02411980703783</v>
      </c>
      <c r="CW471" s="1362">
        <f t="shared" si="394"/>
        <v>1036.0964792281513</v>
      </c>
      <c r="CY471" s="2887"/>
    </row>
    <row r="472" spans="1:103" s="1143" customFormat="1" ht="81.75" customHeight="1" x14ac:dyDescent="0.35">
      <c r="A472" s="1132" t="s">
        <v>114</v>
      </c>
      <c r="B472" s="1132" t="s">
        <v>945</v>
      </c>
      <c r="C472" s="1132" t="s">
        <v>733</v>
      </c>
      <c r="D472" s="1359" t="s">
        <v>734</v>
      </c>
      <c r="E472" s="1359">
        <v>1</v>
      </c>
      <c r="F472" s="1780" t="s">
        <v>655</v>
      </c>
      <c r="G472" s="1132" t="s">
        <v>328</v>
      </c>
      <c r="H472" s="1360">
        <v>40.156300000000002</v>
      </c>
      <c r="I472" s="1360">
        <v>40.156300000000002</v>
      </c>
      <c r="J472" s="1360">
        <v>40.156300000000002</v>
      </c>
      <c r="K472" s="1360">
        <v>40.156300000000002</v>
      </c>
      <c r="L472" s="1132" t="s">
        <v>656</v>
      </c>
      <c r="M472" s="1132" t="str">
        <f t="shared" si="356"/>
        <v>Nicor Gas PY11-PY14 Adjustable Goals Template_2025-03-01, Tab 5.6.1</v>
      </c>
      <c r="N472" s="1361">
        <v>166.94873030176103</v>
      </c>
      <c r="O472" s="1361">
        <v>166.94873030176103</v>
      </c>
      <c r="P472" s="1361">
        <v>166.94873030176103</v>
      </c>
      <c r="Q472" s="1361">
        <v>166.94873030176103</v>
      </c>
      <c r="R472" s="1781">
        <v>0.93</v>
      </c>
      <c r="S472" s="1781">
        <v>0.93</v>
      </c>
      <c r="T472" s="1781">
        <v>0.93</v>
      </c>
      <c r="U472" s="1781">
        <v>0.93</v>
      </c>
      <c r="V472" s="1781">
        <v>0.93</v>
      </c>
      <c r="W472" s="1781">
        <v>0.93</v>
      </c>
      <c r="X472" s="1781">
        <v>0.93</v>
      </c>
      <c r="Y472" s="1781">
        <v>0.93</v>
      </c>
      <c r="Z472" s="1359">
        <v>0</v>
      </c>
      <c r="AA472" s="1781">
        <f t="shared" si="357"/>
        <v>0.93</v>
      </c>
      <c r="AB472" s="1781">
        <f t="shared" si="358"/>
        <v>0.93</v>
      </c>
      <c r="AC472" s="1781">
        <f t="shared" si="359"/>
        <v>0.93</v>
      </c>
      <c r="AD472" s="1781">
        <f t="shared" si="360"/>
        <v>0.93</v>
      </c>
      <c r="AE472" s="1781">
        <f t="shared" si="361"/>
        <v>0.93</v>
      </c>
      <c r="AF472" s="1781">
        <f t="shared" si="362"/>
        <v>0.93</v>
      </c>
      <c r="AG472" s="1781">
        <f t="shared" si="363"/>
        <v>0.93</v>
      </c>
      <c r="AH472" s="1781">
        <f t="shared" si="364"/>
        <v>0.93</v>
      </c>
      <c r="AI472" s="1362">
        <f t="shared" si="395"/>
        <v>6234.7602677134446</v>
      </c>
      <c r="AJ472" s="1362">
        <f t="shared" si="396"/>
        <v>6234.7602677134446</v>
      </c>
      <c r="AK472" s="1362">
        <f t="shared" si="397"/>
        <v>6234.7602677134446</v>
      </c>
      <c r="AL472" s="1362">
        <f t="shared" si="398"/>
        <v>6234.7602677134446</v>
      </c>
      <c r="AM472" s="1362">
        <f t="shared" si="399"/>
        <v>24939.041070853778</v>
      </c>
      <c r="AN472" s="1132" t="str">
        <f t="shared" si="365"/>
        <v>RS-SHL-AIRS-V07-190101</v>
      </c>
      <c r="AO472" s="1132" t="str">
        <f t="shared" si="366"/>
        <v>Nicor Gas PY11-PY14 Adjustable Goals Template_2025-03-01, Tab 5.6.1</v>
      </c>
      <c r="AP472" s="2247">
        <f>'5.6.1'!$V$12</f>
        <v>166.94873030176103</v>
      </c>
      <c r="AQ472" s="2505"/>
      <c r="AR472" s="2505">
        <f t="shared" si="367"/>
        <v>6234.7602677134446</v>
      </c>
      <c r="AS472" s="2505">
        <f t="shared" si="368"/>
        <v>0</v>
      </c>
      <c r="AT472" s="1132" t="str">
        <f t="shared" si="369"/>
        <v>RS-SHL-AIRS-V07-190101</v>
      </c>
      <c r="AU472" s="1132" t="str">
        <f t="shared" si="370"/>
        <v>Nicor Gas PY11-PY14 Adjustable Goals Template_2025-03-01, Tab 5.6.1</v>
      </c>
      <c r="AV472" s="2247">
        <f>'5.6.1'!$V$12</f>
        <v>166.94873030176103</v>
      </c>
      <c r="AW472" s="2505"/>
      <c r="AX472" s="1362">
        <f t="shared" si="371"/>
        <v>6234.7602677134446</v>
      </c>
      <c r="AY472" s="1360">
        <f t="shared" si="372"/>
        <v>0</v>
      </c>
      <c r="AZ472" s="1132" t="str">
        <f t="shared" si="373"/>
        <v>RS-SHL-AIRS-V07-190101</v>
      </c>
      <c r="BA472" s="1132" t="str">
        <f t="shared" si="374"/>
        <v>Nicor Gas PY11-PY14 Adjustable Goals Template_2025-03-01, Tab 5.6.1</v>
      </c>
      <c r="BB472" s="2247">
        <f>'5.6.1'!$V$12</f>
        <v>166.94873030176103</v>
      </c>
      <c r="BC472" s="2505"/>
      <c r="BD472" s="1362">
        <f t="shared" si="375"/>
        <v>6234.7602677134446</v>
      </c>
      <c r="BE472" s="1360">
        <f t="shared" si="376"/>
        <v>0</v>
      </c>
      <c r="BF472" s="1132" t="str">
        <f t="shared" si="377"/>
        <v>RS-SHL-AIRS-V07-190101</v>
      </c>
      <c r="BG472" s="1132" t="str">
        <f t="shared" si="378"/>
        <v>Nicor Gas PY11-PY14 Adjustable Goals Template_2025-03-01, Tab 5.6.1</v>
      </c>
      <c r="BH472" s="2247">
        <f>'5.6.1'!$V$12</f>
        <v>166.94873030176103</v>
      </c>
      <c r="BI472" s="2505"/>
      <c r="BJ472" s="1362">
        <f t="shared" si="400"/>
        <v>6234.7602677134446</v>
      </c>
      <c r="BK472" s="1360">
        <f t="shared" si="379"/>
        <v>0</v>
      </c>
      <c r="BL472" s="1601">
        <f t="shared" si="380"/>
        <v>6234.7602677134446</v>
      </c>
      <c r="BM472" s="1601">
        <f t="shared" si="381"/>
        <v>6234.7602677134446</v>
      </c>
      <c r="BN472" s="1601">
        <f t="shared" si="382"/>
        <v>6234.7602677134446</v>
      </c>
      <c r="BO472" s="1601">
        <f t="shared" si="383"/>
        <v>6234.7602677134446</v>
      </c>
      <c r="BP472" s="1602">
        <f t="shared" si="384"/>
        <v>24939.041070853778</v>
      </c>
      <c r="BQ472" s="1629"/>
      <c r="BR472" s="1629" t="s">
        <v>655</v>
      </c>
      <c r="BS472" s="2773">
        <v>1</v>
      </c>
      <c r="BT472" s="1602">
        <v>19.411764705882355</v>
      </c>
      <c r="BU472" s="1602">
        <v>19.411764705882355</v>
      </c>
      <c r="BV472" s="1602">
        <v>19.411764705882355</v>
      </c>
      <c r="BW472" s="1602">
        <v>19.411764705882355</v>
      </c>
      <c r="BX472" s="1362">
        <f t="shared" si="401"/>
        <v>121027.69931443747</v>
      </c>
      <c r="BY472" s="1362">
        <f t="shared" si="402"/>
        <v>121027.69931443747</v>
      </c>
      <c r="BZ472" s="1362">
        <f t="shared" si="403"/>
        <v>121027.69931443747</v>
      </c>
      <c r="CA472" s="1362">
        <f t="shared" si="404"/>
        <v>121027.69931443747</v>
      </c>
      <c r="CB472" s="1362">
        <f t="shared" si="405"/>
        <v>484110.79725774989</v>
      </c>
      <c r="CC472" s="2775">
        <v>20</v>
      </c>
      <c r="CD472" s="2775">
        <v>20</v>
      </c>
      <c r="CE472" s="2775">
        <v>20</v>
      </c>
      <c r="CF472" s="2775">
        <v>20</v>
      </c>
      <c r="CG472" s="1604">
        <f t="shared" si="385"/>
        <v>124695.2053542689</v>
      </c>
      <c r="CH472" s="1604">
        <f t="shared" si="386"/>
        <v>124695.2053542689</v>
      </c>
      <c r="CI472" s="1604">
        <f t="shared" si="387"/>
        <v>124695.2053542689</v>
      </c>
      <c r="CJ472" s="1604">
        <f t="shared" si="388"/>
        <v>124695.2053542689</v>
      </c>
      <c r="CK472" s="1521">
        <f t="shared" si="389"/>
        <v>498780.82141707558</v>
      </c>
      <c r="CL472" s="1132">
        <v>465</v>
      </c>
      <c r="CM472" s="1132" t="s">
        <v>328</v>
      </c>
      <c r="CN472" s="1359">
        <v>1</v>
      </c>
      <c r="CO472" s="1360">
        <v>39.288336803928388</v>
      </c>
      <c r="CP472" s="1360">
        <v>39.288336803928388</v>
      </c>
      <c r="CQ472" s="1360">
        <v>39.288336803928388</v>
      </c>
      <c r="CR472" s="1360">
        <v>39.288336803928388</v>
      </c>
      <c r="CS472" s="1362">
        <f t="shared" si="390"/>
        <v>6099.9982889279272</v>
      </c>
      <c r="CT472" s="1362">
        <f t="shared" si="391"/>
        <v>6099.9982889279272</v>
      </c>
      <c r="CU472" s="1362">
        <f t="shared" si="392"/>
        <v>6099.9982889279272</v>
      </c>
      <c r="CV472" s="1362">
        <f t="shared" si="393"/>
        <v>6099.9982889279272</v>
      </c>
      <c r="CW472" s="1362">
        <f t="shared" si="394"/>
        <v>24399.993155711709</v>
      </c>
      <c r="CY472" s="2887"/>
    </row>
    <row r="473" spans="1:103" s="1143" customFormat="1" ht="79.5" customHeight="1" x14ac:dyDescent="0.35">
      <c r="A473" s="1132" t="s">
        <v>114</v>
      </c>
      <c r="B473" s="1132" t="s">
        <v>945</v>
      </c>
      <c r="C473" s="1132" t="s">
        <v>947</v>
      </c>
      <c r="D473" s="1359" t="s">
        <v>948</v>
      </c>
      <c r="E473" s="1359">
        <v>1</v>
      </c>
      <c r="F473" s="1780" t="s">
        <v>659</v>
      </c>
      <c r="G473" s="1132" t="s">
        <v>328</v>
      </c>
      <c r="H473" s="1360">
        <v>40.156300000000002</v>
      </c>
      <c r="I473" s="1360">
        <v>40.156300000000002</v>
      </c>
      <c r="J473" s="1360">
        <v>40.156300000000002</v>
      </c>
      <c r="K473" s="1360">
        <v>40.156300000000002</v>
      </c>
      <c r="L473" s="1132" t="s">
        <v>660</v>
      </c>
      <c r="M473" s="1132" t="str">
        <f t="shared" si="356"/>
        <v>Nicor Gas PY11-PY14 Adjustable Goals Template_2025-03-01, Tab 5.6.5</v>
      </c>
      <c r="N473" s="1361">
        <v>320.36710452244887</v>
      </c>
      <c r="O473" s="1361">
        <v>320.36710452244887</v>
      </c>
      <c r="P473" s="1361">
        <v>320.36710452244887</v>
      </c>
      <c r="Q473" s="1361">
        <v>320.36710452244887</v>
      </c>
      <c r="R473" s="1781">
        <v>0.93</v>
      </c>
      <c r="S473" s="1781">
        <v>0.93</v>
      </c>
      <c r="T473" s="1781">
        <v>0.93</v>
      </c>
      <c r="U473" s="1781">
        <v>0.93</v>
      </c>
      <c r="V473" s="1781">
        <v>0.93</v>
      </c>
      <c r="W473" s="1781">
        <v>0.93</v>
      </c>
      <c r="X473" s="1781">
        <v>0.93</v>
      </c>
      <c r="Y473" s="1781">
        <v>0.93</v>
      </c>
      <c r="Z473" s="1359">
        <v>0</v>
      </c>
      <c r="AA473" s="1781">
        <f t="shared" si="357"/>
        <v>0.93</v>
      </c>
      <c r="AB473" s="1781">
        <f t="shared" si="358"/>
        <v>0.93</v>
      </c>
      <c r="AC473" s="1781">
        <f t="shared" si="359"/>
        <v>0.93</v>
      </c>
      <c r="AD473" s="1781">
        <f t="shared" si="360"/>
        <v>0.93</v>
      </c>
      <c r="AE473" s="1781">
        <f t="shared" si="361"/>
        <v>0.93</v>
      </c>
      <c r="AF473" s="1781">
        <f t="shared" si="362"/>
        <v>0.93</v>
      </c>
      <c r="AG473" s="1781">
        <f t="shared" si="363"/>
        <v>0.93</v>
      </c>
      <c r="AH473" s="1781">
        <f t="shared" si="364"/>
        <v>0.93</v>
      </c>
      <c r="AI473" s="1362">
        <f t="shared" si="395"/>
        <v>11964.224530181378</v>
      </c>
      <c r="AJ473" s="1362">
        <f t="shared" si="396"/>
        <v>11964.224530181378</v>
      </c>
      <c r="AK473" s="1362">
        <f t="shared" si="397"/>
        <v>11964.224530181378</v>
      </c>
      <c r="AL473" s="1362">
        <f t="shared" si="398"/>
        <v>11964.224530181378</v>
      </c>
      <c r="AM473" s="1362">
        <f t="shared" si="399"/>
        <v>47856.898120725513</v>
      </c>
      <c r="AN473" s="1132" t="str">
        <f t="shared" si="365"/>
        <v>RS-SHL-AINS-V07-180101</v>
      </c>
      <c r="AO473" s="1132" t="str">
        <f t="shared" si="366"/>
        <v>Nicor Gas PY11-PY14 Adjustable Goals Template_2025-03-01, Tab 5.6.5</v>
      </c>
      <c r="AP473" s="2505">
        <f>'5.6.4&amp;5.6.5'!$X$19</f>
        <v>320.36710452244887</v>
      </c>
      <c r="AQ473" s="2505"/>
      <c r="AR473" s="2505">
        <f t="shared" si="367"/>
        <v>11964.224530181378</v>
      </c>
      <c r="AS473" s="2505">
        <f t="shared" si="368"/>
        <v>0</v>
      </c>
      <c r="AT473" s="1132" t="str">
        <f t="shared" si="369"/>
        <v>RS-SHL-AINS-V07-180101</v>
      </c>
      <c r="AU473" s="1132" t="str">
        <f t="shared" si="370"/>
        <v>Nicor Gas PY11-PY14 Adjustable Goals Template_2025-03-01, Tab 5.6.5</v>
      </c>
      <c r="AV473" s="2505">
        <f>'5.6.4&amp;5.6.5'!$X$19</f>
        <v>320.36710452244887</v>
      </c>
      <c r="AW473" s="2505"/>
      <c r="AX473" s="1362">
        <f t="shared" si="371"/>
        <v>11964.224530181378</v>
      </c>
      <c r="AY473" s="1360">
        <f t="shared" si="372"/>
        <v>0</v>
      </c>
      <c r="AZ473" s="1132" t="str">
        <f t="shared" si="373"/>
        <v>RS-SHL-AINS-V07-180101</v>
      </c>
      <c r="BA473" s="1132" t="str">
        <f t="shared" si="374"/>
        <v>Nicor Gas PY11-PY14 Adjustable Goals Template_2025-03-01, Tab 5.6.5</v>
      </c>
      <c r="BB473" s="2505">
        <f>'5.6.4&amp;5.6.5'!$X$19</f>
        <v>320.36710452244887</v>
      </c>
      <c r="BC473" s="2505"/>
      <c r="BD473" s="1362">
        <f t="shared" si="375"/>
        <v>11964.224530181378</v>
      </c>
      <c r="BE473" s="1360">
        <f t="shared" si="376"/>
        <v>0</v>
      </c>
      <c r="BF473" s="1132" t="str">
        <f t="shared" si="377"/>
        <v>RS-SHL-AINS-V07-180101</v>
      </c>
      <c r="BG473" s="1132" t="str">
        <f t="shared" si="378"/>
        <v>Nicor Gas PY11-PY14 Adjustable Goals Template_2025-03-01, Tab 5.6.5</v>
      </c>
      <c r="BH473" s="2505">
        <f>'5.6.4&amp;5.6.5'!$X$19</f>
        <v>320.36710452244887</v>
      </c>
      <c r="BI473" s="2505"/>
      <c r="BJ473" s="1362">
        <f t="shared" si="400"/>
        <v>11964.224530181378</v>
      </c>
      <c r="BK473" s="1360">
        <f t="shared" si="379"/>
        <v>0</v>
      </c>
      <c r="BL473" s="1601">
        <f t="shared" si="380"/>
        <v>11964.224530181378</v>
      </c>
      <c r="BM473" s="1601">
        <f t="shared" si="381"/>
        <v>11964.224530181378</v>
      </c>
      <c r="BN473" s="1601">
        <f t="shared" si="382"/>
        <v>11964.224530181378</v>
      </c>
      <c r="BO473" s="1601">
        <f t="shared" si="383"/>
        <v>11964.224530181378</v>
      </c>
      <c r="BP473" s="1602">
        <f t="shared" si="384"/>
        <v>47856.898120725513</v>
      </c>
      <c r="BQ473" s="1629"/>
      <c r="BR473" s="1629" t="s">
        <v>659</v>
      </c>
      <c r="BS473" s="2773">
        <v>1</v>
      </c>
      <c r="BT473" s="1602">
        <v>19.411764705882355</v>
      </c>
      <c r="BU473" s="1602">
        <v>19.411764705882355</v>
      </c>
      <c r="BV473" s="1602">
        <v>19.411764705882355</v>
      </c>
      <c r="BW473" s="1602">
        <v>19.411764705882355</v>
      </c>
      <c r="BX473" s="1362">
        <f t="shared" si="401"/>
        <v>232246.71146822677</v>
      </c>
      <c r="BY473" s="1362">
        <f t="shared" si="402"/>
        <v>232246.71146822677</v>
      </c>
      <c r="BZ473" s="1362">
        <f t="shared" si="403"/>
        <v>232246.71146822677</v>
      </c>
      <c r="CA473" s="1362">
        <f t="shared" si="404"/>
        <v>232246.71146822677</v>
      </c>
      <c r="CB473" s="1362">
        <f t="shared" si="405"/>
        <v>928986.84587290708</v>
      </c>
      <c r="CC473" s="2775">
        <v>20</v>
      </c>
      <c r="CD473" s="2775">
        <v>20</v>
      </c>
      <c r="CE473" s="2775">
        <v>20</v>
      </c>
      <c r="CF473" s="2775">
        <v>20</v>
      </c>
      <c r="CG473" s="1604">
        <f t="shared" si="385"/>
        <v>239284.49060362752</v>
      </c>
      <c r="CH473" s="1604">
        <f t="shared" si="386"/>
        <v>239284.49060362752</v>
      </c>
      <c r="CI473" s="1604">
        <f t="shared" si="387"/>
        <v>239284.49060362752</v>
      </c>
      <c r="CJ473" s="1604">
        <f t="shared" si="388"/>
        <v>239284.49060362752</v>
      </c>
      <c r="CK473" s="1521">
        <f t="shared" si="389"/>
        <v>957137.96241451008</v>
      </c>
      <c r="CL473" s="1132">
        <v>466</v>
      </c>
      <c r="CM473" s="1132" t="s">
        <v>328</v>
      </c>
      <c r="CN473" s="1359">
        <v>1</v>
      </c>
      <c r="CO473" s="1360">
        <v>39.288336803928388</v>
      </c>
      <c r="CP473" s="1360">
        <v>39.288336803928388</v>
      </c>
      <c r="CQ473" s="1360">
        <v>39.288336803928388</v>
      </c>
      <c r="CR473" s="1360">
        <v>39.288336803928388</v>
      </c>
      <c r="CS473" s="1362">
        <f t="shared" si="390"/>
        <v>11705.622354140891</v>
      </c>
      <c r="CT473" s="1362">
        <f t="shared" si="391"/>
        <v>11705.622354140891</v>
      </c>
      <c r="CU473" s="1362">
        <f t="shared" si="392"/>
        <v>11705.622354140891</v>
      </c>
      <c r="CV473" s="1362">
        <f t="shared" si="393"/>
        <v>11705.622354140891</v>
      </c>
      <c r="CW473" s="1362">
        <f t="shared" si="394"/>
        <v>46822.489416563563</v>
      </c>
      <c r="CY473" s="2887"/>
    </row>
    <row r="474" spans="1:103" s="1143" customFormat="1" ht="45.75" customHeight="1" x14ac:dyDescent="0.35">
      <c r="A474" s="1132" t="s">
        <v>114</v>
      </c>
      <c r="B474" s="1132" t="s">
        <v>949</v>
      </c>
      <c r="C474" s="1132" t="s">
        <v>746</v>
      </c>
      <c r="D474" s="1359" t="s">
        <v>105</v>
      </c>
      <c r="E474" s="1359">
        <f>IF(AI474-AR474=0,0,1)</f>
        <v>0</v>
      </c>
      <c r="F474" s="1132" t="s">
        <v>105</v>
      </c>
      <c r="G474" s="1132" t="s">
        <v>356</v>
      </c>
      <c r="H474" s="1360">
        <v>217.2175</v>
      </c>
      <c r="I474" s="1360">
        <v>217.2175</v>
      </c>
      <c r="J474" s="1360">
        <v>217.2175</v>
      </c>
      <c r="K474" s="1360">
        <v>217.2175</v>
      </c>
      <c r="L474" s="1132" t="s">
        <v>105</v>
      </c>
      <c r="M474" s="1132" t="str">
        <f t="shared" si="356"/>
        <v/>
      </c>
      <c r="N474" s="1361">
        <v>0</v>
      </c>
      <c r="O474" s="1361">
        <v>0</v>
      </c>
      <c r="P474" s="1361">
        <v>0</v>
      </c>
      <c r="Q474" s="1361">
        <v>0</v>
      </c>
      <c r="R474" s="1781">
        <v>0.93</v>
      </c>
      <c r="S474" s="1781">
        <v>0.93</v>
      </c>
      <c r="T474" s="1781">
        <v>0.93</v>
      </c>
      <c r="U474" s="1781">
        <v>0.93</v>
      </c>
      <c r="V474" s="1781">
        <v>0.93</v>
      </c>
      <c r="W474" s="1781">
        <v>0.93</v>
      </c>
      <c r="X474" s="1781">
        <v>0.93</v>
      </c>
      <c r="Y474" s="1781">
        <v>0.93</v>
      </c>
      <c r="Z474" s="1359">
        <v>0</v>
      </c>
      <c r="AA474" s="1781">
        <f t="shared" si="357"/>
        <v>0.93</v>
      </c>
      <c r="AB474" s="1781">
        <f t="shared" si="358"/>
        <v>0.93</v>
      </c>
      <c r="AC474" s="1781">
        <f t="shared" si="359"/>
        <v>0.93</v>
      </c>
      <c r="AD474" s="1781">
        <f t="shared" si="360"/>
        <v>0.93</v>
      </c>
      <c r="AE474" s="1781">
        <f t="shared" si="361"/>
        <v>0.93</v>
      </c>
      <c r="AF474" s="1781">
        <f t="shared" si="362"/>
        <v>0.93</v>
      </c>
      <c r="AG474" s="1781">
        <f t="shared" si="363"/>
        <v>0.93</v>
      </c>
      <c r="AH474" s="1781">
        <f t="shared" si="364"/>
        <v>0.93</v>
      </c>
      <c r="AI474" s="1362">
        <f t="shared" si="395"/>
        <v>0</v>
      </c>
      <c r="AJ474" s="1362">
        <f t="shared" si="396"/>
        <v>0</v>
      </c>
      <c r="AK474" s="1362">
        <f t="shared" si="397"/>
        <v>0</v>
      </c>
      <c r="AL474" s="1362">
        <f t="shared" si="398"/>
        <v>0</v>
      </c>
      <c r="AM474" s="1362">
        <f t="shared" si="399"/>
        <v>0</v>
      </c>
      <c r="AN474" s="1132" t="str">
        <f t="shared" si="365"/>
        <v>Custom</v>
      </c>
      <c r="AO474" s="1132" t="str">
        <f t="shared" si="366"/>
        <v/>
      </c>
      <c r="AP474" s="2505">
        <v>0</v>
      </c>
      <c r="AQ474" s="2505"/>
      <c r="AR474" s="2505">
        <f t="shared" si="367"/>
        <v>0</v>
      </c>
      <c r="AS474" s="2505">
        <f t="shared" si="368"/>
        <v>0</v>
      </c>
      <c r="AT474" s="1132" t="str">
        <f t="shared" si="369"/>
        <v>Custom</v>
      </c>
      <c r="AU474" s="1132" t="str">
        <f t="shared" si="370"/>
        <v/>
      </c>
      <c r="AV474" s="2505">
        <v>0</v>
      </c>
      <c r="AW474" s="2505"/>
      <c r="AX474" s="1362">
        <f t="shared" si="371"/>
        <v>0</v>
      </c>
      <c r="AY474" s="1360">
        <f t="shared" si="372"/>
        <v>0</v>
      </c>
      <c r="AZ474" s="1132" t="str">
        <f t="shared" si="373"/>
        <v>Custom</v>
      </c>
      <c r="BA474" s="1132" t="str">
        <f t="shared" si="374"/>
        <v/>
      </c>
      <c r="BB474" s="2505">
        <v>0</v>
      </c>
      <c r="BC474" s="2505"/>
      <c r="BD474" s="1362">
        <f t="shared" si="375"/>
        <v>0</v>
      </c>
      <c r="BE474" s="1360">
        <f t="shared" si="376"/>
        <v>0</v>
      </c>
      <c r="BF474" s="1132" t="str">
        <f t="shared" si="377"/>
        <v>Custom</v>
      </c>
      <c r="BG474" s="1132" t="str">
        <f t="shared" si="378"/>
        <v/>
      </c>
      <c r="BH474" s="2505">
        <v>0</v>
      </c>
      <c r="BI474" s="2505"/>
      <c r="BJ474" s="1362">
        <f t="shared" si="400"/>
        <v>0</v>
      </c>
      <c r="BK474" s="1360">
        <f t="shared" si="379"/>
        <v>0</v>
      </c>
      <c r="BL474" s="1601">
        <f t="shared" si="380"/>
        <v>0</v>
      </c>
      <c r="BM474" s="1601">
        <f t="shared" si="381"/>
        <v>0</v>
      </c>
      <c r="BN474" s="1601">
        <f t="shared" si="382"/>
        <v>0</v>
      </c>
      <c r="BO474" s="1601">
        <f t="shared" si="383"/>
        <v>0</v>
      </c>
      <c r="BP474" s="1602">
        <f t="shared" si="384"/>
        <v>0</v>
      </c>
      <c r="BQ474" s="1629"/>
      <c r="BR474" s="1629"/>
      <c r="BS474" s="1602">
        <v>0</v>
      </c>
      <c r="BT474" s="1602">
        <v>0</v>
      </c>
      <c r="BU474" s="1602">
        <v>0</v>
      </c>
      <c r="BV474" s="1602">
        <v>0</v>
      </c>
      <c r="BW474" s="1602">
        <v>0</v>
      </c>
      <c r="BX474" s="1362">
        <f t="shared" si="401"/>
        <v>0</v>
      </c>
      <c r="BY474" s="1362">
        <f t="shared" si="402"/>
        <v>0</v>
      </c>
      <c r="BZ474" s="1362">
        <f t="shared" si="403"/>
        <v>0</v>
      </c>
      <c r="CA474" s="1362">
        <f t="shared" si="404"/>
        <v>0</v>
      </c>
      <c r="CB474" s="1362">
        <f t="shared" si="405"/>
        <v>0</v>
      </c>
      <c r="CC474" s="1360">
        <v>0</v>
      </c>
      <c r="CD474" s="1360">
        <v>0</v>
      </c>
      <c r="CE474" s="1360">
        <v>0</v>
      </c>
      <c r="CF474" s="1360">
        <v>0</v>
      </c>
      <c r="CG474" s="1604">
        <f t="shared" si="385"/>
        <v>0</v>
      </c>
      <c r="CH474" s="1604">
        <f t="shared" si="386"/>
        <v>0</v>
      </c>
      <c r="CI474" s="1604">
        <f t="shared" si="387"/>
        <v>0</v>
      </c>
      <c r="CJ474" s="1604">
        <f t="shared" si="388"/>
        <v>0</v>
      </c>
      <c r="CK474" s="1521">
        <f t="shared" si="389"/>
        <v>0</v>
      </c>
      <c r="CL474" s="1132">
        <v>467</v>
      </c>
      <c r="CM474" s="1132" t="s">
        <v>356</v>
      </c>
      <c r="CN474" s="1359">
        <v>0</v>
      </c>
      <c r="CO474" s="1360">
        <v>217.2175</v>
      </c>
      <c r="CP474" s="1360">
        <v>217.2175</v>
      </c>
      <c r="CQ474" s="1360">
        <v>217.2175</v>
      </c>
      <c r="CR474" s="1360">
        <v>217.2175</v>
      </c>
      <c r="CS474" s="1362">
        <f t="shared" si="390"/>
        <v>0</v>
      </c>
      <c r="CT474" s="1362">
        <f t="shared" si="391"/>
        <v>0</v>
      </c>
      <c r="CU474" s="1362">
        <f t="shared" si="392"/>
        <v>0</v>
      </c>
      <c r="CV474" s="1362">
        <f t="shared" si="393"/>
        <v>0</v>
      </c>
      <c r="CW474" s="1362">
        <f t="shared" si="394"/>
        <v>0</v>
      </c>
      <c r="CY474" s="2887"/>
    </row>
    <row r="475" spans="1:103" s="1143" customFormat="1" ht="45.75" customHeight="1" x14ac:dyDescent="0.35">
      <c r="A475" s="1132" t="s">
        <v>114</v>
      </c>
      <c r="B475" s="1132" t="s">
        <v>949</v>
      </c>
      <c r="C475" s="1132" t="s">
        <v>370</v>
      </c>
      <c r="D475" s="1359" t="s">
        <v>105</v>
      </c>
      <c r="E475" s="1359">
        <f>IF(AI475-AR475=0,0,1)</f>
        <v>0</v>
      </c>
      <c r="F475" s="1132" t="s">
        <v>105</v>
      </c>
      <c r="G475" s="1132" t="s">
        <v>356</v>
      </c>
      <c r="H475" s="1360">
        <v>8.0749999999999993</v>
      </c>
      <c r="I475" s="1360">
        <v>8.0749999999999993</v>
      </c>
      <c r="J475" s="1360">
        <v>8.0749999999999993</v>
      </c>
      <c r="K475" s="1360">
        <v>8.0749999999999993</v>
      </c>
      <c r="L475" s="1132" t="s">
        <v>105</v>
      </c>
      <c r="M475" s="1132" t="str">
        <f t="shared" si="356"/>
        <v/>
      </c>
      <c r="N475" s="1361">
        <v>0</v>
      </c>
      <c r="O475" s="1361">
        <v>0</v>
      </c>
      <c r="P475" s="1361">
        <v>0</v>
      </c>
      <c r="Q475" s="1361">
        <v>0</v>
      </c>
      <c r="R475" s="1781">
        <v>0.93</v>
      </c>
      <c r="S475" s="1781">
        <v>0.93</v>
      </c>
      <c r="T475" s="1781">
        <v>0.93</v>
      </c>
      <c r="U475" s="1781">
        <v>0.93</v>
      </c>
      <c r="V475" s="1781">
        <v>0.93</v>
      </c>
      <c r="W475" s="1781">
        <v>0.93</v>
      </c>
      <c r="X475" s="1781">
        <v>0.93</v>
      </c>
      <c r="Y475" s="1781">
        <v>0.93</v>
      </c>
      <c r="Z475" s="1359">
        <v>0</v>
      </c>
      <c r="AA475" s="1781">
        <f t="shared" si="357"/>
        <v>0.93</v>
      </c>
      <c r="AB475" s="1781">
        <f t="shared" si="358"/>
        <v>0.93</v>
      </c>
      <c r="AC475" s="1781">
        <f t="shared" si="359"/>
        <v>0.93</v>
      </c>
      <c r="AD475" s="1781">
        <f t="shared" si="360"/>
        <v>0.93</v>
      </c>
      <c r="AE475" s="1781">
        <f t="shared" si="361"/>
        <v>0.93</v>
      </c>
      <c r="AF475" s="1781">
        <f t="shared" si="362"/>
        <v>0.93</v>
      </c>
      <c r="AG475" s="1781">
        <f t="shared" si="363"/>
        <v>0.93</v>
      </c>
      <c r="AH475" s="1781">
        <f t="shared" si="364"/>
        <v>0.93</v>
      </c>
      <c r="AI475" s="1362">
        <f t="shared" si="395"/>
        <v>0</v>
      </c>
      <c r="AJ475" s="1362">
        <f t="shared" si="396"/>
        <v>0</v>
      </c>
      <c r="AK475" s="1362">
        <f t="shared" si="397"/>
        <v>0</v>
      </c>
      <c r="AL475" s="1362">
        <f t="shared" si="398"/>
        <v>0</v>
      </c>
      <c r="AM475" s="1362">
        <f t="shared" si="399"/>
        <v>0</v>
      </c>
      <c r="AN475" s="1132" t="str">
        <f t="shared" si="365"/>
        <v>Custom</v>
      </c>
      <c r="AO475" s="1132" t="str">
        <f t="shared" si="366"/>
        <v/>
      </c>
      <c r="AP475" s="2505">
        <v>0</v>
      </c>
      <c r="AQ475" s="2505"/>
      <c r="AR475" s="2505">
        <f t="shared" si="367"/>
        <v>0</v>
      </c>
      <c r="AS475" s="2505">
        <f t="shared" si="368"/>
        <v>0</v>
      </c>
      <c r="AT475" s="1132" t="str">
        <f t="shared" si="369"/>
        <v>Custom</v>
      </c>
      <c r="AU475" s="1132" t="str">
        <f t="shared" si="370"/>
        <v/>
      </c>
      <c r="AV475" s="2505">
        <v>0</v>
      </c>
      <c r="AW475" s="2505"/>
      <c r="AX475" s="1362">
        <f t="shared" si="371"/>
        <v>0</v>
      </c>
      <c r="AY475" s="1360">
        <f t="shared" si="372"/>
        <v>0</v>
      </c>
      <c r="AZ475" s="1132" t="str">
        <f t="shared" si="373"/>
        <v>Custom</v>
      </c>
      <c r="BA475" s="1132" t="str">
        <f t="shared" si="374"/>
        <v/>
      </c>
      <c r="BB475" s="2505">
        <v>0</v>
      </c>
      <c r="BC475" s="2505"/>
      <c r="BD475" s="1362">
        <f t="shared" si="375"/>
        <v>0</v>
      </c>
      <c r="BE475" s="1360">
        <f t="shared" si="376"/>
        <v>0</v>
      </c>
      <c r="BF475" s="1132" t="str">
        <f t="shared" si="377"/>
        <v>Custom</v>
      </c>
      <c r="BG475" s="1132" t="str">
        <f t="shared" si="378"/>
        <v/>
      </c>
      <c r="BH475" s="2505">
        <v>0</v>
      </c>
      <c r="BI475" s="2505"/>
      <c r="BJ475" s="1362">
        <f t="shared" si="400"/>
        <v>0</v>
      </c>
      <c r="BK475" s="1360">
        <f t="shared" si="379"/>
        <v>0</v>
      </c>
      <c r="BL475" s="1601">
        <f t="shared" si="380"/>
        <v>0</v>
      </c>
      <c r="BM475" s="1601">
        <f t="shared" si="381"/>
        <v>0</v>
      </c>
      <c r="BN475" s="1601">
        <f t="shared" si="382"/>
        <v>0</v>
      </c>
      <c r="BO475" s="1601">
        <f t="shared" si="383"/>
        <v>0</v>
      </c>
      <c r="BP475" s="1602">
        <f t="shared" si="384"/>
        <v>0</v>
      </c>
      <c r="BQ475" s="1629"/>
      <c r="BR475" s="1629"/>
      <c r="BS475" s="1602">
        <v>0</v>
      </c>
      <c r="BT475" s="1602">
        <v>0</v>
      </c>
      <c r="BU475" s="1602">
        <v>0</v>
      </c>
      <c r="BV475" s="1602">
        <v>0</v>
      </c>
      <c r="BW475" s="1602">
        <v>0</v>
      </c>
      <c r="BX475" s="1362">
        <f t="shared" si="401"/>
        <v>0</v>
      </c>
      <c r="BY475" s="1362">
        <f t="shared" si="402"/>
        <v>0</v>
      </c>
      <c r="BZ475" s="1362">
        <f t="shared" si="403"/>
        <v>0</v>
      </c>
      <c r="CA475" s="1362">
        <f t="shared" si="404"/>
        <v>0</v>
      </c>
      <c r="CB475" s="1362">
        <f t="shared" si="405"/>
        <v>0</v>
      </c>
      <c r="CC475" s="1360">
        <v>0</v>
      </c>
      <c r="CD475" s="1360">
        <v>0</v>
      </c>
      <c r="CE475" s="1360">
        <v>0</v>
      </c>
      <c r="CF475" s="1360">
        <v>0</v>
      </c>
      <c r="CG475" s="1604">
        <f t="shared" si="385"/>
        <v>0</v>
      </c>
      <c r="CH475" s="1604">
        <f t="shared" si="386"/>
        <v>0</v>
      </c>
      <c r="CI475" s="1604">
        <f t="shared" si="387"/>
        <v>0</v>
      </c>
      <c r="CJ475" s="1604">
        <f t="shared" si="388"/>
        <v>0</v>
      </c>
      <c r="CK475" s="1521">
        <f t="shared" si="389"/>
        <v>0</v>
      </c>
      <c r="CL475" s="1132">
        <v>468</v>
      </c>
      <c r="CM475" s="1132" t="s">
        <v>356</v>
      </c>
      <c r="CN475" s="1359">
        <v>0</v>
      </c>
      <c r="CO475" s="1360">
        <v>8.0749999999999993</v>
      </c>
      <c r="CP475" s="1360">
        <v>8.0749999999999993</v>
      </c>
      <c r="CQ475" s="1360">
        <v>8.0749999999999993</v>
      </c>
      <c r="CR475" s="1360">
        <v>8.0749999999999993</v>
      </c>
      <c r="CS475" s="1362">
        <f t="shared" si="390"/>
        <v>0</v>
      </c>
      <c r="CT475" s="1362">
        <f t="shared" si="391"/>
        <v>0</v>
      </c>
      <c r="CU475" s="1362">
        <f t="shared" si="392"/>
        <v>0</v>
      </c>
      <c r="CV475" s="1362">
        <f t="shared" si="393"/>
        <v>0</v>
      </c>
      <c r="CW475" s="1362">
        <f t="shared" si="394"/>
        <v>0</v>
      </c>
      <c r="CY475" s="2887"/>
    </row>
    <row r="476" spans="1:103" s="1143" customFormat="1" ht="46.5" x14ac:dyDescent="0.35">
      <c r="A476" s="1132" t="s">
        <v>114</v>
      </c>
      <c r="B476" s="1132" t="s">
        <v>949</v>
      </c>
      <c r="C476" s="1132" t="s">
        <v>747</v>
      </c>
      <c r="D476" s="1359" t="s">
        <v>748</v>
      </c>
      <c r="E476" s="1359">
        <v>1</v>
      </c>
      <c r="F476" s="2564" t="s">
        <v>355</v>
      </c>
      <c r="G476" s="1132" t="s">
        <v>356</v>
      </c>
      <c r="H476" s="1360">
        <v>201.89726808103836</v>
      </c>
      <c r="I476" s="1360">
        <v>201.89726808103836</v>
      </c>
      <c r="J476" s="1360">
        <v>201.89726808103836</v>
      </c>
      <c r="K476" s="1360">
        <v>201.89726808103836</v>
      </c>
      <c r="L476" s="1132" t="s">
        <v>357</v>
      </c>
      <c r="M476" s="1132" t="str">
        <f t="shared" si="356"/>
        <v>Nicor Gas PY11-PY14 Adjustable Goals Template_2025-03-01, Tab 4.4.16</v>
      </c>
      <c r="N476" s="1361">
        <v>102.13709764839483</v>
      </c>
      <c r="O476" s="1361">
        <v>102.13709764839483</v>
      </c>
      <c r="P476" s="1361">
        <v>102.13709764839483</v>
      </c>
      <c r="Q476" s="1361">
        <v>102.13709764839483</v>
      </c>
      <c r="R476" s="1781">
        <v>0.93</v>
      </c>
      <c r="S476" s="1781">
        <v>0.93</v>
      </c>
      <c r="T476" s="1781">
        <v>0.93</v>
      </c>
      <c r="U476" s="1781">
        <v>0.93</v>
      </c>
      <c r="V476" s="1781">
        <v>0.93</v>
      </c>
      <c r="W476" s="1781">
        <v>0.93</v>
      </c>
      <c r="X476" s="1781">
        <v>0.93</v>
      </c>
      <c r="Y476" s="1781">
        <v>0.93</v>
      </c>
      <c r="Z476" s="1359">
        <v>0</v>
      </c>
      <c r="AA476" s="1781">
        <f t="shared" si="357"/>
        <v>0.93</v>
      </c>
      <c r="AB476" s="1781">
        <f t="shared" si="358"/>
        <v>0.93</v>
      </c>
      <c r="AC476" s="1781">
        <f t="shared" si="359"/>
        <v>0.93</v>
      </c>
      <c r="AD476" s="1781">
        <f t="shared" si="360"/>
        <v>0.93</v>
      </c>
      <c r="AE476" s="1781">
        <f t="shared" si="361"/>
        <v>0.93</v>
      </c>
      <c r="AF476" s="1781">
        <f t="shared" si="362"/>
        <v>0.93</v>
      </c>
      <c r="AG476" s="1781">
        <f t="shared" si="363"/>
        <v>0.93</v>
      </c>
      <c r="AH476" s="1781">
        <f t="shared" si="364"/>
        <v>0.93</v>
      </c>
      <c r="AI476" s="1362">
        <f t="shared" si="395"/>
        <v>19177.716915991565</v>
      </c>
      <c r="AJ476" s="1362">
        <f t="shared" si="396"/>
        <v>19177.716915991565</v>
      </c>
      <c r="AK476" s="1362">
        <f t="shared" si="397"/>
        <v>19177.716915991565</v>
      </c>
      <c r="AL476" s="1362">
        <f t="shared" si="398"/>
        <v>19177.716915991565</v>
      </c>
      <c r="AM476" s="1362">
        <f t="shared" si="399"/>
        <v>76710.867663966259</v>
      </c>
      <c r="AN476" s="1132" t="str">
        <f t="shared" si="365"/>
        <v>CI-HVC-STRE-V05-180101</v>
      </c>
      <c r="AO476" s="1132" t="str">
        <f t="shared" si="366"/>
        <v>Nicor Gas PY11-PY14 Adjustable Goals Template_2025-03-01, Tab 4.4.16</v>
      </c>
      <c r="AP476" s="2505">
        <f>'4.4.16'!$O$14</f>
        <v>102.13709764839483</v>
      </c>
      <c r="AQ476" s="2505"/>
      <c r="AR476" s="2505">
        <f t="shared" si="367"/>
        <v>19177.716915991565</v>
      </c>
      <c r="AS476" s="2505">
        <f t="shared" si="368"/>
        <v>0</v>
      </c>
      <c r="AT476" s="1132" t="str">
        <f t="shared" si="369"/>
        <v>CI-HVC-STRE-V05-180101</v>
      </c>
      <c r="AU476" s="1132" t="str">
        <f t="shared" si="370"/>
        <v>Nicor Gas PY11-PY14 Adjustable Goals Template_2025-03-01, Tab 4.4.16</v>
      </c>
      <c r="AV476" s="2505">
        <f>'4.4.16'!$O$14</f>
        <v>102.13709764839483</v>
      </c>
      <c r="AW476" s="2505"/>
      <c r="AX476" s="1362">
        <f t="shared" si="371"/>
        <v>19177.716915991565</v>
      </c>
      <c r="AY476" s="1360">
        <f t="shared" si="372"/>
        <v>0</v>
      </c>
      <c r="AZ476" s="1132" t="str">
        <f t="shared" si="373"/>
        <v>CI-HVC-STRE-V05-180101</v>
      </c>
      <c r="BA476" s="1132" t="str">
        <f t="shared" si="374"/>
        <v>Nicor Gas PY11-PY14 Adjustable Goals Template_2025-03-01, Tab 4.4.16</v>
      </c>
      <c r="BB476" s="2505">
        <f>'4.4.16'!$O$14</f>
        <v>102.13709764839483</v>
      </c>
      <c r="BC476" s="2505"/>
      <c r="BD476" s="1362">
        <f t="shared" si="375"/>
        <v>19177.716915991565</v>
      </c>
      <c r="BE476" s="1360">
        <f t="shared" si="376"/>
        <v>0</v>
      </c>
      <c r="BF476" s="1132" t="str">
        <f t="shared" si="377"/>
        <v>CI-HVC-STRE-V05-180101</v>
      </c>
      <c r="BG476" s="1132" t="str">
        <f t="shared" si="378"/>
        <v>Nicor Gas PY11-PY14 Adjustable Goals Template_2025-03-01, Tab 4.4.16</v>
      </c>
      <c r="BH476" s="2505">
        <f>'4.4.16'!$O$14</f>
        <v>102.13709764839483</v>
      </c>
      <c r="BI476" s="2505"/>
      <c r="BJ476" s="1362">
        <f t="shared" si="400"/>
        <v>19177.716915991565</v>
      </c>
      <c r="BK476" s="1360">
        <f t="shared" si="379"/>
        <v>0</v>
      </c>
      <c r="BL476" s="1601">
        <f t="shared" si="380"/>
        <v>19177.716915991565</v>
      </c>
      <c r="BM476" s="1601">
        <f t="shared" si="381"/>
        <v>19177.716915991565</v>
      </c>
      <c r="BN476" s="1601">
        <f t="shared" si="382"/>
        <v>19177.716915991565</v>
      </c>
      <c r="BO476" s="1601">
        <f t="shared" si="383"/>
        <v>19177.716915991565</v>
      </c>
      <c r="BP476" s="1602">
        <f t="shared" si="384"/>
        <v>76710.867663966259</v>
      </c>
      <c r="BQ476" s="1629"/>
      <c r="BR476" s="1629" t="s">
        <v>355</v>
      </c>
      <c r="BS476" s="1602">
        <v>0</v>
      </c>
      <c r="BT476" s="1602">
        <v>6</v>
      </c>
      <c r="BU476" s="1602">
        <v>6</v>
      </c>
      <c r="BV476" s="1602">
        <v>6</v>
      </c>
      <c r="BW476" s="1602">
        <v>6</v>
      </c>
      <c r="BX476" s="1362">
        <f t="shared" si="401"/>
        <v>115066.30149594939</v>
      </c>
      <c r="BY476" s="1362">
        <f t="shared" si="402"/>
        <v>115066.30149594939</v>
      </c>
      <c r="BZ476" s="1362">
        <f t="shared" si="403"/>
        <v>115066.30149594939</v>
      </c>
      <c r="CA476" s="1362">
        <f t="shared" si="404"/>
        <v>115066.30149594939</v>
      </c>
      <c r="CB476" s="1362">
        <f t="shared" si="405"/>
        <v>460265.20598379755</v>
      </c>
      <c r="CC476" s="1360">
        <v>6</v>
      </c>
      <c r="CD476" s="1360">
        <v>6</v>
      </c>
      <c r="CE476" s="1360">
        <v>6</v>
      </c>
      <c r="CF476" s="1360">
        <v>6</v>
      </c>
      <c r="CG476" s="1604">
        <f t="shared" si="385"/>
        <v>115066.30149594936</v>
      </c>
      <c r="CH476" s="1604">
        <f t="shared" si="386"/>
        <v>115066.30149594936</v>
      </c>
      <c r="CI476" s="1604">
        <f t="shared" si="387"/>
        <v>115066.30149594936</v>
      </c>
      <c r="CJ476" s="1604">
        <f t="shared" si="388"/>
        <v>115066.30149594936</v>
      </c>
      <c r="CK476" s="1521">
        <f t="shared" si="389"/>
        <v>460265.20598379744</v>
      </c>
      <c r="CL476" s="1132">
        <v>469</v>
      </c>
      <c r="CM476" s="1132" t="s">
        <v>356</v>
      </c>
      <c r="CN476" s="1359">
        <v>0</v>
      </c>
      <c r="CO476" s="1360">
        <v>201.89726808103836</v>
      </c>
      <c r="CP476" s="1360">
        <v>201.89726808103836</v>
      </c>
      <c r="CQ476" s="1360">
        <v>201.89726808103836</v>
      </c>
      <c r="CR476" s="1360">
        <v>201.89726808103836</v>
      </c>
      <c r="CS476" s="1362">
        <f t="shared" si="390"/>
        <v>19177.716915991565</v>
      </c>
      <c r="CT476" s="1362">
        <f t="shared" si="391"/>
        <v>19177.716915991565</v>
      </c>
      <c r="CU476" s="1362">
        <f t="shared" si="392"/>
        <v>19177.716915991565</v>
      </c>
      <c r="CV476" s="1362">
        <f t="shared" si="393"/>
        <v>19177.716915991565</v>
      </c>
      <c r="CW476" s="1362">
        <f t="shared" si="394"/>
        <v>76710.867663966259</v>
      </c>
      <c r="CY476" s="2887"/>
    </row>
    <row r="477" spans="1:103" s="1143" customFormat="1" ht="46.5" x14ac:dyDescent="0.35">
      <c r="A477" s="1132" t="s">
        <v>114</v>
      </c>
      <c r="B477" s="1132" t="s">
        <v>949</v>
      </c>
      <c r="C477" s="1132" t="s">
        <v>426</v>
      </c>
      <c r="D477" s="1359" t="s">
        <v>427</v>
      </c>
      <c r="E477" s="1359">
        <v>1</v>
      </c>
      <c r="F477" s="1780" t="s">
        <v>428</v>
      </c>
      <c r="G477" s="1132" t="s">
        <v>328</v>
      </c>
      <c r="H477" s="1360">
        <v>4.0374999999999996</v>
      </c>
      <c r="I477" s="1360">
        <v>4.0374999999999996</v>
      </c>
      <c r="J477" s="1360">
        <v>4.0374999999999996</v>
      </c>
      <c r="K477" s="1360">
        <v>4.0374999999999996</v>
      </c>
      <c r="L477" s="1132" t="s">
        <v>429</v>
      </c>
      <c r="M477" s="1132" t="str">
        <f t="shared" si="356"/>
        <v>Nicor Gas PY11-PY14 Adjustable Goals Template_2025-03-01, Tab 4.4.4</v>
      </c>
      <c r="N477" s="1361">
        <v>400.87199999999996</v>
      </c>
      <c r="O477" s="1361">
        <v>400.87199999999996</v>
      </c>
      <c r="P477" s="1361">
        <v>400.87199999999996</v>
      </c>
      <c r="Q477" s="1361">
        <v>400.87199999999996</v>
      </c>
      <c r="R477" s="1781">
        <v>0.93</v>
      </c>
      <c r="S477" s="1781">
        <v>0.93</v>
      </c>
      <c r="T477" s="1781">
        <v>0.93</v>
      </c>
      <c r="U477" s="1781">
        <v>0.93</v>
      </c>
      <c r="V477" s="1781">
        <v>0.93</v>
      </c>
      <c r="W477" s="1781">
        <v>0.93</v>
      </c>
      <c r="X477" s="1781">
        <v>0.93</v>
      </c>
      <c r="Y477" s="1781">
        <v>0.93</v>
      </c>
      <c r="Z477" s="1359">
        <v>0</v>
      </c>
      <c r="AA477" s="1781">
        <f t="shared" si="357"/>
        <v>0.93</v>
      </c>
      <c r="AB477" s="1781">
        <f t="shared" si="358"/>
        <v>0.93</v>
      </c>
      <c r="AC477" s="1781">
        <f t="shared" si="359"/>
        <v>0.93</v>
      </c>
      <c r="AD477" s="1781">
        <f t="shared" si="360"/>
        <v>0.93</v>
      </c>
      <c r="AE477" s="1781">
        <f t="shared" si="361"/>
        <v>0.93</v>
      </c>
      <c r="AF477" s="1781">
        <f t="shared" si="362"/>
        <v>0.93</v>
      </c>
      <c r="AG477" s="1781">
        <f t="shared" si="363"/>
        <v>0.93</v>
      </c>
      <c r="AH477" s="1781">
        <f t="shared" si="364"/>
        <v>0.93</v>
      </c>
      <c r="AI477" s="1362">
        <f t="shared" si="395"/>
        <v>1505.2242509999996</v>
      </c>
      <c r="AJ477" s="1362">
        <f t="shared" si="396"/>
        <v>1505.2242509999996</v>
      </c>
      <c r="AK477" s="1362">
        <f t="shared" si="397"/>
        <v>1505.2242509999996</v>
      </c>
      <c r="AL477" s="1362">
        <f t="shared" si="398"/>
        <v>1505.2242509999996</v>
      </c>
      <c r="AM477" s="1362">
        <f t="shared" si="399"/>
        <v>6020.8970039999986</v>
      </c>
      <c r="AN477" s="1132" t="str">
        <f t="shared" si="365"/>
        <v>CI-HVC-BLRC-V03-150601</v>
      </c>
      <c r="AO477" s="1132" t="str">
        <f t="shared" si="366"/>
        <v>Nicor Gas PY11-PY14 Adjustable Goals Template_2025-03-01, Tab 4.4.4</v>
      </c>
      <c r="AP477" s="2505">
        <f>'4.4.4'!$N$4</f>
        <v>400.87199999999996</v>
      </c>
      <c r="AQ477" s="2505"/>
      <c r="AR477" s="2505">
        <f t="shared" si="367"/>
        <v>1505.2242509999996</v>
      </c>
      <c r="AS477" s="2505">
        <f t="shared" si="368"/>
        <v>0</v>
      </c>
      <c r="AT477" s="1132" t="str">
        <f t="shared" si="369"/>
        <v>CI-HVC-BLRC-V03-150601</v>
      </c>
      <c r="AU477" s="1132" t="str">
        <f t="shared" si="370"/>
        <v>Nicor Gas PY11-PY14 Adjustable Goals Template_2025-03-01, Tab 4.4.4</v>
      </c>
      <c r="AV477" s="2505">
        <f>'4.4.4'!$N$4</f>
        <v>400.87199999999996</v>
      </c>
      <c r="AW477" s="2505"/>
      <c r="AX477" s="1362">
        <f t="shared" si="371"/>
        <v>1505.2242509999996</v>
      </c>
      <c r="AY477" s="1360">
        <f t="shared" si="372"/>
        <v>0</v>
      </c>
      <c r="AZ477" s="1132" t="str">
        <f t="shared" si="373"/>
        <v>CI-HVC-BLRC-V03-150601</v>
      </c>
      <c r="BA477" s="1132" t="str">
        <f t="shared" si="374"/>
        <v>Nicor Gas PY11-PY14 Adjustable Goals Template_2025-03-01, Tab 4.4.4</v>
      </c>
      <c r="BB477" s="2505">
        <f>'4.4.4'!$N$4</f>
        <v>400.87199999999996</v>
      </c>
      <c r="BC477" s="2505"/>
      <c r="BD477" s="1362">
        <f t="shared" si="375"/>
        <v>1505.2242509999996</v>
      </c>
      <c r="BE477" s="1360">
        <f t="shared" si="376"/>
        <v>0</v>
      </c>
      <c r="BF477" s="1132" t="str">
        <f t="shared" si="377"/>
        <v>CI-HVC-BLRC-V03-150601</v>
      </c>
      <c r="BG477" s="1132" t="str">
        <f t="shared" si="378"/>
        <v>Nicor Gas PY11-PY14 Adjustable Goals Template_2025-03-01, Tab 4.4.4</v>
      </c>
      <c r="BH477" s="2505">
        <f>'4.4.4'!$N$4</f>
        <v>400.87199999999996</v>
      </c>
      <c r="BI477" s="2505"/>
      <c r="BJ477" s="1362">
        <f t="shared" si="400"/>
        <v>1505.2242509999996</v>
      </c>
      <c r="BK477" s="1360">
        <f t="shared" si="379"/>
        <v>0</v>
      </c>
      <c r="BL477" s="1601">
        <f t="shared" si="380"/>
        <v>1505.2242509999996</v>
      </c>
      <c r="BM477" s="1601">
        <f t="shared" si="381"/>
        <v>1505.2242509999996</v>
      </c>
      <c r="BN477" s="1601">
        <f t="shared" si="382"/>
        <v>1505.2242509999996</v>
      </c>
      <c r="BO477" s="1601">
        <f t="shared" si="383"/>
        <v>1505.2242509999996</v>
      </c>
      <c r="BP477" s="1602">
        <f t="shared" si="384"/>
        <v>6020.8970039999986</v>
      </c>
      <c r="BQ477" s="1629"/>
      <c r="BR477" s="1629" t="s">
        <v>428</v>
      </c>
      <c r="BS477" s="1602">
        <v>0</v>
      </c>
      <c r="BT477" s="1602">
        <v>16</v>
      </c>
      <c r="BU477" s="1602">
        <v>16</v>
      </c>
      <c r="BV477" s="1602">
        <v>16</v>
      </c>
      <c r="BW477" s="1602">
        <v>16</v>
      </c>
      <c r="BX477" s="1362">
        <f t="shared" si="401"/>
        <v>24083.588015999994</v>
      </c>
      <c r="BY477" s="1362">
        <f t="shared" si="402"/>
        <v>24083.588015999994</v>
      </c>
      <c r="BZ477" s="1362">
        <f t="shared" si="403"/>
        <v>24083.588015999994</v>
      </c>
      <c r="CA477" s="1362">
        <f t="shared" si="404"/>
        <v>24083.588015999994</v>
      </c>
      <c r="CB477" s="1362">
        <f t="shared" si="405"/>
        <v>96334.352063999977</v>
      </c>
      <c r="CC477" s="1360">
        <v>16</v>
      </c>
      <c r="CD477" s="1360">
        <v>16</v>
      </c>
      <c r="CE477" s="1360">
        <v>16</v>
      </c>
      <c r="CF477" s="1360">
        <v>16</v>
      </c>
      <c r="CG477" s="1604">
        <f t="shared" si="385"/>
        <v>24083.588015999994</v>
      </c>
      <c r="CH477" s="1604">
        <f t="shared" si="386"/>
        <v>24083.588015999994</v>
      </c>
      <c r="CI477" s="1604">
        <f t="shared" si="387"/>
        <v>24083.588015999994</v>
      </c>
      <c r="CJ477" s="1604">
        <f t="shared" si="388"/>
        <v>24083.588015999994</v>
      </c>
      <c r="CK477" s="1521">
        <f t="shared" si="389"/>
        <v>96334.352063999977</v>
      </c>
      <c r="CL477" s="1132">
        <v>470</v>
      </c>
      <c r="CM477" s="1132" t="s">
        <v>328</v>
      </c>
      <c r="CN477" s="1359">
        <v>0</v>
      </c>
      <c r="CO477" s="1360">
        <v>4.0374999999999996</v>
      </c>
      <c r="CP477" s="1360">
        <v>4.0374999999999996</v>
      </c>
      <c r="CQ477" s="1360">
        <v>4.0374999999999996</v>
      </c>
      <c r="CR477" s="1360">
        <v>4.0374999999999996</v>
      </c>
      <c r="CS477" s="1362">
        <f t="shared" si="390"/>
        <v>1505.2242509999996</v>
      </c>
      <c r="CT477" s="1362">
        <f t="shared" si="391"/>
        <v>1505.2242509999996</v>
      </c>
      <c r="CU477" s="1362">
        <f t="shared" si="392"/>
        <v>1505.2242509999996</v>
      </c>
      <c r="CV477" s="1362">
        <f t="shared" si="393"/>
        <v>1505.2242509999996</v>
      </c>
      <c r="CW477" s="1362">
        <f t="shared" si="394"/>
        <v>6020.8970039999986</v>
      </c>
      <c r="CY477" s="2887"/>
    </row>
    <row r="478" spans="1:103" s="1143" customFormat="1" ht="46.5" x14ac:dyDescent="0.35">
      <c r="A478" s="1132" t="s">
        <v>114</v>
      </c>
      <c r="B478" s="1132" t="s">
        <v>949</v>
      </c>
      <c r="C478" s="1132" t="s">
        <v>749</v>
      </c>
      <c r="D478" s="1359" t="s">
        <v>750</v>
      </c>
      <c r="E478" s="1359">
        <v>1</v>
      </c>
      <c r="F478" s="1780" t="s">
        <v>332</v>
      </c>
      <c r="G478" s="1132" t="s">
        <v>328</v>
      </c>
      <c r="H478" s="1360">
        <v>52.487499999999997</v>
      </c>
      <c r="I478" s="1360">
        <v>52.487499999999997</v>
      </c>
      <c r="J478" s="1360">
        <v>52.487499999999997</v>
      </c>
      <c r="K478" s="1360">
        <v>52.487499999999997</v>
      </c>
      <c r="L478" s="1132" t="s">
        <v>333</v>
      </c>
      <c r="M478" s="1132" t="str">
        <f t="shared" si="356"/>
        <v>Nicor Gas PY11-PY14 Adjustable Goals Template_2025-03-01, Tab 4.4.2</v>
      </c>
      <c r="N478" s="1361">
        <v>377.09840490797626</v>
      </c>
      <c r="O478" s="1361">
        <v>377.09840490797626</v>
      </c>
      <c r="P478" s="1361">
        <v>377.09840490797626</v>
      </c>
      <c r="Q478" s="1361">
        <v>377.09840490797626</v>
      </c>
      <c r="R478" s="1781">
        <v>0.93</v>
      </c>
      <c r="S478" s="1781">
        <v>0.93</v>
      </c>
      <c r="T478" s="1781">
        <v>0.93</v>
      </c>
      <c r="U478" s="1781">
        <v>0.93</v>
      </c>
      <c r="V478" s="1781">
        <v>0.93</v>
      </c>
      <c r="W478" s="1781">
        <v>0.93</v>
      </c>
      <c r="X478" s="1781">
        <v>0.93</v>
      </c>
      <c r="Y478" s="1781">
        <v>0.93</v>
      </c>
      <c r="Z478" s="1359">
        <v>0</v>
      </c>
      <c r="AA478" s="1781">
        <f t="shared" si="357"/>
        <v>0.93</v>
      </c>
      <c r="AB478" s="1781">
        <f t="shared" si="358"/>
        <v>0.93</v>
      </c>
      <c r="AC478" s="1781">
        <f t="shared" si="359"/>
        <v>0.93</v>
      </c>
      <c r="AD478" s="1781">
        <f t="shared" si="360"/>
        <v>0.93</v>
      </c>
      <c r="AE478" s="1781">
        <f t="shared" si="361"/>
        <v>0.93</v>
      </c>
      <c r="AF478" s="1781">
        <f t="shared" si="362"/>
        <v>0.93</v>
      </c>
      <c r="AG478" s="1781">
        <f t="shared" si="363"/>
        <v>0.93</v>
      </c>
      <c r="AH478" s="1781">
        <f t="shared" si="364"/>
        <v>0.93</v>
      </c>
      <c r="AI478" s="1362">
        <f t="shared" si="395"/>
        <v>18407.445850674885</v>
      </c>
      <c r="AJ478" s="1362">
        <f t="shared" si="396"/>
        <v>18407.445850674885</v>
      </c>
      <c r="AK478" s="1362">
        <f t="shared" si="397"/>
        <v>18407.445850674885</v>
      </c>
      <c r="AL478" s="1362">
        <f t="shared" si="398"/>
        <v>18407.445850674885</v>
      </c>
      <c r="AM478" s="1362">
        <f t="shared" si="399"/>
        <v>73629.783402699541</v>
      </c>
      <c r="AN478" s="1132" t="str">
        <f t="shared" si="365"/>
        <v>CI-HVC-BLRT-V06-160601</v>
      </c>
      <c r="AO478" s="1132" t="str">
        <f t="shared" si="366"/>
        <v>Nicor Gas PY11-PY14 Adjustable Goals Template_2025-03-01, Tab 4.4.2</v>
      </c>
      <c r="AP478" s="2505">
        <f>'4.4.2'!$O$9</f>
        <v>377.09840490797626</v>
      </c>
      <c r="AQ478" s="2505"/>
      <c r="AR478" s="2505">
        <f t="shared" si="367"/>
        <v>18407.445850674885</v>
      </c>
      <c r="AS478" s="2505">
        <f t="shared" si="368"/>
        <v>0</v>
      </c>
      <c r="AT478" s="1132" t="str">
        <f t="shared" si="369"/>
        <v>CI-HVC-BLRT-V06-160601</v>
      </c>
      <c r="AU478" s="1132" t="str">
        <f t="shared" si="370"/>
        <v>Nicor Gas PY11-PY14 Adjustable Goals Template_2025-03-01, Tab 4.4.2</v>
      </c>
      <c r="AV478" s="2505">
        <f>'4.4.2'!$O$9</f>
        <v>377.09840490797626</v>
      </c>
      <c r="AW478" s="2505"/>
      <c r="AX478" s="1362">
        <f t="shared" si="371"/>
        <v>18407.445850674885</v>
      </c>
      <c r="AY478" s="1360">
        <f t="shared" si="372"/>
        <v>0</v>
      </c>
      <c r="AZ478" s="1132" t="str">
        <f t="shared" si="373"/>
        <v>CI-HVC-BLRT-V06-160601</v>
      </c>
      <c r="BA478" s="1132" t="str">
        <f t="shared" si="374"/>
        <v>Nicor Gas PY11-PY14 Adjustable Goals Template_2025-03-01, Tab 4.4.2</v>
      </c>
      <c r="BB478" s="2505">
        <f>'4.4.2'!$O$9</f>
        <v>377.09840490797626</v>
      </c>
      <c r="BC478" s="2505"/>
      <c r="BD478" s="1362">
        <f t="shared" si="375"/>
        <v>18407.445850674885</v>
      </c>
      <c r="BE478" s="1360">
        <f t="shared" si="376"/>
        <v>0</v>
      </c>
      <c r="BF478" s="1132" t="str">
        <f t="shared" si="377"/>
        <v>CI-HVC-BLRT-V06-160601</v>
      </c>
      <c r="BG478" s="1132" t="str">
        <f t="shared" si="378"/>
        <v>Nicor Gas PY11-PY14 Adjustable Goals Template_2025-03-01, Tab 4.4.2</v>
      </c>
      <c r="BH478" s="2505">
        <f>'4.4.2'!$O$9</f>
        <v>377.09840490797626</v>
      </c>
      <c r="BI478" s="2505"/>
      <c r="BJ478" s="1362">
        <f t="shared" si="400"/>
        <v>18407.445850674885</v>
      </c>
      <c r="BK478" s="1360">
        <f t="shared" si="379"/>
        <v>0</v>
      </c>
      <c r="BL478" s="1601">
        <f t="shared" si="380"/>
        <v>18407.445850674885</v>
      </c>
      <c r="BM478" s="1601">
        <f t="shared" si="381"/>
        <v>18407.445850674885</v>
      </c>
      <c r="BN478" s="1601">
        <f t="shared" si="382"/>
        <v>18407.445850674885</v>
      </c>
      <c r="BO478" s="1601">
        <f t="shared" si="383"/>
        <v>18407.445850674885</v>
      </c>
      <c r="BP478" s="1602">
        <f t="shared" si="384"/>
        <v>73629.783402699541</v>
      </c>
      <c r="BQ478" s="1629"/>
      <c r="BR478" s="1629" t="s">
        <v>332</v>
      </c>
      <c r="BS478" s="1602">
        <v>0</v>
      </c>
      <c r="BT478" s="1602">
        <v>3</v>
      </c>
      <c r="BU478" s="1602">
        <v>3</v>
      </c>
      <c r="BV478" s="1602">
        <v>3</v>
      </c>
      <c r="BW478" s="1602">
        <v>3</v>
      </c>
      <c r="BX478" s="1362">
        <f t="shared" si="401"/>
        <v>55222.337552024655</v>
      </c>
      <c r="BY478" s="1362">
        <f t="shared" si="402"/>
        <v>55222.337552024655</v>
      </c>
      <c r="BZ478" s="1362">
        <f t="shared" si="403"/>
        <v>55222.337552024655</v>
      </c>
      <c r="CA478" s="1362">
        <f t="shared" si="404"/>
        <v>55222.337552024655</v>
      </c>
      <c r="CB478" s="1362">
        <f t="shared" si="405"/>
        <v>220889.35020809862</v>
      </c>
      <c r="CC478" s="1360">
        <v>3</v>
      </c>
      <c r="CD478" s="1360">
        <v>3</v>
      </c>
      <c r="CE478" s="1360">
        <v>3</v>
      </c>
      <c r="CF478" s="1360">
        <v>3</v>
      </c>
      <c r="CG478" s="1604">
        <f t="shared" si="385"/>
        <v>55222.337552024655</v>
      </c>
      <c r="CH478" s="1604">
        <f t="shared" si="386"/>
        <v>55222.337552024655</v>
      </c>
      <c r="CI478" s="1604">
        <f t="shared" si="387"/>
        <v>55222.337552024655</v>
      </c>
      <c r="CJ478" s="1604">
        <f t="shared" si="388"/>
        <v>55222.337552024655</v>
      </c>
      <c r="CK478" s="1521">
        <f t="shared" si="389"/>
        <v>220889.35020809862</v>
      </c>
      <c r="CL478" s="1132">
        <v>471</v>
      </c>
      <c r="CM478" s="1132" t="s">
        <v>328</v>
      </c>
      <c r="CN478" s="1359">
        <v>0</v>
      </c>
      <c r="CO478" s="1360">
        <v>52.487499999999997</v>
      </c>
      <c r="CP478" s="1360">
        <v>52.487499999999997</v>
      </c>
      <c r="CQ478" s="1360">
        <v>52.487499999999997</v>
      </c>
      <c r="CR478" s="1360">
        <v>52.487499999999997</v>
      </c>
      <c r="CS478" s="1362">
        <f t="shared" si="390"/>
        <v>18407.445850674885</v>
      </c>
      <c r="CT478" s="1362">
        <f t="shared" si="391"/>
        <v>18407.445850674885</v>
      </c>
      <c r="CU478" s="1362">
        <f t="shared" si="392"/>
        <v>18407.445850674885</v>
      </c>
      <c r="CV478" s="1362">
        <f t="shared" si="393"/>
        <v>18407.445850674885</v>
      </c>
      <c r="CW478" s="1362">
        <f t="shared" si="394"/>
        <v>73629.783402699541</v>
      </c>
      <c r="CY478" s="2887"/>
    </row>
    <row r="479" spans="1:103" s="1143" customFormat="1" ht="46.5" x14ac:dyDescent="0.35">
      <c r="A479" s="1132" t="s">
        <v>114</v>
      </c>
      <c r="B479" s="1132" t="s">
        <v>949</v>
      </c>
      <c r="C479" s="1132" t="s">
        <v>751</v>
      </c>
      <c r="D479" s="1359" t="s">
        <v>752</v>
      </c>
      <c r="E479" s="1359">
        <v>1</v>
      </c>
      <c r="F479" s="2564" t="s">
        <v>336</v>
      </c>
      <c r="G479" s="1132" t="s">
        <v>337</v>
      </c>
      <c r="H479" s="1360">
        <v>6613.4799596672556</v>
      </c>
      <c r="I479" s="1360">
        <v>6613.4799596672556</v>
      </c>
      <c r="J479" s="1360">
        <v>6613.4799596672556</v>
      </c>
      <c r="K479" s="1360">
        <v>6613.4799596672556</v>
      </c>
      <c r="L479" s="1132" t="s">
        <v>338</v>
      </c>
      <c r="M479" s="1132" t="str">
        <f t="shared" si="356"/>
        <v>Nicor Gas PY11-PY14 Adjustable Goals Template_2025-03-01, Tab 4.4.14</v>
      </c>
      <c r="N479" s="2245">
        <v>3.9669999999999996</v>
      </c>
      <c r="O479" s="1361">
        <v>3.9669999999999996</v>
      </c>
      <c r="P479" s="1361">
        <v>3.9669999999999996</v>
      </c>
      <c r="Q479" s="1361">
        <v>3.9669999999999996</v>
      </c>
      <c r="R479" s="1781">
        <v>0.93</v>
      </c>
      <c r="S479" s="1781">
        <v>0.93</v>
      </c>
      <c r="T479" s="1781">
        <v>0.93</v>
      </c>
      <c r="U479" s="1781">
        <v>0.93</v>
      </c>
      <c r="V479" s="1781">
        <v>0.93</v>
      </c>
      <c r="W479" s="1781">
        <v>0.93</v>
      </c>
      <c r="X479" s="1781">
        <v>0.93</v>
      </c>
      <c r="Y479" s="1781">
        <v>0.93</v>
      </c>
      <c r="Z479" s="1359">
        <v>0</v>
      </c>
      <c r="AA479" s="1781">
        <f t="shared" si="357"/>
        <v>0.93</v>
      </c>
      <c r="AB479" s="1781">
        <f t="shared" si="358"/>
        <v>0.93</v>
      </c>
      <c r="AC479" s="1781">
        <f t="shared" si="359"/>
        <v>0.93</v>
      </c>
      <c r="AD479" s="1781">
        <f t="shared" si="360"/>
        <v>0.93</v>
      </c>
      <c r="AE479" s="1781">
        <f t="shared" si="361"/>
        <v>0.93</v>
      </c>
      <c r="AF479" s="1781">
        <f t="shared" si="362"/>
        <v>0.93</v>
      </c>
      <c r="AG479" s="1781">
        <f t="shared" si="363"/>
        <v>0.93</v>
      </c>
      <c r="AH479" s="1781">
        <f t="shared" si="364"/>
        <v>0.93</v>
      </c>
      <c r="AI479" s="1362">
        <f t="shared" si="395"/>
        <v>24399.177749999999</v>
      </c>
      <c r="AJ479" s="1362">
        <f t="shared" si="396"/>
        <v>24399.177749999999</v>
      </c>
      <c r="AK479" s="1362">
        <f t="shared" si="397"/>
        <v>24399.177749999999</v>
      </c>
      <c r="AL479" s="1362">
        <f t="shared" si="398"/>
        <v>24399.177749999999</v>
      </c>
      <c r="AM479" s="1362">
        <f t="shared" si="399"/>
        <v>97596.710999999996</v>
      </c>
      <c r="AN479" s="1132" t="str">
        <f t="shared" si="365"/>
        <v>CI-HVC-PINS-V05-190101</v>
      </c>
      <c r="AO479" s="1132" t="str">
        <f t="shared" si="366"/>
        <v>Nicor Gas PY11-PY14 Adjustable Goals Template_2025-03-01, Tab 4.4.14</v>
      </c>
      <c r="AP479" s="2247">
        <f>'4.4.14'!$T$22</f>
        <v>3.9669999999999996</v>
      </c>
      <c r="AQ479" s="2505"/>
      <c r="AR479" s="2505">
        <f t="shared" si="367"/>
        <v>24399.177749999999</v>
      </c>
      <c r="AS479" s="2505">
        <f t="shared" si="368"/>
        <v>0</v>
      </c>
      <c r="AT479" s="1132" t="str">
        <f t="shared" si="369"/>
        <v>CI-HVC-PINS-V05-190101</v>
      </c>
      <c r="AU479" s="1132" t="str">
        <f t="shared" si="370"/>
        <v>Nicor Gas PY11-PY14 Adjustable Goals Template_2025-03-01, Tab 4.4.14</v>
      </c>
      <c r="AV479" s="2247">
        <f>'4.4.14'!$T$22</f>
        <v>3.9669999999999996</v>
      </c>
      <c r="AW479" s="2505"/>
      <c r="AX479" s="1362">
        <f t="shared" si="371"/>
        <v>24399.177749999999</v>
      </c>
      <c r="AY479" s="1360">
        <f t="shared" si="372"/>
        <v>0</v>
      </c>
      <c r="AZ479" s="1132" t="str">
        <f t="shared" si="373"/>
        <v>CI-HVC-PINS-V05-190101</v>
      </c>
      <c r="BA479" s="1132" t="str">
        <f t="shared" si="374"/>
        <v>Nicor Gas PY11-PY14 Adjustable Goals Template_2025-03-01, Tab 4.4.14</v>
      </c>
      <c r="BB479" s="2247">
        <f>'4.4.14'!$T$22</f>
        <v>3.9669999999999996</v>
      </c>
      <c r="BC479" s="2505"/>
      <c r="BD479" s="1362">
        <f t="shared" si="375"/>
        <v>24399.177749999999</v>
      </c>
      <c r="BE479" s="1360">
        <f t="shared" si="376"/>
        <v>0</v>
      </c>
      <c r="BF479" s="1132" t="str">
        <f t="shared" si="377"/>
        <v>CI-HVC-PINS-V05-190101</v>
      </c>
      <c r="BG479" s="1132" t="str">
        <f t="shared" si="378"/>
        <v>Nicor Gas PY11-PY14 Adjustable Goals Template_2025-03-01, Tab 4.4.14</v>
      </c>
      <c r="BH479" s="2247">
        <f>'4.4.14'!$T$22</f>
        <v>3.9669999999999996</v>
      </c>
      <c r="BI479" s="2505"/>
      <c r="BJ479" s="1362">
        <f t="shared" si="400"/>
        <v>24399.177749999999</v>
      </c>
      <c r="BK479" s="1360">
        <f t="shared" si="379"/>
        <v>0</v>
      </c>
      <c r="BL479" s="1601">
        <f t="shared" si="380"/>
        <v>24399.177749999999</v>
      </c>
      <c r="BM479" s="1601">
        <f t="shared" si="381"/>
        <v>24399.177749999999</v>
      </c>
      <c r="BN479" s="1601">
        <f t="shared" si="382"/>
        <v>24399.177749999999</v>
      </c>
      <c r="BO479" s="1601">
        <f t="shared" si="383"/>
        <v>24399.177749999999</v>
      </c>
      <c r="BP479" s="1602">
        <f t="shared" si="384"/>
        <v>97596.710999999996</v>
      </c>
      <c r="BQ479" s="1629"/>
      <c r="BR479" s="1629" t="s">
        <v>336</v>
      </c>
      <c r="BS479" s="1602">
        <v>0</v>
      </c>
      <c r="BT479" s="1602">
        <v>15</v>
      </c>
      <c r="BU479" s="1602">
        <v>15</v>
      </c>
      <c r="BV479" s="1602">
        <v>15</v>
      </c>
      <c r="BW479" s="1602">
        <v>15</v>
      </c>
      <c r="BX479" s="1362">
        <f t="shared" si="401"/>
        <v>365987.66625000001</v>
      </c>
      <c r="BY479" s="1362">
        <f t="shared" si="402"/>
        <v>365987.66625000001</v>
      </c>
      <c r="BZ479" s="1362">
        <f t="shared" si="403"/>
        <v>365987.66625000001</v>
      </c>
      <c r="CA479" s="1362">
        <f t="shared" si="404"/>
        <v>365987.66625000001</v>
      </c>
      <c r="CB479" s="1362">
        <f t="shared" si="405"/>
        <v>1463950.665</v>
      </c>
      <c r="CC479" s="1360">
        <v>15</v>
      </c>
      <c r="CD479" s="1360">
        <v>15</v>
      </c>
      <c r="CE479" s="1360">
        <v>15</v>
      </c>
      <c r="CF479" s="1360">
        <v>15</v>
      </c>
      <c r="CG479" s="1604">
        <f t="shared" si="385"/>
        <v>365987.66625000001</v>
      </c>
      <c r="CH479" s="1604">
        <f t="shared" si="386"/>
        <v>365987.66625000001</v>
      </c>
      <c r="CI479" s="1604">
        <f t="shared" si="387"/>
        <v>365987.66625000001</v>
      </c>
      <c r="CJ479" s="1604">
        <f t="shared" si="388"/>
        <v>365987.66625000001</v>
      </c>
      <c r="CK479" s="1521">
        <f t="shared" si="389"/>
        <v>1463950.665</v>
      </c>
      <c r="CL479" s="1132">
        <v>472</v>
      </c>
      <c r="CM479" s="1132" t="s">
        <v>337</v>
      </c>
      <c r="CN479" s="1359">
        <v>0</v>
      </c>
      <c r="CO479" s="1360">
        <v>6613.4799596672556</v>
      </c>
      <c r="CP479" s="1360">
        <v>6613.4799596672556</v>
      </c>
      <c r="CQ479" s="1360">
        <v>6613.4799596672556</v>
      </c>
      <c r="CR479" s="1360">
        <v>6613.4799596672556</v>
      </c>
      <c r="CS479" s="1362">
        <f t="shared" si="390"/>
        <v>24399.177749999999</v>
      </c>
      <c r="CT479" s="1362">
        <f t="shared" si="391"/>
        <v>24399.177749999999</v>
      </c>
      <c r="CU479" s="1362">
        <f t="shared" si="392"/>
        <v>24399.177749999999</v>
      </c>
      <c r="CV479" s="1362">
        <f t="shared" si="393"/>
        <v>24399.177749999999</v>
      </c>
      <c r="CW479" s="1362">
        <f t="shared" si="394"/>
        <v>97596.710999999996</v>
      </c>
      <c r="CY479" s="2887"/>
    </row>
    <row r="480" spans="1:103" s="1143" customFormat="1" ht="46.5" x14ac:dyDescent="0.35">
      <c r="A480" s="1132" t="s">
        <v>114</v>
      </c>
      <c r="B480" s="1132" t="s">
        <v>949</v>
      </c>
      <c r="C480" s="1132" t="s">
        <v>753</v>
      </c>
      <c r="D480" s="1359" t="s">
        <v>754</v>
      </c>
      <c r="E480" s="1359">
        <v>1</v>
      </c>
      <c r="F480" s="2564" t="s">
        <v>336</v>
      </c>
      <c r="G480" s="1132" t="s">
        <v>337</v>
      </c>
      <c r="H480" s="1360">
        <v>1853.9540816326528</v>
      </c>
      <c r="I480" s="1360">
        <v>1853.9540816326528</v>
      </c>
      <c r="J480" s="1360">
        <v>1853.9540816326528</v>
      </c>
      <c r="K480" s="1360">
        <v>1853.9540816326528</v>
      </c>
      <c r="L480" s="1132" t="s">
        <v>338</v>
      </c>
      <c r="M480" s="1132" t="str">
        <f t="shared" si="356"/>
        <v>Nicor Gas PY11-PY14 Adjustable Goals Template_2025-03-01, Tab 4.4.14</v>
      </c>
      <c r="N480" s="2245">
        <v>3.1360000000000015</v>
      </c>
      <c r="O480" s="1361">
        <v>3.1360000000000015</v>
      </c>
      <c r="P480" s="1361">
        <v>3.1360000000000015</v>
      </c>
      <c r="Q480" s="1361">
        <v>3.1360000000000015</v>
      </c>
      <c r="R480" s="1781">
        <v>0.93</v>
      </c>
      <c r="S480" s="1781">
        <v>0.93</v>
      </c>
      <c r="T480" s="1781">
        <v>0.93</v>
      </c>
      <c r="U480" s="1781">
        <v>0.93</v>
      </c>
      <c r="V480" s="1781">
        <v>0.93</v>
      </c>
      <c r="W480" s="1781">
        <v>0.93</v>
      </c>
      <c r="X480" s="1781">
        <v>0.93</v>
      </c>
      <c r="Y480" s="1781">
        <v>0.93</v>
      </c>
      <c r="Z480" s="1359">
        <v>0</v>
      </c>
      <c r="AA480" s="1781">
        <f t="shared" si="357"/>
        <v>0.93</v>
      </c>
      <c r="AB480" s="1781">
        <f t="shared" si="358"/>
        <v>0.93</v>
      </c>
      <c r="AC480" s="1781">
        <f t="shared" si="359"/>
        <v>0.93</v>
      </c>
      <c r="AD480" s="1781">
        <f t="shared" si="360"/>
        <v>0.93</v>
      </c>
      <c r="AE480" s="1781">
        <f t="shared" si="361"/>
        <v>0.93</v>
      </c>
      <c r="AF480" s="1781">
        <f t="shared" si="362"/>
        <v>0.93</v>
      </c>
      <c r="AG480" s="1781">
        <f t="shared" si="363"/>
        <v>0.93</v>
      </c>
      <c r="AH480" s="1781">
        <f t="shared" si="364"/>
        <v>0.93</v>
      </c>
      <c r="AI480" s="1362">
        <f t="shared" si="395"/>
        <v>5407.0200000000023</v>
      </c>
      <c r="AJ480" s="1362">
        <f t="shared" si="396"/>
        <v>5407.0200000000023</v>
      </c>
      <c r="AK480" s="1362">
        <f t="shared" si="397"/>
        <v>5407.0200000000023</v>
      </c>
      <c r="AL480" s="1362">
        <f t="shared" si="398"/>
        <v>5407.0200000000023</v>
      </c>
      <c r="AM480" s="1362">
        <f t="shared" si="399"/>
        <v>21628.080000000009</v>
      </c>
      <c r="AN480" s="1132" t="str">
        <f t="shared" si="365"/>
        <v>CI-HVC-PINS-V05-190101</v>
      </c>
      <c r="AO480" s="1132" t="str">
        <f t="shared" si="366"/>
        <v>Nicor Gas PY11-PY14 Adjustable Goals Template_2025-03-01, Tab 4.4.14</v>
      </c>
      <c r="AP480" s="2247">
        <f>'4.4.14'!$T$23</f>
        <v>3.1360000000000015</v>
      </c>
      <c r="AQ480" s="2505"/>
      <c r="AR480" s="2505">
        <f t="shared" si="367"/>
        <v>5407.0200000000023</v>
      </c>
      <c r="AS480" s="2505">
        <f t="shared" si="368"/>
        <v>0</v>
      </c>
      <c r="AT480" s="1132" t="str">
        <f t="shared" si="369"/>
        <v>CI-HVC-PINS-V05-190101</v>
      </c>
      <c r="AU480" s="1132" t="str">
        <f t="shared" si="370"/>
        <v>Nicor Gas PY11-PY14 Adjustable Goals Template_2025-03-01, Tab 4.4.14</v>
      </c>
      <c r="AV480" s="2247">
        <f>'4.4.14'!$T$23</f>
        <v>3.1360000000000015</v>
      </c>
      <c r="AW480" s="2505"/>
      <c r="AX480" s="1362">
        <f t="shared" si="371"/>
        <v>5407.0200000000023</v>
      </c>
      <c r="AY480" s="1360">
        <f t="shared" si="372"/>
        <v>0</v>
      </c>
      <c r="AZ480" s="1132" t="str">
        <f t="shared" si="373"/>
        <v>CI-HVC-PINS-V05-190101</v>
      </c>
      <c r="BA480" s="1132" t="str">
        <f t="shared" si="374"/>
        <v>Nicor Gas PY11-PY14 Adjustable Goals Template_2025-03-01, Tab 4.4.14</v>
      </c>
      <c r="BB480" s="2247">
        <f>'4.4.14'!$T$23</f>
        <v>3.1360000000000015</v>
      </c>
      <c r="BC480" s="2505"/>
      <c r="BD480" s="1362">
        <f t="shared" si="375"/>
        <v>5407.0200000000023</v>
      </c>
      <c r="BE480" s="1360">
        <f t="shared" si="376"/>
        <v>0</v>
      </c>
      <c r="BF480" s="1132" t="str">
        <f t="shared" si="377"/>
        <v>CI-HVC-PINS-V05-190101</v>
      </c>
      <c r="BG480" s="1132" t="str">
        <f t="shared" si="378"/>
        <v>Nicor Gas PY11-PY14 Adjustable Goals Template_2025-03-01, Tab 4.4.14</v>
      </c>
      <c r="BH480" s="2247">
        <f>'4.4.14'!$T$23</f>
        <v>3.1360000000000015</v>
      </c>
      <c r="BI480" s="2505"/>
      <c r="BJ480" s="1362">
        <f t="shared" si="400"/>
        <v>5407.0200000000023</v>
      </c>
      <c r="BK480" s="1360">
        <f t="shared" si="379"/>
        <v>0</v>
      </c>
      <c r="BL480" s="1601">
        <f t="shared" si="380"/>
        <v>5407.0200000000023</v>
      </c>
      <c r="BM480" s="1601">
        <f t="shared" si="381"/>
        <v>5407.0200000000023</v>
      </c>
      <c r="BN480" s="1601">
        <f t="shared" si="382"/>
        <v>5407.0200000000023</v>
      </c>
      <c r="BO480" s="1601">
        <f t="shared" si="383"/>
        <v>5407.0200000000023</v>
      </c>
      <c r="BP480" s="1602">
        <f t="shared" si="384"/>
        <v>21628.080000000009</v>
      </c>
      <c r="BQ480" s="1629"/>
      <c r="BR480" s="1629" t="s">
        <v>336</v>
      </c>
      <c r="BS480" s="1602">
        <v>0</v>
      </c>
      <c r="BT480" s="1602">
        <v>15</v>
      </c>
      <c r="BU480" s="1602">
        <v>15</v>
      </c>
      <c r="BV480" s="1602">
        <v>15</v>
      </c>
      <c r="BW480" s="1602">
        <v>15</v>
      </c>
      <c r="BX480" s="1362">
        <f t="shared" si="401"/>
        <v>81105.300000000032</v>
      </c>
      <c r="BY480" s="1362">
        <f t="shared" si="402"/>
        <v>81105.300000000032</v>
      </c>
      <c r="BZ480" s="1362">
        <f t="shared" si="403"/>
        <v>81105.300000000032</v>
      </c>
      <c r="CA480" s="1362">
        <f t="shared" si="404"/>
        <v>81105.300000000032</v>
      </c>
      <c r="CB480" s="1362">
        <f t="shared" si="405"/>
        <v>324421.20000000013</v>
      </c>
      <c r="CC480" s="1360">
        <v>15</v>
      </c>
      <c r="CD480" s="1360">
        <v>15</v>
      </c>
      <c r="CE480" s="1360">
        <v>15</v>
      </c>
      <c r="CF480" s="1360">
        <v>15</v>
      </c>
      <c r="CG480" s="1604">
        <f t="shared" si="385"/>
        <v>81105.300000000032</v>
      </c>
      <c r="CH480" s="1604">
        <f t="shared" si="386"/>
        <v>81105.300000000032</v>
      </c>
      <c r="CI480" s="1604">
        <f t="shared" si="387"/>
        <v>81105.300000000032</v>
      </c>
      <c r="CJ480" s="1604">
        <f t="shared" si="388"/>
        <v>81105.300000000032</v>
      </c>
      <c r="CK480" s="1521">
        <f t="shared" si="389"/>
        <v>324421.20000000013</v>
      </c>
      <c r="CL480" s="1132">
        <v>473</v>
      </c>
      <c r="CM480" s="1132" t="s">
        <v>337</v>
      </c>
      <c r="CN480" s="1359">
        <v>0</v>
      </c>
      <c r="CO480" s="1360">
        <v>1853.9540816326528</v>
      </c>
      <c r="CP480" s="1360">
        <v>1853.9540816326528</v>
      </c>
      <c r="CQ480" s="1360">
        <v>1853.9540816326528</v>
      </c>
      <c r="CR480" s="1360">
        <v>1853.9540816326528</v>
      </c>
      <c r="CS480" s="1362">
        <f t="shared" si="390"/>
        <v>5407.0200000000023</v>
      </c>
      <c r="CT480" s="1362">
        <f t="shared" si="391"/>
        <v>5407.0200000000023</v>
      </c>
      <c r="CU480" s="1362">
        <f t="shared" si="392"/>
        <v>5407.0200000000023</v>
      </c>
      <c r="CV480" s="1362">
        <f t="shared" si="393"/>
        <v>5407.0200000000023</v>
      </c>
      <c r="CW480" s="1362">
        <f t="shared" si="394"/>
        <v>21628.080000000009</v>
      </c>
      <c r="CY480" s="2887"/>
    </row>
    <row r="481" spans="1:103" s="1143" customFormat="1" ht="46.5" x14ac:dyDescent="0.35">
      <c r="A481" s="1132" t="s">
        <v>114</v>
      </c>
      <c r="B481" s="1132" t="s">
        <v>949</v>
      </c>
      <c r="C481" s="1132" t="s">
        <v>755</v>
      </c>
      <c r="D481" s="1359" t="s">
        <v>756</v>
      </c>
      <c r="E481" s="1359">
        <v>1</v>
      </c>
      <c r="F481" s="2564" t="s">
        <v>336</v>
      </c>
      <c r="G481" s="1132" t="s">
        <v>337</v>
      </c>
      <c r="H481" s="1360">
        <v>1661.7180150517404</v>
      </c>
      <c r="I481" s="1360">
        <v>1661.7180150517404</v>
      </c>
      <c r="J481" s="1360">
        <v>1661.7180150517404</v>
      </c>
      <c r="K481" s="1360">
        <v>1661.7180150517404</v>
      </c>
      <c r="L481" s="1132" t="s">
        <v>338</v>
      </c>
      <c r="M481" s="1132" t="str">
        <f t="shared" si="356"/>
        <v>Nicor Gas PY11-PY14 Adjustable Goals Template_2025-03-01, Tab 4.4.14</v>
      </c>
      <c r="N481" s="2245">
        <v>4.2520000000000007</v>
      </c>
      <c r="O481" s="1361">
        <v>4.2520000000000007</v>
      </c>
      <c r="P481" s="1361">
        <v>4.2520000000000007</v>
      </c>
      <c r="Q481" s="1361">
        <v>4.2520000000000007</v>
      </c>
      <c r="R481" s="1781">
        <v>0.93</v>
      </c>
      <c r="S481" s="1781">
        <v>0.93</v>
      </c>
      <c r="T481" s="1781">
        <v>0.93</v>
      </c>
      <c r="U481" s="1781">
        <v>0.93</v>
      </c>
      <c r="V481" s="1781">
        <v>0.93</v>
      </c>
      <c r="W481" s="1781">
        <v>0.93</v>
      </c>
      <c r="X481" s="1781">
        <v>0.93</v>
      </c>
      <c r="Y481" s="1781">
        <v>0.93</v>
      </c>
      <c r="Z481" s="1359">
        <v>0</v>
      </c>
      <c r="AA481" s="1781">
        <f t="shared" si="357"/>
        <v>0.93</v>
      </c>
      <c r="AB481" s="1781">
        <f t="shared" si="358"/>
        <v>0.93</v>
      </c>
      <c r="AC481" s="1781">
        <f t="shared" si="359"/>
        <v>0.93</v>
      </c>
      <c r="AD481" s="1781">
        <f t="shared" si="360"/>
        <v>0.93</v>
      </c>
      <c r="AE481" s="1781">
        <f t="shared" si="361"/>
        <v>0.93</v>
      </c>
      <c r="AF481" s="1781">
        <f t="shared" si="362"/>
        <v>0.93</v>
      </c>
      <c r="AG481" s="1781">
        <f t="shared" si="363"/>
        <v>0.93</v>
      </c>
      <c r="AH481" s="1781">
        <f t="shared" si="364"/>
        <v>0.93</v>
      </c>
      <c r="AI481" s="1362">
        <f t="shared" si="395"/>
        <v>6571.0312500000009</v>
      </c>
      <c r="AJ481" s="1362">
        <f t="shared" si="396"/>
        <v>6571.0312500000009</v>
      </c>
      <c r="AK481" s="1362">
        <f t="shared" si="397"/>
        <v>6571.0312500000009</v>
      </c>
      <c r="AL481" s="1362">
        <f t="shared" si="398"/>
        <v>6571.0312500000009</v>
      </c>
      <c r="AM481" s="1362">
        <f t="shared" si="399"/>
        <v>26284.125000000004</v>
      </c>
      <c r="AN481" s="1132" t="str">
        <f t="shared" si="365"/>
        <v>CI-HVC-PINS-V05-190101</v>
      </c>
      <c r="AO481" s="1132" t="str">
        <f t="shared" si="366"/>
        <v>Nicor Gas PY11-PY14 Adjustable Goals Template_2025-03-01, Tab 4.4.14</v>
      </c>
      <c r="AP481" s="2247">
        <f>'4.4.14'!$T$24</f>
        <v>4.2520000000000007</v>
      </c>
      <c r="AQ481" s="2531"/>
      <c r="AR481" s="2505">
        <f t="shared" si="367"/>
        <v>6571.0312500000009</v>
      </c>
      <c r="AS481" s="2505">
        <f t="shared" si="368"/>
        <v>0</v>
      </c>
      <c r="AT481" s="1132" t="str">
        <f t="shared" si="369"/>
        <v>CI-HVC-PINS-V05-190101</v>
      </c>
      <c r="AU481" s="1132" t="str">
        <f t="shared" si="370"/>
        <v>Nicor Gas PY11-PY14 Adjustable Goals Template_2025-03-01, Tab 4.4.14</v>
      </c>
      <c r="AV481" s="2247">
        <f>'4.4.14'!$T$24</f>
        <v>4.2520000000000007</v>
      </c>
      <c r="AW481" s="2531"/>
      <c r="AX481" s="1362">
        <f t="shared" si="371"/>
        <v>6571.0312500000009</v>
      </c>
      <c r="AY481" s="1360">
        <f t="shared" si="372"/>
        <v>0</v>
      </c>
      <c r="AZ481" s="1132" t="str">
        <f t="shared" si="373"/>
        <v>CI-HVC-PINS-V05-190101</v>
      </c>
      <c r="BA481" s="1132" t="str">
        <f t="shared" si="374"/>
        <v>Nicor Gas PY11-PY14 Adjustable Goals Template_2025-03-01, Tab 4.4.14</v>
      </c>
      <c r="BB481" s="2247">
        <f>'4.4.14'!$T$24</f>
        <v>4.2520000000000007</v>
      </c>
      <c r="BC481" s="2531"/>
      <c r="BD481" s="1362">
        <f t="shared" si="375"/>
        <v>6571.0312500000009</v>
      </c>
      <c r="BE481" s="1360">
        <f t="shared" si="376"/>
        <v>0</v>
      </c>
      <c r="BF481" s="1132" t="str">
        <f t="shared" si="377"/>
        <v>CI-HVC-PINS-V05-190101</v>
      </c>
      <c r="BG481" s="1132" t="str">
        <f t="shared" si="378"/>
        <v>Nicor Gas PY11-PY14 Adjustable Goals Template_2025-03-01, Tab 4.4.14</v>
      </c>
      <c r="BH481" s="2247">
        <f>'4.4.14'!$T$24</f>
        <v>4.2520000000000007</v>
      </c>
      <c r="BI481" s="2531"/>
      <c r="BJ481" s="1362">
        <f t="shared" si="400"/>
        <v>6571.0312500000009</v>
      </c>
      <c r="BK481" s="1360">
        <f t="shared" si="379"/>
        <v>0</v>
      </c>
      <c r="BL481" s="1601">
        <f t="shared" si="380"/>
        <v>6571.0312500000009</v>
      </c>
      <c r="BM481" s="1601">
        <f t="shared" si="381"/>
        <v>6571.0312500000009</v>
      </c>
      <c r="BN481" s="1601">
        <f t="shared" si="382"/>
        <v>6571.0312500000009</v>
      </c>
      <c r="BO481" s="1601">
        <f t="shared" si="383"/>
        <v>6571.0312500000009</v>
      </c>
      <c r="BP481" s="1602">
        <f t="shared" si="384"/>
        <v>26284.125000000004</v>
      </c>
      <c r="BQ481" s="1629"/>
      <c r="BR481" s="1629" t="s">
        <v>336</v>
      </c>
      <c r="BS481" s="1602">
        <v>0</v>
      </c>
      <c r="BT481" s="1602">
        <v>15</v>
      </c>
      <c r="BU481" s="1602">
        <v>15</v>
      </c>
      <c r="BV481" s="1602">
        <v>15</v>
      </c>
      <c r="BW481" s="1602">
        <v>15</v>
      </c>
      <c r="BX481" s="1362">
        <f t="shared" si="401"/>
        <v>98565.468750000015</v>
      </c>
      <c r="BY481" s="1362">
        <f t="shared" si="402"/>
        <v>98565.468750000015</v>
      </c>
      <c r="BZ481" s="1362">
        <f t="shared" si="403"/>
        <v>98565.468750000015</v>
      </c>
      <c r="CA481" s="1362">
        <f t="shared" si="404"/>
        <v>98565.468750000015</v>
      </c>
      <c r="CB481" s="1362">
        <f t="shared" si="405"/>
        <v>394261.87500000006</v>
      </c>
      <c r="CC481" s="1360">
        <v>15</v>
      </c>
      <c r="CD481" s="1360">
        <v>15</v>
      </c>
      <c r="CE481" s="1360">
        <v>15</v>
      </c>
      <c r="CF481" s="1360">
        <v>15</v>
      </c>
      <c r="CG481" s="1604">
        <f t="shared" si="385"/>
        <v>98565.468750000015</v>
      </c>
      <c r="CH481" s="1604">
        <f t="shared" si="386"/>
        <v>98565.468750000015</v>
      </c>
      <c r="CI481" s="1604">
        <f t="shared" si="387"/>
        <v>98565.468750000015</v>
      </c>
      <c r="CJ481" s="1604">
        <f t="shared" si="388"/>
        <v>98565.468750000015</v>
      </c>
      <c r="CK481" s="1521">
        <f t="shared" si="389"/>
        <v>394261.87500000006</v>
      </c>
      <c r="CL481" s="1132">
        <v>474</v>
      </c>
      <c r="CM481" s="1132" t="s">
        <v>337</v>
      </c>
      <c r="CN481" s="1359">
        <v>0</v>
      </c>
      <c r="CO481" s="1360">
        <v>1661.7180150517404</v>
      </c>
      <c r="CP481" s="1360">
        <v>1661.7180150517404</v>
      </c>
      <c r="CQ481" s="1360">
        <v>1661.7180150517404</v>
      </c>
      <c r="CR481" s="1360">
        <v>1661.7180150517404</v>
      </c>
      <c r="CS481" s="1362">
        <f t="shared" si="390"/>
        <v>6571.0312500000009</v>
      </c>
      <c r="CT481" s="1362">
        <f t="shared" si="391"/>
        <v>6571.0312500000009</v>
      </c>
      <c r="CU481" s="1362">
        <f t="shared" si="392"/>
        <v>6571.0312500000009</v>
      </c>
      <c r="CV481" s="1362">
        <f t="shared" si="393"/>
        <v>6571.0312500000009</v>
      </c>
      <c r="CW481" s="1362">
        <f t="shared" si="394"/>
        <v>26284.125000000004</v>
      </c>
      <c r="CY481" s="2887"/>
    </row>
    <row r="482" spans="1:103" s="1143" customFormat="1" ht="46.5" x14ac:dyDescent="0.35">
      <c r="A482" s="1132" t="s">
        <v>114</v>
      </c>
      <c r="B482" s="1132" t="s">
        <v>949</v>
      </c>
      <c r="C482" s="1132" t="s">
        <v>757</v>
      </c>
      <c r="D482" s="1359" t="s">
        <v>758</v>
      </c>
      <c r="E482" s="1359">
        <v>1</v>
      </c>
      <c r="F482" s="2564" t="s">
        <v>336</v>
      </c>
      <c r="G482" s="1132" t="s">
        <v>606</v>
      </c>
      <c r="H482" s="1360">
        <v>904.76190476190459</v>
      </c>
      <c r="I482" s="1360">
        <v>904.76190476190459</v>
      </c>
      <c r="J482" s="1360">
        <v>904.76190476190459</v>
      </c>
      <c r="K482" s="1360">
        <v>904.76190476190459</v>
      </c>
      <c r="L482" s="1132" t="s">
        <v>759</v>
      </c>
      <c r="M482" s="1132" t="str">
        <f t="shared" si="356"/>
        <v>Nicor Gas PY11-PY14 Adjustable Goals Template_2025-03-01, Tab 4.4.14</v>
      </c>
      <c r="N482" s="1361">
        <v>5.3550000000000022</v>
      </c>
      <c r="O482" s="1361">
        <v>5.3550000000000022</v>
      </c>
      <c r="P482" s="1361">
        <v>5.3550000000000022</v>
      </c>
      <c r="Q482" s="1361">
        <v>5.3550000000000022</v>
      </c>
      <c r="R482" s="1781">
        <v>0.93</v>
      </c>
      <c r="S482" s="1781">
        <v>0.93</v>
      </c>
      <c r="T482" s="1781">
        <v>0.93</v>
      </c>
      <c r="U482" s="1781">
        <v>0.93</v>
      </c>
      <c r="V482" s="1781">
        <v>0.93</v>
      </c>
      <c r="W482" s="1781">
        <v>0.93</v>
      </c>
      <c r="X482" s="1781">
        <v>0.93</v>
      </c>
      <c r="Y482" s="1781">
        <v>0.93</v>
      </c>
      <c r="Z482" s="1359">
        <v>0</v>
      </c>
      <c r="AA482" s="1781">
        <f t="shared" si="357"/>
        <v>0.93</v>
      </c>
      <c r="AB482" s="1781">
        <f t="shared" si="358"/>
        <v>0.93</v>
      </c>
      <c r="AC482" s="1781">
        <f t="shared" si="359"/>
        <v>0.93</v>
      </c>
      <c r="AD482" s="1781">
        <f t="shared" si="360"/>
        <v>0.93</v>
      </c>
      <c r="AE482" s="1781">
        <f t="shared" si="361"/>
        <v>0.93</v>
      </c>
      <c r="AF482" s="1781">
        <f t="shared" si="362"/>
        <v>0.93</v>
      </c>
      <c r="AG482" s="1781">
        <f t="shared" si="363"/>
        <v>0.93</v>
      </c>
      <c r="AH482" s="1781">
        <f t="shared" si="364"/>
        <v>0.93</v>
      </c>
      <c r="AI482" s="1362">
        <f t="shared" si="395"/>
        <v>4505.8500000000013</v>
      </c>
      <c r="AJ482" s="1362">
        <f t="shared" si="396"/>
        <v>4505.8500000000013</v>
      </c>
      <c r="AK482" s="1362">
        <f t="shared" si="397"/>
        <v>4505.8500000000013</v>
      </c>
      <c r="AL482" s="1362">
        <f t="shared" si="398"/>
        <v>4505.8500000000013</v>
      </c>
      <c r="AM482" s="1362">
        <f t="shared" si="399"/>
        <v>18023.400000000005</v>
      </c>
      <c r="AN482" s="1132" t="str">
        <f t="shared" si="365"/>
        <v>C246</v>
      </c>
      <c r="AO482" s="1132" t="str">
        <f t="shared" si="366"/>
        <v>Nicor Gas PY11-PY14 Adjustable Goals Template_2025-03-01, Tab 4.4.14</v>
      </c>
      <c r="AP482" s="2505">
        <f>'4.4.14'!$T$25</f>
        <v>5.3550000000000022</v>
      </c>
      <c r="AQ482" s="2505"/>
      <c r="AR482" s="2505">
        <f t="shared" si="367"/>
        <v>4505.8500000000013</v>
      </c>
      <c r="AS482" s="2505">
        <f t="shared" si="368"/>
        <v>0</v>
      </c>
      <c r="AT482" s="1132" t="str">
        <f t="shared" si="369"/>
        <v>C246</v>
      </c>
      <c r="AU482" s="1132" t="str">
        <f t="shared" si="370"/>
        <v>Nicor Gas PY11-PY14 Adjustable Goals Template_2025-03-01, Tab 4.4.14</v>
      </c>
      <c r="AV482" s="2505">
        <f>'4.4.14'!$T$25</f>
        <v>5.3550000000000022</v>
      </c>
      <c r="AW482" s="2505"/>
      <c r="AX482" s="1362">
        <f t="shared" si="371"/>
        <v>4505.8500000000013</v>
      </c>
      <c r="AY482" s="1360">
        <f t="shared" si="372"/>
        <v>0</v>
      </c>
      <c r="AZ482" s="1132" t="str">
        <f t="shared" si="373"/>
        <v>C246</v>
      </c>
      <c r="BA482" s="1132" t="str">
        <f t="shared" si="374"/>
        <v>Nicor Gas PY11-PY14 Adjustable Goals Template_2025-03-01, Tab 4.4.14</v>
      </c>
      <c r="BB482" s="2505">
        <f>'4.4.14'!$T$25</f>
        <v>5.3550000000000022</v>
      </c>
      <c r="BC482" s="2505"/>
      <c r="BD482" s="1362">
        <f t="shared" si="375"/>
        <v>4505.8500000000013</v>
      </c>
      <c r="BE482" s="1360">
        <f t="shared" si="376"/>
        <v>0</v>
      </c>
      <c r="BF482" s="1132" t="str">
        <f t="shared" si="377"/>
        <v>C246</v>
      </c>
      <c r="BG482" s="1132" t="str">
        <f t="shared" si="378"/>
        <v>Nicor Gas PY11-PY14 Adjustable Goals Template_2025-03-01, Tab 4.4.14</v>
      </c>
      <c r="BH482" s="2505">
        <f>'4.4.14'!$T$25</f>
        <v>5.3550000000000022</v>
      </c>
      <c r="BI482" s="2505"/>
      <c r="BJ482" s="1362">
        <f t="shared" si="400"/>
        <v>4505.8500000000013</v>
      </c>
      <c r="BK482" s="1360">
        <f t="shared" si="379"/>
        <v>0</v>
      </c>
      <c r="BL482" s="1601">
        <f t="shared" si="380"/>
        <v>4505.8500000000013</v>
      </c>
      <c r="BM482" s="1601">
        <f t="shared" si="381"/>
        <v>4505.8500000000013</v>
      </c>
      <c r="BN482" s="1601">
        <f t="shared" si="382"/>
        <v>4505.8500000000013</v>
      </c>
      <c r="BO482" s="1601">
        <f t="shared" si="383"/>
        <v>4505.8500000000013</v>
      </c>
      <c r="BP482" s="1602">
        <f t="shared" si="384"/>
        <v>18023.400000000005</v>
      </c>
      <c r="BQ482" s="1629"/>
      <c r="BR482" s="1629" t="s">
        <v>336</v>
      </c>
      <c r="BS482" s="1602">
        <v>0</v>
      </c>
      <c r="BT482" s="1602">
        <v>15</v>
      </c>
      <c r="BU482" s="1602">
        <v>15</v>
      </c>
      <c r="BV482" s="1602">
        <v>15</v>
      </c>
      <c r="BW482" s="1602">
        <v>15</v>
      </c>
      <c r="BX482" s="1362">
        <f t="shared" si="401"/>
        <v>67587.750000000015</v>
      </c>
      <c r="BY482" s="1362">
        <f t="shared" si="402"/>
        <v>67587.750000000015</v>
      </c>
      <c r="BZ482" s="1362">
        <f t="shared" si="403"/>
        <v>67587.750000000015</v>
      </c>
      <c r="CA482" s="1362">
        <f t="shared" si="404"/>
        <v>67587.750000000015</v>
      </c>
      <c r="CB482" s="1362">
        <f t="shared" si="405"/>
        <v>270351.00000000006</v>
      </c>
      <c r="CC482" s="1360">
        <v>15</v>
      </c>
      <c r="CD482" s="1360">
        <v>15</v>
      </c>
      <c r="CE482" s="1360">
        <v>15</v>
      </c>
      <c r="CF482" s="1360">
        <v>15</v>
      </c>
      <c r="CG482" s="1604">
        <f t="shared" si="385"/>
        <v>67587.750000000015</v>
      </c>
      <c r="CH482" s="1604">
        <f t="shared" si="386"/>
        <v>67587.750000000015</v>
      </c>
      <c r="CI482" s="1604">
        <f t="shared" si="387"/>
        <v>67587.750000000015</v>
      </c>
      <c r="CJ482" s="1604">
        <f t="shared" si="388"/>
        <v>67587.750000000015</v>
      </c>
      <c r="CK482" s="1521">
        <f t="shared" si="389"/>
        <v>270351.00000000006</v>
      </c>
      <c r="CL482" s="1132">
        <v>475</v>
      </c>
      <c r="CM482" s="1132" t="s">
        <v>606</v>
      </c>
      <c r="CN482" s="1359">
        <v>0</v>
      </c>
      <c r="CO482" s="1360">
        <v>904.76190476190459</v>
      </c>
      <c r="CP482" s="1360">
        <v>904.76190476190459</v>
      </c>
      <c r="CQ482" s="1360">
        <v>904.76190476190459</v>
      </c>
      <c r="CR482" s="1360">
        <v>904.76190476190459</v>
      </c>
      <c r="CS482" s="1362">
        <f t="shared" si="390"/>
        <v>4505.8500000000013</v>
      </c>
      <c r="CT482" s="1362">
        <f t="shared" si="391"/>
        <v>4505.8500000000013</v>
      </c>
      <c r="CU482" s="1362">
        <f t="shared" si="392"/>
        <v>4505.8500000000013</v>
      </c>
      <c r="CV482" s="1362">
        <f t="shared" si="393"/>
        <v>4505.8500000000013</v>
      </c>
      <c r="CW482" s="1362">
        <f t="shared" si="394"/>
        <v>18023.400000000005</v>
      </c>
      <c r="CY482" s="2887"/>
    </row>
    <row r="483" spans="1:103" s="1143" customFormat="1" ht="46.5" x14ac:dyDescent="0.35">
      <c r="A483" s="1132" t="s">
        <v>114</v>
      </c>
      <c r="B483" s="1132" t="s">
        <v>949</v>
      </c>
      <c r="C483" s="1132" t="s">
        <v>760</v>
      </c>
      <c r="D483" s="1359" t="s">
        <v>761</v>
      </c>
      <c r="E483" s="1359">
        <v>1</v>
      </c>
      <c r="F483" s="2564" t="s">
        <v>336</v>
      </c>
      <c r="G483" s="1132" t="s">
        <v>606</v>
      </c>
      <c r="H483" s="1360">
        <v>125.8278145695364</v>
      </c>
      <c r="I483" s="1360">
        <v>125.8278145695364</v>
      </c>
      <c r="J483" s="1360">
        <v>125.8278145695364</v>
      </c>
      <c r="K483" s="1360">
        <v>125.8278145695364</v>
      </c>
      <c r="L483" s="1132" t="s">
        <v>762</v>
      </c>
      <c r="M483" s="1132" t="str">
        <f t="shared" si="356"/>
        <v>Nicor Gas PY11-PY14 Adjustable Goals Template_2025-03-01, Tab 4.4.14</v>
      </c>
      <c r="N483" s="1361">
        <v>7.7009999999999987</v>
      </c>
      <c r="O483" s="1361">
        <v>7.7009999999999987</v>
      </c>
      <c r="P483" s="1361">
        <v>7.7009999999999987</v>
      </c>
      <c r="Q483" s="1361">
        <v>7.7009999999999987</v>
      </c>
      <c r="R483" s="1781">
        <v>0.93</v>
      </c>
      <c r="S483" s="1781">
        <v>0.93</v>
      </c>
      <c r="T483" s="1781">
        <v>0.93</v>
      </c>
      <c r="U483" s="1781">
        <v>0.93</v>
      </c>
      <c r="V483" s="1781">
        <v>0.93</v>
      </c>
      <c r="W483" s="1781">
        <v>0.93</v>
      </c>
      <c r="X483" s="1781">
        <v>0.93</v>
      </c>
      <c r="Y483" s="1781">
        <v>0.93</v>
      </c>
      <c r="Z483" s="1359">
        <v>0</v>
      </c>
      <c r="AA483" s="1781">
        <f t="shared" si="357"/>
        <v>0.93</v>
      </c>
      <c r="AB483" s="1781">
        <f t="shared" si="358"/>
        <v>0.93</v>
      </c>
      <c r="AC483" s="1781">
        <f t="shared" si="359"/>
        <v>0.93</v>
      </c>
      <c r="AD483" s="1781">
        <f t="shared" si="360"/>
        <v>0.93</v>
      </c>
      <c r="AE483" s="1781">
        <f t="shared" si="361"/>
        <v>0.93</v>
      </c>
      <c r="AF483" s="1781">
        <f t="shared" si="362"/>
        <v>0.93</v>
      </c>
      <c r="AG483" s="1781">
        <f t="shared" si="363"/>
        <v>0.93</v>
      </c>
      <c r="AH483" s="1781">
        <f t="shared" si="364"/>
        <v>0.93</v>
      </c>
      <c r="AI483" s="1362">
        <f t="shared" si="395"/>
        <v>901.16999999999973</v>
      </c>
      <c r="AJ483" s="1362">
        <f t="shared" si="396"/>
        <v>901.16999999999973</v>
      </c>
      <c r="AK483" s="1362">
        <f t="shared" si="397"/>
        <v>901.16999999999973</v>
      </c>
      <c r="AL483" s="1362">
        <f t="shared" si="398"/>
        <v>901.16999999999973</v>
      </c>
      <c r="AM483" s="1362">
        <f t="shared" si="399"/>
        <v>3604.6799999999989</v>
      </c>
      <c r="AN483" s="1132" t="str">
        <f t="shared" si="365"/>
        <v>C247</v>
      </c>
      <c r="AO483" s="1132" t="str">
        <f t="shared" si="366"/>
        <v>Nicor Gas PY11-PY14 Adjustable Goals Template_2025-03-01, Tab 4.4.14</v>
      </c>
      <c r="AP483" s="2505">
        <f>'4.4.14'!$T$26</f>
        <v>7.7009999999999987</v>
      </c>
      <c r="AQ483" s="2505"/>
      <c r="AR483" s="2505">
        <f t="shared" si="367"/>
        <v>901.16999999999973</v>
      </c>
      <c r="AS483" s="2505">
        <f t="shared" si="368"/>
        <v>0</v>
      </c>
      <c r="AT483" s="1132" t="str">
        <f t="shared" si="369"/>
        <v>C247</v>
      </c>
      <c r="AU483" s="1132" t="str">
        <f t="shared" si="370"/>
        <v>Nicor Gas PY11-PY14 Adjustable Goals Template_2025-03-01, Tab 4.4.14</v>
      </c>
      <c r="AV483" s="2505">
        <f>'4.4.14'!$T$26</f>
        <v>7.7009999999999987</v>
      </c>
      <c r="AW483" s="2505"/>
      <c r="AX483" s="1362">
        <f t="shared" si="371"/>
        <v>901.16999999999973</v>
      </c>
      <c r="AY483" s="1360">
        <f t="shared" si="372"/>
        <v>0</v>
      </c>
      <c r="AZ483" s="1132" t="str">
        <f t="shared" si="373"/>
        <v>C247</v>
      </c>
      <c r="BA483" s="1132" t="str">
        <f t="shared" si="374"/>
        <v>Nicor Gas PY11-PY14 Adjustable Goals Template_2025-03-01, Tab 4.4.14</v>
      </c>
      <c r="BB483" s="2505">
        <f>'4.4.14'!$T$26</f>
        <v>7.7009999999999987</v>
      </c>
      <c r="BC483" s="2505"/>
      <c r="BD483" s="1362">
        <f t="shared" si="375"/>
        <v>901.16999999999973</v>
      </c>
      <c r="BE483" s="1360">
        <f t="shared" si="376"/>
        <v>0</v>
      </c>
      <c r="BF483" s="1132" t="str">
        <f t="shared" si="377"/>
        <v>C247</v>
      </c>
      <c r="BG483" s="1132" t="str">
        <f t="shared" si="378"/>
        <v>Nicor Gas PY11-PY14 Adjustable Goals Template_2025-03-01, Tab 4.4.14</v>
      </c>
      <c r="BH483" s="2505">
        <f>'4.4.14'!$T$26</f>
        <v>7.7009999999999987</v>
      </c>
      <c r="BI483" s="2505"/>
      <c r="BJ483" s="1362">
        <f t="shared" si="400"/>
        <v>901.16999999999973</v>
      </c>
      <c r="BK483" s="1360">
        <f t="shared" si="379"/>
        <v>0</v>
      </c>
      <c r="BL483" s="1601">
        <f t="shared" si="380"/>
        <v>901.16999999999973</v>
      </c>
      <c r="BM483" s="1601">
        <f t="shared" si="381"/>
        <v>901.16999999999973</v>
      </c>
      <c r="BN483" s="1601">
        <f t="shared" si="382"/>
        <v>901.16999999999973</v>
      </c>
      <c r="BO483" s="1601">
        <f t="shared" si="383"/>
        <v>901.16999999999973</v>
      </c>
      <c r="BP483" s="1602">
        <f t="shared" si="384"/>
        <v>3604.6799999999989</v>
      </c>
      <c r="BQ483" s="1629"/>
      <c r="BR483" s="1629" t="s">
        <v>336</v>
      </c>
      <c r="BS483" s="1602">
        <v>0</v>
      </c>
      <c r="BT483" s="1602">
        <v>15</v>
      </c>
      <c r="BU483" s="1602">
        <v>15</v>
      </c>
      <c r="BV483" s="1602">
        <v>15</v>
      </c>
      <c r="BW483" s="1602">
        <v>15</v>
      </c>
      <c r="BX483" s="1362">
        <f t="shared" si="401"/>
        <v>13517.549999999996</v>
      </c>
      <c r="BY483" s="1362">
        <f t="shared" si="402"/>
        <v>13517.549999999996</v>
      </c>
      <c r="BZ483" s="1362">
        <f t="shared" si="403"/>
        <v>13517.549999999996</v>
      </c>
      <c r="CA483" s="1362">
        <f t="shared" si="404"/>
        <v>13517.549999999996</v>
      </c>
      <c r="CB483" s="1362">
        <f t="shared" si="405"/>
        <v>54070.199999999983</v>
      </c>
      <c r="CC483" s="1360">
        <v>15</v>
      </c>
      <c r="CD483" s="1360">
        <v>15</v>
      </c>
      <c r="CE483" s="1360">
        <v>15</v>
      </c>
      <c r="CF483" s="1360">
        <v>15</v>
      </c>
      <c r="CG483" s="1604">
        <f t="shared" si="385"/>
        <v>13517.549999999996</v>
      </c>
      <c r="CH483" s="1604">
        <f t="shared" si="386"/>
        <v>13517.549999999996</v>
      </c>
      <c r="CI483" s="1604">
        <f t="shared" si="387"/>
        <v>13517.549999999996</v>
      </c>
      <c r="CJ483" s="1604">
        <f t="shared" si="388"/>
        <v>13517.549999999996</v>
      </c>
      <c r="CK483" s="1521">
        <f t="shared" si="389"/>
        <v>54070.199999999983</v>
      </c>
      <c r="CL483" s="1132">
        <v>476</v>
      </c>
      <c r="CM483" s="1132" t="s">
        <v>606</v>
      </c>
      <c r="CN483" s="1359">
        <v>0</v>
      </c>
      <c r="CO483" s="1360">
        <v>125.8278145695364</v>
      </c>
      <c r="CP483" s="1360">
        <v>125.8278145695364</v>
      </c>
      <c r="CQ483" s="1360">
        <v>125.8278145695364</v>
      </c>
      <c r="CR483" s="1360">
        <v>125.8278145695364</v>
      </c>
      <c r="CS483" s="1362">
        <f t="shared" si="390"/>
        <v>901.16999999999973</v>
      </c>
      <c r="CT483" s="1362">
        <f t="shared" si="391"/>
        <v>901.16999999999973</v>
      </c>
      <c r="CU483" s="1362">
        <f t="shared" si="392"/>
        <v>901.16999999999973</v>
      </c>
      <c r="CV483" s="1362">
        <f t="shared" si="393"/>
        <v>901.16999999999973</v>
      </c>
      <c r="CW483" s="1362">
        <f t="shared" si="394"/>
        <v>3604.6799999999989</v>
      </c>
      <c r="CY483" s="2887"/>
    </row>
    <row r="484" spans="1:103" s="1143" customFormat="1" ht="30" customHeight="1" x14ac:dyDescent="0.35">
      <c r="A484" s="1132" t="s">
        <v>114</v>
      </c>
      <c r="B484" s="1132" t="s">
        <v>949</v>
      </c>
      <c r="C484" s="1132" t="s">
        <v>763</v>
      </c>
      <c r="D484" s="1359" t="s">
        <v>764</v>
      </c>
      <c r="E484" s="1359">
        <v>1</v>
      </c>
      <c r="F484" s="2564" t="s">
        <v>489</v>
      </c>
      <c r="G484" s="1132" t="s">
        <v>356</v>
      </c>
      <c r="H484" s="1360">
        <v>1874.5489711277714</v>
      </c>
      <c r="I484" s="1360">
        <v>1874.5489711277714</v>
      </c>
      <c r="J484" s="1360">
        <v>1874.5489711277714</v>
      </c>
      <c r="K484" s="1360">
        <v>1874.5489711277714</v>
      </c>
      <c r="L484" s="1132" t="s">
        <v>765</v>
      </c>
      <c r="M484" s="1132" t="str">
        <f t="shared" si="356"/>
        <v>Nicor Gas PY11-PY14 Adjustable Goals Template_2025-03-01, Tab 4.3.8</v>
      </c>
      <c r="N484" s="2515">
        <v>62.687100553999997</v>
      </c>
      <c r="O484" s="1361">
        <v>62.687100553999997</v>
      </c>
      <c r="P484" s="1361">
        <v>62.687100553999997</v>
      </c>
      <c r="Q484" s="1361">
        <v>62.687100553999997</v>
      </c>
      <c r="R484" s="1781">
        <v>0.93</v>
      </c>
      <c r="S484" s="1781">
        <v>0.93</v>
      </c>
      <c r="T484" s="1781">
        <v>0.93</v>
      </c>
      <c r="U484" s="1781">
        <v>0.93</v>
      </c>
      <c r="V484" s="1781">
        <v>0.93</v>
      </c>
      <c r="W484" s="1781">
        <v>0.93</v>
      </c>
      <c r="X484" s="1781">
        <v>0.93</v>
      </c>
      <c r="Y484" s="1781">
        <v>0.93</v>
      </c>
      <c r="Z484" s="1359">
        <v>0</v>
      </c>
      <c r="AA484" s="1781">
        <f t="shared" si="357"/>
        <v>0.93</v>
      </c>
      <c r="AB484" s="1781">
        <f t="shared" si="358"/>
        <v>0.93</v>
      </c>
      <c r="AC484" s="1781">
        <f t="shared" si="359"/>
        <v>0.93</v>
      </c>
      <c r="AD484" s="1781">
        <f t="shared" si="360"/>
        <v>0.93</v>
      </c>
      <c r="AE484" s="1781">
        <f t="shared" si="361"/>
        <v>0.93</v>
      </c>
      <c r="AF484" s="1781">
        <f t="shared" si="362"/>
        <v>0.93</v>
      </c>
      <c r="AG484" s="1781">
        <f t="shared" si="363"/>
        <v>0.93</v>
      </c>
      <c r="AH484" s="1781">
        <f t="shared" si="364"/>
        <v>0.93</v>
      </c>
      <c r="AI484" s="1362">
        <f t="shared" si="395"/>
        <v>109284.33705722999</v>
      </c>
      <c r="AJ484" s="1362">
        <f t="shared" si="396"/>
        <v>109284.33705722999</v>
      </c>
      <c r="AK484" s="1362">
        <f t="shared" si="397"/>
        <v>109284.33705722999</v>
      </c>
      <c r="AL484" s="1362">
        <f t="shared" si="398"/>
        <v>109284.33705722999</v>
      </c>
      <c r="AM484" s="1362">
        <f t="shared" si="399"/>
        <v>437137.34822891996</v>
      </c>
      <c r="AN484" s="1132" t="str">
        <f t="shared" si="365"/>
        <v>C248</v>
      </c>
      <c r="AO484" s="1132" t="str">
        <f t="shared" si="366"/>
        <v>Nicor Gas PY11-PY14 Adjustable Goals Template_2025-03-01, Tab 4.3.8</v>
      </c>
      <c r="AP484" s="2507">
        <f>'4.3.8'!$M$9</f>
        <v>62.687100553999997</v>
      </c>
      <c r="AQ484" s="2531"/>
      <c r="AR484" s="2505">
        <f t="shared" si="367"/>
        <v>109284.33705722999</v>
      </c>
      <c r="AS484" s="2247">
        <f t="shared" si="368"/>
        <v>0</v>
      </c>
      <c r="AT484" s="1132" t="str">
        <f t="shared" si="369"/>
        <v>C248</v>
      </c>
      <c r="AU484" s="1132" t="str">
        <f t="shared" si="370"/>
        <v>Nicor Gas PY11-PY14 Adjustable Goals Template_2025-03-01, Tab 4.3.8</v>
      </c>
      <c r="AV484" s="2507">
        <f>'4.3.8'!$M$9</f>
        <v>62.687100553999997</v>
      </c>
      <c r="AW484" s="2531"/>
      <c r="AX484" s="1362">
        <f t="shared" si="371"/>
        <v>109284.33705722999</v>
      </c>
      <c r="AY484" s="1360">
        <f t="shared" si="372"/>
        <v>0</v>
      </c>
      <c r="AZ484" s="1132" t="str">
        <f t="shared" si="373"/>
        <v>C248</v>
      </c>
      <c r="BA484" s="1132" t="str">
        <f t="shared" si="374"/>
        <v>Nicor Gas PY11-PY14 Adjustable Goals Template_2025-03-01, Tab 4.3.8</v>
      </c>
      <c r="BB484" s="2507">
        <f>'4.3.8'!$M$9</f>
        <v>62.687100553999997</v>
      </c>
      <c r="BC484" s="2531"/>
      <c r="BD484" s="1362">
        <f t="shared" si="375"/>
        <v>109284.33705722999</v>
      </c>
      <c r="BE484" s="1360">
        <f t="shared" si="376"/>
        <v>0</v>
      </c>
      <c r="BF484" s="1132" t="str">
        <f t="shared" si="377"/>
        <v>C248</v>
      </c>
      <c r="BG484" s="1132" t="str">
        <f t="shared" si="378"/>
        <v>Nicor Gas PY11-PY14 Adjustable Goals Template_2025-03-01, Tab 4.3.8</v>
      </c>
      <c r="BH484" s="2507">
        <f>'4.3.8'!$M$9</f>
        <v>62.687100553999997</v>
      </c>
      <c r="BI484" s="2531"/>
      <c r="BJ484" s="1362">
        <f t="shared" si="400"/>
        <v>109284.33705722999</v>
      </c>
      <c r="BK484" s="1360">
        <f t="shared" si="379"/>
        <v>0</v>
      </c>
      <c r="BL484" s="1601">
        <f t="shared" si="380"/>
        <v>109284.33705722999</v>
      </c>
      <c r="BM484" s="1601">
        <f t="shared" si="381"/>
        <v>109284.33705722999</v>
      </c>
      <c r="BN484" s="1601">
        <f t="shared" si="382"/>
        <v>109284.33705722999</v>
      </c>
      <c r="BO484" s="1601">
        <f t="shared" si="383"/>
        <v>109284.33705722999</v>
      </c>
      <c r="BP484" s="1602">
        <f t="shared" si="384"/>
        <v>437137.34822891996</v>
      </c>
      <c r="BQ484" s="1629"/>
      <c r="BR484" s="1629" t="s">
        <v>489</v>
      </c>
      <c r="BS484" s="1602">
        <v>0</v>
      </c>
      <c r="BT484" s="1602">
        <v>15</v>
      </c>
      <c r="BU484" s="1602">
        <v>15</v>
      </c>
      <c r="BV484" s="1602">
        <v>15</v>
      </c>
      <c r="BW484" s="1602">
        <v>15</v>
      </c>
      <c r="BX484" s="1362">
        <f t="shared" si="401"/>
        <v>1639265.0558584498</v>
      </c>
      <c r="BY484" s="1362">
        <f t="shared" si="402"/>
        <v>1639265.0558584498</v>
      </c>
      <c r="BZ484" s="1362">
        <f t="shared" si="403"/>
        <v>1639265.0558584498</v>
      </c>
      <c r="CA484" s="1362">
        <f t="shared" si="404"/>
        <v>1639265.0558584498</v>
      </c>
      <c r="CB484" s="1362">
        <f t="shared" si="405"/>
        <v>6557060.2234337991</v>
      </c>
      <c r="CC484" s="1360">
        <v>15</v>
      </c>
      <c r="CD484" s="1360">
        <v>15</v>
      </c>
      <c r="CE484" s="1360">
        <v>15</v>
      </c>
      <c r="CF484" s="1360">
        <v>15</v>
      </c>
      <c r="CG484" s="1604">
        <f t="shared" si="385"/>
        <v>1639265.0558584495</v>
      </c>
      <c r="CH484" s="1604">
        <f t="shared" si="386"/>
        <v>1639265.0558584495</v>
      </c>
      <c r="CI484" s="1604">
        <f t="shared" si="387"/>
        <v>1639265.0558584495</v>
      </c>
      <c r="CJ484" s="1604">
        <f t="shared" si="388"/>
        <v>1639265.0558584495</v>
      </c>
      <c r="CK484" s="1521">
        <f t="shared" si="389"/>
        <v>6557060.2234337982</v>
      </c>
      <c r="CL484" s="1132">
        <v>477</v>
      </c>
      <c r="CM484" s="1132" t="s">
        <v>356</v>
      </c>
      <c r="CN484" s="1359">
        <v>0</v>
      </c>
      <c r="CO484" s="1360">
        <v>1874.5489711277714</v>
      </c>
      <c r="CP484" s="1360">
        <v>1874.5489711277714</v>
      </c>
      <c r="CQ484" s="1360">
        <v>1874.5489711277714</v>
      </c>
      <c r="CR484" s="1360">
        <v>1874.5489711277714</v>
      </c>
      <c r="CS484" s="1362">
        <f t="shared" si="390"/>
        <v>109284.33705722999</v>
      </c>
      <c r="CT484" s="1362">
        <f t="shared" si="391"/>
        <v>109284.33705722999</v>
      </c>
      <c r="CU484" s="1362">
        <f t="shared" si="392"/>
        <v>109284.33705722999</v>
      </c>
      <c r="CV484" s="1362">
        <f t="shared" si="393"/>
        <v>109284.33705722999</v>
      </c>
      <c r="CW484" s="1362">
        <f t="shared" si="394"/>
        <v>437137.34822891996</v>
      </c>
      <c r="CY484" s="2887"/>
    </row>
    <row r="485" spans="1:103" s="1143" customFormat="1" ht="46.5" x14ac:dyDescent="0.35">
      <c r="A485" s="1132" t="s">
        <v>114</v>
      </c>
      <c r="B485" s="1132" t="s">
        <v>949</v>
      </c>
      <c r="C485" s="1132" t="s">
        <v>766</v>
      </c>
      <c r="D485" s="1359" t="s">
        <v>767</v>
      </c>
      <c r="E485" s="1359">
        <v>1</v>
      </c>
      <c r="F485" s="2564" t="s">
        <v>768</v>
      </c>
      <c r="G485" s="1132" t="s">
        <v>356</v>
      </c>
      <c r="H485" s="1360">
        <v>211.45033624947922</v>
      </c>
      <c r="I485" s="1360">
        <v>211.45033624947922</v>
      </c>
      <c r="J485" s="1360">
        <v>211.45033624947922</v>
      </c>
      <c r="K485" s="1360">
        <v>211.45033624947922</v>
      </c>
      <c r="L485" s="1132" t="s">
        <v>769</v>
      </c>
      <c r="M485" s="1132" t="str">
        <f t="shared" si="356"/>
        <v>Nicor Gas PY11-PY14 Adjustable Goals Template_2025-03-01, Tab 4.4.36</v>
      </c>
      <c r="N485" s="1361">
        <v>50.408999999999999</v>
      </c>
      <c r="O485" s="1361">
        <v>50.408999999999999</v>
      </c>
      <c r="P485" s="1361">
        <v>50.408999999999999</v>
      </c>
      <c r="Q485" s="1361">
        <v>50.408999999999999</v>
      </c>
      <c r="R485" s="1781">
        <v>0.93</v>
      </c>
      <c r="S485" s="1781">
        <v>0.93</v>
      </c>
      <c r="T485" s="1781">
        <v>0.93</v>
      </c>
      <c r="U485" s="1781">
        <v>0.93</v>
      </c>
      <c r="V485" s="1781">
        <v>0.93</v>
      </c>
      <c r="W485" s="1781">
        <v>0.93</v>
      </c>
      <c r="X485" s="1781">
        <v>0.93</v>
      </c>
      <c r="Y485" s="1781">
        <v>0.93</v>
      </c>
      <c r="Z485" s="1359">
        <v>0</v>
      </c>
      <c r="AA485" s="1781">
        <f t="shared" si="357"/>
        <v>0.93</v>
      </c>
      <c r="AB485" s="1781">
        <f t="shared" si="358"/>
        <v>0.93</v>
      </c>
      <c r="AC485" s="1781">
        <f t="shared" si="359"/>
        <v>0.93</v>
      </c>
      <c r="AD485" s="1781">
        <f t="shared" si="360"/>
        <v>0.93</v>
      </c>
      <c r="AE485" s="1781">
        <f t="shared" si="361"/>
        <v>0.93</v>
      </c>
      <c r="AF485" s="1781">
        <f t="shared" si="362"/>
        <v>0.93</v>
      </c>
      <c r="AG485" s="1781">
        <f t="shared" si="363"/>
        <v>0.93</v>
      </c>
      <c r="AH485" s="1781">
        <f t="shared" si="364"/>
        <v>0.93</v>
      </c>
      <c r="AI485" s="1362">
        <f t="shared" si="395"/>
        <v>9912.869999999999</v>
      </c>
      <c r="AJ485" s="1362">
        <f t="shared" si="396"/>
        <v>9912.869999999999</v>
      </c>
      <c r="AK485" s="1362">
        <f t="shared" si="397"/>
        <v>9912.869999999999</v>
      </c>
      <c r="AL485" s="1362">
        <f t="shared" si="398"/>
        <v>9912.869999999999</v>
      </c>
      <c r="AM485" s="1362">
        <f t="shared" si="399"/>
        <v>39651.479999999996</v>
      </c>
      <c r="AN485" s="1132" t="str">
        <f t="shared" si="365"/>
        <v>C249</v>
      </c>
      <c r="AO485" s="1132" t="str">
        <f t="shared" si="366"/>
        <v>Nicor Gas PY11-PY14 Adjustable Goals Template_2025-03-01, Tab 4.4.36</v>
      </c>
      <c r="AP485" s="2247">
        <f>'4.4.36'!$O$4</f>
        <v>50.408999999999999</v>
      </c>
      <c r="AQ485" s="2505"/>
      <c r="AR485" s="2505">
        <f t="shared" si="367"/>
        <v>9912.869999999999</v>
      </c>
      <c r="AS485" s="2505">
        <f t="shared" si="368"/>
        <v>0</v>
      </c>
      <c r="AT485" s="1132" t="str">
        <f t="shared" si="369"/>
        <v>C249</v>
      </c>
      <c r="AU485" s="1132" t="str">
        <f t="shared" si="370"/>
        <v>Nicor Gas PY11-PY14 Adjustable Goals Template_2025-03-01, Tab 4.4.36</v>
      </c>
      <c r="AV485" s="2247">
        <f>'4.4.36'!$O$4</f>
        <v>50.408999999999999</v>
      </c>
      <c r="AW485" s="2505"/>
      <c r="AX485" s="1362">
        <f t="shared" si="371"/>
        <v>9912.869999999999</v>
      </c>
      <c r="AY485" s="1360">
        <f t="shared" si="372"/>
        <v>0</v>
      </c>
      <c r="AZ485" s="1132" t="str">
        <f t="shared" si="373"/>
        <v>C249</v>
      </c>
      <c r="BA485" s="1132" t="str">
        <f t="shared" si="374"/>
        <v>Nicor Gas PY11-PY14 Adjustable Goals Template_2025-03-01, Tab 4.4.36</v>
      </c>
      <c r="BB485" s="2247">
        <f>'4.4.36'!$O$4</f>
        <v>50.408999999999999</v>
      </c>
      <c r="BC485" s="2505"/>
      <c r="BD485" s="1362">
        <f t="shared" si="375"/>
        <v>9912.869999999999</v>
      </c>
      <c r="BE485" s="1360">
        <f t="shared" si="376"/>
        <v>0</v>
      </c>
      <c r="BF485" s="1132" t="str">
        <f t="shared" si="377"/>
        <v>C249</v>
      </c>
      <c r="BG485" s="1132" t="str">
        <f t="shared" si="378"/>
        <v>Nicor Gas PY11-PY14 Adjustable Goals Template_2025-03-01, Tab 4.4.36</v>
      </c>
      <c r="BH485" s="2247">
        <f>'4.4.36'!$O$4</f>
        <v>50.408999999999999</v>
      </c>
      <c r="BI485" s="2505"/>
      <c r="BJ485" s="1362">
        <f t="shared" si="400"/>
        <v>9912.869999999999</v>
      </c>
      <c r="BK485" s="1360">
        <f t="shared" si="379"/>
        <v>0</v>
      </c>
      <c r="BL485" s="1601">
        <f t="shared" si="380"/>
        <v>9912.869999999999</v>
      </c>
      <c r="BM485" s="1601">
        <f t="shared" si="381"/>
        <v>9912.869999999999</v>
      </c>
      <c r="BN485" s="1601">
        <f t="shared" si="382"/>
        <v>9912.869999999999</v>
      </c>
      <c r="BO485" s="1601">
        <f t="shared" si="383"/>
        <v>9912.869999999999</v>
      </c>
      <c r="BP485" s="1602">
        <f t="shared" si="384"/>
        <v>39651.479999999996</v>
      </c>
      <c r="BQ485" s="1629"/>
      <c r="BR485" s="1629" t="s">
        <v>768</v>
      </c>
      <c r="BS485" s="1602">
        <v>0</v>
      </c>
      <c r="BT485" s="1602">
        <v>15</v>
      </c>
      <c r="BU485" s="1602">
        <v>15</v>
      </c>
      <c r="BV485" s="1602">
        <v>15</v>
      </c>
      <c r="BW485" s="1602">
        <v>15</v>
      </c>
      <c r="BX485" s="1362">
        <f t="shared" si="401"/>
        <v>148693.04999999999</v>
      </c>
      <c r="BY485" s="1362">
        <f t="shared" si="402"/>
        <v>148693.04999999999</v>
      </c>
      <c r="BZ485" s="1362">
        <f t="shared" si="403"/>
        <v>148693.04999999999</v>
      </c>
      <c r="CA485" s="1362">
        <f t="shared" si="404"/>
        <v>148693.04999999999</v>
      </c>
      <c r="CB485" s="1362">
        <f t="shared" si="405"/>
        <v>594772.19999999995</v>
      </c>
      <c r="CC485" s="1360">
        <v>15</v>
      </c>
      <c r="CD485" s="1360">
        <v>15</v>
      </c>
      <c r="CE485" s="1360">
        <v>15</v>
      </c>
      <c r="CF485" s="1360">
        <v>15</v>
      </c>
      <c r="CG485" s="1604">
        <f t="shared" si="385"/>
        <v>148693.04999999999</v>
      </c>
      <c r="CH485" s="1604">
        <f t="shared" si="386"/>
        <v>148693.04999999999</v>
      </c>
      <c r="CI485" s="1604">
        <f t="shared" si="387"/>
        <v>148693.04999999999</v>
      </c>
      <c r="CJ485" s="1604">
        <f t="shared" si="388"/>
        <v>148693.04999999999</v>
      </c>
      <c r="CK485" s="1521">
        <f t="shared" si="389"/>
        <v>594772.19999999995</v>
      </c>
      <c r="CL485" s="1132">
        <v>478</v>
      </c>
      <c r="CM485" s="1132" t="s">
        <v>356</v>
      </c>
      <c r="CN485" s="1359">
        <v>0</v>
      </c>
      <c r="CO485" s="1360">
        <v>211.45033624947922</v>
      </c>
      <c r="CP485" s="1360">
        <v>211.45033624947922</v>
      </c>
      <c r="CQ485" s="1360">
        <v>211.45033624947922</v>
      </c>
      <c r="CR485" s="1360">
        <v>211.45033624947922</v>
      </c>
      <c r="CS485" s="1362">
        <f t="shared" si="390"/>
        <v>9912.869999999999</v>
      </c>
      <c r="CT485" s="1362">
        <f t="shared" si="391"/>
        <v>9912.869999999999</v>
      </c>
      <c r="CU485" s="1362">
        <f t="shared" si="392"/>
        <v>9912.869999999999</v>
      </c>
      <c r="CV485" s="1362">
        <f t="shared" si="393"/>
        <v>9912.869999999999</v>
      </c>
      <c r="CW485" s="1362">
        <f t="shared" si="394"/>
        <v>39651.479999999996</v>
      </c>
      <c r="CY485" s="2887"/>
    </row>
    <row r="486" spans="1:103" s="1143" customFormat="1" ht="46.5" x14ac:dyDescent="0.35">
      <c r="A486" s="1132" t="s">
        <v>114</v>
      </c>
      <c r="B486" s="1132" t="s">
        <v>949</v>
      </c>
      <c r="C486" s="1132" t="s">
        <v>770</v>
      </c>
      <c r="D486" s="1359" t="s">
        <v>771</v>
      </c>
      <c r="E486" s="1359">
        <v>1</v>
      </c>
      <c r="F486" s="2807" t="s">
        <v>772</v>
      </c>
      <c r="G486" s="1132" t="s">
        <v>356</v>
      </c>
      <c r="H486" s="1360">
        <v>8.0749999999999993</v>
      </c>
      <c r="I486" s="1360">
        <v>8.0749999999999993</v>
      </c>
      <c r="J486" s="1360">
        <v>8.0749999999999993</v>
      </c>
      <c r="K486" s="1360">
        <v>8.0749999999999993</v>
      </c>
      <c r="L486" s="1132" t="s">
        <v>773</v>
      </c>
      <c r="M486" s="1132" t="str">
        <f t="shared" si="356"/>
        <v>Nicor Gas PY11-PY14 Adjustable Goals Template_2025-03-01, Tab 5.4.11</v>
      </c>
      <c r="N486" s="1361">
        <v>93.772701509759997</v>
      </c>
      <c r="O486" s="1361">
        <v>93.772701509759997</v>
      </c>
      <c r="P486" s="1361">
        <v>93.772701509759997</v>
      </c>
      <c r="Q486" s="1361">
        <v>93.772701509759997</v>
      </c>
      <c r="R486" s="1781">
        <v>0.93</v>
      </c>
      <c r="S486" s="1781">
        <v>0.93</v>
      </c>
      <c r="T486" s="1781">
        <v>0.93</v>
      </c>
      <c r="U486" s="1781">
        <v>0.93</v>
      </c>
      <c r="V486" s="1781">
        <v>0.93</v>
      </c>
      <c r="W486" s="1781">
        <v>0.93</v>
      </c>
      <c r="X486" s="1781">
        <v>0.93</v>
      </c>
      <c r="Y486" s="1781">
        <v>0.93</v>
      </c>
      <c r="Z486" s="1359">
        <v>0</v>
      </c>
      <c r="AA486" s="1781">
        <f t="shared" si="357"/>
        <v>0.93</v>
      </c>
      <c r="AB486" s="1781">
        <f t="shared" si="358"/>
        <v>0.93</v>
      </c>
      <c r="AC486" s="1781">
        <f t="shared" si="359"/>
        <v>0.93</v>
      </c>
      <c r="AD486" s="1781">
        <f t="shared" si="360"/>
        <v>0.93</v>
      </c>
      <c r="AE486" s="1781">
        <f t="shared" si="361"/>
        <v>0.93</v>
      </c>
      <c r="AF486" s="1781">
        <f t="shared" si="362"/>
        <v>0.93</v>
      </c>
      <c r="AG486" s="1781">
        <f t="shared" si="363"/>
        <v>0.93</v>
      </c>
      <c r="AH486" s="1781">
        <f t="shared" si="364"/>
        <v>0.93</v>
      </c>
      <c r="AI486" s="1362">
        <f t="shared" si="395"/>
        <v>704.20954516292011</v>
      </c>
      <c r="AJ486" s="1362">
        <f t="shared" si="396"/>
        <v>704.20954516292011</v>
      </c>
      <c r="AK486" s="1362">
        <f t="shared" si="397"/>
        <v>704.20954516292011</v>
      </c>
      <c r="AL486" s="1362">
        <f t="shared" si="398"/>
        <v>704.20954516292011</v>
      </c>
      <c r="AM486" s="1362">
        <f t="shared" si="399"/>
        <v>2816.8381806516804</v>
      </c>
      <c r="AN486" s="1132" t="str">
        <f t="shared" si="365"/>
        <v>RS-DHW-DWHR-V01-210101</v>
      </c>
      <c r="AO486" s="1132" t="str">
        <f t="shared" si="366"/>
        <v>Nicor Gas PY11-PY14 Adjustable Goals Template_2025-03-01, Tab 5.4.11</v>
      </c>
      <c r="AP486" s="2738">
        <f>'5.4.11'!$P$4</f>
        <v>100.57072251473197</v>
      </c>
      <c r="AQ486" s="2568" t="s">
        <v>481</v>
      </c>
      <c r="AR486" s="2505">
        <f t="shared" si="367"/>
        <v>755.26098340500835</v>
      </c>
      <c r="AS486" s="2505">
        <f t="shared" si="368"/>
        <v>51.051438242088238</v>
      </c>
      <c r="AT486" s="1132" t="str">
        <f t="shared" si="369"/>
        <v>RS-DHW-DWHR-V01-210101</v>
      </c>
      <c r="AU486" s="1132" t="str">
        <f t="shared" si="370"/>
        <v>Nicor Gas PY11-PY14 Adjustable Goals Template_2025-03-01, Tab 5.4.11</v>
      </c>
      <c r="AV486" s="2247">
        <f>'5.4.11'!$P$4</f>
        <v>100.57072251473197</v>
      </c>
      <c r="AW486" s="2568" t="s">
        <v>481</v>
      </c>
      <c r="AX486" s="1362">
        <f t="shared" si="371"/>
        <v>755.26098340500835</v>
      </c>
      <c r="AY486" s="1360">
        <f t="shared" si="372"/>
        <v>51.051438242088238</v>
      </c>
      <c r="AZ486" s="1132" t="str">
        <f t="shared" si="373"/>
        <v>RS-DHW-DWHR-V01-210101</v>
      </c>
      <c r="BA486" s="1132" t="str">
        <f t="shared" si="374"/>
        <v>Nicor Gas PY11-PY14 Adjustable Goals Template_2025-03-01, Tab 5.4.11</v>
      </c>
      <c r="BB486" s="2247">
        <f>'5.4.11'!$P$4</f>
        <v>100.57072251473197</v>
      </c>
      <c r="BC486" s="2568" t="s">
        <v>481</v>
      </c>
      <c r="BD486" s="1362">
        <f t="shared" si="375"/>
        <v>755.26098340500835</v>
      </c>
      <c r="BE486" s="1360">
        <f t="shared" si="376"/>
        <v>51.051438242088238</v>
      </c>
      <c r="BF486" s="1132" t="str">
        <f t="shared" si="377"/>
        <v>RS-DHW-DWHR-V01-210101</v>
      </c>
      <c r="BG486" s="1132" t="str">
        <f t="shared" si="378"/>
        <v>Nicor Gas PY11-PY14 Adjustable Goals Template_2025-03-01, Tab 5.4.11</v>
      </c>
      <c r="BH486" s="2247">
        <f>'5.4.11'!$P$4</f>
        <v>100.57072251473197</v>
      </c>
      <c r="BI486" s="2568" t="s">
        <v>481</v>
      </c>
      <c r="BJ486" s="1362">
        <f t="shared" si="400"/>
        <v>755.26098340500835</v>
      </c>
      <c r="BK486" s="1360">
        <f t="shared" si="379"/>
        <v>51.051438242088238</v>
      </c>
      <c r="BL486" s="1601">
        <f t="shared" si="380"/>
        <v>755.26098340500835</v>
      </c>
      <c r="BM486" s="1601">
        <f t="shared" si="381"/>
        <v>755.26098340500835</v>
      </c>
      <c r="BN486" s="1601">
        <f t="shared" si="382"/>
        <v>755.26098340500835</v>
      </c>
      <c r="BO486" s="1601">
        <f t="shared" si="383"/>
        <v>755.26098340500835</v>
      </c>
      <c r="BP486" s="1602">
        <f t="shared" si="384"/>
        <v>3021.0439336200334</v>
      </c>
      <c r="BQ486" s="1629"/>
      <c r="BR486" s="1629" t="s">
        <v>772</v>
      </c>
      <c r="BS486" s="1602">
        <v>0</v>
      </c>
      <c r="BT486" s="1602">
        <v>30</v>
      </c>
      <c r="BU486" s="1602">
        <v>30</v>
      </c>
      <c r="BV486" s="1602">
        <v>30</v>
      </c>
      <c r="BW486" s="1602">
        <v>30</v>
      </c>
      <c r="BX486" s="1362">
        <f t="shared" si="401"/>
        <v>21126.286354887605</v>
      </c>
      <c r="BY486" s="1362">
        <f t="shared" si="402"/>
        <v>21126.286354887605</v>
      </c>
      <c r="BZ486" s="1362">
        <f t="shared" si="403"/>
        <v>21126.286354887605</v>
      </c>
      <c r="CA486" s="1362">
        <f t="shared" si="404"/>
        <v>21126.286354887605</v>
      </c>
      <c r="CB486" s="1362">
        <f t="shared" si="405"/>
        <v>84505.145419550419</v>
      </c>
      <c r="CC486" s="1360">
        <v>30</v>
      </c>
      <c r="CD486" s="1360">
        <v>30</v>
      </c>
      <c r="CE486" s="1360">
        <v>30</v>
      </c>
      <c r="CF486" s="1360">
        <v>30</v>
      </c>
      <c r="CG486" s="1604">
        <f t="shared" si="385"/>
        <v>22657.829502150249</v>
      </c>
      <c r="CH486" s="1604">
        <f t="shared" si="386"/>
        <v>22657.829502150249</v>
      </c>
      <c r="CI486" s="1604">
        <f t="shared" si="387"/>
        <v>22657.829502150249</v>
      </c>
      <c r="CJ486" s="1604">
        <f t="shared" si="388"/>
        <v>22657.829502150249</v>
      </c>
      <c r="CK486" s="1521">
        <f t="shared" si="389"/>
        <v>90631.318008600996</v>
      </c>
      <c r="CL486" s="1132">
        <v>479</v>
      </c>
      <c r="CM486" s="1132" t="s">
        <v>356</v>
      </c>
      <c r="CN486" s="1359">
        <v>0</v>
      </c>
      <c r="CO486" s="1360">
        <v>8.0749999999999993</v>
      </c>
      <c r="CP486" s="1360">
        <v>8.0749999999999993</v>
      </c>
      <c r="CQ486" s="1360">
        <v>8.0749999999999993</v>
      </c>
      <c r="CR486" s="1360">
        <v>8.0749999999999993</v>
      </c>
      <c r="CS486" s="1362">
        <f t="shared" si="390"/>
        <v>755.26098340500835</v>
      </c>
      <c r="CT486" s="1362">
        <f t="shared" si="391"/>
        <v>755.26098340500835</v>
      </c>
      <c r="CU486" s="1362">
        <f t="shared" si="392"/>
        <v>755.26098340500835</v>
      </c>
      <c r="CV486" s="1362">
        <f t="shared" si="393"/>
        <v>755.26098340500835</v>
      </c>
      <c r="CW486" s="1362">
        <f t="shared" si="394"/>
        <v>3021.0439336200334</v>
      </c>
      <c r="CY486" s="2887"/>
    </row>
    <row r="487" spans="1:103" s="1143" customFormat="1" ht="15" customHeight="1" x14ac:dyDescent="0.35">
      <c r="A487" s="1132" t="s">
        <v>114</v>
      </c>
      <c r="B487" s="1132" t="s">
        <v>949</v>
      </c>
      <c r="C487" s="1132" t="s">
        <v>581</v>
      </c>
      <c r="D487" s="1359" t="s">
        <v>582</v>
      </c>
      <c r="E487" s="1359">
        <v>1</v>
      </c>
      <c r="F487" s="2564" t="s">
        <v>583</v>
      </c>
      <c r="G487" s="1132" t="s">
        <v>328</v>
      </c>
      <c r="H487" s="1360">
        <v>1.615</v>
      </c>
      <c r="I487" s="1360">
        <v>1.615</v>
      </c>
      <c r="J487" s="1360">
        <v>1.615</v>
      </c>
      <c r="K487" s="1360">
        <v>1.615</v>
      </c>
      <c r="L487" s="1132" t="s">
        <v>584</v>
      </c>
      <c r="M487" s="1132" t="str">
        <f t="shared" si="356"/>
        <v>Nicor Gas PY11-PY14 Adjustable Goals Template_2025-03-01, Tab 4.4.49</v>
      </c>
      <c r="N487" s="1361">
        <v>288.1875</v>
      </c>
      <c r="O487" s="1361">
        <v>288.1875</v>
      </c>
      <c r="P487" s="1361">
        <v>288.1875</v>
      </c>
      <c r="Q487" s="1361">
        <v>288.1875</v>
      </c>
      <c r="R487" s="1781">
        <v>0.93</v>
      </c>
      <c r="S487" s="1781">
        <v>0.93</v>
      </c>
      <c r="T487" s="1781">
        <v>0.93</v>
      </c>
      <c r="U487" s="1781">
        <v>0.93</v>
      </c>
      <c r="V487" s="1781">
        <v>0.93</v>
      </c>
      <c r="W487" s="1781">
        <v>0.93</v>
      </c>
      <c r="X487" s="1781">
        <v>0.93</v>
      </c>
      <c r="Y487" s="1781">
        <v>0.93</v>
      </c>
      <c r="Z487" s="1359">
        <v>0</v>
      </c>
      <c r="AA487" s="1781">
        <f t="shared" si="357"/>
        <v>0.93</v>
      </c>
      <c r="AB487" s="1781">
        <f t="shared" si="358"/>
        <v>0.93</v>
      </c>
      <c r="AC487" s="1781">
        <f t="shared" si="359"/>
        <v>0.93</v>
      </c>
      <c r="AD487" s="1781">
        <f t="shared" si="360"/>
        <v>0.93</v>
      </c>
      <c r="AE487" s="1781">
        <f t="shared" si="361"/>
        <v>0.93</v>
      </c>
      <c r="AF487" s="1781">
        <f t="shared" si="362"/>
        <v>0.93</v>
      </c>
      <c r="AG487" s="1781">
        <f t="shared" si="363"/>
        <v>0.93</v>
      </c>
      <c r="AH487" s="1781">
        <f t="shared" si="364"/>
        <v>0.93</v>
      </c>
      <c r="AI487" s="1362">
        <f t="shared" si="395"/>
        <v>432.84321562500003</v>
      </c>
      <c r="AJ487" s="1362">
        <f t="shared" si="396"/>
        <v>432.84321562500003</v>
      </c>
      <c r="AK487" s="1362">
        <f t="shared" si="397"/>
        <v>432.84321562500003</v>
      </c>
      <c r="AL487" s="1362">
        <f t="shared" si="398"/>
        <v>432.84321562500003</v>
      </c>
      <c r="AM487" s="1362">
        <f t="shared" si="399"/>
        <v>1731.3728625000001</v>
      </c>
      <c r="AN487" s="1132" t="str">
        <f t="shared" si="365"/>
        <v>CI-HVC-BCHD-V01-210101</v>
      </c>
      <c r="AO487" s="1132" t="str">
        <f t="shared" si="366"/>
        <v>Nicor Gas PY11-PY14 Adjustable Goals Template_2025-03-01, Tab 4.4.49</v>
      </c>
      <c r="AP487" s="2505">
        <f>'4.4.49'!$Q$4</f>
        <v>288.1875</v>
      </c>
      <c r="AQ487" s="2505"/>
      <c r="AR487" s="2505">
        <f t="shared" si="367"/>
        <v>432.84321562500003</v>
      </c>
      <c r="AS487" s="2505">
        <f t="shared" si="368"/>
        <v>0</v>
      </c>
      <c r="AT487" s="1132" t="str">
        <f t="shared" si="369"/>
        <v>CI-HVC-BCHD-V01-210101</v>
      </c>
      <c r="AU487" s="1132" t="str">
        <f t="shared" si="370"/>
        <v>Nicor Gas PY11-PY14 Adjustable Goals Template_2025-03-01, Tab 4.4.49</v>
      </c>
      <c r="AV487" s="2505">
        <f>'4.4.49'!$Q$4</f>
        <v>288.1875</v>
      </c>
      <c r="AW487" s="2505"/>
      <c r="AX487" s="1362">
        <f t="shared" si="371"/>
        <v>432.84321562500003</v>
      </c>
      <c r="AY487" s="1360">
        <f t="shared" si="372"/>
        <v>0</v>
      </c>
      <c r="AZ487" s="1132" t="str">
        <f t="shared" si="373"/>
        <v>CI-HVC-BCHD-V01-210101</v>
      </c>
      <c r="BA487" s="1132" t="str">
        <f t="shared" si="374"/>
        <v>Nicor Gas PY11-PY14 Adjustable Goals Template_2025-03-01, Tab 4.4.49</v>
      </c>
      <c r="BB487" s="2505">
        <f>'4.4.49'!$Q$4</f>
        <v>288.1875</v>
      </c>
      <c r="BC487" s="2505"/>
      <c r="BD487" s="1362">
        <f t="shared" si="375"/>
        <v>432.84321562500003</v>
      </c>
      <c r="BE487" s="1360">
        <f t="shared" si="376"/>
        <v>0</v>
      </c>
      <c r="BF487" s="1132" t="str">
        <f t="shared" si="377"/>
        <v>CI-HVC-BCHD-V01-210101</v>
      </c>
      <c r="BG487" s="1132" t="str">
        <f t="shared" si="378"/>
        <v>Nicor Gas PY11-PY14 Adjustable Goals Template_2025-03-01, Tab 4.4.49</v>
      </c>
      <c r="BH487" s="2505">
        <f>'4.4.49'!$Q$4</f>
        <v>288.1875</v>
      </c>
      <c r="BI487" s="2505"/>
      <c r="BJ487" s="1362">
        <f t="shared" si="400"/>
        <v>432.84321562500003</v>
      </c>
      <c r="BK487" s="1360">
        <f t="shared" si="379"/>
        <v>0</v>
      </c>
      <c r="BL487" s="1601">
        <f t="shared" si="380"/>
        <v>432.84321562500003</v>
      </c>
      <c r="BM487" s="1601">
        <f t="shared" si="381"/>
        <v>432.84321562500003</v>
      </c>
      <c r="BN487" s="1601">
        <f t="shared" si="382"/>
        <v>432.84321562500003</v>
      </c>
      <c r="BO487" s="1601">
        <f t="shared" si="383"/>
        <v>432.84321562500003</v>
      </c>
      <c r="BP487" s="1602">
        <f t="shared" si="384"/>
        <v>1731.3728625000001</v>
      </c>
      <c r="BQ487" s="1629"/>
      <c r="BR487" s="1629" t="s">
        <v>583</v>
      </c>
      <c r="BS487" s="1602">
        <v>0</v>
      </c>
      <c r="BT487" s="1602">
        <v>2</v>
      </c>
      <c r="BU487" s="1602">
        <v>2</v>
      </c>
      <c r="BV487" s="1602">
        <v>2</v>
      </c>
      <c r="BW487" s="1602">
        <v>2</v>
      </c>
      <c r="BX487" s="1362">
        <f t="shared" si="401"/>
        <v>865.68643125000006</v>
      </c>
      <c r="BY487" s="1362">
        <f t="shared" si="402"/>
        <v>865.68643125000006</v>
      </c>
      <c r="BZ487" s="1362">
        <f t="shared" si="403"/>
        <v>865.68643125000006</v>
      </c>
      <c r="CA487" s="1362">
        <f t="shared" si="404"/>
        <v>865.68643125000006</v>
      </c>
      <c r="CB487" s="1362">
        <f t="shared" si="405"/>
        <v>3462.7457250000002</v>
      </c>
      <c r="CC487" s="1360">
        <v>2</v>
      </c>
      <c r="CD487" s="1360">
        <v>2</v>
      </c>
      <c r="CE487" s="1360">
        <v>2</v>
      </c>
      <c r="CF487" s="1360">
        <v>2</v>
      </c>
      <c r="CG487" s="1604">
        <f t="shared" si="385"/>
        <v>865.68643125000006</v>
      </c>
      <c r="CH487" s="1604">
        <f t="shared" si="386"/>
        <v>865.68643125000006</v>
      </c>
      <c r="CI487" s="1604">
        <f t="shared" si="387"/>
        <v>865.68643125000006</v>
      </c>
      <c r="CJ487" s="1604">
        <f t="shared" si="388"/>
        <v>865.68643125000006</v>
      </c>
      <c r="CK487" s="1521">
        <f t="shared" si="389"/>
        <v>3462.7457250000002</v>
      </c>
      <c r="CL487" s="1132">
        <v>480</v>
      </c>
      <c r="CM487" s="1132" t="s">
        <v>328</v>
      </c>
      <c r="CN487" s="1359">
        <v>0</v>
      </c>
      <c r="CO487" s="1360">
        <v>1.615</v>
      </c>
      <c r="CP487" s="1360">
        <v>1.615</v>
      </c>
      <c r="CQ487" s="1360">
        <v>1.615</v>
      </c>
      <c r="CR487" s="1360">
        <v>1.615</v>
      </c>
      <c r="CS487" s="1362">
        <f t="shared" si="390"/>
        <v>432.84321562500003</v>
      </c>
      <c r="CT487" s="1362">
        <f t="shared" si="391"/>
        <v>432.84321562500003</v>
      </c>
      <c r="CU487" s="1362">
        <f t="shared" si="392"/>
        <v>432.84321562500003</v>
      </c>
      <c r="CV487" s="1362">
        <f t="shared" si="393"/>
        <v>432.84321562500003</v>
      </c>
      <c r="CW487" s="1362">
        <f t="shared" si="394"/>
        <v>1731.3728625000001</v>
      </c>
      <c r="CY487" s="2887"/>
    </row>
    <row r="488" spans="1:103" s="1143" customFormat="1" ht="45.75" customHeight="1" x14ac:dyDescent="0.35">
      <c r="A488" s="1132" t="s">
        <v>114</v>
      </c>
      <c r="B488" s="1132" t="s">
        <v>950</v>
      </c>
      <c r="C488" s="1132" t="s">
        <v>951</v>
      </c>
      <c r="D488" s="1359" t="s">
        <v>105</v>
      </c>
      <c r="E488" s="1359">
        <f t="shared" ref="E488:E493" si="406">IF(AI488-AR488=0,0,1)</f>
        <v>0</v>
      </c>
      <c r="F488" s="1132" t="s">
        <v>105</v>
      </c>
      <c r="G488" s="1132" t="s">
        <v>356</v>
      </c>
      <c r="H488" s="1360">
        <v>3.5910000000000002</v>
      </c>
      <c r="I488" s="1360">
        <v>3.5910000000000002</v>
      </c>
      <c r="J488" s="1360">
        <v>3.5910000000000002</v>
      </c>
      <c r="K488" s="1360">
        <v>3.5910000000000002</v>
      </c>
      <c r="L488" s="1132" t="s">
        <v>105</v>
      </c>
      <c r="M488" s="1132" t="str">
        <f t="shared" si="356"/>
        <v/>
      </c>
      <c r="N488" s="1361">
        <v>0</v>
      </c>
      <c r="O488" s="1361">
        <v>0</v>
      </c>
      <c r="P488" s="1361">
        <v>0</v>
      </c>
      <c r="Q488" s="1361">
        <v>0</v>
      </c>
      <c r="R488" s="1781">
        <v>0.96</v>
      </c>
      <c r="S488" s="1781">
        <v>0.96</v>
      </c>
      <c r="T488" s="1781">
        <v>0.96</v>
      </c>
      <c r="U488" s="1781">
        <v>0.96</v>
      </c>
      <c r="V488" s="1781">
        <v>0.96</v>
      </c>
      <c r="W488" s="1781">
        <v>0.96</v>
      </c>
      <c r="X488" s="1781">
        <v>0.96</v>
      </c>
      <c r="Y488" s="1781">
        <v>0.96</v>
      </c>
      <c r="Z488" s="1359">
        <v>0</v>
      </c>
      <c r="AA488" s="1781">
        <f t="shared" si="357"/>
        <v>0.96</v>
      </c>
      <c r="AB488" s="1781">
        <f t="shared" si="358"/>
        <v>0.96</v>
      </c>
      <c r="AC488" s="1781">
        <f t="shared" si="359"/>
        <v>0.96</v>
      </c>
      <c r="AD488" s="1781">
        <f t="shared" si="360"/>
        <v>0.96</v>
      </c>
      <c r="AE488" s="1781">
        <f t="shared" si="361"/>
        <v>0.96</v>
      </c>
      <c r="AF488" s="1781">
        <f t="shared" si="362"/>
        <v>0.96</v>
      </c>
      <c r="AG488" s="1781">
        <f t="shared" si="363"/>
        <v>0.96</v>
      </c>
      <c r="AH488" s="1781">
        <f t="shared" si="364"/>
        <v>0.96</v>
      </c>
      <c r="AI488" s="1362">
        <f t="shared" si="395"/>
        <v>0</v>
      </c>
      <c r="AJ488" s="1362">
        <f t="shared" si="396"/>
        <v>0</v>
      </c>
      <c r="AK488" s="1362">
        <f t="shared" si="397"/>
        <v>0</v>
      </c>
      <c r="AL488" s="1362">
        <f t="shared" si="398"/>
        <v>0</v>
      </c>
      <c r="AM488" s="1362">
        <f t="shared" si="399"/>
        <v>0</v>
      </c>
      <c r="AN488" s="1132" t="str">
        <f t="shared" si="365"/>
        <v>Custom</v>
      </c>
      <c r="AO488" s="1132" t="str">
        <f t="shared" si="366"/>
        <v/>
      </c>
      <c r="AP488" s="2505">
        <v>0</v>
      </c>
      <c r="AQ488" s="2505"/>
      <c r="AR488" s="2505">
        <f t="shared" si="367"/>
        <v>0</v>
      </c>
      <c r="AS488" s="2505">
        <f t="shared" si="368"/>
        <v>0</v>
      </c>
      <c r="AT488" s="1132" t="str">
        <f t="shared" si="369"/>
        <v>Custom</v>
      </c>
      <c r="AU488" s="1132" t="str">
        <f t="shared" si="370"/>
        <v/>
      </c>
      <c r="AV488" s="2505">
        <v>0</v>
      </c>
      <c r="AW488" s="2505"/>
      <c r="AX488" s="1362">
        <f t="shared" si="371"/>
        <v>0</v>
      </c>
      <c r="AY488" s="1360">
        <f t="shared" si="372"/>
        <v>0</v>
      </c>
      <c r="AZ488" s="1132" t="str">
        <f t="shared" si="373"/>
        <v>Custom</v>
      </c>
      <c r="BA488" s="1132" t="str">
        <f t="shared" si="374"/>
        <v/>
      </c>
      <c r="BB488" s="2505">
        <v>0</v>
      </c>
      <c r="BC488" s="2505"/>
      <c r="BD488" s="1362">
        <f t="shared" si="375"/>
        <v>0</v>
      </c>
      <c r="BE488" s="1360">
        <f t="shared" si="376"/>
        <v>0</v>
      </c>
      <c r="BF488" s="1132" t="str">
        <f t="shared" si="377"/>
        <v>Custom</v>
      </c>
      <c r="BG488" s="1132" t="str">
        <f t="shared" si="378"/>
        <v/>
      </c>
      <c r="BH488" s="2505">
        <v>0</v>
      </c>
      <c r="BI488" s="2505"/>
      <c r="BJ488" s="1362">
        <f t="shared" si="400"/>
        <v>0</v>
      </c>
      <c r="BK488" s="1360">
        <f t="shared" si="379"/>
        <v>0</v>
      </c>
      <c r="BL488" s="1601">
        <f t="shared" si="380"/>
        <v>0</v>
      </c>
      <c r="BM488" s="1601">
        <f t="shared" si="381"/>
        <v>0</v>
      </c>
      <c r="BN488" s="1601">
        <f t="shared" si="382"/>
        <v>0</v>
      </c>
      <c r="BO488" s="1601">
        <f t="shared" si="383"/>
        <v>0</v>
      </c>
      <c r="BP488" s="1602">
        <f t="shared" si="384"/>
        <v>0</v>
      </c>
      <c r="BQ488" s="1629"/>
      <c r="BR488" s="1629"/>
      <c r="BS488" s="1602">
        <v>0</v>
      </c>
      <c r="BT488" s="1602">
        <v>1</v>
      </c>
      <c r="BU488" s="1602">
        <v>1</v>
      </c>
      <c r="BV488" s="1602">
        <v>1</v>
      </c>
      <c r="BW488" s="1602">
        <v>1</v>
      </c>
      <c r="BX488" s="1362">
        <f t="shared" si="401"/>
        <v>0</v>
      </c>
      <c r="BY488" s="1362">
        <f t="shared" si="402"/>
        <v>0</v>
      </c>
      <c r="BZ488" s="1362">
        <f t="shared" si="403"/>
        <v>0</v>
      </c>
      <c r="CA488" s="1362">
        <f t="shared" si="404"/>
        <v>0</v>
      </c>
      <c r="CB488" s="1362">
        <f t="shared" si="405"/>
        <v>0</v>
      </c>
      <c r="CC488" s="1360">
        <v>1</v>
      </c>
      <c r="CD488" s="1360">
        <v>1</v>
      </c>
      <c r="CE488" s="1360">
        <v>1</v>
      </c>
      <c r="CF488" s="1360">
        <v>1</v>
      </c>
      <c r="CG488" s="1604">
        <f t="shared" si="385"/>
        <v>0</v>
      </c>
      <c r="CH488" s="1604">
        <f t="shared" si="386"/>
        <v>0</v>
      </c>
      <c r="CI488" s="1604">
        <f t="shared" si="387"/>
        <v>0</v>
      </c>
      <c r="CJ488" s="1604">
        <f t="shared" si="388"/>
        <v>0</v>
      </c>
      <c r="CK488" s="1521">
        <f t="shared" si="389"/>
        <v>0</v>
      </c>
      <c r="CL488" s="1132">
        <v>481</v>
      </c>
      <c r="CM488" s="1132" t="s">
        <v>356</v>
      </c>
      <c r="CN488" s="1359">
        <v>1</v>
      </c>
      <c r="CO488" s="1360">
        <v>90.554572272356822</v>
      </c>
      <c r="CP488" s="1360">
        <v>90.554572272356822</v>
      </c>
      <c r="CQ488" s="1360">
        <v>90.554572272356822</v>
      </c>
      <c r="CR488" s="1360">
        <v>90.554572272356822</v>
      </c>
      <c r="CS488" s="1362">
        <f t="shared" si="390"/>
        <v>0</v>
      </c>
      <c r="CT488" s="1362">
        <f t="shared" si="391"/>
        <v>0</v>
      </c>
      <c r="CU488" s="1362">
        <f t="shared" si="392"/>
        <v>0</v>
      </c>
      <c r="CV488" s="1362">
        <f t="shared" si="393"/>
        <v>0</v>
      </c>
      <c r="CW488" s="1362">
        <f t="shared" si="394"/>
        <v>0</v>
      </c>
      <c r="CY488" s="2887"/>
    </row>
    <row r="489" spans="1:103" s="1143" customFormat="1" ht="15.5" x14ac:dyDescent="0.35">
      <c r="A489" s="1132" t="s">
        <v>114</v>
      </c>
      <c r="B489" s="1132" t="s">
        <v>950</v>
      </c>
      <c r="C489" s="1132" t="s">
        <v>952</v>
      </c>
      <c r="D489" s="1359" t="s">
        <v>105</v>
      </c>
      <c r="E489" s="1359">
        <f t="shared" si="406"/>
        <v>0</v>
      </c>
      <c r="F489" s="1132" t="s">
        <v>105</v>
      </c>
      <c r="G489" s="1132" t="s">
        <v>356</v>
      </c>
      <c r="H489" s="1360">
        <v>121.06800000000001</v>
      </c>
      <c r="I489" s="1360">
        <v>121.06800000000001</v>
      </c>
      <c r="J489" s="1360">
        <v>121.06800000000001</v>
      </c>
      <c r="K489" s="1360">
        <v>121.06800000000001</v>
      </c>
      <c r="L489" s="1132" t="s">
        <v>105</v>
      </c>
      <c r="M489" s="1132" t="str">
        <f t="shared" si="356"/>
        <v/>
      </c>
      <c r="N489" s="1361">
        <v>0</v>
      </c>
      <c r="O489" s="1361">
        <v>0</v>
      </c>
      <c r="P489" s="1361">
        <v>0</v>
      </c>
      <c r="Q489" s="1361">
        <v>0</v>
      </c>
      <c r="R489" s="1781">
        <v>0.96</v>
      </c>
      <c r="S489" s="1781">
        <v>0.96</v>
      </c>
      <c r="T489" s="1781">
        <v>0.96</v>
      </c>
      <c r="U489" s="1781">
        <v>0.96</v>
      </c>
      <c r="V489" s="1781">
        <v>0.96</v>
      </c>
      <c r="W489" s="1781">
        <v>0.96</v>
      </c>
      <c r="X489" s="1781">
        <v>0.96</v>
      </c>
      <c r="Y489" s="1781">
        <v>0.96</v>
      </c>
      <c r="Z489" s="1359">
        <v>0</v>
      </c>
      <c r="AA489" s="1781">
        <f t="shared" si="357"/>
        <v>0.96</v>
      </c>
      <c r="AB489" s="1781">
        <f t="shared" si="358"/>
        <v>0.96</v>
      </c>
      <c r="AC489" s="1781">
        <f t="shared" si="359"/>
        <v>0.96</v>
      </c>
      <c r="AD489" s="1781">
        <f t="shared" si="360"/>
        <v>0.96</v>
      </c>
      <c r="AE489" s="1781">
        <f t="shared" si="361"/>
        <v>0.96</v>
      </c>
      <c r="AF489" s="1781">
        <f t="shared" si="362"/>
        <v>0.96</v>
      </c>
      <c r="AG489" s="1781">
        <f t="shared" si="363"/>
        <v>0.96</v>
      </c>
      <c r="AH489" s="1781">
        <f t="shared" si="364"/>
        <v>0.96</v>
      </c>
      <c r="AI489" s="1362">
        <f t="shared" si="395"/>
        <v>0</v>
      </c>
      <c r="AJ489" s="1362">
        <f t="shared" si="396"/>
        <v>0</v>
      </c>
      <c r="AK489" s="1362">
        <f t="shared" si="397"/>
        <v>0</v>
      </c>
      <c r="AL489" s="1362">
        <f t="shared" si="398"/>
        <v>0</v>
      </c>
      <c r="AM489" s="1362">
        <f t="shared" si="399"/>
        <v>0</v>
      </c>
      <c r="AN489" s="1132" t="str">
        <f t="shared" si="365"/>
        <v>Custom</v>
      </c>
      <c r="AO489" s="1132" t="str">
        <f t="shared" si="366"/>
        <v/>
      </c>
      <c r="AP489" s="2505">
        <v>0</v>
      </c>
      <c r="AQ489" s="2505"/>
      <c r="AR489" s="2505">
        <f t="shared" si="367"/>
        <v>0</v>
      </c>
      <c r="AS489" s="2505">
        <f t="shared" si="368"/>
        <v>0</v>
      </c>
      <c r="AT489" s="1132" t="str">
        <f t="shared" si="369"/>
        <v>Custom</v>
      </c>
      <c r="AU489" s="1132" t="str">
        <f t="shared" si="370"/>
        <v/>
      </c>
      <c r="AV489" s="2505">
        <v>0</v>
      </c>
      <c r="AW489" s="2505"/>
      <c r="AX489" s="1362">
        <f t="shared" si="371"/>
        <v>0</v>
      </c>
      <c r="AY489" s="1360">
        <f t="shared" si="372"/>
        <v>0</v>
      </c>
      <c r="AZ489" s="1132" t="str">
        <f t="shared" si="373"/>
        <v>Custom</v>
      </c>
      <c r="BA489" s="1132" t="str">
        <f t="shared" si="374"/>
        <v/>
      </c>
      <c r="BB489" s="2505">
        <v>0</v>
      </c>
      <c r="BC489" s="2505"/>
      <c r="BD489" s="1362">
        <f t="shared" si="375"/>
        <v>0</v>
      </c>
      <c r="BE489" s="1360">
        <f t="shared" si="376"/>
        <v>0</v>
      </c>
      <c r="BF489" s="1132" t="str">
        <f t="shared" si="377"/>
        <v>Custom</v>
      </c>
      <c r="BG489" s="1132" t="str">
        <f t="shared" si="378"/>
        <v/>
      </c>
      <c r="BH489" s="2505">
        <v>0</v>
      </c>
      <c r="BI489" s="2505"/>
      <c r="BJ489" s="1362">
        <f t="shared" si="400"/>
        <v>0</v>
      </c>
      <c r="BK489" s="1360">
        <f t="shared" si="379"/>
        <v>0</v>
      </c>
      <c r="BL489" s="1601">
        <f t="shared" si="380"/>
        <v>0</v>
      </c>
      <c r="BM489" s="1601">
        <f t="shared" si="381"/>
        <v>0</v>
      </c>
      <c r="BN489" s="1601">
        <f t="shared" si="382"/>
        <v>0</v>
      </c>
      <c r="BO489" s="1601">
        <f t="shared" si="383"/>
        <v>0</v>
      </c>
      <c r="BP489" s="1602">
        <f t="shared" si="384"/>
        <v>0</v>
      </c>
      <c r="BQ489" s="1629"/>
      <c r="BR489" s="1629"/>
      <c r="BS489" s="1602">
        <v>0</v>
      </c>
      <c r="BT489" s="1602">
        <v>1</v>
      </c>
      <c r="BU489" s="1602">
        <v>1</v>
      </c>
      <c r="BV489" s="1602">
        <v>1</v>
      </c>
      <c r="BW489" s="1602">
        <v>1</v>
      </c>
      <c r="BX489" s="1362">
        <f t="shared" si="401"/>
        <v>0</v>
      </c>
      <c r="BY489" s="1362">
        <f t="shared" si="402"/>
        <v>0</v>
      </c>
      <c r="BZ489" s="1362">
        <f t="shared" si="403"/>
        <v>0</v>
      </c>
      <c r="CA489" s="1362">
        <f t="shared" si="404"/>
        <v>0</v>
      </c>
      <c r="CB489" s="1362">
        <f t="shared" si="405"/>
        <v>0</v>
      </c>
      <c r="CC489" s="1360">
        <v>1</v>
      </c>
      <c r="CD489" s="1360">
        <v>1</v>
      </c>
      <c r="CE489" s="1360">
        <v>1</v>
      </c>
      <c r="CF489" s="1360">
        <v>1</v>
      </c>
      <c r="CG489" s="1604">
        <f t="shared" si="385"/>
        <v>0</v>
      </c>
      <c r="CH489" s="1604">
        <f t="shared" si="386"/>
        <v>0</v>
      </c>
      <c r="CI489" s="1604">
        <f t="shared" si="387"/>
        <v>0</v>
      </c>
      <c r="CJ489" s="1604">
        <f t="shared" si="388"/>
        <v>0</v>
      </c>
      <c r="CK489" s="1521">
        <f t="shared" si="389"/>
        <v>0</v>
      </c>
      <c r="CL489" s="1132">
        <v>482</v>
      </c>
      <c r="CM489" s="1132" t="s">
        <v>356</v>
      </c>
      <c r="CN489" s="1359">
        <v>1</v>
      </c>
      <c r="CO489" s="1360">
        <v>0</v>
      </c>
      <c r="CP489" s="1360">
        <v>0</v>
      </c>
      <c r="CQ489" s="1360">
        <v>0</v>
      </c>
      <c r="CR489" s="1360">
        <v>0</v>
      </c>
      <c r="CS489" s="1362">
        <f t="shared" si="390"/>
        <v>0</v>
      </c>
      <c r="CT489" s="1362">
        <f t="shared" si="391"/>
        <v>0</v>
      </c>
      <c r="CU489" s="1362">
        <f t="shared" si="392"/>
        <v>0</v>
      </c>
      <c r="CV489" s="1362">
        <f t="shared" si="393"/>
        <v>0</v>
      </c>
      <c r="CW489" s="1362">
        <f t="shared" si="394"/>
        <v>0</v>
      </c>
      <c r="CY489" s="2887"/>
    </row>
    <row r="490" spans="1:103" s="1143" customFormat="1" ht="15.5" x14ac:dyDescent="0.35">
      <c r="A490" s="1132" t="s">
        <v>114</v>
      </c>
      <c r="B490" s="1132" t="s">
        <v>950</v>
      </c>
      <c r="C490" s="1132" t="s">
        <v>723</v>
      </c>
      <c r="D490" s="1359" t="s">
        <v>105</v>
      </c>
      <c r="E490" s="1359">
        <f t="shared" si="406"/>
        <v>0</v>
      </c>
      <c r="F490" s="1132" t="s">
        <v>105</v>
      </c>
      <c r="G490" s="1132" t="s">
        <v>356</v>
      </c>
      <c r="H490" s="1360">
        <v>97.47</v>
      </c>
      <c r="I490" s="1360">
        <v>97.47</v>
      </c>
      <c r="J490" s="1360">
        <v>97.47</v>
      </c>
      <c r="K490" s="1360">
        <v>97.47</v>
      </c>
      <c r="L490" s="1132" t="s">
        <v>105</v>
      </c>
      <c r="M490" s="1132" t="str">
        <f t="shared" si="356"/>
        <v/>
      </c>
      <c r="N490" s="1361">
        <v>0</v>
      </c>
      <c r="O490" s="1361">
        <v>0</v>
      </c>
      <c r="P490" s="1361">
        <v>0</v>
      </c>
      <c r="Q490" s="1361">
        <v>0</v>
      </c>
      <c r="R490" s="1781">
        <v>0.96</v>
      </c>
      <c r="S490" s="1781">
        <v>0.96</v>
      </c>
      <c r="T490" s="1781">
        <v>0.96</v>
      </c>
      <c r="U490" s="1781">
        <v>0.96</v>
      </c>
      <c r="V490" s="1781">
        <v>0.96</v>
      </c>
      <c r="W490" s="1781">
        <v>0.96</v>
      </c>
      <c r="X490" s="1781">
        <v>0.96</v>
      </c>
      <c r="Y490" s="1781">
        <v>0.96</v>
      </c>
      <c r="Z490" s="1359">
        <v>0</v>
      </c>
      <c r="AA490" s="1781">
        <f t="shared" si="357"/>
        <v>0.96</v>
      </c>
      <c r="AB490" s="1781">
        <f t="shared" si="358"/>
        <v>0.96</v>
      </c>
      <c r="AC490" s="1781">
        <f t="shared" si="359"/>
        <v>0.96</v>
      </c>
      <c r="AD490" s="1781">
        <f t="shared" si="360"/>
        <v>0.96</v>
      </c>
      <c r="AE490" s="1781">
        <f t="shared" si="361"/>
        <v>0.96</v>
      </c>
      <c r="AF490" s="1781">
        <f t="shared" si="362"/>
        <v>0.96</v>
      </c>
      <c r="AG490" s="1781">
        <f t="shared" si="363"/>
        <v>0.96</v>
      </c>
      <c r="AH490" s="1781">
        <f t="shared" si="364"/>
        <v>0.96</v>
      </c>
      <c r="AI490" s="1362">
        <f t="shared" si="395"/>
        <v>0</v>
      </c>
      <c r="AJ490" s="1362">
        <f t="shared" si="396"/>
        <v>0</v>
      </c>
      <c r="AK490" s="1362">
        <f t="shared" si="397"/>
        <v>0</v>
      </c>
      <c r="AL490" s="1362">
        <f t="shared" si="398"/>
        <v>0</v>
      </c>
      <c r="AM490" s="1362">
        <f t="shared" si="399"/>
        <v>0</v>
      </c>
      <c r="AN490" s="1132" t="str">
        <f t="shared" si="365"/>
        <v>Custom</v>
      </c>
      <c r="AO490" s="1132" t="str">
        <f t="shared" si="366"/>
        <v/>
      </c>
      <c r="AP490" s="2505">
        <v>0</v>
      </c>
      <c r="AQ490" s="2505"/>
      <c r="AR490" s="2505">
        <f t="shared" si="367"/>
        <v>0</v>
      </c>
      <c r="AS490" s="2505">
        <f t="shared" si="368"/>
        <v>0</v>
      </c>
      <c r="AT490" s="1132" t="str">
        <f t="shared" si="369"/>
        <v>Custom</v>
      </c>
      <c r="AU490" s="1132" t="str">
        <f t="shared" si="370"/>
        <v/>
      </c>
      <c r="AV490" s="2505">
        <v>0</v>
      </c>
      <c r="AW490" s="2505"/>
      <c r="AX490" s="1362">
        <f t="shared" si="371"/>
        <v>0</v>
      </c>
      <c r="AY490" s="1360">
        <f t="shared" si="372"/>
        <v>0</v>
      </c>
      <c r="AZ490" s="1132" t="str">
        <f t="shared" si="373"/>
        <v>Custom</v>
      </c>
      <c r="BA490" s="1132" t="str">
        <f t="shared" si="374"/>
        <v/>
      </c>
      <c r="BB490" s="2505">
        <v>0</v>
      </c>
      <c r="BC490" s="2505"/>
      <c r="BD490" s="1362">
        <f t="shared" si="375"/>
        <v>0</v>
      </c>
      <c r="BE490" s="1360">
        <f t="shared" si="376"/>
        <v>0</v>
      </c>
      <c r="BF490" s="1132" t="str">
        <f t="shared" si="377"/>
        <v>Custom</v>
      </c>
      <c r="BG490" s="1132" t="str">
        <f t="shared" si="378"/>
        <v/>
      </c>
      <c r="BH490" s="2505">
        <v>0</v>
      </c>
      <c r="BI490" s="2505"/>
      <c r="BJ490" s="1362">
        <f t="shared" si="400"/>
        <v>0</v>
      </c>
      <c r="BK490" s="1360">
        <f t="shared" si="379"/>
        <v>0</v>
      </c>
      <c r="BL490" s="1601">
        <f t="shared" si="380"/>
        <v>0</v>
      </c>
      <c r="BM490" s="1601">
        <f t="shared" si="381"/>
        <v>0</v>
      </c>
      <c r="BN490" s="1601">
        <f t="shared" si="382"/>
        <v>0</v>
      </c>
      <c r="BO490" s="1601">
        <f t="shared" si="383"/>
        <v>0</v>
      </c>
      <c r="BP490" s="1602">
        <f t="shared" si="384"/>
        <v>0</v>
      </c>
      <c r="BQ490" s="1629"/>
      <c r="BR490" s="1629"/>
      <c r="BS490" s="1602">
        <v>0</v>
      </c>
      <c r="BT490" s="1602">
        <v>0</v>
      </c>
      <c r="BU490" s="1602">
        <v>0</v>
      </c>
      <c r="BV490" s="1602">
        <v>0</v>
      </c>
      <c r="BW490" s="1602">
        <v>0</v>
      </c>
      <c r="BX490" s="1362">
        <f t="shared" si="401"/>
        <v>0</v>
      </c>
      <c r="BY490" s="1362">
        <f t="shared" si="402"/>
        <v>0</v>
      </c>
      <c r="BZ490" s="1362">
        <f t="shared" si="403"/>
        <v>0</v>
      </c>
      <c r="CA490" s="1362">
        <f t="shared" si="404"/>
        <v>0</v>
      </c>
      <c r="CB490" s="1362">
        <f t="shared" si="405"/>
        <v>0</v>
      </c>
      <c r="CC490" s="1360">
        <v>0</v>
      </c>
      <c r="CD490" s="1360">
        <v>0</v>
      </c>
      <c r="CE490" s="1360">
        <v>0</v>
      </c>
      <c r="CF490" s="1360">
        <v>0</v>
      </c>
      <c r="CG490" s="1604">
        <f t="shared" si="385"/>
        <v>0</v>
      </c>
      <c r="CH490" s="1604">
        <f t="shared" si="386"/>
        <v>0</v>
      </c>
      <c r="CI490" s="1604">
        <f t="shared" si="387"/>
        <v>0</v>
      </c>
      <c r="CJ490" s="1604">
        <f t="shared" si="388"/>
        <v>0</v>
      </c>
      <c r="CK490" s="1521">
        <f t="shared" si="389"/>
        <v>0</v>
      </c>
      <c r="CL490" s="1132">
        <v>483</v>
      </c>
      <c r="CM490" s="1132" t="s">
        <v>356</v>
      </c>
      <c r="CN490" s="1359">
        <v>1</v>
      </c>
      <c r="CO490" s="1360">
        <v>2421.1236874629722</v>
      </c>
      <c r="CP490" s="1360">
        <v>2421.1236874629722</v>
      </c>
      <c r="CQ490" s="1360">
        <v>2421.1236874629722</v>
      </c>
      <c r="CR490" s="1360">
        <v>2421.1236874629722</v>
      </c>
      <c r="CS490" s="1362">
        <f t="shared" si="390"/>
        <v>0</v>
      </c>
      <c r="CT490" s="1362">
        <f t="shared" si="391"/>
        <v>0</v>
      </c>
      <c r="CU490" s="1362">
        <f t="shared" si="392"/>
        <v>0</v>
      </c>
      <c r="CV490" s="1362">
        <f t="shared" si="393"/>
        <v>0</v>
      </c>
      <c r="CW490" s="1362">
        <f t="shared" si="394"/>
        <v>0</v>
      </c>
      <c r="CY490" s="2887"/>
    </row>
    <row r="491" spans="1:103" s="1143" customFormat="1" ht="15.5" x14ac:dyDescent="0.35">
      <c r="A491" s="1132" t="s">
        <v>114</v>
      </c>
      <c r="B491" s="1132" t="s">
        <v>950</v>
      </c>
      <c r="C491" s="1132" t="s">
        <v>953</v>
      </c>
      <c r="D491" s="1359" t="s">
        <v>105</v>
      </c>
      <c r="E491" s="1359">
        <f t="shared" si="406"/>
        <v>0</v>
      </c>
      <c r="F491" s="1132" t="s">
        <v>105</v>
      </c>
      <c r="G491" s="1132" t="s">
        <v>356</v>
      </c>
      <c r="H491" s="1360">
        <v>3235.491</v>
      </c>
      <c r="I491" s="1360">
        <v>3235.491</v>
      </c>
      <c r="J491" s="1360">
        <v>3235.491</v>
      </c>
      <c r="K491" s="1360">
        <v>3235.491</v>
      </c>
      <c r="L491" s="1132" t="s">
        <v>105</v>
      </c>
      <c r="M491" s="1132" t="str">
        <f t="shared" si="356"/>
        <v/>
      </c>
      <c r="N491" s="1361">
        <v>0</v>
      </c>
      <c r="O491" s="1361">
        <v>0</v>
      </c>
      <c r="P491" s="1361">
        <v>0</v>
      </c>
      <c r="Q491" s="1361">
        <v>0</v>
      </c>
      <c r="R491" s="1781">
        <v>0.96</v>
      </c>
      <c r="S491" s="1781">
        <v>0.96</v>
      </c>
      <c r="T491" s="1781">
        <v>0.96</v>
      </c>
      <c r="U491" s="1781">
        <v>0.96</v>
      </c>
      <c r="V491" s="1781">
        <v>0.96</v>
      </c>
      <c r="W491" s="1781">
        <v>0.96</v>
      </c>
      <c r="X491" s="1781">
        <v>0.96</v>
      </c>
      <c r="Y491" s="1781">
        <v>0.96</v>
      </c>
      <c r="Z491" s="1359">
        <v>0</v>
      </c>
      <c r="AA491" s="1781">
        <f t="shared" si="357"/>
        <v>0.96</v>
      </c>
      <c r="AB491" s="1781">
        <f t="shared" si="358"/>
        <v>0.96</v>
      </c>
      <c r="AC491" s="1781">
        <f t="shared" si="359"/>
        <v>0.96</v>
      </c>
      <c r="AD491" s="1781">
        <f t="shared" si="360"/>
        <v>0.96</v>
      </c>
      <c r="AE491" s="1781">
        <f t="shared" si="361"/>
        <v>0.96</v>
      </c>
      <c r="AF491" s="1781">
        <f t="shared" si="362"/>
        <v>0.96</v>
      </c>
      <c r="AG491" s="1781">
        <f t="shared" si="363"/>
        <v>0.96</v>
      </c>
      <c r="AH491" s="1781">
        <f t="shared" si="364"/>
        <v>0.96</v>
      </c>
      <c r="AI491" s="1362">
        <f t="shared" si="395"/>
        <v>0</v>
      </c>
      <c r="AJ491" s="1362">
        <f t="shared" si="396"/>
        <v>0</v>
      </c>
      <c r="AK491" s="1362">
        <f t="shared" si="397"/>
        <v>0</v>
      </c>
      <c r="AL491" s="1362">
        <f t="shared" si="398"/>
        <v>0</v>
      </c>
      <c r="AM491" s="1362">
        <f t="shared" si="399"/>
        <v>0</v>
      </c>
      <c r="AN491" s="1132" t="str">
        <f t="shared" si="365"/>
        <v>Custom</v>
      </c>
      <c r="AO491" s="1132" t="str">
        <f t="shared" si="366"/>
        <v/>
      </c>
      <c r="AP491" s="2505">
        <v>0</v>
      </c>
      <c r="AQ491" s="2505"/>
      <c r="AR491" s="2505">
        <f t="shared" si="367"/>
        <v>0</v>
      </c>
      <c r="AS491" s="2505">
        <f t="shared" si="368"/>
        <v>0</v>
      </c>
      <c r="AT491" s="1132" t="str">
        <f t="shared" si="369"/>
        <v>Custom</v>
      </c>
      <c r="AU491" s="1132" t="str">
        <f t="shared" si="370"/>
        <v/>
      </c>
      <c r="AV491" s="2505">
        <v>0</v>
      </c>
      <c r="AW491" s="2505"/>
      <c r="AX491" s="1362">
        <f t="shared" si="371"/>
        <v>0</v>
      </c>
      <c r="AY491" s="1360">
        <f t="shared" si="372"/>
        <v>0</v>
      </c>
      <c r="AZ491" s="1132" t="str">
        <f t="shared" si="373"/>
        <v>Custom</v>
      </c>
      <c r="BA491" s="1132" t="str">
        <f t="shared" si="374"/>
        <v/>
      </c>
      <c r="BB491" s="2505">
        <v>0</v>
      </c>
      <c r="BC491" s="2505"/>
      <c r="BD491" s="1362">
        <f t="shared" si="375"/>
        <v>0</v>
      </c>
      <c r="BE491" s="1360">
        <f t="shared" si="376"/>
        <v>0</v>
      </c>
      <c r="BF491" s="1132" t="str">
        <f t="shared" si="377"/>
        <v>Custom</v>
      </c>
      <c r="BG491" s="1132" t="str">
        <f t="shared" si="378"/>
        <v/>
      </c>
      <c r="BH491" s="2505">
        <v>0</v>
      </c>
      <c r="BI491" s="2505"/>
      <c r="BJ491" s="1362">
        <f t="shared" si="400"/>
        <v>0</v>
      </c>
      <c r="BK491" s="1360">
        <f t="shared" si="379"/>
        <v>0</v>
      </c>
      <c r="BL491" s="1601">
        <f t="shared" si="380"/>
        <v>0</v>
      </c>
      <c r="BM491" s="1601">
        <f t="shared" si="381"/>
        <v>0</v>
      </c>
      <c r="BN491" s="1601">
        <f t="shared" si="382"/>
        <v>0</v>
      </c>
      <c r="BO491" s="1601">
        <f t="shared" si="383"/>
        <v>0</v>
      </c>
      <c r="BP491" s="1602">
        <f t="shared" si="384"/>
        <v>0</v>
      </c>
      <c r="BQ491" s="1629"/>
      <c r="BR491" s="1629"/>
      <c r="BS491" s="1602">
        <v>0</v>
      </c>
      <c r="BT491" s="1602">
        <v>0</v>
      </c>
      <c r="BU491" s="1602">
        <v>0</v>
      </c>
      <c r="BV491" s="1602">
        <v>0</v>
      </c>
      <c r="BW491" s="1602">
        <v>0</v>
      </c>
      <c r="BX491" s="1362">
        <f t="shared" si="401"/>
        <v>0</v>
      </c>
      <c r="BY491" s="1362">
        <f t="shared" si="402"/>
        <v>0</v>
      </c>
      <c r="BZ491" s="1362">
        <f t="shared" si="403"/>
        <v>0</v>
      </c>
      <c r="CA491" s="1362">
        <f t="shared" si="404"/>
        <v>0</v>
      </c>
      <c r="CB491" s="1362">
        <f t="shared" si="405"/>
        <v>0</v>
      </c>
      <c r="CC491" s="1360">
        <v>0</v>
      </c>
      <c r="CD491" s="1360">
        <v>0</v>
      </c>
      <c r="CE491" s="1360">
        <v>0</v>
      </c>
      <c r="CF491" s="1360">
        <v>0</v>
      </c>
      <c r="CG491" s="1604">
        <f t="shared" si="385"/>
        <v>0</v>
      </c>
      <c r="CH491" s="1604">
        <f t="shared" si="386"/>
        <v>0</v>
      </c>
      <c r="CI491" s="1604">
        <f t="shared" si="387"/>
        <v>0</v>
      </c>
      <c r="CJ491" s="1604">
        <f t="shared" si="388"/>
        <v>0</v>
      </c>
      <c r="CK491" s="1521">
        <f t="shared" si="389"/>
        <v>0</v>
      </c>
      <c r="CL491" s="1132">
        <v>484</v>
      </c>
      <c r="CM491" s="1132" t="s">
        <v>356</v>
      </c>
      <c r="CN491" s="1359">
        <v>1</v>
      </c>
      <c r="CO491" s="1360">
        <v>0</v>
      </c>
      <c r="CP491" s="1360">
        <v>0</v>
      </c>
      <c r="CQ491" s="1360">
        <v>0</v>
      </c>
      <c r="CR491" s="1360">
        <v>0</v>
      </c>
      <c r="CS491" s="1362">
        <f t="shared" si="390"/>
        <v>0</v>
      </c>
      <c r="CT491" s="1362">
        <f t="shared" si="391"/>
        <v>0</v>
      </c>
      <c r="CU491" s="1362">
        <f t="shared" si="392"/>
        <v>0</v>
      </c>
      <c r="CV491" s="1362">
        <f t="shared" si="393"/>
        <v>0</v>
      </c>
      <c r="CW491" s="1362">
        <f t="shared" si="394"/>
        <v>0</v>
      </c>
      <c r="CY491" s="2887"/>
    </row>
    <row r="492" spans="1:103" s="1143" customFormat="1" ht="15.5" x14ac:dyDescent="0.35">
      <c r="A492" s="1132" t="s">
        <v>114</v>
      </c>
      <c r="B492" s="1132" t="s">
        <v>950</v>
      </c>
      <c r="C492" s="1132" t="s">
        <v>954</v>
      </c>
      <c r="D492" s="1359" t="s">
        <v>105</v>
      </c>
      <c r="E492" s="1359">
        <f t="shared" si="406"/>
        <v>0</v>
      </c>
      <c r="F492" s="1132" t="s">
        <v>105</v>
      </c>
      <c r="G492" s="1132" t="s">
        <v>356</v>
      </c>
      <c r="H492" s="1360">
        <v>0.51300000000000001</v>
      </c>
      <c r="I492" s="1360">
        <v>0.51300000000000001</v>
      </c>
      <c r="J492" s="1360">
        <v>0.51300000000000001</v>
      </c>
      <c r="K492" s="1360">
        <v>0.51300000000000001</v>
      </c>
      <c r="L492" s="1132" t="s">
        <v>105</v>
      </c>
      <c r="M492" s="1132" t="str">
        <f t="shared" si="356"/>
        <v/>
      </c>
      <c r="N492" s="1361">
        <v>0</v>
      </c>
      <c r="O492" s="1361">
        <v>0</v>
      </c>
      <c r="P492" s="1361">
        <v>0</v>
      </c>
      <c r="Q492" s="1361">
        <v>0</v>
      </c>
      <c r="R492" s="1781">
        <v>0.96</v>
      </c>
      <c r="S492" s="1781">
        <v>0.96</v>
      </c>
      <c r="T492" s="1781">
        <v>0.96</v>
      </c>
      <c r="U492" s="1781">
        <v>0.96</v>
      </c>
      <c r="V492" s="1781">
        <v>0.96</v>
      </c>
      <c r="W492" s="1781">
        <v>0.96</v>
      </c>
      <c r="X492" s="1781">
        <v>0.96</v>
      </c>
      <c r="Y492" s="1781">
        <v>0.96</v>
      </c>
      <c r="Z492" s="1359">
        <v>0</v>
      </c>
      <c r="AA492" s="1781">
        <f t="shared" si="357"/>
        <v>0.96</v>
      </c>
      <c r="AB492" s="1781">
        <f t="shared" si="358"/>
        <v>0.96</v>
      </c>
      <c r="AC492" s="1781">
        <f t="shared" si="359"/>
        <v>0.96</v>
      </c>
      <c r="AD492" s="1781">
        <f t="shared" si="360"/>
        <v>0.96</v>
      </c>
      <c r="AE492" s="1781">
        <f t="shared" si="361"/>
        <v>0.96</v>
      </c>
      <c r="AF492" s="1781">
        <f t="shared" si="362"/>
        <v>0.96</v>
      </c>
      <c r="AG492" s="1781">
        <f t="shared" si="363"/>
        <v>0.96</v>
      </c>
      <c r="AH492" s="1781">
        <f t="shared" si="364"/>
        <v>0.96</v>
      </c>
      <c r="AI492" s="1362">
        <f t="shared" si="395"/>
        <v>0</v>
      </c>
      <c r="AJ492" s="1362">
        <f t="shared" si="396"/>
        <v>0</v>
      </c>
      <c r="AK492" s="1362">
        <f t="shared" si="397"/>
        <v>0</v>
      </c>
      <c r="AL492" s="1362">
        <f t="shared" si="398"/>
        <v>0</v>
      </c>
      <c r="AM492" s="1362">
        <f t="shared" si="399"/>
        <v>0</v>
      </c>
      <c r="AN492" s="1132" t="str">
        <f t="shared" si="365"/>
        <v>Custom</v>
      </c>
      <c r="AO492" s="1132" t="str">
        <f t="shared" si="366"/>
        <v/>
      </c>
      <c r="AP492" s="2505">
        <v>0</v>
      </c>
      <c r="AQ492" s="2505"/>
      <c r="AR492" s="2505">
        <f t="shared" si="367"/>
        <v>0</v>
      </c>
      <c r="AS492" s="2505">
        <f t="shared" si="368"/>
        <v>0</v>
      </c>
      <c r="AT492" s="1132" t="str">
        <f t="shared" si="369"/>
        <v>Custom</v>
      </c>
      <c r="AU492" s="1132" t="str">
        <f t="shared" si="370"/>
        <v/>
      </c>
      <c r="AV492" s="2505">
        <v>0</v>
      </c>
      <c r="AW492" s="2505"/>
      <c r="AX492" s="1362">
        <f t="shared" si="371"/>
        <v>0</v>
      </c>
      <c r="AY492" s="1360">
        <f t="shared" si="372"/>
        <v>0</v>
      </c>
      <c r="AZ492" s="1132" t="str">
        <f t="shared" si="373"/>
        <v>Custom</v>
      </c>
      <c r="BA492" s="1132" t="str">
        <f t="shared" si="374"/>
        <v/>
      </c>
      <c r="BB492" s="2505">
        <v>0</v>
      </c>
      <c r="BC492" s="2505"/>
      <c r="BD492" s="1362">
        <f t="shared" si="375"/>
        <v>0</v>
      </c>
      <c r="BE492" s="1360">
        <f t="shared" si="376"/>
        <v>0</v>
      </c>
      <c r="BF492" s="1132" t="str">
        <f t="shared" si="377"/>
        <v>Custom</v>
      </c>
      <c r="BG492" s="1132" t="str">
        <f t="shared" si="378"/>
        <v/>
      </c>
      <c r="BH492" s="2505">
        <v>0</v>
      </c>
      <c r="BI492" s="2505"/>
      <c r="BJ492" s="1362">
        <f t="shared" si="400"/>
        <v>0</v>
      </c>
      <c r="BK492" s="1360">
        <f t="shared" si="379"/>
        <v>0</v>
      </c>
      <c r="BL492" s="1601">
        <f t="shared" si="380"/>
        <v>0</v>
      </c>
      <c r="BM492" s="1601">
        <f t="shared" si="381"/>
        <v>0</v>
      </c>
      <c r="BN492" s="1601">
        <f t="shared" si="382"/>
        <v>0</v>
      </c>
      <c r="BO492" s="1601">
        <f t="shared" si="383"/>
        <v>0</v>
      </c>
      <c r="BP492" s="1602">
        <f t="shared" si="384"/>
        <v>0</v>
      </c>
      <c r="BQ492" s="1629"/>
      <c r="BR492" s="1629"/>
      <c r="BS492" s="1602">
        <v>0</v>
      </c>
      <c r="BT492" s="1602">
        <v>1</v>
      </c>
      <c r="BU492" s="1602">
        <v>1</v>
      </c>
      <c r="BV492" s="1602">
        <v>1</v>
      </c>
      <c r="BW492" s="1602">
        <v>1</v>
      </c>
      <c r="BX492" s="1362">
        <f t="shared" si="401"/>
        <v>0</v>
      </c>
      <c r="BY492" s="1362">
        <f t="shared" si="402"/>
        <v>0</v>
      </c>
      <c r="BZ492" s="1362">
        <f t="shared" si="403"/>
        <v>0</v>
      </c>
      <c r="CA492" s="1362">
        <f t="shared" si="404"/>
        <v>0</v>
      </c>
      <c r="CB492" s="1362">
        <f t="shared" si="405"/>
        <v>0</v>
      </c>
      <c r="CC492" s="1360">
        <v>1</v>
      </c>
      <c r="CD492" s="1360">
        <v>1</v>
      </c>
      <c r="CE492" s="1360">
        <v>1</v>
      </c>
      <c r="CF492" s="1360">
        <v>1</v>
      </c>
      <c r="CG492" s="1604">
        <f t="shared" si="385"/>
        <v>0</v>
      </c>
      <c r="CH492" s="1604">
        <f t="shared" si="386"/>
        <v>0</v>
      </c>
      <c r="CI492" s="1604">
        <f t="shared" si="387"/>
        <v>0</v>
      </c>
      <c r="CJ492" s="1604">
        <f t="shared" si="388"/>
        <v>0</v>
      </c>
      <c r="CK492" s="1521">
        <f t="shared" si="389"/>
        <v>0</v>
      </c>
      <c r="CL492" s="1132">
        <v>485</v>
      </c>
      <c r="CM492" s="1132" t="s">
        <v>356</v>
      </c>
      <c r="CN492" s="1359">
        <v>1</v>
      </c>
      <c r="CO492" s="1360">
        <v>4.4718307294991027</v>
      </c>
      <c r="CP492" s="1360">
        <v>4.4718307294991027</v>
      </c>
      <c r="CQ492" s="1360">
        <v>4.4718307294991027</v>
      </c>
      <c r="CR492" s="1360">
        <v>4.4718307294991027</v>
      </c>
      <c r="CS492" s="1362">
        <f t="shared" si="390"/>
        <v>0</v>
      </c>
      <c r="CT492" s="1362">
        <f t="shared" si="391"/>
        <v>0</v>
      </c>
      <c r="CU492" s="1362">
        <f t="shared" si="392"/>
        <v>0</v>
      </c>
      <c r="CV492" s="1362">
        <f t="shared" si="393"/>
        <v>0</v>
      </c>
      <c r="CW492" s="1362">
        <f t="shared" si="394"/>
        <v>0</v>
      </c>
      <c r="CY492" s="2887"/>
    </row>
    <row r="493" spans="1:103" s="1143" customFormat="1" ht="45.75" customHeight="1" x14ac:dyDescent="0.35">
      <c r="A493" s="1132" t="s">
        <v>114</v>
      </c>
      <c r="B493" s="1132" t="s">
        <v>950</v>
      </c>
      <c r="C493" s="1132" t="s">
        <v>954</v>
      </c>
      <c r="D493" s="1359" t="s">
        <v>105</v>
      </c>
      <c r="E493" s="1359">
        <f t="shared" si="406"/>
        <v>0</v>
      </c>
      <c r="F493" s="1132" t="s">
        <v>105</v>
      </c>
      <c r="G493" s="1132" t="s">
        <v>356</v>
      </c>
      <c r="H493" s="1360">
        <v>5.6429999999999998</v>
      </c>
      <c r="I493" s="1360">
        <v>5.6429999999999998</v>
      </c>
      <c r="J493" s="1360">
        <v>5.6429999999999998</v>
      </c>
      <c r="K493" s="1360">
        <v>5.6429999999999998</v>
      </c>
      <c r="L493" s="1132" t="s">
        <v>105</v>
      </c>
      <c r="M493" s="1132" t="str">
        <f t="shared" si="356"/>
        <v/>
      </c>
      <c r="N493" s="1361">
        <v>0</v>
      </c>
      <c r="O493" s="1361">
        <v>0</v>
      </c>
      <c r="P493" s="1361">
        <v>0</v>
      </c>
      <c r="Q493" s="1361">
        <v>0</v>
      </c>
      <c r="R493" s="1781">
        <v>0.96</v>
      </c>
      <c r="S493" s="1781">
        <v>0.96</v>
      </c>
      <c r="T493" s="1781">
        <v>0.96</v>
      </c>
      <c r="U493" s="1781">
        <v>0.96</v>
      </c>
      <c r="V493" s="1781">
        <v>0.96</v>
      </c>
      <c r="W493" s="1781">
        <v>0.96</v>
      </c>
      <c r="X493" s="1781">
        <v>0.96</v>
      </c>
      <c r="Y493" s="1781">
        <v>0.96</v>
      </c>
      <c r="Z493" s="1359">
        <v>0</v>
      </c>
      <c r="AA493" s="1781">
        <f t="shared" si="357"/>
        <v>0.96</v>
      </c>
      <c r="AB493" s="1781">
        <f t="shared" si="358"/>
        <v>0.96</v>
      </c>
      <c r="AC493" s="1781">
        <f t="shared" si="359"/>
        <v>0.96</v>
      </c>
      <c r="AD493" s="1781">
        <f t="shared" si="360"/>
        <v>0.96</v>
      </c>
      <c r="AE493" s="1781">
        <f t="shared" si="361"/>
        <v>0.96</v>
      </c>
      <c r="AF493" s="1781">
        <f t="shared" si="362"/>
        <v>0.96</v>
      </c>
      <c r="AG493" s="1781">
        <f t="shared" si="363"/>
        <v>0.96</v>
      </c>
      <c r="AH493" s="1781">
        <f t="shared" si="364"/>
        <v>0.96</v>
      </c>
      <c r="AI493" s="1362">
        <f t="shared" si="395"/>
        <v>0</v>
      </c>
      <c r="AJ493" s="1362">
        <f t="shared" si="396"/>
        <v>0</v>
      </c>
      <c r="AK493" s="1362">
        <f t="shared" si="397"/>
        <v>0</v>
      </c>
      <c r="AL493" s="1362">
        <f t="shared" si="398"/>
        <v>0</v>
      </c>
      <c r="AM493" s="1362">
        <f t="shared" si="399"/>
        <v>0</v>
      </c>
      <c r="AN493" s="1132" t="str">
        <f t="shared" si="365"/>
        <v>Custom</v>
      </c>
      <c r="AO493" s="1132" t="str">
        <f t="shared" si="366"/>
        <v/>
      </c>
      <c r="AP493" s="2505">
        <v>0</v>
      </c>
      <c r="AQ493" s="2505"/>
      <c r="AR493" s="2505">
        <f t="shared" si="367"/>
        <v>0</v>
      </c>
      <c r="AS493" s="2505">
        <f t="shared" si="368"/>
        <v>0</v>
      </c>
      <c r="AT493" s="1132" t="str">
        <f t="shared" si="369"/>
        <v>Custom</v>
      </c>
      <c r="AU493" s="1132" t="str">
        <f t="shared" si="370"/>
        <v/>
      </c>
      <c r="AV493" s="2505">
        <v>0</v>
      </c>
      <c r="AW493" s="2505"/>
      <c r="AX493" s="1362">
        <f t="shared" si="371"/>
        <v>0</v>
      </c>
      <c r="AY493" s="1360">
        <f t="shared" si="372"/>
        <v>0</v>
      </c>
      <c r="AZ493" s="1132" t="str">
        <f t="shared" si="373"/>
        <v>Custom</v>
      </c>
      <c r="BA493" s="1132" t="str">
        <f t="shared" si="374"/>
        <v/>
      </c>
      <c r="BB493" s="2505">
        <v>0</v>
      </c>
      <c r="BC493" s="2505"/>
      <c r="BD493" s="1362">
        <f t="shared" si="375"/>
        <v>0</v>
      </c>
      <c r="BE493" s="1360">
        <f t="shared" si="376"/>
        <v>0</v>
      </c>
      <c r="BF493" s="1132" t="str">
        <f t="shared" si="377"/>
        <v>Custom</v>
      </c>
      <c r="BG493" s="1132" t="str">
        <f t="shared" si="378"/>
        <v/>
      </c>
      <c r="BH493" s="2505">
        <v>0</v>
      </c>
      <c r="BI493" s="2505"/>
      <c r="BJ493" s="1362">
        <f t="shared" si="400"/>
        <v>0</v>
      </c>
      <c r="BK493" s="1360">
        <f t="shared" si="379"/>
        <v>0</v>
      </c>
      <c r="BL493" s="1601">
        <f t="shared" si="380"/>
        <v>0</v>
      </c>
      <c r="BM493" s="1601">
        <f t="shared" si="381"/>
        <v>0</v>
      </c>
      <c r="BN493" s="1601">
        <f t="shared" si="382"/>
        <v>0</v>
      </c>
      <c r="BO493" s="1601">
        <f t="shared" si="383"/>
        <v>0</v>
      </c>
      <c r="BP493" s="1602">
        <f t="shared" si="384"/>
        <v>0</v>
      </c>
      <c r="BQ493" s="1629"/>
      <c r="BR493" s="1629"/>
      <c r="BS493" s="1602">
        <v>0</v>
      </c>
      <c r="BT493" s="1602">
        <v>1</v>
      </c>
      <c r="BU493" s="1602">
        <v>1</v>
      </c>
      <c r="BV493" s="1602">
        <v>1</v>
      </c>
      <c r="BW493" s="1602">
        <v>1</v>
      </c>
      <c r="BX493" s="1362">
        <f t="shared" si="401"/>
        <v>0</v>
      </c>
      <c r="BY493" s="1362">
        <f t="shared" si="402"/>
        <v>0</v>
      </c>
      <c r="BZ493" s="1362">
        <f t="shared" si="403"/>
        <v>0</v>
      </c>
      <c r="CA493" s="1362">
        <f t="shared" si="404"/>
        <v>0</v>
      </c>
      <c r="CB493" s="1362">
        <f t="shared" si="405"/>
        <v>0</v>
      </c>
      <c r="CC493" s="1360">
        <v>1</v>
      </c>
      <c r="CD493" s="1360">
        <v>1</v>
      </c>
      <c r="CE493" s="1360">
        <v>1</v>
      </c>
      <c r="CF493" s="1360">
        <v>1</v>
      </c>
      <c r="CG493" s="1604">
        <f t="shared" si="385"/>
        <v>0</v>
      </c>
      <c r="CH493" s="1604">
        <f t="shared" si="386"/>
        <v>0</v>
      </c>
      <c r="CI493" s="1604">
        <f t="shared" si="387"/>
        <v>0</v>
      </c>
      <c r="CJ493" s="1604">
        <f t="shared" si="388"/>
        <v>0</v>
      </c>
      <c r="CK493" s="1521">
        <f t="shared" si="389"/>
        <v>0</v>
      </c>
      <c r="CL493" s="1132">
        <v>486</v>
      </c>
      <c r="CM493" s="1132" t="s">
        <v>356</v>
      </c>
      <c r="CN493" s="1359">
        <v>1</v>
      </c>
      <c r="CO493" s="1360">
        <v>0</v>
      </c>
      <c r="CP493" s="1360">
        <v>0</v>
      </c>
      <c r="CQ493" s="1360">
        <v>0</v>
      </c>
      <c r="CR493" s="1360">
        <v>0</v>
      </c>
      <c r="CS493" s="1362">
        <f t="shared" si="390"/>
        <v>0</v>
      </c>
      <c r="CT493" s="1362">
        <f t="shared" si="391"/>
        <v>0</v>
      </c>
      <c r="CU493" s="1362">
        <f t="shared" si="392"/>
        <v>0</v>
      </c>
      <c r="CV493" s="1362">
        <f t="shared" si="393"/>
        <v>0</v>
      </c>
      <c r="CW493" s="1362">
        <f t="shared" si="394"/>
        <v>0</v>
      </c>
      <c r="CY493" s="2887"/>
    </row>
    <row r="494" spans="1:103" s="1143" customFormat="1" ht="46.5" x14ac:dyDescent="0.35">
      <c r="A494" s="1132" t="s">
        <v>114</v>
      </c>
      <c r="B494" s="1132" t="s">
        <v>950</v>
      </c>
      <c r="C494" s="1132" t="s">
        <v>955</v>
      </c>
      <c r="D494" s="1359" t="s">
        <v>956</v>
      </c>
      <c r="E494" s="1359">
        <v>1</v>
      </c>
      <c r="F494" s="2807" t="s">
        <v>691</v>
      </c>
      <c r="G494" s="1132" t="s">
        <v>328</v>
      </c>
      <c r="H494" s="1360">
        <v>1652.373</v>
      </c>
      <c r="I494" s="1360">
        <v>1652.373</v>
      </c>
      <c r="J494" s="1360">
        <v>1652.373</v>
      </c>
      <c r="K494" s="1360">
        <v>1652.373</v>
      </c>
      <c r="L494" s="1132" t="s">
        <v>692</v>
      </c>
      <c r="M494" s="1132" t="str">
        <f t="shared" si="356"/>
        <v>Nicor Gas PY11-PY14 Adjustable Goals Template_2025-03-01, Tab 5.4.5</v>
      </c>
      <c r="N494" s="2245">
        <v>11.317119452100005</v>
      </c>
      <c r="O494" s="1361">
        <v>11.317119452100005</v>
      </c>
      <c r="P494" s="1361">
        <v>11.317119452100005</v>
      </c>
      <c r="Q494" s="1361">
        <v>11.317119452100005</v>
      </c>
      <c r="R494" s="1781">
        <v>1.01</v>
      </c>
      <c r="S494" s="1781">
        <v>1.01</v>
      </c>
      <c r="T494" s="1781">
        <v>1.01</v>
      </c>
      <c r="U494" s="1781">
        <v>1.01</v>
      </c>
      <c r="V494" s="1781">
        <v>1.01</v>
      </c>
      <c r="W494" s="1781">
        <v>1.01</v>
      </c>
      <c r="X494" s="1781">
        <v>1.01</v>
      </c>
      <c r="Y494" s="1781">
        <v>1.01</v>
      </c>
      <c r="Z494" s="1359">
        <v>0</v>
      </c>
      <c r="AA494" s="1781">
        <f t="shared" si="357"/>
        <v>1.01</v>
      </c>
      <c r="AB494" s="1781">
        <f t="shared" si="358"/>
        <v>1.01</v>
      </c>
      <c r="AC494" s="1781">
        <f t="shared" si="359"/>
        <v>1.01</v>
      </c>
      <c r="AD494" s="1781">
        <f t="shared" si="360"/>
        <v>1.01</v>
      </c>
      <c r="AE494" s="1781">
        <f t="shared" si="361"/>
        <v>1.01</v>
      </c>
      <c r="AF494" s="1781">
        <f t="shared" si="362"/>
        <v>1.01</v>
      </c>
      <c r="AG494" s="1781">
        <f t="shared" si="363"/>
        <v>1.01</v>
      </c>
      <c r="AH494" s="1781">
        <f t="shared" si="364"/>
        <v>1.01</v>
      </c>
      <c r="AI494" s="1362">
        <f t="shared" si="395"/>
        <v>18887.10364662909</v>
      </c>
      <c r="AJ494" s="1362">
        <f t="shared" si="396"/>
        <v>18887.10364662909</v>
      </c>
      <c r="AK494" s="1362">
        <f t="shared" si="397"/>
        <v>18887.10364662909</v>
      </c>
      <c r="AL494" s="1362">
        <f t="shared" si="398"/>
        <v>18887.10364662909</v>
      </c>
      <c r="AM494" s="1362">
        <f t="shared" si="399"/>
        <v>75548.414586516359</v>
      </c>
      <c r="AN494" s="1132" t="str">
        <f t="shared" si="365"/>
        <v>RS-HWE-LFSH-V06-190101</v>
      </c>
      <c r="AO494" s="1132" t="str">
        <f t="shared" si="366"/>
        <v>Nicor Gas PY11-PY14 Adjustable Goals Template_2025-03-01, Tab 5.4.5</v>
      </c>
      <c r="AP494" s="2737">
        <f>'5.4.5'!$P$14</f>
        <v>12.229477281000005</v>
      </c>
      <c r="AQ494" s="2568" t="s">
        <v>557</v>
      </c>
      <c r="AR494" s="2505">
        <f t="shared" si="367"/>
        <v>20409.734643870201</v>
      </c>
      <c r="AS494" s="2505">
        <f t="shared" si="368"/>
        <v>1522.6309972411109</v>
      </c>
      <c r="AT494" s="1132" t="str">
        <f t="shared" si="369"/>
        <v>RS-HWE-LFSH-V06-190101</v>
      </c>
      <c r="AU494" s="1132" t="str">
        <f t="shared" si="370"/>
        <v>Nicor Gas PY11-PY14 Adjustable Goals Template_2025-03-01, Tab 5.4.5</v>
      </c>
      <c r="AV494" s="2508">
        <f>'5.4.5'!$P$14</f>
        <v>12.229477281000005</v>
      </c>
      <c r="AW494" s="2568" t="s">
        <v>557</v>
      </c>
      <c r="AX494" s="1362">
        <f t="shared" si="371"/>
        <v>20409.734643870201</v>
      </c>
      <c r="AY494" s="1360">
        <f t="shared" si="372"/>
        <v>1522.6309972411109</v>
      </c>
      <c r="AZ494" s="1132" t="str">
        <f t="shared" si="373"/>
        <v>RS-HWE-LFSH-V06-190101</v>
      </c>
      <c r="BA494" s="1132" t="str">
        <f t="shared" si="374"/>
        <v>Nicor Gas PY11-PY14 Adjustable Goals Template_2025-03-01, Tab 5.4.5</v>
      </c>
      <c r="BB494" s="2508">
        <f>'5.4.5'!$P$14</f>
        <v>12.229477281000005</v>
      </c>
      <c r="BC494" s="2568" t="s">
        <v>557</v>
      </c>
      <c r="BD494" s="1362">
        <f t="shared" si="375"/>
        <v>20409.734643870201</v>
      </c>
      <c r="BE494" s="1360">
        <f t="shared" si="376"/>
        <v>1522.6309972411109</v>
      </c>
      <c r="BF494" s="1132" t="str">
        <f t="shared" si="377"/>
        <v>RS-HWE-LFSH-V06-190101</v>
      </c>
      <c r="BG494" s="1132" t="str">
        <f t="shared" si="378"/>
        <v>Nicor Gas PY11-PY14 Adjustable Goals Template_2025-03-01, Tab 5.4.5</v>
      </c>
      <c r="BH494" s="2508">
        <f>'5.4.5'!$P$14</f>
        <v>12.229477281000005</v>
      </c>
      <c r="BI494" s="2568" t="s">
        <v>557</v>
      </c>
      <c r="BJ494" s="1362">
        <f t="shared" si="400"/>
        <v>20409.734643870201</v>
      </c>
      <c r="BK494" s="1360">
        <f t="shared" si="379"/>
        <v>1522.6309972411109</v>
      </c>
      <c r="BL494" s="1601">
        <f t="shared" si="380"/>
        <v>20409.734643870201</v>
      </c>
      <c r="BM494" s="1601">
        <f t="shared" si="381"/>
        <v>20409.734643870201</v>
      </c>
      <c r="BN494" s="1601">
        <f t="shared" si="382"/>
        <v>20409.734643870201</v>
      </c>
      <c r="BO494" s="1601">
        <f t="shared" si="383"/>
        <v>20409.734643870201</v>
      </c>
      <c r="BP494" s="1602">
        <f t="shared" si="384"/>
        <v>81638.938575480803</v>
      </c>
      <c r="BQ494" s="1629"/>
      <c r="BR494" s="1629" t="s">
        <v>691</v>
      </c>
      <c r="BS494" s="1602">
        <v>0</v>
      </c>
      <c r="BT494" s="1602">
        <v>10</v>
      </c>
      <c r="BU494" s="1602">
        <v>10</v>
      </c>
      <c r="BV494" s="1602">
        <v>10</v>
      </c>
      <c r="BW494" s="1602">
        <v>10</v>
      </c>
      <c r="BX494" s="1362">
        <f t="shared" si="401"/>
        <v>188871.03646629088</v>
      </c>
      <c r="BY494" s="1362">
        <f t="shared" si="402"/>
        <v>188871.03646629088</v>
      </c>
      <c r="BZ494" s="1362">
        <f t="shared" si="403"/>
        <v>188871.03646629088</v>
      </c>
      <c r="CA494" s="1362">
        <f t="shared" si="404"/>
        <v>188871.03646629088</v>
      </c>
      <c r="CB494" s="1362">
        <f t="shared" si="405"/>
        <v>755484.14586516353</v>
      </c>
      <c r="CC494" s="1360">
        <v>10</v>
      </c>
      <c r="CD494" s="1360">
        <v>10</v>
      </c>
      <c r="CE494" s="1360">
        <v>10</v>
      </c>
      <c r="CF494" s="1360">
        <v>10</v>
      </c>
      <c r="CG494" s="1604">
        <f t="shared" si="385"/>
        <v>204097.34643870202</v>
      </c>
      <c r="CH494" s="1604">
        <f t="shared" si="386"/>
        <v>204097.34643870202</v>
      </c>
      <c r="CI494" s="1604">
        <f t="shared" si="387"/>
        <v>204097.34643870202</v>
      </c>
      <c r="CJ494" s="1604">
        <f t="shared" si="388"/>
        <v>204097.34643870202</v>
      </c>
      <c r="CK494" s="1521">
        <f t="shared" si="389"/>
        <v>816389.38575480809</v>
      </c>
      <c r="CL494" s="1132">
        <v>487</v>
      </c>
      <c r="CM494" s="1132" t="s">
        <v>328</v>
      </c>
      <c r="CN494" s="1359">
        <v>1</v>
      </c>
      <c r="CO494" s="1360">
        <v>1200.3138983097172</v>
      </c>
      <c r="CP494" s="1360">
        <v>1200.3138983097172</v>
      </c>
      <c r="CQ494" s="1360">
        <v>1200.3138983097172</v>
      </c>
      <c r="CR494" s="1360">
        <v>1200.3138983097172</v>
      </c>
      <c r="CS494" s="1362">
        <f t="shared" si="390"/>
        <v>13719.936724858757</v>
      </c>
      <c r="CT494" s="1362">
        <f t="shared" si="391"/>
        <v>13719.936724858757</v>
      </c>
      <c r="CU494" s="1362">
        <f t="shared" si="392"/>
        <v>13719.936724858757</v>
      </c>
      <c r="CV494" s="1362">
        <f t="shared" si="393"/>
        <v>13719.936724858757</v>
      </c>
      <c r="CW494" s="1362">
        <f t="shared" si="394"/>
        <v>54879.746899435027</v>
      </c>
      <c r="CY494" s="2887"/>
    </row>
    <row r="495" spans="1:103" s="1143" customFormat="1" ht="46.5" x14ac:dyDescent="0.35">
      <c r="A495" s="1132" t="s">
        <v>114</v>
      </c>
      <c r="B495" s="1132" t="s">
        <v>950</v>
      </c>
      <c r="C495" s="1132" t="s">
        <v>820</v>
      </c>
      <c r="D495" s="1359" t="s">
        <v>821</v>
      </c>
      <c r="E495" s="1359">
        <v>1</v>
      </c>
      <c r="F495" s="2807" t="s">
        <v>691</v>
      </c>
      <c r="G495" s="1132" t="s">
        <v>328</v>
      </c>
      <c r="H495" s="1360">
        <v>9.234</v>
      </c>
      <c r="I495" s="1360">
        <v>9.234</v>
      </c>
      <c r="J495" s="1360">
        <v>9.234</v>
      </c>
      <c r="K495" s="1360">
        <v>9.234</v>
      </c>
      <c r="L495" s="1132" t="s">
        <v>692</v>
      </c>
      <c r="M495" s="1132" t="str">
        <f t="shared" si="356"/>
        <v>Nicor Gas PY11-PY14 Adjustable Goals Template_2025-03-01, Tab 5.4.5</v>
      </c>
      <c r="N495" s="2245">
        <v>11.317119452100005</v>
      </c>
      <c r="O495" s="1361">
        <v>11.317119452100005</v>
      </c>
      <c r="P495" s="1361">
        <v>11.317119452100005</v>
      </c>
      <c r="Q495" s="1361">
        <v>11.317119452100005</v>
      </c>
      <c r="R495" s="1781">
        <v>1.01</v>
      </c>
      <c r="S495" s="1781">
        <v>1.01</v>
      </c>
      <c r="T495" s="1781">
        <v>1.01</v>
      </c>
      <c r="U495" s="1781">
        <v>1.01</v>
      </c>
      <c r="V495" s="1781">
        <v>1.01</v>
      </c>
      <c r="W495" s="1781">
        <v>1.01</v>
      </c>
      <c r="X495" s="1781">
        <v>1.01</v>
      </c>
      <c r="Y495" s="1781">
        <v>1.01</v>
      </c>
      <c r="Z495" s="1359">
        <v>0</v>
      </c>
      <c r="AA495" s="1781">
        <f t="shared" si="357"/>
        <v>1.01</v>
      </c>
      <c r="AB495" s="1781">
        <f t="shared" si="358"/>
        <v>1.01</v>
      </c>
      <c r="AC495" s="1781">
        <f t="shared" si="359"/>
        <v>1.01</v>
      </c>
      <c r="AD495" s="1781">
        <f t="shared" si="360"/>
        <v>1.01</v>
      </c>
      <c r="AE495" s="1781">
        <f t="shared" si="361"/>
        <v>1.01</v>
      </c>
      <c r="AF495" s="1781">
        <f t="shared" si="362"/>
        <v>1.01</v>
      </c>
      <c r="AG495" s="1781">
        <f t="shared" si="363"/>
        <v>1.01</v>
      </c>
      <c r="AH495" s="1781">
        <f t="shared" si="364"/>
        <v>1.01</v>
      </c>
      <c r="AI495" s="1362">
        <f t="shared" si="395"/>
        <v>105.54730383089837</v>
      </c>
      <c r="AJ495" s="1362">
        <f t="shared" si="396"/>
        <v>105.54730383089837</v>
      </c>
      <c r="AK495" s="1362">
        <f t="shared" si="397"/>
        <v>105.54730383089837</v>
      </c>
      <c r="AL495" s="1362">
        <f t="shared" si="398"/>
        <v>105.54730383089837</v>
      </c>
      <c r="AM495" s="1362">
        <f t="shared" si="399"/>
        <v>422.18921532359349</v>
      </c>
      <c r="AN495" s="1132" t="str">
        <f t="shared" si="365"/>
        <v>RS-HWE-LFSH-V06-190101</v>
      </c>
      <c r="AO495" s="1132" t="str">
        <f t="shared" si="366"/>
        <v>Nicor Gas PY11-PY14 Adjustable Goals Template_2025-03-01, Tab 5.4.5</v>
      </c>
      <c r="AP495" s="2737">
        <f>'5.4.5'!$P$16</f>
        <v>12.229477281000005</v>
      </c>
      <c r="AQ495" s="2568" t="s">
        <v>557</v>
      </c>
      <c r="AR495" s="2505">
        <f t="shared" si="367"/>
        <v>114.05626314488158</v>
      </c>
      <c r="AS495" s="2505">
        <f t="shared" si="368"/>
        <v>8.5089593139832118</v>
      </c>
      <c r="AT495" s="1132" t="str">
        <f t="shared" si="369"/>
        <v>RS-HWE-LFSH-V06-190101</v>
      </c>
      <c r="AU495" s="1132" t="str">
        <f t="shared" si="370"/>
        <v>Nicor Gas PY11-PY14 Adjustable Goals Template_2025-03-01, Tab 5.4.5</v>
      </c>
      <c r="AV495" s="2508">
        <f>'5.4.5'!$P$16</f>
        <v>12.229477281000005</v>
      </c>
      <c r="AW495" s="2568" t="s">
        <v>557</v>
      </c>
      <c r="AX495" s="1362">
        <f t="shared" si="371"/>
        <v>114.05626314488158</v>
      </c>
      <c r="AY495" s="1360">
        <f t="shared" si="372"/>
        <v>8.5089593139832118</v>
      </c>
      <c r="AZ495" s="1132" t="str">
        <f t="shared" si="373"/>
        <v>RS-HWE-LFSH-V06-190101</v>
      </c>
      <c r="BA495" s="1132" t="str">
        <f t="shared" si="374"/>
        <v>Nicor Gas PY11-PY14 Adjustable Goals Template_2025-03-01, Tab 5.4.5</v>
      </c>
      <c r="BB495" s="2508">
        <f>'5.4.5'!$P$16</f>
        <v>12.229477281000005</v>
      </c>
      <c r="BC495" s="2568" t="s">
        <v>557</v>
      </c>
      <c r="BD495" s="1362">
        <f t="shared" si="375"/>
        <v>114.05626314488158</v>
      </c>
      <c r="BE495" s="1360">
        <f t="shared" si="376"/>
        <v>8.5089593139832118</v>
      </c>
      <c r="BF495" s="1132" t="str">
        <f t="shared" si="377"/>
        <v>RS-HWE-LFSH-V06-190101</v>
      </c>
      <c r="BG495" s="1132" t="str">
        <f t="shared" si="378"/>
        <v>Nicor Gas PY11-PY14 Adjustable Goals Template_2025-03-01, Tab 5.4.5</v>
      </c>
      <c r="BH495" s="2508">
        <f>'5.4.5'!$P$16</f>
        <v>12.229477281000005</v>
      </c>
      <c r="BI495" s="2568" t="s">
        <v>557</v>
      </c>
      <c r="BJ495" s="1362">
        <f t="shared" si="400"/>
        <v>114.05626314488158</v>
      </c>
      <c r="BK495" s="1360">
        <f t="shared" si="379"/>
        <v>8.5089593139832118</v>
      </c>
      <c r="BL495" s="1601">
        <f t="shared" si="380"/>
        <v>114.05626314488158</v>
      </c>
      <c r="BM495" s="1601">
        <f t="shared" si="381"/>
        <v>114.05626314488158</v>
      </c>
      <c r="BN495" s="1601">
        <f t="shared" si="382"/>
        <v>114.05626314488158</v>
      </c>
      <c r="BO495" s="1601">
        <f t="shared" si="383"/>
        <v>114.05626314488158</v>
      </c>
      <c r="BP495" s="1602">
        <f t="shared" si="384"/>
        <v>456.22505257952633</v>
      </c>
      <c r="BQ495" s="1629"/>
      <c r="BR495" s="1629" t="s">
        <v>691</v>
      </c>
      <c r="BS495" s="1602">
        <v>0</v>
      </c>
      <c r="BT495" s="1602">
        <v>10</v>
      </c>
      <c r="BU495" s="1602">
        <v>10</v>
      </c>
      <c r="BV495" s="1602">
        <v>10</v>
      </c>
      <c r="BW495" s="1602">
        <v>10</v>
      </c>
      <c r="BX495" s="1362">
        <f t="shared" si="401"/>
        <v>1055.4730383089836</v>
      </c>
      <c r="BY495" s="1362">
        <f t="shared" si="402"/>
        <v>1055.4730383089836</v>
      </c>
      <c r="BZ495" s="1362">
        <f t="shared" si="403"/>
        <v>1055.4730383089836</v>
      </c>
      <c r="CA495" s="1362">
        <f t="shared" si="404"/>
        <v>1055.4730383089836</v>
      </c>
      <c r="CB495" s="1362">
        <f t="shared" si="405"/>
        <v>4221.8921532359345</v>
      </c>
      <c r="CC495" s="1360">
        <v>10</v>
      </c>
      <c r="CD495" s="1360">
        <v>10</v>
      </c>
      <c r="CE495" s="1360">
        <v>10</v>
      </c>
      <c r="CF495" s="1360">
        <v>10</v>
      </c>
      <c r="CG495" s="1604">
        <f t="shared" si="385"/>
        <v>1140.5626314488159</v>
      </c>
      <c r="CH495" s="1604">
        <f t="shared" si="386"/>
        <v>1140.5626314488159</v>
      </c>
      <c r="CI495" s="1604">
        <f t="shared" si="387"/>
        <v>1140.5626314488159</v>
      </c>
      <c r="CJ495" s="1604">
        <f t="shared" si="388"/>
        <v>1140.5626314488159</v>
      </c>
      <c r="CK495" s="1521">
        <f t="shared" si="389"/>
        <v>4562.2505257952635</v>
      </c>
      <c r="CL495" s="1132">
        <v>488</v>
      </c>
      <c r="CM495" s="1132" t="s">
        <v>328</v>
      </c>
      <c r="CN495" s="1359">
        <v>1</v>
      </c>
      <c r="CO495" s="1360">
        <v>6.7077460942486535</v>
      </c>
      <c r="CP495" s="1360">
        <v>6.7077460942486535</v>
      </c>
      <c r="CQ495" s="1360">
        <v>6.7077460942486535</v>
      </c>
      <c r="CR495" s="1360">
        <v>6.7077460942486535</v>
      </c>
      <c r="CS495" s="1362">
        <f t="shared" si="390"/>
        <v>76.671487440998959</v>
      </c>
      <c r="CT495" s="1362">
        <f t="shared" si="391"/>
        <v>76.671487440998959</v>
      </c>
      <c r="CU495" s="1362">
        <f t="shared" si="392"/>
        <v>76.671487440998959</v>
      </c>
      <c r="CV495" s="1362">
        <f t="shared" si="393"/>
        <v>76.671487440998959</v>
      </c>
      <c r="CW495" s="1362">
        <f t="shared" si="394"/>
        <v>306.68594976399584</v>
      </c>
      <c r="CY495" s="2887"/>
    </row>
    <row r="496" spans="1:103" s="1143" customFormat="1" ht="46.5" x14ac:dyDescent="0.35">
      <c r="A496" s="1132" t="s">
        <v>114</v>
      </c>
      <c r="B496" s="1132" t="s">
        <v>950</v>
      </c>
      <c r="C496" s="1132" t="s">
        <v>726</v>
      </c>
      <c r="D496" s="1359" t="s">
        <v>727</v>
      </c>
      <c r="E496" s="1359">
        <v>1</v>
      </c>
      <c r="F496" s="2807" t="s">
        <v>697</v>
      </c>
      <c r="G496" s="1132" t="s">
        <v>328</v>
      </c>
      <c r="H496" s="1360">
        <v>1076.2740000000001</v>
      </c>
      <c r="I496" s="1360">
        <v>1076.2740000000001</v>
      </c>
      <c r="J496" s="1360">
        <v>1076.2740000000001</v>
      </c>
      <c r="K496" s="1360">
        <v>1076.2740000000001</v>
      </c>
      <c r="L496" s="1132" t="s">
        <v>698</v>
      </c>
      <c r="M496" s="1132" t="str">
        <f t="shared" si="356"/>
        <v>Nicor Gas PY11-PY14 Adjustable Goals Template_2025-03-01, Tab 5.4.4</v>
      </c>
      <c r="N496" s="1361">
        <v>1.5579651031560005</v>
      </c>
      <c r="O496" s="1361">
        <v>1.5579651031560005</v>
      </c>
      <c r="P496" s="1361">
        <v>1.5579651031560005</v>
      </c>
      <c r="Q496" s="1361">
        <v>1.5579651031560005</v>
      </c>
      <c r="R496" s="1781">
        <v>1.01</v>
      </c>
      <c r="S496" s="1781">
        <v>1.01</v>
      </c>
      <c r="T496" s="1781">
        <v>1.01</v>
      </c>
      <c r="U496" s="1781">
        <v>1.01</v>
      </c>
      <c r="V496" s="1781">
        <v>1.01</v>
      </c>
      <c r="W496" s="1781">
        <v>1.01</v>
      </c>
      <c r="X496" s="1781">
        <v>1.01</v>
      </c>
      <c r="Y496" s="1781">
        <v>1.01</v>
      </c>
      <c r="Z496" s="1359">
        <v>0</v>
      </c>
      <c r="AA496" s="1781">
        <f t="shared" si="357"/>
        <v>1.01</v>
      </c>
      <c r="AB496" s="1781">
        <f t="shared" si="358"/>
        <v>1.01</v>
      </c>
      <c r="AC496" s="1781">
        <f t="shared" si="359"/>
        <v>1.01</v>
      </c>
      <c r="AD496" s="1781">
        <f t="shared" si="360"/>
        <v>1.01</v>
      </c>
      <c r="AE496" s="1781">
        <f t="shared" si="361"/>
        <v>1.01</v>
      </c>
      <c r="AF496" s="1781">
        <f t="shared" si="362"/>
        <v>1.01</v>
      </c>
      <c r="AG496" s="1781">
        <f t="shared" si="363"/>
        <v>1.01</v>
      </c>
      <c r="AH496" s="1781">
        <f t="shared" si="364"/>
        <v>1.01</v>
      </c>
      <c r="AI496" s="1362">
        <f t="shared" si="395"/>
        <v>1693.5653067684625</v>
      </c>
      <c r="AJ496" s="1362">
        <f t="shared" si="396"/>
        <v>1693.5653067684625</v>
      </c>
      <c r="AK496" s="1362">
        <f t="shared" si="397"/>
        <v>1693.5653067684625</v>
      </c>
      <c r="AL496" s="1362">
        <f t="shared" si="398"/>
        <v>1693.5653067684625</v>
      </c>
      <c r="AM496" s="1362">
        <f t="shared" si="399"/>
        <v>6774.26122707385</v>
      </c>
      <c r="AN496" s="1132" t="str">
        <f t="shared" si="365"/>
        <v>RS-HWE-LFFA-V07-190101</v>
      </c>
      <c r="AO496" s="1132" t="str">
        <f t="shared" si="366"/>
        <v>Nicor Gas PY11-PY14 Adjustable Goals Template_2025-03-01, Tab 5.4.4</v>
      </c>
      <c r="AP496" s="2738">
        <f>'5.4.4'!$O$14</f>
        <v>1.7267119531200008</v>
      </c>
      <c r="AQ496" s="2568" t="s">
        <v>557</v>
      </c>
      <c r="AR496" s="2505">
        <f t="shared" si="367"/>
        <v>1876.9993324385987</v>
      </c>
      <c r="AS496" s="2505">
        <f t="shared" si="368"/>
        <v>183.43402567013618</v>
      </c>
      <c r="AT496" s="1132" t="str">
        <f t="shared" si="369"/>
        <v>RS-HWE-LFFA-V07-190101</v>
      </c>
      <c r="AU496" s="1132" t="str">
        <f t="shared" si="370"/>
        <v>Nicor Gas PY11-PY14 Adjustable Goals Template_2025-03-01, Tab 5.4.4</v>
      </c>
      <c r="AV496" s="2247">
        <f>'5.4.4'!$O$14</f>
        <v>1.7267119531200008</v>
      </c>
      <c r="AW496" s="2568" t="s">
        <v>557</v>
      </c>
      <c r="AX496" s="1362">
        <f t="shared" si="371"/>
        <v>1876.9993324385987</v>
      </c>
      <c r="AY496" s="1360">
        <f t="shared" si="372"/>
        <v>183.43402567013618</v>
      </c>
      <c r="AZ496" s="1132" t="str">
        <f t="shared" si="373"/>
        <v>RS-HWE-LFFA-V07-190101</v>
      </c>
      <c r="BA496" s="1132" t="str">
        <f t="shared" si="374"/>
        <v>Nicor Gas PY11-PY14 Adjustable Goals Template_2025-03-01, Tab 5.4.4</v>
      </c>
      <c r="BB496" s="2247">
        <f>'5.4.4'!$O$14</f>
        <v>1.7267119531200008</v>
      </c>
      <c r="BC496" s="2568" t="s">
        <v>557</v>
      </c>
      <c r="BD496" s="1362">
        <f t="shared" si="375"/>
        <v>1876.9993324385987</v>
      </c>
      <c r="BE496" s="1360">
        <f t="shared" si="376"/>
        <v>183.43402567013618</v>
      </c>
      <c r="BF496" s="1132" t="str">
        <f t="shared" si="377"/>
        <v>RS-HWE-LFFA-V07-190101</v>
      </c>
      <c r="BG496" s="1132" t="str">
        <f t="shared" si="378"/>
        <v>Nicor Gas PY11-PY14 Adjustable Goals Template_2025-03-01, Tab 5.4.4</v>
      </c>
      <c r="BH496" s="2247">
        <f>'5.4.4'!$O$14</f>
        <v>1.7267119531200008</v>
      </c>
      <c r="BI496" s="2568" t="s">
        <v>557</v>
      </c>
      <c r="BJ496" s="1362">
        <f t="shared" si="400"/>
        <v>1876.9993324385987</v>
      </c>
      <c r="BK496" s="1360">
        <f t="shared" si="379"/>
        <v>183.43402567013618</v>
      </c>
      <c r="BL496" s="1601">
        <f t="shared" si="380"/>
        <v>1876.9993324385987</v>
      </c>
      <c r="BM496" s="1601">
        <f t="shared" si="381"/>
        <v>1876.9993324385987</v>
      </c>
      <c r="BN496" s="1601">
        <f t="shared" si="382"/>
        <v>1876.9993324385987</v>
      </c>
      <c r="BO496" s="1601">
        <f t="shared" si="383"/>
        <v>1876.9993324385987</v>
      </c>
      <c r="BP496" s="1602">
        <f t="shared" si="384"/>
        <v>7507.9973297543947</v>
      </c>
      <c r="BQ496" s="1629"/>
      <c r="BR496" s="1629" t="s">
        <v>697</v>
      </c>
      <c r="BS496" s="1602">
        <v>0</v>
      </c>
      <c r="BT496" s="1602">
        <v>10</v>
      </c>
      <c r="BU496" s="1602">
        <v>10</v>
      </c>
      <c r="BV496" s="1602">
        <v>10</v>
      </c>
      <c r="BW496" s="1602">
        <v>10</v>
      </c>
      <c r="BX496" s="1362">
        <f t="shared" si="401"/>
        <v>16935.653067684623</v>
      </c>
      <c r="BY496" s="1362">
        <f t="shared" si="402"/>
        <v>16935.653067684623</v>
      </c>
      <c r="BZ496" s="1362">
        <f t="shared" si="403"/>
        <v>16935.653067684623</v>
      </c>
      <c r="CA496" s="1362">
        <f t="shared" si="404"/>
        <v>16935.653067684623</v>
      </c>
      <c r="CB496" s="1362">
        <f t="shared" si="405"/>
        <v>67742.612270738493</v>
      </c>
      <c r="CC496" s="1360">
        <v>10</v>
      </c>
      <c r="CD496" s="1360">
        <v>10</v>
      </c>
      <c r="CE496" s="1360">
        <v>10</v>
      </c>
      <c r="CF496" s="1360">
        <v>10</v>
      </c>
      <c r="CG496" s="1604">
        <f t="shared" si="385"/>
        <v>18769.993324385989</v>
      </c>
      <c r="CH496" s="1604">
        <f t="shared" si="386"/>
        <v>18769.993324385989</v>
      </c>
      <c r="CI496" s="1604">
        <f t="shared" si="387"/>
        <v>18769.993324385989</v>
      </c>
      <c r="CJ496" s="1604">
        <f t="shared" si="388"/>
        <v>18769.993324385989</v>
      </c>
      <c r="CK496" s="1521">
        <f t="shared" si="389"/>
        <v>75079.973297543955</v>
      </c>
      <c r="CL496" s="1132">
        <v>489</v>
      </c>
      <c r="CM496" s="1132" t="s">
        <v>328</v>
      </c>
      <c r="CN496" s="1359">
        <v>1</v>
      </c>
      <c r="CO496" s="1360">
        <v>781.82507254075972</v>
      </c>
      <c r="CP496" s="1360">
        <v>781.82507254075972</v>
      </c>
      <c r="CQ496" s="1360">
        <v>781.82507254075972</v>
      </c>
      <c r="CR496" s="1360">
        <v>781.82507254075972</v>
      </c>
      <c r="CS496" s="1362">
        <f t="shared" si="390"/>
        <v>1230.2367415888214</v>
      </c>
      <c r="CT496" s="1362">
        <f t="shared" si="391"/>
        <v>1230.2367415888214</v>
      </c>
      <c r="CU496" s="1362">
        <f t="shared" si="392"/>
        <v>1230.2367415888214</v>
      </c>
      <c r="CV496" s="1362">
        <f t="shared" si="393"/>
        <v>1230.2367415888214</v>
      </c>
      <c r="CW496" s="1362">
        <f t="shared" si="394"/>
        <v>4920.9469663552854</v>
      </c>
      <c r="CY496" s="2887"/>
    </row>
    <row r="497" spans="1:103" s="1143" customFormat="1" ht="46.5" x14ac:dyDescent="0.35">
      <c r="A497" s="1132" t="s">
        <v>114</v>
      </c>
      <c r="B497" s="1132" t="s">
        <v>950</v>
      </c>
      <c r="C497" s="1132" t="s">
        <v>728</v>
      </c>
      <c r="D497" s="1359" t="s">
        <v>729</v>
      </c>
      <c r="E497" s="1359">
        <v>1</v>
      </c>
      <c r="F497" s="2807" t="s">
        <v>697</v>
      </c>
      <c r="G497" s="1132" t="s">
        <v>328</v>
      </c>
      <c r="H497" s="1360">
        <v>661.77</v>
      </c>
      <c r="I497" s="1360">
        <v>661.77</v>
      </c>
      <c r="J497" s="1360">
        <v>661.77</v>
      </c>
      <c r="K497" s="1360">
        <v>661.77</v>
      </c>
      <c r="L497" s="1132" t="s">
        <v>698</v>
      </c>
      <c r="M497" s="1132" t="str">
        <f t="shared" si="356"/>
        <v>Nicor Gas PY11-PY14 Adjustable Goals Template_2025-03-01, Tab 5.4.4</v>
      </c>
      <c r="N497" s="1361">
        <v>2.5539833919599975</v>
      </c>
      <c r="O497" s="1361">
        <v>2.5539833919599975</v>
      </c>
      <c r="P497" s="1361">
        <v>2.5539833919599975</v>
      </c>
      <c r="Q497" s="1361">
        <v>2.5539833919599975</v>
      </c>
      <c r="R497" s="1781">
        <v>1.01</v>
      </c>
      <c r="S497" s="1781">
        <v>1.01</v>
      </c>
      <c r="T497" s="1781">
        <v>1.01</v>
      </c>
      <c r="U497" s="1781">
        <v>1.01</v>
      </c>
      <c r="V497" s="1781">
        <v>1.01</v>
      </c>
      <c r="W497" s="1781">
        <v>1.01</v>
      </c>
      <c r="X497" s="1781">
        <v>1.01</v>
      </c>
      <c r="Y497" s="1781">
        <v>1.01</v>
      </c>
      <c r="Z497" s="1359">
        <v>0</v>
      </c>
      <c r="AA497" s="1781">
        <f t="shared" si="357"/>
        <v>1.01</v>
      </c>
      <c r="AB497" s="1781">
        <f t="shared" si="358"/>
        <v>1.01</v>
      </c>
      <c r="AC497" s="1781">
        <f t="shared" si="359"/>
        <v>1.01</v>
      </c>
      <c r="AD497" s="1781">
        <f t="shared" si="360"/>
        <v>1.01</v>
      </c>
      <c r="AE497" s="1781">
        <f t="shared" si="361"/>
        <v>1.01</v>
      </c>
      <c r="AF497" s="1781">
        <f t="shared" si="362"/>
        <v>1.01</v>
      </c>
      <c r="AG497" s="1781">
        <f t="shared" si="363"/>
        <v>1.01</v>
      </c>
      <c r="AH497" s="1781">
        <f t="shared" si="364"/>
        <v>1.01</v>
      </c>
      <c r="AI497" s="1362">
        <f t="shared" si="395"/>
        <v>1707.0510851903414</v>
      </c>
      <c r="AJ497" s="1362">
        <f t="shared" si="396"/>
        <v>1707.0510851903414</v>
      </c>
      <c r="AK497" s="1362">
        <f t="shared" si="397"/>
        <v>1707.0510851903414</v>
      </c>
      <c r="AL497" s="1362">
        <f t="shared" si="398"/>
        <v>1707.0510851903414</v>
      </c>
      <c r="AM497" s="1362">
        <f t="shared" si="399"/>
        <v>6828.2043407613655</v>
      </c>
      <c r="AN497" s="1132" t="str">
        <f t="shared" si="365"/>
        <v>RS-HWE-LFFA-V07-190101</v>
      </c>
      <c r="AO497" s="1132" t="str">
        <f t="shared" si="366"/>
        <v>Nicor Gas PY11-PY14 Adjustable Goals Template_2025-03-01, Tab 5.4.4</v>
      </c>
      <c r="AP497" s="2738">
        <f>'5.4.4'!$O$15</f>
        <v>2.7967173506999976</v>
      </c>
      <c r="AQ497" s="2568" t="s">
        <v>557</v>
      </c>
      <c r="AR497" s="2505">
        <f t="shared" si="367"/>
        <v>1869.2914775844647</v>
      </c>
      <c r="AS497" s="2505">
        <f t="shared" si="368"/>
        <v>162.24039239412332</v>
      </c>
      <c r="AT497" s="1132" t="str">
        <f t="shared" si="369"/>
        <v>RS-HWE-LFFA-V07-190101</v>
      </c>
      <c r="AU497" s="1132" t="str">
        <f t="shared" si="370"/>
        <v>Nicor Gas PY11-PY14 Adjustable Goals Template_2025-03-01, Tab 5.4.4</v>
      </c>
      <c r="AV497" s="2247">
        <f>'5.4.4'!$O$15</f>
        <v>2.7967173506999976</v>
      </c>
      <c r="AW497" s="2568" t="s">
        <v>557</v>
      </c>
      <c r="AX497" s="1362">
        <f t="shared" si="371"/>
        <v>1869.2914775844647</v>
      </c>
      <c r="AY497" s="1360">
        <f t="shared" si="372"/>
        <v>162.24039239412332</v>
      </c>
      <c r="AZ497" s="1132" t="str">
        <f t="shared" si="373"/>
        <v>RS-HWE-LFFA-V07-190101</v>
      </c>
      <c r="BA497" s="1132" t="str">
        <f t="shared" si="374"/>
        <v>Nicor Gas PY11-PY14 Adjustable Goals Template_2025-03-01, Tab 5.4.4</v>
      </c>
      <c r="BB497" s="2247">
        <f>'5.4.4'!$O$15</f>
        <v>2.7967173506999976</v>
      </c>
      <c r="BC497" s="2568" t="s">
        <v>557</v>
      </c>
      <c r="BD497" s="1362">
        <f t="shared" si="375"/>
        <v>1869.2914775844647</v>
      </c>
      <c r="BE497" s="1360">
        <f t="shared" si="376"/>
        <v>162.24039239412332</v>
      </c>
      <c r="BF497" s="1132" t="str">
        <f t="shared" si="377"/>
        <v>RS-HWE-LFFA-V07-190101</v>
      </c>
      <c r="BG497" s="1132" t="str">
        <f t="shared" si="378"/>
        <v>Nicor Gas PY11-PY14 Adjustable Goals Template_2025-03-01, Tab 5.4.4</v>
      </c>
      <c r="BH497" s="2247">
        <f>'5.4.4'!$O$15</f>
        <v>2.7967173506999976</v>
      </c>
      <c r="BI497" s="2568" t="s">
        <v>557</v>
      </c>
      <c r="BJ497" s="1362">
        <f t="shared" si="400"/>
        <v>1869.2914775844647</v>
      </c>
      <c r="BK497" s="1360">
        <f t="shared" si="379"/>
        <v>162.24039239412332</v>
      </c>
      <c r="BL497" s="1601">
        <f t="shared" si="380"/>
        <v>1869.2914775844647</v>
      </c>
      <c r="BM497" s="1601">
        <f t="shared" si="381"/>
        <v>1869.2914775844647</v>
      </c>
      <c r="BN497" s="1601">
        <f t="shared" si="382"/>
        <v>1869.2914775844647</v>
      </c>
      <c r="BO497" s="1601">
        <f t="shared" si="383"/>
        <v>1869.2914775844647</v>
      </c>
      <c r="BP497" s="1602">
        <f t="shared" si="384"/>
        <v>7477.1659103378588</v>
      </c>
      <c r="BQ497" s="1629"/>
      <c r="BR497" s="1629" t="s">
        <v>697</v>
      </c>
      <c r="BS497" s="1602">
        <v>0</v>
      </c>
      <c r="BT497" s="1602">
        <v>10</v>
      </c>
      <c r="BU497" s="1602">
        <v>10</v>
      </c>
      <c r="BV497" s="1602">
        <v>10</v>
      </c>
      <c r="BW497" s="1602">
        <v>10</v>
      </c>
      <c r="BX497" s="1362">
        <f t="shared" si="401"/>
        <v>17070.510851903415</v>
      </c>
      <c r="BY497" s="1362">
        <f t="shared" si="402"/>
        <v>17070.510851903415</v>
      </c>
      <c r="BZ497" s="1362">
        <f t="shared" si="403"/>
        <v>17070.510851903415</v>
      </c>
      <c r="CA497" s="1362">
        <f t="shared" si="404"/>
        <v>17070.510851903415</v>
      </c>
      <c r="CB497" s="1362">
        <f t="shared" si="405"/>
        <v>68282.043407613659</v>
      </c>
      <c r="CC497" s="1360">
        <v>10</v>
      </c>
      <c r="CD497" s="1360">
        <v>10</v>
      </c>
      <c r="CE497" s="1360">
        <v>10</v>
      </c>
      <c r="CF497" s="1360">
        <v>10</v>
      </c>
      <c r="CG497" s="1604">
        <f t="shared" si="385"/>
        <v>18692.914775844649</v>
      </c>
      <c r="CH497" s="1604">
        <f t="shared" si="386"/>
        <v>18692.914775844649</v>
      </c>
      <c r="CI497" s="1604">
        <f t="shared" si="387"/>
        <v>18692.914775844649</v>
      </c>
      <c r="CJ497" s="1604">
        <f t="shared" si="388"/>
        <v>18692.914775844649</v>
      </c>
      <c r="CK497" s="1521">
        <f t="shared" si="389"/>
        <v>74771.659103378595</v>
      </c>
      <c r="CL497" s="1132">
        <v>490</v>
      </c>
      <c r="CM497" s="1132" t="s">
        <v>328</v>
      </c>
      <c r="CN497" s="1359">
        <v>1</v>
      </c>
      <c r="CO497" s="1360">
        <v>480.72180342115348</v>
      </c>
      <c r="CP497" s="1360">
        <v>480.72180342115348</v>
      </c>
      <c r="CQ497" s="1360">
        <v>480.72180342115348</v>
      </c>
      <c r="CR497" s="1360">
        <v>480.72180342115348</v>
      </c>
      <c r="CS497" s="1362">
        <f t="shared" si="390"/>
        <v>1240.0330571115917</v>
      </c>
      <c r="CT497" s="1362">
        <f t="shared" si="391"/>
        <v>1240.0330571115917</v>
      </c>
      <c r="CU497" s="1362">
        <f t="shared" si="392"/>
        <v>1240.0330571115917</v>
      </c>
      <c r="CV497" s="1362">
        <f t="shared" si="393"/>
        <v>1240.0330571115917</v>
      </c>
      <c r="CW497" s="1362">
        <f t="shared" si="394"/>
        <v>4960.1322284463668</v>
      </c>
      <c r="CY497" s="2887"/>
    </row>
    <row r="498" spans="1:103" s="1143" customFormat="1" ht="46.5" x14ac:dyDescent="0.35">
      <c r="A498" s="1132" t="s">
        <v>114</v>
      </c>
      <c r="B498" s="1132" t="s">
        <v>950</v>
      </c>
      <c r="C498" s="1132" t="s">
        <v>345</v>
      </c>
      <c r="D498" s="1359" t="s">
        <v>346</v>
      </c>
      <c r="E498" s="1359">
        <v>1</v>
      </c>
      <c r="F498" s="2564" t="s">
        <v>336</v>
      </c>
      <c r="G498" s="1132" t="s">
        <v>337</v>
      </c>
      <c r="H498" s="1360">
        <v>11.799000000000001</v>
      </c>
      <c r="I498" s="1360">
        <v>11.799000000000001</v>
      </c>
      <c r="J498" s="1360">
        <v>11.799000000000001</v>
      </c>
      <c r="K498" s="1360">
        <v>11.799000000000001</v>
      </c>
      <c r="L498" s="1132" t="s">
        <v>338</v>
      </c>
      <c r="M498" s="1132" t="str">
        <f t="shared" si="356"/>
        <v>Nicor Gas PY11-PY14 Adjustable Goals Template_2025-03-01, Tab 4.4.14</v>
      </c>
      <c r="N498" s="1361">
        <v>2.0533046641791044</v>
      </c>
      <c r="O498" s="1361">
        <v>2.0533046641791044</v>
      </c>
      <c r="P498" s="1361">
        <v>2.0533046641791044</v>
      </c>
      <c r="Q498" s="1361">
        <v>2.0533046641791044</v>
      </c>
      <c r="R498" s="1781">
        <v>0.96</v>
      </c>
      <c r="S498" s="1781">
        <v>0.96</v>
      </c>
      <c r="T498" s="1781">
        <v>0.96</v>
      </c>
      <c r="U498" s="1781">
        <v>0.96</v>
      </c>
      <c r="V498" s="1781">
        <v>0.96</v>
      </c>
      <c r="W498" s="1781">
        <v>0.96</v>
      </c>
      <c r="X498" s="1781">
        <v>0.96</v>
      </c>
      <c r="Y498" s="1781">
        <v>0.96</v>
      </c>
      <c r="Z498" s="1359">
        <v>0</v>
      </c>
      <c r="AA498" s="1781">
        <f t="shared" si="357"/>
        <v>0.96</v>
      </c>
      <c r="AB498" s="1781">
        <f t="shared" si="358"/>
        <v>0.96</v>
      </c>
      <c r="AC498" s="1781">
        <f t="shared" si="359"/>
        <v>0.96</v>
      </c>
      <c r="AD498" s="1781">
        <f t="shared" si="360"/>
        <v>0.96</v>
      </c>
      <c r="AE498" s="1781">
        <f t="shared" si="361"/>
        <v>0.96</v>
      </c>
      <c r="AF498" s="1781">
        <f t="shared" si="362"/>
        <v>0.96</v>
      </c>
      <c r="AG498" s="1781">
        <f t="shared" si="363"/>
        <v>0.96</v>
      </c>
      <c r="AH498" s="1781">
        <f t="shared" si="364"/>
        <v>0.96</v>
      </c>
      <c r="AI498" s="1362">
        <f t="shared" si="395"/>
        <v>23.257864063343284</v>
      </c>
      <c r="AJ498" s="1362">
        <f t="shared" si="396"/>
        <v>23.257864063343284</v>
      </c>
      <c r="AK498" s="1362">
        <f t="shared" si="397"/>
        <v>23.257864063343284</v>
      </c>
      <c r="AL498" s="1362">
        <f t="shared" si="398"/>
        <v>23.257864063343284</v>
      </c>
      <c r="AM498" s="1362">
        <f t="shared" si="399"/>
        <v>93.031456253373136</v>
      </c>
      <c r="AN498" s="1132" t="str">
        <f t="shared" si="365"/>
        <v>CI-HVC-PINS-V05-190101</v>
      </c>
      <c r="AO498" s="1132" t="str">
        <f t="shared" si="366"/>
        <v>Nicor Gas PY11-PY14 Adjustable Goals Template_2025-03-01, Tab 4.4.14</v>
      </c>
      <c r="AP498" s="2505">
        <f>'4.4.14'!$T$9</f>
        <v>2.0533046641791044</v>
      </c>
      <c r="AQ498" s="2505"/>
      <c r="AR498" s="2505">
        <f t="shared" si="367"/>
        <v>23.257864063343284</v>
      </c>
      <c r="AS498" s="2505">
        <f t="shared" si="368"/>
        <v>0</v>
      </c>
      <c r="AT498" s="1132" t="str">
        <f t="shared" si="369"/>
        <v>CI-HVC-PINS-V05-190101</v>
      </c>
      <c r="AU498" s="1132" t="str">
        <f t="shared" si="370"/>
        <v>Nicor Gas PY11-PY14 Adjustable Goals Template_2025-03-01, Tab 4.4.14</v>
      </c>
      <c r="AV498" s="2505">
        <f>'4.4.14'!$T$9</f>
        <v>2.0533046641791044</v>
      </c>
      <c r="AW498" s="2505"/>
      <c r="AX498" s="1362">
        <f t="shared" si="371"/>
        <v>23.257864063343284</v>
      </c>
      <c r="AY498" s="1360">
        <f t="shared" si="372"/>
        <v>0</v>
      </c>
      <c r="AZ498" s="1132" t="str">
        <f t="shared" si="373"/>
        <v>CI-HVC-PINS-V05-190101</v>
      </c>
      <c r="BA498" s="1132" t="str">
        <f t="shared" si="374"/>
        <v>Nicor Gas PY11-PY14 Adjustable Goals Template_2025-03-01, Tab 4.4.14</v>
      </c>
      <c r="BB498" s="2505">
        <f>'4.4.14'!$T$9</f>
        <v>2.0533046641791044</v>
      </c>
      <c r="BC498" s="2505"/>
      <c r="BD498" s="1362">
        <f t="shared" si="375"/>
        <v>23.257864063343284</v>
      </c>
      <c r="BE498" s="1360">
        <f t="shared" si="376"/>
        <v>0</v>
      </c>
      <c r="BF498" s="1132" t="str">
        <f t="shared" si="377"/>
        <v>CI-HVC-PINS-V05-190101</v>
      </c>
      <c r="BG498" s="1132" t="str">
        <f t="shared" si="378"/>
        <v>Nicor Gas PY11-PY14 Adjustable Goals Template_2025-03-01, Tab 4.4.14</v>
      </c>
      <c r="BH498" s="2505">
        <f>'4.4.14'!$T$9</f>
        <v>2.0533046641791044</v>
      </c>
      <c r="BI498" s="2505"/>
      <c r="BJ498" s="1362">
        <f t="shared" si="400"/>
        <v>23.257864063343284</v>
      </c>
      <c r="BK498" s="1360">
        <f t="shared" si="379"/>
        <v>0</v>
      </c>
      <c r="BL498" s="1601">
        <f t="shared" si="380"/>
        <v>23.257864063343284</v>
      </c>
      <c r="BM498" s="1601">
        <f t="shared" si="381"/>
        <v>23.257864063343284</v>
      </c>
      <c r="BN498" s="1601">
        <f t="shared" si="382"/>
        <v>23.257864063343284</v>
      </c>
      <c r="BO498" s="1601">
        <f t="shared" si="383"/>
        <v>23.257864063343284</v>
      </c>
      <c r="BP498" s="1602">
        <f t="shared" si="384"/>
        <v>93.031456253373136</v>
      </c>
      <c r="BQ498" s="1629"/>
      <c r="BR498" s="1629" t="s">
        <v>336</v>
      </c>
      <c r="BS498" s="1602">
        <v>0</v>
      </c>
      <c r="BT498" s="1602">
        <v>15</v>
      </c>
      <c r="BU498" s="1602">
        <v>15</v>
      </c>
      <c r="BV498" s="1602">
        <v>15</v>
      </c>
      <c r="BW498" s="1602">
        <v>15</v>
      </c>
      <c r="BX498" s="1362">
        <f t="shared" si="401"/>
        <v>348.86796095014927</v>
      </c>
      <c r="BY498" s="1362">
        <f t="shared" si="402"/>
        <v>348.86796095014927</v>
      </c>
      <c r="BZ498" s="1362">
        <f t="shared" si="403"/>
        <v>348.86796095014927</v>
      </c>
      <c r="CA498" s="1362">
        <f t="shared" si="404"/>
        <v>348.86796095014927</v>
      </c>
      <c r="CB498" s="1362">
        <f t="shared" si="405"/>
        <v>1395.4718438005971</v>
      </c>
      <c r="CC498" s="1360">
        <v>15</v>
      </c>
      <c r="CD498" s="1360">
        <v>15</v>
      </c>
      <c r="CE498" s="1360">
        <v>15</v>
      </c>
      <c r="CF498" s="1360">
        <v>15</v>
      </c>
      <c r="CG498" s="1604">
        <f t="shared" si="385"/>
        <v>348.86796095014927</v>
      </c>
      <c r="CH498" s="1604">
        <f t="shared" si="386"/>
        <v>348.86796095014927</v>
      </c>
      <c r="CI498" s="1604">
        <f t="shared" si="387"/>
        <v>348.86796095014927</v>
      </c>
      <c r="CJ498" s="1604">
        <f t="shared" si="388"/>
        <v>348.86796095014927</v>
      </c>
      <c r="CK498" s="1521">
        <f t="shared" si="389"/>
        <v>1395.4718438005971</v>
      </c>
      <c r="CL498" s="1132">
        <v>491</v>
      </c>
      <c r="CM498" s="1132" t="s">
        <v>337</v>
      </c>
      <c r="CN498" s="1359">
        <v>1</v>
      </c>
      <c r="CO498" s="1360">
        <v>8.5710088982066139</v>
      </c>
      <c r="CP498" s="1360">
        <v>8.5710088982066139</v>
      </c>
      <c r="CQ498" s="1360">
        <v>8.5710088982066139</v>
      </c>
      <c r="CR498" s="1360">
        <v>8.5710088982066139</v>
      </c>
      <c r="CS498" s="1362">
        <f t="shared" si="390"/>
        <v>16.894936845511918</v>
      </c>
      <c r="CT498" s="1362">
        <f t="shared" si="391"/>
        <v>16.894936845511918</v>
      </c>
      <c r="CU498" s="1362">
        <f t="shared" si="392"/>
        <v>16.894936845511918</v>
      </c>
      <c r="CV498" s="1362">
        <f t="shared" si="393"/>
        <v>16.894936845511918</v>
      </c>
      <c r="CW498" s="1362">
        <f t="shared" si="394"/>
        <v>67.579747382047671</v>
      </c>
      <c r="CY498" s="2887"/>
    </row>
    <row r="499" spans="1:103" s="1143" customFormat="1" ht="62" x14ac:dyDescent="0.35">
      <c r="A499" s="1132" t="s">
        <v>114</v>
      </c>
      <c r="B499" s="1132" t="s">
        <v>950</v>
      </c>
      <c r="C499" s="1132" t="s">
        <v>860</v>
      </c>
      <c r="D499" s="1359" t="s">
        <v>861</v>
      </c>
      <c r="E499" s="1359">
        <v>1</v>
      </c>
      <c r="F499" s="2807" t="s">
        <v>703</v>
      </c>
      <c r="G499" s="1132" t="s">
        <v>356</v>
      </c>
      <c r="H499" s="1360">
        <v>3392.4690000000001</v>
      </c>
      <c r="I499" s="1360">
        <v>3392.4690000000001</v>
      </c>
      <c r="J499" s="1360">
        <v>3392.4690000000001</v>
      </c>
      <c r="K499" s="1360">
        <v>3392.4690000000001</v>
      </c>
      <c r="L499" s="1132" t="s">
        <v>704</v>
      </c>
      <c r="M499" s="1132" t="str">
        <f t="shared" si="356"/>
        <v>Nicor Gas PY11-PY14 Adjustable Goals Template_2025-03-01, Tab 5.4.1</v>
      </c>
      <c r="N499" s="1361">
        <v>0.77039653846153844</v>
      </c>
      <c r="O499" s="1361">
        <v>0.77039653846153844</v>
      </c>
      <c r="P499" s="1361">
        <v>0.77039653846153844</v>
      </c>
      <c r="Q499" s="1361">
        <v>0.77039653846153844</v>
      </c>
      <c r="R499" s="1781">
        <v>0.96</v>
      </c>
      <c r="S499" s="1781">
        <v>0.96</v>
      </c>
      <c r="T499" s="1781">
        <v>0.96</v>
      </c>
      <c r="U499" s="1781">
        <v>0.96</v>
      </c>
      <c r="V499" s="1781">
        <v>0.96</v>
      </c>
      <c r="W499" s="1781">
        <v>0.96</v>
      </c>
      <c r="X499" s="1781">
        <v>0.96</v>
      </c>
      <c r="Y499" s="1781">
        <v>0.96</v>
      </c>
      <c r="Z499" s="1359">
        <v>0</v>
      </c>
      <c r="AA499" s="1781">
        <f t="shared" si="357"/>
        <v>0.96</v>
      </c>
      <c r="AB499" s="1781">
        <f t="shared" si="358"/>
        <v>0.96</v>
      </c>
      <c r="AC499" s="1781">
        <f t="shared" si="359"/>
        <v>0.96</v>
      </c>
      <c r="AD499" s="1781">
        <f t="shared" si="360"/>
        <v>0.96</v>
      </c>
      <c r="AE499" s="1781">
        <f t="shared" si="361"/>
        <v>0.96</v>
      </c>
      <c r="AF499" s="1781">
        <f t="shared" si="362"/>
        <v>0.96</v>
      </c>
      <c r="AG499" s="1781">
        <f t="shared" si="363"/>
        <v>0.96</v>
      </c>
      <c r="AH499" s="1781">
        <f t="shared" si="364"/>
        <v>0.96</v>
      </c>
      <c r="AI499" s="1362">
        <f t="shared" si="395"/>
        <v>2509.0045194605536</v>
      </c>
      <c r="AJ499" s="1362">
        <f t="shared" si="396"/>
        <v>2509.0045194605536</v>
      </c>
      <c r="AK499" s="1362">
        <f t="shared" si="397"/>
        <v>2509.0045194605536</v>
      </c>
      <c r="AL499" s="1362">
        <f t="shared" si="398"/>
        <v>2509.0045194605536</v>
      </c>
      <c r="AM499" s="1362">
        <f t="shared" si="399"/>
        <v>10036.018077842215</v>
      </c>
      <c r="AN499" s="1132" t="str">
        <f t="shared" si="365"/>
        <v>RS-HWE-PINS-V02-150601</v>
      </c>
      <c r="AO499" s="1132" t="str">
        <f t="shared" si="366"/>
        <v>Nicor Gas PY11-PY14 Adjustable Goals Template_2025-03-01, Tab 5.4.1</v>
      </c>
      <c r="AP499" s="2738">
        <f>'5.4.1'!$P$5</f>
        <v>2.086364257642026</v>
      </c>
      <c r="AQ499" s="2568" t="s">
        <v>705</v>
      </c>
      <c r="AR499" s="2505">
        <f t="shared" si="367"/>
        <v>6794.8090240882429</v>
      </c>
      <c r="AS499" s="2505">
        <f t="shared" si="368"/>
        <v>4285.8045046276893</v>
      </c>
      <c r="AT499" s="1132" t="str">
        <f t="shared" si="369"/>
        <v>RS-HWE-PINS-V02-150601</v>
      </c>
      <c r="AU499" s="1132" t="str">
        <f t="shared" si="370"/>
        <v>Nicor Gas PY11-PY14 Adjustable Goals Template_2025-03-01, Tab 5.4.1</v>
      </c>
      <c r="AV499" s="2247">
        <f>'5.4.1'!$P$5</f>
        <v>2.086364257642026</v>
      </c>
      <c r="AW499" s="2568" t="s">
        <v>705</v>
      </c>
      <c r="AX499" s="1362">
        <f t="shared" si="371"/>
        <v>6794.8090240882429</v>
      </c>
      <c r="AY499" s="1360">
        <f t="shared" si="372"/>
        <v>4285.8045046276893</v>
      </c>
      <c r="AZ499" s="1132" t="str">
        <f t="shared" si="373"/>
        <v>RS-HWE-PINS-V02-150601</v>
      </c>
      <c r="BA499" s="1132" t="str">
        <f t="shared" si="374"/>
        <v>Nicor Gas PY11-PY14 Adjustable Goals Template_2025-03-01, Tab 5.4.1</v>
      </c>
      <c r="BB499" s="2247">
        <f>'5.4.1'!$P$5</f>
        <v>2.086364257642026</v>
      </c>
      <c r="BC499" s="2568" t="s">
        <v>705</v>
      </c>
      <c r="BD499" s="1362">
        <f t="shared" si="375"/>
        <v>6794.8090240882429</v>
      </c>
      <c r="BE499" s="1360">
        <f t="shared" si="376"/>
        <v>4285.8045046276893</v>
      </c>
      <c r="BF499" s="1132" t="str">
        <f t="shared" si="377"/>
        <v>RS-HWE-PINS-V02-150601</v>
      </c>
      <c r="BG499" s="1132" t="str">
        <f t="shared" si="378"/>
        <v>Nicor Gas PY11-PY14 Adjustable Goals Template_2025-03-01, Tab 5.4.1</v>
      </c>
      <c r="BH499" s="2247">
        <f>'5.4.1'!$P$5</f>
        <v>2.086364257642026</v>
      </c>
      <c r="BI499" s="2568" t="s">
        <v>705</v>
      </c>
      <c r="BJ499" s="1362">
        <f t="shared" si="400"/>
        <v>6794.8090240882429</v>
      </c>
      <c r="BK499" s="1360">
        <f t="shared" si="379"/>
        <v>4285.8045046276893</v>
      </c>
      <c r="BL499" s="1601">
        <f t="shared" si="380"/>
        <v>6794.8090240882429</v>
      </c>
      <c r="BM499" s="1601">
        <f t="shared" si="381"/>
        <v>6794.8090240882429</v>
      </c>
      <c r="BN499" s="1601">
        <f t="shared" si="382"/>
        <v>6794.8090240882429</v>
      </c>
      <c r="BO499" s="1601">
        <f t="shared" si="383"/>
        <v>6794.8090240882429</v>
      </c>
      <c r="BP499" s="1602">
        <f t="shared" si="384"/>
        <v>27179.236096352972</v>
      </c>
      <c r="BQ499" s="1629"/>
      <c r="BR499" s="1629" t="s">
        <v>703</v>
      </c>
      <c r="BS499" s="1602">
        <v>0</v>
      </c>
      <c r="BT499" s="1602">
        <v>15</v>
      </c>
      <c r="BU499" s="1602">
        <v>15</v>
      </c>
      <c r="BV499" s="1602">
        <v>15</v>
      </c>
      <c r="BW499" s="1602">
        <v>15</v>
      </c>
      <c r="BX499" s="1362">
        <f t="shared" si="401"/>
        <v>37635.067791908303</v>
      </c>
      <c r="BY499" s="1362">
        <f t="shared" si="402"/>
        <v>37635.067791908303</v>
      </c>
      <c r="BZ499" s="1362">
        <f t="shared" si="403"/>
        <v>37635.067791908303</v>
      </c>
      <c r="CA499" s="1362">
        <f t="shared" si="404"/>
        <v>37635.067791908303</v>
      </c>
      <c r="CB499" s="1362">
        <f t="shared" si="405"/>
        <v>150540.27116763321</v>
      </c>
      <c r="CC499" s="1360">
        <v>15</v>
      </c>
      <c r="CD499" s="1360">
        <v>15</v>
      </c>
      <c r="CE499" s="1360">
        <v>15</v>
      </c>
      <c r="CF499" s="1360">
        <v>15</v>
      </c>
      <c r="CG499" s="1604">
        <f t="shared" si="385"/>
        <v>101922.13536132364</v>
      </c>
      <c r="CH499" s="1604">
        <f t="shared" si="386"/>
        <v>101922.13536132364</v>
      </c>
      <c r="CI499" s="1604">
        <f t="shared" si="387"/>
        <v>101922.13536132364</v>
      </c>
      <c r="CJ499" s="1604">
        <f t="shared" si="388"/>
        <v>101922.13536132364</v>
      </c>
      <c r="CK499" s="1521">
        <f t="shared" si="389"/>
        <v>407688.54144529457</v>
      </c>
      <c r="CL499" s="1132">
        <v>492</v>
      </c>
      <c r="CM499" s="1132" t="s">
        <v>356</v>
      </c>
      <c r="CN499" s="1359">
        <v>1</v>
      </c>
      <c r="CO499" s="1360">
        <v>2464.3513845147968</v>
      </c>
      <c r="CP499" s="1360">
        <v>2464.3513845147968</v>
      </c>
      <c r="CQ499" s="1360">
        <v>2464.3513845147968</v>
      </c>
      <c r="CR499" s="1360">
        <v>2464.3513845147968</v>
      </c>
      <c r="CS499" s="1362">
        <f t="shared" si="390"/>
        <v>1822.5866651357751</v>
      </c>
      <c r="CT499" s="1362">
        <f t="shared" si="391"/>
        <v>1822.5866651357751</v>
      </c>
      <c r="CU499" s="1362">
        <f t="shared" si="392"/>
        <v>1822.5866651357751</v>
      </c>
      <c r="CV499" s="1362">
        <f t="shared" si="393"/>
        <v>1822.5866651357751</v>
      </c>
      <c r="CW499" s="1362">
        <f t="shared" si="394"/>
        <v>7290.3466605431004</v>
      </c>
      <c r="CY499" s="2887"/>
    </row>
    <row r="500" spans="1:103" s="1143" customFormat="1" ht="46.5" x14ac:dyDescent="0.35">
      <c r="A500" s="1132" t="s">
        <v>114</v>
      </c>
      <c r="B500" s="1132" t="s">
        <v>950</v>
      </c>
      <c r="C500" s="1132" t="s">
        <v>744</v>
      </c>
      <c r="D500" s="1359" t="s">
        <v>745</v>
      </c>
      <c r="E500" s="1359">
        <v>1</v>
      </c>
      <c r="F500" s="1780" t="s">
        <v>649</v>
      </c>
      <c r="G500" s="1132" t="s">
        <v>356</v>
      </c>
      <c r="H500" s="1360">
        <v>55.404000000000003</v>
      </c>
      <c r="I500" s="1360">
        <v>55.404000000000003</v>
      </c>
      <c r="J500" s="1360">
        <v>55.404000000000003</v>
      </c>
      <c r="K500" s="1360">
        <v>55.404000000000003</v>
      </c>
      <c r="L500" s="1132" t="s">
        <v>650</v>
      </c>
      <c r="M500" s="1132" t="str">
        <f t="shared" si="356"/>
        <v>Nicor Gas PY11-PY14 Adjustable Goals Template_2025-03-01, Tab 5.3.16</v>
      </c>
      <c r="N500" s="1361">
        <v>55.509675000000001</v>
      </c>
      <c r="O500" s="1361">
        <v>55.509675000000001</v>
      </c>
      <c r="P500" s="1361">
        <v>55.509675000000001</v>
      </c>
      <c r="Q500" s="1361">
        <v>55.509675000000001</v>
      </c>
      <c r="R500" s="1781">
        <v>0.9</v>
      </c>
      <c r="S500" s="1781">
        <v>0.9</v>
      </c>
      <c r="T500" s="1781">
        <v>0.9</v>
      </c>
      <c r="U500" s="1781">
        <v>0.9</v>
      </c>
      <c r="V500" s="1781">
        <v>0.9</v>
      </c>
      <c r="W500" s="1781">
        <v>0.9</v>
      </c>
      <c r="X500" s="1781">
        <v>0.9</v>
      </c>
      <c r="Y500" s="1781">
        <v>0.9</v>
      </c>
      <c r="Z500" s="1359">
        <v>0</v>
      </c>
      <c r="AA500" s="1781">
        <f t="shared" si="357"/>
        <v>0.9</v>
      </c>
      <c r="AB500" s="1781">
        <f t="shared" si="358"/>
        <v>0.9</v>
      </c>
      <c r="AC500" s="1781">
        <f t="shared" si="359"/>
        <v>0.9</v>
      </c>
      <c r="AD500" s="1781">
        <f t="shared" si="360"/>
        <v>0.9</v>
      </c>
      <c r="AE500" s="1781">
        <f t="shared" si="361"/>
        <v>0.9</v>
      </c>
      <c r="AF500" s="1781">
        <f t="shared" si="362"/>
        <v>0.9</v>
      </c>
      <c r="AG500" s="1781">
        <f t="shared" si="363"/>
        <v>0.9</v>
      </c>
      <c r="AH500" s="1781">
        <f t="shared" si="364"/>
        <v>0.9</v>
      </c>
      <c r="AI500" s="1362">
        <f t="shared" si="395"/>
        <v>2767.9122303300001</v>
      </c>
      <c r="AJ500" s="1362">
        <f t="shared" si="396"/>
        <v>2767.9122303300001</v>
      </c>
      <c r="AK500" s="1362">
        <f t="shared" si="397"/>
        <v>2767.9122303300001</v>
      </c>
      <c r="AL500" s="1362">
        <f t="shared" si="398"/>
        <v>2767.9122303300001</v>
      </c>
      <c r="AM500" s="1362">
        <f t="shared" si="399"/>
        <v>11071.64892132</v>
      </c>
      <c r="AN500" s="1132" t="str">
        <f t="shared" si="365"/>
        <v>RS-HVC-ADTH-V03-190101</v>
      </c>
      <c r="AO500" s="1132" t="str">
        <f t="shared" si="366"/>
        <v>Nicor Gas PY11-PY14 Adjustable Goals Template_2025-03-01, Tab 5.3.16</v>
      </c>
      <c r="AP500" s="2247">
        <f>'5.3.16'!$S$15</f>
        <v>55.509675000000001</v>
      </c>
      <c r="AQ500" s="2505"/>
      <c r="AR500" s="2505">
        <f t="shared" si="367"/>
        <v>2767.9122303300001</v>
      </c>
      <c r="AS500" s="2505">
        <f t="shared" si="368"/>
        <v>0</v>
      </c>
      <c r="AT500" s="1132" t="str">
        <f t="shared" si="369"/>
        <v>RS-HVC-ADTH-V03-190101</v>
      </c>
      <c r="AU500" s="1132" t="str">
        <f t="shared" si="370"/>
        <v>Nicor Gas PY11-PY14 Adjustable Goals Template_2025-03-01, Tab 5.3.16</v>
      </c>
      <c r="AV500" s="2247">
        <f>'5.3.16'!$S$15</f>
        <v>55.509675000000001</v>
      </c>
      <c r="AW500" s="2505"/>
      <c r="AX500" s="1362">
        <f t="shared" si="371"/>
        <v>2767.9122303300001</v>
      </c>
      <c r="AY500" s="1360">
        <f t="shared" si="372"/>
        <v>0</v>
      </c>
      <c r="AZ500" s="1132" t="str">
        <f t="shared" si="373"/>
        <v>RS-HVC-ADTH-V03-190101</v>
      </c>
      <c r="BA500" s="1132" t="str">
        <f t="shared" si="374"/>
        <v>Nicor Gas PY11-PY14 Adjustable Goals Template_2025-03-01, Tab 5.3.16</v>
      </c>
      <c r="BB500" s="2247">
        <f>'5.3.16'!$S$15</f>
        <v>55.509675000000001</v>
      </c>
      <c r="BC500" s="2505"/>
      <c r="BD500" s="1362">
        <f t="shared" si="375"/>
        <v>2767.9122303300001</v>
      </c>
      <c r="BE500" s="1360">
        <f t="shared" si="376"/>
        <v>0</v>
      </c>
      <c r="BF500" s="1132" t="str">
        <f t="shared" si="377"/>
        <v>RS-HVC-ADTH-V03-190101</v>
      </c>
      <c r="BG500" s="1132" t="str">
        <f t="shared" si="378"/>
        <v>Nicor Gas PY11-PY14 Adjustable Goals Template_2025-03-01, Tab 5.3.16</v>
      </c>
      <c r="BH500" s="2247">
        <f>'5.3.16'!$S$15</f>
        <v>55.509675000000001</v>
      </c>
      <c r="BI500" s="2505"/>
      <c r="BJ500" s="1362">
        <f t="shared" si="400"/>
        <v>2767.9122303300001</v>
      </c>
      <c r="BK500" s="1360">
        <f t="shared" si="379"/>
        <v>0</v>
      </c>
      <c r="BL500" s="1601">
        <f t="shared" si="380"/>
        <v>2767.9122303300001</v>
      </c>
      <c r="BM500" s="1601">
        <f t="shared" si="381"/>
        <v>2767.9122303300001</v>
      </c>
      <c r="BN500" s="1601">
        <f t="shared" si="382"/>
        <v>2767.9122303300001</v>
      </c>
      <c r="BO500" s="1601">
        <f t="shared" si="383"/>
        <v>2767.9122303300001</v>
      </c>
      <c r="BP500" s="1602">
        <f t="shared" si="384"/>
        <v>11071.64892132</v>
      </c>
      <c r="BQ500" s="1629"/>
      <c r="BR500" s="1629" t="s">
        <v>649</v>
      </c>
      <c r="BS500" s="1602">
        <v>0</v>
      </c>
      <c r="BT500" s="1602">
        <v>11</v>
      </c>
      <c r="BU500" s="1602">
        <v>11</v>
      </c>
      <c r="BV500" s="1602">
        <v>11</v>
      </c>
      <c r="BW500" s="1602">
        <v>11</v>
      </c>
      <c r="BX500" s="1362">
        <f t="shared" si="401"/>
        <v>30447.034533630002</v>
      </c>
      <c r="BY500" s="1362">
        <f t="shared" si="402"/>
        <v>30447.034533630002</v>
      </c>
      <c r="BZ500" s="1362">
        <f t="shared" si="403"/>
        <v>30447.034533630002</v>
      </c>
      <c r="CA500" s="1362">
        <f t="shared" si="404"/>
        <v>30447.034533630002</v>
      </c>
      <c r="CB500" s="1362">
        <f t="shared" si="405"/>
        <v>121788.13813452001</v>
      </c>
      <c r="CC500" s="1360">
        <v>11</v>
      </c>
      <c r="CD500" s="1360">
        <v>11</v>
      </c>
      <c r="CE500" s="1360">
        <v>11</v>
      </c>
      <c r="CF500" s="1360">
        <v>11</v>
      </c>
      <c r="CG500" s="1604">
        <f t="shared" si="385"/>
        <v>30447.034533630005</v>
      </c>
      <c r="CH500" s="1604">
        <f t="shared" si="386"/>
        <v>30447.034533630005</v>
      </c>
      <c r="CI500" s="1604">
        <f t="shared" si="387"/>
        <v>30447.034533630005</v>
      </c>
      <c r="CJ500" s="1604">
        <f t="shared" si="388"/>
        <v>30447.034533630005</v>
      </c>
      <c r="CK500" s="1521">
        <f t="shared" si="389"/>
        <v>121788.13813452002</v>
      </c>
      <c r="CL500" s="1132">
        <v>493</v>
      </c>
      <c r="CM500" s="1132" t="s">
        <v>356</v>
      </c>
      <c r="CN500" s="1359">
        <v>1</v>
      </c>
      <c r="CO500" s="1360">
        <v>40.246476565491925</v>
      </c>
      <c r="CP500" s="1360">
        <v>40.246476565491925</v>
      </c>
      <c r="CQ500" s="1360">
        <v>40.246476565491925</v>
      </c>
      <c r="CR500" s="1360">
        <v>40.246476565491925</v>
      </c>
      <c r="CS500" s="1362">
        <f t="shared" si="390"/>
        <v>2010.6619506410159</v>
      </c>
      <c r="CT500" s="1362">
        <f t="shared" si="391"/>
        <v>2010.6619506410159</v>
      </c>
      <c r="CU500" s="1362">
        <f t="shared" si="392"/>
        <v>2010.6619506410159</v>
      </c>
      <c r="CV500" s="1362">
        <f t="shared" si="393"/>
        <v>2010.6619506410159</v>
      </c>
      <c r="CW500" s="1362">
        <f t="shared" si="394"/>
        <v>8042.6478025640636</v>
      </c>
      <c r="CY500" s="2887"/>
    </row>
    <row r="501" spans="1:103" s="1143" customFormat="1" ht="87.75" customHeight="1" x14ac:dyDescent="0.35">
      <c r="A501" s="1132" t="s">
        <v>114</v>
      </c>
      <c r="B501" s="1132" t="s">
        <v>950</v>
      </c>
      <c r="C501" s="1132" t="s">
        <v>742</v>
      </c>
      <c r="D501" s="1359" t="s">
        <v>743</v>
      </c>
      <c r="E501" s="1359">
        <v>1</v>
      </c>
      <c r="F501" s="1780" t="s">
        <v>708</v>
      </c>
      <c r="G501" s="1132" t="s">
        <v>328</v>
      </c>
      <c r="H501" s="1360">
        <v>1134.2429999999999</v>
      </c>
      <c r="I501" s="1360">
        <v>1134.2429999999999</v>
      </c>
      <c r="J501" s="1360">
        <v>1134.2429999999999</v>
      </c>
      <c r="K501" s="1360">
        <v>1134.2429999999999</v>
      </c>
      <c r="L501" s="1132" t="s">
        <v>709</v>
      </c>
      <c r="M501" s="1132" t="str">
        <f t="shared" si="356"/>
        <v>Nicor Gas PY11-PY14 Adjustable Goals Template_2025-03-01, Tab 5.3.11</v>
      </c>
      <c r="N501" s="1361">
        <v>40.5015</v>
      </c>
      <c r="O501" s="1361">
        <v>40.5015</v>
      </c>
      <c r="P501" s="1361">
        <v>40.5015</v>
      </c>
      <c r="Q501" s="1361">
        <v>40.5015</v>
      </c>
      <c r="R501" s="1781">
        <v>0.96</v>
      </c>
      <c r="S501" s="1781">
        <v>0.96</v>
      </c>
      <c r="T501" s="1781">
        <v>0.96</v>
      </c>
      <c r="U501" s="1781">
        <v>0.96</v>
      </c>
      <c r="V501" s="1781">
        <v>0.96</v>
      </c>
      <c r="W501" s="1781">
        <v>0.96</v>
      </c>
      <c r="X501" s="1781">
        <v>0.96</v>
      </c>
      <c r="Y501" s="1781">
        <v>0.96</v>
      </c>
      <c r="Z501" s="1359">
        <v>0</v>
      </c>
      <c r="AA501" s="1781">
        <f t="shared" si="357"/>
        <v>0.96</v>
      </c>
      <c r="AB501" s="1781">
        <f t="shared" si="358"/>
        <v>0.96</v>
      </c>
      <c r="AC501" s="1781">
        <f t="shared" si="359"/>
        <v>0.96</v>
      </c>
      <c r="AD501" s="1781">
        <f t="shared" si="360"/>
        <v>0.96</v>
      </c>
      <c r="AE501" s="1781">
        <f t="shared" si="361"/>
        <v>0.96</v>
      </c>
      <c r="AF501" s="1781">
        <f t="shared" si="362"/>
        <v>0.96</v>
      </c>
      <c r="AG501" s="1781">
        <f t="shared" si="363"/>
        <v>0.96</v>
      </c>
      <c r="AH501" s="1781">
        <f t="shared" si="364"/>
        <v>0.96</v>
      </c>
      <c r="AI501" s="1362">
        <f t="shared" si="395"/>
        <v>44101.001149919997</v>
      </c>
      <c r="AJ501" s="1362">
        <f t="shared" si="396"/>
        <v>44101.001149919997</v>
      </c>
      <c r="AK501" s="1362">
        <f t="shared" si="397"/>
        <v>44101.001149919997</v>
      </c>
      <c r="AL501" s="1362">
        <f t="shared" si="398"/>
        <v>44101.001149919997</v>
      </c>
      <c r="AM501" s="1362">
        <f t="shared" si="399"/>
        <v>176404.00459967999</v>
      </c>
      <c r="AN501" s="1132" t="str">
        <f t="shared" si="365"/>
        <v>RS-HVC-PROG-V05-190101</v>
      </c>
      <c r="AO501" s="1132" t="str">
        <f t="shared" si="366"/>
        <v>Nicor Gas PY11-PY14 Adjustable Goals Template_2025-03-01, Tab 5.3.11</v>
      </c>
      <c r="AP501" s="2247">
        <f>'5.3.11'!$Q$12</f>
        <v>40.5015</v>
      </c>
      <c r="AQ501" s="2505"/>
      <c r="AR501" s="2505">
        <f t="shared" si="367"/>
        <v>44101.001149919997</v>
      </c>
      <c r="AS501" s="2505">
        <f t="shared" si="368"/>
        <v>0</v>
      </c>
      <c r="AT501" s="1132" t="str">
        <f t="shared" si="369"/>
        <v>RS-HVC-PROG-V05-190101</v>
      </c>
      <c r="AU501" s="1132" t="str">
        <f t="shared" si="370"/>
        <v>Nicor Gas PY11-PY14 Adjustable Goals Template_2025-03-01, Tab 5.3.11</v>
      </c>
      <c r="AV501" s="2247">
        <f>'5.3.11'!$Q$12</f>
        <v>40.5015</v>
      </c>
      <c r="AW501" s="2505"/>
      <c r="AX501" s="1362">
        <f t="shared" si="371"/>
        <v>44101.001149919997</v>
      </c>
      <c r="AY501" s="1360">
        <f t="shared" si="372"/>
        <v>0</v>
      </c>
      <c r="AZ501" s="1132" t="str">
        <f t="shared" si="373"/>
        <v>RS-HVC-PROG-V05-190101</v>
      </c>
      <c r="BA501" s="1132" t="str">
        <f t="shared" si="374"/>
        <v>Nicor Gas PY11-PY14 Adjustable Goals Template_2025-03-01, Tab 5.3.11</v>
      </c>
      <c r="BB501" s="2247">
        <f>'5.3.11'!$Q$12</f>
        <v>40.5015</v>
      </c>
      <c r="BC501" s="2505"/>
      <c r="BD501" s="1362">
        <f t="shared" si="375"/>
        <v>44101.001149919997</v>
      </c>
      <c r="BE501" s="1360">
        <f t="shared" si="376"/>
        <v>0</v>
      </c>
      <c r="BF501" s="1132" t="str">
        <f t="shared" si="377"/>
        <v>RS-HVC-PROG-V05-190101</v>
      </c>
      <c r="BG501" s="1132" t="str">
        <f t="shared" si="378"/>
        <v>Nicor Gas PY11-PY14 Adjustable Goals Template_2025-03-01, Tab 5.3.11</v>
      </c>
      <c r="BH501" s="2247">
        <f>'5.3.11'!$Q$12</f>
        <v>40.5015</v>
      </c>
      <c r="BI501" s="2505"/>
      <c r="BJ501" s="1362">
        <f t="shared" si="400"/>
        <v>44101.001149919997</v>
      </c>
      <c r="BK501" s="1360">
        <f t="shared" si="379"/>
        <v>0</v>
      </c>
      <c r="BL501" s="1601">
        <f t="shared" si="380"/>
        <v>44101.001149919997</v>
      </c>
      <c r="BM501" s="1601">
        <f t="shared" si="381"/>
        <v>44101.001149919997</v>
      </c>
      <c r="BN501" s="1601">
        <f t="shared" si="382"/>
        <v>44101.001149919997</v>
      </c>
      <c r="BO501" s="1601">
        <f t="shared" si="383"/>
        <v>44101.001149919997</v>
      </c>
      <c r="BP501" s="1602">
        <f t="shared" si="384"/>
        <v>176404.00459967999</v>
      </c>
      <c r="BQ501" s="1629"/>
      <c r="BR501" s="1629" t="s">
        <v>708</v>
      </c>
      <c r="BS501" s="1602">
        <v>0</v>
      </c>
      <c r="BT501" s="1602">
        <v>8</v>
      </c>
      <c r="BU501" s="1602">
        <v>8</v>
      </c>
      <c r="BV501" s="1602">
        <v>8</v>
      </c>
      <c r="BW501" s="1602">
        <v>8</v>
      </c>
      <c r="BX501" s="1362">
        <f t="shared" si="401"/>
        <v>352808.00919935998</v>
      </c>
      <c r="BY501" s="1362">
        <f t="shared" si="402"/>
        <v>352808.00919935998</v>
      </c>
      <c r="BZ501" s="1362">
        <f t="shared" si="403"/>
        <v>352808.00919935998</v>
      </c>
      <c r="CA501" s="1362">
        <f t="shared" si="404"/>
        <v>352808.00919935998</v>
      </c>
      <c r="CB501" s="1362">
        <f t="shared" si="405"/>
        <v>1411232.0367974399</v>
      </c>
      <c r="CC501" s="1360">
        <v>8</v>
      </c>
      <c r="CD501" s="1360">
        <v>8</v>
      </c>
      <c r="CE501" s="1360">
        <v>8</v>
      </c>
      <c r="CF501" s="1360">
        <v>8</v>
      </c>
      <c r="CG501" s="1604">
        <f t="shared" si="385"/>
        <v>352808.00919935992</v>
      </c>
      <c r="CH501" s="1604">
        <f t="shared" si="386"/>
        <v>352808.00919935992</v>
      </c>
      <c r="CI501" s="1604">
        <f t="shared" si="387"/>
        <v>352808.00919935992</v>
      </c>
      <c r="CJ501" s="1604">
        <f t="shared" si="388"/>
        <v>352808.00919935992</v>
      </c>
      <c r="CK501" s="1521">
        <f t="shared" si="389"/>
        <v>1411232.0367974397</v>
      </c>
      <c r="CL501" s="1132">
        <v>494</v>
      </c>
      <c r="CM501" s="1132" t="s">
        <v>328</v>
      </c>
      <c r="CN501" s="1359">
        <v>1</v>
      </c>
      <c r="CO501" s="1360">
        <v>823.93481191020953</v>
      </c>
      <c r="CP501" s="1360">
        <v>823.93481191020953</v>
      </c>
      <c r="CQ501" s="1360">
        <v>823.93481191020953</v>
      </c>
      <c r="CR501" s="1360">
        <v>823.93481191020953</v>
      </c>
      <c r="CS501" s="1362">
        <f t="shared" si="390"/>
        <v>32035.771953198098</v>
      </c>
      <c r="CT501" s="1362">
        <f t="shared" si="391"/>
        <v>32035.771953198098</v>
      </c>
      <c r="CU501" s="1362">
        <f t="shared" si="392"/>
        <v>32035.771953198098</v>
      </c>
      <c r="CV501" s="1362">
        <f t="shared" si="393"/>
        <v>32035.771953198098</v>
      </c>
      <c r="CW501" s="1362">
        <f t="shared" si="394"/>
        <v>128143.08781279239</v>
      </c>
      <c r="CY501" s="2887"/>
    </row>
    <row r="502" spans="1:103" s="1143" customFormat="1" ht="87" customHeight="1" x14ac:dyDescent="0.35">
      <c r="A502" s="1132" t="s">
        <v>114</v>
      </c>
      <c r="B502" s="1132" t="s">
        <v>950</v>
      </c>
      <c r="C502" s="1132" t="s">
        <v>930</v>
      </c>
      <c r="D502" s="1359" t="s">
        <v>931</v>
      </c>
      <c r="E502" s="1359">
        <v>1</v>
      </c>
      <c r="F502" s="1780" t="s">
        <v>708</v>
      </c>
      <c r="G502" s="1132" t="s">
        <v>328</v>
      </c>
      <c r="H502" s="1360">
        <v>19.494000000000003</v>
      </c>
      <c r="I502" s="1360">
        <v>19.494000000000003</v>
      </c>
      <c r="J502" s="1360">
        <v>19.494000000000003</v>
      </c>
      <c r="K502" s="1360">
        <v>19.494000000000003</v>
      </c>
      <c r="L502" s="1132" t="s">
        <v>709</v>
      </c>
      <c r="M502" s="1132" t="str">
        <f t="shared" si="356"/>
        <v>Nicor Gas PY11-PY14 Adjustable Goals Template_2025-03-01, Tab 5.3.11</v>
      </c>
      <c r="N502" s="1361">
        <v>40.5015</v>
      </c>
      <c r="O502" s="1361">
        <v>40.5015</v>
      </c>
      <c r="P502" s="1361">
        <v>40.5015</v>
      </c>
      <c r="Q502" s="1361">
        <v>40.5015</v>
      </c>
      <c r="R502" s="1781">
        <v>0.96</v>
      </c>
      <c r="S502" s="1781">
        <v>0.96</v>
      </c>
      <c r="T502" s="1781">
        <v>0.96</v>
      </c>
      <c r="U502" s="1781">
        <v>0.96</v>
      </c>
      <c r="V502" s="1781">
        <v>0.96</v>
      </c>
      <c r="W502" s="1781">
        <v>0.96</v>
      </c>
      <c r="X502" s="1781">
        <v>0.96</v>
      </c>
      <c r="Y502" s="1781">
        <v>0.96</v>
      </c>
      <c r="Z502" s="1359">
        <v>0</v>
      </c>
      <c r="AA502" s="1781">
        <f t="shared" si="357"/>
        <v>0.96</v>
      </c>
      <c r="AB502" s="1781">
        <f t="shared" si="358"/>
        <v>0.96</v>
      </c>
      <c r="AC502" s="1781">
        <f t="shared" si="359"/>
        <v>0.96</v>
      </c>
      <c r="AD502" s="1781">
        <f t="shared" si="360"/>
        <v>0.96</v>
      </c>
      <c r="AE502" s="1781">
        <f t="shared" si="361"/>
        <v>0.96</v>
      </c>
      <c r="AF502" s="1781">
        <f t="shared" si="362"/>
        <v>0.96</v>
      </c>
      <c r="AG502" s="1781">
        <f t="shared" si="363"/>
        <v>0.96</v>
      </c>
      <c r="AH502" s="1781">
        <f t="shared" si="364"/>
        <v>0.96</v>
      </c>
      <c r="AI502" s="1362">
        <f t="shared" si="395"/>
        <v>757.95479136000006</v>
      </c>
      <c r="AJ502" s="1362">
        <f t="shared" si="396"/>
        <v>757.95479136000006</v>
      </c>
      <c r="AK502" s="1362">
        <f t="shared" si="397"/>
        <v>757.95479136000006</v>
      </c>
      <c r="AL502" s="1362">
        <f t="shared" si="398"/>
        <v>757.95479136000006</v>
      </c>
      <c r="AM502" s="1362">
        <f t="shared" si="399"/>
        <v>3031.8191654400002</v>
      </c>
      <c r="AN502" s="1132" t="str">
        <f t="shared" si="365"/>
        <v>RS-HVC-PROG-V05-190101</v>
      </c>
      <c r="AO502" s="1132" t="str">
        <f t="shared" si="366"/>
        <v>Nicor Gas PY11-PY14 Adjustable Goals Template_2025-03-01, Tab 5.3.11</v>
      </c>
      <c r="AP502" s="2247">
        <f>'5.3.11'!$Q$13</f>
        <v>40.5015</v>
      </c>
      <c r="AQ502" s="2505"/>
      <c r="AR502" s="2505">
        <f t="shared" si="367"/>
        <v>757.95479136000006</v>
      </c>
      <c r="AS502" s="2505">
        <f t="shared" si="368"/>
        <v>0</v>
      </c>
      <c r="AT502" s="1132" t="str">
        <f t="shared" si="369"/>
        <v>RS-HVC-PROG-V05-190101</v>
      </c>
      <c r="AU502" s="1132" t="str">
        <f t="shared" si="370"/>
        <v>Nicor Gas PY11-PY14 Adjustable Goals Template_2025-03-01, Tab 5.3.11</v>
      </c>
      <c r="AV502" s="2247">
        <f>'5.3.11'!$Q$13</f>
        <v>40.5015</v>
      </c>
      <c r="AW502" s="2505"/>
      <c r="AX502" s="1362">
        <f t="shared" si="371"/>
        <v>757.95479136000006</v>
      </c>
      <c r="AY502" s="1360">
        <f t="shared" si="372"/>
        <v>0</v>
      </c>
      <c r="AZ502" s="1132" t="str">
        <f t="shared" si="373"/>
        <v>RS-HVC-PROG-V05-190101</v>
      </c>
      <c r="BA502" s="1132" t="str">
        <f t="shared" si="374"/>
        <v>Nicor Gas PY11-PY14 Adjustable Goals Template_2025-03-01, Tab 5.3.11</v>
      </c>
      <c r="BB502" s="2247">
        <f>'5.3.11'!$Q$13</f>
        <v>40.5015</v>
      </c>
      <c r="BC502" s="2505"/>
      <c r="BD502" s="1362">
        <f t="shared" si="375"/>
        <v>757.95479136000006</v>
      </c>
      <c r="BE502" s="1360">
        <f t="shared" si="376"/>
        <v>0</v>
      </c>
      <c r="BF502" s="1132" t="str">
        <f t="shared" si="377"/>
        <v>RS-HVC-PROG-V05-190101</v>
      </c>
      <c r="BG502" s="1132" t="str">
        <f t="shared" si="378"/>
        <v>Nicor Gas PY11-PY14 Adjustable Goals Template_2025-03-01, Tab 5.3.11</v>
      </c>
      <c r="BH502" s="2247">
        <f>'5.3.11'!$Q$13</f>
        <v>40.5015</v>
      </c>
      <c r="BI502" s="2505"/>
      <c r="BJ502" s="1362">
        <f t="shared" si="400"/>
        <v>757.95479136000006</v>
      </c>
      <c r="BK502" s="1360">
        <f t="shared" si="379"/>
        <v>0</v>
      </c>
      <c r="BL502" s="1601">
        <f t="shared" si="380"/>
        <v>757.95479136000006</v>
      </c>
      <c r="BM502" s="1601">
        <f t="shared" si="381"/>
        <v>757.95479136000006</v>
      </c>
      <c r="BN502" s="1601">
        <f t="shared" si="382"/>
        <v>757.95479136000006</v>
      </c>
      <c r="BO502" s="1601">
        <f t="shared" si="383"/>
        <v>757.95479136000006</v>
      </c>
      <c r="BP502" s="1602">
        <f t="shared" si="384"/>
        <v>3031.8191654400002</v>
      </c>
      <c r="BQ502" s="1629"/>
      <c r="BR502" s="1629" t="s">
        <v>708</v>
      </c>
      <c r="BS502" s="1602">
        <v>0</v>
      </c>
      <c r="BT502" s="1602">
        <v>2</v>
      </c>
      <c r="BU502" s="1602">
        <v>2</v>
      </c>
      <c r="BV502" s="1602">
        <v>2</v>
      </c>
      <c r="BW502" s="1602">
        <v>2</v>
      </c>
      <c r="BX502" s="1362">
        <f t="shared" si="401"/>
        <v>1515.9095827200001</v>
      </c>
      <c r="BY502" s="1362">
        <f t="shared" si="402"/>
        <v>1515.9095827200001</v>
      </c>
      <c r="BZ502" s="1362">
        <f t="shared" si="403"/>
        <v>1515.9095827200001</v>
      </c>
      <c r="CA502" s="1362">
        <f t="shared" si="404"/>
        <v>1515.9095827200001</v>
      </c>
      <c r="CB502" s="1362">
        <f t="shared" si="405"/>
        <v>6063.6383308800005</v>
      </c>
      <c r="CC502" s="1360">
        <v>2</v>
      </c>
      <c r="CD502" s="1360">
        <v>2</v>
      </c>
      <c r="CE502" s="1360">
        <v>2</v>
      </c>
      <c r="CF502" s="1360">
        <v>2</v>
      </c>
      <c r="CG502" s="1604">
        <f t="shared" si="385"/>
        <v>1515.9095827200003</v>
      </c>
      <c r="CH502" s="1604">
        <f t="shared" si="386"/>
        <v>1515.9095827200003</v>
      </c>
      <c r="CI502" s="1604">
        <f t="shared" si="387"/>
        <v>1515.9095827200003</v>
      </c>
      <c r="CJ502" s="1604">
        <f t="shared" si="388"/>
        <v>1515.9095827200003</v>
      </c>
      <c r="CK502" s="1521">
        <f t="shared" si="389"/>
        <v>6063.6383308800014</v>
      </c>
      <c r="CL502" s="1132">
        <v>495</v>
      </c>
      <c r="CM502" s="1132" t="s">
        <v>328</v>
      </c>
      <c r="CN502" s="1359">
        <v>1</v>
      </c>
      <c r="CO502" s="1360">
        <v>14.160797310080492</v>
      </c>
      <c r="CP502" s="1360">
        <v>14.160797310080492</v>
      </c>
      <c r="CQ502" s="1360">
        <v>14.160797310080492</v>
      </c>
      <c r="CR502" s="1360">
        <v>14.160797310080492</v>
      </c>
      <c r="CS502" s="1362">
        <f t="shared" si="390"/>
        <v>550.59219096405604</v>
      </c>
      <c r="CT502" s="1362">
        <f t="shared" si="391"/>
        <v>550.59219096405604</v>
      </c>
      <c r="CU502" s="1362">
        <f t="shared" si="392"/>
        <v>550.59219096405604</v>
      </c>
      <c r="CV502" s="1362">
        <f t="shared" si="393"/>
        <v>550.59219096405604</v>
      </c>
      <c r="CW502" s="1362">
        <f t="shared" si="394"/>
        <v>2202.3687638562242</v>
      </c>
      <c r="CY502" s="2887"/>
    </row>
    <row r="503" spans="1:103" s="1143" customFormat="1" ht="88.5" customHeight="1" x14ac:dyDescent="0.35">
      <c r="A503" s="1132" t="s">
        <v>114</v>
      </c>
      <c r="B503" s="1132" t="s">
        <v>950</v>
      </c>
      <c r="C503" s="1132" t="s">
        <v>957</v>
      </c>
      <c r="D503" s="1359" t="s">
        <v>958</v>
      </c>
      <c r="E503" s="1359">
        <v>1</v>
      </c>
      <c r="F503" s="2807" t="s">
        <v>959</v>
      </c>
      <c r="G503" s="1132" t="s">
        <v>356</v>
      </c>
      <c r="H503" s="1360">
        <v>130.815</v>
      </c>
      <c r="I503" s="1360">
        <v>130.815</v>
      </c>
      <c r="J503" s="1360">
        <v>130.815</v>
      </c>
      <c r="K503" s="1360">
        <v>130.815</v>
      </c>
      <c r="L503" s="1132" t="s">
        <v>960</v>
      </c>
      <c r="M503" s="1132" t="str">
        <f t="shared" si="356"/>
        <v>Nicor Gas PY11-PY14 Adjustable Goals Template_2025-03-01, Tab 5.4.9</v>
      </c>
      <c r="N503" s="1361">
        <v>3.5388455445188995</v>
      </c>
      <c r="O503" s="1361">
        <v>3.5388455445188995</v>
      </c>
      <c r="P503" s="1361">
        <v>3.5388455445188995</v>
      </c>
      <c r="Q503" s="1361">
        <v>3.5388455445188995</v>
      </c>
      <c r="R503" s="1781">
        <v>0.96</v>
      </c>
      <c r="S503" s="1781">
        <v>0.96</v>
      </c>
      <c r="T503" s="1781">
        <v>0.96</v>
      </c>
      <c r="U503" s="1781">
        <v>0.96</v>
      </c>
      <c r="V503" s="1781">
        <v>0.96</v>
      </c>
      <c r="W503" s="1781">
        <v>0.96</v>
      </c>
      <c r="X503" s="1781">
        <v>0.96</v>
      </c>
      <c r="Y503" s="1781">
        <v>0.96</v>
      </c>
      <c r="Z503" s="1359">
        <v>0</v>
      </c>
      <c r="AA503" s="1781">
        <f t="shared" si="357"/>
        <v>0.96</v>
      </c>
      <c r="AB503" s="1781">
        <f t="shared" si="358"/>
        <v>0.96</v>
      </c>
      <c r="AC503" s="1781">
        <f t="shared" si="359"/>
        <v>0.96</v>
      </c>
      <c r="AD503" s="1781">
        <f t="shared" si="360"/>
        <v>0.96</v>
      </c>
      <c r="AE503" s="1781">
        <f t="shared" si="361"/>
        <v>0.96</v>
      </c>
      <c r="AF503" s="1781">
        <f t="shared" si="362"/>
        <v>0.96</v>
      </c>
      <c r="AG503" s="1781">
        <f t="shared" si="363"/>
        <v>0.96</v>
      </c>
      <c r="AH503" s="1781">
        <f t="shared" si="364"/>
        <v>0.96</v>
      </c>
      <c r="AI503" s="1362">
        <f t="shared" si="395"/>
        <v>444.41671670999023</v>
      </c>
      <c r="AJ503" s="1362">
        <f t="shared" si="396"/>
        <v>444.41671670999023</v>
      </c>
      <c r="AK503" s="1362">
        <f t="shared" si="397"/>
        <v>444.41671670999023</v>
      </c>
      <c r="AL503" s="1362">
        <f t="shared" si="398"/>
        <v>444.41671670999023</v>
      </c>
      <c r="AM503" s="1362">
        <f t="shared" si="399"/>
        <v>1777.6668668399609</v>
      </c>
      <c r="AN503" s="1132" t="str">
        <f t="shared" si="365"/>
        <v>RS-DHW-SHTM-V02-190101</v>
      </c>
      <c r="AO503" s="1132" t="str">
        <f t="shared" si="366"/>
        <v>Nicor Gas PY11-PY14 Adjustable Goals Template_2025-03-01, Tab 5.4.9</v>
      </c>
      <c r="AP503" s="2505">
        <f>'5.4.9'!$P$5</f>
        <v>3.7937881051874998</v>
      </c>
      <c r="AQ503" s="2568" t="s">
        <v>557</v>
      </c>
      <c r="AR503" s="2505">
        <f t="shared" si="367"/>
        <v>476.43301534089863</v>
      </c>
      <c r="AS503" s="2568">
        <f t="shared" si="368"/>
        <v>32.016298630908409</v>
      </c>
      <c r="AT503" s="1132" t="str">
        <f t="shared" si="369"/>
        <v>RS-DHW-SHTM-V02-190101</v>
      </c>
      <c r="AU503" s="1132" t="str">
        <f t="shared" si="370"/>
        <v>Nicor Gas PY11-PY14 Adjustable Goals Template_2025-03-01, Tab 5.4.9</v>
      </c>
      <c r="AV503" s="2505">
        <f>'5.4.9'!$P$5</f>
        <v>3.7937881051874998</v>
      </c>
      <c r="AW503" s="2568" t="s">
        <v>557</v>
      </c>
      <c r="AX503" s="1362">
        <f t="shared" si="371"/>
        <v>476.43301534089863</v>
      </c>
      <c r="AY503" s="1360">
        <f t="shared" si="372"/>
        <v>32.016298630908409</v>
      </c>
      <c r="AZ503" s="1132" t="str">
        <f t="shared" si="373"/>
        <v>RS-DHW-SHTM-V02-190101</v>
      </c>
      <c r="BA503" s="1132" t="str">
        <f t="shared" si="374"/>
        <v>Nicor Gas PY11-PY14 Adjustable Goals Template_2025-03-01, Tab 5.4.9</v>
      </c>
      <c r="BB503" s="2505">
        <f>'5.4.9'!$P$5</f>
        <v>3.7937881051874998</v>
      </c>
      <c r="BC503" s="2568" t="s">
        <v>557</v>
      </c>
      <c r="BD503" s="1362">
        <f t="shared" si="375"/>
        <v>476.43301534089863</v>
      </c>
      <c r="BE503" s="1360">
        <f t="shared" si="376"/>
        <v>32.016298630908409</v>
      </c>
      <c r="BF503" s="1132" t="str">
        <f t="shared" si="377"/>
        <v>RS-DHW-SHTM-V02-190101</v>
      </c>
      <c r="BG503" s="1132" t="str">
        <f t="shared" si="378"/>
        <v>Nicor Gas PY11-PY14 Adjustable Goals Template_2025-03-01, Tab 5.4.9</v>
      </c>
      <c r="BH503" s="2505">
        <f>'5.4.9'!$P$5</f>
        <v>3.7937881051874998</v>
      </c>
      <c r="BI503" s="2568" t="s">
        <v>557</v>
      </c>
      <c r="BJ503" s="1362">
        <f t="shared" si="400"/>
        <v>476.43301534089863</v>
      </c>
      <c r="BK503" s="1360">
        <f t="shared" si="379"/>
        <v>32.016298630908409</v>
      </c>
      <c r="BL503" s="1601">
        <f t="shared" si="380"/>
        <v>476.43301534089863</v>
      </c>
      <c r="BM503" s="1601">
        <f t="shared" si="381"/>
        <v>476.43301534089863</v>
      </c>
      <c r="BN503" s="1601">
        <f t="shared" si="382"/>
        <v>476.43301534089863</v>
      </c>
      <c r="BO503" s="1601">
        <f t="shared" si="383"/>
        <v>476.43301534089863</v>
      </c>
      <c r="BP503" s="1602">
        <f t="shared" si="384"/>
        <v>1905.7320613635945</v>
      </c>
      <c r="BQ503" s="1629"/>
      <c r="BR503" s="1629" t="s">
        <v>959</v>
      </c>
      <c r="BS503" s="1602">
        <v>0</v>
      </c>
      <c r="BT503" s="1602">
        <v>2</v>
      </c>
      <c r="BU503" s="1602">
        <v>2</v>
      </c>
      <c r="BV503" s="1602">
        <v>2</v>
      </c>
      <c r="BW503" s="1602">
        <v>2</v>
      </c>
      <c r="BX503" s="1362">
        <f t="shared" si="401"/>
        <v>888.83343341998045</v>
      </c>
      <c r="BY503" s="1362">
        <f t="shared" si="402"/>
        <v>888.83343341998045</v>
      </c>
      <c r="BZ503" s="1362">
        <f t="shared" si="403"/>
        <v>888.83343341998045</v>
      </c>
      <c r="CA503" s="1362">
        <f t="shared" si="404"/>
        <v>888.83343341998045</v>
      </c>
      <c r="CB503" s="1362">
        <f t="shared" si="405"/>
        <v>3555.3337336799218</v>
      </c>
      <c r="CC503" s="1360">
        <v>2</v>
      </c>
      <c r="CD503" s="1360">
        <v>2</v>
      </c>
      <c r="CE503" s="1360">
        <v>2</v>
      </c>
      <c r="CF503" s="1360">
        <v>2</v>
      </c>
      <c r="CG503" s="1604">
        <f t="shared" si="385"/>
        <v>952.86603068179727</v>
      </c>
      <c r="CH503" s="1604">
        <f t="shared" si="386"/>
        <v>952.86603068179727</v>
      </c>
      <c r="CI503" s="1604">
        <f t="shared" si="387"/>
        <v>952.86603068179727</v>
      </c>
      <c r="CJ503" s="1604">
        <f t="shared" si="388"/>
        <v>952.86603068179727</v>
      </c>
      <c r="CK503" s="1521">
        <f t="shared" si="389"/>
        <v>3811.4641227271891</v>
      </c>
      <c r="CL503" s="1132">
        <v>496</v>
      </c>
      <c r="CM503" s="1132" t="s">
        <v>356</v>
      </c>
      <c r="CN503" s="1359">
        <v>1</v>
      </c>
      <c r="CO503" s="1360">
        <v>95.026403001855925</v>
      </c>
      <c r="CP503" s="1360">
        <v>95.026403001855925</v>
      </c>
      <c r="CQ503" s="1360">
        <v>95.026403001855925</v>
      </c>
      <c r="CR503" s="1360">
        <v>95.026403001855925</v>
      </c>
      <c r="CS503" s="1362">
        <f t="shared" si="390"/>
        <v>322.8324123597842</v>
      </c>
      <c r="CT503" s="1362">
        <f t="shared" si="391"/>
        <v>322.8324123597842</v>
      </c>
      <c r="CU503" s="1362">
        <f t="shared" si="392"/>
        <v>322.8324123597842</v>
      </c>
      <c r="CV503" s="1362">
        <f t="shared" si="393"/>
        <v>322.8324123597842</v>
      </c>
      <c r="CW503" s="1362">
        <f t="shared" si="394"/>
        <v>1291.3296494391368</v>
      </c>
      <c r="CY503" s="2887"/>
    </row>
    <row r="504" spans="1:103" s="1143" customFormat="1" ht="79.5" customHeight="1" x14ac:dyDescent="0.35">
      <c r="A504" s="1132" t="s">
        <v>114</v>
      </c>
      <c r="B504" s="1132" t="s">
        <v>950</v>
      </c>
      <c r="C504" s="1132" t="s">
        <v>774</v>
      </c>
      <c r="D504" s="1359" t="s">
        <v>775</v>
      </c>
      <c r="E504" s="1359">
        <v>1</v>
      </c>
      <c r="F504" s="1780" t="s">
        <v>776</v>
      </c>
      <c r="G504" s="1132" t="s">
        <v>356</v>
      </c>
      <c r="H504" s="1360">
        <v>6.4709820000000002</v>
      </c>
      <c r="I504" s="1360">
        <v>6.4709820000000002</v>
      </c>
      <c r="J504" s="1360">
        <v>6.4709820000000002</v>
      </c>
      <c r="K504" s="1360">
        <v>6.4709820000000002</v>
      </c>
      <c r="L504" s="1132" t="s">
        <v>777</v>
      </c>
      <c r="M504" s="1132" t="str">
        <f t="shared" si="356"/>
        <v>Nicor Gas PY11-PY14 Adjustable Goals Template_2025-03-01, Tab 5.3.19</v>
      </c>
      <c r="N504" s="1361">
        <v>21.68</v>
      </c>
      <c r="O504" s="1361">
        <v>21.68</v>
      </c>
      <c r="P504" s="1361">
        <v>21.68</v>
      </c>
      <c r="Q504" s="1361">
        <v>21.68</v>
      </c>
      <c r="R504" s="1781">
        <v>0.96</v>
      </c>
      <c r="S504" s="1781">
        <v>0.96</v>
      </c>
      <c r="T504" s="1781">
        <v>0.96</v>
      </c>
      <c r="U504" s="1781">
        <v>0.96</v>
      </c>
      <c r="V504" s="1781">
        <v>0.96</v>
      </c>
      <c r="W504" s="1781">
        <v>0.96</v>
      </c>
      <c r="X504" s="1781">
        <v>0.96</v>
      </c>
      <c r="Y504" s="1781">
        <v>0.96</v>
      </c>
      <c r="Z504" s="1359">
        <v>0</v>
      </c>
      <c r="AA504" s="1781">
        <f t="shared" si="357"/>
        <v>0.96</v>
      </c>
      <c r="AB504" s="1781">
        <f t="shared" si="358"/>
        <v>0.96</v>
      </c>
      <c r="AC504" s="1781">
        <f t="shared" si="359"/>
        <v>0.96</v>
      </c>
      <c r="AD504" s="1781">
        <f t="shared" si="360"/>
        <v>0.96</v>
      </c>
      <c r="AE504" s="1781">
        <f t="shared" si="361"/>
        <v>0.96</v>
      </c>
      <c r="AF504" s="1781">
        <f t="shared" si="362"/>
        <v>0.96</v>
      </c>
      <c r="AG504" s="1781">
        <f t="shared" si="363"/>
        <v>0.96</v>
      </c>
      <c r="AH504" s="1781">
        <f t="shared" si="364"/>
        <v>0.96</v>
      </c>
      <c r="AI504" s="1362">
        <f t="shared" si="395"/>
        <v>134.6792541696</v>
      </c>
      <c r="AJ504" s="1362">
        <f t="shared" si="396"/>
        <v>134.6792541696</v>
      </c>
      <c r="AK504" s="1362">
        <f t="shared" si="397"/>
        <v>134.6792541696</v>
      </c>
      <c r="AL504" s="1362">
        <f t="shared" si="398"/>
        <v>134.6792541696</v>
      </c>
      <c r="AM504" s="1362">
        <f t="shared" si="399"/>
        <v>538.7170166784</v>
      </c>
      <c r="AN504" s="1132" t="str">
        <f t="shared" si="365"/>
        <v>RS-HVC-TRVS-V01-210101</v>
      </c>
      <c r="AO504" s="1132" t="str">
        <f t="shared" si="366"/>
        <v>Nicor Gas PY11-PY14 Adjustable Goals Template_2025-03-01, Tab 5.3.19</v>
      </c>
      <c r="AP504" s="2505">
        <f>'5.3.19'!$O$4</f>
        <v>21.68</v>
      </c>
      <c r="AQ504" s="2505"/>
      <c r="AR504" s="2505">
        <f t="shared" si="367"/>
        <v>134.6792541696</v>
      </c>
      <c r="AS504" s="2505">
        <f t="shared" si="368"/>
        <v>0</v>
      </c>
      <c r="AT504" s="1132" t="str">
        <f t="shared" si="369"/>
        <v>RS-HVC-TRVS-V01-210101</v>
      </c>
      <c r="AU504" s="1132" t="str">
        <f t="shared" si="370"/>
        <v>Nicor Gas PY11-PY14 Adjustable Goals Template_2025-03-01, Tab 5.3.19</v>
      </c>
      <c r="AV504" s="2505">
        <f>'5.3.19'!$O$4</f>
        <v>21.68</v>
      </c>
      <c r="AW504" s="2505"/>
      <c r="AX504" s="1362">
        <f t="shared" si="371"/>
        <v>134.6792541696</v>
      </c>
      <c r="AY504" s="1360">
        <f t="shared" si="372"/>
        <v>0</v>
      </c>
      <c r="AZ504" s="1132" t="str">
        <f t="shared" si="373"/>
        <v>RS-HVC-TRVS-V01-210101</v>
      </c>
      <c r="BA504" s="1132" t="str">
        <f t="shared" si="374"/>
        <v>Nicor Gas PY11-PY14 Adjustable Goals Template_2025-03-01, Tab 5.3.19</v>
      </c>
      <c r="BB504" s="2505">
        <f>'5.3.19'!$O$4</f>
        <v>21.68</v>
      </c>
      <c r="BC504" s="2505"/>
      <c r="BD504" s="1362">
        <f t="shared" si="375"/>
        <v>134.6792541696</v>
      </c>
      <c r="BE504" s="1360">
        <f t="shared" si="376"/>
        <v>0</v>
      </c>
      <c r="BF504" s="1132" t="str">
        <f t="shared" si="377"/>
        <v>RS-HVC-TRVS-V01-210101</v>
      </c>
      <c r="BG504" s="1132" t="str">
        <f t="shared" si="378"/>
        <v>Nicor Gas PY11-PY14 Adjustable Goals Template_2025-03-01, Tab 5.3.19</v>
      </c>
      <c r="BH504" s="2505">
        <f>'5.3.19'!$O$4</f>
        <v>21.68</v>
      </c>
      <c r="BI504" s="2505"/>
      <c r="BJ504" s="1362">
        <f t="shared" si="400"/>
        <v>134.6792541696</v>
      </c>
      <c r="BK504" s="1360">
        <f t="shared" si="379"/>
        <v>0</v>
      </c>
      <c r="BL504" s="1601">
        <f t="shared" si="380"/>
        <v>134.6792541696</v>
      </c>
      <c r="BM504" s="1601">
        <f t="shared" si="381"/>
        <v>134.6792541696</v>
      </c>
      <c r="BN504" s="1601">
        <f t="shared" si="382"/>
        <v>134.6792541696</v>
      </c>
      <c r="BO504" s="1601">
        <f t="shared" si="383"/>
        <v>134.6792541696</v>
      </c>
      <c r="BP504" s="1602">
        <f t="shared" si="384"/>
        <v>538.7170166784</v>
      </c>
      <c r="BQ504" s="1629"/>
      <c r="BR504" s="1629" t="s">
        <v>776</v>
      </c>
      <c r="BS504" s="1602">
        <v>0</v>
      </c>
      <c r="BT504" s="1602">
        <v>15</v>
      </c>
      <c r="BU504" s="1602">
        <v>15</v>
      </c>
      <c r="BV504" s="1602">
        <v>15</v>
      </c>
      <c r="BW504" s="1602">
        <v>15</v>
      </c>
      <c r="BX504" s="1362">
        <f t="shared" si="401"/>
        <v>2020.188812544</v>
      </c>
      <c r="BY504" s="1362">
        <f t="shared" si="402"/>
        <v>2020.188812544</v>
      </c>
      <c r="BZ504" s="1362">
        <f t="shared" si="403"/>
        <v>2020.188812544</v>
      </c>
      <c r="CA504" s="1362">
        <f t="shared" si="404"/>
        <v>2020.188812544</v>
      </c>
      <c r="CB504" s="1362">
        <f t="shared" si="405"/>
        <v>8080.7552501760001</v>
      </c>
      <c r="CC504" s="1360">
        <v>15</v>
      </c>
      <c r="CD504" s="1360">
        <v>15</v>
      </c>
      <c r="CE504" s="1360">
        <v>15</v>
      </c>
      <c r="CF504" s="1360">
        <v>15</v>
      </c>
      <c r="CG504" s="1604">
        <f t="shared" si="385"/>
        <v>2020.188812544</v>
      </c>
      <c r="CH504" s="1604">
        <f t="shared" si="386"/>
        <v>2020.188812544</v>
      </c>
      <c r="CI504" s="1604">
        <f t="shared" si="387"/>
        <v>2020.188812544</v>
      </c>
      <c r="CJ504" s="1604">
        <f t="shared" si="388"/>
        <v>2020.188812544</v>
      </c>
      <c r="CK504" s="1521">
        <f t="shared" si="389"/>
        <v>8080.7552501760001</v>
      </c>
      <c r="CL504" s="1132">
        <v>497</v>
      </c>
      <c r="CM504" s="1132" t="s">
        <v>356</v>
      </c>
      <c r="CN504" s="1359">
        <v>1</v>
      </c>
      <c r="CO504" s="1360">
        <v>6.4709820000000002</v>
      </c>
      <c r="CP504" s="1360">
        <v>6.4709820000000002</v>
      </c>
      <c r="CQ504" s="1360">
        <v>6.4709820000000002</v>
      </c>
      <c r="CR504" s="1360">
        <v>6.4709820000000002</v>
      </c>
      <c r="CS504" s="1362">
        <f t="shared" si="390"/>
        <v>134.6792541696</v>
      </c>
      <c r="CT504" s="1362">
        <f t="shared" si="391"/>
        <v>134.6792541696</v>
      </c>
      <c r="CU504" s="1362">
        <f t="shared" si="392"/>
        <v>134.6792541696</v>
      </c>
      <c r="CV504" s="1362">
        <f t="shared" si="393"/>
        <v>134.6792541696</v>
      </c>
      <c r="CW504" s="1362">
        <f t="shared" si="394"/>
        <v>538.7170166784</v>
      </c>
      <c r="CY504" s="2887"/>
    </row>
    <row r="505" spans="1:103" s="1143" customFormat="1" ht="46.5" x14ac:dyDescent="0.35">
      <c r="A505" s="1132" t="s">
        <v>114</v>
      </c>
      <c r="B505" s="1132" t="s">
        <v>961</v>
      </c>
      <c r="C505" s="1132" t="s">
        <v>430</v>
      </c>
      <c r="D505" s="1359" t="s">
        <v>431</v>
      </c>
      <c r="E505" s="1359">
        <v>1</v>
      </c>
      <c r="F505" s="2807" t="s">
        <v>332</v>
      </c>
      <c r="G505" s="1132" t="s">
        <v>328</v>
      </c>
      <c r="H505" s="1360">
        <v>27</v>
      </c>
      <c r="I505" s="1360">
        <v>27</v>
      </c>
      <c r="J505" s="1360">
        <v>27</v>
      </c>
      <c r="K505" s="1360">
        <v>27</v>
      </c>
      <c r="L505" s="1132" t="s">
        <v>333</v>
      </c>
      <c r="M505" s="1132" t="str">
        <f t="shared" si="356"/>
        <v>Nicor Gas PY11-PY14 Adjustable Goals Template_2025-03-01, Tab 4.4.2</v>
      </c>
      <c r="N505" s="1361">
        <v>178.19138451334805</v>
      </c>
      <c r="O505" s="1361">
        <v>178.19138451334805</v>
      </c>
      <c r="P505" s="1361">
        <v>178.19138451334805</v>
      </c>
      <c r="Q505" s="1361">
        <v>178.19138451334805</v>
      </c>
      <c r="R505" s="1781">
        <v>0.93</v>
      </c>
      <c r="S505" s="1781">
        <v>0.93</v>
      </c>
      <c r="T505" s="1781">
        <v>0.93</v>
      </c>
      <c r="U505" s="1781">
        <v>0.93</v>
      </c>
      <c r="V505" s="1781">
        <v>0.93</v>
      </c>
      <c r="W505" s="1781">
        <v>0.93</v>
      </c>
      <c r="X505" s="1781">
        <v>0.93</v>
      </c>
      <c r="Y505" s="1781">
        <v>0.93</v>
      </c>
      <c r="Z505" s="1359">
        <v>0</v>
      </c>
      <c r="AA505" s="1781">
        <f t="shared" si="357"/>
        <v>0.93</v>
      </c>
      <c r="AB505" s="1781">
        <f t="shared" si="358"/>
        <v>0.93</v>
      </c>
      <c r="AC505" s="1781">
        <f t="shared" si="359"/>
        <v>0.93</v>
      </c>
      <c r="AD505" s="1781">
        <f t="shared" si="360"/>
        <v>0.93</v>
      </c>
      <c r="AE505" s="1781">
        <f t="shared" si="361"/>
        <v>0.93</v>
      </c>
      <c r="AF505" s="1781">
        <f t="shared" si="362"/>
        <v>0.93</v>
      </c>
      <c r="AG505" s="1781">
        <f t="shared" si="363"/>
        <v>0.93</v>
      </c>
      <c r="AH505" s="1781">
        <f t="shared" si="364"/>
        <v>0.93</v>
      </c>
      <c r="AI505" s="1362">
        <f t="shared" si="395"/>
        <v>4474.3856651301703</v>
      </c>
      <c r="AJ505" s="1362">
        <f t="shared" si="396"/>
        <v>4474.3856651301703</v>
      </c>
      <c r="AK505" s="1362">
        <f t="shared" si="397"/>
        <v>4474.3856651301703</v>
      </c>
      <c r="AL505" s="1362">
        <f t="shared" si="398"/>
        <v>4474.3856651301703</v>
      </c>
      <c r="AM505" s="1362">
        <f t="shared" si="399"/>
        <v>17897.542660520681</v>
      </c>
      <c r="AN505" s="1132" t="str">
        <f t="shared" si="365"/>
        <v>CI-HVC-BLRT-V06-160601</v>
      </c>
      <c r="AO505" s="1132" t="str">
        <f t="shared" si="366"/>
        <v>Nicor Gas PY11-PY14 Adjustable Goals Template_2025-03-01, Tab 4.4.2</v>
      </c>
      <c r="AP505" s="2568">
        <f>'4.4.2'!$O$4</f>
        <v>174.54860553805378</v>
      </c>
      <c r="AQ505" s="2568" t="s">
        <v>432</v>
      </c>
      <c r="AR505" s="2505">
        <f t="shared" si="367"/>
        <v>4382.915485060531</v>
      </c>
      <c r="AS505" s="2505">
        <f t="shared" si="368"/>
        <v>-91.470180069639355</v>
      </c>
      <c r="AT505" s="1132" t="str">
        <f t="shared" si="369"/>
        <v>CI-HVC-BLRT-V06-160601</v>
      </c>
      <c r="AU505" s="1132" t="str">
        <f t="shared" si="370"/>
        <v>Nicor Gas PY11-PY14 Adjustable Goals Template_2025-03-01, Tab 4.4.2</v>
      </c>
      <c r="AV505" s="2505">
        <f>'4.4.2'!$O$4</f>
        <v>174.54860553805378</v>
      </c>
      <c r="AW505" s="2568" t="s">
        <v>432</v>
      </c>
      <c r="AX505" s="1362">
        <f t="shared" si="371"/>
        <v>4382.915485060531</v>
      </c>
      <c r="AY505" s="1360">
        <f t="shared" si="372"/>
        <v>-91.470180069639355</v>
      </c>
      <c r="AZ505" s="1132" t="str">
        <f t="shared" si="373"/>
        <v>CI-HVC-BLRT-V06-160601</v>
      </c>
      <c r="BA505" s="1132" t="str">
        <f t="shared" si="374"/>
        <v>Nicor Gas PY11-PY14 Adjustable Goals Template_2025-03-01, Tab 4.4.2</v>
      </c>
      <c r="BB505" s="2505">
        <f>'4.4.2'!$O$4</f>
        <v>174.54860553805378</v>
      </c>
      <c r="BC505" s="2568" t="s">
        <v>432</v>
      </c>
      <c r="BD505" s="1362">
        <f t="shared" si="375"/>
        <v>4382.915485060531</v>
      </c>
      <c r="BE505" s="1360">
        <f t="shared" si="376"/>
        <v>-91.470180069639355</v>
      </c>
      <c r="BF505" s="1132" t="str">
        <f t="shared" si="377"/>
        <v>CI-HVC-BLRT-V06-160601</v>
      </c>
      <c r="BG505" s="1132" t="str">
        <f t="shared" si="378"/>
        <v>Nicor Gas PY11-PY14 Adjustable Goals Template_2025-03-01, Tab 4.4.2</v>
      </c>
      <c r="BH505" s="2505">
        <f>'4.4.2'!$O$4</f>
        <v>174.54860553805378</v>
      </c>
      <c r="BI505" s="2568" t="s">
        <v>432</v>
      </c>
      <c r="BJ505" s="1362">
        <f t="shared" si="400"/>
        <v>4382.915485060531</v>
      </c>
      <c r="BK505" s="1360">
        <f t="shared" si="379"/>
        <v>-91.470180069639355</v>
      </c>
      <c r="BL505" s="1601">
        <f t="shared" si="380"/>
        <v>4382.915485060531</v>
      </c>
      <c r="BM505" s="1601">
        <f t="shared" si="381"/>
        <v>4382.915485060531</v>
      </c>
      <c r="BN505" s="1601">
        <f t="shared" si="382"/>
        <v>4382.915485060531</v>
      </c>
      <c r="BO505" s="1601">
        <f t="shared" si="383"/>
        <v>4382.915485060531</v>
      </c>
      <c r="BP505" s="1602">
        <f t="shared" si="384"/>
        <v>17531.661940242124</v>
      </c>
      <c r="BQ505" s="1629"/>
      <c r="BR505" s="1629" t="s">
        <v>332</v>
      </c>
      <c r="BS505" s="1602">
        <v>0</v>
      </c>
      <c r="BT505" s="1602">
        <v>3</v>
      </c>
      <c r="BU505" s="1602">
        <v>3</v>
      </c>
      <c r="BV505" s="1602">
        <v>3</v>
      </c>
      <c r="BW505" s="1602">
        <v>3</v>
      </c>
      <c r="BX505" s="1362">
        <f t="shared" si="401"/>
        <v>13423.156995390511</v>
      </c>
      <c r="BY505" s="1362">
        <f t="shared" si="402"/>
        <v>13423.156995390511</v>
      </c>
      <c r="BZ505" s="1362">
        <f t="shared" si="403"/>
        <v>13423.156995390511</v>
      </c>
      <c r="CA505" s="1362">
        <f t="shared" si="404"/>
        <v>13423.156995390511</v>
      </c>
      <c r="CB505" s="1362">
        <f t="shared" si="405"/>
        <v>53692.627981562044</v>
      </c>
      <c r="CC505" s="1360">
        <v>3</v>
      </c>
      <c r="CD505" s="1360">
        <v>3</v>
      </c>
      <c r="CE505" s="1360">
        <v>3</v>
      </c>
      <c r="CF505" s="1360">
        <v>3</v>
      </c>
      <c r="CG505" s="1604">
        <f t="shared" si="385"/>
        <v>13148.746455181594</v>
      </c>
      <c r="CH505" s="1604">
        <f t="shared" si="386"/>
        <v>13148.746455181594</v>
      </c>
      <c r="CI505" s="1604">
        <f t="shared" si="387"/>
        <v>13148.746455181594</v>
      </c>
      <c r="CJ505" s="1604">
        <f t="shared" si="388"/>
        <v>13148.746455181594</v>
      </c>
      <c r="CK505" s="1521">
        <f t="shared" si="389"/>
        <v>52594.985820726375</v>
      </c>
      <c r="CL505" s="1132">
        <v>498</v>
      </c>
      <c r="CM505" s="1132" t="s">
        <v>328</v>
      </c>
      <c r="CN505" s="1359">
        <v>0</v>
      </c>
      <c r="CO505" s="1360">
        <v>27</v>
      </c>
      <c r="CP505" s="1360">
        <v>27</v>
      </c>
      <c r="CQ505" s="1360">
        <v>27</v>
      </c>
      <c r="CR505" s="1360">
        <v>27</v>
      </c>
      <c r="CS505" s="1362">
        <f t="shared" si="390"/>
        <v>4382.915485060531</v>
      </c>
      <c r="CT505" s="1362">
        <f t="shared" si="391"/>
        <v>4382.915485060531</v>
      </c>
      <c r="CU505" s="1362">
        <f t="shared" si="392"/>
        <v>4382.915485060531</v>
      </c>
      <c r="CV505" s="1362">
        <f t="shared" si="393"/>
        <v>4382.915485060531</v>
      </c>
      <c r="CW505" s="1362">
        <f t="shared" si="394"/>
        <v>17531.661940242124</v>
      </c>
      <c r="CY505" s="2887"/>
    </row>
    <row r="506" spans="1:103" s="1143" customFormat="1" ht="46.5" x14ac:dyDescent="0.35">
      <c r="A506" s="1132" t="s">
        <v>114</v>
      </c>
      <c r="B506" s="1132" t="s">
        <v>961</v>
      </c>
      <c r="C506" s="1132" t="s">
        <v>433</v>
      </c>
      <c r="D506" s="1359" t="s">
        <v>434</v>
      </c>
      <c r="E506" s="1359">
        <v>1</v>
      </c>
      <c r="F506" s="2807" t="s">
        <v>435</v>
      </c>
      <c r="G506" s="1132" t="s">
        <v>356</v>
      </c>
      <c r="H506" s="1360">
        <v>4.2</v>
      </c>
      <c r="I506" s="1360">
        <v>4.2</v>
      </c>
      <c r="J506" s="1360">
        <v>4.2</v>
      </c>
      <c r="K506" s="1360">
        <v>4.2</v>
      </c>
      <c r="L506" s="1132" t="s">
        <v>436</v>
      </c>
      <c r="M506" s="1132" t="str">
        <f t="shared" si="356"/>
        <v>Nicor Gas PY11-PY14 Adjustable Goals Template_2025-03-01, Tab 4.4.10</v>
      </c>
      <c r="N506" s="1361">
        <v>238.91364739575309</v>
      </c>
      <c r="O506" s="1361">
        <v>238.91364739575309</v>
      </c>
      <c r="P506" s="1361">
        <v>238.91364739575309</v>
      </c>
      <c r="Q506" s="1361">
        <v>238.91364739575309</v>
      </c>
      <c r="R506" s="1781">
        <v>0.93</v>
      </c>
      <c r="S506" s="1781">
        <v>0.93</v>
      </c>
      <c r="T506" s="1781">
        <v>0.93</v>
      </c>
      <c r="U506" s="1781">
        <v>0.93</v>
      </c>
      <c r="V506" s="1781">
        <v>0.93</v>
      </c>
      <c r="W506" s="1781">
        <v>0.93</v>
      </c>
      <c r="X506" s="1781">
        <v>0.93</v>
      </c>
      <c r="Y506" s="1781">
        <v>0.93</v>
      </c>
      <c r="Z506" s="1359">
        <v>0</v>
      </c>
      <c r="AA506" s="1781">
        <f t="shared" si="357"/>
        <v>0.93</v>
      </c>
      <c r="AB506" s="1781">
        <f t="shared" si="358"/>
        <v>0.93</v>
      </c>
      <c r="AC506" s="1781">
        <f t="shared" si="359"/>
        <v>0.93</v>
      </c>
      <c r="AD506" s="1781">
        <f t="shared" si="360"/>
        <v>0.93</v>
      </c>
      <c r="AE506" s="1781">
        <f t="shared" si="361"/>
        <v>0.93</v>
      </c>
      <c r="AF506" s="1781">
        <f t="shared" si="362"/>
        <v>0.93</v>
      </c>
      <c r="AG506" s="1781">
        <f t="shared" si="363"/>
        <v>0.93</v>
      </c>
      <c r="AH506" s="1781">
        <f t="shared" si="364"/>
        <v>0.93</v>
      </c>
      <c r="AI506" s="1362">
        <f t="shared" si="395"/>
        <v>933.19670672781172</v>
      </c>
      <c r="AJ506" s="1362">
        <f t="shared" si="396"/>
        <v>933.19670672781172</v>
      </c>
      <c r="AK506" s="1362">
        <f t="shared" si="397"/>
        <v>933.19670672781172</v>
      </c>
      <c r="AL506" s="1362">
        <f t="shared" si="398"/>
        <v>933.19670672781172</v>
      </c>
      <c r="AM506" s="1362">
        <f t="shared" si="399"/>
        <v>3732.7868269112469</v>
      </c>
      <c r="AN506" s="1132" t="str">
        <f t="shared" si="365"/>
        <v>CI-HVC-BOIL-V06-190101</v>
      </c>
      <c r="AO506" s="1132" t="str">
        <f t="shared" si="366"/>
        <v>Nicor Gas PY11-PY14 Adjustable Goals Template_2025-03-01, Tab 4.4.10</v>
      </c>
      <c r="AP506" s="2568">
        <f>'4.4.10'!$Q$4</f>
        <v>234.02951894015465</v>
      </c>
      <c r="AQ506" s="2568" t="s">
        <v>432</v>
      </c>
      <c r="AR506" s="2505">
        <f t="shared" si="367"/>
        <v>914.11930098024413</v>
      </c>
      <c r="AS506" s="2505">
        <f t="shared" si="368"/>
        <v>-19.077405747567582</v>
      </c>
      <c r="AT506" s="1132" t="str">
        <f t="shared" si="369"/>
        <v>CI-HVC-BOIL-V06-190101</v>
      </c>
      <c r="AU506" s="1132" t="str">
        <f t="shared" si="370"/>
        <v>Nicor Gas PY11-PY14 Adjustable Goals Template_2025-03-01, Tab 4.4.10</v>
      </c>
      <c r="AV506" s="2505">
        <f>'4.4.10'!$Q$4</f>
        <v>234.02951894015465</v>
      </c>
      <c r="AW506" s="2568" t="s">
        <v>432</v>
      </c>
      <c r="AX506" s="1362">
        <f t="shared" si="371"/>
        <v>914.11930098024413</v>
      </c>
      <c r="AY506" s="1360">
        <f t="shared" si="372"/>
        <v>-19.077405747567582</v>
      </c>
      <c r="AZ506" s="1132" t="str">
        <f t="shared" si="373"/>
        <v>CI-HVC-BOIL-V06-190101</v>
      </c>
      <c r="BA506" s="1132" t="str">
        <f t="shared" si="374"/>
        <v>Nicor Gas PY11-PY14 Adjustable Goals Template_2025-03-01, Tab 4.4.10</v>
      </c>
      <c r="BB506" s="2505">
        <f>'4.4.10'!$Q$4</f>
        <v>234.02951894015465</v>
      </c>
      <c r="BC506" s="2568" t="s">
        <v>432</v>
      </c>
      <c r="BD506" s="1362">
        <f t="shared" si="375"/>
        <v>914.11930098024413</v>
      </c>
      <c r="BE506" s="1360">
        <f t="shared" si="376"/>
        <v>-19.077405747567582</v>
      </c>
      <c r="BF506" s="1132" t="str">
        <f t="shared" si="377"/>
        <v>CI-HVC-BOIL-V06-190101</v>
      </c>
      <c r="BG506" s="1132" t="str">
        <f t="shared" si="378"/>
        <v>Nicor Gas PY11-PY14 Adjustable Goals Template_2025-03-01, Tab 4.4.10</v>
      </c>
      <c r="BH506" s="2505">
        <f>'4.4.10'!$Q$4</f>
        <v>234.02951894015465</v>
      </c>
      <c r="BI506" s="2568" t="s">
        <v>432</v>
      </c>
      <c r="BJ506" s="1362">
        <f t="shared" si="400"/>
        <v>914.11930098024413</v>
      </c>
      <c r="BK506" s="1360">
        <f t="shared" si="379"/>
        <v>-19.077405747567582</v>
      </c>
      <c r="BL506" s="1601">
        <f t="shared" si="380"/>
        <v>914.11930098024413</v>
      </c>
      <c r="BM506" s="1601">
        <f t="shared" si="381"/>
        <v>914.11930098024413</v>
      </c>
      <c r="BN506" s="1601">
        <f t="shared" si="382"/>
        <v>914.11930098024413</v>
      </c>
      <c r="BO506" s="1601">
        <f t="shared" si="383"/>
        <v>914.11930098024413</v>
      </c>
      <c r="BP506" s="1602">
        <f t="shared" si="384"/>
        <v>3656.4772039209765</v>
      </c>
      <c r="BQ506" s="1629"/>
      <c r="BR506" s="1629" t="s">
        <v>435</v>
      </c>
      <c r="BS506" s="1602">
        <v>0</v>
      </c>
      <c r="BT506" s="1602">
        <v>25</v>
      </c>
      <c r="BU506" s="1602">
        <v>25</v>
      </c>
      <c r="BV506" s="1602">
        <v>25</v>
      </c>
      <c r="BW506" s="1602">
        <v>25</v>
      </c>
      <c r="BX506" s="1362">
        <f t="shared" si="401"/>
        <v>23329.917668195292</v>
      </c>
      <c r="BY506" s="1362">
        <f t="shared" si="402"/>
        <v>23329.917668195292</v>
      </c>
      <c r="BZ506" s="1362">
        <f t="shared" si="403"/>
        <v>23329.917668195292</v>
      </c>
      <c r="CA506" s="1362">
        <f t="shared" si="404"/>
        <v>23329.917668195292</v>
      </c>
      <c r="CB506" s="1362">
        <f t="shared" si="405"/>
        <v>93319.670672781169</v>
      </c>
      <c r="CC506" s="1360">
        <v>25</v>
      </c>
      <c r="CD506" s="1360">
        <v>25</v>
      </c>
      <c r="CE506" s="1360">
        <v>25</v>
      </c>
      <c r="CF506" s="1360">
        <v>25</v>
      </c>
      <c r="CG506" s="1604">
        <f t="shared" si="385"/>
        <v>22852.982524506104</v>
      </c>
      <c r="CH506" s="1604">
        <f t="shared" si="386"/>
        <v>22852.982524506104</v>
      </c>
      <c r="CI506" s="1604">
        <f t="shared" si="387"/>
        <v>22852.982524506104</v>
      </c>
      <c r="CJ506" s="1604">
        <f t="shared" si="388"/>
        <v>22852.982524506104</v>
      </c>
      <c r="CK506" s="1521">
        <f t="shared" si="389"/>
        <v>91411.930098024415</v>
      </c>
      <c r="CL506" s="1132">
        <v>499</v>
      </c>
      <c r="CM506" s="1132" t="s">
        <v>356</v>
      </c>
      <c r="CN506" s="1359">
        <v>0</v>
      </c>
      <c r="CO506" s="1360">
        <v>4.2</v>
      </c>
      <c r="CP506" s="1360">
        <v>4.2</v>
      </c>
      <c r="CQ506" s="1360">
        <v>4.2</v>
      </c>
      <c r="CR506" s="1360">
        <v>4.2</v>
      </c>
      <c r="CS506" s="1362">
        <f t="shared" si="390"/>
        <v>914.11930098024413</v>
      </c>
      <c r="CT506" s="1362">
        <f t="shared" si="391"/>
        <v>914.11930098024413</v>
      </c>
      <c r="CU506" s="1362">
        <f t="shared" si="392"/>
        <v>914.11930098024413</v>
      </c>
      <c r="CV506" s="1362">
        <f t="shared" si="393"/>
        <v>914.11930098024413</v>
      </c>
      <c r="CW506" s="1362">
        <f t="shared" si="394"/>
        <v>3656.4772039209765</v>
      </c>
      <c r="CY506" s="2887"/>
    </row>
    <row r="507" spans="1:103" s="1143" customFormat="1" ht="46.5" x14ac:dyDescent="0.35">
      <c r="A507" s="1132" t="s">
        <v>114</v>
      </c>
      <c r="B507" s="1132" t="s">
        <v>961</v>
      </c>
      <c r="C507" s="1132" t="s">
        <v>437</v>
      </c>
      <c r="D507" s="1359" t="s">
        <v>438</v>
      </c>
      <c r="E507" s="1359">
        <v>1</v>
      </c>
      <c r="F507" s="2807" t="s">
        <v>435</v>
      </c>
      <c r="G507" s="1132" t="s">
        <v>356</v>
      </c>
      <c r="H507" s="1360">
        <v>1.8000000000000003</v>
      </c>
      <c r="I507" s="1360">
        <v>1.8000000000000003</v>
      </c>
      <c r="J507" s="1360">
        <v>1.8000000000000003</v>
      </c>
      <c r="K507" s="1360">
        <v>1.8000000000000003</v>
      </c>
      <c r="L507" s="1132" t="s">
        <v>436</v>
      </c>
      <c r="M507" s="1132" t="str">
        <f t="shared" si="356"/>
        <v>Nicor Gas PY11-PY14 Adjustable Goals Template_2025-03-01, Tab 4.4.10</v>
      </c>
      <c r="N507" s="1361">
        <v>447.71432736486514</v>
      </c>
      <c r="O507" s="1361">
        <v>447.71432736486514</v>
      </c>
      <c r="P507" s="1361">
        <v>447.71432736486514</v>
      </c>
      <c r="Q507" s="1361">
        <v>447.71432736486514</v>
      </c>
      <c r="R507" s="1781">
        <v>0.93</v>
      </c>
      <c r="S507" s="1781">
        <v>0.93</v>
      </c>
      <c r="T507" s="1781">
        <v>0.93</v>
      </c>
      <c r="U507" s="1781">
        <v>0.93</v>
      </c>
      <c r="V507" s="1781">
        <v>0.93</v>
      </c>
      <c r="W507" s="1781">
        <v>0.93</v>
      </c>
      <c r="X507" s="1781">
        <v>0.93</v>
      </c>
      <c r="Y507" s="1781">
        <v>0.93</v>
      </c>
      <c r="Z507" s="1359">
        <v>0</v>
      </c>
      <c r="AA507" s="1781">
        <f t="shared" si="357"/>
        <v>0.93</v>
      </c>
      <c r="AB507" s="1781">
        <f t="shared" si="358"/>
        <v>0.93</v>
      </c>
      <c r="AC507" s="1781">
        <f t="shared" si="359"/>
        <v>0.93</v>
      </c>
      <c r="AD507" s="1781">
        <f t="shared" si="360"/>
        <v>0.93</v>
      </c>
      <c r="AE507" s="1781">
        <f t="shared" si="361"/>
        <v>0.93</v>
      </c>
      <c r="AF507" s="1781">
        <f t="shared" si="362"/>
        <v>0.93</v>
      </c>
      <c r="AG507" s="1781">
        <f t="shared" si="363"/>
        <v>0.93</v>
      </c>
      <c r="AH507" s="1781">
        <f t="shared" si="364"/>
        <v>0.93</v>
      </c>
      <c r="AI507" s="1362">
        <f t="shared" si="395"/>
        <v>749.47378400878438</v>
      </c>
      <c r="AJ507" s="1362">
        <f t="shared" si="396"/>
        <v>749.47378400878438</v>
      </c>
      <c r="AK507" s="1362">
        <f t="shared" si="397"/>
        <v>749.47378400878438</v>
      </c>
      <c r="AL507" s="1362">
        <f t="shared" si="398"/>
        <v>749.47378400878438</v>
      </c>
      <c r="AM507" s="1362">
        <f t="shared" si="399"/>
        <v>2997.8951360351375</v>
      </c>
      <c r="AN507" s="1132" t="str">
        <f t="shared" si="365"/>
        <v>CI-HVC-BOIL-V06-190101</v>
      </c>
      <c r="AO507" s="1132" t="str">
        <f t="shared" si="366"/>
        <v>Nicor Gas PY11-PY14 Adjustable Goals Template_2025-03-01, Tab 4.4.10</v>
      </c>
      <c r="AP507" s="2568">
        <f>'4.4.10'!$Q$5</f>
        <v>438.56167195946</v>
      </c>
      <c r="AQ507" s="2568" t="s">
        <v>432</v>
      </c>
      <c r="AR507" s="2505">
        <f t="shared" si="367"/>
        <v>734.15223886013621</v>
      </c>
      <c r="AS507" s="2505">
        <f t="shared" si="368"/>
        <v>-15.32154514864817</v>
      </c>
      <c r="AT507" s="1132" t="str">
        <f t="shared" si="369"/>
        <v>CI-HVC-BOIL-V06-190101</v>
      </c>
      <c r="AU507" s="1132" t="str">
        <f t="shared" si="370"/>
        <v>Nicor Gas PY11-PY14 Adjustable Goals Template_2025-03-01, Tab 4.4.10</v>
      </c>
      <c r="AV507" s="2505">
        <f>'4.4.10'!$Q$5</f>
        <v>438.56167195946</v>
      </c>
      <c r="AW507" s="2568" t="s">
        <v>432</v>
      </c>
      <c r="AX507" s="1362">
        <f t="shared" si="371"/>
        <v>734.15223886013621</v>
      </c>
      <c r="AY507" s="1360">
        <f t="shared" si="372"/>
        <v>-15.32154514864817</v>
      </c>
      <c r="AZ507" s="1132" t="str">
        <f t="shared" si="373"/>
        <v>CI-HVC-BOIL-V06-190101</v>
      </c>
      <c r="BA507" s="1132" t="str">
        <f t="shared" si="374"/>
        <v>Nicor Gas PY11-PY14 Adjustable Goals Template_2025-03-01, Tab 4.4.10</v>
      </c>
      <c r="BB507" s="2505">
        <f>'4.4.10'!$Q$5</f>
        <v>438.56167195946</v>
      </c>
      <c r="BC507" s="2568" t="s">
        <v>432</v>
      </c>
      <c r="BD507" s="1362">
        <f t="shared" si="375"/>
        <v>734.15223886013621</v>
      </c>
      <c r="BE507" s="1360">
        <f t="shared" si="376"/>
        <v>-15.32154514864817</v>
      </c>
      <c r="BF507" s="1132" t="str">
        <f t="shared" si="377"/>
        <v>CI-HVC-BOIL-V06-190101</v>
      </c>
      <c r="BG507" s="1132" t="str">
        <f t="shared" si="378"/>
        <v>Nicor Gas PY11-PY14 Adjustable Goals Template_2025-03-01, Tab 4.4.10</v>
      </c>
      <c r="BH507" s="2505">
        <f>'4.4.10'!$Q$5</f>
        <v>438.56167195946</v>
      </c>
      <c r="BI507" s="2568" t="s">
        <v>432</v>
      </c>
      <c r="BJ507" s="1362">
        <f t="shared" si="400"/>
        <v>734.15223886013621</v>
      </c>
      <c r="BK507" s="1360">
        <f t="shared" si="379"/>
        <v>-15.32154514864817</v>
      </c>
      <c r="BL507" s="1601">
        <f t="shared" si="380"/>
        <v>734.15223886013621</v>
      </c>
      <c r="BM507" s="1601">
        <f t="shared" si="381"/>
        <v>734.15223886013621</v>
      </c>
      <c r="BN507" s="1601">
        <f t="shared" si="382"/>
        <v>734.15223886013621</v>
      </c>
      <c r="BO507" s="1601">
        <f t="shared" si="383"/>
        <v>734.15223886013621</v>
      </c>
      <c r="BP507" s="1602">
        <f t="shared" si="384"/>
        <v>2936.6089554405448</v>
      </c>
      <c r="BQ507" s="1629"/>
      <c r="BR507" s="1629" t="s">
        <v>435</v>
      </c>
      <c r="BS507" s="1602">
        <v>0</v>
      </c>
      <c r="BT507" s="1602">
        <v>25</v>
      </c>
      <c r="BU507" s="1602">
        <v>25</v>
      </c>
      <c r="BV507" s="1602">
        <v>25</v>
      </c>
      <c r="BW507" s="1602">
        <v>25</v>
      </c>
      <c r="BX507" s="1362">
        <f t="shared" si="401"/>
        <v>18736.844600219611</v>
      </c>
      <c r="BY507" s="1362">
        <f t="shared" si="402"/>
        <v>18736.844600219611</v>
      </c>
      <c r="BZ507" s="1362">
        <f t="shared" si="403"/>
        <v>18736.844600219611</v>
      </c>
      <c r="CA507" s="1362">
        <f t="shared" si="404"/>
        <v>18736.844600219611</v>
      </c>
      <c r="CB507" s="1362">
        <f t="shared" si="405"/>
        <v>74947.378400878442</v>
      </c>
      <c r="CC507" s="1360">
        <v>25</v>
      </c>
      <c r="CD507" s="1360">
        <v>25</v>
      </c>
      <c r="CE507" s="1360">
        <v>25</v>
      </c>
      <c r="CF507" s="1360">
        <v>25</v>
      </c>
      <c r="CG507" s="1604">
        <f t="shared" si="385"/>
        <v>18353.805971503407</v>
      </c>
      <c r="CH507" s="1604">
        <f t="shared" si="386"/>
        <v>18353.805971503407</v>
      </c>
      <c r="CI507" s="1604">
        <f t="shared" si="387"/>
        <v>18353.805971503407</v>
      </c>
      <c r="CJ507" s="1604">
        <f t="shared" si="388"/>
        <v>18353.805971503407</v>
      </c>
      <c r="CK507" s="1521">
        <f t="shared" si="389"/>
        <v>73415.223886013628</v>
      </c>
      <c r="CL507" s="1132">
        <v>500</v>
      </c>
      <c r="CM507" s="1132" t="s">
        <v>356</v>
      </c>
      <c r="CN507" s="1359">
        <v>0</v>
      </c>
      <c r="CO507" s="1360">
        <v>1.8000000000000003</v>
      </c>
      <c r="CP507" s="1360">
        <v>1.8000000000000003</v>
      </c>
      <c r="CQ507" s="1360">
        <v>1.8000000000000003</v>
      </c>
      <c r="CR507" s="1360">
        <v>1.8000000000000003</v>
      </c>
      <c r="CS507" s="1362">
        <f t="shared" si="390"/>
        <v>734.15223886013621</v>
      </c>
      <c r="CT507" s="1362">
        <f t="shared" si="391"/>
        <v>734.15223886013621</v>
      </c>
      <c r="CU507" s="1362">
        <f t="shared" si="392"/>
        <v>734.15223886013621</v>
      </c>
      <c r="CV507" s="1362">
        <f t="shared" si="393"/>
        <v>734.15223886013621</v>
      </c>
      <c r="CW507" s="1362">
        <f t="shared" si="394"/>
        <v>2936.6089554405448</v>
      </c>
      <c r="CY507" s="2887"/>
    </row>
    <row r="508" spans="1:103" s="1143" customFormat="1" ht="46.5" x14ac:dyDescent="0.35">
      <c r="A508" s="1132" t="s">
        <v>114</v>
      </c>
      <c r="B508" s="1132" t="s">
        <v>961</v>
      </c>
      <c r="C508" s="1132" t="s">
        <v>439</v>
      </c>
      <c r="D508" s="1359" t="s">
        <v>440</v>
      </c>
      <c r="E508" s="1359">
        <v>1</v>
      </c>
      <c r="F508" s="2807" t="s">
        <v>435</v>
      </c>
      <c r="G508" s="1132" t="s">
        <v>356</v>
      </c>
      <c r="H508" s="1360">
        <v>2.4000000000000004</v>
      </c>
      <c r="I508" s="1360">
        <v>2.4000000000000004</v>
      </c>
      <c r="J508" s="1360">
        <v>2.4000000000000004</v>
      </c>
      <c r="K508" s="1360">
        <v>2.4000000000000004</v>
      </c>
      <c r="L508" s="1132" t="s">
        <v>436</v>
      </c>
      <c r="M508" s="1132" t="str">
        <f t="shared" si="356"/>
        <v>Nicor Gas PY11-PY14 Adjustable Goals Template_2025-03-01, Tab 4.4.10</v>
      </c>
      <c r="N508" s="1361">
        <v>744.8581799420856</v>
      </c>
      <c r="O508" s="1361">
        <v>744.8581799420856</v>
      </c>
      <c r="P508" s="1361">
        <v>744.8581799420856</v>
      </c>
      <c r="Q508" s="1361">
        <v>744.8581799420856</v>
      </c>
      <c r="R508" s="1781">
        <v>0.93</v>
      </c>
      <c r="S508" s="1781">
        <v>0.93</v>
      </c>
      <c r="T508" s="1781">
        <v>0.93</v>
      </c>
      <c r="U508" s="1781">
        <v>0.93</v>
      </c>
      <c r="V508" s="1781">
        <v>0.93</v>
      </c>
      <c r="W508" s="1781">
        <v>0.93</v>
      </c>
      <c r="X508" s="1781">
        <v>0.93</v>
      </c>
      <c r="Y508" s="1781">
        <v>0.93</v>
      </c>
      <c r="Z508" s="1359">
        <v>0</v>
      </c>
      <c r="AA508" s="1781">
        <f t="shared" si="357"/>
        <v>0.93</v>
      </c>
      <c r="AB508" s="1781">
        <f t="shared" si="358"/>
        <v>0.93</v>
      </c>
      <c r="AC508" s="1781">
        <f t="shared" si="359"/>
        <v>0.93</v>
      </c>
      <c r="AD508" s="1781">
        <f t="shared" si="360"/>
        <v>0.93</v>
      </c>
      <c r="AE508" s="1781">
        <f t="shared" si="361"/>
        <v>0.93</v>
      </c>
      <c r="AF508" s="1781">
        <f t="shared" si="362"/>
        <v>0.93</v>
      </c>
      <c r="AG508" s="1781">
        <f t="shared" si="363"/>
        <v>0.93</v>
      </c>
      <c r="AH508" s="1781">
        <f t="shared" si="364"/>
        <v>0.93</v>
      </c>
      <c r="AI508" s="1362">
        <f t="shared" si="395"/>
        <v>1662.5234576307353</v>
      </c>
      <c r="AJ508" s="1362">
        <f t="shared" si="396"/>
        <v>1662.5234576307353</v>
      </c>
      <c r="AK508" s="1362">
        <f t="shared" si="397"/>
        <v>1662.5234576307353</v>
      </c>
      <c r="AL508" s="1362">
        <f t="shared" si="398"/>
        <v>1662.5234576307353</v>
      </c>
      <c r="AM508" s="1362">
        <f t="shared" si="399"/>
        <v>6650.0938305229411</v>
      </c>
      <c r="AN508" s="1132" t="str">
        <f t="shared" si="365"/>
        <v>CI-HVC-BOIL-V06-190101</v>
      </c>
      <c r="AO508" s="1132" t="str">
        <f t="shared" si="366"/>
        <v>Nicor Gas PY11-PY14 Adjustable Goals Template_2025-03-01, Tab 4.4.10</v>
      </c>
      <c r="AP508" s="2568">
        <f>'4.4.10'!$Q$6</f>
        <v>729.63099191119761</v>
      </c>
      <c r="AQ508" s="2568" t="s">
        <v>432</v>
      </c>
      <c r="AR508" s="2505">
        <f t="shared" si="367"/>
        <v>1628.5363739457935</v>
      </c>
      <c r="AS508" s="2505">
        <f t="shared" si="368"/>
        <v>-33.987083684941808</v>
      </c>
      <c r="AT508" s="1132" t="str">
        <f t="shared" si="369"/>
        <v>CI-HVC-BOIL-V06-190101</v>
      </c>
      <c r="AU508" s="1132" t="str">
        <f t="shared" si="370"/>
        <v>Nicor Gas PY11-PY14 Adjustable Goals Template_2025-03-01, Tab 4.4.10</v>
      </c>
      <c r="AV508" s="2505">
        <f>'4.4.10'!$Q$6</f>
        <v>729.63099191119761</v>
      </c>
      <c r="AW508" s="2568" t="s">
        <v>432</v>
      </c>
      <c r="AX508" s="1362">
        <f t="shared" si="371"/>
        <v>1628.5363739457935</v>
      </c>
      <c r="AY508" s="1360">
        <f t="shared" si="372"/>
        <v>-33.987083684941808</v>
      </c>
      <c r="AZ508" s="1132" t="str">
        <f t="shared" si="373"/>
        <v>CI-HVC-BOIL-V06-190101</v>
      </c>
      <c r="BA508" s="1132" t="str">
        <f t="shared" si="374"/>
        <v>Nicor Gas PY11-PY14 Adjustable Goals Template_2025-03-01, Tab 4.4.10</v>
      </c>
      <c r="BB508" s="2505">
        <f>'4.4.10'!$Q$6</f>
        <v>729.63099191119761</v>
      </c>
      <c r="BC508" s="2568" t="s">
        <v>432</v>
      </c>
      <c r="BD508" s="1362">
        <f t="shared" si="375"/>
        <v>1628.5363739457935</v>
      </c>
      <c r="BE508" s="1360">
        <f t="shared" si="376"/>
        <v>-33.987083684941808</v>
      </c>
      <c r="BF508" s="1132" t="str">
        <f t="shared" si="377"/>
        <v>CI-HVC-BOIL-V06-190101</v>
      </c>
      <c r="BG508" s="1132" t="str">
        <f t="shared" si="378"/>
        <v>Nicor Gas PY11-PY14 Adjustable Goals Template_2025-03-01, Tab 4.4.10</v>
      </c>
      <c r="BH508" s="2505">
        <f>'4.4.10'!$Q$6</f>
        <v>729.63099191119761</v>
      </c>
      <c r="BI508" s="2568" t="s">
        <v>432</v>
      </c>
      <c r="BJ508" s="1362">
        <f t="shared" si="400"/>
        <v>1628.5363739457935</v>
      </c>
      <c r="BK508" s="1360">
        <f t="shared" si="379"/>
        <v>-33.987083684941808</v>
      </c>
      <c r="BL508" s="1601">
        <f t="shared" si="380"/>
        <v>1628.5363739457935</v>
      </c>
      <c r="BM508" s="1601">
        <f t="shared" si="381"/>
        <v>1628.5363739457935</v>
      </c>
      <c r="BN508" s="1601">
        <f t="shared" si="382"/>
        <v>1628.5363739457935</v>
      </c>
      <c r="BO508" s="1601">
        <f t="shared" si="383"/>
        <v>1628.5363739457935</v>
      </c>
      <c r="BP508" s="1602">
        <f t="shared" si="384"/>
        <v>6514.1454957831738</v>
      </c>
      <c r="BQ508" s="1629"/>
      <c r="BR508" s="1629" t="s">
        <v>435</v>
      </c>
      <c r="BS508" s="1602">
        <v>0</v>
      </c>
      <c r="BT508" s="1602">
        <v>25</v>
      </c>
      <c r="BU508" s="1602">
        <v>25</v>
      </c>
      <c r="BV508" s="1602">
        <v>25</v>
      </c>
      <c r="BW508" s="1602">
        <v>25</v>
      </c>
      <c r="BX508" s="1362">
        <f t="shared" si="401"/>
        <v>41563.086440768384</v>
      </c>
      <c r="BY508" s="1362">
        <f t="shared" si="402"/>
        <v>41563.086440768384</v>
      </c>
      <c r="BZ508" s="1362">
        <f t="shared" si="403"/>
        <v>41563.086440768384</v>
      </c>
      <c r="CA508" s="1362">
        <f t="shared" si="404"/>
        <v>41563.086440768384</v>
      </c>
      <c r="CB508" s="1362">
        <f t="shared" si="405"/>
        <v>166252.34576307354</v>
      </c>
      <c r="CC508" s="1360">
        <v>25</v>
      </c>
      <c r="CD508" s="1360">
        <v>25</v>
      </c>
      <c r="CE508" s="1360">
        <v>25</v>
      </c>
      <c r="CF508" s="1360">
        <v>25</v>
      </c>
      <c r="CG508" s="1604">
        <f t="shared" si="385"/>
        <v>40713.40934864484</v>
      </c>
      <c r="CH508" s="1604">
        <f t="shared" si="386"/>
        <v>40713.40934864484</v>
      </c>
      <c r="CI508" s="1604">
        <f t="shared" si="387"/>
        <v>40713.40934864484</v>
      </c>
      <c r="CJ508" s="1604">
        <f t="shared" si="388"/>
        <v>40713.40934864484</v>
      </c>
      <c r="CK508" s="1521">
        <f t="shared" si="389"/>
        <v>162853.63739457936</v>
      </c>
      <c r="CL508" s="1132">
        <v>501</v>
      </c>
      <c r="CM508" s="1132" t="s">
        <v>356</v>
      </c>
      <c r="CN508" s="1359">
        <v>0</v>
      </c>
      <c r="CO508" s="1360">
        <v>2.4000000000000004</v>
      </c>
      <c r="CP508" s="1360">
        <v>2.4000000000000004</v>
      </c>
      <c r="CQ508" s="1360">
        <v>2.4000000000000004</v>
      </c>
      <c r="CR508" s="1360">
        <v>2.4000000000000004</v>
      </c>
      <c r="CS508" s="1362">
        <f t="shared" si="390"/>
        <v>1628.5363739457935</v>
      </c>
      <c r="CT508" s="1362">
        <f t="shared" si="391"/>
        <v>1628.5363739457935</v>
      </c>
      <c r="CU508" s="1362">
        <f t="shared" si="392"/>
        <v>1628.5363739457935</v>
      </c>
      <c r="CV508" s="1362">
        <f t="shared" si="393"/>
        <v>1628.5363739457935</v>
      </c>
      <c r="CW508" s="1362">
        <f t="shared" si="394"/>
        <v>6514.1454957831738</v>
      </c>
      <c r="CY508" s="2887"/>
    </row>
    <row r="509" spans="1:103" s="1143" customFormat="1" ht="46.5" x14ac:dyDescent="0.35">
      <c r="A509" s="1132" t="s">
        <v>114</v>
      </c>
      <c r="B509" s="1132" t="s">
        <v>961</v>
      </c>
      <c r="C509" s="1132" t="s">
        <v>441</v>
      </c>
      <c r="D509" s="1359" t="s">
        <v>442</v>
      </c>
      <c r="E509" s="1359">
        <v>1</v>
      </c>
      <c r="F509" s="2807" t="s">
        <v>435</v>
      </c>
      <c r="G509" s="1132" t="s">
        <v>356</v>
      </c>
      <c r="H509" s="1360">
        <v>3</v>
      </c>
      <c r="I509" s="1360">
        <v>3</v>
      </c>
      <c r="J509" s="1360">
        <v>3</v>
      </c>
      <c r="K509" s="1360">
        <v>3</v>
      </c>
      <c r="L509" s="1132" t="s">
        <v>436</v>
      </c>
      <c r="M509" s="1132" t="str">
        <f t="shared" si="356"/>
        <v>Nicor Gas PY11-PY14 Adjustable Goals Template_2025-03-01, Tab 4.4.10</v>
      </c>
      <c r="N509" s="1361">
        <v>1409.4136100386113</v>
      </c>
      <c r="O509" s="1361">
        <v>1409.4136100386113</v>
      </c>
      <c r="P509" s="1361">
        <v>1409.4136100386113</v>
      </c>
      <c r="Q509" s="1361">
        <v>1409.4136100386113</v>
      </c>
      <c r="R509" s="1781">
        <v>0.93</v>
      </c>
      <c r="S509" s="1781">
        <v>0.93</v>
      </c>
      <c r="T509" s="1781">
        <v>0.93</v>
      </c>
      <c r="U509" s="1781">
        <v>0.93</v>
      </c>
      <c r="V509" s="1781">
        <v>0.93</v>
      </c>
      <c r="W509" s="1781">
        <v>0.93</v>
      </c>
      <c r="X509" s="1781">
        <v>0.93</v>
      </c>
      <c r="Y509" s="1781">
        <v>0.93</v>
      </c>
      <c r="Z509" s="1359">
        <v>0</v>
      </c>
      <c r="AA509" s="1781">
        <f t="shared" si="357"/>
        <v>0.93</v>
      </c>
      <c r="AB509" s="1781">
        <f t="shared" si="358"/>
        <v>0.93</v>
      </c>
      <c r="AC509" s="1781">
        <f t="shared" si="359"/>
        <v>0.93</v>
      </c>
      <c r="AD509" s="1781">
        <f t="shared" si="360"/>
        <v>0.93</v>
      </c>
      <c r="AE509" s="1781">
        <f t="shared" si="361"/>
        <v>0.93</v>
      </c>
      <c r="AF509" s="1781">
        <f t="shared" si="362"/>
        <v>0.93</v>
      </c>
      <c r="AG509" s="1781">
        <f t="shared" si="363"/>
        <v>0.93</v>
      </c>
      <c r="AH509" s="1781">
        <f t="shared" si="364"/>
        <v>0.93</v>
      </c>
      <c r="AI509" s="1362">
        <f t="shared" si="395"/>
        <v>3932.2639720077259</v>
      </c>
      <c r="AJ509" s="1362">
        <f t="shared" si="396"/>
        <v>3932.2639720077259</v>
      </c>
      <c r="AK509" s="1362">
        <f t="shared" si="397"/>
        <v>3932.2639720077259</v>
      </c>
      <c r="AL509" s="1362">
        <f t="shared" si="398"/>
        <v>3932.2639720077259</v>
      </c>
      <c r="AM509" s="1362">
        <f t="shared" si="399"/>
        <v>15729.055888030904</v>
      </c>
      <c r="AN509" s="1132" t="str">
        <f t="shared" si="365"/>
        <v>CI-HVC-BOIL-V06-190101</v>
      </c>
      <c r="AO509" s="1132" t="str">
        <f t="shared" si="366"/>
        <v>Nicor Gas PY11-PY14 Adjustable Goals Template_2025-03-01, Tab 4.4.10</v>
      </c>
      <c r="AP509" s="2568">
        <f>'4.4.10'!$Q$7</f>
        <v>1380.60086872587</v>
      </c>
      <c r="AQ509" s="2568" t="s">
        <v>432</v>
      </c>
      <c r="AR509" s="2505">
        <f t="shared" si="367"/>
        <v>3851.8764237451774</v>
      </c>
      <c r="AS509" s="2505">
        <f t="shared" si="368"/>
        <v>-80.387548262548535</v>
      </c>
      <c r="AT509" s="1132" t="str">
        <f t="shared" si="369"/>
        <v>CI-HVC-BOIL-V06-190101</v>
      </c>
      <c r="AU509" s="1132" t="str">
        <f t="shared" si="370"/>
        <v>Nicor Gas PY11-PY14 Adjustable Goals Template_2025-03-01, Tab 4.4.10</v>
      </c>
      <c r="AV509" s="2505">
        <f>'4.4.10'!$Q$7</f>
        <v>1380.60086872587</v>
      </c>
      <c r="AW509" s="2568" t="s">
        <v>432</v>
      </c>
      <c r="AX509" s="1362">
        <f t="shared" si="371"/>
        <v>3851.8764237451774</v>
      </c>
      <c r="AY509" s="1360">
        <f t="shared" si="372"/>
        <v>-80.387548262548535</v>
      </c>
      <c r="AZ509" s="1132" t="str">
        <f t="shared" si="373"/>
        <v>CI-HVC-BOIL-V06-190101</v>
      </c>
      <c r="BA509" s="1132" t="str">
        <f t="shared" si="374"/>
        <v>Nicor Gas PY11-PY14 Adjustable Goals Template_2025-03-01, Tab 4.4.10</v>
      </c>
      <c r="BB509" s="2505">
        <f>'4.4.10'!$Q$7</f>
        <v>1380.60086872587</v>
      </c>
      <c r="BC509" s="2568" t="s">
        <v>432</v>
      </c>
      <c r="BD509" s="1362">
        <f t="shared" si="375"/>
        <v>3851.8764237451774</v>
      </c>
      <c r="BE509" s="1360">
        <f t="shared" si="376"/>
        <v>-80.387548262548535</v>
      </c>
      <c r="BF509" s="1132" t="str">
        <f t="shared" si="377"/>
        <v>CI-HVC-BOIL-V06-190101</v>
      </c>
      <c r="BG509" s="1132" t="str">
        <f t="shared" si="378"/>
        <v>Nicor Gas PY11-PY14 Adjustable Goals Template_2025-03-01, Tab 4.4.10</v>
      </c>
      <c r="BH509" s="2505">
        <f>'4.4.10'!$Q$7</f>
        <v>1380.60086872587</v>
      </c>
      <c r="BI509" s="2568" t="s">
        <v>432</v>
      </c>
      <c r="BJ509" s="1362">
        <f t="shared" si="400"/>
        <v>3851.8764237451774</v>
      </c>
      <c r="BK509" s="1360">
        <f t="shared" si="379"/>
        <v>-80.387548262548535</v>
      </c>
      <c r="BL509" s="1601">
        <f t="shared" si="380"/>
        <v>3851.8764237451774</v>
      </c>
      <c r="BM509" s="1601">
        <f t="shared" si="381"/>
        <v>3851.8764237451774</v>
      </c>
      <c r="BN509" s="1601">
        <f t="shared" si="382"/>
        <v>3851.8764237451774</v>
      </c>
      <c r="BO509" s="1601">
        <f t="shared" si="383"/>
        <v>3851.8764237451774</v>
      </c>
      <c r="BP509" s="1602">
        <f t="shared" si="384"/>
        <v>15407.505694980709</v>
      </c>
      <c r="BQ509" s="1629"/>
      <c r="BR509" s="1629" t="s">
        <v>435</v>
      </c>
      <c r="BS509" s="1602">
        <v>0</v>
      </c>
      <c r="BT509" s="1602">
        <v>25</v>
      </c>
      <c r="BU509" s="1602">
        <v>25</v>
      </c>
      <c r="BV509" s="1602">
        <v>25</v>
      </c>
      <c r="BW509" s="1602">
        <v>25</v>
      </c>
      <c r="BX509" s="1362">
        <f t="shared" si="401"/>
        <v>98306.599300193149</v>
      </c>
      <c r="BY509" s="1362">
        <f t="shared" si="402"/>
        <v>98306.599300193149</v>
      </c>
      <c r="BZ509" s="1362">
        <f t="shared" si="403"/>
        <v>98306.599300193149</v>
      </c>
      <c r="CA509" s="1362">
        <f t="shared" si="404"/>
        <v>98306.599300193149</v>
      </c>
      <c r="CB509" s="1362">
        <f t="shared" si="405"/>
        <v>393226.3972007726</v>
      </c>
      <c r="CC509" s="1360">
        <v>25</v>
      </c>
      <c r="CD509" s="1360">
        <v>25</v>
      </c>
      <c r="CE509" s="1360">
        <v>25</v>
      </c>
      <c r="CF509" s="1360">
        <v>25</v>
      </c>
      <c r="CG509" s="1604">
        <f t="shared" si="385"/>
        <v>96296.910593629436</v>
      </c>
      <c r="CH509" s="1604">
        <f t="shared" si="386"/>
        <v>96296.910593629436</v>
      </c>
      <c r="CI509" s="1604">
        <f t="shared" si="387"/>
        <v>96296.910593629436</v>
      </c>
      <c r="CJ509" s="1604">
        <f t="shared" si="388"/>
        <v>96296.910593629436</v>
      </c>
      <c r="CK509" s="1521">
        <f t="shared" si="389"/>
        <v>385187.64237451775</v>
      </c>
      <c r="CL509" s="1132">
        <v>502</v>
      </c>
      <c r="CM509" s="1132" t="s">
        <v>356</v>
      </c>
      <c r="CN509" s="1359">
        <v>0</v>
      </c>
      <c r="CO509" s="1360">
        <v>3</v>
      </c>
      <c r="CP509" s="1360">
        <v>3</v>
      </c>
      <c r="CQ509" s="1360">
        <v>3</v>
      </c>
      <c r="CR509" s="1360">
        <v>3</v>
      </c>
      <c r="CS509" s="1362">
        <f t="shared" si="390"/>
        <v>3851.8764237451774</v>
      </c>
      <c r="CT509" s="1362">
        <f t="shared" si="391"/>
        <v>3851.8764237451774</v>
      </c>
      <c r="CU509" s="1362">
        <f t="shared" si="392"/>
        <v>3851.8764237451774</v>
      </c>
      <c r="CV509" s="1362">
        <f t="shared" si="393"/>
        <v>3851.8764237451774</v>
      </c>
      <c r="CW509" s="1362">
        <f t="shared" si="394"/>
        <v>15407.505694980709</v>
      </c>
      <c r="CY509" s="2887"/>
    </row>
    <row r="510" spans="1:103" s="1143" customFormat="1" ht="46.5" x14ac:dyDescent="0.35">
      <c r="A510" s="1132" t="s">
        <v>114</v>
      </c>
      <c r="B510" s="1132" t="s">
        <v>961</v>
      </c>
      <c r="C510" s="1132" t="s">
        <v>447</v>
      </c>
      <c r="D510" s="1359" t="s">
        <v>448</v>
      </c>
      <c r="E510" s="1359">
        <v>1</v>
      </c>
      <c r="F510" s="2807" t="s">
        <v>435</v>
      </c>
      <c r="G510" s="1132" t="s">
        <v>356</v>
      </c>
      <c r="H510" s="1360">
        <v>1.2000000000000002</v>
      </c>
      <c r="I510" s="1360">
        <v>1.2000000000000002</v>
      </c>
      <c r="J510" s="1360">
        <v>1.2000000000000002</v>
      </c>
      <c r="K510" s="1360">
        <v>1.2000000000000002</v>
      </c>
      <c r="L510" s="1132" t="s">
        <v>436</v>
      </c>
      <c r="M510" s="1132" t="str">
        <f t="shared" si="356"/>
        <v>Nicor Gas PY11-PY14 Adjustable Goals Template_2025-03-01, Tab 4.4.10</v>
      </c>
      <c r="N510" s="1361">
        <v>74.980804054054119</v>
      </c>
      <c r="O510" s="1361">
        <v>74.980804054054119</v>
      </c>
      <c r="P510" s="1361">
        <v>74.980804054054119</v>
      </c>
      <c r="Q510" s="1361">
        <v>74.980804054054119</v>
      </c>
      <c r="R510" s="1781">
        <v>0.93</v>
      </c>
      <c r="S510" s="1781">
        <v>0.93</v>
      </c>
      <c r="T510" s="1781">
        <v>0.93</v>
      </c>
      <c r="U510" s="1781">
        <v>0.93</v>
      </c>
      <c r="V510" s="1781">
        <v>0.93</v>
      </c>
      <c r="W510" s="1781">
        <v>0.93</v>
      </c>
      <c r="X510" s="1781">
        <v>0.93</v>
      </c>
      <c r="Y510" s="1781">
        <v>0.93</v>
      </c>
      <c r="Z510" s="1359">
        <v>0</v>
      </c>
      <c r="AA510" s="1781">
        <f t="shared" si="357"/>
        <v>0.93</v>
      </c>
      <c r="AB510" s="1781">
        <f t="shared" si="358"/>
        <v>0.93</v>
      </c>
      <c r="AC510" s="1781">
        <f t="shared" si="359"/>
        <v>0.93</v>
      </c>
      <c r="AD510" s="1781">
        <f t="shared" si="360"/>
        <v>0.93</v>
      </c>
      <c r="AE510" s="1781">
        <f t="shared" si="361"/>
        <v>0.93</v>
      </c>
      <c r="AF510" s="1781">
        <f t="shared" si="362"/>
        <v>0.93</v>
      </c>
      <c r="AG510" s="1781">
        <f t="shared" si="363"/>
        <v>0.93</v>
      </c>
      <c r="AH510" s="1781">
        <f t="shared" si="364"/>
        <v>0.93</v>
      </c>
      <c r="AI510" s="1362">
        <f t="shared" si="395"/>
        <v>83.678577324324408</v>
      </c>
      <c r="AJ510" s="1362">
        <f t="shared" si="396"/>
        <v>83.678577324324408</v>
      </c>
      <c r="AK510" s="1362">
        <f t="shared" si="397"/>
        <v>83.678577324324408</v>
      </c>
      <c r="AL510" s="1362">
        <f t="shared" si="398"/>
        <v>83.678577324324408</v>
      </c>
      <c r="AM510" s="1362">
        <f t="shared" si="399"/>
        <v>334.71430929729763</v>
      </c>
      <c r="AN510" s="1132" t="str">
        <f t="shared" si="365"/>
        <v>CI-HVC-BOIL-V06-190101</v>
      </c>
      <c r="AO510" s="1132" t="str">
        <f t="shared" si="366"/>
        <v>Nicor Gas PY11-PY14 Adjustable Goals Template_2025-03-01, Tab 4.4.10</v>
      </c>
      <c r="AP510" s="2568">
        <f>'4.4.10'!$Q$10</f>
        <v>73.447966216216287</v>
      </c>
      <c r="AQ510" s="2568" t="s">
        <v>432</v>
      </c>
      <c r="AR510" s="2505">
        <f t="shared" si="367"/>
        <v>81.967930297297386</v>
      </c>
      <c r="AS510" s="2505">
        <f t="shared" si="368"/>
        <v>-1.7106470270270222</v>
      </c>
      <c r="AT510" s="1132" t="str">
        <f t="shared" si="369"/>
        <v>CI-HVC-BOIL-V06-190101</v>
      </c>
      <c r="AU510" s="1132" t="str">
        <f t="shared" si="370"/>
        <v>Nicor Gas PY11-PY14 Adjustable Goals Template_2025-03-01, Tab 4.4.10</v>
      </c>
      <c r="AV510" s="2505">
        <f>'4.4.10'!$Q$10</f>
        <v>73.447966216216287</v>
      </c>
      <c r="AW510" s="2568" t="s">
        <v>432</v>
      </c>
      <c r="AX510" s="1362">
        <f t="shared" si="371"/>
        <v>81.967930297297386</v>
      </c>
      <c r="AY510" s="1360">
        <f t="shared" si="372"/>
        <v>-1.7106470270270222</v>
      </c>
      <c r="AZ510" s="1132" t="str">
        <f t="shared" si="373"/>
        <v>CI-HVC-BOIL-V06-190101</v>
      </c>
      <c r="BA510" s="1132" t="str">
        <f t="shared" si="374"/>
        <v>Nicor Gas PY11-PY14 Adjustable Goals Template_2025-03-01, Tab 4.4.10</v>
      </c>
      <c r="BB510" s="2505">
        <f>'4.4.10'!$Q$10</f>
        <v>73.447966216216287</v>
      </c>
      <c r="BC510" s="2568" t="s">
        <v>432</v>
      </c>
      <c r="BD510" s="1362">
        <f t="shared" si="375"/>
        <v>81.967930297297386</v>
      </c>
      <c r="BE510" s="1360">
        <f t="shared" si="376"/>
        <v>-1.7106470270270222</v>
      </c>
      <c r="BF510" s="1132" t="str">
        <f t="shared" si="377"/>
        <v>CI-HVC-BOIL-V06-190101</v>
      </c>
      <c r="BG510" s="1132" t="str">
        <f t="shared" si="378"/>
        <v>Nicor Gas PY11-PY14 Adjustable Goals Template_2025-03-01, Tab 4.4.10</v>
      </c>
      <c r="BH510" s="2505">
        <f>'4.4.10'!$Q$10</f>
        <v>73.447966216216287</v>
      </c>
      <c r="BI510" s="2568" t="s">
        <v>432</v>
      </c>
      <c r="BJ510" s="1362">
        <f t="shared" si="400"/>
        <v>81.967930297297386</v>
      </c>
      <c r="BK510" s="1360">
        <f t="shared" si="379"/>
        <v>-1.7106470270270222</v>
      </c>
      <c r="BL510" s="1601">
        <f t="shared" si="380"/>
        <v>81.967930297297386</v>
      </c>
      <c r="BM510" s="1601">
        <f t="shared" si="381"/>
        <v>81.967930297297386</v>
      </c>
      <c r="BN510" s="1601">
        <f t="shared" si="382"/>
        <v>81.967930297297386</v>
      </c>
      <c r="BO510" s="1601">
        <f t="shared" si="383"/>
        <v>81.967930297297386</v>
      </c>
      <c r="BP510" s="1602">
        <f t="shared" si="384"/>
        <v>327.87172118918954</v>
      </c>
      <c r="BQ510" s="1629"/>
      <c r="BR510" s="1629" t="s">
        <v>435</v>
      </c>
      <c r="BS510" s="1602">
        <v>0</v>
      </c>
      <c r="BT510" s="1602">
        <v>25</v>
      </c>
      <c r="BU510" s="1602">
        <v>25</v>
      </c>
      <c r="BV510" s="1602">
        <v>25</v>
      </c>
      <c r="BW510" s="1602">
        <v>25</v>
      </c>
      <c r="BX510" s="1362">
        <f t="shared" si="401"/>
        <v>2091.9644331081104</v>
      </c>
      <c r="BY510" s="1362">
        <f t="shared" si="402"/>
        <v>2091.9644331081104</v>
      </c>
      <c r="BZ510" s="1362">
        <f t="shared" si="403"/>
        <v>2091.9644331081104</v>
      </c>
      <c r="CA510" s="1362">
        <f t="shared" si="404"/>
        <v>2091.9644331081104</v>
      </c>
      <c r="CB510" s="1362">
        <f t="shared" si="405"/>
        <v>8367.8577324324415</v>
      </c>
      <c r="CC510" s="1360">
        <v>25</v>
      </c>
      <c r="CD510" s="1360">
        <v>25</v>
      </c>
      <c r="CE510" s="1360">
        <v>25</v>
      </c>
      <c r="CF510" s="1360">
        <v>25</v>
      </c>
      <c r="CG510" s="1604">
        <f t="shared" si="385"/>
        <v>2049.1982574324352</v>
      </c>
      <c r="CH510" s="1604">
        <f t="shared" si="386"/>
        <v>2049.1982574324352</v>
      </c>
      <c r="CI510" s="1604">
        <f t="shared" si="387"/>
        <v>2049.1982574324352</v>
      </c>
      <c r="CJ510" s="1604">
        <f t="shared" si="388"/>
        <v>2049.1982574324352</v>
      </c>
      <c r="CK510" s="1521">
        <f t="shared" si="389"/>
        <v>8196.7930297297407</v>
      </c>
      <c r="CL510" s="1132">
        <v>503</v>
      </c>
      <c r="CM510" s="1132" t="s">
        <v>356</v>
      </c>
      <c r="CN510" s="1359">
        <v>0</v>
      </c>
      <c r="CO510" s="1360">
        <v>1.2000000000000002</v>
      </c>
      <c r="CP510" s="1360">
        <v>1.2000000000000002</v>
      </c>
      <c r="CQ510" s="1360">
        <v>1.2000000000000002</v>
      </c>
      <c r="CR510" s="1360">
        <v>1.2000000000000002</v>
      </c>
      <c r="CS510" s="1362">
        <f t="shared" si="390"/>
        <v>81.967930297297386</v>
      </c>
      <c r="CT510" s="1362">
        <f t="shared" si="391"/>
        <v>81.967930297297386</v>
      </c>
      <c r="CU510" s="1362">
        <f t="shared" si="392"/>
        <v>81.967930297297386</v>
      </c>
      <c r="CV510" s="1362">
        <f t="shared" si="393"/>
        <v>81.967930297297386</v>
      </c>
      <c r="CW510" s="1362">
        <f t="shared" si="394"/>
        <v>327.87172118918954</v>
      </c>
      <c r="CY510" s="2887"/>
    </row>
    <row r="511" spans="1:103" s="1143" customFormat="1" ht="46.5" x14ac:dyDescent="0.35">
      <c r="A511" s="1132" t="s">
        <v>114</v>
      </c>
      <c r="B511" s="1132" t="s">
        <v>961</v>
      </c>
      <c r="C511" s="1132" t="s">
        <v>449</v>
      </c>
      <c r="D511" s="1359" t="s">
        <v>450</v>
      </c>
      <c r="E511" s="1359">
        <v>1</v>
      </c>
      <c r="F511" s="2807" t="s">
        <v>435</v>
      </c>
      <c r="G511" s="1132" t="s">
        <v>356</v>
      </c>
      <c r="H511" s="1360">
        <v>0.60000000000000009</v>
      </c>
      <c r="I511" s="1360">
        <v>0.60000000000000009</v>
      </c>
      <c r="J511" s="1360">
        <v>0.60000000000000009</v>
      </c>
      <c r="K511" s="1360">
        <v>0.60000000000000009</v>
      </c>
      <c r="L511" s="1132" t="s">
        <v>436</v>
      </c>
      <c r="M511" s="1132" t="str">
        <f t="shared" si="356"/>
        <v>Nicor Gas PY11-PY14 Adjustable Goals Template_2025-03-01, Tab 4.4.10</v>
      </c>
      <c r="N511" s="1361">
        <v>134.22992131467194</v>
      </c>
      <c r="O511" s="1361">
        <v>134.22992131467194</v>
      </c>
      <c r="P511" s="1361">
        <v>134.22992131467194</v>
      </c>
      <c r="Q511" s="1361">
        <v>134.22992131467194</v>
      </c>
      <c r="R511" s="1781">
        <v>0.93</v>
      </c>
      <c r="S511" s="1781">
        <v>0.93</v>
      </c>
      <c r="T511" s="1781">
        <v>0.93</v>
      </c>
      <c r="U511" s="1781">
        <v>0.93</v>
      </c>
      <c r="V511" s="1781">
        <v>0.93</v>
      </c>
      <c r="W511" s="1781">
        <v>0.93</v>
      </c>
      <c r="X511" s="1781">
        <v>0.93</v>
      </c>
      <c r="Y511" s="1781">
        <v>0.93</v>
      </c>
      <c r="Z511" s="1359">
        <v>0</v>
      </c>
      <c r="AA511" s="1781">
        <f t="shared" si="357"/>
        <v>0.93</v>
      </c>
      <c r="AB511" s="1781">
        <f t="shared" si="358"/>
        <v>0.93</v>
      </c>
      <c r="AC511" s="1781">
        <f t="shared" si="359"/>
        <v>0.93</v>
      </c>
      <c r="AD511" s="1781">
        <f t="shared" si="360"/>
        <v>0.93</v>
      </c>
      <c r="AE511" s="1781">
        <f t="shared" si="361"/>
        <v>0.93</v>
      </c>
      <c r="AF511" s="1781">
        <f t="shared" si="362"/>
        <v>0.93</v>
      </c>
      <c r="AG511" s="1781">
        <f t="shared" si="363"/>
        <v>0.93</v>
      </c>
      <c r="AH511" s="1781">
        <f t="shared" si="364"/>
        <v>0.93</v>
      </c>
      <c r="AI511" s="1362">
        <f t="shared" si="395"/>
        <v>74.90029609358696</v>
      </c>
      <c r="AJ511" s="1362">
        <f t="shared" si="396"/>
        <v>74.90029609358696</v>
      </c>
      <c r="AK511" s="1362">
        <f t="shared" si="397"/>
        <v>74.90029609358696</v>
      </c>
      <c r="AL511" s="1362">
        <f t="shared" si="398"/>
        <v>74.90029609358696</v>
      </c>
      <c r="AM511" s="1362">
        <f t="shared" si="399"/>
        <v>299.60118437434784</v>
      </c>
      <c r="AN511" s="1132" t="str">
        <f t="shared" si="365"/>
        <v>CI-HVC-BOIL-V06-190101</v>
      </c>
      <c r="AO511" s="1132" t="str">
        <f t="shared" si="366"/>
        <v>Nicor Gas PY11-PY14 Adjustable Goals Template_2025-03-01, Tab 4.4.10</v>
      </c>
      <c r="AP511" s="2568">
        <f>'4.4.10'!$Q$11</f>
        <v>131.48584961583023</v>
      </c>
      <c r="AQ511" s="2568" t="s">
        <v>432</v>
      </c>
      <c r="AR511" s="2505">
        <f t="shared" si="367"/>
        <v>73.369104085633296</v>
      </c>
      <c r="AS511" s="2505">
        <f t="shared" si="368"/>
        <v>-1.5311920079536634</v>
      </c>
      <c r="AT511" s="1132" t="str">
        <f t="shared" si="369"/>
        <v>CI-HVC-BOIL-V06-190101</v>
      </c>
      <c r="AU511" s="1132" t="str">
        <f t="shared" si="370"/>
        <v>Nicor Gas PY11-PY14 Adjustable Goals Template_2025-03-01, Tab 4.4.10</v>
      </c>
      <c r="AV511" s="2505">
        <f>'4.4.10'!$Q$11</f>
        <v>131.48584961583023</v>
      </c>
      <c r="AW511" s="2568" t="s">
        <v>432</v>
      </c>
      <c r="AX511" s="1362">
        <f t="shared" si="371"/>
        <v>73.369104085633296</v>
      </c>
      <c r="AY511" s="1360">
        <f t="shared" si="372"/>
        <v>-1.5311920079536634</v>
      </c>
      <c r="AZ511" s="1132" t="str">
        <f t="shared" si="373"/>
        <v>CI-HVC-BOIL-V06-190101</v>
      </c>
      <c r="BA511" s="1132" t="str">
        <f t="shared" si="374"/>
        <v>Nicor Gas PY11-PY14 Adjustable Goals Template_2025-03-01, Tab 4.4.10</v>
      </c>
      <c r="BB511" s="2505">
        <f>'4.4.10'!$Q$11</f>
        <v>131.48584961583023</v>
      </c>
      <c r="BC511" s="2568" t="s">
        <v>432</v>
      </c>
      <c r="BD511" s="1362">
        <f t="shared" si="375"/>
        <v>73.369104085633296</v>
      </c>
      <c r="BE511" s="1360">
        <f t="shared" si="376"/>
        <v>-1.5311920079536634</v>
      </c>
      <c r="BF511" s="1132" t="str">
        <f t="shared" si="377"/>
        <v>CI-HVC-BOIL-V06-190101</v>
      </c>
      <c r="BG511" s="1132" t="str">
        <f t="shared" si="378"/>
        <v>Nicor Gas PY11-PY14 Adjustable Goals Template_2025-03-01, Tab 4.4.10</v>
      </c>
      <c r="BH511" s="2505">
        <f>'4.4.10'!$Q$11</f>
        <v>131.48584961583023</v>
      </c>
      <c r="BI511" s="2568" t="s">
        <v>432</v>
      </c>
      <c r="BJ511" s="1362">
        <f t="shared" si="400"/>
        <v>73.369104085633296</v>
      </c>
      <c r="BK511" s="1360">
        <f t="shared" si="379"/>
        <v>-1.5311920079536634</v>
      </c>
      <c r="BL511" s="1601">
        <f t="shared" si="380"/>
        <v>73.369104085633296</v>
      </c>
      <c r="BM511" s="1601">
        <f t="shared" si="381"/>
        <v>73.369104085633296</v>
      </c>
      <c r="BN511" s="1601">
        <f t="shared" si="382"/>
        <v>73.369104085633296</v>
      </c>
      <c r="BO511" s="1601">
        <f t="shared" si="383"/>
        <v>73.369104085633296</v>
      </c>
      <c r="BP511" s="1602">
        <f t="shared" si="384"/>
        <v>293.47641634253318</v>
      </c>
      <c r="BQ511" s="1629"/>
      <c r="BR511" s="1629" t="s">
        <v>435</v>
      </c>
      <c r="BS511" s="1602">
        <v>0</v>
      </c>
      <c r="BT511" s="1602">
        <v>25</v>
      </c>
      <c r="BU511" s="1602">
        <v>25</v>
      </c>
      <c r="BV511" s="1602">
        <v>25</v>
      </c>
      <c r="BW511" s="1602">
        <v>25</v>
      </c>
      <c r="BX511" s="1362">
        <f t="shared" si="401"/>
        <v>1872.5074023396739</v>
      </c>
      <c r="BY511" s="1362">
        <f t="shared" si="402"/>
        <v>1872.5074023396739</v>
      </c>
      <c r="BZ511" s="1362">
        <f t="shared" si="403"/>
        <v>1872.5074023396739</v>
      </c>
      <c r="CA511" s="1362">
        <f t="shared" si="404"/>
        <v>1872.5074023396739</v>
      </c>
      <c r="CB511" s="1362">
        <f t="shared" si="405"/>
        <v>7490.0296093586958</v>
      </c>
      <c r="CC511" s="1360">
        <v>25</v>
      </c>
      <c r="CD511" s="1360">
        <v>25</v>
      </c>
      <c r="CE511" s="1360">
        <v>25</v>
      </c>
      <c r="CF511" s="1360">
        <v>25</v>
      </c>
      <c r="CG511" s="1604">
        <f t="shared" si="385"/>
        <v>1834.2276021408325</v>
      </c>
      <c r="CH511" s="1604">
        <f t="shared" si="386"/>
        <v>1834.2276021408325</v>
      </c>
      <c r="CI511" s="1604">
        <f t="shared" si="387"/>
        <v>1834.2276021408325</v>
      </c>
      <c r="CJ511" s="1604">
        <f t="shared" si="388"/>
        <v>1834.2276021408325</v>
      </c>
      <c r="CK511" s="1521">
        <f t="shared" si="389"/>
        <v>7336.9104085633298</v>
      </c>
      <c r="CL511" s="1132">
        <v>504</v>
      </c>
      <c r="CM511" s="1132" t="s">
        <v>356</v>
      </c>
      <c r="CN511" s="1359">
        <v>0</v>
      </c>
      <c r="CO511" s="1360">
        <v>0.60000000000000009</v>
      </c>
      <c r="CP511" s="1360">
        <v>0.60000000000000009</v>
      </c>
      <c r="CQ511" s="1360">
        <v>0.60000000000000009</v>
      </c>
      <c r="CR511" s="1360">
        <v>0.60000000000000009</v>
      </c>
      <c r="CS511" s="1362">
        <f t="shared" si="390"/>
        <v>73.369104085633296</v>
      </c>
      <c r="CT511" s="1362">
        <f t="shared" si="391"/>
        <v>73.369104085633296</v>
      </c>
      <c r="CU511" s="1362">
        <f t="shared" si="392"/>
        <v>73.369104085633296</v>
      </c>
      <c r="CV511" s="1362">
        <f t="shared" si="393"/>
        <v>73.369104085633296</v>
      </c>
      <c r="CW511" s="1362">
        <f t="shared" si="394"/>
        <v>293.47641634253318</v>
      </c>
      <c r="CY511" s="2887"/>
    </row>
    <row r="512" spans="1:103" s="1143" customFormat="1" ht="46.5" x14ac:dyDescent="0.35">
      <c r="A512" s="1132" t="s">
        <v>114</v>
      </c>
      <c r="B512" s="1132" t="s">
        <v>961</v>
      </c>
      <c r="C512" s="1132" t="s">
        <v>856</v>
      </c>
      <c r="D512" s="1359" t="s">
        <v>857</v>
      </c>
      <c r="E512" s="1359">
        <v>1</v>
      </c>
      <c r="F512" s="2564" t="s">
        <v>631</v>
      </c>
      <c r="G512" s="1132" t="s">
        <v>356</v>
      </c>
      <c r="H512" s="1360">
        <v>15.600000000000001</v>
      </c>
      <c r="I512" s="1360">
        <v>15.600000000000001</v>
      </c>
      <c r="J512" s="1360">
        <v>15.600000000000001</v>
      </c>
      <c r="K512" s="1360">
        <v>15.600000000000001</v>
      </c>
      <c r="L512" s="1132" t="s">
        <v>632</v>
      </c>
      <c r="M512" s="1132" t="str">
        <f t="shared" si="356"/>
        <v>Nicor Gas PY11-PY14 Adjustable Goals Template_2025-03-01, Tab 5.3.7</v>
      </c>
      <c r="N512" s="1361">
        <v>107.53205128205116</v>
      </c>
      <c r="O512" s="1361">
        <v>107.53205128205116</v>
      </c>
      <c r="P512" s="1361">
        <v>107.53205128205116</v>
      </c>
      <c r="Q512" s="1361">
        <v>107.53205128205116</v>
      </c>
      <c r="R512" s="1781">
        <v>0.93</v>
      </c>
      <c r="S512" s="1781">
        <v>0.93</v>
      </c>
      <c r="T512" s="1781">
        <v>0.93</v>
      </c>
      <c r="U512" s="1781">
        <v>0.93</v>
      </c>
      <c r="V512" s="1781">
        <v>0.93</v>
      </c>
      <c r="W512" s="1781">
        <v>0.93</v>
      </c>
      <c r="X512" s="1781">
        <v>0.93</v>
      </c>
      <c r="Y512" s="1781">
        <v>0.93</v>
      </c>
      <c r="Z512" s="1359">
        <v>0</v>
      </c>
      <c r="AA512" s="1781">
        <f t="shared" si="357"/>
        <v>0.93</v>
      </c>
      <c r="AB512" s="1781">
        <f t="shared" si="358"/>
        <v>0.93</v>
      </c>
      <c r="AC512" s="1781">
        <f t="shared" si="359"/>
        <v>0.93</v>
      </c>
      <c r="AD512" s="1781">
        <f t="shared" si="360"/>
        <v>0.93</v>
      </c>
      <c r="AE512" s="1781">
        <f t="shared" si="361"/>
        <v>0.93</v>
      </c>
      <c r="AF512" s="1781">
        <f t="shared" si="362"/>
        <v>0.93</v>
      </c>
      <c r="AG512" s="1781">
        <f t="shared" si="363"/>
        <v>0.93</v>
      </c>
      <c r="AH512" s="1781">
        <f t="shared" si="364"/>
        <v>0.93</v>
      </c>
      <c r="AI512" s="1362">
        <f t="shared" si="395"/>
        <v>1560.0749999999985</v>
      </c>
      <c r="AJ512" s="1362">
        <f t="shared" si="396"/>
        <v>1560.0749999999985</v>
      </c>
      <c r="AK512" s="1362">
        <f t="shared" si="397"/>
        <v>1560.0749999999985</v>
      </c>
      <c r="AL512" s="1362">
        <f t="shared" si="398"/>
        <v>1560.0749999999985</v>
      </c>
      <c r="AM512" s="1362">
        <f t="shared" si="399"/>
        <v>6240.2999999999938</v>
      </c>
      <c r="AN512" s="1132" t="str">
        <f t="shared" si="365"/>
        <v>RS-HVC-GHEF-V08-190101</v>
      </c>
      <c r="AO512" s="1132" t="str">
        <f t="shared" si="366"/>
        <v>Nicor Gas PY11-PY14 Adjustable Goals Template_2025-03-01, Tab 5.3.7</v>
      </c>
      <c r="AP512" s="2505">
        <f>'5.3.7'!$P$6</f>
        <v>107.53205128205116</v>
      </c>
      <c r="AQ512" s="2505"/>
      <c r="AR512" s="2505">
        <f t="shared" si="367"/>
        <v>1560.0749999999985</v>
      </c>
      <c r="AS512" s="2505">
        <f t="shared" si="368"/>
        <v>0</v>
      </c>
      <c r="AT512" s="1132" t="str">
        <f t="shared" si="369"/>
        <v>RS-HVC-GHEF-V08-190101</v>
      </c>
      <c r="AU512" s="1132" t="str">
        <f t="shared" si="370"/>
        <v>Nicor Gas PY11-PY14 Adjustable Goals Template_2025-03-01, Tab 5.3.7</v>
      </c>
      <c r="AV512" s="2505">
        <f>'5.3.7'!$P$6</f>
        <v>107.53205128205116</v>
      </c>
      <c r="AW512" s="2505"/>
      <c r="AX512" s="1362">
        <f t="shared" si="371"/>
        <v>1560.0749999999985</v>
      </c>
      <c r="AY512" s="1360">
        <f t="shared" si="372"/>
        <v>0</v>
      </c>
      <c r="AZ512" s="1132" t="str">
        <f t="shared" si="373"/>
        <v>RS-HVC-GHEF-V08-190101</v>
      </c>
      <c r="BA512" s="1132" t="str">
        <f t="shared" si="374"/>
        <v>Nicor Gas PY11-PY14 Adjustable Goals Template_2025-03-01, Tab 5.3.7</v>
      </c>
      <c r="BB512" s="2505">
        <f>'5.3.7'!$P$6</f>
        <v>107.53205128205116</v>
      </c>
      <c r="BC512" s="2505"/>
      <c r="BD512" s="1362">
        <f t="shared" si="375"/>
        <v>1560.0749999999985</v>
      </c>
      <c r="BE512" s="1360">
        <f t="shared" si="376"/>
        <v>0</v>
      </c>
      <c r="BF512" s="1132" t="str">
        <f t="shared" si="377"/>
        <v>RS-HVC-GHEF-V08-190101</v>
      </c>
      <c r="BG512" s="1132" t="str">
        <f t="shared" si="378"/>
        <v>Nicor Gas PY11-PY14 Adjustable Goals Template_2025-03-01, Tab 5.3.7</v>
      </c>
      <c r="BH512" s="2505">
        <f>'5.3.7'!$P$6</f>
        <v>107.53205128205116</v>
      </c>
      <c r="BI512" s="2505"/>
      <c r="BJ512" s="1362">
        <f t="shared" si="400"/>
        <v>1560.0749999999985</v>
      </c>
      <c r="BK512" s="1360">
        <f t="shared" si="379"/>
        <v>0</v>
      </c>
      <c r="BL512" s="1601">
        <f t="shared" si="380"/>
        <v>1560.0749999999985</v>
      </c>
      <c r="BM512" s="1601">
        <f t="shared" si="381"/>
        <v>1560.0749999999985</v>
      </c>
      <c r="BN512" s="1601">
        <f t="shared" si="382"/>
        <v>1560.0749999999985</v>
      </c>
      <c r="BO512" s="1601">
        <f t="shared" si="383"/>
        <v>1560.0749999999985</v>
      </c>
      <c r="BP512" s="1602">
        <f t="shared" si="384"/>
        <v>6240.2999999999938</v>
      </c>
      <c r="BQ512" s="1629"/>
      <c r="BR512" s="1629" t="s">
        <v>631</v>
      </c>
      <c r="BS512" s="1602">
        <v>0</v>
      </c>
      <c r="BT512" s="1602">
        <v>20</v>
      </c>
      <c r="BU512" s="1602">
        <v>20</v>
      </c>
      <c r="BV512" s="1602">
        <v>20</v>
      </c>
      <c r="BW512" s="1602">
        <v>20</v>
      </c>
      <c r="BX512" s="1362">
        <f t="shared" si="401"/>
        <v>31201.499999999971</v>
      </c>
      <c r="BY512" s="1362">
        <f t="shared" si="402"/>
        <v>31201.499999999971</v>
      </c>
      <c r="BZ512" s="1362">
        <f t="shared" si="403"/>
        <v>31201.499999999971</v>
      </c>
      <c r="CA512" s="1362">
        <f t="shared" si="404"/>
        <v>31201.499999999971</v>
      </c>
      <c r="CB512" s="1362">
        <f t="shared" si="405"/>
        <v>124805.99999999988</v>
      </c>
      <c r="CC512" s="1360">
        <v>20</v>
      </c>
      <c r="CD512" s="1360">
        <v>20</v>
      </c>
      <c r="CE512" s="1360">
        <v>20</v>
      </c>
      <c r="CF512" s="1360">
        <v>20</v>
      </c>
      <c r="CG512" s="1604">
        <f t="shared" si="385"/>
        <v>31201.499999999971</v>
      </c>
      <c r="CH512" s="1604">
        <f t="shared" si="386"/>
        <v>31201.499999999971</v>
      </c>
      <c r="CI512" s="1604">
        <f t="shared" si="387"/>
        <v>31201.499999999971</v>
      </c>
      <c r="CJ512" s="1604">
        <f t="shared" si="388"/>
        <v>31201.499999999971</v>
      </c>
      <c r="CK512" s="1521">
        <f t="shared" si="389"/>
        <v>124805.99999999988</v>
      </c>
      <c r="CL512" s="1132">
        <v>505</v>
      </c>
      <c r="CM512" s="1132" t="s">
        <v>356</v>
      </c>
      <c r="CN512" s="1359">
        <v>0</v>
      </c>
      <c r="CO512" s="1360">
        <v>15.600000000000001</v>
      </c>
      <c r="CP512" s="1360">
        <v>15.600000000000001</v>
      </c>
      <c r="CQ512" s="1360">
        <v>15.600000000000001</v>
      </c>
      <c r="CR512" s="1360">
        <v>15.600000000000001</v>
      </c>
      <c r="CS512" s="1362">
        <f t="shared" si="390"/>
        <v>1560.0749999999985</v>
      </c>
      <c r="CT512" s="1362">
        <f t="shared" si="391"/>
        <v>1560.0749999999985</v>
      </c>
      <c r="CU512" s="1362">
        <f t="shared" si="392"/>
        <v>1560.0749999999985</v>
      </c>
      <c r="CV512" s="1362">
        <f t="shared" si="393"/>
        <v>1560.0749999999985</v>
      </c>
      <c r="CW512" s="1362">
        <f t="shared" si="394"/>
        <v>6240.2999999999938</v>
      </c>
      <c r="CY512" s="2887"/>
    </row>
    <row r="513" spans="1:103" s="1143" customFormat="1" ht="88.5" customHeight="1" x14ac:dyDescent="0.35">
      <c r="A513" s="1132" t="s">
        <v>114</v>
      </c>
      <c r="B513" s="1132" t="s">
        <v>961</v>
      </c>
      <c r="C513" s="1132" t="s">
        <v>962</v>
      </c>
      <c r="D513" s="1359" t="s">
        <v>963</v>
      </c>
      <c r="E513" s="1359">
        <v>1</v>
      </c>
      <c r="F513" s="2807" t="s">
        <v>964</v>
      </c>
      <c r="G513" s="1132" t="s">
        <v>356</v>
      </c>
      <c r="H513" s="1360">
        <v>8.4</v>
      </c>
      <c r="I513" s="1360">
        <v>8.4</v>
      </c>
      <c r="J513" s="1360">
        <v>8.4</v>
      </c>
      <c r="K513" s="1360">
        <v>8.4</v>
      </c>
      <c r="L513" s="1132" t="s">
        <v>965</v>
      </c>
      <c r="M513" s="1132" t="str">
        <f t="shared" si="356"/>
        <v>Nicor Gas PY11-PY14 Adjustable Goals Template_2025-03-01, Tab 4.4.48</v>
      </c>
      <c r="N513" s="1361">
        <v>236.87622972972974</v>
      </c>
      <c r="O513" s="1361">
        <v>236.87622972972974</v>
      </c>
      <c r="P513" s="1361">
        <v>236.87622972972974</v>
      </c>
      <c r="Q513" s="1361">
        <v>236.87622972972974</v>
      </c>
      <c r="R513" s="1781">
        <v>0.96</v>
      </c>
      <c r="S513" s="1781">
        <v>0.96</v>
      </c>
      <c r="T513" s="1781">
        <v>0.96</v>
      </c>
      <c r="U513" s="1781">
        <v>0.96</v>
      </c>
      <c r="V513" s="1781">
        <v>0.96</v>
      </c>
      <c r="W513" s="1781">
        <v>0.96</v>
      </c>
      <c r="X513" s="1781">
        <v>0.96</v>
      </c>
      <c r="Y513" s="1781">
        <v>0.96</v>
      </c>
      <c r="Z513" s="1359">
        <v>0</v>
      </c>
      <c r="AA513" s="1781">
        <f t="shared" si="357"/>
        <v>0.96</v>
      </c>
      <c r="AB513" s="1781">
        <f t="shared" si="358"/>
        <v>0.96</v>
      </c>
      <c r="AC513" s="1781">
        <f t="shared" si="359"/>
        <v>0.96</v>
      </c>
      <c r="AD513" s="1781">
        <f t="shared" si="360"/>
        <v>0.96</v>
      </c>
      <c r="AE513" s="1781">
        <f t="shared" si="361"/>
        <v>0.96</v>
      </c>
      <c r="AF513" s="1781">
        <f t="shared" si="362"/>
        <v>0.96</v>
      </c>
      <c r="AG513" s="1781">
        <f t="shared" si="363"/>
        <v>0.96</v>
      </c>
      <c r="AH513" s="1781">
        <f t="shared" si="364"/>
        <v>0.96</v>
      </c>
      <c r="AI513" s="1362">
        <f t="shared" si="395"/>
        <v>1910.1699165405405</v>
      </c>
      <c r="AJ513" s="1362">
        <f t="shared" si="396"/>
        <v>1910.1699165405405</v>
      </c>
      <c r="AK513" s="1362">
        <f t="shared" si="397"/>
        <v>1910.1699165405405</v>
      </c>
      <c r="AL513" s="1362">
        <f t="shared" si="398"/>
        <v>1910.1699165405405</v>
      </c>
      <c r="AM513" s="1362">
        <f t="shared" si="399"/>
        <v>7640.679666162162</v>
      </c>
      <c r="AN513" s="1132" t="str">
        <f t="shared" si="365"/>
        <v>CI-HVC-THST-V01-200101</v>
      </c>
      <c r="AO513" s="1132" t="str">
        <f t="shared" si="366"/>
        <v>Nicor Gas PY11-PY14 Adjustable Goals Template_2025-03-01, Tab 4.4.48</v>
      </c>
      <c r="AP513" s="2568">
        <f>'4.4.48'!$K$4</f>
        <v>155.80246475675676</v>
      </c>
      <c r="AQ513" s="2568" t="s">
        <v>966</v>
      </c>
      <c r="AR513" s="2505">
        <f t="shared" si="367"/>
        <v>1256.3910757984866</v>
      </c>
      <c r="AS513" s="2505">
        <f t="shared" si="368"/>
        <v>-653.77884074205394</v>
      </c>
      <c r="AT513" s="1132" t="str">
        <f t="shared" si="369"/>
        <v>CI-HVC-THST-V01-200101</v>
      </c>
      <c r="AU513" s="1132" t="str">
        <f t="shared" si="370"/>
        <v>Nicor Gas PY11-PY14 Adjustable Goals Template_2025-03-01, Tab 4.4.48</v>
      </c>
      <c r="AV513" s="2505">
        <f>'4.4.48'!$K$4</f>
        <v>155.80246475675676</v>
      </c>
      <c r="AW513" s="2568" t="s">
        <v>966</v>
      </c>
      <c r="AX513" s="1362">
        <f t="shared" si="371"/>
        <v>1256.3910757984866</v>
      </c>
      <c r="AY513" s="1360">
        <f t="shared" si="372"/>
        <v>-653.77884074205394</v>
      </c>
      <c r="AZ513" s="1132" t="str">
        <f t="shared" si="373"/>
        <v>CI-HVC-THST-V01-200101</v>
      </c>
      <c r="BA513" s="1132" t="str">
        <f t="shared" si="374"/>
        <v>Nicor Gas PY11-PY14 Adjustable Goals Template_2025-03-01, Tab 4.4.48</v>
      </c>
      <c r="BB513" s="2505">
        <f>'4.4.48'!$K$4</f>
        <v>155.80246475675676</v>
      </c>
      <c r="BC513" s="2568" t="s">
        <v>966</v>
      </c>
      <c r="BD513" s="1362">
        <f t="shared" si="375"/>
        <v>1256.3910757984866</v>
      </c>
      <c r="BE513" s="1360">
        <f t="shared" si="376"/>
        <v>-653.77884074205394</v>
      </c>
      <c r="BF513" s="1132" t="str">
        <f t="shared" si="377"/>
        <v>CI-HVC-THST-V01-200101</v>
      </c>
      <c r="BG513" s="1132" t="str">
        <f t="shared" si="378"/>
        <v>Nicor Gas PY11-PY14 Adjustable Goals Template_2025-03-01, Tab 4.4.48</v>
      </c>
      <c r="BH513" s="2505">
        <f>'4.4.48'!$K$4</f>
        <v>155.80246475675676</v>
      </c>
      <c r="BI513" s="2568" t="s">
        <v>966</v>
      </c>
      <c r="BJ513" s="1362">
        <f t="shared" si="400"/>
        <v>1256.3910757984866</v>
      </c>
      <c r="BK513" s="1360">
        <f t="shared" si="379"/>
        <v>-653.77884074205394</v>
      </c>
      <c r="BL513" s="1601">
        <f t="shared" si="380"/>
        <v>1256.3910757984866</v>
      </c>
      <c r="BM513" s="1601">
        <f t="shared" si="381"/>
        <v>1256.3910757984866</v>
      </c>
      <c r="BN513" s="1601">
        <f t="shared" si="382"/>
        <v>1256.3910757984866</v>
      </c>
      <c r="BO513" s="1601">
        <f t="shared" si="383"/>
        <v>1256.3910757984866</v>
      </c>
      <c r="BP513" s="1602">
        <f t="shared" si="384"/>
        <v>5025.5643031939462</v>
      </c>
      <c r="BQ513" s="1629"/>
      <c r="BR513" s="1629" t="s">
        <v>964</v>
      </c>
      <c r="BS513" s="1602">
        <v>0</v>
      </c>
      <c r="BT513" s="1602">
        <v>11</v>
      </c>
      <c r="BU513" s="1602">
        <v>11</v>
      </c>
      <c r="BV513" s="1602">
        <v>11</v>
      </c>
      <c r="BW513" s="1602">
        <v>11</v>
      </c>
      <c r="BX513" s="1362">
        <f t="shared" si="401"/>
        <v>21011.869081945944</v>
      </c>
      <c r="BY513" s="1362">
        <f t="shared" si="402"/>
        <v>21011.869081945944</v>
      </c>
      <c r="BZ513" s="1362">
        <f t="shared" si="403"/>
        <v>21011.869081945944</v>
      </c>
      <c r="CA513" s="1362">
        <f t="shared" si="404"/>
        <v>21011.869081945944</v>
      </c>
      <c r="CB513" s="1362">
        <f t="shared" si="405"/>
        <v>84047.476327783777</v>
      </c>
      <c r="CC513" s="1360">
        <v>11</v>
      </c>
      <c r="CD513" s="1360">
        <v>11</v>
      </c>
      <c r="CE513" s="1360">
        <v>11</v>
      </c>
      <c r="CF513" s="1360">
        <v>11</v>
      </c>
      <c r="CG513" s="1604">
        <f t="shared" si="385"/>
        <v>13820.301833783353</v>
      </c>
      <c r="CH513" s="1604">
        <f t="shared" si="386"/>
        <v>13820.301833783353</v>
      </c>
      <c r="CI513" s="1604">
        <f t="shared" si="387"/>
        <v>13820.301833783353</v>
      </c>
      <c r="CJ513" s="1604">
        <f t="shared" si="388"/>
        <v>13820.301833783353</v>
      </c>
      <c r="CK513" s="1521">
        <f t="shared" si="389"/>
        <v>55281.207335133411</v>
      </c>
      <c r="CL513" s="1132">
        <v>506</v>
      </c>
      <c r="CM513" s="1132" t="s">
        <v>356</v>
      </c>
      <c r="CN513" s="1359">
        <v>0</v>
      </c>
      <c r="CO513" s="1360">
        <v>8.4</v>
      </c>
      <c r="CP513" s="1360">
        <v>8.4</v>
      </c>
      <c r="CQ513" s="1360">
        <v>8.4</v>
      </c>
      <c r="CR513" s="1360">
        <v>8.4</v>
      </c>
      <c r="CS513" s="1362">
        <f t="shared" si="390"/>
        <v>1256.3910757984866</v>
      </c>
      <c r="CT513" s="1362">
        <f t="shared" si="391"/>
        <v>1256.3910757984866</v>
      </c>
      <c r="CU513" s="1362">
        <f t="shared" si="392"/>
        <v>1256.3910757984866</v>
      </c>
      <c r="CV513" s="1362">
        <f t="shared" si="393"/>
        <v>1256.3910757984866</v>
      </c>
      <c r="CW513" s="1362">
        <f t="shared" si="394"/>
        <v>5025.5643031939462</v>
      </c>
      <c r="CY513" s="2887"/>
    </row>
    <row r="514" spans="1:103" s="1143" customFormat="1" ht="46.5" x14ac:dyDescent="0.35">
      <c r="A514" s="1132" t="s">
        <v>114</v>
      </c>
      <c r="B514" s="1132" t="s">
        <v>961</v>
      </c>
      <c r="C514" s="1132" t="s">
        <v>477</v>
      </c>
      <c r="D514" s="1359" t="s">
        <v>478</v>
      </c>
      <c r="E514" s="1359">
        <v>1</v>
      </c>
      <c r="F514" s="2807" t="s">
        <v>479</v>
      </c>
      <c r="G514" s="1132" t="s">
        <v>356</v>
      </c>
      <c r="H514" s="1360">
        <v>0.60000000000000009</v>
      </c>
      <c r="I514" s="1360">
        <v>0.60000000000000009</v>
      </c>
      <c r="J514" s="1360">
        <v>0.60000000000000009</v>
      </c>
      <c r="K514" s="1360">
        <v>0.60000000000000009</v>
      </c>
      <c r="L514" s="1132" t="s">
        <v>480</v>
      </c>
      <c r="M514" s="1132" t="str">
        <f t="shared" si="356"/>
        <v>Nicor Gas PY11-PY14 Adjustable Goals Template_2025-03-01, Tab 4.3.1</v>
      </c>
      <c r="N514" s="1361">
        <v>48.22116686119378</v>
      </c>
      <c r="O514" s="1361">
        <v>48.22116686119378</v>
      </c>
      <c r="P514" s="1361">
        <v>48.22116686119378</v>
      </c>
      <c r="Q514" s="1361">
        <v>48.22116686119378</v>
      </c>
      <c r="R514" s="1781">
        <v>0.93</v>
      </c>
      <c r="S514" s="1781">
        <v>0.93</v>
      </c>
      <c r="T514" s="1781">
        <v>0.93</v>
      </c>
      <c r="U514" s="1781">
        <v>0.93</v>
      </c>
      <c r="V514" s="1781">
        <v>0.93</v>
      </c>
      <c r="W514" s="1781">
        <v>0.93</v>
      </c>
      <c r="X514" s="1781">
        <v>0.93</v>
      </c>
      <c r="Y514" s="1781">
        <v>0.93</v>
      </c>
      <c r="Z514" s="1359">
        <v>0</v>
      </c>
      <c r="AA514" s="1781">
        <f t="shared" si="357"/>
        <v>0.93</v>
      </c>
      <c r="AB514" s="1781">
        <f t="shared" si="358"/>
        <v>0.93</v>
      </c>
      <c r="AC514" s="1781">
        <f t="shared" si="359"/>
        <v>0.93</v>
      </c>
      <c r="AD514" s="1781">
        <f t="shared" si="360"/>
        <v>0.93</v>
      </c>
      <c r="AE514" s="1781">
        <f t="shared" si="361"/>
        <v>0.93</v>
      </c>
      <c r="AF514" s="1781">
        <f t="shared" si="362"/>
        <v>0.93</v>
      </c>
      <c r="AG514" s="1781">
        <f t="shared" si="363"/>
        <v>0.93</v>
      </c>
      <c r="AH514" s="1781">
        <f t="shared" si="364"/>
        <v>0.93</v>
      </c>
      <c r="AI514" s="1362">
        <f t="shared" si="395"/>
        <v>26.907411108546135</v>
      </c>
      <c r="AJ514" s="1362">
        <f t="shared" si="396"/>
        <v>26.907411108546135</v>
      </c>
      <c r="AK514" s="1362">
        <f t="shared" si="397"/>
        <v>26.907411108546135</v>
      </c>
      <c r="AL514" s="1362">
        <f t="shared" si="398"/>
        <v>26.907411108546135</v>
      </c>
      <c r="AM514" s="1362">
        <f t="shared" si="399"/>
        <v>107.62964443418454</v>
      </c>
      <c r="AN514" s="1132" t="str">
        <f t="shared" si="365"/>
        <v>CI-HW_-HWE-V03-190101</v>
      </c>
      <c r="AO514" s="1132" t="str">
        <f t="shared" si="366"/>
        <v>Nicor Gas PY11-PY14 Adjustable Goals Template_2025-03-01, Tab 4.3.1</v>
      </c>
      <c r="AP514" s="2568">
        <f>'4.3.1'!$Q$4</f>
        <v>50.462432363192917</v>
      </c>
      <c r="AQ514" s="2568" t="s">
        <v>481</v>
      </c>
      <c r="AR514" s="2505">
        <f t="shared" si="367"/>
        <v>28.158037258661654</v>
      </c>
      <c r="AS514" s="2247">
        <f t="shared" si="368"/>
        <v>1.2506261501155187</v>
      </c>
      <c r="AT514" s="1132" t="str">
        <f t="shared" si="369"/>
        <v>CI-HW_-HWE-V03-190101</v>
      </c>
      <c r="AU514" s="1132" t="str">
        <f t="shared" si="370"/>
        <v>Nicor Gas PY11-PY14 Adjustable Goals Template_2025-03-01, Tab 4.3.1</v>
      </c>
      <c r="AV514" s="2505">
        <f>'4.3.1'!$Q$4</f>
        <v>50.462432363192917</v>
      </c>
      <c r="AW514" s="2568" t="s">
        <v>481</v>
      </c>
      <c r="AX514" s="1362">
        <f t="shared" si="371"/>
        <v>28.158037258661654</v>
      </c>
      <c r="AY514" s="1360">
        <f t="shared" si="372"/>
        <v>1.2506261501155187</v>
      </c>
      <c r="AZ514" s="1132" t="str">
        <f t="shared" si="373"/>
        <v>CI-HW_-HWE-V03-190101</v>
      </c>
      <c r="BA514" s="1132" t="str">
        <f t="shared" si="374"/>
        <v>Nicor Gas PY11-PY14 Adjustable Goals Template_2025-03-01, Tab 4.3.1</v>
      </c>
      <c r="BB514" s="2505">
        <f>'4.3.1'!$Q$4</f>
        <v>50.462432363192917</v>
      </c>
      <c r="BC514" s="2568" t="s">
        <v>481</v>
      </c>
      <c r="BD514" s="1362">
        <f t="shared" si="375"/>
        <v>28.158037258661654</v>
      </c>
      <c r="BE514" s="1360">
        <f t="shared" si="376"/>
        <v>1.2506261501155187</v>
      </c>
      <c r="BF514" s="1132" t="str">
        <f t="shared" si="377"/>
        <v>CI-HW_-HWE-V03-190101</v>
      </c>
      <c r="BG514" s="1132" t="str">
        <f t="shared" si="378"/>
        <v>Nicor Gas PY11-PY14 Adjustable Goals Template_2025-03-01, Tab 4.3.1</v>
      </c>
      <c r="BH514" s="2505">
        <f>'4.3.1'!$Q$4</f>
        <v>50.462432363192917</v>
      </c>
      <c r="BI514" s="2568" t="s">
        <v>481</v>
      </c>
      <c r="BJ514" s="1362">
        <f t="shared" si="400"/>
        <v>28.158037258661654</v>
      </c>
      <c r="BK514" s="1360">
        <f t="shared" si="379"/>
        <v>1.2506261501155187</v>
      </c>
      <c r="BL514" s="1601">
        <f t="shared" si="380"/>
        <v>28.158037258661654</v>
      </c>
      <c r="BM514" s="1601">
        <f t="shared" si="381"/>
        <v>28.158037258661654</v>
      </c>
      <c r="BN514" s="1601">
        <f t="shared" si="382"/>
        <v>28.158037258661654</v>
      </c>
      <c r="BO514" s="1601">
        <f t="shared" si="383"/>
        <v>28.158037258661654</v>
      </c>
      <c r="BP514" s="1602">
        <f t="shared" si="384"/>
        <v>112.63214903464662</v>
      </c>
      <c r="BQ514" s="1629"/>
      <c r="BR514" s="1629" t="s">
        <v>479</v>
      </c>
      <c r="BS514" s="1602">
        <v>0</v>
      </c>
      <c r="BT514" s="1602">
        <v>15</v>
      </c>
      <c r="BU514" s="1602">
        <v>15</v>
      </c>
      <c r="BV514" s="1602">
        <v>15</v>
      </c>
      <c r="BW514" s="1602">
        <v>15</v>
      </c>
      <c r="BX514" s="1362">
        <f t="shared" si="401"/>
        <v>403.61116662819205</v>
      </c>
      <c r="BY514" s="1362">
        <f t="shared" si="402"/>
        <v>403.61116662819205</v>
      </c>
      <c r="BZ514" s="1362">
        <f t="shared" si="403"/>
        <v>403.61116662819205</v>
      </c>
      <c r="CA514" s="1362">
        <f t="shared" si="404"/>
        <v>403.61116662819205</v>
      </c>
      <c r="CB514" s="1362">
        <f t="shared" si="405"/>
        <v>1614.4446665127682</v>
      </c>
      <c r="CC514" s="1360">
        <v>15</v>
      </c>
      <c r="CD514" s="1360">
        <v>15</v>
      </c>
      <c r="CE514" s="1360">
        <v>15</v>
      </c>
      <c r="CF514" s="1360">
        <v>15</v>
      </c>
      <c r="CG514" s="1604">
        <f t="shared" si="385"/>
        <v>422.37055887992489</v>
      </c>
      <c r="CH514" s="1604">
        <f t="shared" si="386"/>
        <v>422.37055887992489</v>
      </c>
      <c r="CI514" s="1604">
        <f t="shared" si="387"/>
        <v>422.37055887992489</v>
      </c>
      <c r="CJ514" s="1604">
        <f t="shared" si="388"/>
        <v>422.37055887992489</v>
      </c>
      <c r="CK514" s="1521">
        <f t="shared" si="389"/>
        <v>1689.4822355196995</v>
      </c>
      <c r="CL514" s="1132">
        <v>507</v>
      </c>
      <c r="CM514" s="1132" t="s">
        <v>356</v>
      </c>
      <c r="CN514" s="1359">
        <v>0</v>
      </c>
      <c r="CO514" s="1360">
        <v>0.60000000000000009</v>
      </c>
      <c r="CP514" s="1360">
        <v>0.60000000000000009</v>
      </c>
      <c r="CQ514" s="1360">
        <v>0.60000000000000009</v>
      </c>
      <c r="CR514" s="1360">
        <v>0.60000000000000009</v>
      </c>
      <c r="CS514" s="1362">
        <f t="shared" si="390"/>
        <v>28.158037258661654</v>
      </c>
      <c r="CT514" s="1362">
        <f t="shared" si="391"/>
        <v>28.158037258661654</v>
      </c>
      <c r="CU514" s="1362">
        <f t="shared" si="392"/>
        <v>28.158037258661654</v>
      </c>
      <c r="CV514" s="1362">
        <f t="shared" si="393"/>
        <v>28.158037258661654</v>
      </c>
      <c r="CW514" s="1362">
        <f t="shared" si="394"/>
        <v>112.63214903464662</v>
      </c>
      <c r="CY514" s="2887"/>
    </row>
    <row r="515" spans="1:103" s="1143" customFormat="1" ht="46.5" x14ac:dyDescent="0.35">
      <c r="A515" s="1132" t="s">
        <v>114</v>
      </c>
      <c r="B515" s="1132" t="s">
        <v>961</v>
      </c>
      <c r="C515" s="1132" t="s">
        <v>497</v>
      </c>
      <c r="D515" s="1359" t="s">
        <v>498</v>
      </c>
      <c r="E515" s="1359">
        <v>1</v>
      </c>
      <c r="F515" s="2564" t="s">
        <v>495</v>
      </c>
      <c r="G515" s="1132" t="s">
        <v>356</v>
      </c>
      <c r="H515" s="1360">
        <v>1.8000000000000003</v>
      </c>
      <c r="I515" s="1360">
        <v>1.8000000000000003</v>
      </c>
      <c r="J515" s="1360">
        <v>1.8000000000000003</v>
      </c>
      <c r="K515" s="1360">
        <v>1.8000000000000003</v>
      </c>
      <c r="L515" s="1132" t="s">
        <v>496</v>
      </c>
      <c r="M515" s="1132" t="str">
        <f t="shared" si="356"/>
        <v>Nicor Gas PY11-PY14 Adjustable Goals Template_2025-03-01, Tab 4.3.4</v>
      </c>
      <c r="N515" s="1361">
        <v>1010</v>
      </c>
      <c r="O515" s="1361">
        <v>1010</v>
      </c>
      <c r="P515" s="1361">
        <v>1010</v>
      </c>
      <c r="Q515" s="1361">
        <v>1010</v>
      </c>
      <c r="R515" s="1781">
        <v>0.93</v>
      </c>
      <c r="S515" s="1781">
        <v>0.93</v>
      </c>
      <c r="T515" s="1781">
        <v>0.93</v>
      </c>
      <c r="U515" s="1781">
        <v>0.93</v>
      </c>
      <c r="V515" s="1781">
        <v>0.93</v>
      </c>
      <c r="W515" s="1781">
        <v>0.93</v>
      </c>
      <c r="X515" s="1781">
        <v>0.93</v>
      </c>
      <c r="Y515" s="1781">
        <v>0.93</v>
      </c>
      <c r="Z515" s="1359">
        <v>0</v>
      </c>
      <c r="AA515" s="1781">
        <f t="shared" si="357"/>
        <v>0.93</v>
      </c>
      <c r="AB515" s="1781">
        <f t="shared" si="358"/>
        <v>0.93</v>
      </c>
      <c r="AC515" s="1781">
        <f t="shared" si="359"/>
        <v>0.93</v>
      </c>
      <c r="AD515" s="1781">
        <f t="shared" si="360"/>
        <v>0.93</v>
      </c>
      <c r="AE515" s="1781">
        <f t="shared" si="361"/>
        <v>0.93</v>
      </c>
      <c r="AF515" s="1781">
        <f t="shared" si="362"/>
        <v>0.93</v>
      </c>
      <c r="AG515" s="1781">
        <f t="shared" si="363"/>
        <v>0.93</v>
      </c>
      <c r="AH515" s="1781">
        <f t="shared" si="364"/>
        <v>0.93</v>
      </c>
      <c r="AI515" s="1362">
        <f t="shared" si="395"/>
        <v>1690.7400000000002</v>
      </c>
      <c r="AJ515" s="1362">
        <f t="shared" si="396"/>
        <v>1690.7400000000002</v>
      </c>
      <c r="AK515" s="1362">
        <f t="shared" si="397"/>
        <v>1690.7400000000002</v>
      </c>
      <c r="AL515" s="1362">
        <f t="shared" si="398"/>
        <v>1690.7400000000002</v>
      </c>
      <c r="AM515" s="1362">
        <f t="shared" si="399"/>
        <v>6762.9600000000009</v>
      </c>
      <c r="AN515" s="1132" t="str">
        <f t="shared" si="365"/>
        <v>CI-HW_-HWE-PLCV-V02-190101</v>
      </c>
      <c r="AO515" s="1132" t="str">
        <f t="shared" si="366"/>
        <v>Nicor Gas PY11-PY14 Adjustable Goals Template_2025-03-01, Tab 4.3.4</v>
      </c>
      <c r="AP515" s="2505">
        <f>'4.3.4'!$M$5</f>
        <v>1010</v>
      </c>
      <c r="AQ515" s="2505"/>
      <c r="AR515" s="2505">
        <f t="shared" si="367"/>
        <v>1690.7400000000002</v>
      </c>
      <c r="AS515" s="2505">
        <f t="shared" si="368"/>
        <v>0</v>
      </c>
      <c r="AT515" s="1132" t="str">
        <f t="shared" si="369"/>
        <v>CI-HW_-HWE-PLCV-V02-190101</v>
      </c>
      <c r="AU515" s="1132" t="str">
        <f t="shared" si="370"/>
        <v>Nicor Gas PY11-PY14 Adjustable Goals Template_2025-03-01, Tab 4.3.4</v>
      </c>
      <c r="AV515" s="2505">
        <f>'4.3.4'!$M$5</f>
        <v>1010</v>
      </c>
      <c r="AW515" s="2505"/>
      <c r="AX515" s="1362">
        <f t="shared" si="371"/>
        <v>1690.7400000000002</v>
      </c>
      <c r="AY515" s="1360">
        <f t="shared" si="372"/>
        <v>0</v>
      </c>
      <c r="AZ515" s="1132" t="str">
        <f t="shared" si="373"/>
        <v>CI-HW_-HWE-PLCV-V02-190101</v>
      </c>
      <c r="BA515" s="1132" t="str">
        <f t="shared" si="374"/>
        <v>Nicor Gas PY11-PY14 Adjustable Goals Template_2025-03-01, Tab 4.3.4</v>
      </c>
      <c r="BB515" s="2505">
        <f>'4.3.4'!$M$5</f>
        <v>1010</v>
      </c>
      <c r="BC515" s="2505"/>
      <c r="BD515" s="1362">
        <f t="shared" si="375"/>
        <v>1690.7400000000002</v>
      </c>
      <c r="BE515" s="1360">
        <f t="shared" si="376"/>
        <v>0</v>
      </c>
      <c r="BF515" s="1132" t="str">
        <f t="shared" si="377"/>
        <v>CI-HW_-HWE-PLCV-V02-190101</v>
      </c>
      <c r="BG515" s="1132" t="str">
        <f t="shared" si="378"/>
        <v>Nicor Gas PY11-PY14 Adjustable Goals Template_2025-03-01, Tab 4.3.4</v>
      </c>
      <c r="BH515" s="2505">
        <f>'4.3.4'!$M$5</f>
        <v>1010</v>
      </c>
      <c r="BI515" s="2505"/>
      <c r="BJ515" s="1362">
        <f t="shared" si="400"/>
        <v>1690.7400000000002</v>
      </c>
      <c r="BK515" s="1360">
        <f t="shared" si="379"/>
        <v>0</v>
      </c>
      <c r="BL515" s="1601">
        <f t="shared" si="380"/>
        <v>1690.7400000000002</v>
      </c>
      <c r="BM515" s="1601">
        <f t="shared" si="381"/>
        <v>1690.7400000000002</v>
      </c>
      <c r="BN515" s="1601">
        <f t="shared" si="382"/>
        <v>1690.7400000000002</v>
      </c>
      <c r="BO515" s="1601">
        <f t="shared" si="383"/>
        <v>1690.7400000000002</v>
      </c>
      <c r="BP515" s="1602">
        <f t="shared" si="384"/>
        <v>6762.9600000000009</v>
      </c>
      <c r="BQ515" s="1629"/>
      <c r="BR515" s="1629" t="s">
        <v>495</v>
      </c>
      <c r="BS515" s="1602">
        <v>0</v>
      </c>
      <c r="BT515" s="1602">
        <v>6</v>
      </c>
      <c r="BU515" s="1602">
        <v>6</v>
      </c>
      <c r="BV515" s="1602">
        <v>6</v>
      </c>
      <c r="BW515" s="1602">
        <v>6</v>
      </c>
      <c r="BX515" s="1362">
        <f t="shared" si="401"/>
        <v>10144.440000000002</v>
      </c>
      <c r="BY515" s="1362">
        <f t="shared" si="402"/>
        <v>10144.440000000002</v>
      </c>
      <c r="BZ515" s="1362">
        <f t="shared" si="403"/>
        <v>10144.440000000002</v>
      </c>
      <c r="CA515" s="1362">
        <f t="shared" si="404"/>
        <v>10144.440000000002</v>
      </c>
      <c r="CB515" s="1362">
        <f t="shared" si="405"/>
        <v>40577.760000000009</v>
      </c>
      <c r="CC515" s="1360">
        <v>6</v>
      </c>
      <c r="CD515" s="1360">
        <v>6</v>
      </c>
      <c r="CE515" s="1360">
        <v>6</v>
      </c>
      <c r="CF515" s="1360">
        <v>6</v>
      </c>
      <c r="CG515" s="1604">
        <f t="shared" si="385"/>
        <v>10144.440000000002</v>
      </c>
      <c r="CH515" s="1604">
        <f t="shared" si="386"/>
        <v>10144.440000000002</v>
      </c>
      <c r="CI515" s="1604">
        <f t="shared" si="387"/>
        <v>10144.440000000002</v>
      </c>
      <c r="CJ515" s="1604">
        <f t="shared" si="388"/>
        <v>10144.440000000002</v>
      </c>
      <c r="CK515" s="1521">
        <f t="shared" si="389"/>
        <v>40577.760000000009</v>
      </c>
      <c r="CL515" s="1132">
        <v>508</v>
      </c>
      <c r="CM515" s="1132" t="s">
        <v>356</v>
      </c>
      <c r="CN515" s="1359">
        <v>0</v>
      </c>
      <c r="CO515" s="1360">
        <v>1.8000000000000003</v>
      </c>
      <c r="CP515" s="1360">
        <v>1.8000000000000003</v>
      </c>
      <c r="CQ515" s="1360">
        <v>1.8000000000000003</v>
      </c>
      <c r="CR515" s="1360">
        <v>1.8000000000000003</v>
      </c>
      <c r="CS515" s="1362">
        <f t="shared" si="390"/>
        <v>1690.7400000000002</v>
      </c>
      <c r="CT515" s="1362">
        <f t="shared" si="391"/>
        <v>1690.7400000000002</v>
      </c>
      <c r="CU515" s="1362">
        <f t="shared" si="392"/>
        <v>1690.7400000000002</v>
      </c>
      <c r="CV515" s="1362">
        <f t="shared" si="393"/>
        <v>1690.7400000000002</v>
      </c>
      <c r="CW515" s="1362">
        <f t="shared" si="394"/>
        <v>6762.9600000000009</v>
      </c>
      <c r="CY515" s="2887"/>
    </row>
    <row r="516" spans="1:103" s="1143" customFormat="1" ht="46.5" x14ac:dyDescent="0.35">
      <c r="A516" s="1132" t="s">
        <v>114</v>
      </c>
      <c r="B516" s="1132" t="s">
        <v>961</v>
      </c>
      <c r="C516" s="1132" t="s">
        <v>499</v>
      </c>
      <c r="D516" s="1359" t="s">
        <v>500</v>
      </c>
      <c r="E516" s="1359">
        <v>1</v>
      </c>
      <c r="F516" s="2564" t="s">
        <v>500</v>
      </c>
      <c r="G516" s="1132" t="s">
        <v>356</v>
      </c>
      <c r="H516" s="1360">
        <v>0.60000000000000009</v>
      </c>
      <c r="I516" s="1360">
        <v>0.60000000000000009</v>
      </c>
      <c r="J516" s="1360">
        <v>0.60000000000000009</v>
      </c>
      <c r="K516" s="1360">
        <v>0.60000000000000009</v>
      </c>
      <c r="L516" s="1132" t="s">
        <v>501</v>
      </c>
      <c r="M516" s="1132" t="str">
        <f t="shared" si="356"/>
        <v>Nicor Gas PY11-PY14 Adjustable Goals Template_2025-03-01, Tab 4.3.6</v>
      </c>
      <c r="N516" s="1361">
        <v>4605</v>
      </c>
      <c r="O516" s="1361">
        <v>4605</v>
      </c>
      <c r="P516" s="1361">
        <v>4605</v>
      </c>
      <c r="Q516" s="1361">
        <v>4605</v>
      </c>
      <c r="R516" s="1781">
        <v>0.93</v>
      </c>
      <c r="S516" s="1781">
        <v>0.93</v>
      </c>
      <c r="T516" s="1781">
        <v>0.93</v>
      </c>
      <c r="U516" s="1781">
        <v>0.93</v>
      </c>
      <c r="V516" s="1781">
        <v>0.93</v>
      </c>
      <c r="W516" s="1781">
        <v>0.93</v>
      </c>
      <c r="X516" s="1781">
        <v>0.93</v>
      </c>
      <c r="Y516" s="1781">
        <v>0.93</v>
      </c>
      <c r="Z516" s="1359">
        <v>0</v>
      </c>
      <c r="AA516" s="1781">
        <f t="shared" si="357"/>
        <v>0.93</v>
      </c>
      <c r="AB516" s="1781">
        <f t="shared" si="358"/>
        <v>0.93</v>
      </c>
      <c r="AC516" s="1781">
        <f t="shared" si="359"/>
        <v>0.93</v>
      </c>
      <c r="AD516" s="1781">
        <f t="shared" si="360"/>
        <v>0.93</v>
      </c>
      <c r="AE516" s="1781">
        <f t="shared" si="361"/>
        <v>0.93</v>
      </c>
      <c r="AF516" s="1781">
        <f t="shared" si="362"/>
        <v>0.93</v>
      </c>
      <c r="AG516" s="1781">
        <f t="shared" si="363"/>
        <v>0.93</v>
      </c>
      <c r="AH516" s="1781">
        <f t="shared" si="364"/>
        <v>0.93</v>
      </c>
      <c r="AI516" s="1362">
        <f t="shared" si="395"/>
        <v>2569.5900000000006</v>
      </c>
      <c r="AJ516" s="1362">
        <f t="shared" si="396"/>
        <v>2569.5900000000006</v>
      </c>
      <c r="AK516" s="1362">
        <f t="shared" si="397"/>
        <v>2569.5900000000006</v>
      </c>
      <c r="AL516" s="1362">
        <f t="shared" si="398"/>
        <v>2569.5900000000006</v>
      </c>
      <c r="AM516" s="1362">
        <f t="shared" si="399"/>
        <v>10278.360000000002</v>
      </c>
      <c r="AN516" s="1132" t="str">
        <f t="shared" si="365"/>
        <v>CI-HW-HWE-OZLD-V02-190101</v>
      </c>
      <c r="AO516" s="1132" t="str">
        <f t="shared" si="366"/>
        <v>Nicor Gas PY11-PY14 Adjustable Goals Template_2025-03-01, Tab 4.3.6</v>
      </c>
      <c r="AP516" s="2505">
        <f>'4.3.6'!$M$4</f>
        <v>4605</v>
      </c>
      <c r="AQ516" s="2505"/>
      <c r="AR516" s="2505">
        <f t="shared" si="367"/>
        <v>2569.5900000000006</v>
      </c>
      <c r="AS516" s="2505">
        <f t="shared" si="368"/>
        <v>0</v>
      </c>
      <c r="AT516" s="1132" t="str">
        <f t="shared" si="369"/>
        <v>CI-HW-HWE-OZLD-V02-190101</v>
      </c>
      <c r="AU516" s="1132" t="str">
        <f t="shared" si="370"/>
        <v>Nicor Gas PY11-PY14 Adjustable Goals Template_2025-03-01, Tab 4.3.6</v>
      </c>
      <c r="AV516" s="2505">
        <f>'4.3.6'!$M$4</f>
        <v>4605</v>
      </c>
      <c r="AW516" s="2505"/>
      <c r="AX516" s="1362">
        <f t="shared" si="371"/>
        <v>2569.5900000000006</v>
      </c>
      <c r="AY516" s="1360">
        <f t="shared" si="372"/>
        <v>0</v>
      </c>
      <c r="AZ516" s="1132" t="str">
        <f t="shared" si="373"/>
        <v>CI-HW-HWE-OZLD-V02-190101</v>
      </c>
      <c r="BA516" s="1132" t="str">
        <f t="shared" si="374"/>
        <v>Nicor Gas PY11-PY14 Adjustable Goals Template_2025-03-01, Tab 4.3.6</v>
      </c>
      <c r="BB516" s="2505">
        <f>'4.3.6'!$M$4</f>
        <v>4605</v>
      </c>
      <c r="BC516" s="2505"/>
      <c r="BD516" s="1362">
        <f t="shared" si="375"/>
        <v>2569.5900000000006</v>
      </c>
      <c r="BE516" s="1360">
        <f t="shared" si="376"/>
        <v>0</v>
      </c>
      <c r="BF516" s="1132" t="str">
        <f t="shared" si="377"/>
        <v>CI-HW-HWE-OZLD-V02-190101</v>
      </c>
      <c r="BG516" s="1132" t="str">
        <f t="shared" si="378"/>
        <v>Nicor Gas PY11-PY14 Adjustable Goals Template_2025-03-01, Tab 4.3.6</v>
      </c>
      <c r="BH516" s="2505">
        <f>'4.3.6'!$M$4</f>
        <v>4605</v>
      </c>
      <c r="BI516" s="2505"/>
      <c r="BJ516" s="1362">
        <f t="shared" si="400"/>
        <v>2569.5900000000006</v>
      </c>
      <c r="BK516" s="1360">
        <f t="shared" si="379"/>
        <v>0</v>
      </c>
      <c r="BL516" s="1601">
        <f t="shared" si="380"/>
        <v>2569.5900000000006</v>
      </c>
      <c r="BM516" s="1601">
        <f t="shared" si="381"/>
        <v>2569.5900000000006</v>
      </c>
      <c r="BN516" s="1601">
        <f t="shared" si="382"/>
        <v>2569.5900000000006</v>
      </c>
      <c r="BO516" s="1601">
        <f t="shared" si="383"/>
        <v>2569.5900000000006</v>
      </c>
      <c r="BP516" s="1602">
        <f t="shared" si="384"/>
        <v>10278.360000000002</v>
      </c>
      <c r="BQ516" s="1629"/>
      <c r="BR516" s="1629" t="s">
        <v>500</v>
      </c>
      <c r="BS516" s="1602">
        <v>0</v>
      </c>
      <c r="BT516" s="1602">
        <v>10</v>
      </c>
      <c r="BU516" s="1602">
        <v>10</v>
      </c>
      <c r="BV516" s="1602">
        <v>10</v>
      </c>
      <c r="BW516" s="1602">
        <v>10</v>
      </c>
      <c r="BX516" s="1362">
        <f t="shared" si="401"/>
        <v>25695.900000000005</v>
      </c>
      <c r="BY516" s="1362">
        <f t="shared" si="402"/>
        <v>25695.900000000005</v>
      </c>
      <c r="BZ516" s="1362">
        <f t="shared" si="403"/>
        <v>25695.900000000005</v>
      </c>
      <c r="CA516" s="1362">
        <f t="shared" si="404"/>
        <v>25695.900000000005</v>
      </c>
      <c r="CB516" s="1362">
        <f t="shared" si="405"/>
        <v>102783.60000000002</v>
      </c>
      <c r="CC516" s="1360">
        <v>10</v>
      </c>
      <c r="CD516" s="1360">
        <v>10</v>
      </c>
      <c r="CE516" s="1360">
        <v>10</v>
      </c>
      <c r="CF516" s="1360">
        <v>10</v>
      </c>
      <c r="CG516" s="1604">
        <f t="shared" si="385"/>
        <v>25695.900000000005</v>
      </c>
      <c r="CH516" s="1604">
        <f t="shared" si="386"/>
        <v>25695.900000000005</v>
      </c>
      <c r="CI516" s="1604">
        <f t="shared" si="387"/>
        <v>25695.900000000005</v>
      </c>
      <c r="CJ516" s="1604">
        <f t="shared" si="388"/>
        <v>25695.900000000005</v>
      </c>
      <c r="CK516" s="1521">
        <f t="shared" si="389"/>
        <v>102783.60000000002</v>
      </c>
      <c r="CL516" s="1132">
        <v>509</v>
      </c>
      <c r="CM516" s="1132" t="s">
        <v>356</v>
      </c>
      <c r="CN516" s="1359">
        <v>0</v>
      </c>
      <c r="CO516" s="1360">
        <v>0.60000000000000009</v>
      </c>
      <c r="CP516" s="1360">
        <v>0.60000000000000009</v>
      </c>
      <c r="CQ516" s="1360">
        <v>0.60000000000000009</v>
      </c>
      <c r="CR516" s="1360">
        <v>0.60000000000000009</v>
      </c>
      <c r="CS516" s="1362">
        <f t="shared" si="390"/>
        <v>2569.5900000000006</v>
      </c>
      <c r="CT516" s="1362">
        <f t="shared" si="391"/>
        <v>2569.5900000000006</v>
      </c>
      <c r="CU516" s="1362">
        <f t="shared" si="392"/>
        <v>2569.5900000000006</v>
      </c>
      <c r="CV516" s="1362">
        <f t="shared" si="393"/>
        <v>2569.5900000000006</v>
      </c>
      <c r="CW516" s="1362">
        <f t="shared" si="394"/>
        <v>10278.360000000002</v>
      </c>
      <c r="CY516" s="2887"/>
    </row>
    <row r="517" spans="1:103" s="1143" customFormat="1" ht="46.5" x14ac:dyDescent="0.35">
      <c r="A517" s="1132" t="s">
        <v>114</v>
      </c>
      <c r="B517" s="1132" t="s">
        <v>961</v>
      </c>
      <c r="C517" s="1132" t="s">
        <v>353</v>
      </c>
      <c r="D517" s="1359" t="s">
        <v>354</v>
      </c>
      <c r="E517" s="1359">
        <v>1</v>
      </c>
      <c r="F517" s="2564" t="s">
        <v>355</v>
      </c>
      <c r="G517" s="1132" t="s">
        <v>356</v>
      </c>
      <c r="H517" s="1360">
        <v>13.8</v>
      </c>
      <c r="I517" s="1360">
        <v>13.8</v>
      </c>
      <c r="J517" s="1360">
        <v>13.8</v>
      </c>
      <c r="K517" s="1360">
        <v>13.8</v>
      </c>
      <c r="L517" s="1132" t="s">
        <v>357</v>
      </c>
      <c r="M517" s="1132" t="str">
        <f t="shared" si="356"/>
        <v>Nicor Gas PY11-PY14 Adjustable Goals Template_2025-03-01, Tab 4.4.16</v>
      </c>
      <c r="N517" s="1361">
        <v>102.13709764839483</v>
      </c>
      <c r="O517" s="1361">
        <v>102.13709764839483</v>
      </c>
      <c r="P517" s="1361">
        <v>102.13709764839483</v>
      </c>
      <c r="Q517" s="1361">
        <v>102.13709764839483</v>
      </c>
      <c r="R517" s="1781">
        <v>0.93</v>
      </c>
      <c r="S517" s="1781">
        <v>0.93</v>
      </c>
      <c r="T517" s="1781">
        <v>0.93</v>
      </c>
      <c r="U517" s="1781">
        <v>0.93</v>
      </c>
      <c r="V517" s="1781">
        <v>0.93</v>
      </c>
      <c r="W517" s="1781">
        <v>0.93</v>
      </c>
      <c r="X517" s="1781">
        <v>0.93</v>
      </c>
      <c r="Y517" s="1781">
        <v>0.93</v>
      </c>
      <c r="Z517" s="1359">
        <v>0</v>
      </c>
      <c r="AA517" s="1781">
        <f t="shared" si="357"/>
        <v>0.93</v>
      </c>
      <c r="AB517" s="1781">
        <f t="shared" si="358"/>
        <v>0.93</v>
      </c>
      <c r="AC517" s="1781">
        <f t="shared" si="359"/>
        <v>0.93</v>
      </c>
      <c r="AD517" s="1781">
        <f t="shared" si="360"/>
        <v>0.93</v>
      </c>
      <c r="AE517" s="1781">
        <f t="shared" si="361"/>
        <v>0.93</v>
      </c>
      <c r="AF517" s="1781">
        <f t="shared" si="362"/>
        <v>0.93</v>
      </c>
      <c r="AG517" s="1781">
        <f t="shared" si="363"/>
        <v>0.93</v>
      </c>
      <c r="AH517" s="1781">
        <f t="shared" si="364"/>
        <v>0.93</v>
      </c>
      <c r="AI517" s="1362">
        <f t="shared" si="395"/>
        <v>1310.8275112194992</v>
      </c>
      <c r="AJ517" s="1362">
        <f t="shared" si="396"/>
        <v>1310.8275112194992</v>
      </c>
      <c r="AK517" s="1362">
        <f t="shared" si="397"/>
        <v>1310.8275112194992</v>
      </c>
      <c r="AL517" s="1362">
        <f t="shared" si="398"/>
        <v>1310.8275112194992</v>
      </c>
      <c r="AM517" s="1362">
        <f t="shared" si="399"/>
        <v>5243.3100448779969</v>
      </c>
      <c r="AN517" s="1132" t="str">
        <f t="shared" si="365"/>
        <v>CI-HVC-STRE-V05-180101</v>
      </c>
      <c r="AO517" s="1132" t="str">
        <f t="shared" si="366"/>
        <v>Nicor Gas PY11-PY14 Adjustable Goals Template_2025-03-01, Tab 4.4.16</v>
      </c>
      <c r="AP517" s="2505">
        <f>'4.4.16'!$O$11</f>
        <v>102.13709764839483</v>
      </c>
      <c r="AQ517" s="2505"/>
      <c r="AR517" s="2505">
        <f t="shared" si="367"/>
        <v>1310.8275112194992</v>
      </c>
      <c r="AS517" s="2505">
        <f t="shared" si="368"/>
        <v>0</v>
      </c>
      <c r="AT517" s="1132" t="str">
        <f t="shared" si="369"/>
        <v>CI-HVC-STRE-V05-180101</v>
      </c>
      <c r="AU517" s="1132" t="str">
        <f t="shared" si="370"/>
        <v>Nicor Gas PY11-PY14 Adjustable Goals Template_2025-03-01, Tab 4.4.16</v>
      </c>
      <c r="AV517" s="2505">
        <f>'4.4.16'!$O$11</f>
        <v>102.13709764839483</v>
      </c>
      <c r="AW517" s="2505"/>
      <c r="AX517" s="1362">
        <f t="shared" si="371"/>
        <v>1310.8275112194992</v>
      </c>
      <c r="AY517" s="1360">
        <f t="shared" si="372"/>
        <v>0</v>
      </c>
      <c r="AZ517" s="1132" t="str">
        <f t="shared" si="373"/>
        <v>CI-HVC-STRE-V05-180101</v>
      </c>
      <c r="BA517" s="1132" t="str">
        <f t="shared" si="374"/>
        <v>Nicor Gas PY11-PY14 Adjustable Goals Template_2025-03-01, Tab 4.4.16</v>
      </c>
      <c r="BB517" s="2505">
        <f>'4.4.16'!$O$11</f>
        <v>102.13709764839483</v>
      </c>
      <c r="BC517" s="2505"/>
      <c r="BD517" s="1362">
        <f t="shared" si="375"/>
        <v>1310.8275112194992</v>
      </c>
      <c r="BE517" s="1360">
        <f t="shared" si="376"/>
        <v>0</v>
      </c>
      <c r="BF517" s="1132" t="str">
        <f t="shared" si="377"/>
        <v>CI-HVC-STRE-V05-180101</v>
      </c>
      <c r="BG517" s="1132" t="str">
        <f t="shared" si="378"/>
        <v>Nicor Gas PY11-PY14 Adjustable Goals Template_2025-03-01, Tab 4.4.16</v>
      </c>
      <c r="BH517" s="2505">
        <f>'4.4.16'!$O$11</f>
        <v>102.13709764839483</v>
      </c>
      <c r="BI517" s="2505"/>
      <c r="BJ517" s="1362">
        <f t="shared" si="400"/>
        <v>1310.8275112194992</v>
      </c>
      <c r="BK517" s="1360">
        <f t="shared" si="379"/>
        <v>0</v>
      </c>
      <c r="BL517" s="1601">
        <f t="shared" si="380"/>
        <v>1310.8275112194992</v>
      </c>
      <c r="BM517" s="1601">
        <f t="shared" si="381"/>
        <v>1310.8275112194992</v>
      </c>
      <c r="BN517" s="1601">
        <f t="shared" si="382"/>
        <v>1310.8275112194992</v>
      </c>
      <c r="BO517" s="1601">
        <f t="shared" si="383"/>
        <v>1310.8275112194992</v>
      </c>
      <c r="BP517" s="1602">
        <f t="shared" si="384"/>
        <v>5243.3100448779969</v>
      </c>
      <c r="BQ517" s="1629"/>
      <c r="BR517" s="1629" t="s">
        <v>355</v>
      </c>
      <c r="BS517" s="1602">
        <v>0</v>
      </c>
      <c r="BT517" s="1602">
        <v>6</v>
      </c>
      <c r="BU517" s="1602">
        <v>6</v>
      </c>
      <c r="BV517" s="1602">
        <v>6</v>
      </c>
      <c r="BW517" s="1602">
        <v>6</v>
      </c>
      <c r="BX517" s="1362">
        <f t="shared" si="401"/>
        <v>7864.9650673169954</v>
      </c>
      <c r="BY517" s="1362">
        <f t="shared" si="402"/>
        <v>7864.9650673169954</v>
      </c>
      <c r="BZ517" s="1362">
        <f t="shared" si="403"/>
        <v>7864.9650673169954</v>
      </c>
      <c r="CA517" s="1362">
        <f t="shared" si="404"/>
        <v>7864.9650673169954</v>
      </c>
      <c r="CB517" s="1362">
        <f t="shared" si="405"/>
        <v>31459.860269267981</v>
      </c>
      <c r="CC517" s="1360">
        <v>6</v>
      </c>
      <c r="CD517" s="1360">
        <v>6</v>
      </c>
      <c r="CE517" s="1360">
        <v>6</v>
      </c>
      <c r="CF517" s="1360">
        <v>6</v>
      </c>
      <c r="CG517" s="1604">
        <f t="shared" si="385"/>
        <v>7864.9650673169963</v>
      </c>
      <c r="CH517" s="1604">
        <f t="shared" si="386"/>
        <v>7864.9650673169963</v>
      </c>
      <c r="CI517" s="1604">
        <f t="shared" si="387"/>
        <v>7864.9650673169963</v>
      </c>
      <c r="CJ517" s="1604">
        <f t="shared" si="388"/>
        <v>7864.9650673169963</v>
      </c>
      <c r="CK517" s="1521">
        <f t="shared" si="389"/>
        <v>31459.860269267985</v>
      </c>
      <c r="CL517" s="1132">
        <v>510</v>
      </c>
      <c r="CM517" s="1132" t="s">
        <v>356</v>
      </c>
      <c r="CN517" s="1359">
        <v>0</v>
      </c>
      <c r="CO517" s="1360">
        <v>13.8</v>
      </c>
      <c r="CP517" s="1360">
        <v>13.8</v>
      </c>
      <c r="CQ517" s="1360">
        <v>13.8</v>
      </c>
      <c r="CR517" s="1360">
        <v>13.8</v>
      </c>
      <c r="CS517" s="1362">
        <f t="shared" si="390"/>
        <v>1310.8275112194992</v>
      </c>
      <c r="CT517" s="1362">
        <f t="shared" si="391"/>
        <v>1310.8275112194992</v>
      </c>
      <c r="CU517" s="1362">
        <f t="shared" si="392"/>
        <v>1310.8275112194992</v>
      </c>
      <c r="CV517" s="1362">
        <f t="shared" si="393"/>
        <v>1310.8275112194992</v>
      </c>
      <c r="CW517" s="1362">
        <f t="shared" si="394"/>
        <v>5243.3100448779969</v>
      </c>
      <c r="CY517" s="2887"/>
    </row>
    <row r="518" spans="1:103" s="1143" customFormat="1" ht="46.5" x14ac:dyDescent="0.35">
      <c r="A518" s="1132" t="s">
        <v>114</v>
      </c>
      <c r="B518" s="1132" t="s">
        <v>961</v>
      </c>
      <c r="C518" s="1132" t="s">
        <v>967</v>
      </c>
      <c r="D518" s="1359" t="s">
        <v>503</v>
      </c>
      <c r="E518" s="1359">
        <v>1</v>
      </c>
      <c r="F518" s="2564" t="s">
        <v>504</v>
      </c>
      <c r="G518" s="1132" t="s">
        <v>356</v>
      </c>
      <c r="H518" s="1360">
        <v>3.6000000000000005</v>
      </c>
      <c r="I518" s="1360">
        <v>3.6000000000000005</v>
      </c>
      <c r="J518" s="1360">
        <v>3.6000000000000005</v>
      </c>
      <c r="K518" s="1360">
        <v>3.6000000000000005</v>
      </c>
      <c r="L518" s="1132" t="s">
        <v>505</v>
      </c>
      <c r="M518" s="1132" t="str">
        <f t="shared" si="356"/>
        <v>Nicor Gas PY11-PY14 Adjustable Goals Template_2025-03-01, Tab 4.8.4</v>
      </c>
      <c r="N518" s="1361">
        <v>266.94</v>
      </c>
      <c r="O518" s="1361">
        <v>266.94</v>
      </c>
      <c r="P518" s="1361">
        <v>266.94</v>
      </c>
      <c r="Q518" s="1361">
        <v>266.94</v>
      </c>
      <c r="R518" s="1781">
        <v>0.93</v>
      </c>
      <c r="S518" s="1781">
        <v>0.93</v>
      </c>
      <c r="T518" s="1781">
        <v>0.93</v>
      </c>
      <c r="U518" s="1781">
        <v>0.93</v>
      </c>
      <c r="V518" s="1781">
        <v>0.93</v>
      </c>
      <c r="W518" s="1781">
        <v>0.93</v>
      </c>
      <c r="X518" s="1781">
        <v>0.93</v>
      </c>
      <c r="Y518" s="1781">
        <v>0.93</v>
      </c>
      <c r="Z518" s="1359">
        <v>0</v>
      </c>
      <c r="AA518" s="1781">
        <f t="shared" si="357"/>
        <v>0.93</v>
      </c>
      <c r="AB518" s="1781">
        <f t="shared" si="358"/>
        <v>0.93</v>
      </c>
      <c r="AC518" s="1781">
        <f t="shared" si="359"/>
        <v>0.93</v>
      </c>
      <c r="AD518" s="1781">
        <f t="shared" si="360"/>
        <v>0.93</v>
      </c>
      <c r="AE518" s="1781">
        <f t="shared" si="361"/>
        <v>0.93</v>
      </c>
      <c r="AF518" s="1781">
        <f t="shared" si="362"/>
        <v>0.93</v>
      </c>
      <c r="AG518" s="1781">
        <f t="shared" si="363"/>
        <v>0.93</v>
      </c>
      <c r="AH518" s="1781">
        <f t="shared" si="364"/>
        <v>0.93</v>
      </c>
      <c r="AI518" s="1362">
        <f t="shared" si="395"/>
        <v>893.71512000000018</v>
      </c>
      <c r="AJ518" s="1362">
        <f t="shared" si="396"/>
        <v>893.71512000000018</v>
      </c>
      <c r="AK518" s="1362">
        <f t="shared" si="397"/>
        <v>893.71512000000018</v>
      </c>
      <c r="AL518" s="1362">
        <f t="shared" si="398"/>
        <v>893.71512000000018</v>
      </c>
      <c r="AM518" s="1362">
        <f t="shared" si="399"/>
        <v>3574.8604800000007</v>
      </c>
      <c r="AN518" s="1132" t="str">
        <f t="shared" si="365"/>
        <v>CI-MSC-MODD-V01-160601</v>
      </c>
      <c r="AO518" s="1132" t="str">
        <f t="shared" si="366"/>
        <v>Nicor Gas PY11-PY14 Adjustable Goals Template_2025-03-01, Tab 4.8.4</v>
      </c>
      <c r="AP518" s="2505">
        <f>'4.8.4'!$L$4</f>
        <v>266.94</v>
      </c>
      <c r="AQ518" s="2505"/>
      <c r="AR518" s="2505">
        <f t="shared" si="367"/>
        <v>893.71512000000018</v>
      </c>
      <c r="AS518" s="2505">
        <f t="shared" si="368"/>
        <v>0</v>
      </c>
      <c r="AT518" s="1132" t="str">
        <f t="shared" si="369"/>
        <v>CI-MSC-MODD-V01-160601</v>
      </c>
      <c r="AU518" s="1132" t="str">
        <f t="shared" si="370"/>
        <v>Nicor Gas PY11-PY14 Adjustable Goals Template_2025-03-01, Tab 4.8.4</v>
      </c>
      <c r="AV518" s="2505">
        <f>'4.8.4'!$L$4</f>
        <v>266.94</v>
      </c>
      <c r="AW518" s="2505"/>
      <c r="AX518" s="1362">
        <f t="shared" si="371"/>
        <v>893.71512000000018</v>
      </c>
      <c r="AY518" s="1360">
        <f t="shared" si="372"/>
        <v>0</v>
      </c>
      <c r="AZ518" s="1132" t="str">
        <f t="shared" si="373"/>
        <v>CI-MSC-MODD-V01-160601</v>
      </c>
      <c r="BA518" s="1132" t="str">
        <f t="shared" si="374"/>
        <v>Nicor Gas PY11-PY14 Adjustable Goals Template_2025-03-01, Tab 4.8.4</v>
      </c>
      <c r="BB518" s="2505">
        <f>'4.8.4'!$L$4</f>
        <v>266.94</v>
      </c>
      <c r="BC518" s="2505"/>
      <c r="BD518" s="1362">
        <f t="shared" si="375"/>
        <v>893.71512000000018</v>
      </c>
      <c r="BE518" s="1360">
        <f t="shared" si="376"/>
        <v>0</v>
      </c>
      <c r="BF518" s="1132" t="str">
        <f t="shared" si="377"/>
        <v>CI-MSC-MODD-V01-160601</v>
      </c>
      <c r="BG518" s="1132" t="str">
        <f t="shared" si="378"/>
        <v>Nicor Gas PY11-PY14 Adjustable Goals Template_2025-03-01, Tab 4.8.4</v>
      </c>
      <c r="BH518" s="2505">
        <f>'4.8.4'!$L$4</f>
        <v>266.94</v>
      </c>
      <c r="BI518" s="2505"/>
      <c r="BJ518" s="1362">
        <f t="shared" si="400"/>
        <v>893.71512000000018</v>
      </c>
      <c r="BK518" s="1360">
        <f t="shared" si="379"/>
        <v>0</v>
      </c>
      <c r="BL518" s="1601">
        <f t="shared" si="380"/>
        <v>893.71512000000018</v>
      </c>
      <c r="BM518" s="1601">
        <f t="shared" si="381"/>
        <v>893.71512000000018</v>
      </c>
      <c r="BN518" s="1601">
        <f t="shared" si="382"/>
        <v>893.71512000000018</v>
      </c>
      <c r="BO518" s="1601">
        <f t="shared" si="383"/>
        <v>893.71512000000018</v>
      </c>
      <c r="BP518" s="1602">
        <f t="shared" si="384"/>
        <v>3574.8604800000007</v>
      </c>
      <c r="BQ518" s="1629"/>
      <c r="BR518" s="1629" t="s">
        <v>504</v>
      </c>
      <c r="BS518" s="1602">
        <v>0</v>
      </c>
      <c r="BT518" s="1602">
        <v>14</v>
      </c>
      <c r="BU518" s="1602">
        <v>14</v>
      </c>
      <c r="BV518" s="1602">
        <v>14</v>
      </c>
      <c r="BW518" s="1602">
        <v>14</v>
      </c>
      <c r="BX518" s="1362">
        <f t="shared" si="401"/>
        <v>12512.011680000003</v>
      </c>
      <c r="BY518" s="1362">
        <f t="shared" si="402"/>
        <v>12512.011680000003</v>
      </c>
      <c r="BZ518" s="1362">
        <f t="shared" si="403"/>
        <v>12512.011680000003</v>
      </c>
      <c r="CA518" s="1362">
        <f t="shared" si="404"/>
        <v>12512.011680000003</v>
      </c>
      <c r="CB518" s="1362">
        <f t="shared" si="405"/>
        <v>50048.046720000013</v>
      </c>
      <c r="CC518" s="1360">
        <v>14</v>
      </c>
      <c r="CD518" s="1360">
        <v>14</v>
      </c>
      <c r="CE518" s="1360">
        <v>14</v>
      </c>
      <c r="CF518" s="1360">
        <v>14</v>
      </c>
      <c r="CG518" s="1604">
        <f t="shared" si="385"/>
        <v>12512.011680000003</v>
      </c>
      <c r="CH518" s="1604">
        <f t="shared" si="386"/>
        <v>12512.011680000003</v>
      </c>
      <c r="CI518" s="1604">
        <f t="shared" si="387"/>
        <v>12512.011680000003</v>
      </c>
      <c r="CJ518" s="1604">
        <f t="shared" si="388"/>
        <v>12512.011680000003</v>
      </c>
      <c r="CK518" s="1521">
        <f t="shared" si="389"/>
        <v>50048.046720000013</v>
      </c>
      <c r="CL518" s="1132">
        <v>511</v>
      </c>
      <c r="CM518" s="1132" t="s">
        <v>356</v>
      </c>
      <c r="CN518" s="1359">
        <v>0</v>
      </c>
      <c r="CO518" s="1360">
        <v>3.6000000000000005</v>
      </c>
      <c r="CP518" s="1360">
        <v>3.6000000000000005</v>
      </c>
      <c r="CQ518" s="1360">
        <v>3.6000000000000005</v>
      </c>
      <c r="CR518" s="1360">
        <v>3.6000000000000005</v>
      </c>
      <c r="CS518" s="1362">
        <f t="shared" si="390"/>
        <v>893.71512000000018</v>
      </c>
      <c r="CT518" s="1362">
        <f t="shared" si="391"/>
        <v>893.71512000000018</v>
      </c>
      <c r="CU518" s="1362">
        <f t="shared" si="392"/>
        <v>893.71512000000018</v>
      </c>
      <c r="CV518" s="1362">
        <f t="shared" si="393"/>
        <v>893.71512000000018</v>
      </c>
      <c r="CW518" s="1362">
        <f t="shared" si="394"/>
        <v>3574.8604800000007</v>
      </c>
      <c r="CY518" s="2887"/>
    </row>
    <row r="519" spans="1:103" s="1143" customFormat="1" ht="46.5" x14ac:dyDescent="0.35">
      <c r="A519" s="1132" t="s">
        <v>114</v>
      </c>
      <c r="B519" s="1132" t="s">
        <v>961</v>
      </c>
      <c r="C519" s="1132" t="s">
        <v>774</v>
      </c>
      <c r="D519" s="1359" t="s">
        <v>775</v>
      </c>
      <c r="E519" s="1359">
        <v>1</v>
      </c>
      <c r="F519" s="2564" t="s">
        <v>776</v>
      </c>
      <c r="G519" s="1132" t="s">
        <v>356</v>
      </c>
      <c r="H519" s="1360">
        <v>3.6000000000000005</v>
      </c>
      <c r="I519" s="1360">
        <v>3.6000000000000005</v>
      </c>
      <c r="J519" s="1360">
        <v>3.6000000000000005</v>
      </c>
      <c r="K519" s="1360">
        <v>3.6000000000000005</v>
      </c>
      <c r="L519" s="1132" t="s">
        <v>777</v>
      </c>
      <c r="M519" s="1132" t="str">
        <f t="shared" si="356"/>
        <v>Nicor Gas PY11-PY14 Adjustable Goals Template_2025-03-01, Tab 5.3.19</v>
      </c>
      <c r="N519" s="1361">
        <v>21.68</v>
      </c>
      <c r="O519" s="1361">
        <v>21.68</v>
      </c>
      <c r="P519" s="1361">
        <v>21.68</v>
      </c>
      <c r="Q519" s="1361">
        <v>21.68</v>
      </c>
      <c r="R519" s="1781">
        <v>0.93</v>
      </c>
      <c r="S519" s="1781">
        <v>0.93</v>
      </c>
      <c r="T519" s="1781">
        <v>0.93</v>
      </c>
      <c r="U519" s="1781">
        <v>0.93</v>
      </c>
      <c r="V519" s="1781">
        <v>0.93</v>
      </c>
      <c r="W519" s="1781">
        <v>0.93</v>
      </c>
      <c r="X519" s="1781">
        <v>0.93</v>
      </c>
      <c r="Y519" s="1781">
        <v>0.93</v>
      </c>
      <c r="Z519" s="1359">
        <v>0</v>
      </c>
      <c r="AA519" s="1781">
        <f t="shared" si="357"/>
        <v>0.93</v>
      </c>
      <c r="AB519" s="1781">
        <f t="shared" si="358"/>
        <v>0.93</v>
      </c>
      <c r="AC519" s="1781">
        <f t="shared" si="359"/>
        <v>0.93</v>
      </c>
      <c r="AD519" s="1781">
        <f t="shared" si="360"/>
        <v>0.93</v>
      </c>
      <c r="AE519" s="1781">
        <f t="shared" si="361"/>
        <v>0.93</v>
      </c>
      <c r="AF519" s="1781">
        <f t="shared" si="362"/>
        <v>0.93</v>
      </c>
      <c r="AG519" s="1781">
        <f t="shared" si="363"/>
        <v>0.93</v>
      </c>
      <c r="AH519" s="1781">
        <f t="shared" si="364"/>
        <v>0.93</v>
      </c>
      <c r="AI519" s="1362">
        <f t="shared" si="395"/>
        <v>72.584640000000022</v>
      </c>
      <c r="AJ519" s="1362">
        <f t="shared" si="396"/>
        <v>72.584640000000022</v>
      </c>
      <c r="AK519" s="1362">
        <f t="shared" si="397"/>
        <v>72.584640000000022</v>
      </c>
      <c r="AL519" s="1362">
        <f t="shared" si="398"/>
        <v>72.584640000000022</v>
      </c>
      <c r="AM519" s="1362">
        <f t="shared" si="399"/>
        <v>290.33856000000009</v>
      </c>
      <c r="AN519" s="1132" t="str">
        <f t="shared" si="365"/>
        <v>RS-HVC-TRVS-V01-210101</v>
      </c>
      <c r="AO519" s="1132" t="str">
        <f t="shared" si="366"/>
        <v>Nicor Gas PY11-PY14 Adjustable Goals Template_2025-03-01, Tab 5.3.19</v>
      </c>
      <c r="AP519" s="2505">
        <f>'5.3.19'!$O$4</f>
        <v>21.68</v>
      </c>
      <c r="AQ519" s="2505"/>
      <c r="AR519" s="2505">
        <f t="shared" si="367"/>
        <v>72.584640000000022</v>
      </c>
      <c r="AS519" s="2505">
        <f t="shared" si="368"/>
        <v>0</v>
      </c>
      <c r="AT519" s="1132" t="str">
        <f t="shared" si="369"/>
        <v>RS-HVC-TRVS-V01-210101</v>
      </c>
      <c r="AU519" s="1132" t="str">
        <f t="shared" si="370"/>
        <v>Nicor Gas PY11-PY14 Adjustable Goals Template_2025-03-01, Tab 5.3.19</v>
      </c>
      <c r="AV519" s="2505">
        <f>'5.3.19'!$O$4</f>
        <v>21.68</v>
      </c>
      <c r="AW519" s="2505"/>
      <c r="AX519" s="1362">
        <f t="shared" si="371"/>
        <v>72.584640000000022</v>
      </c>
      <c r="AY519" s="1360">
        <f t="shared" si="372"/>
        <v>0</v>
      </c>
      <c r="AZ519" s="1132" t="str">
        <f t="shared" si="373"/>
        <v>RS-HVC-TRVS-V01-210101</v>
      </c>
      <c r="BA519" s="1132" t="str">
        <f t="shared" si="374"/>
        <v>Nicor Gas PY11-PY14 Adjustable Goals Template_2025-03-01, Tab 5.3.19</v>
      </c>
      <c r="BB519" s="2505">
        <f>'5.3.19'!$O$4</f>
        <v>21.68</v>
      </c>
      <c r="BC519" s="2505"/>
      <c r="BD519" s="1362">
        <f t="shared" si="375"/>
        <v>72.584640000000022</v>
      </c>
      <c r="BE519" s="1360">
        <f t="shared" si="376"/>
        <v>0</v>
      </c>
      <c r="BF519" s="1132" t="str">
        <f t="shared" si="377"/>
        <v>RS-HVC-TRVS-V01-210101</v>
      </c>
      <c r="BG519" s="1132" t="str">
        <f t="shared" si="378"/>
        <v>Nicor Gas PY11-PY14 Adjustable Goals Template_2025-03-01, Tab 5.3.19</v>
      </c>
      <c r="BH519" s="2505">
        <f>'5.3.19'!$O$4</f>
        <v>21.68</v>
      </c>
      <c r="BI519" s="2505"/>
      <c r="BJ519" s="1362">
        <f t="shared" si="400"/>
        <v>72.584640000000022</v>
      </c>
      <c r="BK519" s="1360">
        <f t="shared" si="379"/>
        <v>0</v>
      </c>
      <c r="BL519" s="1601">
        <f t="shared" si="380"/>
        <v>72.584640000000022</v>
      </c>
      <c r="BM519" s="1601">
        <f t="shared" si="381"/>
        <v>72.584640000000022</v>
      </c>
      <c r="BN519" s="1601">
        <f t="shared" si="382"/>
        <v>72.584640000000022</v>
      </c>
      <c r="BO519" s="1601">
        <f t="shared" si="383"/>
        <v>72.584640000000022</v>
      </c>
      <c r="BP519" s="1602">
        <f t="shared" si="384"/>
        <v>290.33856000000009</v>
      </c>
      <c r="BQ519" s="1629"/>
      <c r="BR519" s="1629" t="s">
        <v>776</v>
      </c>
      <c r="BS519" s="1602">
        <v>0</v>
      </c>
      <c r="BT519" s="1602">
        <v>15</v>
      </c>
      <c r="BU519" s="1602">
        <v>15</v>
      </c>
      <c r="BV519" s="1602">
        <v>15</v>
      </c>
      <c r="BW519" s="1602">
        <v>15</v>
      </c>
      <c r="BX519" s="1362">
        <f t="shared" si="401"/>
        <v>1088.7696000000003</v>
      </c>
      <c r="BY519" s="1362">
        <f t="shared" si="402"/>
        <v>1088.7696000000003</v>
      </c>
      <c r="BZ519" s="1362">
        <f t="shared" si="403"/>
        <v>1088.7696000000003</v>
      </c>
      <c r="CA519" s="1362">
        <f t="shared" si="404"/>
        <v>1088.7696000000003</v>
      </c>
      <c r="CB519" s="1362">
        <f t="shared" si="405"/>
        <v>4355.0784000000012</v>
      </c>
      <c r="CC519" s="1360">
        <v>15</v>
      </c>
      <c r="CD519" s="1360">
        <v>15</v>
      </c>
      <c r="CE519" s="1360">
        <v>15</v>
      </c>
      <c r="CF519" s="1360">
        <v>15</v>
      </c>
      <c r="CG519" s="1604">
        <f t="shared" si="385"/>
        <v>1088.7696000000003</v>
      </c>
      <c r="CH519" s="1604">
        <f t="shared" si="386"/>
        <v>1088.7696000000003</v>
      </c>
      <c r="CI519" s="1604">
        <f t="shared" si="387"/>
        <v>1088.7696000000003</v>
      </c>
      <c r="CJ519" s="1604">
        <f t="shared" si="388"/>
        <v>1088.7696000000003</v>
      </c>
      <c r="CK519" s="1521">
        <f t="shared" si="389"/>
        <v>4355.0784000000012</v>
      </c>
      <c r="CL519" s="1132">
        <v>512</v>
      </c>
      <c r="CM519" s="1132" t="s">
        <v>356</v>
      </c>
      <c r="CN519" s="1359">
        <v>0</v>
      </c>
      <c r="CO519" s="1360">
        <v>3.6000000000000005</v>
      </c>
      <c r="CP519" s="1360">
        <v>3.6000000000000005</v>
      </c>
      <c r="CQ519" s="1360">
        <v>3.6000000000000005</v>
      </c>
      <c r="CR519" s="1360">
        <v>3.6000000000000005</v>
      </c>
      <c r="CS519" s="1362">
        <f t="shared" si="390"/>
        <v>72.584640000000022</v>
      </c>
      <c r="CT519" s="1362">
        <f t="shared" si="391"/>
        <v>72.584640000000022</v>
      </c>
      <c r="CU519" s="1362">
        <f t="shared" si="392"/>
        <v>72.584640000000022</v>
      </c>
      <c r="CV519" s="1362">
        <f t="shared" si="393"/>
        <v>72.584640000000022</v>
      </c>
      <c r="CW519" s="1362">
        <f t="shared" si="394"/>
        <v>290.33856000000009</v>
      </c>
      <c r="CY519" s="2887"/>
    </row>
    <row r="520" spans="1:103" s="1143" customFormat="1" ht="46.5" x14ac:dyDescent="0.35">
      <c r="A520" s="1132" t="s">
        <v>106</v>
      </c>
      <c r="B520" s="1132" t="s">
        <v>968</v>
      </c>
      <c r="C520" s="1132" t="s">
        <v>969</v>
      </c>
      <c r="D520" s="1359" t="s">
        <v>970</v>
      </c>
      <c r="E520" s="1359">
        <v>1</v>
      </c>
      <c r="F520" s="2807" t="s">
        <v>970</v>
      </c>
      <c r="G520" s="1132" t="s">
        <v>356</v>
      </c>
      <c r="H520" s="1360">
        <v>17127.964073175001</v>
      </c>
      <c r="I520" s="1360">
        <v>17127.964073175001</v>
      </c>
      <c r="J520" s="1360">
        <v>17127.964073175001</v>
      </c>
      <c r="K520" s="1360">
        <v>17127.964073175001</v>
      </c>
      <c r="L520" s="1132" t="s">
        <v>971</v>
      </c>
      <c r="M520" s="1132" t="str">
        <f t="shared" ref="M520:M583" si="407">IF(F520&lt;&gt;"Custom",CONCATENATE($I$1,", ",$J$1," ",F520),"")</f>
        <v>Nicor Gas PY11-PY14 Adjustable Goals Template_2025-03-01, Tab 5.4.4, 5.4.5, 5.4.6, 5.4.9</v>
      </c>
      <c r="N520" s="1361">
        <v>11.47029057653279</v>
      </c>
      <c r="O520" s="1361">
        <v>11.47029057653279</v>
      </c>
      <c r="P520" s="1361">
        <v>11.47029057653279</v>
      </c>
      <c r="Q520" s="1361">
        <v>11.47029057653279</v>
      </c>
      <c r="R520" s="1781">
        <v>1</v>
      </c>
      <c r="S520" s="1781">
        <v>1</v>
      </c>
      <c r="T520" s="1781">
        <v>1</v>
      </c>
      <c r="U520" s="1781">
        <v>1</v>
      </c>
      <c r="V520" s="1781">
        <v>1</v>
      </c>
      <c r="W520" s="1781">
        <v>1</v>
      </c>
      <c r="X520" s="1781">
        <v>1</v>
      </c>
      <c r="Y520" s="1781">
        <v>1</v>
      </c>
      <c r="Z520" s="1359">
        <v>0</v>
      </c>
      <c r="AA520" s="1781">
        <f t="shared" ref="AA520:AA583" si="408">V520</f>
        <v>1</v>
      </c>
      <c r="AB520" s="1781">
        <f t="shared" ref="AB520:AB583" si="409">W520</f>
        <v>1</v>
      </c>
      <c r="AC520" s="1781">
        <f t="shared" ref="AC520:AC583" si="410">X520</f>
        <v>1</v>
      </c>
      <c r="AD520" s="1781">
        <f t="shared" ref="AD520:AD583" si="411">Y520</f>
        <v>1</v>
      </c>
      <c r="AE520" s="1781">
        <f t="shared" ref="AE520:AE583" si="412">V520</f>
        <v>1</v>
      </c>
      <c r="AF520" s="1781">
        <f t="shared" ref="AF520:AF583" si="413">W520</f>
        <v>1</v>
      </c>
      <c r="AG520" s="1781">
        <f t="shared" ref="AG520:AG583" si="414">X520</f>
        <v>1</v>
      </c>
      <c r="AH520" s="1781">
        <f t="shared" ref="AH520:AH583" si="415">Y520</f>
        <v>1</v>
      </c>
      <c r="AI520" s="1362">
        <f t="shared" si="395"/>
        <v>196462.72490373137</v>
      </c>
      <c r="AJ520" s="1362">
        <f t="shared" si="396"/>
        <v>196462.72490373137</v>
      </c>
      <c r="AK520" s="1362">
        <f t="shared" si="397"/>
        <v>196462.72490373137</v>
      </c>
      <c r="AL520" s="1362">
        <f t="shared" si="398"/>
        <v>196462.72490373137</v>
      </c>
      <c r="AM520" s="1362">
        <f t="shared" si="399"/>
        <v>785850.8996149255</v>
      </c>
      <c r="AN520" s="1132" t="str">
        <f t="shared" ref="AN520:AN583" si="416">L520</f>
        <v>C27</v>
      </c>
      <c r="AO520" s="1132" t="str">
        <f t="shared" ref="AO520:AO583" si="417">M520</f>
        <v>Nicor Gas PY11-PY14 Adjustable Goals Template_2025-03-01, Tab 5.4.4, 5.4.5, 5.4.6, 5.4.9</v>
      </c>
      <c r="AP520" s="2507">
        <f>Kits!$C$85</f>
        <v>12.208092866278324</v>
      </c>
      <c r="AQ520" s="2568" t="s">
        <v>557</v>
      </c>
      <c r="AR520" s="2505">
        <f t="shared" ref="AR520:AR583" si="418">H520*AP520*V520</f>
        <v>209099.77601559914</v>
      </c>
      <c r="AS520" s="2505">
        <f t="shared" ref="AS520:AS583" si="419">AR520-AI520</f>
        <v>12637.051111867768</v>
      </c>
      <c r="AT520" s="1132" t="str">
        <f t="shared" ref="AT520:AT583" si="420">L520</f>
        <v>C27</v>
      </c>
      <c r="AU520" s="1132" t="str">
        <f t="shared" ref="AU520:AU583" si="421">M520</f>
        <v>Nicor Gas PY11-PY14 Adjustable Goals Template_2025-03-01, Tab 5.4.4, 5.4.5, 5.4.6, 5.4.9</v>
      </c>
      <c r="AV520" s="2507">
        <f>Kits!$C$85</f>
        <v>12.208092866278324</v>
      </c>
      <c r="AW520" s="2568" t="s">
        <v>557</v>
      </c>
      <c r="AX520" s="1362">
        <f t="shared" ref="AX520:AX583" si="422">I520*AV520*W520</f>
        <v>209099.77601559914</v>
      </c>
      <c r="AY520" s="1360">
        <f t="shared" ref="AY520:AY583" si="423">AX520-AJ520</f>
        <v>12637.051111867768</v>
      </c>
      <c r="AZ520" s="1132" t="str">
        <f t="shared" ref="AZ520:AZ583" si="424">L520</f>
        <v>C27</v>
      </c>
      <c r="BA520" s="1132" t="str">
        <f t="shared" ref="BA520:BA583" si="425">M520</f>
        <v>Nicor Gas PY11-PY14 Adjustable Goals Template_2025-03-01, Tab 5.4.4, 5.4.5, 5.4.6, 5.4.9</v>
      </c>
      <c r="BB520" s="2507">
        <f>Kits!$C$85</f>
        <v>12.208092866278324</v>
      </c>
      <c r="BC520" s="2568" t="s">
        <v>557</v>
      </c>
      <c r="BD520" s="1362">
        <f t="shared" ref="BD520:BD583" si="426">J520*BB520*X520</f>
        <v>209099.77601559914</v>
      </c>
      <c r="BE520" s="1360">
        <f t="shared" ref="BE520:BE583" si="427">BD520-AK520</f>
        <v>12637.051111867768</v>
      </c>
      <c r="BF520" s="1132" t="str">
        <f t="shared" ref="BF520:BF583" si="428">L520</f>
        <v>C27</v>
      </c>
      <c r="BG520" s="1132" t="str">
        <f t="shared" ref="BG520:BG583" si="429">M520</f>
        <v>Nicor Gas PY11-PY14 Adjustable Goals Template_2025-03-01, Tab 5.4.4, 5.4.5, 5.4.6, 5.4.9</v>
      </c>
      <c r="BH520" s="2507">
        <f>Kits!$C$85</f>
        <v>12.208092866278324</v>
      </c>
      <c r="BI520" s="2568" t="s">
        <v>557</v>
      </c>
      <c r="BJ520" s="1362">
        <f t="shared" si="400"/>
        <v>209099.77601559914</v>
      </c>
      <c r="BK520" s="1360">
        <f t="shared" ref="BK520:BK583" si="430">BJ520-AL520</f>
        <v>12637.051111867768</v>
      </c>
      <c r="BL520" s="1601">
        <f t="shared" ref="BL520:BL583" si="431">IF($BL$2=2022,IF($E520=1,AR520,AR520),IF($E520=1,AR520,AI520))</f>
        <v>209099.77601559914</v>
      </c>
      <c r="BM520" s="1601">
        <f t="shared" ref="BM520:BM583" si="432">IF($BL$2=2022,IF($E520=1,AX520,AX520),IF($E520=1,AX520,AJ520))</f>
        <v>209099.77601559914</v>
      </c>
      <c r="BN520" s="1601">
        <f t="shared" ref="BN520:BN583" si="433">IF($BL$2=2022,IF($E520=1,BD520,BD520),IF($E520=1,BD520,AK520))</f>
        <v>209099.77601559914</v>
      </c>
      <c r="BO520" s="1601">
        <f t="shared" ref="BO520:BO583" si="434">IF($BL$2=2022,IF($E520=1,BJ520,BJ520),IF($E520=1,BJ520,AL520))</f>
        <v>209099.77601559914</v>
      </c>
      <c r="BP520" s="1602">
        <f t="shared" ref="BP520:BP583" si="435">SUM(BL520:BO520)</f>
        <v>836399.10406239657</v>
      </c>
      <c r="BQ520" s="1629"/>
      <c r="BR520" s="1629" t="s">
        <v>970</v>
      </c>
      <c r="BS520" s="1602">
        <v>0</v>
      </c>
      <c r="BT520" s="1602">
        <v>8.2799999999999994</v>
      </c>
      <c r="BU520" s="1602">
        <v>8.2799999999999994</v>
      </c>
      <c r="BV520" s="1602">
        <v>8.2799999999999994</v>
      </c>
      <c r="BW520" s="1602">
        <v>8.2799999999999994</v>
      </c>
      <c r="BX520" s="1362">
        <f t="shared" si="401"/>
        <v>1626711.3622028956</v>
      </c>
      <c r="BY520" s="1362">
        <f t="shared" si="402"/>
        <v>1626711.3622028956</v>
      </c>
      <c r="BZ520" s="1362">
        <f t="shared" si="403"/>
        <v>1626711.3622028956</v>
      </c>
      <c r="CA520" s="1362">
        <f t="shared" si="404"/>
        <v>1626711.3622028956</v>
      </c>
      <c r="CB520" s="1362">
        <f t="shared" si="405"/>
        <v>6506845.4488115823</v>
      </c>
      <c r="CC520" s="1360">
        <v>8.2799999999999994</v>
      </c>
      <c r="CD520" s="1360">
        <v>8.2799999999999994</v>
      </c>
      <c r="CE520" s="1360">
        <v>8.2799999999999994</v>
      </c>
      <c r="CF520" s="1360">
        <v>8.2799999999999994</v>
      </c>
      <c r="CG520" s="1604">
        <f t="shared" ref="CG520:CG583" si="436">H520*V520*AP520*CC520</f>
        <v>1731346.1454091608</v>
      </c>
      <c r="CH520" s="1604">
        <f t="shared" ref="CH520:CH583" si="437">I520*W520*AV520*CD520</f>
        <v>1731346.1454091608</v>
      </c>
      <c r="CI520" s="1604">
        <f t="shared" ref="CI520:CI583" si="438">J520*X520*BB520*CE520</f>
        <v>1731346.1454091608</v>
      </c>
      <c r="CJ520" s="1604">
        <f t="shared" ref="CJ520:CJ583" si="439">K520*Y520*BH520*CF520</f>
        <v>1731346.1454091608</v>
      </c>
      <c r="CK520" s="1521">
        <f t="shared" ref="CK520:CK583" si="440">SUM(CG520:CJ520)</f>
        <v>6925384.581636643</v>
      </c>
      <c r="CL520" s="1132">
        <v>513</v>
      </c>
      <c r="CM520" s="1132" t="s">
        <v>356</v>
      </c>
      <c r="CN520" s="1359">
        <v>1</v>
      </c>
      <c r="CO520" s="1360">
        <v>9163.1729581819218</v>
      </c>
      <c r="CP520" s="1360">
        <v>9163.1729581819218</v>
      </c>
      <c r="CQ520" s="1360">
        <v>9163.1729581819218</v>
      </c>
      <c r="CR520" s="1360">
        <v>9163.1729581819218</v>
      </c>
      <c r="CS520" s="1362">
        <f t="shared" ref="CS520:CS583" si="441">IF($CN520=1,CO520*N520*AE520,BL520)</f>
        <v>105104.25643337419</v>
      </c>
      <c r="CT520" s="1362">
        <f t="shared" ref="CT520:CT583" si="442">IF($CN520=1,CP520*O520*AF520,BM520)</f>
        <v>105104.25643337419</v>
      </c>
      <c r="CU520" s="1362">
        <f t="shared" ref="CU520:CU583" si="443">IF($CN520=1,CQ520*P520*AG520,BN520)</f>
        <v>105104.25643337419</v>
      </c>
      <c r="CV520" s="1362">
        <f t="shared" ref="CV520:CV583" si="444">IF($CN520=1,CR520*Q520*AH520,BO520)</f>
        <v>105104.25643337419</v>
      </c>
      <c r="CW520" s="1362">
        <f t="shared" ref="CW520:CW583" si="445">+SUM(CS520:CV520)</f>
        <v>420417.02573349676</v>
      </c>
      <c r="CY520" s="2887"/>
    </row>
    <row r="521" spans="1:103" s="1143" customFormat="1" ht="46.5" x14ac:dyDescent="0.35">
      <c r="A521" s="1132" t="s">
        <v>106</v>
      </c>
      <c r="B521" s="1132" t="s">
        <v>968</v>
      </c>
      <c r="C521" s="1132" t="s">
        <v>972</v>
      </c>
      <c r="D521" s="1359" t="s">
        <v>970</v>
      </c>
      <c r="E521" s="1359">
        <v>1</v>
      </c>
      <c r="F521" s="2807" t="s">
        <v>970</v>
      </c>
      <c r="G521" s="1132" t="s">
        <v>356</v>
      </c>
      <c r="H521" s="1360">
        <v>1021.875</v>
      </c>
      <c r="I521" s="1360">
        <v>1021.875</v>
      </c>
      <c r="J521" s="1360">
        <v>1021.875</v>
      </c>
      <c r="K521" s="1360">
        <v>1021.875</v>
      </c>
      <c r="L521" s="1132" t="s">
        <v>973</v>
      </c>
      <c r="M521" s="1132" t="str">
        <f t="shared" si="407"/>
        <v>Nicor Gas PY11-PY14 Adjustable Goals Template_2025-03-01, Tab 5.4.4, 5.4.5, 5.4.6, 5.4.9</v>
      </c>
      <c r="N521" s="1361">
        <v>11.47029057653279</v>
      </c>
      <c r="O521" s="1361">
        <v>11.47029057653279</v>
      </c>
      <c r="P521" s="1361">
        <v>11.47029057653279</v>
      </c>
      <c r="Q521" s="1361">
        <v>11.47029057653279</v>
      </c>
      <c r="R521" s="1781">
        <v>1</v>
      </c>
      <c r="S521" s="1781">
        <v>1</v>
      </c>
      <c r="T521" s="1781">
        <v>1</v>
      </c>
      <c r="U521" s="1781">
        <v>1</v>
      </c>
      <c r="V521" s="1781">
        <v>1</v>
      </c>
      <c r="W521" s="1781">
        <v>1</v>
      </c>
      <c r="X521" s="1781">
        <v>1</v>
      </c>
      <c r="Y521" s="1781">
        <v>1</v>
      </c>
      <c r="Z521" s="1359">
        <v>0</v>
      </c>
      <c r="AA521" s="1781">
        <f t="shared" si="408"/>
        <v>1</v>
      </c>
      <c r="AB521" s="1781">
        <f t="shared" si="409"/>
        <v>1</v>
      </c>
      <c r="AC521" s="1781">
        <f t="shared" si="410"/>
        <v>1</v>
      </c>
      <c r="AD521" s="1781">
        <f t="shared" si="411"/>
        <v>1</v>
      </c>
      <c r="AE521" s="1781">
        <f t="shared" si="412"/>
        <v>1</v>
      </c>
      <c r="AF521" s="1781">
        <f t="shared" si="413"/>
        <v>1</v>
      </c>
      <c r="AG521" s="1781">
        <f t="shared" si="414"/>
        <v>1</v>
      </c>
      <c r="AH521" s="1781">
        <f t="shared" si="415"/>
        <v>1</v>
      </c>
      <c r="AI521" s="1362">
        <f t="shared" ref="AI521:AI584" si="446">H521*N521*R521</f>
        <v>11721.203182894445</v>
      </c>
      <c r="AJ521" s="1362">
        <f t="shared" ref="AJ521:AJ584" si="447">I521*O521*S521</f>
        <v>11721.203182894445</v>
      </c>
      <c r="AK521" s="1362">
        <f t="shared" ref="AK521:AK584" si="448">J521*P521*T521</f>
        <v>11721.203182894445</v>
      </c>
      <c r="AL521" s="1362">
        <f t="shared" ref="AL521:AL584" si="449">K521*Q521*U521</f>
        <v>11721.203182894445</v>
      </c>
      <c r="AM521" s="1362">
        <f t="shared" ref="AM521:AM584" si="450">SUM(AI521:AL521)</f>
        <v>46884.812731577782</v>
      </c>
      <c r="AN521" s="1132" t="str">
        <f t="shared" si="416"/>
        <v>C152</v>
      </c>
      <c r="AO521" s="1132" t="str">
        <f t="shared" si="417"/>
        <v>Nicor Gas PY11-PY14 Adjustable Goals Template_2025-03-01, Tab 5.4.4, 5.4.5, 5.4.6, 5.4.9</v>
      </c>
      <c r="AP521" s="2507">
        <f>Kits!$C$86</f>
        <v>12.208092866278324</v>
      </c>
      <c r="AQ521" s="2568" t="s">
        <v>557</v>
      </c>
      <c r="AR521" s="2505">
        <f t="shared" si="418"/>
        <v>12475.144897728163</v>
      </c>
      <c r="AS521" s="2505">
        <f t="shared" si="419"/>
        <v>753.94171483371792</v>
      </c>
      <c r="AT521" s="1132" t="str">
        <f t="shared" si="420"/>
        <v>C152</v>
      </c>
      <c r="AU521" s="1132" t="str">
        <f t="shared" si="421"/>
        <v>Nicor Gas PY11-PY14 Adjustable Goals Template_2025-03-01, Tab 5.4.4, 5.4.5, 5.4.6, 5.4.9</v>
      </c>
      <c r="AV521" s="2507">
        <f>Kits!$C$86</f>
        <v>12.208092866278324</v>
      </c>
      <c r="AW521" s="2568" t="s">
        <v>557</v>
      </c>
      <c r="AX521" s="1362">
        <f t="shared" si="422"/>
        <v>12475.144897728163</v>
      </c>
      <c r="AY521" s="1360">
        <f t="shared" si="423"/>
        <v>753.94171483371792</v>
      </c>
      <c r="AZ521" s="1132" t="str">
        <f t="shared" si="424"/>
        <v>C152</v>
      </c>
      <c r="BA521" s="1132" t="str">
        <f t="shared" si="425"/>
        <v>Nicor Gas PY11-PY14 Adjustable Goals Template_2025-03-01, Tab 5.4.4, 5.4.5, 5.4.6, 5.4.9</v>
      </c>
      <c r="BB521" s="2507">
        <f>Kits!$C$86</f>
        <v>12.208092866278324</v>
      </c>
      <c r="BC521" s="2568" t="s">
        <v>557</v>
      </c>
      <c r="BD521" s="1362">
        <f t="shared" si="426"/>
        <v>12475.144897728163</v>
      </c>
      <c r="BE521" s="1360">
        <f t="shared" si="427"/>
        <v>753.94171483371792</v>
      </c>
      <c r="BF521" s="1132" t="str">
        <f t="shared" si="428"/>
        <v>C152</v>
      </c>
      <c r="BG521" s="1132" t="str">
        <f t="shared" si="429"/>
        <v>Nicor Gas PY11-PY14 Adjustable Goals Template_2025-03-01, Tab 5.4.4, 5.4.5, 5.4.6, 5.4.9</v>
      </c>
      <c r="BH521" s="2507">
        <f>Kits!$C$86</f>
        <v>12.208092866278324</v>
      </c>
      <c r="BI521" s="2568" t="s">
        <v>557</v>
      </c>
      <c r="BJ521" s="1362">
        <f t="shared" ref="BJ521:BJ584" si="451">K521*BH521*Y521</f>
        <v>12475.144897728163</v>
      </c>
      <c r="BK521" s="1360">
        <f t="shared" si="430"/>
        <v>753.94171483371792</v>
      </c>
      <c r="BL521" s="1601">
        <f t="shared" si="431"/>
        <v>12475.144897728163</v>
      </c>
      <c r="BM521" s="1601">
        <f t="shared" si="432"/>
        <v>12475.144897728163</v>
      </c>
      <c r="BN521" s="1601">
        <f t="shared" si="433"/>
        <v>12475.144897728163</v>
      </c>
      <c r="BO521" s="1601">
        <f t="shared" si="434"/>
        <v>12475.144897728163</v>
      </c>
      <c r="BP521" s="1602">
        <f t="shared" si="435"/>
        <v>49900.579590912654</v>
      </c>
      <c r="BQ521" s="1629"/>
      <c r="BR521" s="1629" t="s">
        <v>970</v>
      </c>
      <c r="BS521" s="1602">
        <v>0</v>
      </c>
      <c r="BT521" s="1602">
        <v>8.2799999999999994</v>
      </c>
      <c r="BU521" s="1602">
        <v>8.2799999999999994</v>
      </c>
      <c r="BV521" s="1602">
        <v>8.2799999999999994</v>
      </c>
      <c r="BW521" s="1602">
        <v>8.2799999999999994</v>
      </c>
      <c r="BX521" s="1362">
        <f t="shared" ref="BX521:BX584" si="452">H521*N521*R521*BT521</f>
        <v>97051.562354366004</v>
      </c>
      <c r="BY521" s="1362">
        <f t="shared" ref="BY521:BY584" si="453">I521*O521*S521*BU521</f>
        <v>97051.562354366004</v>
      </c>
      <c r="BZ521" s="1362">
        <f t="shared" ref="BZ521:BZ584" si="454">J521*P521*T521*BV521</f>
        <v>97051.562354366004</v>
      </c>
      <c r="CA521" s="1362">
        <f t="shared" ref="CA521:CA584" si="455">K521*Q521*U521*BW521</f>
        <v>97051.562354366004</v>
      </c>
      <c r="CB521" s="1362">
        <f t="shared" ref="CB521:CB584" si="456">SUM(BX521:CA521)</f>
        <v>388206.24941746402</v>
      </c>
      <c r="CC521" s="1360">
        <v>8.2799999999999994</v>
      </c>
      <c r="CD521" s="1360">
        <v>8.2799999999999994</v>
      </c>
      <c r="CE521" s="1360">
        <v>8.2799999999999994</v>
      </c>
      <c r="CF521" s="1360">
        <v>8.2799999999999994</v>
      </c>
      <c r="CG521" s="1604">
        <f t="shared" si="436"/>
        <v>103294.19975318918</v>
      </c>
      <c r="CH521" s="1604">
        <f t="shared" si="437"/>
        <v>103294.19975318918</v>
      </c>
      <c r="CI521" s="1604">
        <f t="shared" si="438"/>
        <v>103294.19975318918</v>
      </c>
      <c r="CJ521" s="1604">
        <f t="shared" si="439"/>
        <v>103294.19975318918</v>
      </c>
      <c r="CK521" s="1521">
        <f t="shared" si="440"/>
        <v>413176.79901275673</v>
      </c>
      <c r="CL521" s="1132">
        <v>514</v>
      </c>
      <c r="CM521" s="1132" t="s">
        <v>356</v>
      </c>
      <c r="CN521" s="1359">
        <v>0</v>
      </c>
      <c r="CO521" s="1360">
        <v>1021.875</v>
      </c>
      <c r="CP521" s="1360">
        <v>1021.875</v>
      </c>
      <c r="CQ521" s="1360">
        <v>1021.875</v>
      </c>
      <c r="CR521" s="1360">
        <v>1021.875</v>
      </c>
      <c r="CS521" s="1362">
        <f t="shared" si="441"/>
        <v>12475.144897728163</v>
      </c>
      <c r="CT521" s="1362">
        <f t="shared" si="442"/>
        <v>12475.144897728163</v>
      </c>
      <c r="CU521" s="1362">
        <f t="shared" si="443"/>
        <v>12475.144897728163</v>
      </c>
      <c r="CV521" s="1362">
        <f t="shared" si="444"/>
        <v>12475.144897728163</v>
      </c>
      <c r="CW521" s="1362">
        <f t="shared" si="445"/>
        <v>49900.579590912654</v>
      </c>
      <c r="CY521" s="2887"/>
    </row>
    <row r="522" spans="1:103" s="1143" customFormat="1" ht="62" x14ac:dyDescent="0.35">
      <c r="A522" s="1132" t="s">
        <v>106</v>
      </c>
      <c r="B522" s="1132" t="s">
        <v>974</v>
      </c>
      <c r="C522" s="1132" t="s">
        <v>975</v>
      </c>
      <c r="D522" s="1359" t="s">
        <v>805</v>
      </c>
      <c r="E522" s="1359">
        <v>1</v>
      </c>
      <c r="F522" s="2807" t="s">
        <v>805</v>
      </c>
      <c r="G522" s="1132" t="s">
        <v>356</v>
      </c>
      <c r="H522" s="1360">
        <v>125.19341835000002</v>
      </c>
      <c r="I522" s="1360">
        <v>125.19341835000002</v>
      </c>
      <c r="J522" s="1360">
        <v>125.19341835000002</v>
      </c>
      <c r="K522" s="1360">
        <v>125.19341835000002</v>
      </c>
      <c r="L522" s="1132" t="s">
        <v>976</v>
      </c>
      <c r="M522" s="1132" t="str">
        <f t="shared" si="407"/>
        <v>Nicor Gas PY11-PY14 Adjustable Goals Template_2025-03-01, Tab 5.4.4, 5.4.5,  5.4.9</v>
      </c>
      <c r="N522" s="1361">
        <v>16.570868020826783</v>
      </c>
      <c r="O522" s="1361">
        <v>16.570868020826783</v>
      </c>
      <c r="P522" s="1361">
        <v>16.570868020826783</v>
      </c>
      <c r="Q522" s="1361">
        <v>16.570868020826783</v>
      </c>
      <c r="R522" s="1781">
        <v>1</v>
      </c>
      <c r="S522" s="1781">
        <v>1</v>
      </c>
      <c r="T522" s="1781">
        <v>1</v>
      </c>
      <c r="U522" s="1781">
        <v>1</v>
      </c>
      <c r="V522" s="2567">
        <v>1.1000000000000001</v>
      </c>
      <c r="W522" s="2567">
        <v>1.1000000000000001</v>
      </c>
      <c r="X522" s="2567">
        <v>1.1000000000000001</v>
      </c>
      <c r="Y522" s="2567">
        <v>1.1000000000000001</v>
      </c>
      <c r="Z522" s="1359">
        <v>0</v>
      </c>
      <c r="AA522" s="2567">
        <f t="shared" si="408"/>
        <v>1.1000000000000001</v>
      </c>
      <c r="AB522" s="2567">
        <f t="shared" si="409"/>
        <v>1.1000000000000001</v>
      </c>
      <c r="AC522" s="2567">
        <f t="shared" si="410"/>
        <v>1.1000000000000001</v>
      </c>
      <c r="AD522" s="2567">
        <f t="shared" si="411"/>
        <v>1.1000000000000001</v>
      </c>
      <c r="AE522" s="2567">
        <f t="shared" si="412"/>
        <v>1.1000000000000001</v>
      </c>
      <c r="AF522" s="2567">
        <f t="shared" si="413"/>
        <v>1.1000000000000001</v>
      </c>
      <c r="AG522" s="2567">
        <f t="shared" si="414"/>
        <v>1.1000000000000001</v>
      </c>
      <c r="AH522" s="2567">
        <f t="shared" si="415"/>
        <v>1.1000000000000001</v>
      </c>
      <c r="AI522" s="1362">
        <f t="shared" si="446"/>
        <v>2074.5636125540041</v>
      </c>
      <c r="AJ522" s="1362">
        <f t="shared" si="447"/>
        <v>2074.5636125540041</v>
      </c>
      <c r="AK522" s="1362">
        <f t="shared" si="448"/>
        <v>2074.5636125540041</v>
      </c>
      <c r="AL522" s="1362">
        <f t="shared" si="449"/>
        <v>2074.5636125540041</v>
      </c>
      <c r="AM522" s="1362">
        <f t="shared" si="450"/>
        <v>8298.2544502160163</v>
      </c>
      <c r="AN522" s="1132" t="str">
        <f t="shared" si="416"/>
        <v>C4</v>
      </c>
      <c r="AO522" s="1132" t="str">
        <f t="shared" si="417"/>
        <v>Nicor Gas PY11-PY14 Adjustable Goals Template_2025-03-01, Tab 5.4.4, 5.4.5,  5.4.9</v>
      </c>
      <c r="AP522" s="2505">
        <f>Kits!$C$13</f>
        <v>17.915302446989763</v>
      </c>
      <c r="AQ522" s="2568" t="s">
        <v>977</v>
      </c>
      <c r="AR522" s="2505">
        <f t="shared" si="418"/>
        <v>2467.1657495240452</v>
      </c>
      <c r="AS522" s="2505">
        <f t="shared" si="419"/>
        <v>392.6021369700411</v>
      </c>
      <c r="AT522" s="1132" t="str">
        <f t="shared" si="420"/>
        <v>C4</v>
      </c>
      <c r="AU522" s="1132" t="str">
        <f t="shared" si="421"/>
        <v>Nicor Gas PY11-PY14 Adjustable Goals Template_2025-03-01, Tab 5.4.4, 5.4.5,  5.4.9</v>
      </c>
      <c r="AV522" s="2505">
        <f>Kits!$C$13</f>
        <v>17.915302446989763</v>
      </c>
      <c r="AW522" s="2568" t="s">
        <v>977</v>
      </c>
      <c r="AX522" s="1362">
        <f t="shared" si="422"/>
        <v>2467.1657495240452</v>
      </c>
      <c r="AY522" s="1360">
        <f t="shared" si="423"/>
        <v>392.6021369700411</v>
      </c>
      <c r="AZ522" s="1132" t="str">
        <f t="shared" si="424"/>
        <v>C4</v>
      </c>
      <c r="BA522" s="1132" t="str">
        <f t="shared" si="425"/>
        <v>Nicor Gas PY11-PY14 Adjustable Goals Template_2025-03-01, Tab 5.4.4, 5.4.5,  5.4.9</v>
      </c>
      <c r="BB522" s="2505">
        <f>Kits!$C$13</f>
        <v>17.915302446989763</v>
      </c>
      <c r="BC522" s="2568" t="s">
        <v>977</v>
      </c>
      <c r="BD522" s="1362">
        <f t="shared" si="426"/>
        <v>2467.1657495240452</v>
      </c>
      <c r="BE522" s="1360">
        <f t="shared" si="427"/>
        <v>392.6021369700411</v>
      </c>
      <c r="BF522" s="1132" t="str">
        <f t="shared" si="428"/>
        <v>C4</v>
      </c>
      <c r="BG522" s="1132" t="str">
        <f t="shared" si="429"/>
        <v>Nicor Gas PY11-PY14 Adjustable Goals Template_2025-03-01, Tab 5.4.4, 5.4.5,  5.4.9</v>
      </c>
      <c r="BH522" s="2505">
        <f>Kits!$C$13</f>
        <v>17.915302446989763</v>
      </c>
      <c r="BI522" s="2568" t="s">
        <v>977</v>
      </c>
      <c r="BJ522" s="1362">
        <f t="shared" si="451"/>
        <v>2467.1657495240452</v>
      </c>
      <c r="BK522" s="1360">
        <f t="shared" si="430"/>
        <v>392.6021369700411</v>
      </c>
      <c r="BL522" s="1601">
        <f t="shared" si="431"/>
        <v>2467.1657495240452</v>
      </c>
      <c r="BM522" s="1601">
        <f t="shared" si="432"/>
        <v>2467.1657495240452</v>
      </c>
      <c r="BN522" s="1601">
        <f t="shared" si="433"/>
        <v>2467.1657495240452</v>
      </c>
      <c r="BO522" s="1601">
        <f t="shared" si="434"/>
        <v>2467.1657495240452</v>
      </c>
      <c r="BP522" s="1602">
        <f t="shared" si="435"/>
        <v>9868.6629980961807</v>
      </c>
      <c r="BQ522" s="1629"/>
      <c r="BR522" s="1629" t="s">
        <v>805</v>
      </c>
      <c r="BS522" s="1602">
        <v>0</v>
      </c>
      <c r="BT522" s="1602">
        <v>8.2100000000000009</v>
      </c>
      <c r="BU522" s="1602">
        <v>8.2100000000000009</v>
      </c>
      <c r="BV522" s="1602">
        <v>8.2100000000000009</v>
      </c>
      <c r="BW522" s="1602">
        <v>8.2100000000000009</v>
      </c>
      <c r="BX522" s="1362">
        <f t="shared" si="452"/>
        <v>17032.167259068374</v>
      </c>
      <c r="BY522" s="1362">
        <f t="shared" si="453"/>
        <v>17032.167259068374</v>
      </c>
      <c r="BZ522" s="1362">
        <f t="shared" si="454"/>
        <v>17032.167259068374</v>
      </c>
      <c r="CA522" s="1362">
        <f t="shared" si="455"/>
        <v>17032.167259068374</v>
      </c>
      <c r="CB522" s="1362">
        <f t="shared" si="456"/>
        <v>68128.669036273495</v>
      </c>
      <c r="CC522" s="1360">
        <v>8.2100000000000009</v>
      </c>
      <c r="CD522" s="1360">
        <v>8.2100000000000009</v>
      </c>
      <c r="CE522" s="1360">
        <v>8.2100000000000009</v>
      </c>
      <c r="CF522" s="1360">
        <v>8.2100000000000009</v>
      </c>
      <c r="CG522" s="1604">
        <f t="shared" si="436"/>
        <v>20255.430803592415</v>
      </c>
      <c r="CH522" s="1604">
        <f t="shared" si="437"/>
        <v>20255.430803592415</v>
      </c>
      <c r="CI522" s="1604">
        <f t="shared" si="438"/>
        <v>20255.430803592415</v>
      </c>
      <c r="CJ522" s="1604">
        <f t="shared" si="439"/>
        <v>20255.430803592415</v>
      </c>
      <c r="CK522" s="1521">
        <f t="shared" si="440"/>
        <v>81021.72321436966</v>
      </c>
      <c r="CL522" s="1132">
        <v>515</v>
      </c>
      <c r="CM522" s="1132" t="s">
        <v>356</v>
      </c>
      <c r="CN522" s="1359">
        <v>1</v>
      </c>
      <c r="CO522" s="1360">
        <v>120.81117178044202</v>
      </c>
      <c r="CP522" s="1360">
        <v>120.81117178044202</v>
      </c>
      <c r="CQ522" s="1360">
        <v>120.81117178044202</v>
      </c>
      <c r="CR522" s="1360">
        <v>120.81117178044202</v>
      </c>
      <c r="CS522" s="1362">
        <f t="shared" si="441"/>
        <v>2202.1405813166516</v>
      </c>
      <c r="CT522" s="1362">
        <f t="shared" si="442"/>
        <v>2202.1405813166516</v>
      </c>
      <c r="CU522" s="1362">
        <f t="shared" si="443"/>
        <v>2202.1405813166516</v>
      </c>
      <c r="CV522" s="1362">
        <f t="shared" si="444"/>
        <v>2202.1405813166516</v>
      </c>
      <c r="CW522" s="1362">
        <f t="shared" si="445"/>
        <v>8808.5623252666064</v>
      </c>
      <c r="CY522" s="2887"/>
    </row>
    <row r="523" spans="1:103" s="1143" customFormat="1" ht="62" x14ac:dyDescent="0.35">
      <c r="A523" s="1132" t="s">
        <v>106</v>
      </c>
      <c r="B523" s="1132" t="s">
        <v>974</v>
      </c>
      <c r="C523" s="1132" t="s">
        <v>978</v>
      </c>
      <c r="D523" s="1359" t="s">
        <v>805</v>
      </c>
      <c r="E523" s="1359">
        <v>1</v>
      </c>
      <c r="F523" s="2807" t="s">
        <v>805</v>
      </c>
      <c r="G523" s="1132" t="s">
        <v>356</v>
      </c>
      <c r="H523" s="1360">
        <v>18.911392499999994</v>
      </c>
      <c r="I523" s="1360">
        <v>18.911392499999994</v>
      </c>
      <c r="J523" s="1360">
        <v>18.911392499999994</v>
      </c>
      <c r="K523" s="1360">
        <v>18.911392499999994</v>
      </c>
      <c r="L523" s="1132" t="s">
        <v>979</v>
      </c>
      <c r="M523" s="1132" t="str">
        <f t="shared" si="407"/>
        <v>Nicor Gas PY11-PY14 Adjustable Goals Template_2025-03-01, Tab 5.4.4, 5.4.5,  5.4.9</v>
      </c>
      <c r="N523" s="1361">
        <v>19.141088806557903</v>
      </c>
      <c r="O523" s="1361">
        <v>19.141088806557903</v>
      </c>
      <c r="P523" s="1361">
        <v>19.141088806557903</v>
      </c>
      <c r="Q523" s="1361">
        <v>19.141088806557903</v>
      </c>
      <c r="R523" s="1781">
        <v>1</v>
      </c>
      <c r="S523" s="1781">
        <v>1</v>
      </c>
      <c r="T523" s="1781">
        <v>1</v>
      </c>
      <c r="U523" s="1781">
        <v>1</v>
      </c>
      <c r="V523" s="2567">
        <v>1.1000000000000001</v>
      </c>
      <c r="W523" s="2567">
        <v>1.1000000000000001</v>
      </c>
      <c r="X523" s="2567">
        <v>1.1000000000000001</v>
      </c>
      <c r="Y523" s="2567">
        <v>1.1000000000000001</v>
      </c>
      <c r="Z523" s="1359">
        <v>0</v>
      </c>
      <c r="AA523" s="2567">
        <f t="shared" si="408"/>
        <v>1.1000000000000001</v>
      </c>
      <c r="AB523" s="2567">
        <f t="shared" si="409"/>
        <v>1.1000000000000001</v>
      </c>
      <c r="AC523" s="2567">
        <f t="shared" si="410"/>
        <v>1.1000000000000001</v>
      </c>
      <c r="AD523" s="2567">
        <f t="shared" si="411"/>
        <v>1.1000000000000001</v>
      </c>
      <c r="AE523" s="2567">
        <f t="shared" si="412"/>
        <v>1.1000000000000001</v>
      </c>
      <c r="AF523" s="2567">
        <f t="shared" si="413"/>
        <v>1.1000000000000001</v>
      </c>
      <c r="AG523" s="2567">
        <f t="shared" si="414"/>
        <v>1.1000000000000001</v>
      </c>
      <c r="AH523" s="2567">
        <f t="shared" si="415"/>
        <v>1.1000000000000001</v>
      </c>
      <c r="AI523" s="1362">
        <f t="shared" si="446"/>
        <v>361.98464329817295</v>
      </c>
      <c r="AJ523" s="1362">
        <f t="shared" si="447"/>
        <v>361.98464329817295</v>
      </c>
      <c r="AK523" s="1362">
        <f t="shared" si="448"/>
        <v>361.98464329817295</v>
      </c>
      <c r="AL523" s="1362">
        <f t="shared" si="449"/>
        <v>361.98464329817295</v>
      </c>
      <c r="AM523" s="1362">
        <f t="shared" si="450"/>
        <v>1447.9385731926918</v>
      </c>
      <c r="AN523" s="1132" t="str">
        <f t="shared" si="416"/>
        <v>C174</v>
      </c>
      <c r="AO523" s="1132" t="str">
        <f t="shared" si="417"/>
        <v>Nicor Gas PY11-PY14 Adjustable Goals Template_2025-03-01, Tab 5.4.4, 5.4.5,  5.4.9</v>
      </c>
      <c r="AP523" s="2505">
        <f>Kits!$C$28</f>
        <v>20.784444750405004</v>
      </c>
      <c r="AQ523" s="2568" t="s">
        <v>977</v>
      </c>
      <c r="AR523" s="2505">
        <f t="shared" si="418"/>
        <v>432.36907182642085</v>
      </c>
      <c r="AS523" s="2505">
        <f t="shared" si="419"/>
        <v>70.384428528247895</v>
      </c>
      <c r="AT523" s="1132" t="str">
        <f t="shared" si="420"/>
        <v>C174</v>
      </c>
      <c r="AU523" s="1132" t="str">
        <f t="shared" si="421"/>
        <v>Nicor Gas PY11-PY14 Adjustable Goals Template_2025-03-01, Tab 5.4.4, 5.4.5,  5.4.9</v>
      </c>
      <c r="AV523" s="2505">
        <f>Kits!$C$28</f>
        <v>20.784444750405004</v>
      </c>
      <c r="AW523" s="2568" t="s">
        <v>977</v>
      </c>
      <c r="AX523" s="1362">
        <f t="shared" si="422"/>
        <v>432.36907182642085</v>
      </c>
      <c r="AY523" s="1360">
        <f t="shared" si="423"/>
        <v>70.384428528247895</v>
      </c>
      <c r="AZ523" s="1132" t="str">
        <f t="shared" si="424"/>
        <v>C174</v>
      </c>
      <c r="BA523" s="1132" t="str">
        <f t="shared" si="425"/>
        <v>Nicor Gas PY11-PY14 Adjustable Goals Template_2025-03-01, Tab 5.4.4, 5.4.5,  5.4.9</v>
      </c>
      <c r="BB523" s="2505">
        <f>Kits!$C$28</f>
        <v>20.784444750405004</v>
      </c>
      <c r="BC523" s="2568" t="s">
        <v>977</v>
      </c>
      <c r="BD523" s="1362">
        <f t="shared" si="426"/>
        <v>432.36907182642085</v>
      </c>
      <c r="BE523" s="1360">
        <f t="shared" si="427"/>
        <v>70.384428528247895</v>
      </c>
      <c r="BF523" s="1132" t="str">
        <f t="shared" si="428"/>
        <v>C174</v>
      </c>
      <c r="BG523" s="1132" t="str">
        <f t="shared" si="429"/>
        <v>Nicor Gas PY11-PY14 Adjustable Goals Template_2025-03-01, Tab 5.4.4, 5.4.5,  5.4.9</v>
      </c>
      <c r="BH523" s="2505">
        <f>Kits!$C$28</f>
        <v>20.784444750405004</v>
      </c>
      <c r="BI523" s="2568" t="s">
        <v>977</v>
      </c>
      <c r="BJ523" s="1362">
        <f t="shared" si="451"/>
        <v>432.36907182642085</v>
      </c>
      <c r="BK523" s="1360">
        <f t="shared" si="430"/>
        <v>70.384428528247895</v>
      </c>
      <c r="BL523" s="1601">
        <f t="shared" si="431"/>
        <v>432.36907182642085</v>
      </c>
      <c r="BM523" s="1601">
        <f t="shared" si="432"/>
        <v>432.36907182642085</v>
      </c>
      <c r="BN523" s="1601">
        <f t="shared" si="433"/>
        <v>432.36907182642085</v>
      </c>
      <c r="BO523" s="1601">
        <f t="shared" si="434"/>
        <v>432.36907182642085</v>
      </c>
      <c r="BP523" s="1602">
        <f t="shared" si="435"/>
        <v>1729.4762873056834</v>
      </c>
      <c r="BQ523" s="1629"/>
      <c r="BR523" s="1629" t="s">
        <v>805</v>
      </c>
      <c r="BS523" s="1602">
        <v>0</v>
      </c>
      <c r="BT523" s="1602">
        <v>8.52</v>
      </c>
      <c r="BU523" s="1602">
        <v>8.52</v>
      </c>
      <c r="BV523" s="1602">
        <v>8.52</v>
      </c>
      <c r="BW523" s="1602">
        <v>8.52</v>
      </c>
      <c r="BX523" s="1362">
        <f t="shared" si="452"/>
        <v>3084.1091609004334</v>
      </c>
      <c r="BY523" s="1362">
        <f t="shared" si="453"/>
        <v>3084.1091609004334</v>
      </c>
      <c r="BZ523" s="1362">
        <f t="shared" si="454"/>
        <v>3084.1091609004334</v>
      </c>
      <c r="CA523" s="1362">
        <f t="shared" si="455"/>
        <v>3084.1091609004334</v>
      </c>
      <c r="CB523" s="1362">
        <f t="shared" si="456"/>
        <v>12336.436643601734</v>
      </c>
      <c r="CC523" s="1360">
        <v>8.52</v>
      </c>
      <c r="CD523" s="1360">
        <v>8.52</v>
      </c>
      <c r="CE523" s="1360">
        <v>8.52</v>
      </c>
      <c r="CF523" s="1360">
        <v>8.52</v>
      </c>
      <c r="CG523" s="1604">
        <f t="shared" si="436"/>
        <v>3683.7844919611052</v>
      </c>
      <c r="CH523" s="1604">
        <f t="shared" si="437"/>
        <v>3683.7844919611052</v>
      </c>
      <c r="CI523" s="1604">
        <f t="shared" si="438"/>
        <v>3683.7844919611052</v>
      </c>
      <c r="CJ523" s="1604">
        <f t="shared" si="439"/>
        <v>3683.7844919611052</v>
      </c>
      <c r="CK523" s="1521">
        <f t="shared" si="440"/>
        <v>14735.137967844421</v>
      </c>
      <c r="CL523" s="1132">
        <v>516</v>
      </c>
      <c r="CM523" s="1132" t="s">
        <v>356</v>
      </c>
      <c r="CN523" s="1359">
        <v>1</v>
      </c>
      <c r="CO523" s="1360">
        <v>18.249421719099995</v>
      </c>
      <c r="CP523" s="1360">
        <v>18.249421719099995</v>
      </c>
      <c r="CQ523" s="1360">
        <v>18.249421719099995</v>
      </c>
      <c r="CR523" s="1360">
        <v>18.249421719099995</v>
      </c>
      <c r="CS523" s="1362">
        <f t="shared" si="441"/>
        <v>384.24518197298164</v>
      </c>
      <c r="CT523" s="1362">
        <f t="shared" si="442"/>
        <v>384.24518197298164</v>
      </c>
      <c r="CU523" s="1362">
        <f t="shared" si="443"/>
        <v>384.24518197298164</v>
      </c>
      <c r="CV523" s="1362">
        <f t="shared" si="444"/>
        <v>384.24518197298164</v>
      </c>
      <c r="CW523" s="1362">
        <f t="shared" si="445"/>
        <v>1536.9807278919266</v>
      </c>
      <c r="CY523" s="2887"/>
    </row>
    <row r="524" spans="1:103" s="1143" customFormat="1" ht="62" x14ac:dyDescent="0.35">
      <c r="A524" s="1132" t="s">
        <v>106</v>
      </c>
      <c r="B524" s="1132" t="s">
        <v>974</v>
      </c>
      <c r="C524" s="1132" t="s">
        <v>804</v>
      </c>
      <c r="D524" s="1359" t="s">
        <v>805</v>
      </c>
      <c r="E524" s="1359">
        <v>1</v>
      </c>
      <c r="F524" s="2807" t="s">
        <v>805</v>
      </c>
      <c r="G524" s="1132" t="s">
        <v>356</v>
      </c>
      <c r="H524" s="1360">
        <v>4444.5554653500003</v>
      </c>
      <c r="I524" s="1360">
        <v>4444.5554653500003</v>
      </c>
      <c r="J524" s="1360">
        <v>4444.5554653500003</v>
      </c>
      <c r="K524" s="1360">
        <v>4444.5554653500003</v>
      </c>
      <c r="L524" s="1132" t="s">
        <v>806</v>
      </c>
      <c r="M524" s="1132" t="str">
        <f t="shared" si="407"/>
        <v>Nicor Gas PY11-PY14 Adjustable Goals Template_2025-03-01, Tab 5.4.4, 5.4.5,  5.4.9</v>
      </c>
      <c r="N524" s="1361">
        <v>24.066567391588798</v>
      </c>
      <c r="O524" s="1361">
        <v>24.066567391588798</v>
      </c>
      <c r="P524" s="1361">
        <v>24.066567391588798</v>
      </c>
      <c r="Q524" s="1361">
        <v>24.066567391588798</v>
      </c>
      <c r="R524" s="1781">
        <v>1</v>
      </c>
      <c r="S524" s="1781">
        <v>1</v>
      </c>
      <c r="T524" s="1781">
        <v>1</v>
      </c>
      <c r="U524" s="1781">
        <v>1</v>
      </c>
      <c r="V524" s="2567">
        <v>1.1000000000000001</v>
      </c>
      <c r="W524" s="2567">
        <v>1.1000000000000001</v>
      </c>
      <c r="X524" s="2567">
        <v>1.1000000000000001</v>
      </c>
      <c r="Y524" s="2567">
        <v>1.1000000000000001</v>
      </c>
      <c r="Z524" s="1359">
        <v>0</v>
      </c>
      <c r="AA524" s="2567">
        <f t="shared" si="408"/>
        <v>1.1000000000000001</v>
      </c>
      <c r="AB524" s="2567">
        <f t="shared" si="409"/>
        <v>1.1000000000000001</v>
      </c>
      <c r="AC524" s="2567">
        <f t="shared" si="410"/>
        <v>1.1000000000000001</v>
      </c>
      <c r="AD524" s="2567">
        <f t="shared" si="411"/>
        <v>1.1000000000000001</v>
      </c>
      <c r="AE524" s="2567">
        <f t="shared" si="412"/>
        <v>1.1000000000000001</v>
      </c>
      <c r="AF524" s="2567">
        <f t="shared" si="413"/>
        <v>1.1000000000000001</v>
      </c>
      <c r="AG524" s="2567">
        <f t="shared" si="414"/>
        <v>1.1000000000000001</v>
      </c>
      <c r="AH524" s="2567">
        <f t="shared" si="415"/>
        <v>1.1000000000000001</v>
      </c>
      <c r="AI524" s="1362">
        <f t="shared" si="446"/>
        <v>106965.19363250009</v>
      </c>
      <c r="AJ524" s="1362">
        <f t="shared" si="447"/>
        <v>106965.19363250009</v>
      </c>
      <c r="AK524" s="1362">
        <f t="shared" si="448"/>
        <v>106965.19363250009</v>
      </c>
      <c r="AL524" s="1362">
        <f t="shared" si="449"/>
        <v>106965.19363250009</v>
      </c>
      <c r="AM524" s="1362">
        <f t="shared" si="450"/>
        <v>427860.77453000034</v>
      </c>
      <c r="AN524" s="1132" t="str">
        <f t="shared" si="416"/>
        <v>C5</v>
      </c>
      <c r="AO524" s="1132" t="str">
        <f t="shared" si="417"/>
        <v>Nicor Gas PY11-PY14 Adjustable Goals Template_2025-03-01, Tab 5.4.4, 5.4.5,  5.4.9</v>
      </c>
      <c r="AP524" s="2505">
        <f>Kits!$C$21</f>
        <v>25.994499373559606</v>
      </c>
      <c r="AQ524" s="2568" t="s">
        <v>977</v>
      </c>
      <c r="AR524" s="2505">
        <f t="shared" si="418"/>
        <v>127087.39368577067</v>
      </c>
      <c r="AS524" s="2505">
        <f t="shared" si="419"/>
        <v>20122.200053270586</v>
      </c>
      <c r="AT524" s="1132" t="str">
        <f t="shared" si="420"/>
        <v>C5</v>
      </c>
      <c r="AU524" s="1132" t="str">
        <f t="shared" si="421"/>
        <v>Nicor Gas PY11-PY14 Adjustable Goals Template_2025-03-01, Tab 5.4.4, 5.4.5,  5.4.9</v>
      </c>
      <c r="AV524" s="2505">
        <f>Kits!$C$21</f>
        <v>25.994499373559606</v>
      </c>
      <c r="AW524" s="2568" t="s">
        <v>977</v>
      </c>
      <c r="AX524" s="1362">
        <f t="shared" si="422"/>
        <v>127087.39368577067</v>
      </c>
      <c r="AY524" s="1360">
        <f t="shared" si="423"/>
        <v>20122.200053270586</v>
      </c>
      <c r="AZ524" s="1132" t="str">
        <f t="shared" si="424"/>
        <v>C5</v>
      </c>
      <c r="BA524" s="1132" t="str">
        <f t="shared" si="425"/>
        <v>Nicor Gas PY11-PY14 Adjustable Goals Template_2025-03-01, Tab 5.4.4, 5.4.5,  5.4.9</v>
      </c>
      <c r="BB524" s="2505">
        <f>Kits!$C$21</f>
        <v>25.994499373559606</v>
      </c>
      <c r="BC524" s="2568" t="s">
        <v>977</v>
      </c>
      <c r="BD524" s="1362">
        <f t="shared" si="426"/>
        <v>127087.39368577067</v>
      </c>
      <c r="BE524" s="1360">
        <f t="shared" si="427"/>
        <v>20122.200053270586</v>
      </c>
      <c r="BF524" s="1132" t="str">
        <f t="shared" si="428"/>
        <v>C5</v>
      </c>
      <c r="BG524" s="1132" t="str">
        <f t="shared" si="429"/>
        <v>Nicor Gas PY11-PY14 Adjustable Goals Template_2025-03-01, Tab 5.4.4, 5.4.5,  5.4.9</v>
      </c>
      <c r="BH524" s="2505">
        <f>Kits!$C$21</f>
        <v>25.994499373559606</v>
      </c>
      <c r="BI524" s="2568" t="s">
        <v>977</v>
      </c>
      <c r="BJ524" s="1362">
        <f t="shared" si="451"/>
        <v>127087.39368577067</v>
      </c>
      <c r="BK524" s="1360">
        <f t="shared" si="430"/>
        <v>20122.200053270586</v>
      </c>
      <c r="BL524" s="1601">
        <f t="shared" si="431"/>
        <v>127087.39368577067</v>
      </c>
      <c r="BM524" s="1601">
        <f t="shared" si="432"/>
        <v>127087.39368577067</v>
      </c>
      <c r="BN524" s="1601">
        <f t="shared" si="433"/>
        <v>127087.39368577067</v>
      </c>
      <c r="BO524" s="1601">
        <f t="shared" si="434"/>
        <v>127087.39368577067</v>
      </c>
      <c r="BP524" s="1602">
        <f t="shared" si="435"/>
        <v>508349.57474308269</v>
      </c>
      <c r="BQ524" s="1629"/>
      <c r="BR524" s="1629" t="s">
        <v>805</v>
      </c>
      <c r="BS524" s="1602">
        <v>0</v>
      </c>
      <c r="BT524" s="1602">
        <v>8.77</v>
      </c>
      <c r="BU524" s="1602">
        <v>8.77</v>
      </c>
      <c r="BV524" s="1602">
        <v>8.77</v>
      </c>
      <c r="BW524" s="1602">
        <v>8.77</v>
      </c>
      <c r="BX524" s="1362">
        <f t="shared" si="452"/>
        <v>938084.74815702566</v>
      </c>
      <c r="BY524" s="1362">
        <f t="shared" si="453"/>
        <v>938084.74815702566</v>
      </c>
      <c r="BZ524" s="1362">
        <f t="shared" si="454"/>
        <v>938084.74815702566</v>
      </c>
      <c r="CA524" s="1362">
        <f t="shared" si="455"/>
        <v>938084.74815702566</v>
      </c>
      <c r="CB524" s="1362">
        <f t="shared" si="456"/>
        <v>3752338.9926281027</v>
      </c>
      <c r="CC524" s="1360">
        <v>8.77</v>
      </c>
      <c r="CD524" s="1360">
        <v>8.77</v>
      </c>
      <c r="CE524" s="1360">
        <v>8.77</v>
      </c>
      <c r="CF524" s="1360">
        <v>8.77</v>
      </c>
      <c r="CG524" s="1604">
        <f t="shared" si="436"/>
        <v>1114556.4426242085</v>
      </c>
      <c r="CH524" s="1604">
        <f t="shared" si="437"/>
        <v>1114556.4426242085</v>
      </c>
      <c r="CI524" s="1604">
        <f t="shared" si="438"/>
        <v>1114556.4426242085</v>
      </c>
      <c r="CJ524" s="1604">
        <f t="shared" si="439"/>
        <v>1114556.4426242085</v>
      </c>
      <c r="CK524" s="1521">
        <f t="shared" si="440"/>
        <v>4458225.7704968341</v>
      </c>
      <c r="CL524" s="1132">
        <v>517</v>
      </c>
      <c r="CM524" s="1132" t="s">
        <v>356</v>
      </c>
      <c r="CN524" s="1359">
        <v>1</v>
      </c>
      <c r="CO524" s="1360">
        <v>4288.9790924228828</v>
      </c>
      <c r="CP524" s="1360">
        <v>4288.9790924228828</v>
      </c>
      <c r="CQ524" s="1360">
        <v>4288.9790924228828</v>
      </c>
      <c r="CR524" s="1360">
        <v>4288.9790924228828</v>
      </c>
      <c r="CS524" s="1362">
        <f t="shared" si="441"/>
        <v>113543.10480580175</v>
      </c>
      <c r="CT524" s="1362">
        <f t="shared" si="442"/>
        <v>113543.10480580175</v>
      </c>
      <c r="CU524" s="1362">
        <f t="shared" si="443"/>
        <v>113543.10480580175</v>
      </c>
      <c r="CV524" s="1362">
        <f t="shared" si="444"/>
        <v>113543.10480580175</v>
      </c>
      <c r="CW524" s="1362">
        <f t="shared" si="445"/>
        <v>454172.41922320699</v>
      </c>
      <c r="CY524" s="2887"/>
    </row>
    <row r="525" spans="1:103" s="1143" customFormat="1" ht="62" x14ac:dyDescent="0.35">
      <c r="A525" s="1132" t="s">
        <v>106</v>
      </c>
      <c r="B525" s="1132" t="s">
        <v>974</v>
      </c>
      <c r="C525" s="1132" t="s">
        <v>807</v>
      </c>
      <c r="D525" s="1359" t="s">
        <v>805</v>
      </c>
      <c r="E525" s="1359">
        <v>1</v>
      </c>
      <c r="F525" s="2807" t="s">
        <v>805</v>
      </c>
      <c r="G525" s="1132" t="s">
        <v>356</v>
      </c>
      <c r="H525" s="1360">
        <v>683.8359528000002</v>
      </c>
      <c r="I525" s="1360">
        <v>683.8359528000002</v>
      </c>
      <c r="J525" s="1360">
        <v>683.8359528000002</v>
      </c>
      <c r="K525" s="1360">
        <v>683.8359528000002</v>
      </c>
      <c r="L525" s="1132" t="s">
        <v>808</v>
      </c>
      <c r="M525" s="1132" t="str">
        <f t="shared" si="407"/>
        <v>Nicor Gas PY11-PY14 Adjustable Goals Template_2025-03-01, Tab 5.4.4, 5.4.5,  5.4.9</v>
      </c>
      <c r="N525" s="1361">
        <v>28.993261074957907</v>
      </c>
      <c r="O525" s="1361">
        <v>28.993261074957907</v>
      </c>
      <c r="P525" s="1361">
        <v>28.993261074957907</v>
      </c>
      <c r="Q525" s="1361">
        <v>28.993261074957907</v>
      </c>
      <c r="R525" s="1781">
        <v>1</v>
      </c>
      <c r="S525" s="1781">
        <v>1</v>
      </c>
      <c r="T525" s="1781">
        <v>1</v>
      </c>
      <c r="U525" s="1781">
        <v>1</v>
      </c>
      <c r="V525" s="2567">
        <v>1.1000000000000001</v>
      </c>
      <c r="W525" s="2567">
        <v>1.1000000000000001</v>
      </c>
      <c r="X525" s="2567">
        <v>1.1000000000000001</v>
      </c>
      <c r="Y525" s="2567">
        <v>1.1000000000000001</v>
      </c>
      <c r="Z525" s="1359">
        <v>0</v>
      </c>
      <c r="AA525" s="2567">
        <f t="shared" si="408"/>
        <v>1.1000000000000001</v>
      </c>
      <c r="AB525" s="2567">
        <f t="shared" si="409"/>
        <v>1.1000000000000001</v>
      </c>
      <c r="AC525" s="2567">
        <f t="shared" si="410"/>
        <v>1.1000000000000001</v>
      </c>
      <c r="AD525" s="2567">
        <f t="shared" si="411"/>
        <v>1.1000000000000001</v>
      </c>
      <c r="AE525" s="2567">
        <f t="shared" si="412"/>
        <v>1.1000000000000001</v>
      </c>
      <c r="AF525" s="2567">
        <f t="shared" si="413"/>
        <v>1.1000000000000001</v>
      </c>
      <c r="AG525" s="2567">
        <f t="shared" si="414"/>
        <v>1.1000000000000001</v>
      </c>
      <c r="AH525" s="2567">
        <f t="shared" si="415"/>
        <v>1.1000000000000001</v>
      </c>
      <c r="AI525" s="1362">
        <f t="shared" si="446"/>
        <v>19826.634311972997</v>
      </c>
      <c r="AJ525" s="1362">
        <f t="shared" si="447"/>
        <v>19826.634311972997</v>
      </c>
      <c r="AK525" s="1362">
        <f t="shared" si="448"/>
        <v>19826.634311972997</v>
      </c>
      <c r="AL525" s="1362">
        <f t="shared" si="449"/>
        <v>19826.634311972997</v>
      </c>
      <c r="AM525" s="1362">
        <f t="shared" si="450"/>
        <v>79306.537247891989</v>
      </c>
      <c r="AN525" s="1132" t="str">
        <f t="shared" si="416"/>
        <v>C175</v>
      </c>
      <c r="AO525" s="1132" t="str">
        <f t="shared" si="417"/>
        <v>Nicor Gas PY11-PY14 Adjustable Goals Template_2025-03-01, Tab 5.4.4, 5.4.5,  5.4.9</v>
      </c>
      <c r="AP525" s="2505">
        <f>Kits!$C$36</f>
        <v>31.430874474405005</v>
      </c>
      <c r="AQ525" s="2568" t="s">
        <v>977</v>
      </c>
      <c r="AR525" s="2505">
        <f t="shared" si="418"/>
        <v>23642.918192896152</v>
      </c>
      <c r="AS525" s="2505">
        <f t="shared" si="419"/>
        <v>3816.2838809231544</v>
      </c>
      <c r="AT525" s="1132" t="str">
        <f t="shared" si="420"/>
        <v>C175</v>
      </c>
      <c r="AU525" s="1132" t="str">
        <f t="shared" si="421"/>
        <v>Nicor Gas PY11-PY14 Adjustable Goals Template_2025-03-01, Tab 5.4.4, 5.4.5,  5.4.9</v>
      </c>
      <c r="AV525" s="2505">
        <f>Kits!$C$36</f>
        <v>31.430874474405005</v>
      </c>
      <c r="AW525" s="2568" t="s">
        <v>977</v>
      </c>
      <c r="AX525" s="1362">
        <f t="shared" si="422"/>
        <v>23642.918192896152</v>
      </c>
      <c r="AY525" s="1360">
        <f t="shared" si="423"/>
        <v>3816.2838809231544</v>
      </c>
      <c r="AZ525" s="1132" t="str">
        <f t="shared" si="424"/>
        <v>C175</v>
      </c>
      <c r="BA525" s="1132" t="str">
        <f t="shared" si="425"/>
        <v>Nicor Gas PY11-PY14 Adjustable Goals Template_2025-03-01, Tab 5.4.4, 5.4.5,  5.4.9</v>
      </c>
      <c r="BB525" s="2505">
        <f>Kits!$C$36</f>
        <v>31.430874474405005</v>
      </c>
      <c r="BC525" s="2568" t="s">
        <v>977</v>
      </c>
      <c r="BD525" s="1362">
        <f t="shared" si="426"/>
        <v>23642.918192896152</v>
      </c>
      <c r="BE525" s="1360">
        <f t="shared" si="427"/>
        <v>3816.2838809231544</v>
      </c>
      <c r="BF525" s="1132" t="str">
        <f t="shared" si="428"/>
        <v>C175</v>
      </c>
      <c r="BG525" s="1132" t="str">
        <f t="shared" si="429"/>
        <v>Nicor Gas PY11-PY14 Adjustable Goals Template_2025-03-01, Tab 5.4.4, 5.4.5,  5.4.9</v>
      </c>
      <c r="BH525" s="2505">
        <f>Kits!$C$36</f>
        <v>31.430874474405005</v>
      </c>
      <c r="BI525" s="2568" t="s">
        <v>977</v>
      </c>
      <c r="BJ525" s="1362">
        <f t="shared" si="451"/>
        <v>23642.918192896152</v>
      </c>
      <c r="BK525" s="1360">
        <f t="shared" si="430"/>
        <v>3816.2838809231544</v>
      </c>
      <c r="BL525" s="1601">
        <f t="shared" si="431"/>
        <v>23642.918192896152</v>
      </c>
      <c r="BM525" s="1601">
        <f t="shared" si="432"/>
        <v>23642.918192896152</v>
      </c>
      <c r="BN525" s="1601">
        <f t="shared" si="433"/>
        <v>23642.918192896152</v>
      </c>
      <c r="BO525" s="1601">
        <f t="shared" si="434"/>
        <v>23642.918192896152</v>
      </c>
      <c r="BP525" s="1602">
        <f t="shared" si="435"/>
        <v>94571.672771584606</v>
      </c>
      <c r="BQ525" s="1629"/>
      <c r="BR525" s="1629" t="s">
        <v>805</v>
      </c>
      <c r="BS525" s="1602">
        <v>0</v>
      </c>
      <c r="BT525" s="1602">
        <v>9.02</v>
      </c>
      <c r="BU525" s="1602">
        <v>9.02</v>
      </c>
      <c r="BV525" s="1602">
        <v>9.02</v>
      </c>
      <c r="BW525" s="1602">
        <v>9.02</v>
      </c>
      <c r="BX525" s="1362">
        <f t="shared" si="452"/>
        <v>178836.24149399644</v>
      </c>
      <c r="BY525" s="1362">
        <f t="shared" si="453"/>
        <v>178836.24149399644</v>
      </c>
      <c r="BZ525" s="1362">
        <f t="shared" si="454"/>
        <v>178836.24149399644</v>
      </c>
      <c r="CA525" s="1362">
        <f t="shared" si="455"/>
        <v>178836.24149399644</v>
      </c>
      <c r="CB525" s="1362">
        <f t="shared" si="456"/>
        <v>715344.96597598575</v>
      </c>
      <c r="CC525" s="1360">
        <v>9.02</v>
      </c>
      <c r="CD525" s="1360">
        <v>9.02</v>
      </c>
      <c r="CE525" s="1360">
        <v>9.02</v>
      </c>
      <c r="CF525" s="1360">
        <v>9.02</v>
      </c>
      <c r="CG525" s="1604">
        <f t="shared" si="436"/>
        <v>213259.12209992329</v>
      </c>
      <c r="CH525" s="1604">
        <f t="shared" si="437"/>
        <v>213259.12209992329</v>
      </c>
      <c r="CI525" s="1604">
        <f t="shared" si="438"/>
        <v>213259.12209992329</v>
      </c>
      <c r="CJ525" s="1604">
        <f t="shared" si="439"/>
        <v>213259.12209992329</v>
      </c>
      <c r="CK525" s="1521">
        <f t="shared" si="440"/>
        <v>853036.48839969316</v>
      </c>
      <c r="CL525" s="1132">
        <v>518</v>
      </c>
      <c r="CM525" s="1132" t="s">
        <v>356</v>
      </c>
      <c r="CN525" s="1359">
        <v>1</v>
      </c>
      <c r="CO525" s="1360">
        <v>659.89908936265613</v>
      </c>
      <c r="CP525" s="1360">
        <v>659.89908936265613</v>
      </c>
      <c r="CQ525" s="1360">
        <v>659.89908936265613</v>
      </c>
      <c r="CR525" s="1360">
        <v>659.89908936265613</v>
      </c>
      <c r="CS525" s="1362">
        <f t="shared" si="441"/>
        <v>21045.889239120315</v>
      </c>
      <c r="CT525" s="1362">
        <f t="shared" si="442"/>
        <v>21045.889239120315</v>
      </c>
      <c r="CU525" s="1362">
        <f t="shared" si="443"/>
        <v>21045.889239120315</v>
      </c>
      <c r="CV525" s="1362">
        <f t="shared" si="444"/>
        <v>21045.889239120315</v>
      </c>
      <c r="CW525" s="1362">
        <f t="shared" si="445"/>
        <v>84183.556956481261</v>
      </c>
      <c r="CY525" s="2887"/>
    </row>
    <row r="526" spans="1:103" s="1143" customFormat="1" ht="62" x14ac:dyDescent="0.35">
      <c r="A526" s="1132" t="s">
        <v>106</v>
      </c>
      <c r="B526" s="1132" t="s">
        <v>974</v>
      </c>
      <c r="C526" s="1132" t="s">
        <v>980</v>
      </c>
      <c r="D526" s="1359" t="s">
        <v>805</v>
      </c>
      <c r="E526" s="1359">
        <v>1</v>
      </c>
      <c r="F526" s="2807" t="s">
        <v>805</v>
      </c>
      <c r="G526" s="1132" t="s">
        <v>356</v>
      </c>
      <c r="H526" s="1360">
        <v>55.977721799999998</v>
      </c>
      <c r="I526" s="1360">
        <v>55.977721799999998</v>
      </c>
      <c r="J526" s="1360">
        <v>55.977721799999998</v>
      </c>
      <c r="K526" s="1360">
        <v>55.977721799999998</v>
      </c>
      <c r="L526" s="1132" t="s">
        <v>981</v>
      </c>
      <c r="M526" s="1132" t="str">
        <f t="shared" si="407"/>
        <v>Nicor Gas PY11-PY14 Adjustable Goals Template_2025-03-01, Tab 5.4.4, 5.4.5,  5.4.9</v>
      </c>
      <c r="N526" s="1361">
        <v>15.986962647074698</v>
      </c>
      <c r="O526" s="1361">
        <v>15.986962647074698</v>
      </c>
      <c r="P526" s="1361">
        <v>15.986962647074698</v>
      </c>
      <c r="Q526" s="1361">
        <v>15.986962647074698</v>
      </c>
      <c r="R526" s="1781">
        <v>1</v>
      </c>
      <c r="S526" s="1781">
        <v>1</v>
      </c>
      <c r="T526" s="1781">
        <v>1</v>
      </c>
      <c r="U526" s="1781">
        <v>1</v>
      </c>
      <c r="V526" s="2567">
        <v>1.1000000000000001</v>
      </c>
      <c r="W526" s="2567">
        <v>1.1000000000000001</v>
      </c>
      <c r="X526" s="2567">
        <v>1.1000000000000001</v>
      </c>
      <c r="Y526" s="2567">
        <v>1.1000000000000001</v>
      </c>
      <c r="Z526" s="1359">
        <v>0</v>
      </c>
      <c r="AA526" s="2567">
        <f t="shared" si="408"/>
        <v>1.1000000000000001</v>
      </c>
      <c r="AB526" s="2567">
        <f t="shared" si="409"/>
        <v>1.1000000000000001</v>
      </c>
      <c r="AC526" s="2567">
        <f t="shared" si="410"/>
        <v>1.1000000000000001</v>
      </c>
      <c r="AD526" s="2567">
        <f t="shared" si="411"/>
        <v>1.1000000000000001</v>
      </c>
      <c r="AE526" s="2567">
        <f t="shared" si="412"/>
        <v>1.1000000000000001</v>
      </c>
      <c r="AF526" s="2567">
        <f t="shared" si="413"/>
        <v>1.1000000000000001</v>
      </c>
      <c r="AG526" s="2567">
        <f t="shared" si="414"/>
        <v>1.1000000000000001</v>
      </c>
      <c r="AH526" s="2567">
        <f t="shared" si="415"/>
        <v>1.1000000000000001</v>
      </c>
      <c r="AI526" s="1362">
        <f t="shared" si="446"/>
        <v>894.91374748493899</v>
      </c>
      <c r="AJ526" s="1362">
        <f t="shared" si="447"/>
        <v>894.91374748493899</v>
      </c>
      <c r="AK526" s="1362">
        <f t="shared" si="448"/>
        <v>894.91374748493899</v>
      </c>
      <c r="AL526" s="1362">
        <f t="shared" si="449"/>
        <v>894.91374748493899</v>
      </c>
      <c r="AM526" s="1362">
        <f t="shared" si="450"/>
        <v>3579.654989939756</v>
      </c>
      <c r="AN526" s="1132" t="str">
        <f t="shared" si="416"/>
        <v>C6</v>
      </c>
      <c r="AO526" s="1132" t="str">
        <f t="shared" si="417"/>
        <v>Nicor Gas PY11-PY14 Adjustable Goals Template_2025-03-01, Tab 5.4.4, 5.4.5,  5.4.9</v>
      </c>
      <c r="AP526" s="2505">
        <f>Kits!$C$42</f>
        <v>17.264616106738174</v>
      </c>
      <c r="AQ526" s="2568" t="s">
        <v>977</v>
      </c>
      <c r="AR526" s="2505">
        <f t="shared" si="418"/>
        <v>1063.0772651474676</v>
      </c>
      <c r="AS526" s="2505">
        <f t="shared" si="419"/>
        <v>168.16351766252865</v>
      </c>
      <c r="AT526" s="1132" t="str">
        <f t="shared" si="420"/>
        <v>C6</v>
      </c>
      <c r="AU526" s="1132" t="str">
        <f t="shared" si="421"/>
        <v>Nicor Gas PY11-PY14 Adjustable Goals Template_2025-03-01, Tab 5.4.4, 5.4.5,  5.4.9</v>
      </c>
      <c r="AV526" s="2505">
        <f>Kits!$C$42</f>
        <v>17.264616106738174</v>
      </c>
      <c r="AW526" s="2568" t="s">
        <v>977</v>
      </c>
      <c r="AX526" s="1362">
        <f t="shared" si="422"/>
        <v>1063.0772651474676</v>
      </c>
      <c r="AY526" s="1360">
        <f t="shared" si="423"/>
        <v>168.16351766252865</v>
      </c>
      <c r="AZ526" s="1132" t="str">
        <f t="shared" si="424"/>
        <v>C6</v>
      </c>
      <c r="BA526" s="1132" t="str">
        <f t="shared" si="425"/>
        <v>Nicor Gas PY11-PY14 Adjustable Goals Template_2025-03-01, Tab 5.4.4, 5.4.5,  5.4.9</v>
      </c>
      <c r="BB526" s="2505">
        <f>Kits!$C$42</f>
        <v>17.264616106738174</v>
      </c>
      <c r="BC526" s="2568" t="s">
        <v>977</v>
      </c>
      <c r="BD526" s="1362">
        <f t="shared" si="426"/>
        <v>1063.0772651474676</v>
      </c>
      <c r="BE526" s="1360">
        <f t="shared" si="427"/>
        <v>168.16351766252865</v>
      </c>
      <c r="BF526" s="1132" t="str">
        <f t="shared" si="428"/>
        <v>C6</v>
      </c>
      <c r="BG526" s="1132" t="str">
        <f t="shared" si="429"/>
        <v>Nicor Gas PY11-PY14 Adjustable Goals Template_2025-03-01, Tab 5.4.4, 5.4.5,  5.4.9</v>
      </c>
      <c r="BH526" s="2505">
        <f>Kits!$C$42</f>
        <v>17.264616106738174</v>
      </c>
      <c r="BI526" s="2568" t="s">
        <v>977</v>
      </c>
      <c r="BJ526" s="1362">
        <f t="shared" si="451"/>
        <v>1063.0772651474676</v>
      </c>
      <c r="BK526" s="1360">
        <f t="shared" si="430"/>
        <v>168.16351766252865</v>
      </c>
      <c r="BL526" s="1601">
        <f t="shared" si="431"/>
        <v>1063.0772651474676</v>
      </c>
      <c r="BM526" s="1601">
        <f t="shared" si="432"/>
        <v>1063.0772651474676</v>
      </c>
      <c r="BN526" s="1601">
        <f t="shared" si="433"/>
        <v>1063.0772651474676</v>
      </c>
      <c r="BO526" s="1601">
        <f t="shared" si="434"/>
        <v>1063.0772651474676</v>
      </c>
      <c r="BP526" s="1602">
        <f t="shared" si="435"/>
        <v>4252.3090605898706</v>
      </c>
      <c r="BQ526" s="1629"/>
      <c r="BR526" s="1629" t="s">
        <v>805</v>
      </c>
      <c r="BS526" s="1602">
        <v>0</v>
      </c>
      <c r="BT526" s="1602">
        <v>8.14</v>
      </c>
      <c r="BU526" s="1602">
        <v>8.14</v>
      </c>
      <c r="BV526" s="1602">
        <v>8.14</v>
      </c>
      <c r="BW526" s="1602">
        <v>8.14</v>
      </c>
      <c r="BX526" s="1362">
        <f t="shared" si="452"/>
        <v>7284.5979045274044</v>
      </c>
      <c r="BY526" s="1362">
        <f t="shared" si="453"/>
        <v>7284.5979045274044</v>
      </c>
      <c r="BZ526" s="1362">
        <f t="shared" si="454"/>
        <v>7284.5979045274044</v>
      </c>
      <c r="CA526" s="1362">
        <f t="shared" si="455"/>
        <v>7284.5979045274044</v>
      </c>
      <c r="CB526" s="1362">
        <f t="shared" si="456"/>
        <v>29138.391618109617</v>
      </c>
      <c r="CC526" s="1360">
        <v>8.14</v>
      </c>
      <c r="CD526" s="1360">
        <v>8.14</v>
      </c>
      <c r="CE526" s="1360">
        <v>8.14</v>
      </c>
      <c r="CF526" s="1360">
        <v>8.14</v>
      </c>
      <c r="CG526" s="1604">
        <f t="shared" si="436"/>
        <v>8653.4489383003875</v>
      </c>
      <c r="CH526" s="1604">
        <f t="shared" si="437"/>
        <v>8653.4489383003875</v>
      </c>
      <c r="CI526" s="1604">
        <f t="shared" si="438"/>
        <v>8653.4489383003875</v>
      </c>
      <c r="CJ526" s="1604">
        <f t="shared" si="439"/>
        <v>8653.4489383003875</v>
      </c>
      <c r="CK526" s="1521">
        <f t="shared" si="440"/>
        <v>34613.79575320155</v>
      </c>
      <c r="CL526" s="1132">
        <v>519</v>
      </c>
      <c r="CM526" s="1132" t="s">
        <v>356</v>
      </c>
      <c r="CN526" s="1359">
        <v>1</v>
      </c>
      <c r="CO526" s="1360">
        <v>54.018288288535999</v>
      </c>
      <c r="CP526" s="1360">
        <v>54.018288288535999</v>
      </c>
      <c r="CQ526" s="1360">
        <v>54.018288288535999</v>
      </c>
      <c r="CR526" s="1360">
        <v>54.018288288535999</v>
      </c>
      <c r="CS526" s="1362">
        <f t="shared" si="441"/>
        <v>949.94719284051143</v>
      </c>
      <c r="CT526" s="1362">
        <f t="shared" si="442"/>
        <v>949.94719284051143</v>
      </c>
      <c r="CU526" s="1362">
        <f t="shared" si="443"/>
        <v>949.94719284051143</v>
      </c>
      <c r="CV526" s="1362">
        <f t="shared" si="444"/>
        <v>949.94719284051143</v>
      </c>
      <c r="CW526" s="1362">
        <f t="shared" si="445"/>
        <v>3799.7887713620457</v>
      </c>
      <c r="CY526" s="2887"/>
    </row>
    <row r="527" spans="1:103" s="1143" customFormat="1" ht="62" x14ac:dyDescent="0.35">
      <c r="A527" s="1132" t="s">
        <v>106</v>
      </c>
      <c r="B527" s="1132" t="s">
        <v>974</v>
      </c>
      <c r="C527" s="1132" t="s">
        <v>982</v>
      </c>
      <c r="D527" s="1359" t="s">
        <v>805</v>
      </c>
      <c r="E527" s="1359">
        <v>1</v>
      </c>
      <c r="F527" s="2807" t="s">
        <v>805</v>
      </c>
      <c r="G527" s="1132" t="s">
        <v>356</v>
      </c>
      <c r="H527" s="1360">
        <v>10.212151950000003</v>
      </c>
      <c r="I527" s="1360">
        <v>10.212151950000003</v>
      </c>
      <c r="J527" s="1360">
        <v>10.212151950000003</v>
      </c>
      <c r="K527" s="1360">
        <v>10.212151950000003</v>
      </c>
      <c r="L527" s="1132" t="s">
        <v>983</v>
      </c>
      <c r="M527" s="1132" t="str">
        <f t="shared" si="407"/>
        <v>Nicor Gas PY11-PY14 Adjustable Goals Template_2025-03-01, Tab 5.4.4, 5.4.5,  5.4.9</v>
      </c>
      <c r="N527" s="1361">
        <v>18.088998290325904</v>
      </c>
      <c r="O527" s="1361">
        <v>18.088998290325904</v>
      </c>
      <c r="P527" s="1361">
        <v>18.088998290325904</v>
      </c>
      <c r="Q527" s="1361">
        <v>18.088998290325904</v>
      </c>
      <c r="R527" s="1781">
        <v>1</v>
      </c>
      <c r="S527" s="1781">
        <v>1</v>
      </c>
      <c r="T527" s="1781">
        <v>1</v>
      </c>
      <c r="U527" s="1781">
        <v>1</v>
      </c>
      <c r="V527" s="2567">
        <v>1.1000000000000001</v>
      </c>
      <c r="W527" s="2567">
        <v>1.1000000000000001</v>
      </c>
      <c r="X527" s="2567">
        <v>1.1000000000000001</v>
      </c>
      <c r="Y527" s="2567">
        <v>1.1000000000000001</v>
      </c>
      <c r="Z527" s="1359">
        <v>0</v>
      </c>
      <c r="AA527" s="2567">
        <f t="shared" si="408"/>
        <v>1.1000000000000001</v>
      </c>
      <c r="AB527" s="2567">
        <f t="shared" si="409"/>
        <v>1.1000000000000001</v>
      </c>
      <c r="AC527" s="2567">
        <f t="shared" si="410"/>
        <v>1.1000000000000001</v>
      </c>
      <c r="AD527" s="2567">
        <f t="shared" si="411"/>
        <v>1.1000000000000001</v>
      </c>
      <c r="AE527" s="2567">
        <f t="shared" si="412"/>
        <v>1.1000000000000001</v>
      </c>
      <c r="AF527" s="2567">
        <f t="shared" si="413"/>
        <v>1.1000000000000001</v>
      </c>
      <c r="AG527" s="2567">
        <f t="shared" si="414"/>
        <v>1.1000000000000001</v>
      </c>
      <c r="AH527" s="2567">
        <f t="shared" si="415"/>
        <v>1.1000000000000001</v>
      </c>
      <c r="AI527" s="1362">
        <f t="shared" si="446"/>
        <v>184.72759916409839</v>
      </c>
      <c r="AJ527" s="1362">
        <f t="shared" si="447"/>
        <v>184.72759916409839</v>
      </c>
      <c r="AK527" s="1362">
        <f t="shared" si="448"/>
        <v>184.72759916409839</v>
      </c>
      <c r="AL527" s="1362">
        <f t="shared" si="449"/>
        <v>184.72759916409839</v>
      </c>
      <c r="AM527" s="1362">
        <f t="shared" si="450"/>
        <v>738.91039665639357</v>
      </c>
      <c r="AN527" s="1132" t="str">
        <f t="shared" si="416"/>
        <v>C188</v>
      </c>
      <c r="AO527" s="1132" t="str">
        <f t="shared" si="417"/>
        <v>Nicor Gas PY11-PY14 Adjustable Goals Template_2025-03-01, Tab 5.4.4, 5.4.5,  5.4.9</v>
      </c>
      <c r="AP527" s="2505">
        <f>Kits!$C$48</f>
        <v>19.618399845765005</v>
      </c>
      <c r="AQ527" s="2568" t="s">
        <v>977</v>
      </c>
      <c r="AR527" s="2505">
        <f t="shared" si="418"/>
        <v>220.38068826488976</v>
      </c>
      <c r="AS527" s="2505">
        <f t="shared" si="419"/>
        <v>35.653089100791362</v>
      </c>
      <c r="AT527" s="1132" t="str">
        <f t="shared" si="420"/>
        <v>C188</v>
      </c>
      <c r="AU527" s="1132" t="str">
        <f t="shared" si="421"/>
        <v>Nicor Gas PY11-PY14 Adjustable Goals Template_2025-03-01, Tab 5.4.4, 5.4.5,  5.4.9</v>
      </c>
      <c r="AV527" s="2505">
        <f>Kits!$C$48</f>
        <v>19.618399845765005</v>
      </c>
      <c r="AW527" s="2568" t="s">
        <v>977</v>
      </c>
      <c r="AX527" s="1362">
        <f t="shared" si="422"/>
        <v>220.38068826488976</v>
      </c>
      <c r="AY527" s="1360">
        <f t="shared" si="423"/>
        <v>35.653089100791362</v>
      </c>
      <c r="AZ527" s="1132" t="str">
        <f t="shared" si="424"/>
        <v>C188</v>
      </c>
      <c r="BA527" s="1132" t="str">
        <f t="shared" si="425"/>
        <v>Nicor Gas PY11-PY14 Adjustable Goals Template_2025-03-01, Tab 5.4.4, 5.4.5,  5.4.9</v>
      </c>
      <c r="BB527" s="2505">
        <f>Kits!$C$48</f>
        <v>19.618399845765005</v>
      </c>
      <c r="BC527" s="2568" t="s">
        <v>977</v>
      </c>
      <c r="BD527" s="1362">
        <f t="shared" si="426"/>
        <v>220.38068826488976</v>
      </c>
      <c r="BE527" s="1360">
        <f t="shared" si="427"/>
        <v>35.653089100791362</v>
      </c>
      <c r="BF527" s="1132" t="str">
        <f t="shared" si="428"/>
        <v>C188</v>
      </c>
      <c r="BG527" s="1132" t="str">
        <f t="shared" si="429"/>
        <v>Nicor Gas PY11-PY14 Adjustable Goals Template_2025-03-01, Tab 5.4.4, 5.4.5,  5.4.9</v>
      </c>
      <c r="BH527" s="2505">
        <f>Kits!$C$48</f>
        <v>19.618399845765005</v>
      </c>
      <c r="BI527" s="2568" t="s">
        <v>977</v>
      </c>
      <c r="BJ527" s="1362">
        <f t="shared" si="451"/>
        <v>220.38068826488976</v>
      </c>
      <c r="BK527" s="1360">
        <f t="shared" si="430"/>
        <v>35.653089100791362</v>
      </c>
      <c r="BL527" s="1601">
        <f t="shared" si="431"/>
        <v>220.38068826488976</v>
      </c>
      <c r="BM527" s="1601">
        <f t="shared" si="432"/>
        <v>220.38068826488976</v>
      </c>
      <c r="BN527" s="1601">
        <f t="shared" si="433"/>
        <v>220.38068826488976</v>
      </c>
      <c r="BO527" s="1601">
        <f t="shared" si="434"/>
        <v>220.38068826488976</v>
      </c>
      <c r="BP527" s="1602">
        <f t="shared" si="435"/>
        <v>881.52275305955902</v>
      </c>
      <c r="BQ527" s="1629"/>
      <c r="BR527" s="1629" t="s">
        <v>805</v>
      </c>
      <c r="BS527" s="1602">
        <v>0</v>
      </c>
      <c r="BT527" s="1602">
        <v>8.43</v>
      </c>
      <c r="BU527" s="1602">
        <v>8.43</v>
      </c>
      <c r="BV527" s="1602">
        <v>8.43</v>
      </c>
      <c r="BW527" s="1602">
        <v>8.43</v>
      </c>
      <c r="BX527" s="1362">
        <f t="shared" si="452"/>
        <v>1557.2536609533495</v>
      </c>
      <c r="BY527" s="1362">
        <f t="shared" si="453"/>
        <v>1557.2536609533495</v>
      </c>
      <c r="BZ527" s="1362">
        <f t="shared" si="454"/>
        <v>1557.2536609533495</v>
      </c>
      <c r="CA527" s="1362">
        <f t="shared" si="455"/>
        <v>1557.2536609533495</v>
      </c>
      <c r="CB527" s="1362">
        <f t="shared" si="456"/>
        <v>6229.0146438133979</v>
      </c>
      <c r="CC527" s="1360">
        <v>8.43</v>
      </c>
      <c r="CD527" s="1360">
        <v>8.43</v>
      </c>
      <c r="CE527" s="1360">
        <v>8.43</v>
      </c>
      <c r="CF527" s="1360">
        <v>8.43</v>
      </c>
      <c r="CG527" s="1604">
        <f t="shared" si="436"/>
        <v>1857.8092020730205</v>
      </c>
      <c r="CH527" s="1604">
        <f t="shared" si="437"/>
        <v>1857.8092020730205</v>
      </c>
      <c r="CI527" s="1604">
        <f t="shared" si="438"/>
        <v>1857.8092020730205</v>
      </c>
      <c r="CJ527" s="1604">
        <f t="shared" si="439"/>
        <v>1857.8092020730205</v>
      </c>
      <c r="CK527" s="1521">
        <f t="shared" si="440"/>
        <v>7431.2368082920821</v>
      </c>
      <c r="CL527" s="1132">
        <v>520</v>
      </c>
      <c r="CM527" s="1132" t="s">
        <v>356</v>
      </c>
      <c r="CN527" s="1359">
        <v>1</v>
      </c>
      <c r="CO527" s="1360">
        <v>9.8546877283140031</v>
      </c>
      <c r="CP527" s="1360">
        <v>9.8546877283140031</v>
      </c>
      <c r="CQ527" s="1360">
        <v>9.8546877283140031</v>
      </c>
      <c r="CR527" s="1360">
        <v>9.8546877283140031</v>
      </c>
      <c r="CS527" s="1362">
        <f t="shared" si="441"/>
        <v>196.08757241608444</v>
      </c>
      <c r="CT527" s="1362">
        <f t="shared" si="442"/>
        <v>196.08757241608444</v>
      </c>
      <c r="CU527" s="1362">
        <f t="shared" si="443"/>
        <v>196.08757241608444</v>
      </c>
      <c r="CV527" s="1362">
        <f t="shared" si="444"/>
        <v>196.08757241608444</v>
      </c>
      <c r="CW527" s="1362">
        <f t="shared" si="445"/>
        <v>784.35028966433777</v>
      </c>
      <c r="CY527" s="2887"/>
    </row>
    <row r="528" spans="1:103" s="1143" customFormat="1" ht="77.5" x14ac:dyDescent="0.35">
      <c r="A528" s="1132" t="s">
        <v>106</v>
      </c>
      <c r="B528" s="1132" t="s">
        <v>974</v>
      </c>
      <c r="C528" s="1132" t="s">
        <v>809</v>
      </c>
      <c r="D528" s="1359" t="s">
        <v>655</v>
      </c>
      <c r="E528" s="1359">
        <v>1</v>
      </c>
      <c r="F528" s="2807" t="s">
        <v>655</v>
      </c>
      <c r="G528" s="1132" t="s">
        <v>356</v>
      </c>
      <c r="H528" s="1360">
        <v>8189.3894081999997</v>
      </c>
      <c r="I528" s="1360">
        <v>8189.3894081999997</v>
      </c>
      <c r="J528" s="1360">
        <v>8189.3894081999997</v>
      </c>
      <c r="K528" s="1360">
        <v>8189.3894081999997</v>
      </c>
      <c r="L528" s="1132" t="s">
        <v>810</v>
      </c>
      <c r="M528" s="1132" t="str">
        <f t="shared" si="407"/>
        <v>Nicor Gas PY11-PY14 Adjustable Goals Template_2025-03-01, Tab 5.6.1</v>
      </c>
      <c r="N528" s="1361">
        <v>35.489040000000003</v>
      </c>
      <c r="O528" s="1361">
        <v>35.489040000000003</v>
      </c>
      <c r="P528" s="1361">
        <v>35.489040000000003</v>
      </c>
      <c r="Q528" s="1361">
        <v>35.489040000000003</v>
      </c>
      <c r="R528" s="1781">
        <v>0.84</v>
      </c>
      <c r="S528" s="1781">
        <v>0.84</v>
      </c>
      <c r="T528" s="1781">
        <v>0.84</v>
      </c>
      <c r="U528" s="1781">
        <v>0.84</v>
      </c>
      <c r="V528" s="2567">
        <v>0.91</v>
      </c>
      <c r="W528" s="2567">
        <v>0.91</v>
      </c>
      <c r="X528" s="2567">
        <v>0.91</v>
      </c>
      <c r="Y528" s="2567">
        <v>0.91</v>
      </c>
      <c r="Z528" s="1359">
        <v>0</v>
      </c>
      <c r="AA528" s="2567">
        <f t="shared" si="408"/>
        <v>0.91</v>
      </c>
      <c r="AB528" s="2567">
        <f t="shared" si="409"/>
        <v>0.91</v>
      </c>
      <c r="AC528" s="2567">
        <f t="shared" si="410"/>
        <v>0.91</v>
      </c>
      <c r="AD528" s="2567">
        <f t="shared" si="411"/>
        <v>0.91</v>
      </c>
      <c r="AE528" s="2567">
        <f t="shared" si="412"/>
        <v>0.91</v>
      </c>
      <c r="AF528" s="2567">
        <f t="shared" si="413"/>
        <v>0.91</v>
      </c>
      <c r="AG528" s="2567">
        <f t="shared" si="414"/>
        <v>0.91</v>
      </c>
      <c r="AH528" s="2567">
        <f t="shared" si="415"/>
        <v>0.91</v>
      </c>
      <c r="AI528" s="1362">
        <f t="shared" si="446"/>
        <v>244132.19735787634</v>
      </c>
      <c r="AJ528" s="1362">
        <f t="shared" si="447"/>
        <v>244132.19735787634</v>
      </c>
      <c r="AK528" s="1362">
        <f t="shared" si="448"/>
        <v>244132.19735787634</v>
      </c>
      <c r="AL528" s="1362">
        <f t="shared" si="449"/>
        <v>244132.19735787634</v>
      </c>
      <c r="AM528" s="1362">
        <f t="shared" si="450"/>
        <v>976528.78943150537</v>
      </c>
      <c r="AN528" s="1132" t="str">
        <f t="shared" si="416"/>
        <v>C232</v>
      </c>
      <c r="AO528" s="1132" t="str">
        <f t="shared" si="417"/>
        <v>Nicor Gas PY11-PY14 Adjustable Goals Template_2025-03-01, Tab 5.6.1</v>
      </c>
      <c r="AP528" s="2247">
        <f>'5.6.1 Kit 4'!$C$12</f>
        <v>22.108096000000003</v>
      </c>
      <c r="AQ528" s="2568" t="s">
        <v>984</v>
      </c>
      <c r="AR528" s="2505">
        <f t="shared" si="418"/>
        <v>164757.14456826061</v>
      </c>
      <c r="AS528" s="2505">
        <f t="shared" si="419"/>
        <v>-79375.052789615729</v>
      </c>
      <c r="AT528" s="1132" t="str">
        <f t="shared" si="420"/>
        <v>C232</v>
      </c>
      <c r="AU528" s="1132" t="str">
        <f t="shared" si="421"/>
        <v>Nicor Gas PY11-PY14 Adjustable Goals Template_2025-03-01, Tab 5.6.1</v>
      </c>
      <c r="AV528" s="2247">
        <f>'5.6.1 Kit 4'!$C$12</f>
        <v>22.108096000000003</v>
      </c>
      <c r="AW528" s="2568" t="s">
        <v>984</v>
      </c>
      <c r="AX528" s="1362">
        <f t="shared" si="422"/>
        <v>164757.14456826061</v>
      </c>
      <c r="AY528" s="1360">
        <f t="shared" si="423"/>
        <v>-79375.052789615729</v>
      </c>
      <c r="AZ528" s="1132" t="str">
        <f t="shared" si="424"/>
        <v>C232</v>
      </c>
      <c r="BA528" s="1132" t="str">
        <f t="shared" si="425"/>
        <v>Nicor Gas PY11-PY14 Adjustable Goals Template_2025-03-01, Tab 5.6.1</v>
      </c>
      <c r="BB528" s="2247">
        <f>'5.6.1 Kit 4'!$C$12</f>
        <v>22.108096000000003</v>
      </c>
      <c r="BC528" s="2568" t="s">
        <v>984</v>
      </c>
      <c r="BD528" s="1362">
        <f t="shared" si="426"/>
        <v>164757.14456826061</v>
      </c>
      <c r="BE528" s="1360">
        <f t="shared" si="427"/>
        <v>-79375.052789615729</v>
      </c>
      <c r="BF528" s="1132" t="str">
        <f t="shared" si="428"/>
        <v>C232</v>
      </c>
      <c r="BG528" s="1132" t="str">
        <f t="shared" si="429"/>
        <v>Nicor Gas PY11-PY14 Adjustable Goals Template_2025-03-01, Tab 5.6.1</v>
      </c>
      <c r="BH528" s="2247">
        <f>'5.6.1 Kit 4'!$C$12</f>
        <v>22.108096000000003</v>
      </c>
      <c r="BI528" s="2568" t="s">
        <v>984</v>
      </c>
      <c r="BJ528" s="1362">
        <f t="shared" si="451"/>
        <v>164757.14456826061</v>
      </c>
      <c r="BK528" s="1360">
        <f t="shared" si="430"/>
        <v>-79375.052789615729</v>
      </c>
      <c r="BL528" s="1601">
        <f t="shared" si="431"/>
        <v>164757.14456826061</v>
      </c>
      <c r="BM528" s="1601">
        <f t="shared" si="432"/>
        <v>164757.14456826061</v>
      </c>
      <c r="BN528" s="1601">
        <f t="shared" si="433"/>
        <v>164757.14456826061</v>
      </c>
      <c r="BO528" s="1601">
        <f t="shared" si="434"/>
        <v>164757.14456826061</v>
      </c>
      <c r="BP528" s="1602">
        <f t="shared" si="435"/>
        <v>659028.57827304245</v>
      </c>
      <c r="BQ528" s="1629"/>
      <c r="BR528" s="1629" t="s">
        <v>655</v>
      </c>
      <c r="BS528" s="1602">
        <v>0</v>
      </c>
      <c r="BT528" s="1602">
        <v>20</v>
      </c>
      <c r="BU528" s="1602">
        <v>20</v>
      </c>
      <c r="BV528" s="1602">
        <v>20</v>
      </c>
      <c r="BW528" s="1602">
        <v>20</v>
      </c>
      <c r="BX528" s="1362">
        <f t="shared" si="452"/>
        <v>4882643.9471575264</v>
      </c>
      <c r="BY528" s="1362">
        <f t="shared" si="453"/>
        <v>4882643.9471575264</v>
      </c>
      <c r="BZ528" s="1362">
        <f t="shared" si="454"/>
        <v>4882643.9471575264</v>
      </c>
      <c r="CA528" s="1362">
        <f t="shared" si="455"/>
        <v>4882643.9471575264</v>
      </c>
      <c r="CB528" s="1362">
        <f t="shared" si="456"/>
        <v>19530575.788630106</v>
      </c>
      <c r="CC528" s="1360">
        <v>20</v>
      </c>
      <c r="CD528" s="1360">
        <v>20</v>
      </c>
      <c r="CE528" s="1360">
        <v>20</v>
      </c>
      <c r="CF528" s="1360">
        <v>20</v>
      </c>
      <c r="CG528" s="1604">
        <f t="shared" si="436"/>
        <v>3295142.8913652124</v>
      </c>
      <c r="CH528" s="1604">
        <f t="shared" si="437"/>
        <v>3295142.8913652124</v>
      </c>
      <c r="CI528" s="1604">
        <f t="shared" si="438"/>
        <v>3295142.8913652124</v>
      </c>
      <c r="CJ528" s="1604">
        <f t="shared" si="439"/>
        <v>3295142.8913652124</v>
      </c>
      <c r="CK528" s="1521">
        <f t="shared" si="440"/>
        <v>13180571.56546085</v>
      </c>
      <c r="CL528" s="1132">
        <v>521</v>
      </c>
      <c r="CM528" s="1132" t="s">
        <v>356</v>
      </c>
      <c r="CN528" s="1359">
        <v>0</v>
      </c>
      <c r="CO528" s="1360">
        <v>8189.3894081999997</v>
      </c>
      <c r="CP528" s="1360">
        <v>8189.3894081999997</v>
      </c>
      <c r="CQ528" s="1360">
        <v>8189.3894081999997</v>
      </c>
      <c r="CR528" s="1360">
        <v>8189.3894081999997</v>
      </c>
      <c r="CS528" s="1362">
        <f t="shared" si="441"/>
        <v>164757.14456826061</v>
      </c>
      <c r="CT528" s="1362">
        <f t="shared" si="442"/>
        <v>164757.14456826061</v>
      </c>
      <c r="CU528" s="1362">
        <f t="shared" si="443"/>
        <v>164757.14456826061</v>
      </c>
      <c r="CV528" s="1362">
        <f t="shared" si="444"/>
        <v>164757.14456826061</v>
      </c>
      <c r="CW528" s="1362">
        <f t="shared" si="445"/>
        <v>659028.57827304245</v>
      </c>
      <c r="CY528" s="2887"/>
    </row>
    <row r="529" spans="1:103" s="1143" customFormat="1" ht="15.5" x14ac:dyDescent="0.35">
      <c r="A529" s="1132" t="s">
        <v>106</v>
      </c>
      <c r="B529" s="1132" t="s">
        <v>985</v>
      </c>
      <c r="C529" s="1132" t="s">
        <v>986</v>
      </c>
      <c r="D529" s="1359" t="s">
        <v>105</v>
      </c>
      <c r="E529" s="1359">
        <f>IF(AI529-AR529=0,0,1)</f>
        <v>0</v>
      </c>
      <c r="F529" s="1132" t="s">
        <v>105</v>
      </c>
      <c r="G529" s="1132" t="s">
        <v>356</v>
      </c>
      <c r="H529" s="1360">
        <v>58336.740000000005</v>
      </c>
      <c r="I529" s="1360">
        <v>58336.740000000005</v>
      </c>
      <c r="J529" s="1360">
        <v>58336.740000000005</v>
      </c>
      <c r="K529" s="1360">
        <v>58336.740000000005</v>
      </c>
      <c r="L529" s="1132" t="s">
        <v>105</v>
      </c>
      <c r="M529" s="1132" t="str">
        <f t="shared" si="407"/>
        <v/>
      </c>
      <c r="N529" s="1361">
        <v>10.558974358974359</v>
      </c>
      <c r="O529" s="1361">
        <v>10.558974358974359</v>
      </c>
      <c r="P529" s="1361">
        <v>10.558974358974359</v>
      </c>
      <c r="Q529" s="1361">
        <v>10.558974358974359</v>
      </c>
      <c r="R529" s="1781">
        <v>1</v>
      </c>
      <c r="S529" s="1781">
        <v>1</v>
      </c>
      <c r="T529" s="1781">
        <v>1</v>
      </c>
      <c r="U529" s="1781">
        <v>1</v>
      </c>
      <c r="V529" s="1781">
        <v>1</v>
      </c>
      <c r="W529" s="1781">
        <v>1</v>
      </c>
      <c r="X529" s="1781">
        <v>1</v>
      </c>
      <c r="Y529" s="1781">
        <v>1</v>
      </c>
      <c r="Z529" s="1359">
        <v>0</v>
      </c>
      <c r="AA529" s="1781">
        <f t="shared" si="408"/>
        <v>1</v>
      </c>
      <c r="AB529" s="1781">
        <f t="shared" si="409"/>
        <v>1</v>
      </c>
      <c r="AC529" s="1781">
        <f t="shared" si="410"/>
        <v>1</v>
      </c>
      <c r="AD529" s="1781">
        <f t="shared" si="411"/>
        <v>1</v>
      </c>
      <c r="AE529" s="1781">
        <f t="shared" si="412"/>
        <v>1</v>
      </c>
      <c r="AF529" s="1781">
        <f t="shared" si="413"/>
        <v>1</v>
      </c>
      <c r="AG529" s="1781">
        <f t="shared" si="414"/>
        <v>1</v>
      </c>
      <c r="AH529" s="1781">
        <f t="shared" si="415"/>
        <v>1</v>
      </c>
      <c r="AI529" s="1362">
        <f t="shared" si="446"/>
        <v>615976.14184615389</v>
      </c>
      <c r="AJ529" s="1362">
        <f t="shared" si="447"/>
        <v>615976.14184615389</v>
      </c>
      <c r="AK529" s="1362">
        <f t="shared" si="448"/>
        <v>615976.14184615389</v>
      </c>
      <c r="AL529" s="1362">
        <f t="shared" si="449"/>
        <v>615976.14184615389</v>
      </c>
      <c r="AM529" s="1362">
        <f t="shared" si="450"/>
        <v>2463904.5673846155</v>
      </c>
      <c r="AN529" s="1132" t="str">
        <f t="shared" si="416"/>
        <v>Custom</v>
      </c>
      <c r="AO529" s="1132" t="str">
        <f t="shared" si="417"/>
        <v/>
      </c>
      <c r="AP529" s="2505">
        <v>10.558974358974359</v>
      </c>
      <c r="AQ529" s="2505"/>
      <c r="AR529" s="2505">
        <f t="shared" si="418"/>
        <v>615976.14184615389</v>
      </c>
      <c r="AS529" s="2505">
        <f t="shared" si="419"/>
        <v>0</v>
      </c>
      <c r="AT529" s="1132" t="str">
        <f t="shared" si="420"/>
        <v>Custom</v>
      </c>
      <c r="AU529" s="1132" t="str">
        <f t="shared" si="421"/>
        <v/>
      </c>
      <c r="AV529" s="2505">
        <v>10.558974358974359</v>
      </c>
      <c r="AW529" s="2505"/>
      <c r="AX529" s="1362">
        <f t="shared" si="422"/>
        <v>615976.14184615389</v>
      </c>
      <c r="AY529" s="1360">
        <f t="shared" si="423"/>
        <v>0</v>
      </c>
      <c r="AZ529" s="1132" t="str">
        <f t="shared" si="424"/>
        <v>Custom</v>
      </c>
      <c r="BA529" s="1132" t="str">
        <f t="shared" si="425"/>
        <v/>
      </c>
      <c r="BB529" s="2505">
        <v>10.558974358974359</v>
      </c>
      <c r="BC529" s="2505"/>
      <c r="BD529" s="1362">
        <f t="shared" si="426"/>
        <v>615976.14184615389</v>
      </c>
      <c r="BE529" s="1360">
        <f t="shared" si="427"/>
        <v>0</v>
      </c>
      <c r="BF529" s="1132" t="str">
        <f t="shared" si="428"/>
        <v>Custom</v>
      </c>
      <c r="BG529" s="1132" t="str">
        <f t="shared" si="429"/>
        <v/>
      </c>
      <c r="BH529" s="2505">
        <v>10.558974358974359</v>
      </c>
      <c r="BI529" s="2505"/>
      <c r="BJ529" s="1362">
        <f t="shared" si="451"/>
        <v>615976.14184615389</v>
      </c>
      <c r="BK529" s="1360">
        <f t="shared" si="430"/>
        <v>0</v>
      </c>
      <c r="BL529" s="1601">
        <f t="shared" si="431"/>
        <v>615976.14184615389</v>
      </c>
      <c r="BM529" s="1601">
        <f t="shared" si="432"/>
        <v>615976.14184615389</v>
      </c>
      <c r="BN529" s="1601">
        <f t="shared" si="433"/>
        <v>615976.14184615389</v>
      </c>
      <c r="BO529" s="1601">
        <f t="shared" si="434"/>
        <v>615976.14184615389</v>
      </c>
      <c r="BP529" s="1602">
        <f t="shared" si="435"/>
        <v>2463904.5673846155</v>
      </c>
      <c r="BQ529" s="1629"/>
      <c r="BR529" s="1629"/>
      <c r="BS529" s="1602">
        <v>0</v>
      </c>
      <c r="BT529" s="1602">
        <v>2.808988764044944</v>
      </c>
      <c r="BU529" s="1602">
        <v>2.808988764044944</v>
      </c>
      <c r="BV529" s="1602">
        <v>2.808988764044944</v>
      </c>
      <c r="BW529" s="1602">
        <v>2.808988764044944</v>
      </c>
      <c r="BX529" s="1362">
        <f t="shared" si="452"/>
        <v>1730270.0613656009</v>
      </c>
      <c r="BY529" s="1362">
        <f t="shared" si="453"/>
        <v>1730270.0613656009</v>
      </c>
      <c r="BZ529" s="1362">
        <f t="shared" si="454"/>
        <v>1730270.0613656009</v>
      </c>
      <c r="CA529" s="1362">
        <f t="shared" si="455"/>
        <v>1730270.0613656009</v>
      </c>
      <c r="CB529" s="1362">
        <f t="shared" si="456"/>
        <v>6921080.2454624036</v>
      </c>
      <c r="CC529" s="1360">
        <v>2.808988764044944</v>
      </c>
      <c r="CD529" s="1360">
        <v>2.808988764044944</v>
      </c>
      <c r="CE529" s="1360">
        <v>2.808988764044944</v>
      </c>
      <c r="CF529" s="1360">
        <v>2.808988764044944</v>
      </c>
      <c r="CG529" s="1604">
        <f t="shared" si="436"/>
        <v>1730270.0613656009</v>
      </c>
      <c r="CH529" s="1604">
        <f t="shared" si="437"/>
        <v>1730270.0613656009</v>
      </c>
      <c r="CI529" s="1604">
        <f t="shared" si="438"/>
        <v>1730270.0613656009</v>
      </c>
      <c r="CJ529" s="1604">
        <f t="shared" si="439"/>
        <v>1730270.0613656009</v>
      </c>
      <c r="CK529" s="1521">
        <f t="shared" si="440"/>
        <v>6921080.2454624036</v>
      </c>
      <c r="CL529" s="1132">
        <v>522</v>
      </c>
      <c r="CM529" s="1132" t="s">
        <v>356</v>
      </c>
      <c r="CN529" s="1359">
        <v>0</v>
      </c>
      <c r="CO529" s="1360">
        <v>58336.740000000005</v>
      </c>
      <c r="CP529" s="1360">
        <v>58336.740000000005</v>
      </c>
      <c r="CQ529" s="1360">
        <v>58336.740000000005</v>
      </c>
      <c r="CR529" s="1360">
        <v>58336.740000000005</v>
      </c>
      <c r="CS529" s="1362">
        <f t="shared" si="441"/>
        <v>615976.14184615389</v>
      </c>
      <c r="CT529" s="1362">
        <f t="shared" si="442"/>
        <v>615976.14184615389</v>
      </c>
      <c r="CU529" s="1362">
        <f t="shared" si="443"/>
        <v>615976.14184615389</v>
      </c>
      <c r="CV529" s="1362">
        <f t="shared" si="444"/>
        <v>615976.14184615389</v>
      </c>
      <c r="CW529" s="1362">
        <f t="shared" si="445"/>
        <v>2463904.5673846155</v>
      </c>
      <c r="CY529" s="2887"/>
    </row>
    <row r="530" spans="1:103" s="1143" customFormat="1" ht="46.5" customHeight="1" x14ac:dyDescent="0.35">
      <c r="A530" s="1132" t="s">
        <v>115</v>
      </c>
      <c r="B530" s="1132" t="s">
        <v>115</v>
      </c>
      <c r="C530" s="1132" t="s">
        <v>987</v>
      </c>
      <c r="D530" s="1359" t="s">
        <v>988</v>
      </c>
      <c r="E530" s="1359">
        <v>1</v>
      </c>
      <c r="F530" s="2564" t="s">
        <v>988</v>
      </c>
      <c r="G530" s="1132" t="s">
        <v>989</v>
      </c>
      <c r="H530" s="1360">
        <v>467.5</v>
      </c>
      <c r="I530" s="1360">
        <v>467.5</v>
      </c>
      <c r="J530" s="1360">
        <v>467.5</v>
      </c>
      <c r="K530" s="1360">
        <v>467.5</v>
      </c>
      <c r="L530" s="1132" t="s">
        <v>990</v>
      </c>
      <c r="M530" s="1132" t="str">
        <f t="shared" si="407"/>
        <v>Nicor Gas PY11-PY14 Adjustable Goals Template_2025-03-01, Tab 5.3.4, 5.6.1, 5.4.2</v>
      </c>
      <c r="N530" s="1361">
        <v>231.77960012898788</v>
      </c>
      <c r="O530" s="1361">
        <v>231.77960012898788</v>
      </c>
      <c r="P530" s="1361">
        <v>231.77960012898788</v>
      </c>
      <c r="Q530" s="1361">
        <v>231.77960012898788</v>
      </c>
      <c r="R530" s="1781">
        <v>0.8</v>
      </c>
      <c r="S530" s="1781">
        <v>0.8</v>
      </c>
      <c r="T530" s="1781">
        <v>0.8</v>
      </c>
      <c r="U530" s="1781">
        <v>0.8</v>
      </c>
      <c r="V530" s="1781">
        <v>0.8</v>
      </c>
      <c r="W530" s="1781">
        <v>0.8</v>
      </c>
      <c r="X530" s="1781">
        <v>0.8</v>
      </c>
      <c r="Y530" s="1781">
        <v>0.8</v>
      </c>
      <c r="Z530" s="1359">
        <v>0</v>
      </c>
      <c r="AA530" s="1781">
        <f t="shared" si="408"/>
        <v>0.8</v>
      </c>
      <c r="AB530" s="1781">
        <f t="shared" si="409"/>
        <v>0.8</v>
      </c>
      <c r="AC530" s="1781">
        <f t="shared" si="410"/>
        <v>0.8</v>
      </c>
      <c r="AD530" s="1781">
        <f t="shared" si="411"/>
        <v>0.8</v>
      </c>
      <c r="AE530" s="1781">
        <f t="shared" si="412"/>
        <v>0.8</v>
      </c>
      <c r="AF530" s="1781">
        <f t="shared" si="413"/>
        <v>0.8</v>
      </c>
      <c r="AG530" s="1781">
        <f t="shared" si="414"/>
        <v>0.8</v>
      </c>
      <c r="AH530" s="1781">
        <f t="shared" si="415"/>
        <v>0.8</v>
      </c>
      <c r="AI530" s="1362">
        <f t="shared" si="446"/>
        <v>86685.570448241473</v>
      </c>
      <c r="AJ530" s="1362">
        <f t="shared" si="447"/>
        <v>86685.570448241473</v>
      </c>
      <c r="AK530" s="1362">
        <f t="shared" si="448"/>
        <v>86685.570448241473</v>
      </c>
      <c r="AL530" s="1362">
        <f t="shared" si="449"/>
        <v>86685.570448241473</v>
      </c>
      <c r="AM530" s="1362">
        <f t="shared" si="450"/>
        <v>346742.28179296589</v>
      </c>
      <c r="AN530" s="1132" t="str">
        <f t="shared" si="416"/>
        <v>C256</v>
      </c>
      <c r="AO530" s="1132" t="str">
        <f t="shared" si="417"/>
        <v>Nicor Gas PY11-PY14 Adjustable Goals Template_2025-03-01, Tab 5.3.4, 5.6.1, 5.4.2</v>
      </c>
      <c r="AP530" s="2247">
        <f>RNC!$C$4</f>
        <v>231.77960012898788</v>
      </c>
      <c r="AQ530" s="2505"/>
      <c r="AR530" s="2505">
        <f t="shared" si="418"/>
        <v>86685.570448241473</v>
      </c>
      <c r="AS530" s="2505">
        <f t="shared" si="419"/>
        <v>0</v>
      </c>
      <c r="AT530" s="1132" t="str">
        <f t="shared" si="420"/>
        <v>C256</v>
      </c>
      <c r="AU530" s="1132" t="str">
        <f t="shared" si="421"/>
        <v>Nicor Gas PY11-PY14 Adjustable Goals Template_2025-03-01, Tab 5.3.4, 5.6.1, 5.4.2</v>
      </c>
      <c r="AV530" s="2247">
        <f>RNC!$C$4</f>
        <v>231.77960012898788</v>
      </c>
      <c r="AW530" s="2505"/>
      <c r="AX530" s="1362">
        <f t="shared" si="422"/>
        <v>86685.570448241473</v>
      </c>
      <c r="AY530" s="1360">
        <f t="shared" si="423"/>
        <v>0</v>
      </c>
      <c r="AZ530" s="1132" t="str">
        <f t="shared" si="424"/>
        <v>C256</v>
      </c>
      <c r="BA530" s="1132" t="str">
        <f t="shared" si="425"/>
        <v>Nicor Gas PY11-PY14 Adjustable Goals Template_2025-03-01, Tab 5.3.4, 5.6.1, 5.4.2</v>
      </c>
      <c r="BB530" s="2247">
        <f>RNC!$C$4</f>
        <v>231.77960012898788</v>
      </c>
      <c r="BC530" s="2505"/>
      <c r="BD530" s="1362">
        <f t="shared" si="426"/>
        <v>86685.570448241473</v>
      </c>
      <c r="BE530" s="1360">
        <f t="shared" si="427"/>
        <v>0</v>
      </c>
      <c r="BF530" s="1132" t="str">
        <f t="shared" si="428"/>
        <v>C256</v>
      </c>
      <c r="BG530" s="1132" t="str">
        <f t="shared" si="429"/>
        <v>Nicor Gas PY11-PY14 Adjustable Goals Template_2025-03-01, Tab 5.3.4, 5.6.1, 5.4.2</v>
      </c>
      <c r="BH530" s="2247">
        <f>RNC!$C$4</f>
        <v>231.77960012898788</v>
      </c>
      <c r="BI530" s="2505"/>
      <c r="BJ530" s="1362">
        <f t="shared" si="451"/>
        <v>86685.570448241473</v>
      </c>
      <c r="BK530" s="1360">
        <f t="shared" si="430"/>
        <v>0</v>
      </c>
      <c r="BL530" s="1601">
        <f t="shared" si="431"/>
        <v>86685.570448241473</v>
      </c>
      <c r="BM530" s="1601">
        <f t="shared" si="432"/>
        <v>86685.570448241473</v>
      </c>
      <c r="BN530" s="1601">
        <f t="shared" si="433"/>
        <v>86685.570448241473</v>
      </c>
      <c r="BO530" s="1601">
        <f t="shared" si="434"/>
        <v>86685.570448241473</v>
      </c>
      <c r="BP530" s="1602">
        <f t="shared" si="435"/>
        <v>346742.28179296589</v>
      </c>
      <c r="BQ530" s="1629"/>
      <c r="BR530" s="1629" t="s">
        <v>988</v>
      </c>
      <c r="BS530" s="1602">
        <v>0</v>
      </c>
      <c r="BT530" s="1602">
        <v>19.489675339672512</v>
      </c>
      <c r="BU530" s="1602">
        <v>19.489675339672512</v>
      </c>
      <c r="BV530" s="1602">
        <v>19.489675339672512</v>
      </c>
      <c r="BW530" s="1602">
        <v>19.489675339672512</v>
      </c>
      <c r="BX530" s="1362">
        <f t="shared" si="452"/>
        <v>1689473.624670536</v>
      </c>
      <c r="BY530" s="1362">
        <f t="shared" si="453"/>
        <v>1689473.624670536</v>
      </c>
      <c r="BZ530" s="1362">
        <f t="shared" si="454"/>
        <v>1689473.624670536</v>
      </c>
      <c r="CA530" s="1362">
        <f t="shared" si="455"/>
        <v>1689473.624670536</v>
      </c>
      <c r="CB530" s="1362">
        <f t="shared" si="456"/>
        <v>6757894.4986821441</v>
      </c>
      <c r="CC530" s="1360">
        <v>19.489675339672512</v>
      </c>
      <c r="CD530" s="1360">
        <v>19.489675339672512</v>
      </c>
      <c r="CE530" s="1360">
        <v>19.489675339672512</v>
      </c>
      <c r="CF530" s="1360">
        <v>19.489675339672512</v>
      </c>
      <c r="CG530" s="1604">
        <f t="shared" si="436"/>
        <v>1689473.624670536</v>
      </c>
      <c r="CH530" s="1604">
        <f t="shared" si="437"/>
        <v>1689473.624670536</v>
      </c>
      <c r="CI530" s="1604">
        <f t="shared" si="438"/>
        <v>1689473.624670536</v>
      </c>
      <c r="CJ530" s="1604">
        <f t="shared" si="439"/>
        <v>1689473.624670536</v>
      </c>
      <c r="CK530" s="1521">
        <f t="shared" si="440"/>
        <v>6757894.4986821441</v>
      </c>
      <c r="CL530" s="1132">
        <v>523</v>
      </c>
      <c r="CM530" s="1132" t="s">
        <v>989</v>
      </c>
      <c r="CN530" s="1359">
        <v>0</v>
      </c>
      <c r="CO530" s="1360">
        <v>467.5</v>
      </c>
      <c r="CP530" s="1360">
        <v>467.5</v>
      </c>
      <c r="CQ530" s="1360">
        <v>467.5</v>
      </c>
      <c r="CR530" s="1360">
        <v>467.5</v>
      </c>
      <c r="CS530" s="1362">
        <f t="shared" si="441"/>
        <v>86685.570448241473</v>
      </c>
      <c r="CT530" s="1362">
        <f t="shared" si="442"/>
        <v>86685.570448241473</v>
      </c>
      <c r="CU530" s="1362">
        <f t="shared" si="443"/>
        <v>86685.570448241473</v>
      </c>
      <c r="CV530" s="1362">
        <f t="shared" si="444"/>
        <v>86685.570448241473</v>
      </c>
      <c r="CW530" s="1362">
        <f t="shared" si="445"/>
        <v>346742.28179296589</v>
      </c>
      <c r="CY530" s="2887"/>
    </row>
    <row r="531" spans="1:103" s="1143" customFormat="1" ht="46.5" x14ac:dyDescent="0.35">
      <c r="A531" s="1132" t="s">
        <v>115</v>
      </c>
      <c r="B531" s="1132" t="s">
        <v>115</v>
      </c>
      <c r="C531" s="1132" t="s">
        <v>991</v>
      </c>
      <c r="D531" s="1359" t="s">
        <v>992</v>
      </c>
      <c r="E531" s="1359">
        <v>1</v>
      </c>
      <c r="F531" s="2564" t="s">
        <v>992</v>
      </c>
      <c r="G531" s="1132" t="s">
        <v>989</v>
      </c>
      <c r="H531" s="1360">
        <v>297.5</v>
      </c>
      <c r="I531" s="1360">
        <v>297.5</v>
      </c>
      <c r="J531" s="1360">
        <v>297.5</v>
      </c>
      <c r="K531" s="1360">
        <v>297.5</v>
      </c>
      <c r="L531" s="1132" t="s">
        <v>993</v>
      </c>
      <c r="M531" s="1132" t="str">
        <f t="shared" si="407"/>
        <v>Nicor Gas PY11-PY14 Adjustable Goals Template_2025-03-01, Tab 5.3.4, 5.6.1, 5.4.2,5.3.7</v>
      </c>
      <c r="N531" s="1361">
        <v>372.54883089821851</v>
      </c>
      <c r="O531" s="1361">
        <v>372.54883089821851</v>
      </c>
      <c r="P531" s="1361">
        <v>372.54883089821851</v>
      </c>
      <c r="Q531" s="1361">
        <v>372.54883089821851</v>
      </c>
      <c r="R531" s="1781">
        <v>0.8</v>
      </c>
      <c r="S531" s="1781">
        <v>0.8</v>
      </c>
      <c r="T531" s="1781">
        <v>0.8</v>
      </c>
      <c r="U531" s="1781">
        <v>0.8</v>
      </c>
      <c r="V531" s="1781">
        <v>0.8</v>
      </c>
      <c r="W531" s="1781">
        <v>0.8</v>
      </c>
      <c r="X531" s="1781">
        <v>0.8</v>
      </c>
      <c r="Y531" s="1781">
        <v>0.8</v>
      </c>
      <c r="Z531" s="1359">
        <v>0</v>
      </c>
      <c r="AA531" s="1781">
        <f t="shared" si="408"/>
        <v>0.8</v>
      </c>
      <c r="AB531" s="1781">
        <f t="shared" si="409"/>
        <v>0.8</v>
      </c>
      <c r="AC531" s="1781">
        <f t="shared" si="410"/>
        <v>0.8</v>
      </c>
      <c r="AD531" s="1781">
        <f t="shared" si="411"/>
        <v>0.8</v>
      </c>
      <c r="AE531" s="1781">
        <f t="shared" si="412"/>
        <v>0.8</v>
      </c>
      <c r="AF531" s="1781">
        <f t="shared" si="413"/>
        <v>0.8</v>
      </c>
      <c r="AG531" s="1781">
        <f t="shared" si="414"/>
        <v>0.8</v>
      </c>
      <c r="AH531" s="1781">
        <f t="shared" si="415"/>
        <v>0.8</v>
      </c>
      <c r="AI531" s="1362">
        <f t="shared" si="446"/>
        <v>88666.621753776009</v>
      </c>
      <c r="AJ531" s="1362">
        <f t="shared" si="447"/>
        <v>88666.621753776009</v>
      </c>
      <c r="AK531" s="1362">
        <f t="shared" si="448"/>
        <v>88666.621753776009</v>
      </c>
      <c r="AL531" s="1362">
        <f t="shared" si="449"/>
        <v>88666.621753776009</v>
      </c>
      <c r="AM531" s="1362">
        <f t="shared" si="450"/>
        <v>354666.48701510404</v>
      </c>
      <c r="AN531" s="1132" t="str">
        <f t="shared" si="416"/>
        <v>C257</v>
      </c>
      <c r="AO531" s="1132" t="str">
        <f t="shared" si="417"/>
        <v>Nicor Gas PY11-PY14 Adjustable Goals Template_2025-03-01, Tab 5.3.4, 5.6.1, 5.4.2,5.3.7</v>
      </c>
      <c r="AP531" s="2247">
        <f>RNC!$C$5</f>
        <v>372.54883089821851</v>
      </c>
      <c r="AQ531" s="2505"/>
      <c r="AR531" s="2505">
        <f t="shared" si="418"/>
        <v>88666.621753776009</v>
      </c>
      <c r="AS531" s="2505">
        <f t="shared" si="419"/>
        <v>0</v>
      </c>
      <c r="AT531" s="1132" t="str">
        <f t="shared" si="420"/>
        <v>C257</v>
      </c>
      <c r="AU531" s="1132" t="str">
        <f t="shared" si="421"/>
        <v>Nicor Gas PY11-PY14 Adjustable Goals Template_2025-03-01, Tab 5.3.4, 5.6.1, 5.4.2,5.3.7</v>
      </c>
      <c r="AV531" s="2247">
        <f>RNC!$C$5</f>
        <v>372.54883089821851</v>
      </c>
      <c r="AW531" s="2505"/>
      <c r="AX531" s="1362">
        <f t="shared" si="422"/>
        <v>88666.621753776009</v>
      </c>
      <c r="AY531" s="1360">
        <f t="shared" si="423"/>
        <v>0</v>
      </c>
      <c r="AZ531" s="1132" t="str">
        <f t="shared" si="424"/>
        <v>C257</v>
      </c>
      <c r="BA531" s="1132" t="str">
        <f t="shared" si="425"/>
        <v>Nicor Gas PY11-PY14 Adjustable Goals Template_2025-03-01, Tab 5.3.4, 5.6.1, 5.4.2,5.3.7</v>
      </c>
      <c r="BB531" s="2247">
        <f>RNC!$C$5</f>
        <v>372.54883089821851</v>
      </c>
      <c r="BC531" s="2505"/>
      <c r="BD531" s="1362">
        <f t="shared" si="426"/>
        <v>88666.621753776009</v>
      </c>
      <c r="BE531" s="1360">
        <f t="shared" si="427"/>
        <v>0</v>
      </c>
      <c r="BF531" s="1132" t="str">
        <f t="shared" si="428"/>
        <v>C257</v>
      </c>
      <c r="BG531" s="1132" t="str">
        <f t="shared" si="429"/>
        <v>Nicor Gas PY11-PY14 Adjustable Goals Template_2025-03-01, Tab 5.3.4, 5.6.1, 5.4.2,5.3.7</v>
      </c>
      <c r="BH531" s="2247">
        <f>RNC!$C$5</f>
        <v>372.54883089821851</v>
      </c>
      <c r="BI531" s="2505"/>
      <c r="BJ531" s="1362">
        <f t="shared" si="451"/>
        <v>88666.621753776009</v>
      </c>
      <c r="BK531" s="1360">
        <f t="shared" si="430"/>
        <v>0</v>
      </c>
      <c r="BL531" s="1601">
        <f t="shared" si="431"/>
        <v>88666.621753776009</v>
      </c>
      <c r="BM531" s="1601">
        <f t="shared" si="432"/>
        <v>88666.621753776009</v>
      </c>
      <c r="BN531" s="1601">
        <f t="shared" si="433"/>
        <v>88666.621753776009</v>
      </c>
      <c r="BO531" s="1601">
        <f t="shared" si="434"/>
        <v>88666.621753776009</v>
      </c>
      <c r="BP531" s="1602">
        <f t="shared" si="435"/>
        <v>354666.48701510404</v>
      </c>
      <c r="BQ531" s="1629"/>
      <c r="BR531" s="1629" t="s">
        <v>992</v>
      </c>
      <c r="BS531" s="1602">
        <v>0</v>
      </c>
      <c r="BT531" s="1602">
        <v>19.682503779648197</v>
      </c>
      <c r="BU531" s="1602">
        <v>19.682503779648197</v>
      </c>
      <c r="BV531" s="1602">
        <v>19.682503779648197</v>
      </c>
      <c r="BW531" s="1602">
        <v>19.682503779648197</v>
      </c>
      <c r="BX531" s="1362">
        <f t="shared" si="452"/>
        <v>1745181.1177973333</v>
      </c>
      <c r="BY531" s="1362">
        <f t="shared" si="453"/>
        <v>1745181.1177973333</v>
      </c>
      <c r="BZ531" s="1362">
        <f t="shared" si="454"/>
        <v>1745181.1177973333</v>
      </c>
      <c r="CA531" s="1362">
        <f t="shared" si="455"/>
        <v>1745181.1177973333</v>
      </c>
      <c r="CB531" s="1362">
        <f t="shared" si="456"/>
        <v>6980724.4711893331</v>
      </c>
      <c r="CC531" s="1360">
        <v>19.682503779648197</v>
      </c>
      <c r="CD531" s="1360">
        <v>19.682503779648197</v>
      </c>
      <c r="CE531" s="1360">
        <v>19.682503779648197</v>
      </c>
      <c r="CF531" s="1360">
        <v>19.682503779648197</v>
      </c>
      <c r="CG531" s="1604">
        <f t="shared" si="436"/>
        <v>1745181.1177973333</v>
      </c>
      <c r="CH531" s="1604">
        <f t="shared" si="437"/>
        <v>1745181.1177973333</v>
      </c>
      <c r="CI531" s="1604">
        <f t="shared" si="438"/>
        <v>1745181.1177973333</v>
      </c>
      <c r="CJ531" s="1604">
        <f t="shared" si="439"/>
        <v>1745181.1177973333</v>
      </c>
      <c r="CK531" s="1521">
        <f t="shared" si="440"/>
        <v>6980724.4711893331</v>
      </c>
      <c r="CL531" s="1132">
        <v>524</v>
      </c>
      <c r="CM531" s="1132" t="s">
        <v>989</v>
      </c>
      <c r="CN531" s="1359">
        <v>0</v>
      </c>
      <c r="CO531" s="1360">
        <v>297.5</v>
      </c>
      <c r="CP531" s="1360">
        <v>297.5</v>
      </c>
      <c r="CQ531" s="1360">
        <v>297.5</v>
      </c>
      <c r="CR531" s="1360">
        <v>297.5</v>
      </c>
      <c r="CS531" s="1362">
        <f t="shared" si="441"/>
        <v>88666.621753776009</v>
      </c>
      <c r="CT531" s="1362">
        <f t="shared" si="442"/>
        <v>88666.621753776009</v>
      </c>
      <c r="CU531" s="1362">
        <f t="shared" si="443"/>
        <v>88666.621753776009</v>
      </c>
      <c r="CV531" s="1362">
        <f t="shared" si="444"/>
        <v>88666.621753776009</v>
      </c>
      <c r="CW531" s="1362">
        <f t="shared" si="445"/>
        <v>354666.48701510404</v>
      </c>
      <c r="CY531" s="2887"/>
    </row>
    <row r="532" spans="1:103" s="1143" customFormat="1" ht="128.25" customHeight="1" x14ac:dyDescent="0.35">
      <c r="A532" s="1132" t="s">
        <v>115</v>
      </c>
      <c r="B532" s="1132" t="s">
        <v>115</v>
      </c>
      <c r="C532" s="1132" t="s">
        <v>994</v>
      </c>
      <c r="D532" s="1359" t="s">
        <v>995</v>
      </c>
      <c r="E532" s="1359">
        <v>1</v>
      </c>
      <c r="F532" s="1780" t="s">
        <v>995</v>
      </c>
      <c r="G532" s="1132" t="s">
        <v>989</v>
      </c>
      <c r="H532" s="1360">
        <v>170</v>
      </c>
      <c r="I532" s="1360">
        <v>170</v>
      </c>
      <c r="J532" s="1360">
        <v>170</v>
      </c>
      <c r="K532" s="1360">
        <v>170</v>
      </c>
      <c r="L532" s="1132" t="s">
        <v>996</v>
      </c>
      <c r="M532" s="1132" t="str">
        <f t="shared" si="407"/>
        <v>Nicor Gas PY11-PY14 Adjustable Goals Template_2025-03-01, Tab 5.3.16, 5.4.2,5.3.7</v>
      </c>
      <c r="N532" s="1361">
        <v>229.02178015589729</v>
      </c>
      <c r="O532" s="1361">
        <v>229.02178015589729</v>
      </c>
      <c r="P532" s="1361">
        <v>229.02178015589729</v>
      </c>
      <c r="Q532" s="1361">
        <v>229.02178015589729</v>
      </c>
      <c r="R532" s="1781">
        <v>0.83</v>
      </c>
      <c r="S532" s="1781">
        <v>0.83</v>
      </c>
      <c r="T532" s="1781">
        <v>0.83</v>
      </c>
      <c r="U532" s="1781">
        <v>0.83</v>
      </c>
      <c r="V532" s="1781">
        <v>0.83</v>
      </c>
      <c r="W532" s="1781">
        <v>0.83</v>
      </c>
      <c r="X532" s="1781">
        <v>0.83</v>
      </c>
      <c r="Y532" s="1781">
        <v>0.83</v>
      </c>
      <c r="Z532" s="1359">
        <v>0</v>
      </c>
      <c r="AA532" s="1781">
        <f t="shared" si="408"/>
        <v>0.83</v>
      </c>
      <c r="AB532" s="1781">
        <f t="shared" si="409"/>
        <v>0.83</v>
      </c>
      <c r="AC532" s="1781">
        <f t="shared" si="410"/>
        <v>0.83</v>
      </c>
      <c r="AD532" s="1781">
        <f t="shared" si="411"/>
        <v>0.83</v>
      </c>
      <c r="AE532" s="1781">
        <f t="shared" si="412"/>
        <v>0.83</v>
      </c>
      <c r="AF532" s="1781">
        <f t="shared" si="413"/>
        <v>0.83</v>
      </c>
      <c r="AG532" s="1781">
        <f t="shared" si="414"/>
        <v>0.83</v>
      </c>
      <c r="AH532" s="1781">
        <f t="shared" si="415"/>
        <v>0.83</v>
      </c>
      <c r="AI532" s="1362">
        <f t="shared" si="446"/>
        <v>32314.973179997109</v>
      </c>
      <c r="AJ532" s="1362">
        <f t="shared" si="447"/>
        <v>32314.973179997109</v>
      </c>
      <c r="AK532" s="1362">
        <f t="shared" si="448"/>
        <v>32314.973179997109</v>
      </c>
      <c r="AL532" s="1362">
        <f t="shared" si="449"/>
        <v>32314.973179997109</v>
      </c>
      <c r="AM532" s="1362">
        <f t="shared" si="450"/>
        <v>129259.89271998843</v>
      </c>
      <c r="AN532" s="1132" t="str">
        <f t="shared" si="416"/>
        <v>C258</v>
      </c>
      <c r="AO532" s="1132" t="str">
        <f t="shared" si="417"/>
        <v>Nicor Gas PY11-PY14 Adjustable Goals Template_2025-03-01, Tab 5.3.16, 5.4.2,5.3.7</v>
      </c>
      <c r="AP532" s="2505">
        <f>'RNC - Prescriptive Adjustment'!G23</f>
        <v>229.02178015589729</v>
      </c>
      <c r="AQ532" s="2505"/>
      <c r="AR532" s="2505">
        <f t="shared" si="418"/>
        <v>32314.973179997109</v>
      </c>
      <c r="AS532" s="2505">
        <f t="shared" si="419"/>
        <v>0</v>
      </c>
      <c r="AT532" s="1132" t="str">
        <f t="shared" si="420"/>
        <v>C258</v>
      </c>
      <c r="AU532" s="1132" t="str">
        <f t="shared" si="421"/>
        <v>Nicor Gas PY11-PY14 Adjustable Goals Template_2025-03-01, Tab 5.3.16, 5.4.2,5.3.7</v>
      </c>
      <c r="AV532" s="2505">
        <f>'RNC - Prescriptive Adjustment'!G23</f>
        <v>229.02178015589729</v>
      </c>
      <c r="AW532" s="2505"/>
      <c r="AX532" s="1362">
        <f t="shared" si="422"/>
        <v>32314.973179997109</v>
      </c>
      <c r="AY532" s="1360">
        <f t="shared" si="423"/>
        <v>0</v>
      </c>
      <c r="AZ532" s="1132" t="str">
        <f t="shared" si="424"/>
        <v>C258</v>
      </c>
      <c r="BA532" s="1132" t="str">
        <f t="shared" si="425"/>
        <v>Nicor Gas PY11-PY14 Adjustable Goals Template_2025-03-01, Tab 5.3.16, 5.4.2,5.3.7</v>
      </c>
      <c r="BB532" s="2505">
        <f>'RNC - Prescriptive Adjustment'!G23</f>
        <v>229.02178015589729</v>
      </c>
      <c r="BC532" s="2505"/>
      <c r="BD532" s="1362">
        <f t="shared" si="426"/>
        <v>32314.973179997109</v>
      </c>
      <c r="BE532" s="1360">
        <f t="shared" si="427"/>
        <v>0</v>
      </c>
      <c r="BF532" s="1132" t="str">
        <f t="shared" si="428"/>
        <v>C258</v>
      </c>
      <c r="BG532" s="1132" t="str">
        <f t="shared" si="429"/>
        <v>Nicor Gas PY11-PY14 Adjustable Goals Template_2025-03-01, Tab 5.3.16, 5.4.2,5.3.7</v>
      </c>
      <c r="BH532" s="2505">
        <f>'RNC - Prescriptive Adjustment'!G23</f>
        <v>229.02178015589729</v>
      </c>
      <c r="BI532" s="2505"/>
      <c r="BJ532" s="1362">
        <f t="shared" si="451"/>
        <v>32314.973179997109</v>
      </c>
      <c r="BK532" s="1360">
        <f t="shared" si="430"/>
        <v>0</v>
      </c>
      <c r="BL532" s="1601">
        <f t="shared" si="431"/>
        <v>32314.973179997109</v>
      </c>
      <c r="BM532" s="1601">
        <f t="shared" si="432"/>
        <v>32314.973179997109</v>
      </c>
      <c r="BN532" s="1601">
        <f t="shared" si="433"/>
        <v>32314.973179997109</v>
      </c>
      <c r="BO532" s="1601">
        <f t="shared" si="434"/>
        <v>32314.973179997109</v>
      </c>
      <c r="BP532" s="1602">
        <f t="shared" si="435"/>
        <v>129259.89271998843</v>
      </c>
      <c r="BQ532" s="1629"/>
      <c r="BR532" s="1629" t="s">
        <v>995</v>
      </c>
      <c r="BS532" s="1602">
        <v>0</v>
      </c>
      <c r="BT532" s="1602">
        <v>16.63004005257935</v>
      </c>
      <c r="BU532" s="1602">
        <v>16.63004005257935</v>
      </c>
      <c r="BV532" s="1602">
        <v>16.63004005257935</v>
      </c>
      <c r="BW532" s="1602">
        <v>16.63004005257935</v>
      </c>
      <c r="BX532" s="1362">
        <f t="shared" si="452"/>
        <v>537399.29828137939</v>
      </c>
      <c r="BY532" s="1362">
        <f t="shared" si="453"/>
        <v>537399.29828137939</v>
      </c>
      <c r="BZ532" s="1362">
        <f t="shared" si="454"/>
        <v>537399.29828137939</v>
      </c>
      <c r="CA532" s="1362">
        <f t="shared" si="455"/>
        <v>537399.29828137939</v>
      </c>
      <c r="CB532" s="1362">
        <f t="shared" si="456"/>
        <v>2149597.1931255176</v>
      </c>
      <c r="CC532" s="1360">
        <v>16.63004005257935</v>
      </c>
      <c r="CD532" s="1360">
        <v>16.63004005257935</v>
      </c>
      <c r="CE532" s="1360">
        <v>16.63004005257935</v>
      </c>
      <c r="CF532" s="1360">
        <v>16.63004005257935</v>
      </c>
      <c r="CG532" s="1604">
        <f t="shared" si="436"/>
        <v>537399.29828137939</v>
      </c>
      <c r="CH532" s="1604">
        <f t="shared" si="437"/>
        <v>537399.29828137939</v>
      </c>
      <c r="CI532" s="1604">
        <f t="shared" si="438"/>
        <v>537399.29828137939</v>
      </c>
      <c r="CJ532" s="1604">
        <f t="shared" si="439"/>
        <v>537399.29828137939</v>
      </c>
      <c r="CK532" s="1521">
        <f t="shared" si="440"/>
        <v>2149597.1931255176</v>
      </c>
      <c r="CL532" s="1132">
        <v>525</v>
      </c>
      <c r="CM532" s="1132" t="s">
        <v>989</v>
      </c>
      <c r="CN532" s="1359">
        <v>0</v>
      </c>
      <c r="CO532" s="1360">
        <v>170</v>
      </c>
      <c r="CP532" s="1360">
        <v>170</v>
      </c>
      <c r="CQ532" s="1360">
        <v>170</v>
      </c>
      <c r="CR532" s="1360">
        <v>170</v>
      </c>
      <c r="CS532" s="1362">
        <f t="shared" si="441"/>
        <v>32314.973179997109</v>
      </c>
      <c r="CT532" s="1362">
        <f t="shared" si="442"/>
        <v>32314.973179997109</v>
      </c>
      <c r="CU532" s="1362">
        <f t="shared" si="443"/>
        <v>32314.973179997109</v>
      </c>
      <c r="CV532" s="1362">
        <f t="shared" si="444"/>
        <v>32314.973179997109</v>
      </c>
      <c r="CW532" s="1362">
        <f t="shared" si="445"/>
        <v>129259.89271998843</v>
      </c>
      <c r="CY532" s="2887"/>
    </row>
    <row r="533" spans="1:103" s="1143" customFormat="1" ht="171" customHeight="1" x14ac:dyDescent="0.35">
      <c r="A533" s="1132" t="s">
        <v>115</v>
      </c>
      <c r="B533" s="1132" t="s">
        <v>115</v>
      </c>
      <c r="C533" s="1132" t="s">
        <v>997</v>
      </c>
      <c r="D533" s="1359" t="s">
        <v>998</v>
      </c>
      <c r="E533" s="1359">
        <v>1</v>
      </c>
      <c r="F533" s="1780" t="s">
        <v>649</v>
      </c>
      <c r="G533" s="1132" t="s">
        <v>356</v>
      </c>
      <c r="H533" s="1360">
        <v>106.25</v>
      </c>
      <c r="I533" s="1360">
        <v>106.25</v>
      </c>
      <c r="J533" s="1360">
        <v>106.25</v>
      </c>
      <c r="K533" s="1360">
        <v>106.25</v>
      </c>
      <c r="L533" s="1132" t="s">
        <v>650</v>
      </c>
      <c r="M533" s="1132" t="str">
        <f t="shared" si="407"/>
        <v>Nicor Gas PY11-PY14 Adjustable Goals Template_2025-03-01, Tab 5.3.16</v>
      </c>
      <c r="N533" s="1361">
        <v>71.333699999999993</v>
      </c>
      <c r="O533" s="1361">
        <v>71.333699999999993</v>
      </c>
      <c r="P533" s="1361">
        <v>71.333699999999993</v>
      </c>
      <c r="Q533" s="1361">
        <v>71.333699999999993</v>
      </c>
      <c r="R533" s="1781">
        <v>0.9</v>
      </c>
      <c r="S533" s="1781">
        <v>0.9</v>
      </c>
      <c r="T533" s="1781">
        <v>0.9</v>
      </c>
      <c r="U533" s="1781">
        <v>0.9</v>
      </c>
      <c r="V533" s="1781">
        <v>0.9</v>
      </c>
      <c r="W533" s="1781">
        <v>0.9</v>
      </c>
      <c r="X533" s="1781">
        <v>0.9</v>
      </c>
      <c r="Y533" s="1781">
        <v>0.9</v>
      </c>
      <c r="Z533" s="1359">
        <v>0</v>
      </c>
      <c r="AA533" s="1781">
        <f t="shared" si="408"/>
        <v>0.9</v>
      </c>
      <c r="AB533" s="1781">
        <f t="shared" si="409"/>
        <v>0.9</v>
      </c>
      <c r="AC533" s="1781">
        <f t="shared" si="410"/>
        <v>0.9</v>
      </c>
      <c r="AD533" s="1781">
        <f t="shared" si="411"/>
        <v>0.9</v>
      </c>
      <c r="AE533" s="1781">
        <f t="shared" si="412"/>
        <v>0.9</v>
      </c>
      <c r="AF533" s="1781">
        <f t="shared" si="413"/>
        <v>0.9</v>
      </c>
      <c r="AG533" s="1781">
        <f t="shared" si="414"/>
        <v>0.9</v>
      </c>
      <c r="AH533" s="1781">
        <f t="shared" si="415"/>
        <v>0.9</v>
      </c>
      <c r="AI533" s="1362">
        <f t="shared" si="446"/>
        <v>6821.2850625000001</v>
      </c>
      <c r="AJ533" s="1362">
        <f t="shared" si="447"/>
        <v>6821.2850625000001</v>
      </c>
      <c r="AK533" s="1362">
        <f t="shared" si="448"/>
        <v>6821.2850625000001</v>
      </c>
      <c r="AL533" s="1362">
        <f t="shared" si="449"/>
        <v>6821.2850625000001</v>
      </c>
      <c r="AM533" s="1362">
        <f t="shared" si="450"/>
        <v>27285.14025</v>
      </c>
      <c r="AN533" s="1132" t="str">
        <f t="shared" si="416"/>
        <v>RS-HVC-ADTH-V03-190101</v>
      </c>
      <c r="AO533" s="1132" t="str">
        <f t="shared" si="417"/>
        <v>Nicor Gas PY11-PY14 Adjustable Goals Template_2025-03-01, Tab 5.3.16</v>
      </c>
      <c r="AP533" s="2247">
        <f>'5.3.16'!$S$5</f>
        <v>71.333699999999993</v>
      </c>
      <c r="AQ533" s="2505"/>
      <c r="AR533" s="2505">
        <f t="shared" si="418"/>
        <v>6821.2850625000001</v>
      </c>
      <c r="AS533" s="2505">
        <f t="shared" si="419"/>
        <v>0</v>
      </c>
      <c r="AT533" s="1132" t="str">
        <f t="shared" si="420"/>
        <v>RS-HVC-ADTH-V03-190101</v>
      </c>
      <c r="AU533" s="1132" t="str">
        <f t="shared" si="421"/>
        <v>Nicor Gas PY11-PY14 Adjustable Goals Template_2025-03-01, Tab 5.3.16</v>
      </c>
      <c r="AV533" s="2505">
        <f>'5.3.16'!$S$5</f>
        <v>71.333699999999993</v>
      </c>
      <c r="AW533" s="2505"/>
      <c r="AX533" s="1362">
        <f t="shared" si="422"/>
        <v>6821.2850625000001</v>
      </c>
      <c r="AY533" s="1360">
        <f t="shared" si="423"/>
        <v>0</v>
      </c>
      <c r="AZ533" s="1132" t="str">
        <f t="shared" si="424"/>
        <v>RS-HVC-ADTH-V03-190101</v>
      </c>
      <c r="BA533" s="1132" t="str">
        <f t="shared" si="425"/>
        <v>Nicor Gas PY11-PY14 Adjustable Goals Template_2025-03-01, Tab 5.3.16</v>
      </c>
      <c r="BB533" s="2505">
        <f>'5.3.16'!$S$5</f>
        <v>71.333699999999993</v>
      </c>
      <c r="BC533" s="2505"/>
      <c r="BD533" s="1362">
        <f t="shared" si="426"/>
        <v>6821.2850625000001</v>
      </c>
      <c r="BE533" s="1360">
        <f t="shared" si="427"/>
        <v>0</v>
      </c>
      <c r="BF533" s="1132" t="str">
        <f t="shared" si="428"/>
        <v>RS-HVC-ADTH-V03-190101</v>
      </c>
      <c r="BG533" s="1132" t="str">
        <f t="shared" si="429"/>
        <v>Nicor Gas PY11-PY14 Adjustable Goals Template_2025-03-01, Tab 5.3.16</v>
      </c>
      <c r="BH533" s="2505">
        <f>'5.3.16'!$S$5</f>
        <v>71.333699999999993</v>
      </c>
      <c r="BI533" s="2505"/>
      <c r="BJ533" s="1362">
        <f t="shared" si="451"/>
        <v>6821.2850625000001</v>
      </c>
      <c r="BK533" s="1360">
        <f t="shared" si="430"/>
        <v>0</v>
      </c>
      <c r="BL533" s="1601">
        <f t="shared" si="431"/>
        <v>6821.2850625000001</v>
      </c>
      <c r="BM533" s="1601">
        <f t="shared" si="432"/>
        <v>6821.2850625000001</v>
      </c>
      <c r="BN533" s="1601">
        <f t="shared" si="433"/>
        <v>6821.2850625000001</v>
      </c>
      <c r="BO533" s="1601">
        <f t="shared" si="434"/>
        <v>6821.2850625000001</v>
      </c>
      <c r="BP533" s="1602">
        <f t="shared" si="435"/>
        <v>27285.14025</v>
      </c>
      <c r="BQ533" s="1629"/>
      <c r="BR533" s="1629" t="s">
        <v>649</v>
      </c>
      <c r="BS533" s="1602">
        <v>0</v>
      </c>
      <c r="BT533" s="1602">
        <v>11</v>
      </c>
      <c r="BU533" s="1602">
        <v>11</v>
      </c>
      <c r="BV533" s="1602">
        <v>11</v>
      </c>
      <c r="BW533" s="1602">
        <v>11</v>
      </c>
      <c r="BX533" s="1362">
        <f t="shared" si="452"/>
        <v>75034.135687500006</v>
      </c>
      <c r="BY533" s="1362">
        <f t="shared" si="453"/>
        <v>75034.135687500006</v>
      </c>
      <c r="BZ533" s="1362">
        <f t="shared" si="454"/>
        <v>75034.135687500006</v>
      </c>
      <c r="CA533" s="1362">
        <f t="shared" si="455"/>
        <v>75034.135687500006</v>
      </c>
      <c r="CB533" s="1362">
        <f t="shared" si="456"/>
        <v>300136.54275000002</v>
      </c>
      <c r="CC533" s="1360">
        <v>11</v>
      </c>
      <c r="CD533" s="1360">
        <v>11</v>
      </c>
      <c r="CE533" s="1360">
        <v>11</v>
      </c>
      <c r="CF533" s="1360">
        <v>11</v>
      </c>
      <c r="CG533" s="1604">
        <f t="shared" si="436"/>
        <v>75034.135687499991</v>
      </c>
      <c r="CH533" s="1604">
        <f t="shared" si="437"/>
        <v>75034.135687499991</v>
      </c>
      <c r="CI533" s="1604">
        <f t="shared" si="438"/>
        <v>75034.135687499991</v>
      </c>
      <c r="CJ533" s="1604">
        <f t="shared" si="439"/>
        <v>75034.135687499991</v>
      </c>
      <c r="CK533" s="1521">
        <f t="shared" si="440"/>
        <v>300136.54274999996</v>
      </c>
      <c r="CL533" s="1132">
        <v>526</v>
      </c>
      <c r="CM533" s="1132" t="s">
        <v>356</v>
      </c>
      <c r="CN533" s="1359">
        <v>0</v>
      </c>
      <c r="CO533" s="1360">
        <v>106.25</v>
      </c>
      <c r="CP533" s="1360">
        <v>106.25</v>
      </c>
      <c r="CQ533" s="1360">
        <v>106.25</v>
      </c>
      <c r="CR533" s="1360">
        <v>106.25</v>
      </c>
      <c r="CS533" s="1362">
        <f t="shared" si="441"/>
        <v>6821.2850625000001</v>
      </c>
      <c r="CT533" s="1362">
        <f t="shared" si="442"/>
        <v>6821.2850625000001</v>
      </c>
      <c r="CU533" s="1362">
        <f t="shared" si="443"/>
        <v>6821.2850625000001</v>
      </c>
      <c r="CV533" s="1362">
        <f t="shared" si="444"/>
        <v>6821.2850625000001</v>
      </c>
      <c r="CW533" s="1362">
        <f t="shared" si="445"/>
        <v>27285.14025</v>
      </c>
      <c r="CY533" s="2887"/>
    </row>
    <row r="534" spans="1:103" s="1143" customFormat="1" ht="15.5" x14ac:dyDescent="0.35">
      <c r="A534" s="1132" t="s">
        <v>115</v>
      </c>
      <c r="B534" s="1132" t="s">
        <v>115</v>
      </c>
      <c r="C534" s="1132" t="s">
        <v>999</v>
      </c>
      <c r="D534" s="1359" t="s">
        <v>105</v>
      </c>
      <c r="E534" s="1359">
        <f>IF(AI534-AR534=0,0,1)</f>
        <v>0</v>
      </c>
      <c r="F534" s="1132" t="s">
        <v>105</v>
      </c>
      <c r="G534" s="1132" t="s">
        <v>328</v>
      </c>
      <c r="H534" s="1360">
        <v>935</v>
      </c>
      <c r="I534" s="1360">
        <v>935</v>
      </c>
      <c r="J534" s="1360">
        <v>935</v>
      </c>
      <c r="K534" s="1360">
        <v>935</v>
      </c>
      <c r="L534" s="1132" t="s">
        <v>105</v>
      </c>
      <c r="M534" s="1132" t="str">
        <f t="shared" si="407"/>
        <v/>
      </c>
      <c r="N534" s="1361">
        <v>0</v>
      </c>
      <c r="O534" s="1361">
        <v>0</v>
      </c>
      <c r="P534" s="1361">
        <v>0</v>
      </c>
      <c r="Q534" s="1361">
        <v>0</v>
      </c>
      <c r="R534" s="1781">
        <v>0.8</v>
      </c>
      <c r="S534" s="1781">
        <v>0.8</v>
      </c>
      <c r="T534" s="1781">
        <v>0.8</v>
      </c>
      <c r="U534" s="1781">
        <v>0.8</v>
      </c>
      <c r="V534" s="1781">
        <v>0.8</v>
      </c>
      <c r="W534" s="1781">
        <v>0.8</v>
      </c>
      <c r="X534" s="1781">
        <v>0.8</v>
      </c>
      <c r="Y534" s="1781">
        <v>0.8</v>
      </c>
      <c r="Z534" s="1359">
        <v>0</v>
      </c>
      <c r="AA534" s="1781">
        <f t="shared" si="408"/>
        <v>0.8</v>
      </c>
      <c r="AB534" s="1781">
        <f t="shared" si="409"/>
        <v>0.8</v>
      </c>
      <c r="AC534" s="1781">
        <f t="shared" si="410"/>
        <v>0.8</v>
      </c>
      <c r="AD534" s="1781">
        <f t="shared" si="411"/>
        <v>0.8</v>
      </c>
      <c r="AE534" s="1781">
        <f t="shared" si="412"/>
        <v>0.8</v>
      </c>
      <c r="AF534" s="1781">
        <f t="shared" si="413"/>
        <v>0.8</v>
      </c>
      <c r="AG534" s="1781">
        <f t="shared" si="414"/>
        <v>0.8</v>
      </c>
      <c r="AH534" s="1781">
        <f t="shared" si="415"/>
        <v>0.8</v>
      </c>
      <c r="AI534" s="1362">
        <f t="shared" si="446"/>
        <v>0</v>
      </c>
      <c r="AJ534" s="1362">
        <f t="shared" si="447"/>
        <v>0</v>
      </c>
      <c r="AK534" s="1362">
        <f t="shared" si="448"/>
        <v>0</v>
      </c>
      <c r="AL534" s="1362">
        <f t="shared" si="449"/>
        <v>0</v>
      </c>
      <c r="AM534" s="1362">
        <f t="shared" si="450"/>
        <v>0</v>
      </c>
      <c r="AN534" s="1132" t="str">
        <f t="shared" si="416"/>
        <v>Custom</v>
      </c>
      <c r="AO534" s="1132" t="str">
        <f t="shared" si="417"/>
        <v/>
      </c>
      <c r="AP534" s="2505">
        <v>0</v>
      </c>
      <c r="AQ534" s="2505"/>
      <c r="AR534" s="2505">
        <f t="shared" si="418"/>
        <v>0</v>
      </c>
      <c r="AS534" s="2505">
        <f t="shared" si="419"/>
        <v>0</v>
      </c>
      <c r="AT534" s="1132" t="str">
        <f t="shared" si="420"/>
        <v>Custom</v>
      </c>
      <c r="AU534" s="1132" t="str">
        <f t="shared" si="421"/>
        <v/>
      </c>
      <c r="AV534" s="2505">
        <v>0</v>
      </c>
      <c r="AW534" s="2505"/>
      <c r="AX534" s="1362">
        <f t="shared" si="422"/>
        <v>0</v>
      </c>
      <c r="AY534" s="1360">
        <f t="shared" si="423"/>
        <v>0</v>
      </c>
      <c r="AZ534" s="1132" t="str">
        <f t="shared" si="424"/>
        <v>Custom</v>
      </c>
      <c r="BA534" s="1132" t="str">
        <f t="shared" si="425"/>
        <v/>
      </c>
      <c r="BB534" s="2505">
        <v>0</v>
      </c>
      <c r="BC534" s="2505"/>
      <c r="BD534" s="1362">
        <f t="shared" si="426"/>
        <v>0</v>
      </c>
      <c r="BE534" s="1360">
        <f t="shared" si="427"/>
        <v>0</v>
      </c>
      <c r="BF534" s="1132" t="str">
        <f t="shared" si="428"/>
        <v>Custom</v>
      </c>
      <c r="BG534" s="1132" t="str">
        <f t="shared" si="429"/>
        <v/>
      </c>
      <c r="BH534" s="2505">
        <v>0</v>
      </c>
      <c r="BI534" s="2505"/>
      <c r="BJ534" s="1362">
        <f t="shared" si="451"/>
        <v>0</v>
      </c>
      <c r="BK534" s="1360">
        <f t="shared" si="430"/>
        <v>0</v>
      </c>
      <c r="BL534" s="1601">
        <f t="shared" si="431"/>
        <v>0</v>
      </c>
      <c r="BM534" s="1601">
        <f t="shared" si="432"/>
        <v>0</v>
      </c>
      <c r="BN534" s="1601">
        <f t="shared" si="433"/>
        <v>0</v>
      </c>
      <c r="BO534" s="1601">
        <f t="shared" si="434"/>
        <v>0</v>
      </c>
      <c r="BP534" s="1602">
        <f t="shared" si="435"/>
        <v>0</v>
      </c>
      <c r="BQ534" s="1629"/>
      <c r="BR534" s="1629"/>
      <c r="BS534" s="1602">
        <v>0</v>
      </c>
      <c r="BT534" s="1602">
        <v>0</v>
      </c>
      <c r="BU534" s="1602">
        <v>0</v>
      </c>
      <c r="BV534" s="1602">
        <v>0</v>
      </c>
      <c r="BW534" s="1602">
        <v>0</v>
      </c>
      <c r="BX534" s="1362">
        <f t="shared" si="452"/>
        <v>0</v>
      </c>
      <c r="BY534" s="1362">
        <f t="shared" si="453"/>
        <v>0</v>
      </c>
      <c r="BZ534" s="1362">
        <f t="shared" si="454"/>
        <v>0</v>
      </c>
      <c r="CA534" s="1362">
        <f t="shared" si="455"/>
        <v>0</v>
      </c>
      <c r="CB534" s="1362">
        <f t="shared" si="456"/>
        <v>0</v>
      </c>
      <c r="CC534" s="1360">
        <v>0</v>
      </c>
      <c r="CD534" s="1360">
        <v>0</v>
      </c>
      <c r="CE534" s="1360">
        <v>0</v>
      </c>
      <c r="CF534" s="1360">
        <v>0</v>
      </c>
      <c r="CG534" s="1604">
        <f t="shared" si="436"/>
        <v>0</v>
      </c>
      <c r="CH534" s="1604">
        <f t="shared" si="437"/>
        <v>0</v>
      </c>
      <c r="CI534" s="1604">
        <f t="shared" si="438"/>
        <v>0</v>
      </c>
      <c r="CJ534" s="1604">
        <f t="shared" si="439"/>
        <v>0</v>
      </c>
      <c r="CK534" s="1521">
        <f t="shared" si="440"/>
        <v>0</v>
      </c>
      <c r="CL534" s="1132">
        <v>527</v>
      </c>
      <c r="CM534" s="1132" t="s">
        <v>328</v>
      </c>
      <c r="CN534" s="1359">
        <v>0</v>
      </c>
      <c r="CO534" s="1360">
        <v>935</v>
      </c>
      <c r="CP534" s="1360">
        <v>935</v>
      </c>
      <c r="CQ534" s="1360">
        <v>935</v>
      </c>
      <c r="CR534" s="1360">
        <v>935</v>
      </c>
      <c r="CS534" s="1362">
        <f t="shared" si="441"/>
        <v>0</v>
      </c>
      <c r="CT534" s="1362">
        <f t="shared" si="442"/>
        <v>0</v>
      </c>
      <c r="CU534" s="1362">
        <f t="shared" si="443"/>
        <v>0</v>
      </c>
      <c r="CV534" s="1362">
        <f t="shared" si="444"/>
        <v>0</v>
      </c>
      <c r="CW534" s="1362">
        <f t="shared" si="445"/>
        <v>0</v>
      </c>
      <c r="CY534" s="2887"/>
    </row>
    <row r="535" spans="1:103" s="1143" customFormat="1" ht="15.5" x14ac:dyDescent="0.35">
      <c r="A535" s="1132" t="s">
        <v>115</v>
      </c>
      <c r="B535" s="1132" t="s">
        <v>115</v>
      </c>
      <c r="C535" s="1132" t="s">
        <v>685</v>
      </c>
      <c r="D535" s="1359" t="s">
        <v>105</v>
      </c>
      <c r="E535" s="1359">
        <f>IF(AI535-AR535=0,0,1)</f>
        <v>0</v>
      </c>
      <c r="F535" s="1132" t="s">
        <v>105</v>
      </c>
      <c r="G535" s="1132" t="s">
        <v>356</v>
      </c>
      <c r="H535" s="1360">
        <v>350</v>
      </c>
      <c r="I535" s="1360">
        <v>350</v>
      </c>
      <c r="J535" s="1360">
        <v>350</v>
      </c>
      <c r="K535" s="1360">
        <v>350</v>
      </c>
      <c r="L535" s="1132" t="s">
        <v>105</v>
      </c>
      <c r="M535" s="1132" t="str">
        <f t="shared" si="407"/>
        <v/>
      </c>
      <c r="N535" s="1361">
        <v>1.7712549049185877</v>
      </c>
      <c r="O535" s="1361">
        <v>1.7712549049185877</v>
      </c>
      <c r="P535" s="1361">
        <v>1.7712549049185877</v>
      </c>
      <c r="Q535" s="1361">
        <v>1.7712549049185877</v>
      </c>
      <c r="R535" s="1781">
        <v>0.8</v>
      </c>
      <c r="S535" s="1781">
        <v>0.8</v>
      </c>
      <c r="T535" s="1781">
        <v>0.8</v>
      </c>
      <c r="U535" s="1781">
        <v>0.8</v>
      </c>
      <c r="V535" s="1781">
        <v>0.8</v>
      </c>
      <c r="W535" s="1781">
        <v>0.8</v>
      </c>
      <c r="X535" s="1781">
        <v>0.8</v>
      </c>
      <c r="Y535" s="1781">
        <v>0.8</v>
      </c>
      <c r="Z535" s="1359">
        <v>0</v>
      </c>
      <c r="AA535" s="1781">
        <f t="shared" si="408"/>
        <v>0.8</v>
      </c>
      <c r="AB535" s="1781">
        <f t="shared" si="409"/>
        <v>0.8</v>
      </c>
      <c r="AC535" s="1781">
        <f t="shared" si="410"/>
        <v>0.8</v>
      </c>
      <c r="AD535" s="1781">
        <f t="shared" si="411"/>
        <v>0.8</v>
      </c>
      <c r="AE535" s="1781">
        <f t="shared" si="412"/>
        <v>0.8</v>
      </c>
      <c r="AF535" s="1781">
        <f t="shared" si="413"/>
        <v>0.8</v>
      </c>
      <c r="AG535" s="1781">
        <f t="shared" si="414"/>
        <v>0.8</v>
      </c>
      <c r="AH535" s="1781">
        <f t="shared" si="415"/>
        <v>0.8</v>
      </c>
      <c r="AI535" s="1362">
        <f t="shared" si="446"/>
        <v>495.95137337720456</v>
      </c>
      <c r="AJ535" s="1362">
        <f t="shared" si="447"/>
        <v>495.95137337720456</v>
      </c>
      <c r="AK535" s="1362">
        <f t="shared" si="448"/>
        <v>495.95137337720456</v>
      </c>
      <c r="AL535" s="1362">
        <f t="shared" si="449"/>
        <v>495.95137337720456</v>
      </c>
      <c r="AM535" s="1362">
        <f t="shared" si="450"/>
        <v>1983.8054935088182</v>
      </c>
      <c r="AN535" s="1132" t="str">
        <f t="shared" si="416"/>
        <v>Custom</v>
      </c>
      <c r="AO535" s="1132" t="str">
        <f t="shared" si="417"/>
        <v/>
      </c>
      <c r="AP535" s="2505">
        <v>1.7712549049185877</v>
      </c>
      <c r="AQ535" s="2505"/>
      <c r="AR535" s="2505">
        <f t="shared" si="418"/>
        <v>495.95137337720456</v>
      </c>
      <c r="AS535" s="2505">
        <f t="shared" si="419"/>
        <v>0</v>
      </c>
      <c r="AT535" s="1132" t="str">
        <f t="shared" si="420"/>
        <v>Custom</v>
      </c>
      <c r="AU535" s="1132" t="str">
        <f t="shared" si="421"/>
        <v/>
      </c>
      <c r="AV535" s="2505">
        <v>1.7712549049185877</v>
      </c>
      <c r="AW535" s="2505"/>
      <c r="AX535" s="1362">
        <f t="shared" si="422"/>
        <v>495.95137337720456</v>
      </c>
      <c r="AY535" s="1360">
        <f t="shared" si="423"/>
        <v>0</v>
      </c>
      <c r="AZ535" s="1132" t="str">
        <f t="shared" si="424"/>
        <v>Custom</v>
      </c>
      <c r="BA535" s="1132" t="str">
        <f t="shared" si="425"/>
        <v/>
      </c>
      <c r="BB535" s="2505">
        <v>1.7712549049185877</v>
      </c>
      <c r="BC535" s="2505"/>
      <c r="BD535" s="1362">
        <f t="shared" si="426"/>
        <v>495.95137337720456</v>
      </c>
      <c r="BE535" s="1360">
        <f t="shared" si="427"/>
        <v>0</v>
      </c>
      <c r="BF535" s="1132" t="str">
        <f t="shared" si="428"/>
        <v>Custom</v>
      </c>
      <c r="BG535" s="1132" t="str">
        <f t="shared" si="429"/>
        <v/>
      </c>
      <c r="BH535" s="2505">
        <v>1.7712549049185877</v>
      </c>
      <c r="BI535" s="2505"/>
      <c r="BJ535" s="1362">
        <f t="shared" si="451"/>
        <v>495.95137337720456</v>
      </c>
      <c r="BK535" s="1360">
        <f t="shared" si="430"/>
        <v>0</v>
      </c>
      <c r="BL535" s="1601">
        <f t="shared" si="431"/>
        <v>495.95137337720456</v>
      </c>
      <c r="BM535" s="1601">
        <f t="shared" si="432"/>
        <v>495.95137337720456</v>
      </c>
      <c r="BN535" s="1601">
        <f t="shared" si="433"/>
        <v>495.95137337720456</v>
      </c>
      <c r="BO535" s="1601">
        <f t="shared" si="434"/>
        <v>495.95137337720456</v>
      </c>
      <c r="BP535" s="1602">
        <f t="shared" si="435"/>
        <v>1983.8054935088182</v>
      </c>
      <c r="BQ535" s="1629"/>
      <c r="BR535" s="1629"/>
      <c r="BS535" s="1602">
        <v>0</v>
      </c>
      <c r="BT535" s="1602">
        <v>30</v>
      </c>
      <c r="BU535" s="1602">
        <v>30</v>
      </c>
      <c r="BV535" s="1602">
        <v>30</v>
      </c>
      <c r="BW535" s="1602">
        <v>30</v>
      </c>
      <c r="BX535" s="1362">
        <f t="shared" si="452"/>
        <v>14878.541201316137</v>
      </c>
      <c r="BY535" s="1362">
        <f t="shared" si="453"/>
        <v>14878.541201316137</v>
      </c>
      <c r="BZ535" s="1362">
        <f t="shared" si="454"/>
        <v>14878.541201316137</v>
      </c>
      <c r="CA535" s="1362">
        <f t="shared" si="455"/>
        <v>14878.541201316137</v>
      </c>
      <c r="CB535" s="1362">
        <f t="shared" si="456"/>
        <v>59514.164805264547</v>
      </c>
      <c r="CC535" s="1360">
        <v>30</v>
      </c>
      <c r="CD535" s="1360">
        <v>30</v>
      </c>
      <c r="CE535" s="1360">
        <v>30</v>
      </c>
      <c r="CF535" s="1360">
        <v>30</v>
      </c>
      <c r="CG535" s="1604">
        <f t="shared" si="436"/>
        <v>14878.541201316137</v>
      </c>
      <c r="CH535" s="1604">
        <f t="shared" si="437"/>
        <v>14878.541201316137</v>
      </c>
      <c r="CI535" s="1604">
        <f t="shared" si="438"/>
        <v>14878.541201316137</v>
      </c>
      <c r="CJ535" s="1604">
        <f t="shared" si="439"/>
        <v>14878.541201316137</v>
      </c>
      <c r="CK535" s="1521">
        <f t="shared" si="440"/>
        <v>59514.164805264547</v>
      </c>
      <c r="CL535" s="1132">
        <v>528</v>
      </c>
      <c r="CM535" s="1132" t="s">
        <v>356</v>
      </c>
      <c r="CN535" s="1359">
        <v>0</v>
      </c>
      <c r="CO535" s="1360">
        <v>350</v>
      </c>
      <c r="CP535" s="1360">
        <v>350</v>
      </c>
      <c r="CQ535" s="1360">
        <v>350</v>
      </c>
      <c r="CR535" s="1360">
        <v>350</v>
      </c>
      <c r="CS535" s="1362">
        <f t="shared" si="441"/>
        <v>495.95137337720456</v>
      </c>
      <c r="CT535" s="1362">
        <f t="shared" si="442"/>
        <v>495.95137337720456</v>
      </c>
      <c r="CU535" s="1362">
        <f t="shared" si="443"/>
        <v>495.95137337720456</v>
      </c>
      <c r="CV535" s="1362">
        <f t="shared" si="444"/>
        <v>495.95137337720456</v>
      </c>
      <c r="CW535" s="1362">
        <f t="shared" si="445"/>
        <v>1983.8054935088182</v>
      </c>
      <c r="CY535" s="2887"/>
    </row>
    <row r="536" spans="1:103" s="1143" customFormat="1" ht="45.75" customHeight="1" x14ac:dyDescent="0.35">
      <c r="A536" s="1132" t="s">
        <v>116</v>
      </c>
      <c r="B536" s="1132" t="s">
        <v>1000</v>
      </c>
      <c r="C536" s="1132" t="s">
        <v>1001</v>
      </c>
      <c r="D536" s="1359" t="s">
        <v>105</v>
      </c>
      <c r="E536" s="1359">
        <v>0</v>
      </c>
      <c r="F536" s="1132" t="s">
        <v>105</v>
      </c>
      <c r="G536" s="1132" t="s">
        <v>356</v>
      </c>
      <c r="H536" s="1360">
        <v>32.596874999999997</v>
      </c>
      <c r="I536" s="1360">
        <v>32.596874999999997</v>
      </c>
      <c r="J536" s="1360">
        <v>32.596874999999997</v>
      </c>
      <c r="K536" s="1360">
        <v>32.596874999999997</v>
      </c>
      <c r="L536" s="1132" t="s">
        <v>105</v>
      </c>
      <c r="M536" s="1132" t="str">
        <f t="shared" si="407"/>
        <v/>
      </c>
      <c r="N536" s="1361">
        <v>0</v>
      </c>
      <c r="O536" s="1361">
        <v>0</v>
      </c>
      <c r="P536" s="1361">
        <v>0</v>
      </c>
      <c r="Q536" s="1361">
        <v>0</v>
      </c>
      <c r="R536" s="1781">
        <v>0.83</v>
      </c>
      <c r="S536" s="1781">
        <v>0.83</v>
      </c>
      <c r="T536" s="1781">
        <v>0.83</v>
      </c>
      <c r="U536" s="1781">
        <v>0.83</v>
      </c>
      <c r="V536" s="2567">
        <v>0.96</v>
      </c>
      <c r="W536" s="2567">
        <v>0.96</v>
      </c>
      <c r="X536" s="2567">
        <v>0.96</v>
      </c>
      <c r="Y536" s="2567">
        <v>0.96</v>
      </c>
      <c r="Z536" s="1359">
        <v>0</v>
      </c>
      <c r="AA536" s="2567">
        <f t="shared" si="408"/>
        <v>0.96</v>
      </c>
      <c r="AB536" s="2567">
        <f t="shared" si="409"/>
        <v>0.96</v>
      </c>
      <c r="AC536" s="2567">
        <f t="shared" si="410"/>
        <v>0.96</v>
      </c>
      <c r="AD536" s="2567">
        <f t="shared" si="411"/>
        <v>0.96</v>
      </c>
      <c r="AE536" s="2567">
        <f t="shared" si="412"/>
        <v>0.96</v>
      </c>
      <c r="AF536" s="2567">
        <f t="shared" si="413"/>
        <v>0.96</v>
      </c>
      <c r="AG536" s="2567">
        <f t="shared" si="414"/>
        <v>0.96</v>
      </c>
      <c r="AH536" s="2567">
        <f t="shared" si="415"/>
        <v>0.96</v>
      </c>
      <c r="AI536" s="1362">
        <f t="shared" si="446"/>
        <v>0</v>
      </c>
      <c r="AJ536" s="1362">
        <f t="shared" si="447"/>
        <v>0</v>
      </c>
      <c r="AK536" s="1362">
        <f t="shared" si="448"/>
        <v>0</v>
      </c>
      <c r="AL536" s="1362">
        <f t="shared" si="449"/>
        <v>0</v>
      </c>
      <c r="AM536" s="1362">
        <f t="shared" si="450"/>
        <v>0</v>
      </c>
      <c r="AN536" s="1132" t="str">
        <f t="shared" si="416"/>
        <v>Custom</v>
      </c>
      <c r="AO536" s="1132" t="str">
        <f t="shared" si="417"/>
        <v/>
      </c>
      <c r="AP536" s="2505">
        <v>0</v>
      </c>
      <c r="AQ536" s="2568" t="s">
        <v>1002</v>
      </c>
      <c r="AR536" s="2505">
        <f t="shared" si="418"/>
        <v>0</v>
      </c>
      <c r="AS536" s="2505">
        <f t="shared" si="419"/>
        <v>0</v>
      </c>
      <c r="AT536" s="1132" t="str">
        <f t="shared" si="420"/>
        <v>Custom</v>
      </c>
      <c r="AU536" s="1132" t="str">
        <f t="shared" si="421"/>
        <v/>
      </c>
      <c r="AV536" s="2505">
        <v>0</v>
      </c>
      <c r="AW536" s="2568" t="s">
        <v>1002</v>
      </c>
      <c r="AX536" s="1362">
        <f t="shared" si="422"/>
        <v>0</v>
      </c>
      <c r="AY536" s="1360">
        <f t="shared" si="423"/>
        <v>0</v>
      </c>
      <c r="AZ536" s="1132" t="str">
        <f t="shared" si="424"/>
        <v>Custom</v>
      </c>
      <c r="BA536" s="1132" t="str">
        <f t="shared" si="425"/>
        <v/>
      </c>
      <c r="BB536" s="2505">
        <v>0</v>
      </c>
      <c r="BC536" s="2568" t="s">
        <v>1002</v>
      </c>
      <c r="BD536" s="1362">
        <f t="shared" si="426"/>
        <v>0</v>
      </c>
      <c r="BE536" s="1360">
        <f t="shared" si="427"/>
        <v>0</v>
      </c>
      <c r="BF536" s="1132" t="str">
        <f t="shared" si="428"/>
        <v>Custom</v>
      </c>
      <c r="BG536" s="1132" t="str">
        <f t="shared" si="429"/>
        <v/>
      </c>
      <c r="BH536" s="2505">
        <v>0</v>
      </c>
      <c r="BI536" s="2568" t="s">
        <v>1002</v>
      </c>
      <c r="BJ536" s="1362">
        <f t="shared" si="451"/>
        <v>0</v>
      </c>
      <c r="BK536" s="1360">
        <f t="shared" si="430"/>
        <v>0</v>
      </c>
      <c r="BL536" s="1601">
        <f t="shared" si="431"/>
        <v>0</v>
      </c>
      <c r="BM536" s="1601">
        <f t="shared" si="432"/>
        <v>0</v>
      </c>
      <c r="BN536" s="1601">
        <f t="shared" si="433"/>
        <v>0</v>
      </c>
      <c r="BO536" s="1601">
        <f t="shared" si="434"/>
        <v>0</v>
      </c>
      <c r="BP536" s="1602">
        <f t="shared" si="435"/>
        <v>0</v>
      </c>
      <c r="BQ536" s="1629"/>
      <c r="BR536" s="1629"/>
      <c r="BS536" s="1602">
        <v>0</v>
      </c>
      <c r="BT536" s="1602">
        <v>1</v>
      </c>
      <c r="BU536" s="1602">
        <v>1</v>
      </c>
      <c r="BV536" s="1602">
        <v>1</v>
      </c>
      <c r="BW536" s="1602">
        <v>1</v>
      </c>
      <c r="BX536" s="1362">
        <f t="shared" si="452"/>
        <v>0</v>
      </c>
      <c r="BY536" s="1362">
        <f t="shared" si="453"/>
        <v>0</v>
      </c>
      <c r="BZ536" s="1362">
        <f t="shared" si="454"/>
        <v>0</v>
      </c>
      <c r="CA536" s="1362">
        <f t="shared" si="455"/>
        <v>0</v>
      </c>
      <c r="CB536" s="1362">
        <f t="shared" si="456"/>
        <v>0</v>
      </c>
      <c r="CC536" s="1360">
        <v>1</v>
      </c>
      <c r="CD536" s="1360">
        <v>1</v>
      </c>
      <c r="CE536" s="1360">
        <v>1</v>
      </c>
      <c r="CF536" s="1360">
        <v>1</v>
      </c>
      <c r="CG536" s="1604">
        <f t="shared" si="436"/>
        <v>0</v>
      </c>
      <c r="CH536" s="1604">
        <f t="shared" si="437"/>
        <v>0</v>
      </c>
      <c r="CI536" s="1604">
        <f t="shared" si="438"/>
        <v>0</v>
      </c>
      <c r="CJ536" s="1604">
        <f t="shared" si="439"/>
        <v>0</v>
      </c>
      <c r="CK536" s="1521">
        <f t="shared" si="440"/>
        <v>0</v>
      </c>
      <c r="CL536" s="1132">
        <v>529</v>
      </c>
      <c r="CM536" s="1132" t="s">
        <v>356</v>
      </c>
      <c r="CN536" s="1359">
        <v>0</v>
      </c>
      <c r="CO536" s="1360">
        <v>32.596874999999997</v>
      </c>
      <c r="CP536" s="1360">
        <v>32.596874999999997</v>
      </c>
      <c r="CQ536" s="1360">
        <v>32.596874999999997</v>
      </c>
      <c r="CR536" s="1360">
        <v>32.596874999999997</v>
      </c>
      <c r="CS536" s="1362">
        <f t="shared" si="441"/>
        <v>0</v>
      </c>
      <c r="CT536" s="1362">
        <f t="shared" si="442"/>
        <v>0</v>
      </c>
      <c r="CU536" s="1362">
        <f t="shared" si="443"/>
        <v>0</v>
      </c>
      <c r="CV536" s="1362">
        <f t="shared" si="444"/>
        <v>0</v>
      </c>
      <c r="CW536" s="1362">
        <f t="shared" si="445"/>
        <v>0</v>
      </c>
      <c r="CY536" s="2887"/>
    </row>
    <row r="537" spans="1:103" s="1143" customFormat="1" ht="46.5" x14ac:dyDescent="0.35">
      <c r="A537" s="1132" t="s">
        <v>116</v>
      </c>
      <c r="B537" s="1132" t="s">
        <v>1000</v>
      </c>
      <c r="C537" s="1132" t="s">
        <v>426</v>
      </c>
      <c r="D537" s="1359" t="s">
        <v>427</v>
      </c>
      <c r="E537" s="1359">
        <v>1</v>
      </c>
      <c r="F537" s="1780" t="s">
        <v>428</v>
      </c>
      <c r="G537" s="1132" t="s">
        <v>328</v>
      </c>
      <c r="H537" s="1360">
        <v>1.7384999999999999</v>
      </c>
      <c r="I537" s="1360">
        <v>1.7384999999999999</v>
      </c>
      <c r="J537" s="1360">
        <v>1.7384999999999999</v>
      </c>
      <c r="K537" s="1360">
        <v>1.7384999999999999</v>
      </c>
      <c r="L537" s="1132" t="s">
        <v>429</v>
      </c>
      <c r="M537" s="1132" t="str">
        <f t="shared" si="407"/>
        <v>Nicor Gas PY11-PY14 Adjustable Goals Template_2025-03-01, Tab 4.4.4</v>
      </c>
      <c r="N537" s="1361">
        <v>400.87199999999996</v>
      </c>
      <c r="O537" s="1361">
        <v>400.87199999999996</v>
      </c>
      <c r="P537" s="1361">
        <v>400.87199999999996</v>
      </c>
      <c r="Q537" s="1361">
        <v>400.87199999999996</v>
      </c>
      <c r="R537" s="1781">
        <v>0.83</v>
      </c>
      <c r="S537" s="1781">
        <v>0.83</v>
      </c>
      <c r="T537" s="1781">
        <v>0.83</v>
      </c>
      <c r="U537" s="1781">
        <v>0.83</v>
      </c>
      <c r="V537" s="2567">
        <v>0.96</v>
      </c>
      <c r="W537" s="2567">
        <v>0.96</v>
      </c>
      <c r="X537" s="2567">
        <v>0.96</v>
      </c>
      <c r="Y537" s="2567">
        <v>0.96</v>
      </c>
      <c r="Z537" s="1359">
        <v>0</v>
      </c>
      <c r="AA537" s="2567">
        <f t="shared" si="408"/>
        <v>0.96</v>
      </c>
      <c r="AB537" s="2567">
        <f t="shared" si="409"/>
        <v>0.96</v>
      </c>
      <c r="AC537" s="2567">
        <f t="shared" si="410"/>
        <v>0.96</v>
      </c>
      <c r="AD537" s="2567">
        <f t="shared" si="411"/>
        <v>0.96</v>
      </c>
      <c r="AE537" s="2567">
        <f t="shared" si="412"/>
        <v>0.96</v>
      </c>
      <c r="AF537" s="2567">
        <f t="shared" si="413"/>
        <v>0.96</v>
      </c>
      <c r="AG537" s="2567">
        <f t="shared" si="414"/>
        <v>0.96</v>
      </c>
      <c r="AH537" s="2567">
        <f t="shared" si="415"/>
        <v>0.96</v>
      </c>
      <c r="AI537" s="1362">
        <f t="shared" si="446"/>
        <v>578.4402567599999</v>
      </c>
      <c r="AJ537" s="1362">
        <f t="shared" si="447"/>
        <v>578.4402567599999</v>
      </c>
      <c r="AK537" s="1362">
        <f t="shared" si="448"/>
        <v>578.4402567599999</v>
      </c>
      <c r="AL537" s="1362">
        <f t="shared" si="449"/>
        <v>578.4402567599999</v>
      </c>
      <c r="AM537" s="1362">
        <f t="shared" si="450"/>
        <v>2313.7610270399996</v>
      </c>
      <c r="AN537" s="1132" t="str">
        <f t="shared" si="416"/>
        <v>CI-HVC-BLRC-V03-150601</v>
      </c>
      <c r="AO537" s="1132" t="str">
        <f t="shared" si="417"/>
        <v>Nicor Gas PY11-PY14 Adjustable Goals Template_2025-03-01, Tab 4.4.4</v>
      </c>
      <c r="AP537" s="2505">
        <f>'4.4.4'!$N$4</f>
        <v>400.87199999999996</v>
      </c>
      <c r="AQ537" s="2568" t="s">
        <v>1002</v>
      </c>
      <c r="AR537" s="2505">
        <f t="shared" si="418"/>
        <v>669.03933311999992</v>
      </c>
      <c r="AS537" s="2505">
        <f t="shared" si="419"/>
        <v>90.599076360000026</v>
      </c>
      <c r="AT537" s="1132" t="str">
        <f t="shared" si="420"/>
        <v>CI-HVC-BLRC-V03-150601</v>
      </c>
      <c r="AU537" s="1132" t="str">
        <f t="shared" si="421"/>
        <v>Nicor Gas PY11-PY14 Adjustable Goals Template_2025-03-01, Tab 4.4.4</v>
      </c>
      <c r="AV537" s="2505">
        <f>'4.4.4'!$N$4</f>
        <v>400.87199999999996</v>
      </c>
      <c r="AW537" s="2568" t="s">
        <v>1002</v>
      </c>
      <c r="AX537" s="1362">
        <f t="shared" si="422"/>
        <v>669.03933311999992</v>
      </c>
      <c r="AY537" s="1360">
        <f t="shared" si="423"/>
        <v>90.599076360000026</v>
      </c>
      <c r="AZ537" s="1132" t="str">
        <f t="shared" si="424"/>
        <v>CI-HVC-BLRC-V03-150601</v>
      </c>
      <c r="BA537" s="1132" t="str">
        <f t="shared" si="425"/>
        <v>Nicor Gas PY11-PY14 Adjustable Goals Template_2025-03-01, Tab 4.4.4</v>
      </c>
      <c r="BB537" s="2505">
        <f>'4.4.4'!$N$4</f>
        <v>400.87199999999996</v>
      </c>
      <c r="BC537" s="2568" t="s">
        <v>1002</v>
      </c>
      <c r="BD537" s="1362">
        <f t="shared" si="426"/>
        <v>669.03933311999992</v>
      </c>
      <c r="BE537" s="1360">
        <f t="shared" si="427"/>
        <v>90.599076360000026</v>
      </c>
      <c r="BF537" s="1132" t="str">
        <f t="shared" si="428"/>
        <v>CI-HVC-BLRC-V03-150601</v>
      </c>
      <c r="BG537" s="1132" t="str">
        <f t="shared" si="429"/>
        <v>Nicor Gas PY11-PY14 Adjustable Goals Template_2025-03-01, Tab 4.4.4</v>
      </c>
      <c r="BH537" s="2505">
        <f>'4.4.4'!$N$4</f>
        <v>400.87199999999996</v>
      </c>
      <c r="BI537" s="2568" t="s">
        <v>1002</v>
      </c>
      <c r="BJ537" s="1362">
        <f t="shared" si="451"/>
        <v>669.03933311999992</v>
      </c>
      <c r="BK537" s="1360">
        <f t="shared" si="430"/>
        <v>90.599076360000026</v>
      </c>
      <c r="BL537" s="1601">
        <f t="shared" si="431"/>
        <v>669.03933311999992</v>
      </c>
      <c r="BM537" s="1601">
        <f t="shared" si="432"/>
        <v>669.03933311999992</v>
      </c>
      <c r="BN537" s="1601">
        <f t="shared" si="433"/>
        <v>669.03933311999992</v>
      </c>
      <c r="BO537" s="1601">
        <f t="shared" si="434"/>
        <v>669.03933311999992</v>
      </c>
      <c r="BP537" s="1602">
        <f t="shared" si="435"/>
        <v>2676.1573324799997</v>
      </c>
      <c r="BQ537" s="1629"/>
      <c r="BR537" s="1629" t="s">
        <v>428</v>
      </c>
      <c r="BS537" s="1602">
        <v>0</v>
      </c>
      <c r="BT537" s="1602">
        <v>16</v>
      </c>
      <c r="BU537" s="1602">
        <v>16</v>
      </c>
      <c r="BV537" s="1602">
        <v>16</v>
      </c>
      <c r="BW537" s="1602">
        <v>16</v>
      </c>
      <c r="BX537" s="1362">
        <f t="shared" si="452"/>
        <v>9255.0441081599984</v>
      </c>
      <c r="BY537" s="1362">
        <f t="shared" si="453"/>
        <v>9255.0441081599984</v>
      </c>
      <c r="BZ537" s="1362">
        <f t="shared" si="454"/>
        <v>9255.0441081599984</v>
      </c>
      <c r="CA537" s="1362">
        <f t="shared" si="455"/>
        <v>9255.0441081599984</v>
      </c>
      <c r="CB537" s="1362">
        <f t="shared" si="456"/>
        <v>37020.176432639993</v>
      </c>
      <c r="CC537" s="1360">
        <v>16</v>
      </c>
      <c r="CD537" s="1360">
        <v>16</v>
      </c>
      <c r="CE537" s="1360">
        <v>16</v>
      </c>
      <c r="CF537" s="1360">
        <v>16</v>
      </c>
      <c r="CG537" s="1604">
        <f t="shared" si="436"/>
        <v>10704.629329919997</v>
      </c>
      <c r="CH537" s="1604">
        <f t="shared" si="437"/>
        <v>10704.629329919997</v>
      </c>
      <c r="CI537" s="1604">
        <f t="shared" si="438"/>
        <v>10704.629329919997</v>
      </c>
      <c r="CJ537" s="1604">
        <f t="shared" si="439"/>
        <v>10704.629329919997</v>
      </c>
      <c r="CK537" s="1521">
        <f t="shared" si="440"/>
        <v>42818.517319679988</v>
      </c>
      <c r="CL537" s="1132">
        <v>530</v>
      </c>
      <c r="CM537" s="1132" t="s">
        <v>328</v>
      </c>
      <c r="CN537" s="1359">
        <v>0</v>
      </c>
      <c r="CO537" s="1360">
        <v>1.7384999999999999</v>
      </c>
      <c r="CP537" s="1360">
        <v>1.7384999999999999</v>
      </c>
      <c r="CQ537" s="1360">
        <v>1.7384999999999999</v>
      </c>
      <c r="CR537" s="1360">
        <v>1.7384999999999999</v>
      </c>
      <c r="CS537" s="1362">
        <f t="shared" si="441"/>
        <v>669.03933311999992</v>
      </c>
      <c r="CT537" s="1362">
        <f t="shared" si="442"/>
        <v>669.03933311999992</v>
      </c>
      <c r="CU537" s="1362">
        <f t="shared" si="443"/>
        <v>669.03933311999992</v>
      </c>
      <c r="CV537" s="1362">
        <f t="shared" si="444"/>
        <v>669.03933311999992</v>
      </c>
      <c r="CW537" s="1362">
        <f t="shared" si="445"/>
        <v>2676.1573324799997</v>
      </c>
      <c r="CY537" s="2887"/>
    </row>
    <row r="538" spans="1:103" s="1143" customFormat="1" ht="77.5" x14ac:dyDescent="0.35">
      <c r="A538" s="1132" t="s">
        <v>116</v>
      </c>
      <c r="B538" s="1132" t="s">
        <v>1000</v>
      </c>
      <c r="C538" s="1132" t="s">
        <v>430</v>
      </c>
      <c r="D538" s="1359" t="s">
        <v>431</v>
      </c>
      <c r="E538" s="1359">
        <v>1</v>
      </c>
      <c r="F538" s="2807" t="s">
        <v>332</v>
      </c>
      <c r="G538" s="1132" t="s">
        <v>328</v>
      </c>
      <c r="H538" s="1360">
        <v>14.777249999999999</v>
      </c>
      <c r="I538" s="1360">
        <v>14.777249999999999</v>
      </c>
      <c r="J538" s="1360">
        <v>14.777249999999999</v>
      </c>
      <c r="K538" s="1360">
        <v>14.777249999999999</v>
      </c>
      <c r="L538" s="1132" t="s">
        <v>333</v>
      </c>
      <c r="M538" s="1132" t="str">
        <f t="shared" si="407"/>
        <v>Nicor Gas PY11-PY14 Adjustable Goals Template_2025-03-01, Tab 4.4.2</v>
      </c>
      <c r="N538" s="1361">
        <v>178.19138451334805</v>
      </c>
      <c r="O538" s="1361">
        <v>178.19138451334805</v>
      </c>
      <c r="P538" s="1361">
        <v>178.19138451334805</v>
      </c>
      <c r="Q538" s="1361">
        <v>178.19138451334805</v>
      </c>
      <c r="R538" s="1781">
        <v>0.83</v>
      </c>
      <c r="S538" s="1781">
        <v>0.83</v>
      </c>
      <c r="T538" s="1781">
        <v>0.83</v>
      </c>
      <c r="U538" s="1781">
        <v>0.83</v>
      </c>
      <c r="V538" s="2567">
        <v>0.96</v>
      </c>
      <c r="W538" s="2567">
        <v>0.96</v>
      </c>
      <c r="X538" s="2567">
        <v>0.96</v>
      </c>
      <c r="Y538" s="2567">
        <v>0.96</v>
      </c>
      <c r="Z538" s="1359">
        <v>0</v>
      </c>
      <c r="AA538" s="2567">
        <f t="shared" si="408"/>
        <v>0.96</v>
      </c>
      <c r="AB538" s="2567">
        <f t="shared" si="409"/>
        <v>0.96</v>
      </c>
      <c r="AC538" s="2567">
        <f t="shared" si="410"/>
        <v>0.96</v>
      </c>
      <c r="AD538" s="2567">
        <f t="shared" si="411"/>
        <v>0.96</v>
      </c>
      <c r="AE538" s="2567">
        <f t="shared" si="412"/>
        <v>0.96</v>
      </c>
      <c r="AF538" s="2567">
        <f t="shared" si="413"/>
        <v>0.96</v>
      </c>
      <c r="AG538" s="2567">
        <f t="shared" si="414"/>
        <v>0.96</v>
      </c>
      <c r="AH538" s="2567">
        <f t="shared" si="415"/>
        <v>0.96</v>
      </c>
      <c r="AI538" s="1362">
        <f t="shared" si="446"/>
        <v>2185.538268543894</v>
      </c>
      <c r="AJ538" s="1362">
        <f t="shared" si="447"/>
        <v>2185.538268543894</v>
      </c>
      <c r="AK538" s="1362">
        <f t="shared" si="448"/>
        <v>2185.538268543894</v>
      </c>
      <c r="AL538" s="1362">
        <f t="shared" si="449"/>
        <v>2185.538268543894</v>
      </c>
      <c r="AM538" s="1362">
        <f t="shared" si="450"/>
        <v>8742.153074175576</v>
      </c>
      <c r="AN538" s="1132" t="str">
        <f t="shared" si="416"/>
        <v>CI-HVC-BLRT-V06-160601</v>
      </c>
      <c r="AO538" s="1132" t="str">
        <f t="shared" si="417"/>
        <v>Nicor Gas PY11-PY14 Adjustable Goals Template_2025-03-01, Tab 4.4.2</v>
      </c>
      <c r="AP538" s="2568">
        <f>'4.4.2'!$O$4</f>
        <v>174.54860553805378</v>
      </c>
      <c r="AQ538" s="2568" t="s">
        <v>1003</v>
      </c>
      <c r="AR538" s="2505">
        <f t="shared" si="418"/>
        <v>2476.1744459397169</v>
      </c>
      <c r="AS538" s="2505">
        <f t="shared" si="419"/>
        <v>290.63617739582287</v>
      </c>
      <c r="AT538" s="1132" t="str">
        <f t="shared" si="420"/>
        <v>CI-HVC-BLRT-V06-160601</v>
      </c>
      <c r="AU538" s="1132" t="str">
        <f t="shared" si="421"/>
        <v>Nicor Gas PY11-PY14 Adjustable Goals Template_2025-03-01, Tab 4.4.2</v>
      </c>
      <c r="AV538" s="2505">
        <f>'4.4.2'!$O$4</f>
        <v>174.54860553805378</v>
      </c>
      <c r="AW538" s="2568" t="s">
        <v>1003</v>
      </c>
      <c r="AX538" s="1362">
        <f t="shared" si="422"/>
        <v>2476.1744459397169</v>
      </c>
      <c r="AY538" s="1360">
        <f t="shared" si="423"/>
        <v>290.63617739582287</v>
      </c>
      <c r="AZ538" s="1132" t="str">
        <f t="shared" si="424"/>
        <v>CI-HVC-BLRT-V06-160601</v>
      </c>
      <c r="BA538" s="1132" t="str">
        <f t="shared" si="425"/>
        <v>Nicor Gas PY11-PY14 Adjustable Goals Template_2025-03-01, Tab 4.4.2</v>
      </c>
      <c r="BB538" s="2505">
        <f>'4.4.2'!$O$4</f>
        <v>174.54860553805378</v>
      </c>
      <c r="BC538" s="2568" t="s">
        <v>1003</v>
      </c>
      <c r="BD538" s="1362">
        <f t="shared" si="426"/>
        <v>2476.1744459397169</v>
      </c>
      <c r="BE538" s="1360">
        <f t="shared" si="427"/>
        <v>290.63617739582287</v>
      </c>
      <c r="BF538" s="1132" t="str">
        <f t="shared" si="428"/>
        <v>CI-HVC-BLRT-V06-160601</v>
      </c>
      <c r="BG538" s="1132" t="str">
        <f t="shared" si="429"/>
        <v>Nicor Gas PY11-PY14 Adjustable Goals Template_2025-03-01, Tab 4.4.2</v>
      </c>
      <c r="BH538" s="2505">
        <f>'4.4.2'!$O$4</f>
        <v>174.54860553805378</v>
      </c>
      <c r="BI538" s="2568" t="s">
        <v>1003</v>
      </c>
      <c r="BJ538" s="1362">
        <f t="shared" si="451"/>
        <v>2476.1744459397169</v>
      </c>
      <c r="BK538" s="1360">
        <f t="shared" si="430"/>
        <v>290.63617739582287</v>
      </c>
      <c r="BL538" s="1601">
        <f t="shared" si="431"/>
        <v>2476.1744459397169</v>
      </c>
      <c r="BM538" s="1601">
        <f t="shared" si="432"/>
        <v>2476.1744459397169</v>
      </c>
      <c r="BN538" s="1601">
        <f t="shared" si="433"/>
        <v>2476.1744459397169</v>
      </c>
      <c r="BO538" s="1601">
        <f t="shared" si="434"/>
        <v>2476.1744459397169</v>
      </c>
      <c r="BP538" s="1602">
        <f t="shared" si="435"/>
        <v>9904.6977837588674</v>
      </c>
      <c r="BQ538" s="1629"/>
      <c r="BR538" s="1629" t="s">
        <v>332</v>
      </c>
      <c r="BS538" s="1602">
        <v>0</v>
      </c>
      <c r="BT538" s="1602">
        <v>3</v>
      </c>
      <c r="BU538" s="1602">
        <v>3</v>
      </c>
      <c r="BV538" s="1602">
        <v>3</v>
      </c>
      <c r="BW538" s="1602">
        <v>3</v>
      </c>
      <c r="BX538" s="1362">
        <f t="shared" si="452"/>
        <v>6556.6148056316815</v>
      </c>
      <c r="BY538" s="1362">
        <f t="shared" si="453"/>
        <v>6556.6148056316815</v>
      </c>
      <c r="BZ538" s="1362">
        <f t="shared" si="454"/>
        <v>6556.6148056316815</v>
      </c>
      <c r="CA538" s="1362">
        <f t="shared" si="455"/>
        <v>6556.6148056316815</v>
      </c>
      <c r="CB538" s="1362">
        <f t="shared" si="456"/>
        <v>26226.459222526726</v>
      </c>
      <c r="CC538" s="1360">
        <v>3</v>
      </c>
      <c r="CD538" s="1360">
        <v>3</v>
      </c>
      <c r="CE538" s="1360">
        <v>3</v>
      </c>
      <c r="CF538" s="1360">
        <v>3</v>
      </c>
      <c r="CG538" s="1604">
        <f t="shared" si="436"/>
        <v>7428.5233378191497</v>
      </c>
      <c r="CH538" s="1604">
        <f t="shared" si="437"/>
        <v>7428.5233378191497</v>
      </c>
      <c r="CI538" s="1604">
        <f t="shared" si="438"/>
        <v>7428.5233378191497</v>
      </c>
      <c r="CJ538" s="1604">
        <f t="shared" si="439"/>
        <v>7428.5233378191497</v>
      </c>
      <c r="CK538" s="1521">
        <f t="shared" si="440"/>
        <v>29714.093351276599</v>
      </c>
      <c r="CL538" s="1132">
        <v>531</v>
      </c>
      <c r="CM538" s="1132" t="s">
        <v>328</v>
      </c>
      <c r="CN538" s="1359">
        <v>0</v>
      </c>
      <c r="CO538" s="1360">
        <v>14.777249999999999</v>
      </c>
      <c r="CP538" s="1360">
        <v>14.777249999999999</v>
      </c>
      <c r="CQ538" s="1360">
        <v>14.777249999999999</v>
      </c>
      <c r="CR538" s="1360">
        <v>14.777249999999999</v>
      </c>
      <c r="CS538" s="1362">
        <f t="shared" si="441"/>
        <v>2476.1744459397169</v>
      </c>
      <c r="CT538" s="1362">
        <f t="shared" si="442"/>
        <v>2476.1744459397169</v>
      </c>
      <c r="CU538" s="1362">
        <f t="shared" si="443"/>
        <v>2476.1744459397169</v>
      </c>
      <c r="CV538" s="1362">
        <f t="shared" si="444"/>
        <v>2476.1744459397169</v>
      </c>
      <c r="CW538" s="1362">
        <f t="shared" si="445"/>
        <v>9904.6977837588674</v>
      </c>
      <c r="CY538" s="2887"/>
    </row>
    <row r="539" spans="1:103" s="1143" customFormat="1" ht="46.5" x14ac:dyDescent="0.35">
      <c r="A539" s="1132" t="s">
        <v>116</v>
      </c>
      <c r="B539" s="1132" t="s">
        <v>1000</v>
      </c>
      <c r="C539" s="1132" t="s">
        <v>326</v>
      </c>
      <c r="D539" s="1359" t="s">
        <v>327</v>
      </c>
      <c r="E539" s="1359">
        <v>1</v>
      </c>
      <c r="F539" s="2564" t="s">
        <v>327</v>
      </c>
      <c r="G539" s="1132" t="s">
        <v>328</v>
      </c>
      <c r="H539" s="1360">
        <v>20.861999999999998</v>
      </c>
      <c r="I539" s="1360">
        <v>20.861999999999998</v>
      </c>
      <c r="J539" s="1360">
        <v>20.861999999999998</v>
      </c>
      <c r="K539" s="1360">
        <v>20.861999999999998</v>
      </c>
      <c r="L539" s="1132" t="s">
        <v>329</v>
      </c>
      <c r="M539" s="1132" t="str">
        <f t="shared" si="407"/>
        <v>Nicor Gas PY11-PY14 Adjustable Goals Template_2025-03-01, Tab 4.4.3</v>
      </c>
      <c r="N539" s="1361">
        <v>818.18830024212616</v>
      </c>
      <c r="O539" s="1361">
        <v>818.18830024212616</v>
      </c>
      <c r="P539" s="1361">
        <v>818.18830024212616</v>
      </c>
      <c r="Q539" s="1361">
        <v>818.18830024212616</v>
      </c>
      <c r="R539" s="1781">
        <v>0.83</v>
      </c>
      <c r="S539" s="1781">
        <v>0.83</v>
      </c>
      <c r="T539" s="1781">
        <v>0.83</v>
      </c>
      <c r="U539" s="1781">
        <v>0.83</v>
      </c>
      <c r="V539" s="2567">
        <v>0.96</v>
      </c>
      <c r="W539" s="2567">
        <v>0.96</v>
      </c>
      <c r="X539" s="2567">
        <v>0.96</v>
      </c>
      <c r="Y539" s="2567">
        <v>0.96</v>
      </c>
      <c r="Z539" s="1359">
        <v>0</v>
      </c>
      <c r="AA539" s="2567">
        <f t="shared" si="408"/>
        <v>0.96</v>
      </c>
      <c r="AB539" s="2567">
        <f t="shared" si="409"/>
        <v>0.96</v>
      </c>
      <c r="AC539" s="2567">
        <f t="shared" si="410"/>
        <v>0.96</v>
      </c>
      <c r="AD539" s="2567">
        <f t="shared" si="411"/>
        <v>0.96</v>
      </c>
      <c r="AE539" s="2567">
        <f t="shared" si="412"/>
        <v>0.96</v>
      </c>
      <c r="AF539" s="2567">
        <f t="shared" si="413"/>
        <v>0.96</v>
      </c>
      <c r="AG539" s="2567">
        <f t="shared" si="414"/>
        <v>0.96</v>
      </c>
      <c r="AH539" s="2567">
        <f t="shared" si="415"/>
        <v>0.96</v>
      </c>
      <c r="AI539" s="1362">
        <f t="shared" si="446"/>
        <v>14167.306785310524</v>
      </c>
      <c r="AJ539" s="1362">
        <f t="shared" si="447"/>
        <v>14167.306785310524</v>
      </c>
      <c r="AK539" s="1362">
        <f t="shared" si="448"/>
        <v>14167.306785310524</v>
      </c>
      <c r="AL539" s="1362">
        <f t="shared" si="449"/>
        <v>14167.306785310524</v>
      </c>
      <c r="AM539" s="1362">
        <f t="shared" si="450"/>
        <v>56669.227141242096</v>
      </c>
      <c r="AN539" s="1132" t="str">
        <f t="shared" si="416"/>
        <v>CI-HVC-PBTU-V05-160601</v>
      </c>
      <c r="AO539" s="1132" t="str">
        <f t="shared" si="417"/>
        <v>Nicor Gas PY11-PY14 Adjustable Goals Template_2025-03-01, Tab 4.4.3</v>
      </c>
      <c r="AP539" s="2505">
        <f>'4.4.3'!$L$4</f>
        <v>818.18830024212616</v>
      </c>
      <c r="AQ539" s="2568" t="s">
        <v>1002</v>
      </c>
      <c r="AR539" s="2505">
        <f t="shared" si="418"/>
        <v>16386.282546865186</v>
      </c>
      <c r="AS539" s="2505">
        <f t="shared" si="419"/>
        <v>2218.9757615546623</v>
      </c>
      <c r="AT539" s="1132" t="str">
        <f t="shared" si="420"/>
        <v>CI-HVC-PBTU-V05-160601</v>
      </c>
      <c r="AU539" s="1132" t="str">
        <f t="shared" si="421"/>
        <v>Nicor Gas PY11-PY14 Adjustable Goals Template_2025-03-01, Tab 4.4.3</v>
      </c>
      <c r="AV539" s="2505">
        <f>'4.4.3'!$L$4</f>
        <v>818.18830024212616</v>
      </c>
      <c r="AW539" s="2568" t="s">
        <v>1002</v>
      </c>
      <c r="AX539" s="1362">
        <f t="shared" si="422"/>
        <v>16386.282546865186</v>
      </c>
      <c r="AY539" s="1360">
        <f t="shared" si="423"/>
        <v>2218.9757615546623</v>
      </c>
      <c r="AZ539" s="1132" t="str">
        <f t="shared" si="424"/>
        <v>CI-HVC-PBTU-V05-160601</v>
      </c>
      <c r="BA539" s="1132" t="str">
        <f t="shared" si="425"/>
        <v>Nicor Gas PY11-PY14 Adjustable Goals Template_2025-03-01, Tab 4.4.3</v>
      </c>
      <c r="BB539" s="2505">
        <f>'4.4.3'!$L$4</f>
        <v>818.18830024212616</v>
      </c>
      <c r="BC539" s="2568" t="s">
        <v>1002</v>
      </c>
      <c r="BD539" s="1362">
        <f t="shared" si="426"/>
        <v>16386.282546865186</v>
      </c>
      <c r="BE539" s="1360">
        <f t="shared" si="427"/>
        <v>2218.9757615546623</v>
      </c>
      <c r="BF539" s="1132" t="str">
        <f t="shared" si="428"/>
        <v>CI-HVC-PBTU-V05-160601</v>
      </c>
      <c r="BG539" s="1132" t="str">
        <f t="shared" si="429"/>
        <v>Nicor Gas PY11-PY14 Adjustable Goals Template_2025-03-01, Tab 4.4.3</v>
      </c>
      <c r="BH539" s="2505">
        <f>'4.4.3'!$L$4</f>
        <v>818.18830024212616</v>
      </c>
      <c r="BI539" s="2568" t="s">
        <v>1002</v>
      </c>
      <c r="BJ539" s="1362">
        <f t="shared" si="451"/>
        <v>16386.282546865186</v>
      </c>
      <c r="BK539" s="1360">
        <f t="shared" si="430"/>
        <v>2218.9757615546623</v>
      </c>
      <c r="BL539" s="1601">
        <f t="shared" si="431"/>
        <v>16386.282546865186</v>
      </c>
      <c r="BM539" s="1601">
        <f t="shared" si="432"/>
        <v>16386.282546865186</v>
      </c>
      <c r="BN539" s="1601">
        <f t="shared" si="433"/>
        <v>16386.282546865186</v>
      </c>
      <c r="BO539" s="1601">
        <f t="shared" si="434"/>
        <v>16386.282546865186</v>
      </c>
      <c r="BP539" s="1602">
        <f t="shared" si="435"/>
        <v>65545.130187460745</v>
      </c>
      <c r="BQ539" s="1629"/>
      <c r="BR539" s="1629" t="s">
        <v>327</v>
      </c>
      <c r="BS539" s="1602">
        <v>0</v>
      </c>
      <c r="BT539" s="1602">
        <v>3</v>
      </c>
      <c r="BU539" s="1602">
        <v>3</v>
      </c>
      <c r="BV539" s="1602">
        <v>3</v>
      </c>
      <c r="BW539" s="1602">
        <v>3</v>
      </c>
      <c r="BX539" s="1362">
        <f t="shared" si="452"/>
        <v>42501.920355931572</v>
      </c>
      <c r="BY539" s="1362">
        <f t="shared" si="453"/>
        <v>42501.920355931572</v>
      </c>
      <c r="BZ539" s="1362">
        <f t="shared" si="454"/>
        <v>42501.920355931572</v>
      </c>
      <c r="CA539" s="1362">
        <f t="shared" si="455"/>
        <v>42501.920355931572</v>
      </c>
      <c r="CB539" s="1362">
        <f t="shared" si="456"/>
        <v>170007.68142372629</v>
      </c>
      <c r="CC539" s="1360">
        <v>3</v>
      </c>
      <c r="CD539" s="1360">
        <v>3</v>
      </c>
      <c r="CE539" s="1360">
        <v>3</v>
      </c>
      <c r="CF539" s="1360">
        <v>3</v>
      </c>
      <c r="CG539" s="1604">
        <f t="shared" si="436"/>
        <v>49158.847640595559</v>
      </c>
      <c r="CH539" s="1604">
        <f t="shared" si="437"/>
        <v>49158.847640595559</v>
      </c>
      <c r="CI539" s="1604">
        <f t="shared" si="438"/>
        <v>49158.847640595559</v>
      </c>
      <c r="CJ539" s="1604">
        <f t="shared" si="439"/>
        <v>49158.847640595559</v>
      </c>
      <c r="CK539" s="1521">
        <f t="shared" si="440"/>
        <v>196635.39056238224</v>
      </c>
      <c r="CL539" s="1132">
        <v>532</v>
      </c>
      <c r="CM539" s="1132" t="s">
        <v>328</v>
      </c>
      <c r="CN539" s="1359">
        <v>0</v>
      </c>
      <c r="CO539" s="1360">
        <v>20.861999999999998</v>
      </c>
      <c r="CP539" s="1360">
        <v>20.861999999999998</v>
      </c>
      <c r="CQ539" s="1360">
        <v>20.861999999999998</v>
      </c>
      <c r="CR539" s="1360">
        <v>20.861999999999998</v>
      </c>
      <c r="CS539" s="1362">
        <f t="shared" si="441"/>
        <v>16386.282546865186</v>
      </c>
      <c r="CT539" s="1362">
        <f t="shared" si="442"/>
        <v>16386.282546865186</v>
      </c>
      <c r="CU539" s="1362">
        <f t="shared" si="443"/>
        <v>16386.282546865186</v>
      </c>
      <c r="CV539" s="1362">
        <f t="shared" si="444"/>
        <v>16386.282546865186</v>
      </c>
      <c r="CW539" s="1362">
        <f t="shared" si="445"/>
        <v>65545.130187460745</v>
      </c>
      <c r="CY539" s="2887"/>
    </row>
    <row r="540" spans="1:103" s="1143" customFormat="1" ht="30" customHeight="1" x14ac:dyDescent="0.35">
      <c r="A540" s="1132" t="s">
        <v>116</v>
      </c>
      <c r="B540" s="1132" t="s">
        <v>1000</v>
      </c>
      <c r="C540" s="1132" t="s">
        <v>433</v>
      </c>
      <c r="D540" s="1359" t="s">
        <v>434</v>
      </c>
      <c r="E540" s="1359">
        <v>1</v>
      </c>
      <c r="F540" s="2807" t="s">
        <v>435</v>
      </c>
      <c r="G540" s="1132" t="s">
        <v>356</v>
      </c>
      <c r="H540" s="1360">
        <v>4.3462500000000004</v>
      </c>
      <c r="I540" s="1360">
        <v>4.3462500000000004</v>
      </c>
      <c r="J540" s="1360">
        <v>4.3462500000000004</v>
      </c>
      <c r="K540" s="1360">
        <v>4.3462500000000004</v>
      </c>
      <c r="L540" s="1132" t="s">
        <v>436</v>
      </c>
      <c r="M540" s="1132" t="str">
        <f t="shared" si="407"/>
        <v>Nicor Gas PY11-PY14 Adjustable Goals Template_2025-03-01, Tab 4.4.10</v>
      </c>
      <c r="N540" s="1361">
        <v>238.91364739575309</v>
      </c>
      <c r="O540" s="1361">
        <v>238.91364739575309</v>
      </c>
      <c r="P540" s="1361">
        <v>238.91364739575309</v>
      </c>
      <c r="Q540" s="1361">
        <v>238.91364739575309</v>
      </c>
      <c r="R540" s="1781">
        <v>0.83</v>
      </c>
      <c r="S540" s="1781">
        <v>0.83</v>
      </c>
      <c r="T540" s="1781">
        <v>0.83</v>
      </c>
      <c r="U540" s="1781">
        <v>0.83</v>
      </c>
      <c r="V540" s="2567">
        <v>0.96</v>
      </c>
      <c r="W540" s="2567">
        <v>0.96</v>
      </c>
      <c r="X540" s="2567">
        <v>0.96</v>
      </c>
      <c r="Y540" s="2567">
        <v>0.96</v>
      </c>
      <c r="Z540" s="1359">
        <v>0</v>
      </c>
      <c r="AA540" s="2567">
        <f t="shared" si="408"/>
        <v>0.96</v>
      </c>
      <c r="AB540" s="2567">
        <f t="shared" si="409"/>
        <v>0.96</v>
      </c>
      <c r="AC540" s="2567">
        <f t="shared" si="410"/>
        <v>0.96</v>
      </c>
      <c r="AD540" s="2567">
        <f t="shared" si="411"/>
        <v>0.96</v>
      </c>
      <c r="AE540" s="2567">
        <f t="shared" si="412"/>
        <v>0.96</v>
      </c>
      <c r="AF540" s="2567">
        <f t="shared" si="413"/>
        <v>0.96</v>
      </c>
      <c r="AG540" s="2567">
        <f t="shared" si="414"/>
        <v>0.96</v>
      </c>
      <c r="AH540" s="2567">
        <f t="shared" si="415"/>
        <v>0.96</v>
      </c>
      <c r="AI540" s="1362">
        <f t="shared" si="446"/>
        <v>861.85410519484731</v>
      </c>
      <c r="AJ540" s="1362">
        <f t="shared" si="447"/>
        <v>861.85410519484731</v>
      </c>
      <c r="AK540" s="1362">
        <f t="shared" si="448"/>
        <v>861.85410519484731</v>
      </c>
      <c r="AL540" s="1362">
        <f t="shared" si="449"/>
        <v>861.85410519484731</v>
      </c>
      <c r="AM540" s="1362">
        <f t="shared" si="450"/>
        <v>3447.4164207793892</v>
      </c>
      <c r="AN540" s="1132" t="str">
        <f t="shared" si="416"/>
        <v>CI-HVC-BOIL-V06-190101</v>
      </c>
      <c r="AO540" s="1132" t="str">
        <f t="shared" si="417"/>
        <v>Nicor Gas PY11-PY14 Adjustable Goals Template_2025-03-01, Tab 4.4.10</v>
      </c>
      <c r="AP540" s="2568">
        <f>'4.4.10'!$Q$4</f>
        <v>234.02951894015465</v>
      </c>
      <c r="AQ540" s="2568" t="s">
        <v>1003</v>
      </c>
      <c r="AR540" s="2505">
        <f t="shared" si="418"/>
        <v>976.46476482590128</v>
      </c>
      <c r="AS540" s="2505">
        <f t="shared" si="419"/>
        <v>114.61065963105398</v>
      </c>
      <c r="AT540" s="1132" t="str">
        <f t="shared" si="420"/>
        <v>CI-HVC-BOIL-V06-190101</v>
      </c>
      <c r="AU540" s="1132" t="str">
        <f t="shared" si="421"/>
        <v>Nicor Gas PY11-PY14 Adjustable Goals Template_2025-03-01, Tab 4.4.10</v>
      </c>
      <c r="AV540" s="2505">
        <f>'4.4.10'!$Q$4</f>
        <v>234.02951894015465</v>
      </c>
      <c r="AW540" s="2568" t="s">
        <v>1003</v>
      </c>
      <c r="AX540" s="1362">
        <f t="shared" si="422"/>
        <v>976.46476482590128</v>
      </c>
      <c r="AY540" s="1360">
        <f t="shared" si="423"/>
        <v>114.61065963105398</v>
      </c>
      <c r="AZ540" s="1132" t="str">
        <f t="shared" si="424"/>
        <v>CI-HVC-BOIL-V06-190101</v>
      </c>
      <c r="BA540" s="1132" t="str">
        <f t="shared" si="425"/>
        <v>Nicor Gas PY11-PY14 Adjustable Goals Template_2025-03-01, Tab 4.4.10</v>
      </c>
      <c r="BB540" s="2505">
        <f>'4.4.10'!$Q$4</f>
        <v>234.02951894015465</v>
      </c>
      <c r="BC540" s="2568" t="s">
        <v>1003</v>
      </c>
      <c r="BD540" s="1362">
        <f t="shared" si="426"/>
        <v>976.46476482590128</v>
      </c>
      <c r="BE540" s="1360">
        <f t="shared" si="427"/>
        <v>114.61065963105398</v>
      </c>
      <c r="BF540" s="1132" t="str">
        <f t="shared" si="428"/>
        <v>CI-HVC-BOIL-V06-190101</v>
      </c>
      <c r="BG540" s="1132" t="str">
        <f t="shared" si="429"/>
        <v>Nicor Gas PY11-PY14 Adjustable Goals Template_2025-03-01, Tab 4.4.10</v>
      </c>
      <c r="BH540" s="2505">
        <f>'4.4.10'!$Q$4</f>
        <v>234.02951894015465</v>
      </c>
      <c r="BI540" s="2568" t="s">
        <v>1003</v>
      </c>
      <c r="BJ540" s="1362">
        <f t="shared" si="451"/>
        <v>976.46476482590128</v>
      </c>
      <c r="BK540" s="1360">
        <f t="shared" si="430"/>
        <v>114.61065963105398</v>
      </c>
      <c r="BL540" s="1601">
        <f t="shared" si="431"/>
        <v>976.46476482590128</v>
      </c>
      <c r="BM540" s="1601">
        <f t="shared" si="432"/>
        <v>976.46476482590128</v>
      </c>
      <c r="BN540" s="1601">
        <f t="shared" si="433"/>
        <v>976.46476482590128</v>
      </c>
      <c r="BO540" s="1601">
        <f t="shared" si="434"/>
        <v>976.46476482590128</v>
      </c>
      <c r="BP540" s="1602">
        <f t="shared" si="435"/>
        <v>3905.8590593036051</v>
      </c>
      <c r="BQ540" s="1629"/>
      <c r="BR540" s="1629" t="s">
        <v>435</v>
      </c>
      <c r="BS540" s="1602">
        <v>0</v>
      </c>
      <c r="BT540" s="1602">
        <v>25</v>
      </c>
      <c r="BU540" s="1602">
        <v>25</v>
      </c>
      <c r="BV540" s="1602">
        <v>25</v>
      </c>
      <c r="BW540" s="1602">
        <v>25</v>
      </c>
      <c r="BX540" s="1362">
        <f t="shared" si="452"/>
        <v>21546.352629871184</v>
      </c>
      <c r="BY540" s="1362">
        <f t="shared" si="453"/>
        <v>21546.352629871184</v>
      </c>
      <c r="BZ540" s="1362">
        <f t="shared" si="454"/>
        <v>21546.352629871184</v>
      </c>
      <c r="CA540" s="1362">
        <f t="shared" si="455"/>
        <v>21546.352629871184</v>
      </c>
      <c r="CB540" s="1362">
        <f t="shared" si="456"/>
        <v>86185.410519484736</v>
      </c>
      <c r="CC540" s="1360">
        <v>25</v>
      </c>
      <c r="CD540" s="1360">
        <v>25</v>
      </c>
      <c r="CE540" s="1360">
        <v>25</v>
      </c>
      <c r="CF540" s="1360">
        <v>25</v>
      </c>
      <c r="CG540" s="1604">
        <f t="shared" si="436"/>
        <v>24411.619120647534</v>
      </c>
      <c r="CH540" s="1604">
        <f t="shared" si="437"/>
        <v>24411.619120647534</v>
      </c>
      <c r="CI540" s="1604">
        <f t="shared" si="438"/>
        <v>24411.619120647534</v>
      </c>
      <c r="CJ540" s="1604">
        <f t="shared" si="439"/>
        <v>24411.619120647534</v>
      </c>
      <c r="CK540" s="1521">
        <f t="shared" si="440"/>
        <v>97646.476482590137</v>
      </c>
      <c r="CL540" s="1132">
        <v>533</v>
      </c>
      <c r="CM540" s="1132" t="s">
        <v>356</v>
      </c>
      <c r="CN540" s="1359">
        <v>0</v>
      </c>
      <c r="CO540" s="1360">
        <v>4.3462500000000004</v>
      </c>
      <c r="CP540" s="1360">
        <v>4.3462500000000004</v>
      </c>
      <c r="CQ540" s="1360">
        <v>4.3462500000000004</v>
      </c>
      <c r="CR540" s="1360">
        <v>4.3462500000000004</v>
      </c>
      <c r="CS540" s="1362">
        <f t="shared" si="441"/>
        <v>976.46476482590128</v>
      </c>
      <c r="CT540" s="1362">
        <f t="shared" si="442"/>
        <v>976.46476482590128</v>
      </c>
      <c r="CU540" s="1362">
        <f t="shared" si="443"/>
        <v>976.46476482590128</v>
      </c>
      <c r="CV540" s="1362">
        <f t="shared" si="444"/>
        <v>976.46476482590128</v>
      </c>
      <c r="CW540" s="1362">
        <f t="shared" si="445"/>
        <v>3905.8590593036051</v>
      </c>
      <c r="CY540" s="2887"/>
    </row>
    <row r="541" spans="1:103" s="1143" customFormat="1" ht="77.5" x14ac:dyDescent="0.35">
      <c r="A541" s="1132" t="s">
        <v>116</v>
      </c>
      <c r="B541" s="1132" t="s">
        <v>1000</v>
      </c>
      <c r="C541" s="1132" t="s">
        <v>437</v>
      </c>
      <c r="D541" s="1359" t="s">
        <v>438</v>
      </c>
      <c r="E541" s="1359">
        <v>1</v>
      </c>
      <c r="F541" s="2807" t="s">
        <v>435</v>
      </c>
      <c r="G541" s="1132" t="s">
        <v>356</v>
      </c>
      <c r="H541" s="1360">
        <v>1.7384999999999999</v>
      </c>
      <c r="I541" s="1360">
        <v>1.7384999999999999</v>
      </c>
      <c r="J541" s="1360">
        <v>1.7384999999999999</v>
      </c>
      <c r="K541" s="1360">
        <v>1.7384999999999999</v>
      </c>
      <c r="L541" s="1132" t="s">
        <v>436</v>
      </c>
      <c r="M541" s="1132" t="str">
        <f t="shared" si="407"/>
        <v>Nicor Gas PY11-PY14 Adjustable Goals Template_2025-03-01, Tab 4.4.10</v>
      </c>
      <c r="N541" s="1361">
        <v>447.71432736486514</v>
      </c>
      <c r="O541" s="1361">
        <v>447.71432736486514</v>
      </c>
      <c r="P541" s="1361">
        <v>447.71432736486514</v>
      </c>
      <c r="Q541" s="1361">
        <v>447.71432736486514</v>
      </c>
      <c r="R541" s="1781">
        <v>0.83</v>
      </c>
      <c r="S541" s="1781">
        <v>0.83</v>
      </c>
      <c r="T541" s="1781">
        <v>0.83</v>
      </c>
      <c r="U541" s="1781">
        <v>0.83</v>
      </c>
      <c r="V541" s="2567">
        <v>0.96</v>
      </c>
      <c r="W541" s="2567">
        <v>0.96</v>
      </c>
      <c r="X541" s="2567">
        <v>0.96</v>
      </c>
      <c r="Y541" s="2567">
        <v>0.96</v>
      </c>
      <c r="Z541" s="1359">
        <v>0</v>
      </c>
      <c r="AA541" s="2567">
        <f t="shared" si="408"/>
        <v>0.96</v>
      </c>
      <c r="AB541" s="2567">
        <f t="shared" si="409"/>
        <v>0.96</v>
      </c>
      <c r="AC541" s="2567">
        <f t="shared" si="410"/>
        <v>0.96</v>
      </c>
      <c r="AD541" s="2567">
        <f t="shared" si="411"/>
        <v>0.96</v>
      </c>
      <c r="AE541" s="2567">
        <f t="shared" si="412"/>
        <v>0.96</v>
      </c>
      <c r="AF541" s="2567">
        <f t="shared" si="413"/>
        <v>0.96</v>
      </c>
      <c r="AG541" s="2567">
        <f t="shared" si="414"/>
        <v>0.96</v>
      </c>
      <c r="AH541" s="2567">
        <f t="shared" si="415"/>
        <v>0.96</v>
      </c>
      <c r="AI541" s="1362">
        <f t="shared" si="446"/>
        <v>646.03162724276899</v>
      </c>
      <c r="AJ541" s="1362">
        <f t="shared" si="447"/>
        <v>646.03162724276899</v>
      </c>
      <c r="AK541" s="1362">
        <f t="shared" si="448"/>
        <v>646.03162724276899</v>
      </c>
      <c r="AL541" s="1362">
        <f t="shared" si="449"/>
        <v>646.03162724276899</v>
      </c>
      <c r="AM541" s="1362">
        <f t="shared" si="450"/>
        <v>2584.126508971076</v>
      </c>
      <c r="AN541" s="1132" t="str">
        <f t="shared" si="416"/>
        <v>CI-HVC-BOIL-V06-190101</v>
      </c>
      <c r="AO541" s="1132" t="str">
        <f t="shared" si="417"/>
        <v>Nicor Gas PY11-PY14 Adjustable Goals Template_2025-03-01, Tab 4.4.10</v>
      </c>
      <c r="AP541" s="2568">
        <f>'4.4.10'!$Q$5</f>
        <v>438.56167195946</v>
      </c>
      <c r="AQ541" s="2568" t="s">
        <v>1003</v>
      </c>
      <c r="AR541" s="2505">
        <f t="shared" si="418"/>
        <v>731.94188803346026</v>
      </c>
      <c r="AS541" s="2505">
        <f t="shared" si="419"/>
        <v>85.910260790691268</v>
      </c>
      <c r="AT541" s="1132" t="str">
        <f t="shared" si="420"/>
        <v>CI-HVC-BOIL-V06-190101</v>
      </c>
      <c r="AU541" s="1132" t="str">
        <f t="shared" si="421"/>
        <v>Nicor Gas PY11-PY14 Adjustable Goals Template_2025-03-01, Tab 4.4.10</v>
      </c>
      <c r="AV541" s="2505">
        <f>'4.4.10'!$Q$5</f>
        <v>438.56167195946</v>
      </c>
      <c r="AW541" s="2568" t="s">
        <v>1003</v>
      </c>
      <c r="AX541" s="1362">
        <f t="shared" si="422"/>
        <v>731.94188803346026</v>
      </c>
      <c r="AY541" s="1360">
        <f t="shared" si="423"/>
        <v>85.910260790691268</v>
      </c>
      <c r="AZ541" s="1132" t="str">
        <f t="shared" si="424"/>
        <v>CI-HVC-BOIL-V06-190101</v>
      </c>
      <c r="BA541" s="1132" t="str">
        <f t="shared" si="425"/>
        <v>Nicor Gas PY11-PY14 Adjustable Goals Template_2025-03-01, Tab 4.4.10</v>
      </c>
      <c r="BB541" s="2505">
        <f>'4.4.10'!$Q$5</f>
        <v>438.56167195946</v>
      </c>
      <c r="BC541" s="2568" t="s">
        <v>1003</v>
      </c>
      <c r="BD541" s="1362">
        <f t="shared" si="426"/>
        <v>731.94188803346026</v>
      </c>
      <c r="BE541" s="1360">
        <f t="shared" si="427"/>
        <v>85.910260790691268</v>
      </c>
      <c r="BF541" s="1132" t="str">
        <f t="shared" si="428"/>
        <v>CI-HVC-BOIL-V06-190101</v>
      </c>
      <c r="BG541" s="1132" t="str">
        <f t="shared" si="429"/>
        <v>Nicor Gas PY11-PY14 Adjustable Goals Template_2025-03-01, Tab 4.4.10</v>
      </c>
      <c r="BH541" s="2505">
        <f>'4.4.10'!$Q$5</f>
        <v>438.56167195946</v>
      </c>
      <c r="BI541" s="2568" t="s">
        <v>1003</v>
      </c>
      <c r="BJ541" s="1362">
        <f t="shared" si="451"/>
        <v>731.94188803346026</v>
      </c>
      <c r="BK541" s="1360">
        <f t="shared" si="430"/>
        <v>85.910260790691268</v>
      </c>
      <c r="BL541" s="1601">
        <f t="shared" si="431"/>
        <v>731.94188803346026</v>
      </c>
      <c r="BM541" s="1601">
        <f t="shared" si="432"/>
        <v>731.94188803346026</v>
      </c>
      <c r="BN541" s="1601">
        <f t="shared" si="433"/>
        <v>731.94188803346026</v>
      </c>
      <c r="BO541" s="1601">
        <f t="shared" si="434"/>
        <v>731.94188803346026</v>
      </c>
      <c r="BP541" s="1602">
        <f t="shared" si="435"/>
        <v>2927.767552133841</v>
      </c>
      <c r="BQ541" s="1629"/>
      <c r="BR541" s="1629" t="s">
        <v>435</v>
      </c>
      <c r="BS541" s="1602">
        <v>0</v>
      </c>
      <c r="BT541" s="1602">
        <v>25</v>
      </c>
      <c r="BU541" s="1602">
        <v>25</v>
      </c>
      <c r="BV541" s="1602">
        <v>25</v>
      </c>
      <c r="BW541" s="1602">
        <v>25</v>
      </c>
      <c r="BX541" s="1362">
        <f t="shared" si="452"/>
        <v>16150.790681069226</v>
      </c>
      <c r="BY541" s="1362">
        <f t="shared" si="453"/>
        <v>16150.790681069226</v>
      </c>
      <c r="BZ541" s="1362">
        <f t="shared" si="454"/>
        <v>16150.790681069226</v>
      </c>
      <c r="CA541" s="1362">
        <f t="shared" si="455"/>
        <v>16150.790681069226</v>
      </c>
      <c r="CB541" s="1362">
        <f t="shared" si="456"/>
        <v>64603.162724276903</v>
      </c>
      <c r="CC541" s="1360">
        <v>25</v>
      </c>
      <c r="CD541" s="1360">
        <v>25</v>
      </c>
      <c r="CE541" s="1360">
        <v>25</v>
      </c>
      <c r="CF541" s="1360">
        <v>25</v>
      </c>
      <c r="CG541" s="1604">
        <f t="shared" si="436"/>
        <v>18298.547200836507</v>
      </c>
      <c r="CH541" s="1604">
        <f t="shared" si="437"/>
        <v>18298.547200836507</v>
      </c>
      <c r="CI541" s="1604">
        <f t="shared" si="438"/>
        <v>18298.547200836507</v>
      </c>
      <c r="CJ541" s="1604">
        <f t="shared" si="439"/>
        <v>18298.547200836507</v>
      </c>
      <c r="CK541" s="1521">
        <f t="shared" si="440"/>
        <v>73194.188803346027</v>
      </c>
      <c r="CL541" s="1132">
        <v>534</v>
      </c>
      <c r="CM541" s="1132" t="s">
        <v>356</v>
      </c>
      <c r="CN541" s="1359">
        <v>0</v>
      </c>
      <c r="CO541" s="1360">
        <v>1.7384999999999999</v>
      </c>
      <c r="CP541" s="1360">
        <v>1.7384999999999999</v>
      </c>
      <c r="CQ541" s="1360">
        <v>1.7384999999999999</v>
      </c>
      <c r="CR541" s="1360">
        <v>1.7384999999999999</v>
      </c>
      <c r="CS541" s="1362">
        <f t="shared" si="441"/>
        <v>731.94188803346026</v>
      </c>
      <c r="CT541" s="1362">
        <f t="shared" si="442"/>
        <v>731.94188803346026</v>
      </c>
      <c r="CU541" s="1362">
        <f t="shared" si="443"/>
        <v>731.94188803346026</v>
      </c>
      <c r="CV541" s="1362">
        <f t="shared" si="444"/>
        <v>731.94188803346026</v>
      </c>
      <c r="CW541" s="1362">
        <f t="shared" si="445"/>
        <v>2927.767552133841</v>
      </c>
      <c r="CY541" s="2887"/>
    </row>
    <row r="542" spans="1:103" s="1143" customFormat="1" ht="77.5" x14ac:dyDescent="0.35">
      <c r="A542" s="1132" t="s">
        <v>116</v>
      </c>
      <c r="B542" s="1132" t="s">
        <v>1000</v>
      </c>
      <c r="C542" s="1132" t="s">
        <v>439</v>
      </c>
      <c r="D542" s="1359" t="s">
        <v>440</v>
      </c>
      <c r="E542" s="1359">
        <v>1</v>
      </c>
      <c r="F542" s="2807" t="s">
        <v>435</v>
      </c>
      <c r="G542" s="1132" t="s">
        <v>356</v>
      </c>
      <c r="H542" s="1360">
        <v>0.86924999999999997</v>
      </c>
      <c r="I542" s="1360">
        <v>0.86924999999999997</v>
      </c>
      <c r="J542" s="1360">
        <v>0.86924999999999997</v>
      </c>
      <c r="K542" s="1360">
        <v>0.86924999999999997</v>
      </c>
      <c r="L542" s="1132" t="s">
        <v>436</v>
      </c>
      <c r="M542" s="1132" t="str">
        <f t="shared" si="407"/>
        <v>Nicor Gas PY11-PY14 Adjustable Goals Template_2025-03-01, Tab 4.4.10</v>
      </c>
      <c r="N542" s="1361">
        <v>744.8581799420856</v>
      </c>
      <c r="O542" s="1361">
        <v>744.8581799420856</v>
      </c>
      <c r="P542" s="1361">
        <v>744.8581799420856</v>
      </c>
      <c r="Q542" s="1361">
        <v>744.8581799420856</v>
      </c>
      <c r="R542" s="1781">
        <v>0.83</v>
      </c>
      <c r="S542" s="1781">
        <v>0.83</v>
      </c>
      <c r="T542" s="1781">
        <v>0.83</v>
      </c>
      <c r="U542" s="1781">
        <v>0.83</v>
      </c>
      <c r="V542" s="2567">
        <v>0.96</v>
      </c>
      <c r="W542" s="2567">
        <v>0.96</v>
      </c>
      <c r="X542" s="2567">
        <v>0.96</v>
      </c>
      <c r="Y542" s="2567">
        <v>0.96</v>
      </c>
      <c r="Z542" s="1359">
        <v>0</v>
      </c>
      <c r="AA542" s="2567">
        <f t="shared" si="408"/>
        <v>0.96</v>
      </c>
      <c r="AB542" s="2567">
        <f t="shared" si="409"/>
        <v>0.96</v>
      </c>
      <c r="AC542" s="2567">
        <f t="shared" si="410"/>
        <v>0.96</v>
      </c>
      <c r="AD542" s="2567">
        <f t="shared" si="411"/>
        <v>0.96</v>
      </c>
      <c r="AE542" s="2567">
        <f t="shared" si="412"/>
        <v>0.96</v>
      </c>
      <c r="AF542" s="2567">
        <f t="shared" si="413"/>
        <v>0.96</v>
      </c>
      <c r="AG542" s="2567">
        <f t="shared" si="414"/>
        <v>0.96</v>
      </c>
      <c r="AH542" s="2567">
        <f t="shared" si="415"/>
        <v>0.96</v>
      </c>
      <c r="AI542" s="1362">
        <f t="shared" si="446"/>
        <v>537.39841751916606</v>
      </c>
      <c r="AJ542" s="1362">
        <f t="shared" si="447"/>
        <v>537.39841751916606</v>
      </c>
      <c r="AK542" s="1362">
        <f t="shared" si="448"/>
        <v>537.39841751916606</v>
      </c>
      <c r="AL542" s="1362">
        <f t="shared" si="449"/>
        <v>537.39841751916606</v>
      </c>
      <c r="AM542" s="1362">
        <f t="shared" si="450"/>
        <v>2149.5936700766642</v>
      </c>
      <c r="AN542" s="1132" t="str">
        <f t="shared" si="416"/>
        <v>CI-HVC-BOIL-V06-190101</v>
      </c>
      <c r="AO542" s="1132" t="str">
        <f t="shared" si="417"/>
        <v>Nicor Gas PY11-PY14 Adjustable Goals Template_2025-03-01, Tab 4.4.10</v>
      </c>
      <c r="AP542" s="2568">
        <f>'4.4.10'!$Q$6</f>
        <v>729.63099191119761</v>
      </c>
      <c r="AQ542" s="2568" t="s">
        <v>1003</v>
      </c>
      <c r="AR542" s="2505">
        <f t="shared" si="418"/>
        <v>608.86247013005618</v>
      </c>
      <c r="AS542" s="2505">
        <f t="shared" si="419"/>
        <v>71.464052610890121</v>
      </c>
      <c r="AT542" s="1132" t="str">
        <f t="shared" si="420"/>
        <v>CI-HVC-BOIL-V06-190101</v>
      </c>
      <c r="AU542" s="1132" t="str">
        <f t="shared" si="421"/>
        <v>Nicor Gas PY11-PY14 Adjustable Goals Template_2025-03-01, Tab 4.4.10</v>
      </c>
      <c r="AV542" s="2505">
        <f>'4.4.10'!$Q$6</f>
        <v>729.63099191119761</v>
      </c>
      <c r="AW542" s="2568" t="s">
        <v>1003</v>
      </c>
      <c r="AX542" s="1362">
        <f t="shared" si="422"/>
        <v>608.86247013005618</v>
      </c>
      <c r="AY542" s="1360">
        <f t="shared" si="423"/>
        <v>71.464052610890121</v>
      </c>
      <c r="AZ542" s="1132" t="str">
        <f t="shared" si="424"/>
        <v>CI-HVC-BOIL-V06-190101</v>
      </c>
      <c r="BA542" s="1132" t="str">
        <f t="shared" si="425"/>
        <v>Nicor Gas PY11-PY14 Adjustable Goals Template_2025-03-01, Tab 4.4.10</v>
      </c>
      <c r="BB542" s="2505">
        <f>'4.4.10'!$Q$6</f>
        <v>729.63099191119761</v>
      </c>
      <c r="BC542" s="2568" t="s">
        <v>1003</v>
      </c>
      <c r="BD542" s="1362">
        <f t="shared" si="426"/>
        <v>608.86247013005618</v>
      </c>
      <c r="BE542" s="1360">
        <f t="shared" si="427"/>
        <v>71.464052610890121</v>
      </c>
      <c r="BF542" s="1132" t="str">
        <f t="shared" si="428"/>
        <v>CI-HVC-BOIL-V06-190101</v>
      </c>
      <c r="BG542" s="1132" t="str">
        <f t="shared" si="429"/>
        <v>Nicor Gas PY11-PY14 Adjustable Goals Template_2025-03-01, Tab 4.4.10</v>
      </c>
      <c r="BH542" s="2505">
        <f>'4.4.10'!$Q$6</f>
        <v>729.63099191119761</v>
      </c>
      <c r="BI542" s="2568" t="s">
        <v>1003</v>
      </c>
      <c r="BJ542" s="1362">
        <f t="shared" si="451"/>
        <v>608.86247013005618</v>
      </c>
      <c r="BK542" s="1360">
        <f t="shared" si="430"/>
        <v>71.464052610890121</v>
      </c>
      <c r="BL542" s="1601">
        <f t="shared" si="431"/>
        <v>608.86247013005618</v>
      </c>
      <c r="BM542" s="1601">
        <f t="shared" si="432"/>
        <v>608.86247013005618</v>
      </c>
      <c r="BN542" s="1601">
        <f t="shared" si="433"/>
        <v>608.86247013005618</v>
      </c>
      <c r="BO542" s="1601">
        <f t="shared" si="434"/>
        <v>608.86247013005618</v>
      </c>
      <c r="BP542" s="1602">
        <f t="shared" si="435"/>
        <v>2435.4498805202247</v>
      </c>
      <c r="BQ542" s="1629"/>
      <c r="BR542" s="1629" t="s">
        <v>435</v>
      </c>
      <c r="BS542" s="1602">
        <v>0</v>
      </c>
      <c r="BT542" s="1602">
        <v>25</v>
      </c>
      <c r="BU542" s="1602">
        <v>25</v>
      </c>
      <c r="BV542" s="1602">
        <v>25</v>
      </c>
      <c r="BW542" s="1602">
        <v>25</v>
      </c>
      <c r="BX542" s="1362">
        <f t="shared" si="452"/>
        <v>13434.960437979151</v>
      </c>
      <c r="BY542" s="1362">
        <f t="shared" si="453"/>
        <v>13434.960437979151</v>
      </c>
      <c r="BZ542" s="1362">
        <f t="shared" si="454"/>
        <v>13434.960437979151</v>
      </c>
      <c r="CA542" s="1362">
        <f t="shared" si="455"/>
        <v>13434.960437979151</v>
      </c>
      <c r="CB542" s="1362">
        <f t="shared" si="456"/>
        <v>53739.841751916603</v>
      </c>
      <c r="CC542" s="1360">
        <v>25</v>
      </c>
      <c r="CD542" s="1360">
        <v>25</v>
      </c>
      <c r="CE542" s="1360">
        <v>25</v>
      </c>
      <c r="CF542" s="1360">
        <v>25</v>
      </c>
      <c r="CG542" s="1604">
        <f t="shared" si="436"/>
        <v>15221.561753251402</v>
      </c>
      <c r="CH542" s="1604">
        <f t="shared" si="437"/>
        <v>15221.561753251402</v>
      </c>
      <c r="CI542" s="1604">
        <f t="shared" si="438"/>
        <v>15221.561753251402</v>
      </c>
      <c r="CJ542" s="1604">
        <f t="shared" si="439"/>
        <v>15221.561753251402</v>
      </c>
      <c r="CK542" s="1521">
        <f t="shared" si="440"/>
        <v>60886.24701300561</v>
      </c>
      <c r="CL542" s="1132">
        <v>535</v>
      </c>
      <c r="CM542" s="1132" t="s">
        <v>356</v>
      </c>
      <c r="CN542" s="1359">
        <v>0</v>
      </c>
      <c r="CO542" s="1360">
        <v>0.86924999999999997</v>
      </c>
      <c r="CP542" s="1360">
        <v>0.86924999999999997</v>
      </c>
      <c r="CQ542" s="1360">
        <v>0.86924999999999997</v>
      </c>
      <c r="CR542" s="1360">
        <v>0.86924999999999997</v>
      </c>
      <c r="CS542" s="1362">
        <f t="shared" si="441"/>
        <v>608.86247013005618</v>
      </c>
      <c r="CT542" s="1362">
        <f t="shared" si="442"/>
        <v>608.86247013005618</v>
      </c>
      <c r="CU542" s="1362">
        <f t="shared" si="443"/>
        <v>608.86247013005618</v>
      </c>
      <c r="CV542" s="1362">
        <f t="shared" si="444"/>
        <v>608.86247013005618</v>
      </c>
      <c r="CW542" s="1362">
        <f t="shared" si="445"/>
        <v>2435.4498805202247</v>
      </c>
      <c r="CY542" s="2887"/>
    </row>
    <row r="543" spans="1:103" s="1143" customFormat="1" ht="77.5" x14ac:dyDescent="0.35">
      <c r="A543" s="1132" t="s">
        <v>116</v>
      </c>
      <c r="B543" s="1132" t="s">
        <v>1000</v>
      </c>
      <c r="C543" s="1132" t="s">
        <v>441</v>
      </c>
      <c r="D543" s="1359" t="s">
        <v>442</v>
      </c>
      <c r="E543" s="1359">
        <v>1</v>
      </c>
      <c r="F543" s="2807" t="s">
        <v>435</v>
      </c>
      <c r="G543" s="1132" t="s">
        <v>356</v>
      </c>
      <c r="H543" s="1360">
        <v>2.6077499999999998</v>
      </c>
      <c r="I543" s="1360">
        <v>2.6077499999999998</v>
      </c>
      <c r="J543" s="1360">
        <v>2.6077499999999998</v>
      </c>
      <c r="K543" s="1360">
        <v>2.6077499999999998</v>
      </c>
      <c r="L543" s="1132" t="s">
        <v>436</v>
      </c>
      <c r="M543" s="1132" t="str">
        <f t="shared" si="407"/>
        <v>Nicor Gas PY11-PY14 Adjustable Goals Template_2025-03-01, Tab 4.4.10</v>
      </c>
      <c r="N543" s="1361">
        <v>1409.4136100386113</v>
      </c>
      <c r="O543" s="1361">
        <v>1409.4136100386113</v>
      </c>
      <c r="P543" s="1361">
        <v>1409.4136100386113</v>
      </c>
      <c r="Q543" s="1361">
        <v>1409.4136100386113</v>
      </c>
      <c r="R543" s="1781">
        <v>0.83</v>
      </c>
      <c r="S543" s="1781">
        <v>0.83</v>
      </c>
      <c r="T543" s="1781">
        <v>0.83</v>
      </c>
      <c r="U543" s="1781">
        <v>0.83</v>
      </c>
      <c r="V543" s="2567">
        <v>0.96</v>
      </c>
      <c r="W543" s="2567">
        <v>0.96</v>
      </c>
      <c r="X543" s="2567">
        <v>0.96</v>
      </c>
      <c r="Y543" s="2567">
        <v>0.96</v>
      </c>
      <c r="Z543" s="1359">
        <v>0</v>
      </c>
      <c r="AA543" s="2567">
        <f t="shared" si="408"/>
        <v>0.96</v>
      </c>
      <c r="AB543" s="2567">
        <f t="shared" si="409"/>
        <v>0.96</v>
      </c>
      <c r="AC543" s="2567">
        <f t="shared" si="410"/>
        <v>0.96</v>
      </c>
      <c r="AD543" s="2567">
        <f t="shared" si="411"/>
        <v>0.96</v>
      </c>
      <c r="AE543" s="2567">
        <f t="shared" si="412"/>
        <v>0.96</v>
      </c>
      <c r="AF543" s="2567">
        <f t="shared" si="413"/>
        <v>0.96</v>
      </c>
      <c r="AG543" s="2567">
        <f t="shared" si="414"/>
        <v>0.96</v>
      </c>
      <c r="AH543" s="2567">
        <f t="shared" si="415"/>
        <v>0.96</v>
      </c>
      <c r="AI543" s="1362">
        <f t="shared" si="446"/>
        <v>3050.5806235098962</v>
      </c>
      <c r="AJ543" s="1362">
        <f t="shared" si="447"/>
        <v>3050.5806235098962</v>
      </c>
      <c r="AK543" s="1362">
        <f t="shared" si="448"/>
        <v>3050.5806235098962</v>
      </c>
      <c r="AL543" s="1362">
        <f t="shared" si="449"/>
        <v>3050.5806235098962</v>
      </c>
      <c r="AM543" s="1362">
        <f t="shared" si="450"/>
        <v>12202.322494039585</v>
      </c>
      <c r="AN543" s="1132" t="str">
        <f t="shared" si="416"/>
        <v>CI-HVC-BOIL-V06-190101</v>
      </c>
      <c r="AO543" s="1132" t="str">
        <f t="shared" si="417"/>
        <v>Nicor Gas PY11-PY14 Adjustable Goals Template_2025-03-01, Tab 4.4.10</v>
      </c>
      <c r="AP543" s="2568">
        <f>'4.4.10'!$Q$7</f>
        <v>1380.60086872587</v>
      </c>
      <c r="AQ543" s="2568" t="s">
        <v>1003</v>
      </c>
      <c r="AR543" s="2505">
        <f t="shared" si="418"/>
        <v>3456.2514388030918</v>
      </c>
      <c r="AS543" s="2505">
        <f t="shared" si="419"/>
        <v>405.67081529319557</v>
      </c>
      <c r="AT543" s="1132" t="str">
        <f t="shared" si="420"/>
        <v>CI-HVC-BOIL-V06-190101</v>
      </c>
      <c r="AU543" s="1132" t="str">
        <f t="shared" si="421"/>
        <v>Nicor Gas PY11-PY14 Adjustable Goals Template_2025-03-01, Tab 4.4.10</v>
      </c>
      <c r="AV543" s="2505">
        <f>'4.4.10'!$Q$7</f>
        <v>1380.60086872587</v>
      </c>
      <c r="AW543" s="2568" t="s">
        <v>1003</v>
      </c>
      <c r="AX543" s="1362">
        <f t="shared" si="422"/>
        <v>3456.2514388030918</v>
      </c>
      <c r="AY543" s="1360">
        <f t="shared" si="423"/>
        <v>405.67081529319557</v>
      </c>
      <c r="AZ543" s="1132" t="str">
        <f t="shared" si="424"/>
        <v>CI-HVC-BOIL-V06-190101</v>
      </c>
      <c r="BA543" s="1132" t="str">
        <f t="shared" si="425"/>
        <v>Nicor Gas PY11-PY14 Adjustable Goals Template_2025-03-01, Tab 4.4.10</v>
      </c>
      <c r="BB543" s="2505">
        <f>'4.4.10'!$Q$7</f>
        <v>1380.60086872587</v>
      </c>
      <c r="BC543" s="2568" t="s">
        <v>1003</v>
      </c>
      <c r="BD543" s="1362">
        <f t="shared" si="426"/>
        <v>3456.2514388030918</v>
      </c>
      <c r="BE543" s="1360">
        <f t="shared" si="427"/>
        <v>405.67081529319557</v>
      </c>
      <c r="BF543" s="1132" t="str">
        <f t="shared" si="428"/>
        <v>CI-HVC-BOIL-V06-190101</v>
      </c>
      <c r="BG543" s="1132" t="str">
        <f t="shared" si="429"/>
        <v>Nicor Gas PY11-PY14 Adjustable Goals Template_2025-03-01, Tab 4.4.10</v>
      </c>
      <c r="BH543" s="2505">
        <f>'4.4.10'!$Q$7</f>
        <v>1380.60086872587</v>
      </c>
      <c r="BI543" s="2568" t="s">
        <v>1003</v>
      </c>
      <c r="BJ543" s="1362">
        <f t="shared" si="451"/>
        <v>3456.2514388030918</v>
      </c>
      <c r="BK543" s="1360">
        <f t="shared" si="430"/>
        <v>405.67081529319557</v>
      </c>
      <c r="BL543" s="1601">
        <f t="shared" si="431"/>
        <v>3456.2514388030918</v>
      </c>
      <c r="BM543" s="1601">
        <f t="shared" si="432"/>
        <v>3456.2514388030918</v>
      </c>
      <c r="BN543" s="1601">
        <f t="shared" si="433"/>
        <v>3456.2514388030918</v>
      </c>
      <c r="BO543" s="1601">
        <f t="shared" si="434"/>
        <v>3456.2514388030918</v>
      </c>
      <c r="BP543" s="1602">
        <f t="shared" si="435"/>
        <v>13825.005755212367</v>
      </c>
      <c r="BQ543" s="1629"/>
      <c r="BR543" s="1629" t="s">
        <v>435</v>
      </c>
      <c r="BS543" s="1602">
        <v>0</v>
      </c>
      <c r="BT543" s="1602">
        <v>25</v>
      </c>
      <c r="BU543" s="1602">
        <v>25</v>
      </c>
      <c r="BV543" s="1602">
        <v>25</v>
      </c>
      <c r="BW543" s="1602">
        <v>25</v>
      </c>
      <c r="BX543" s="1362">
        <f t="shared" si="452"/>
        <v>76264.515587747403</v>
      </c>
      <c r="BY543" s="1362">
        <f t="shared" si="453"/>
        <v>76264.515587747403</v>
      </c>
      <c r="BZ543" s="1362">
        <f t="shared" si="454"/>
        <v>76264.515587747403</v>
      </c>
      <c r="CA543" s="1362">
        <f t="shared" si="455"/>
        <v>76264.515587747403</v>
      </c>
      <c r="CB543" s="1362">
        <f t="shared" si="456"/>
        <v>305058.06235098961</v>
      </c>
      <c r="CC543" s="1360">
        <v>25</v>
      </c>
      <c r="CD543" s="1360">
        <v>25</v>
      </c>
      <c r="CE543" s="1360">
        <v>25</v>
      </c>
      <c r="CF543" s="1360">
        <v>25</v>
      </c>
      <c r="CG543" s="1604">
        <f t="shared" si="436"/>
        <v>86406.285970077297</v>
      </c>
      <c r="CH543" s="1604">
        <f t="shared" si="437"/>
        <v>86406.285970077297</v>
      </c>
      <c r="CI543" s="1604">
        <f t="shared" si="438"/>
        <v>86406.285970077297</v>
      </c>
      <c r="CJ543" s="1604">
        <f t="shared" si="439"/>
        <v>86406.285970077297</v>
      </c>
      <c r="CK543" s="1521">
        <f t="shared" si="440"/>
        <v>345625.14388030919</v>
      </c>
      <c r="CL543" s="1132">
        <v>536</v>
      </c>
      <c r="CM543" s="1132" t="s">
        <v>356</v>
      </c>
      <c r="CN543" s="1359">
        <v>0</v>
      </c>
      <c r="CO543" s="1360">
        <v>2.6077499999999998</v>
      </c>
      <c r="CP543" s="1360">
        <v>2.6077499999999998</v>
      </c>
      <c r="CQ543" s="1360">
        <v>2.6077499999999998</v>
      </c>
      <c r="CR543" s="1360">
        <v>2.6077499999999998</v>
      </c>
      <c r="CS543" s="1362">
        <f t="shared" si="441"/>
        <v>3456.2514388030918</v>
      </c>
      <c r="CT543" s="1362">
        <f t="shared" si="442"/>
        <v>3456.2514388030918</v>
      </c>
      <c r="CU543" s="1362">
        <f t="shared" si="443"/>
        <v>3456.2514388030918</v>
      </c>
      <c r="CV543" s="1362">
        <f t="shared" si="444"/>
        <v>3456.2514388030918</v>
      </c>
      <c r="CW543" s="1362">
        <f t="shared" si="445"/>
        <v>13825.005755212367</v>
      </c>
      <c r="CY543" s="2887"/>
    </row>
    <row r="544" spans="1:103" s="1143" customFormat="1" ht="77.5" x14ac:dyDescent="0.35">
      <c r="A544" s="1132" t="s">
        <v>116</v>
      </c>
      <c r="B544" s="1132" t="s">
        <v>1000</v>
      </c>
      <c r="C544" s="1132" t="s">
        <v>443</v>
      </c>
      <c r="D544" s="1359" t="s">
        <v>444</v>
      </c>
      <c r="E544" s="1359">
        <v>1</v>
      </c>
      <c r="F544" s="2807" t="s">
        <v>435</v>
      </c>
      <c r="G544" s="1132" t="s">
        <v>356</v>
      </c>
      <c r="H544" s="1360">
        <v>0.86924999999999997</v>
      </c>
      <c r="I544" s="1360">
        <v>0.86924999999999997</v>
      </c>
      <c r="J544" s="1360">
        <v>0.86924999999999997</v>
      </c>
      <c r="K544" s="1360">
        <v>0.86924999999999997</v>
      </c>
      <c r="L544" s="1132" t="s">
        <v>436</v>
      </c>
      <c r="M544" s="1132" t="str">
        <f t="shared" si="407"/>
        <v>Nicor Gas PY11-PY14 Adjustable Goals Template_2025-03-01, Tab 4.4.10</v>
      </c>
      <c r="N544" s="1361">
        <v>2213.0736533223958</v>
      </c>
      <c r="O544" s="1361">
        <v>2213.0736533223958</v>
      </c>
      <c r="P544" s="1361">
        <v>2213.0736533223958</v>
      </c>
      <c r="Q544" s="1361">
        <v>2213.0736533223958</v>
      </c>
      <c r="R544" s="1781">
        <v>0.83</v>
      </c>
      <c r="S544" s="1781">
        <v>0.83</v>
      </c>
      <c r="T544" s="1781">
        <v>0.83</v>
      </c>
      <c r="U544" s="1781">
        <v>0.83</v>
      </c>
      <c r="V544" s="2567">
        <v>0.96</v>
      </c>
      <c r="W544" s="2567">
        <v>0.96</v>
      </c>
      <c r="X544" s="2567">
        <v>0.96</v>
      </c>
      <c r="Y544" s="2567">
        <v>0.96</v>
      </c>
      <c r="Z544" s="1359">
        <v>0</v>
      </c>
      <c r="AA544" s="2567">
        <f t="shared" si="408"/>
        <v>0.96</v>
      </c>
      <c r="AB544" s="2567">
        <f t="shared" si="409"/>
        <v>0.96</v>
      </c>
      <c r="AC544" s="2567">
        <f t="shared" si="410"/>
        <v>0.96</v>
      </c>
      <c r="AD544" s="2567">
        <f t="shared" si="411"/>
        <v>0.96</v>
      </c>
      <c r="AE544" s="2567">
        <f t="shared" si="412"/>
        <v>0.96</v>
      </c>
      <c r="AF544" s="2567">
        <f t="shared" si="413"/>
        <v>0.96</v>
      </c>
      <c r="AG544" s="2567">
        <f t="shared" si="414"/>
        <v>0.96</v>
      </c>
      <c r="AH544" s="2567">
        <f t="shared" si="415"/>
        <v>0.96</v>
      </c>
      <c r="AI544" s="1362">
        <f t="shared" si="446"/>
        <v>1596.6828467149087</v>
      </c>
      <c r="AJ544" s="1362">
        <f t="shared" si="447"/>
        <v>1596.6828467149087</v>
      </c>
      <c r="AK544" s="1362">
        <f t="shared" si="448"/>
        <v>1596.6828467149087</v>
      </c>
      <c r="AL544" s="1362">
        <f t="shared" si="449"/>
        <v>1596.6828467149087</v>
      </c>
      <c r="AM544" s="1362">
        <f t="shared" si="450"/>
        <v>6386.7313868596348</v>
      </c>
      <c r="AN544" s="1132" t="str">
        <f t="shared" si="416"/>
        <v>CI-HVC-BOIL-V06-190101</v>
      </c>
      <c r="AO544" s="1132" t="str">
        <f t="shared" si="417"/>
        <v>Nicor Gas PY11-PY14 Adjustable Goals Template_2025-03-01, Tab 4.4.10</v>
      </c>
      <c r="AP544" s="2568">
        <f>'4.4.10'!$Q$8</f>
        <v>2167.831633361006</v>
      </c>
      <c r="AQ544" s="2568" t="s">
        <v>1003</v>
      </c>
      <c r="AR544" s="2505">
        <f t="shared" si="418"/>
        <v>1809.012141407092</v>
      </c>
      <c r="AS544" s="2505">
        <f t="shared" si="419"/>
        <v>212.32929469218334</v>
      </c>
      <c r="AT544" s="1132" t="str">
        <f t="shared" si="420"/>
        <v>CI-HVC-BOIL-V06-190101</v>
      </c>
      <c r="AU544" s="1132" t="str">
        <f t="shared" si="421"/>
        <v>Nicor Gas PY11-PY14 Adjustable Goals Template_2025-03-01, Tab 4.4.10</v>
      </c>
      <c r="AV544" s="2505">
        <f>'4.4.10'!$Q$8</f>
        <v>2167.831633361006</v>
      </c>
      <c r="AW544" s="2568" t="s">
        <v>1003</v>
      </c>
      <c r="AX544" s="1362">
        <f t="shared" si="422"/>
        <v>1809.012141407092</v>
      </c>
      <c r="AY544" s="1360">
        <f t="shared" si="423"/>
        <v>212.32929469218334</v>
      </c>
      <c r="AZ544" s="1132" t="str">
        <f t="shared" si="424"/>
        <v>CI-HVC-BOIL-V06-190101</v>
      </c>
      <c r="BA544" s="1132" t="str">
        <f t="shared" si="425"/>
        <v>Nicor Gas PY11-PY14 Adjustable Goals Template_2025-03-01, Tab 4.4.10</v>
      </c>
      <c r="BB544" s="2505">
        <f>'4.4.10'!$Q$8</f>
        <v>2167.831633361006</v>
      </c>
      <c r="BC544" s="2568" t="s">
        <v>1003</v>
      </c>
      <c r="BD544" s="1362">
        <f t="shared" si="426"/>
        <v>1809.012141407092</v>
      </c>
      <c r="BE544" s="1360">
        <f t="shared" si="427"/>
        <v>212.32929469218334</v>
      </c>
      <c r="BF544" s="1132" t="str">
        <f t="shared" si="428"/>
        <v>CI-HVC-BOIL-V06-190101</v>
      </c>
      <c r="BG544" s="1132" t="str">
        <f t="shared" si="429"/>
        <v>Nicor Gas PY11-PY14 Adjustable Goals Template_2025-03-01, Tab 4.4.10</v>
      </c>
      <c r="BH544" s="2505">
        <f>'4.4.10'!$Q$8</f>
        <v>2167.831633361006</v>
      </c>
      <c r="BI544" s="2568" t="s">
        <v>1003</v>
      </c>
      <c r="BJ544" s="1362">
        <f t="shared" si="451"/>
        <v>1809.012141407092</v>
      </c>
      <c r="BK544" s="1360">
        <f t="shared" si="430"/>
        <v>212.32929469218334</v>
      </c>
      <c r="BL544" s="1601">
        <f t="shared" si="431"/>
        <v>1809.012141407092</v>
      </c>
      <c r="BM544" s="1601">
        <f t="shared" si="432"/>
        <v>1809.012141407092</v>
      </c>
      <c r="BN544" s="1601">
        <f t="shared" si="433"/>
        <v>1809.012141407092</v>
      </c>
      <c r="BO544" s="1601">
        <f t="shared" si="434"/>
        <v>1809.012141407092</v>
      </c>
      <c r="BP544" s="1602">
        <f t="shared" si="435"/>
        <v>7236.0485656283681</v>
      </c>
      <c r="BQ544" s="1629"/>
      <c r="BR544" s="1629" t="s">
        <v>435</v>
      </c>
      <c r="BS544" s="1602">
        <v>0</v>
      </c>
      <c r="BT544" s="1602">
        <v>25</v>
      </c>
      <c r="BU544" s="1602">
        <v>25</v>
      </c>
      <c r="BV544" s="1602">
        <v>25</v>
      </c>
      <c r="BW544" s="1602">
        <v>25</v>
      </c>
      <c r="BX544" s="1362">
        <f t="shared" si="452"/>
        <v>39917.071167872717</v>
      </c>
      <c r="BY544" s="1362">
        <f t="shared" si="453"/>
        <v>39917.071167872717</v>
      </c>
      <c r="BZ544" s="1362">
        <f t="shared" si="454"/>
        <v>39917.071167872717</v>
      </c>
      <c r="CA544" s="1362">
        <f t="shared" si="455"/>
        <v>39917.071167872717</v>
      </c>
      <c r="CB544" s="1362">
        <f t="shared" si="456"/>
        <v>159668.28467149087</v>
      </c>
      <c r="CC544" s="1360">
        <v>25</v>
      </c>
      <c r="CD544" s="1360">
        <v>25</v>
      </c>
      <c r="CE544" s="1360">
        <v>25</v>
      </c>
      <c r="CF544" s="1360">
        <v>25</v>
      </c>
      <c r="CG544" s="1604">
        <f t="shared" si="436"/>
        <v>45225.3035351773</v>
      </c>
      <c r="CH544" s="1604">
        <f t="shared" si="437"/>
        <v>45225.3035351773</v>
      </c>
      <c r="CI544" s="1604">
        <f t="shared" si="438"/>
        <v>45225.3035351773</v>
      </c>
      <c r="CJ544" s="1604">
        <f t="shared" si="439"/>
        <v>45225.3035351773</v>
      </c>
      <c r="CK544" s="1521">
        <f t="shared" si="440"/>
        <v>180901.2141407092</v>
      </c>
      <c r="CL544" s="1132">
        <v>537</v>
      </c>
      <c r="CM544" s="1132" t="s">
        <v>356</v>
      </c>
      <c r="CN544" s="1359">
        <v>0</v>
      </c>
      <c r="CO544" s="1360">
        <v>0.86924999999999997</v>
      </c>
      <c r="CP544" s="1360">
        <v>0.86924999999999997</v>
      </c>
      <c r="CQ544" s="1360">
        <v>0.86924999999999997</v>
      </c>
      <c r="CR544" s="1360">
        <v>0.86924999999999997</v>
      </c>
      <c r="CS544" s="1362">
        <f t="shared" si="441"/>
        <v>1809.012141407092</v>
      </c>
      <c r="CT544" s="1362">
        <f t="shared" si="442"/>
        <v>1809.012141407092</v>
      </c>
      <c r="CU544" s="1362">
        <f t="shared" si="443"/>
        <v>1809.012141407092</v>
      </c>
      <c r="CV544" s="1362">
        <f t="shared" si="444"/>
        <v>1809.012141407092</v>
      </c>
      <c r="CW544" s="1362">
        <f t="shared" si="445"/>
        <v>7236.0485656283681</v>
      </c>
      <c r="CY544" s="2887"/>
    </row>
    <row r="545" spans="1:103" s="1143" customFormat="1" ht="77.5" x14ac:dyDescent="0.35">
      <c r="A545" s="1132" t="s">
        <v>116</v>
      </c>
      <c r="B545" s="1132" t="s">
        <v>1000</v>
      </c>
      <c r="C545" s="1132" t="s">
        <v>445</v>
      </c>
      <c r="D545" s="1359" t="s">
        <v>446</v>
      </c>
      <c r="E545" s="1359">
        <v>1</v>
      </c>
      <c r="F545" s="2807" t="s">
        <v>435</v>
      </c>
      <c r="G545" s="1132" t="s">
        <v>356</v>
      </c>
      <c r="H545" s="1360">
        <v>0.86924999999999997</v>
      </c>
      <c r="I545" s="1360">
        <v>0.86924999999999997</v>
      </c>
      <c r="J545" s="1360">
        <v>0.86924999999999997</v>
      </c>
      <c r="K545" s="1360">
        <v>0.86924999999999997</v>
      </c>
      <c r="L545" s="1132" t="s">
        <v>436</v>
      </c>
      <c r="M545" s="1132" t="str">
        <f t="shared" si="407"/>
        <v>Nicor Gas PY11-PY14 Adjustable Goals Template_2025-03-01, Tab 4.4.10</v>
      </c>
      <c r="N545" s="1361">
        <v>32.416513030888062</v>
      </c>
      <c r="O545" s="1361">
        <v>32.416513030888062</v>
      </c>
      <c r="P545" s="1361">
        <v>32.416513030888062</v>
      </c>
      <c r="Q545" s="1361">
        <v>32.416513030888062</v>
      </c>
      <c r="R545" s="1781">
        <v>0.83</v>
      </c>
      <c r="S545" s="1781">
        <v>0.83</v>
      </c>
      <c r="T545" s="1781">
        <v>0.83</v>
      </c>
      <c r="U545" s="1781">
        <v>0.83</v>
      </c>
      <c r="V545" s="2567">
        <v>0.96</v>
      </c>
      <c r="W545" s="2567">
        <v>0.96</v>
      </c>
      <c r="X545" s="2567">
        <v>0.96</v>
      </c>
      <c r="Y545" s="2567">
        <v>0.96</v>
      </c>
      <c r="Z545" s="1359">
        <v>0</v>
      </c>
      <c r="AA545" s="2567">
        <f t="shared" si="408"/>
        <v>0.96</v>
      </c>
      <c r="AB545" s="2567">
        <f t="shared" si="409"/>
        <v>0.96</v>
      </c>
      <c r="AC545" s="2567">
        <f t="shared" si="410"/>
        <v>0.96</v>
      </c>
      <c r="AD545" s="2567">
        <f t="shared" si="411"/>
        <v>0.96</v>
      </c>
      <c r="AE545" s="2567">
        <f t="shared" si="412"/>
        <v>0.96</v>
      </c>
      <c r="AF545" s="2567">
        <f t="shared" si="413"/>
        <v>0.96</v>
      </c>
      <c r="AG545" s="2567">
        <f t="shared" si="414"/>
        <v>0.96</v>
      </c>
      <c r="AH545" s="2567">
        <f t="shared" si="415"/>
        <v>0.96</v>
      </c>
      <c r="AI545" s="1362">
        <f t="shared" si="446"/>
        <v>23.387784780242541</v>
      </c>
      <c r="AJ545" s="1362">
        <f t="shared" si="447"/>
        <v>23.387784780242541</v>
      </c>
      <c r="AK545" s="1362">
        <f t="shared" si="448"/>
        <v>23.387784780242541</v>
      </c>
      <c r="AL545" s="1362">
        <f t="shared" si="449"/>
        <v>23.387784780242541</v>
      </c>
      <c r="AM545" s="1362">
        <f t="shared" si="450"/>
        <v>93.551139120970163</v>
      </c>
      <c r="AN545" s="1132" t="str">
        <f t="shared" si="416"/>
        <v>CI-HVC-BOIL-V06-190101</v>
      </c>
      <c r="AO545" s="1132" t="str">
        <f t="shared" si="417"/>
        <v>Nicor Gas PY11-PY14 Adjustable Goals Template_2025-03-01, Tab 4.4.10</v>
      </c>
      <c r="AP545" s="2568">
        <f>'4.4.10'!$Q$9</f>
        <v>31.753819980695013</v>
      </c>
      <c r="AQ545" s="2568" t="s">
        <v>1003</v>
      </c>
      <c r="AR545" s="2505">
        <f t="shared" si="418"/>
        <v>26.497927697490372</v>
      </c>
      <c r="AS545" s="2505">
        <f t="shared" si="419"/>
        <v>3.1101429172478312</v>
      </c>
      <c r="AT545" s="1132" t="str">
        <f t="shared" si="420"/>
        <v>CI-HVC-BOIL-V06-190101</v>
      </c>
      <c r="AU545" s="1132" t="str">
        <f t="shared" si="421"/>
        <v>Nicor Gas PY11-PY14 Adjustable Goals Template_2025-03-01, Tab 4.4.10</v>
      </c>
      <c r="AV545" s="2505">
        <f>'4.4.10'!$Q$9</f>
        <v>31.753819980695013</v>
      </c>
      <c r="AW545" s="2568" t="s">
        <v>1003</v>
      </c>
      <c r="AX545" s="1362">
        <f t="shared" si="422"/>
        <v>26.497927697490372</v>
      </c>
      <c r="AY545" s="1360">
        <f t="shared" si="423"/>
        <v>3.1101429172478312</v>
      </c>
      <c r="AZ545" s="1132" t="str">
        <f t="shared" si="424"/>
        <v>CI-HVC-BOIL-V06-190101</v>
      </c>
      <c r="BA545" s="1132" t="str">
        <f t="shared" si="425"/>
        <v>Nicor Gas PY11-PY14 Adjustable Goals Template_2025-03-01, Tab 4.4.10</v>
      </c>
      <c r="BB545" s="2505">
        <f>'4.4.10'!$Q$9</f>
        <v>31.753819980695013</v>
      </c>
      <c r="BC545" s="2568" t="s">
        <v>1003</v>
      </c>
      <c r="BD545" s="1362">
        <f t="shared" si="426"/>
        <v>26.497927697490372</v>
      </c>
      <c r="BE545" s="1360">
        <f t="shared" si="427"/>
        <v>3.1101429172478312</v>
      </c>
      <c r="BF545" s="1132" t="str">
        <f t="shared" si="428"/>
        <v>CI-HVC-BOIL-V06-190101</v>
      </c>
      <c r="BG545" s="1132" t="str">
        <f t="shared" si="429"/>
        <v>Nicor Gas PY11-PY14 Adjustable Goals Template_2025-03-01, Tab 4.4.10</v>
      </c>
      <c r="BH545" s="2505">
        <f>'4.4.10'!$Q$9</f>
        <v>31.753819980695013</v>
      </c>
      <c r="BI545" s="2568" t="s">
        <v>1003</v>
      </c>
      <c r="BJ545" s="1362">
        <f t="shared" si="451"/>
        <v>26.497927697490372</v>
      </c>
      <c r="BK545" s="1360">
        <f t="shared" si="430"/>
        <v>3.1101429172478312</v>
      </c>
      <c r="BL545" s="1601">
        <f t="shared" si="431"/>
        <v>26.497927697490372</v>
      </c>
      <c r="BM545" s="1601">
        <f t="shared" si="432"/>
        <v>26.497927697490372</v>
      </c>
      <c r="BN545" s="1601">
        <f t="shared" si="433"/>
        <v>26.497927697490372</v>
      </c>
      <c r="BO545" s="1601">
        <f t="shared" si="434"/>
        <v>26.497927697490372</v>
      </c>
      <c r="BP545" s="1602">
        <f t="shared" si="435"/>
        <v>105.99171078996149</v>
      </c>
      <c r="BQ545" s="1629"/>
      <c r="BR545" s="1629" t="s">
        <v>435</v>
      </c>
      <c r="BS545" s="1602">
        <v>0</v>
      </c>
      <c r="BT545" s="1602">
        <v>25</v>
      </c>
      <c r="BU545" s="1602">
        <v>25</v>
      </c>
      <c r="BV545" s="1602">
        <v>25</v>
      </c>
      <c r="BW545" s="1602">
        <v>25</v>
      </c>
      <c r="BX545" s="1362">
        <f t="shared" si="452"/>
        <v>584.69461950606353</v>
      </c>
      <c r="BY545" s="1362">
        <f t="shared" si="453"/>
        <v>584.69461950606353</v>
      </c>
      <c r="BZ545" s="1362">
        <f t="shared" si="454"/>
        <v>584.69461950606353</v>
      </c>
      <c r="CA545" s="1362">
        <f t="shared" si="455"/>
        <v>584.69461950606353</v>
      </c>
      <c r="CB545" s="1362">
        <f t="shared" si="456"/>
        <v>2338.7784780242541</v>
      </c>
      <c r="CC545" s="1360">
        <v>25</v>
      </c>
      <c r="CD545" s="1360">
        <v>25</v>
      </c>
      <c r="CE545" s="1360">
        <v>25</v>
      </c>
      <c r="CF545" s="1360">
        <v>25</v>
      </c>
      <c r="CG545" s="1604">
        <f t="shared" si="436"/>
        <v>662.44819243725931</v>
      </c>
      <c r="CH545" s="1604">
        <f t="shared" si="437"/>
        <v>662.44819243725931</v>
      </c>
      <c r="CI545" s="1604">
        <f t="shared" si="438"/>
        <v>662.44819243725931</v>
      </c>
      <c r="CJ545" s="1604">
        <f t="shared" si="439"/>
        <v>662.44819243725931</v>
      </c>
      <c r="CK545" s="1521">
        <f t="shared" si="440"/>
        <v>2649.7927697490372</v>
      </c>
      <c r="CL545" s="1132">
        <v>538</v>
      </c>
      <c r="CM545" s="1132" t="s">
        <v>356</v>
      </c>
      <c r="CN545" s="1359">
        <v>0</v>
      </c>
      <c r="CO545" s="1360">
        <v>0.86924999999999997</v>
      </c>
      <c r="CP545" s="1360">
        <v>0.86924999999999997</v>
      </c>
      <c r="CQ545" s="1360">
        <v>0.86924999999999997</v>
      </c>
      <c r="CR545" s="1360">
        <v>0.86924999999999997</v>
      </c>
      <c r="CS545" s="1362">
        <f t="shared" si="441"/>
        <v>26.497927697490372</v>
      </c>
      <c r="CT545" s="1362">
        <f t="shared" si="442"/>
        <v>26.497927697490372</v>
      </c>
      <c r="CU545" s="1362">
        <f t="shared" si="443"/>
        <v>26.497927697490372</v>
      </c>
      <c r="CV545" s="1362">
        <f t="shared" si="444"/>
        <v>26.497927697490372</v>
      </c>
      <c r="CW545" s="1362">
        <f t="shared" si="445"/>
        <v>105.99171078996149</v>
      </c>
      <c r="CY545" s="2887"/>
    </row>
    <row r="546" spans="1:103" s="1143" customFormat="1" ht="77.5" x14ac:dyDescent="0.35">
      <c r="A546" s="1132" t="s">
        <v>116</v>
      </c>
      <c r="B546" s="1132" t="s">
        <v>1000</v>
      </c>
      <c r="C546" s="1132" t="s">
        <v>447</v>
      </c>
      <c r="D546" s="1359" t="s">
        <v>448</v>
      </c>
      <c r="E546" s="1359">
        <v>1</v>
      </c>
      <c r="F546" s="2807" t="s">
        <v>435</v>
      </c>
      <c r="G546" s="1132" t="s">
        <v>356</v>
      </c>
      <c r="H546" s="1360">
        <v>0.86924999999999997</v>
      </c>
      <c r="I546" s="1360">
        <v>0.86924999999999997</v>
      </c>
      <c r="J546" s="1360">
        <v>0.86924999999999997</v>
      </c>
      <c r="K546" s="1360">
        <v>0.86924999999999997</v>
      </c>
      <c r="L546" s="1132" t="s">
        <v>436</v>
      </c>
      <c r="M546" s="1132" t="str">
        <f t="shared" si="407"/>
        <v>Nicor Gas PY11-PY14 Adjustable Goals Template_2025-03-01, Tab 4.4.10</v>
      </c>
      <c r="N546" s="1361">
        <v>74.980804054054119</v>
      </c>
      <c r="O546" s="1361">
        <v>74.980804054054119</v>
      </c>
      <c r="P546" s="1361">
        <v>74.980804054054119</v>
      </c>
      <c r="Q546" s="1361">
        <v>74.980804054054119</v>
      </c>
      <c r="R546" s="1781">
        <v>0.83</v>
      </c>
      <c r="S546" s="1781">
        <v>0.83</v>
      </c>
      <c r="T546" s="1781">
        <v>0.83</v>
      </c>
      <c r="U546" s="1781">
        <v>0.83</v>
      </c>
      <c r="V546" s="2567">
        <v>0.96</v>
      </c>
      <c r="W546" s="2567">
        <v>0.96</v>
      </c>
      <c r="X546" s="2567">
        <v>0.96</v>
      </c>
      <c r="Y546" s="2567">
        <v>0.96</v>
      </c>
      <c r="Z546" s="1359">
        <v>0</v>
      </c>
      <c r="AA546" s="2567">
        <f t="shared" si="408"/>
        <v>0.96</v>
      </c>
      <c r="AB546" s="2567">
        <f t="shared" si="409"/>
        <v>0.96</v>
      </c>
      <c r="AC546" s="2567">
        <f t="shared" si="410"/>
        <v>0.96</v>
      </c>
      <c r="AD546" s="2567">
        <f t="shared" si="411"/>
        <v>0.96</v>
      </c>
      <c r="AE546" s="2567">
        <f t="shared" si="412"/>
        <v>0.96</v>
      </c>
      <c r="AF546" s="2567">
        <f t="shared" si="413"/>
        <v>0.96</v>
      </c>
      <c r="AG546" s="2567">
        <f t="shared" si="414"/>
        <v>0.96</v>
      </c>
      <c r="AH546" s="2567">
        <f t="shared" si="415"/>
        <v>0.96</v>
      </c>
      <c r="AI546" s="1362">
        <f t="shared" si="446"/>
        <v>54.096963056908827</v>
      </c>
      <c r="AJ546" s="1362">
        <f t="shared" si="447"/>
        <v>54.096963056908827</v>
      </c>
      <c r="AK546" s="1362">
        <f t="shared" si="448"/>
        <v>54.096963056908827</v>
      </c>
      <c r="AL546" s="1362">
        <f t="shared" si="449"/>
        <v>54.096963056908827</v>
      </c>
      <c r="AM546" s="1362">
        <f t="shared" si="450"/>
        <v>216.38785222763531</v>
      </c>
      <c r="AN546" s="1132" t="str">
        <f t="shared" si="416"/>
        <v>CI-HVC-BOIL-V06-190101</v>
      </c>
      <c r="AO546" s="1132" t="str">
        <f t="shared" si="417"/>
        <v>Nicor Gas PY11-PY14 Adjustable Goals Template_2025-03-01, Tab 4.4.10</v>
      </c>
      <c r="AP546" s="2568">
        <f>'4.4.10'!$Q$10</f>
        <v>73.447966216216287</v>
      </c>
      <c r="AQ546" s="2568" t="s">
        <v>1003</v>
      </c>
      <c r="AR546" s="2505">
        <f t="shared" si="418"/>
        <v>61.290858848108158</v>
      </c>
      <c r="AS546" s="2505">
        <f t="shared" si="419"/>
        <v>7.1938957911993313</v>
      </c>
      <c r="AT546" s="1132" t="str">
        <f t="shared" si="420"/>
        <v>CI-HVC-BOIL-V06-190101</v>
      </c>
      <c r="AU546" s="1132" t="str">
        <f t="shared" si="421"/>
        <v>Nicor Gas PY11-PY14 Adjustable Goals Template_2025-03-01, Tab 4.4.10</v>
      </c>
      <c r="AV546" s="2505">
        <f>'4.4.10'!$Q$10</f>
        <v>73.447966216216287</v>
      </c>
      <c r="AW546" s="2568" t="s">
        <v>1003</v>
      </c>
      <c r="AX546" s="1362">
        <f t="shared" si="422"/>
        <v>61.290858848108158</v>
      </c>
      <c r="AY546" s="1360">
        <f t="shared" si="423"/>
        <v>7.1938957911993313</v>
      </c>
      <c r="AZ546" s="1132" t="str">
        <f t="shared" si="424"/>
        <v>CI-HVC-BOIL-V06-190101</v>
      </c>
      <c r="BA546" s="1132" t="str">
        <f t="shared" si="425"/>
        <v>Nicor Gas PY11-PY14 Adjustable Goals Template_2025-03-01, Tab 4.4.10</v>
      </c>
      <c r="BB546" s="2505">
        <f>'4.4.10'!$Q$10</f>
        <v>73.447966216216287</v>
      </c>
      <c r="BC546" s="2568" t="s">
        <v>1003</v>
      </c>
      <c r="BD546" s="1362">
        <f t="shared" si="426"/>
        <v>61.290858848108158</v>
      </c>
      <c r="BE546" s="1360">
        <f t="shared" si="427"/>
        <v>7.1938957911993313</v>
      </c>
      <c r="BF546" s="1132" t="str">
        <f t="shared" si="428"/>
        <v>CI-HVC-BOIL-V06-190101</v>
      </c>
      <c r="BG546" s="1132" t="str">
        <f t="shared" si="429"/>
        <v>Nicor Gas PY11-PY14 Adjustable Goals Template_2025-03-01, Tab 4.4.10</v>
      </c>
      <c r="BH546" s="2505">
        <f>'4.4.10'!$Q$10</f>
        <v>73.447966216216287</v>
      </c>
      <c r="BI546" s="2568" t="s">
        <v>1003</v>
      </c>
      <c r="BJ546" s="1362">
        <f t="shared" si="451"/>
        <v>61.290858848108158</v>
      </c>
      <c r="BK546" s="1360">
        <f t="shared" si="430"/>
        <v>7.1938957911993313</v>
      </c>
      <c r="BL546" s="1601">
        <f t="shared" si="431"/>
        <v>61.290858848108158</v>
      </c>
      <c r="BM546" s="1601">
        <f t="shared" si="432"/>
        <v>61.290858848108158</v>
      </c>
      <c r="BN546" s="1601">
        <f t="shared" si="433"/>
        <v>61.290858848108158</v>
      </c>
      <c r="BO546" s="1601">
        <f t="shared" si="434"/>
        <v>61.290858848108158</v>
      </c>
      <c r="BP546" s="1602">
        <f t="shared" si="435"/>
        <v>245.16343539243263</v>
      </c>
      <c r="BQ546" s="1629"/>
      <c r="BR546" s="1629" t="s">
        <v>435</v>
      </c>
      <c r="BS546" s="1602">
        <v>0</v>
      </c>
      <c r="BT546" s="1602">
        <v>25</v>
      </c>
      <c r="BU546" s="1602">
        <v>25</v>
      </c>
      <c r="BV546" s="1602">
        <v>25</v>
      </c>
      <c r="BW546" s="1602">
        <v>25</v>
      </c>
      <c r="BX546" s="1362">
        <f t="shared" si="452"/>
        <v>1352.4240764227206</v>
      </c>
      <c r="BY546" s="1362">
        <f t="shared" si="453"/>
        <v>1352.4240764227206</v>
      </c>
      <c r="BZ546" s="1362">
        <f t="shared" si="454"/>
        <v>1352.4240764227206</v>
      </c>
      <c r="CA546" s="1362">
        <f t="shared" si="455"/>
        <v>1352.4240764227206</v>
      </c>
      <c r="CB546" s="1362">
        <f t="shared" si="456"/>
        <v>5409.6963056908826</v>
      </c>
      <c r="CC546" s="1360">
        <v>25</v>
      </c>
      <c r="CD546" s="1360">
        <v>25</v>
      </c>
      <c r="CE546" s="1360">
        <v>25</v>
      </c>
      <c r="CF546" s="1360">
        <v>25</v>
      </c>
      <c r="CG546" s="1604">
        <f t="shared" si="436"/>
        <v>1532.2714712027039</v>
      </c>
      <c r="CH546" s="1604">
        <f t="shared" si="437"/>
        <v>1532.2714712027039</v>
      </c>
      <c r="CI546" s="1604">
        <f t="shared" si="438"/>
        <v>1532.2714712027039</v>
      </c>
      <c r="CJ546" s="1604">
        <f t="shared" si="439"/>
        <v>1532.2714712027039</v>
      </c>
      <c r="CK546" s="1521">
        <f t="shared" si="440"/>
        <v>6129.0858848108155</v>
      </c>
      <c r="CL546" s="1132">
        <v>539</v>
      </c>
      <c r="CM546" s="1132" t="s">
        <v>356</v>
      </c>
      <c r="CN546" s="1359">
        <v>0</v>
      </c>
      <c r="CO546" s="1360">
        <v>0.86924999999999997</v>
      </c>
      <c r="CP546" s="1360">
        <v>0.86924999999999997</v>
      </c>
      <c r="CQ546" s="1360">
        <v>0.86924999999999997</v>
      </c>
      <c r="CR546" s="1360">
        <v>0.86924999999999997</v>
      </c>
      <c r="CS546" s="1362">
        <f t="shared" si="441"/>
        <v>61.290858848108158</v>
      </c>
      <c r="CT546" s="1362">
        <f t="shared" si="442"/>
        <v>61.290858848108158</v>
      </c>
      <c r="CU546" s="1362">
        <f t="shared" si="443"/>
        <v>61.290858848108158</v>
      </c>
      <c r="CV546" s="1362">
        <f t="shared" si="444"/>
        <v>61.290858848108158</v>
      </c>
      <c r="CW546" s="1362">
        <f t="shared" si="445"/>
        <v>245.16343539243263</v>
      </c>
      <c r="CY546" s="2887"/>
    </row>
    <row r="547" spans="1:103" s="1143" customFormat="1" ht="30" customHeight="1" x14ac:dyDescent="0.35">
      <c r="A547" s="1132" t="s">
        <v>116</v>
      </c>
      <c r="B547" s="1132" t="s">
        <v>1000</v>
      </c>
      <c r="C547" s="1132" t="s">
        <v>449</v>
      </c>
      <c r="D547" s="1359" t="s">
        <v>450</v>
      </c>
      <c r="E547" s="1359">
        <v>1</v>
      </c>
      <c r="F547" s="2807" t="s">
        <v>435</v>
      </c>
      <c r="G547" s="1132" t="s">
        <v>356</v>
      </c>
      <c r="H547" s="1360">
        <v>0.86924999999999997</v>
      </c>
      <c r="I547" s="1360">
        <v>0.86924999999999997</v>
      </c>
      <c r="J547" s="1360">
        <v>0.86924999999999997</v>
      </c>
      <c r="K547" s="1360">
        <v>0.86924999999999997</v>
      </c>
      <c r="L547" s="1132" t="s">
        <v>436</v>
      </c>
      <c r="M547" s="1132" t="str">
        <f t="shared" si="407"/>
        <v>Nicor Gas PY11-PY14 Adjustable Goals Template_2025-03-01, Tab 4.4.10</v>
      </c>
      <c r="N547" s="1361">
        <v>134.22992131467194</v>
      </c>
      <c r="O547" s="1361">
        <v>134.22992131467194</v>
      </c>
      <c r="P547" s="1361">
        <v>134.22992131467194</v>
      </c>
      <c r="Q547" s="1361">
        <v>134.22992131467194</v>
      </c>
      <c r="R547" s="1781">
        <v>0.83</v>
      </c>
      <c r="S547" s="1781">
        <v>0.83</v>
      </c>
      <c r="T547" s="1781">
        <v>0.83</v>
      </c>
      <c r="U547" s="1781">
        <v>0.83</v>
      </c>
      <c r="V547" s="2567">
        <v>0.96</v>
      </c>
      <c r="W547" s="2567">
        <v>0.96</v>
      </c>
      <c r="X547" s="2567">
        <v>0.96</v>
      </c>
      <c r="Y547" s="2567">
        <v>0.96</v>
      </c>
      <c r="Z547" s="1359">
        <v>0</v>
      </c>
      <c r="AA547" s="2567">
        <f t="shared" si="408"/>
        <v>0.96</v>
      </c>
      <c r="AB547" s="2567">
        <f t="shared" si="409"/>
        <v>0.96</v>
      </c>
      <c r="AC547" s="2567">
        <f t="shared" si="410"/>
        <v>0.96</v>
      </c>
      <c r="AD547" s="2567">
        <f t="shared" si="411"/>
        <v>0.96</v>
      </c>
      <c r="AE547" s="2567">
        <f t="shared" si="412"/>
        <v>0.96</v>
      </c>
      <c r="AF547" s="2567">
        <f t="shared" si="413"/>
        <v>0.96</v>
      </c>
      <c r="AG547" s="2567">
        <f t="shared" si="414"/>
        <v>0.96</v>
      </c>
      <c r="AH547" s="2567">
        <f t="shared" si="415"/>
        <v>0.96</v>
      </c>
      <c r="AI547" s="1362">
        <f t="shared" si="446"/>
        <v>96.843868055306217</v>
      </c>
      <c r="AJ547" s="1362">
        <f t="shared" si="447"/>
        <v>96.843868055306217</v>
      </c>
      <c r="AK547" s="1362">
        <f t="shared" si="448"/>
        <v>96.843868055306217</v>
      </c>
      <c r="AL547" s="1362">
        <f t="shared" si="449"/>
        <v>96.843868055306217</v>
      </c>
      <c r="AM547" s="1362">
        <f t="shared" si="450"/>
        <v>387.37547222122487</v>
      </c>
      <c r="AN547" s="1132" t="str">
        <f t="shared" si="416"/>
        <v>CI-HVC-BOIL-V06-190101</v>
      </c>
      <c r="AO547" s="1132" t="str">
        <f t="shared" si="417"/>
        <v>Nicor Gas PY11-PY14 Adjustable Goals Template_2025-03-01, Tab 4.4.10</v>
      </c>
      <c r="AP547" s="2568">
        <f>'4.4.10'!$Q$11</f>
        <v>131.48584961583023</v>
      </c>
      <c r="AQ547" s="2568" t="s">
        <v>1003</v>
      </c>
      <c r="AR547" s="2505">
        <f t="shared" si="418"/>
        <v>109.72231178741801</v>
      </c>
      <c r="AS547" s="2505">
        <f t="shared" si="419"/>
        <v>12.878443732111791</v>
      </c>
      <c r="AT547" s="1132" t="str">
        <f t="shared" si="420"/>
        <v>CI-HVC-BOIL-V06-190101</v>
      </c>
      <c r="AU547" s="1132" t="str">
        <f t="shared" si="421"/>
        <v>Nicor Gas PY11-PY14 Adjustable Goals Template_2025-03-01, Tab 4.4.10</v>
      </c>
      <c r="AV547" s="2505">
        <f>'4.4.10'!$Q$11</f>
        <v>131.48584961583023</v>
      </c>
      <c r="AW547" s="2568" t="s">
        <v>1003</v>
      </c>
      <c r="AX547" s="1362">
        <f t="shared" si="422"/>
        <v>109.72231178741801</v>
      </c>
      <c r="AY547" s="1360">
        <f t="shared" si="423"/>
        <v>12.878443732111791</v>
      </c>
      <c r="AZ547" s="1132" t="str">
        <f t="shared" si="424"/>
        <v>CI-HVC-BOIL-V06-190101</v>
      </c>
      <c r="BA547" s="1132" t="str">
        <f t="shared" si="425"/>
        <v>Nicor Gas PY11-PY14 Adjustable Goals Template_2025-03-01, Tab 4.4.10</v>
      </c>
      <c r="BB547" s="2505">
        <f>'4.4.10'!$Q$11</f>
        <v>131.48584961583023</v>
      </c>
      <c r="BC547" s="2568" t="s">
        <v>1003</v>
      </c>
      <c r="BD547" s="1362">
        <f t="shared" si="426"/>
        <v>109.72231178741801</v>
      </c>
      <c r="BE547" s="1360">
        <f t="shared" si="427"/>
        <v>12.878443732111791</v>
      </c>
      <c r="BF547" s="1132" t="str">
        <f t="shared" si="428"/>
        <v>CI-HVC-BOIL-V06-190101</v>
      </c>
      <c r="BG547" s="1132" t="str">
        <f t="shared" si="429"/>
        <v>Nicor Gas PY11-PY14 Adjustable Goals Template_2025-03-01, Tab 4.4.10</v>
      </c>
      <c r="BH547" s="2505">
        <f>'4.4.10'!$Q$11</f>
        <v>131.48584961583023</v>
      </c>
      <c r="BI547" s="2568" t="s">
        <v>1003</v>
      </c>
      <c r="BJ547" s="1362">
        <f t="shared" si="451"/>
        <v>109.72231178741801</v>
      </c>
      <c r="BK547" s="1360">
        <f t="shared" si="430"/>
        <v>12.878443732111791</v>
      </c>
      <c r="BL547" s="1601">
        <f t="shared" si="431"/>
        <v>109.72231178741801</v>
      </c>
      <c r="BM547" s="1601">
        <f t="shared" si="432"/>
        <v>109.72231178741801</v>
      </c>
      <c r="BN547" s="1601">
        <f t="shared" si="433"/>
        <v>109.72231178741801</v>
      </c>
      <c r="BO547" s="1601">
        <f t="shared" si="434"/>
        <v>109.72231178741801</v>
      </c>
      <c r="BP547" s="1602">
        <f t="shared" si="435"/>
        <v>438.88924714967203</v>
      </c>
      <c r="BQ547" s="1629"/>
      <c r="BR547" s="1629" t="s">
        <v>435</v>
      </c>
      <c r="BS547" s="1602">
        <v>0</v>
      </c>
      <c r="BT547" s="1602">
        <v>25</v>
      </c>
      <c r="BU547" s="1602">
        <v>25</v>
      </c>
      <c r="BV547" s="1602">
        <v>25</v>
      </c>
      <c r="BW547" s="1602">
        <v>25</v>
      </c>
      <c r="BX547" s="1362">
        <f t="shared" si="452"/>
        <v>2421.0967013826553</v>
      </c>
      <c r="BY547" s="1362">
        <f t="shared" si="453"/>
        <v>2421.0967013826553</v>
      </c>
      <c r="BZ547" s="1362">
        <f t="shared" si="454"/>
        <v>2421.0967013826553</v>
      </c>
      <c r="CA547" s="1362">
        <f t="shared" si="455"/>
        <v>2421.0967013826553</v>
      </c>
      <c r="CB547" s="1362">
        <f t="shared" si="456"/>
        <v>9684.3868055306211</v>
      </c>
      <c r="CC547" s="1360">
        <v>25</v>
      </c>
      <c r="CD547" s="1360">
        <v>25</v>
      </c>
      <c r="CE547" s="1360">
        <v>25</v>
      </c>
      <c r="CF547" s="1360">
        <v>25</v>
      </c>
      <c r="CG547" s="1604">
        <f t="shared" si="436"/>
        <v>2743.0577946854501</v>
      </c>
      <c r="CH547" s="1604">
        <f t="shared" si="437"/>
        <v>2743.0577946854501</v>
      </c>
      <c r="CI547" s="1604">
        <f t="shared" si="438"/>
        <v>2743.0577946854501</v>
      </c>
      <c r="CJ547" s="1604">
        <f t="shared" si="439"/>
        <v>2743.0577946854501</v>
      </c>
      <c r="CK547" s="1521">
        <f t="shared" si="440"/>
        <v>10972.2311787418</v>
      </c>
      <c r="CL547" s="1132">
        <v>540</v>
      </c>
      <c r="CM547" s="1132" t="s">
        <v>356</v>
      </c>
      <c r="CN547" s="1359">
        <v>0</v>
      </c>
      <c r="CO547" s="1360">
        <v>0.86924999999999997</v>
      </c>
      <c r="CP547" s="1360">
        <v>0.86924999999999997</v>
      </c>
      <c r="CQ547" s="1360">
        <v>0.86924999999999997</v>
      </c>
      <c r="CR547" s="1360">
        <v>0.86924999999999997</v>
      </c>
      <c r="CS547" s="1362">
        <f t="shared" si="441"/>
        <v>109.72231178741801</v>
      </c>
      <c r="CT547" s="1362">
        <f t="shared" si="442"/>
        <v>109.72231178741801</v>
      </c>
      <c r="CU547" s="1362">
        <f t="shared" si="443"/>
        <v>109.72231178741801</v>
      </c>
      <c r="CV547" s="1362">
        <f t="shared" si="444"/>
        <v>109.72231178741801</v>
      </c>
      <c r="CW547" s="1362">
        <f t="shared" si="445"/>
        <v>438.88924714967203</v>
      </c>
      <c r="CY547" s="2887"/>
    </row>
    <row r="548" spans="1:103" s="1143" customFormat="1" ht="77.5" x14ac:dyDescent="0.35">
      <c r="A548" s="1132" t="s">
        <v>116</v>
      </c>
      <c r="B548" s="1132" t="s">
        <v>1000</v>
      </c>
      <c r="C548" s="1132" t="s">
        <v>451</v>
      </c>
      <c r="D548" s="1359" t="s">
        <v>452</v>
      </c>
      <c r="E548" s="1359">
        <v>1</v>
      </c>
      <c r="F548" s="2807" t="s">
        <v>435</v>
      </c>
      <c r="G548" s="1132" t="s">
        <v>356</v>
      </c>
      <c r="H548" s="1360">
        <v>0.86924999999999997</v>
      </c>
      <c r="I548" s="1360">
        <v>0.86924999999999997</v>
      </c>
      <c r="J548" s="1360">
        <v>0.86924999999999997</v>
      </c>
      <c r="K548" s="1360">
        <v>0.86924999999999997</v>
      </c>
      <c r="L548" s="1132" t="s">
        <v>436</v>
      </c>
      <c r="M548" s="1132" t="str">
        <f t="shared" si="407"/>
        <v>Nicor Gas PY11-PY14 Adjustable Goals Template_2025-03-01, Tab 4.4.10</v>
      </c>
      <c r="N548" s="1361">
        <v>253.19326232722025</v>
      </c>
      <c r="O548" s="1361">
        <v>253.19326232722025</v>
      </c>
      <c r="P548" s="1361">
        <v>253.19326232722025</v>
      </c>
      <c r="Q548" s="1361">
        <v>253.19326232722025</v>
      </c>
      <c r="R548" s="1781">
        <v>0.83</v>
      </c>
      <c r="S548" s="1781">
        <v>0.83</v>
      </c>
      <c r="T548" s="1781">
        <v>0.83</v>
      </c>
      <c r="U548" s="1781">
        <v>0.83</v>
      </c>
      <c r="V548" s="2567">
        <v>0.96</v>
      </c>
      <c r="W548" s="2567">
        <v>0.96</v>
      </c>
      <c r="X548" s="2567">
        <v>0.96</v>
      </c>
      <c r="Y548" s="2567">
        <v>0.96</v>
      </c>
      <c r="Z548" s="1359">
        <v>0</v>
      </c>
      <c r="AA548" s="2567">
        <f t="shared" si="408"/>
        <v>0.96</v>
      </c>
      <c r="AB548" s="2567">
        <f t="shared" si="409"/>
        <v>0.96</v>
      </c>
      <c r="AC548" s="2567">
        <f t="shared" si="410"/>
        <v>0.96</v>
      </c>
      <c r="AD548" s="2567">
        <f t="shared" si="411"/>
        <v>0.96</v>
      </c>
      <c r="AE548" s="2567">
        <f t="shared" si="412"/>
        <v>0.96</v>
      </c>
      <c r="AF548" s="2567">
        <f t="shared" si="413"/>
        <v>0.96</v>
      </c>
      <c r="AG548" s="2567">
        <f t="shared" si="414"/>
        <v>0.96</v>
      </c>
      <c r="AH548" s="2567">
        <f t="shared" si="415"/>
        <v>0.96</v>
      </c>
      <c r="AI548" s="1362">
        <f t="shared" si="446"/>
        <v>182.67324192068702</v>
      </c>
      <c r="AJ548" s="1362">
        <f t="shared" si="447"/>
        <v>182.67324192068702</v>
      </c>
      <c r="AK548" s="1362">
        <f t="shared" si="448"/>
        <v>182.67324192068702</v>
      </c>
      <c r="AL548" s="1362">
        <f t="shared" si="449"/>
        <v>182.67324192068702</v>
      </c>
      <c r="AM548" s="1362">
        <f t="shared" si="450"/>
        <v>730.69296768274808</v>
      </c>
      <c r="AN548" s="1132" t="str">
        <f t="shared" si="416"/>
        <v>CI-HVC-BOIL-V06-190101</v>
      </c>
      <c r="AO548" s="1132" t="str">
        <f t="shared" si="417"/>
        <v>Nicor Gas PY11-PY14 Adjustable Goals Template_2025-03-01, Tab 4.4.10</v>
      </c>
      <c r="AP548" s="2568">
        <f>'4.4.10'!$Q$12</f>
        <v>248.01721470173769</v>
      </c>
      <c r="AQ548" s="2568" t="s">
        <v>1003</v>
      </c>
      <c r="AR548" s="2505">
        <f t="shared" si="418"/>
        <v>206.96540532430606</v>
      </c>
      <c r="AS548" s="2505">
        <f t="shared" si="419"/>
        <v>24.292163403619043</v>
      </c>
      <c r="AT548" s="1132" t="str">
        <f t="shared" si="420"/>
        <v>CI-HVC-BOIL-V06-190101</v>
      </c>
      <c r="AU548" s="1132" t="str">
        <f t="shared" si="421"/>
        <v>Nicor Gas PY11-PY14 Adjustable Goals Template_2025-03-01, Tab 4.4.10</v>
      </c>
      <c r="AV548" s="2505">
        <f>'4.4.10'!$Q$12</f>
        <v>248.01721470173769</v>
      </c>
      <c r="AW548" s="2568" t="s">
        <v>1003</v>
      </c>
      <c r="AX548" s="1362">
        <f t="shared" si="422"/>
        <v>206.96540532430606</v>
      </c>
      <c r="AY548" s="1360">
        <f t="shared" si="423"/>
        <v>24.292163403619043</v>
      </c>
      <c r="AZ548" s="1132" t="str">
        <f t="shared" si="424"/>
        <v>CI-HVC-BOIL-V06-190101</v>
      </c>
      <c r="BA548" s="1132" t="str">
        <f t="shared" si="425"/>
        <v>Nicor Gas PY11-PY14 Adjustable Goals Template_2025-03-01, Tab 4.4.10</v>
      </c>
      <c r="BB548" s="2505">
        <f>'4.4.10'!$Q$12</f>
        <v>248.01721470173769</v>
      </c>
      <c r="BC548" s="2568" t="s">
        <v>1003</v>
      </c>
      <c r="BD548" s="1362">
        <f t="shared" si="426"/>
        <v>206.96540532430606</v>
      </c>
      <c r="BE548" s="1360">
        <f t="shared" si="427"/>
        <v>24.292163403619043</v>
      </c>
      <c r="BF548" s="1132" t="str">
        <f t="shared" si="428"/>
        <v>CI-HVC-BOIL-V06-190101</v>
      </c>
      <c r="BG548" s="1132" t="str">
        <f t="shared" si="429"/>
        <v>Nicor Gas PY11-PY14 Adjustable Goals Template_2025-03-01, Tab 4.4.10</v>
      </c>
      <c r="BH548" s="2505">
        <f>'4.4.10'!$Q$12</f>
        <v>248.01721470173769</v>
      </c>
      <c r="BI548" s="2568" t="s">
        <v>1003</v>
      </c>
      <c r="BJ548" s="1362">
        <f t="shared" si="451"/>
        <v>206.96540532430606</v>
      </c>
      <c r="BK548" s="1360">
        <f t="shared" si="430"/>
        <v>24.292163403619043</v>
      </c>
      <c r="BL548" s="1601">
        <f t="shared" si="431"/>
        <v>206.96540532430606</v>
      </c>
      <c r="BM548" s="1601">
        <f t="shared" si="432"/>
        <v>206.96540532430606</v>
      </c>
      <c r="BN548" s="1601">
        <f t="shared" si="433"/>
        <v>206.96540532430606</v>
      </c>
      <c r="BO548" s="1601">
        <f t="shared" si="434"/>
        <v>206.96540532430606</v>
      </c>
      <c r="BP548" s="1602">
        <f t="shared" si="435"/>
        <v>827.86162129722425</v>
      </c>
      <c r="BQ548" s="1629"/>
      <c r="BR548" s="1629" t="s">
        <v>435</v>
      </c>
      <c r="BS548" s="1602">
        <v>0</v>
      </c>
      <c r="BT548" s="1602">
        <v>25</v>
      </c>
      <c r="BU548" s="1602">
        <v>25</v>
      </c>
      <c r="BV548" s="1602">
        <v>25</v>
      </c>
      <c r="BW548" s="1602">
        <v>25</v>
      </c>
      <c r="BX548" s="1362">
        <f t="shared" si="452"/>
        <v>4566.8310480171758</v>
      </c>
      <c r="BY548" s="1362">
        <f t="shared" si="453"/>
        <v>4566.8310480171758</v>
      </c>
      <c r="BZ548" s="1362">
        <f t="shared" si="454"/>
        <v>4566.8310480171758</v>
      </c>
      <c r="CA548" s="1362">
        <f t="shared" si="455"/>
        <v>4566.8310480171758</v>
      </c>
      <c r="CB548" s="1362">
        <f t="shared" si="456"/>
        <v>18267.324192068703</v>
      </c>
      <c r="CC548" s="1360">
        <v>25</v>
      </c>
      <c r="CD548" s="1360">
        <v>25</v>
      </c>
      <c r="CE548" s="1360">
        <v>25</v>
      </c>
      <c r="CF548" s="1360">
        <v>25</v>
      </c>
      <c r="CG548" s="1604">
        <f t="shared" si="436"/>
        <v>5174.1351331076512</v>
      </c>
      <c r="CH548" s="1604">
        <f t="shared" si="437"/>
        <v>5174.1351331076512</v>
      </c>
      <c r="CI548" s="1604">
        <f t="shared" si="438"/>
        <v>5174.1351331076512</v>
      </c>
      <c r="CJ548" s="1604">
        <f t="shared" si="439"/>
        <v>5174.1351331076512</v>
      </c>
      <c r="CK548" s="1521">
        <f t="shared" si="440"/>
        <v>20696.540532430605</v>
      </c>
      <c r="CL548" s="1132">
        <v>541</v>
      </c>
      <c r="CM548" s="1132" t="s">
        <v>356</v>
      </c>
      <c r="CN548" s="1359">
        <v>0</v>
      </c>
      <c r="CO548" s="1360">
        <v>0.86924999999999997</v>
      </c>
      <c r="CP548" s="1360">
        <v>0.86924999999999997</v>
      </c>
      <c r="CQ548" s="1360">
        <v>0.86924999999999997</v>
      </c>
      <c r="CR548" s="1360">
        <v>0.86924999999999997</v>
      </c>
      <c r="CS548" s="1362">
        <f t="shared" si="441"/>
        <v>206.96540532430606</v>
      </c>
      <c r="CT548" s="1362">
        <f t="shared" si="442"/>
        <v>206.96540532430606</v>
      </c>
      <c r="CU548" s="1362">
        <f t="shared" si="443"/>
        <v>206.96540532430606</v>
      </c>
      <c r="CV548" s="1362">
        <f t="shared" si="444"/>
        <v>206.96540532430606</v>
      </c>
      <c r="CW548" s="1362">
        <f t="shared" si="445"/>
        <v>827.86162129722425</v>
      </c>
      <c r="CY548" s="2887"/>
    </row>
    <row r="549" spans="1:103" s="1143" customFormat="1" ht="30" customHeight="1" x14ac:dyDescent="0.35">
      <c r="A549" s="1132" t="s">
        <v>116</v>
      </c>
      <c r="B549" s="1132" t="s">
        <v>1000</v>
      </c>
      <c r="C549" s="1132" t="s">
        <v>453</v>
      </c>
      <c r="D549" s="1359" t="s">
        <v>454</v>
      </c>
      <c r="E549" s="1359">
        <v>1</v>
      </c>
      <c r="F549" s="2807" t="s">
        <v>435</v>
      </c>
      <c r="G549" s="1132" t="s">
        <v>356</v>
      </c>
      <c r="H549" s="1360">
        <v>0.86924999999999997</v>
      </c>
      <c r="I549" s="1360">
        <v>0.86924999999999997</v>
      </c>
      <c r="J549" s="1360">
        <v>0.86924999999999997</v>
      </c>
      <c r="K549" s="1360">
        <v>0.86924999999999997</v>
      </c>
      <c r="L549" s="1132" t="s">
        <v>436</v>
      </c>
      <c r="M549" s="1132" t="str">
        <f t="shared" si="407"/>
        <v>Nicor Gas PY11-PY14 Adjustable Goals Template_2025-03-01, Tab 4.4.10</v>
      </c>
      <c r="N549" s="1361">
        <v>358.75984509362968</v>
      </c>
      <c r="O549" s="1361">
        <v>358.75984509362968</v>
      </c>
      <c r="P549" s="1361">
        <v>358.75984509362968</v>
      </c>
      <c r="Q549" s="1361">
        <v>358.75984509362968</v>
      </c>
      <c r="R549" s="1781">
        <v>0.83</v>
      </c>
      <c r="S549" s="1781">
        <v>0.83</v>
      </c>
      <c r="T549" s="1781">
        <v>0.83</v>
      </c>
      <c r="U549" s="1781">
        <v>0.83</v>
      </c>
      <c r="V549" s="2567">
        <v>0.96</v>
      </c>
      <c r="W549" s="2567">
        <v>0.96</v>
      </c>
      <c r="X549" s="2567">
        <v>0.96</v>
      </c>
      <c r="Y549" s="2567">
        <v>0.96</v>
      </c>
      <c r="Z549" s="1359">
        <v>0</v>
      </c>
      <c r="AA549" s="2567">
        <f t="shared" si="408"/>
        <v>0.96</v>
      </c>
      <c r="AB549" s="2567">
        <f t="shared" si="409"/>
        <v>0.96</v>
      </c>
      <c r="AC549" s="2567">
        <f t="shared" si="410"/>
        <v>0.96</v>
      </c>
      <c r="AD549" s="2567">
        <f t="shared" si="411"/>
        <v>0.96</v>
      </c>
      <c r="AE549" s="2567">
        <f t="shared" si="412"/>
        <v>0.96</v>
      </c>
      <c r="AF549" s="2567">
        <f t="shared" si="413"/>
        <v>0.96</v>
      </c>
      <c r="AG549" s="2567">
        <f t="shared" si="414"/>
        <v>0.96</v>
      </c>
      <c r="AH549" s="2567">
        <f t="shared" si="415"/>
        <v>0.96</v>
      </c>
      <c r="AI549" s="1362">
        <f t="shared" si="446"/>
        <v>258.83715613853917</v>
      </c>
      <c r="AJ549" s="1362">
        <f t="shared" si="447"/>
        <v>258.83715613853917</v>
      </c>
      <c r="AK549" s="1362">
        <f t="shared" si="448"/>
        <v>258.83715613853917</v>
      </c>
      <c r="AL549" s="1362">
        <f t="shared" si="449"/>
        <v>258.83715613853917</v>
      </c>
      <c r="AM549" s="1362">
        <f t="shared" si="450"/>
        <v>1035.3486245541567</v>
      </c>
      <c r="AN549" s="1132" t="str">
        <f t="shared" si="416"/>
        <v>CI-HVC-BOIL-V06-190101</v>
      </c>
      <c r="AO549" s="1132" t="str">
        <f t="shared" si="417"/>
        <v>Nicor Gas PY11-PY14 Adjustable Goals Template_2025-03-01, Tab 4.4.10</v>
      </c>
      <c r="AP549" s="2568">
        <f>'4.4.10'!$Q$13</f>
        <v>351.42569241023205</v>
      </c>
      <c r="AQ549" s="2568" t="s">
        <v>1003</v>
      </c>
      <c r="AR549" s="2505">
        <f t="shared" si="418"/>
        <v>293.25771180249046</v>
      </c>
      <c r="AS549" s="2505">
        <f t="shared" si="419"/>
        <v>34.420555663951291</v>
      </c>
      <c r="AT549" s="1132" t="str">
        <f t="shared" si="420"/>
        <v>CI-HVC-BOIL-V06-190101</v>
      </c>
      <c r="AU549" s="1132" t="str">
        <f t="shared" si="421"/>
        <v>Nicor Gas PY11-PY14 Adjustable Goals Template_2025-03-01, Tab 4.4.10</v>
      </c>
      <c r="AV549" s="2505">
        <f>'4.4.10'!$Q$13</f>
        <v>351.42569241023205</v>
      </c>
      <c r="AW549" s="2568" t="s">
        <v>1003</v>
      </c>
      <c r="AX549" s="1362">
        <f t="shared" si="422"/>
        <v>293.25771180249046</v>
      </c>
      <c r="AY549" s="1360">
        <f t="shared" si="423"/>
        <v>34.420555663951291</v>
      </c>
      <c r="AZ549" s="1132" t="str">
        <f t="shared" si="424"/>
        <v>CI-HVC-BOIL-V06-190101</v>
      </c>
      <c r="BA549" s="1132" t="str">
        <f t="shared" si="425"/>
        <v>Nicor Gas PY11-PY14 Adjustable Goals Template_2025-03-01, Tab 4.4.10</v>
      </c>
      <c r="BB549" s="2505">
        <f>'4.4.10'!$Q$13</f>
        <v>351.42569241023205</v>
      </c>
      <c r="BC549" s="2568" t="s">
        <v>1003</v>
      </c>
      <c r="BD549" s="1362">
        <f t="shared" si="426"/>
        <v>293.25771180249046</v>
      </c>
      <c r="BE549" s="1360">
        <f t="shared" si="427"/>
        <v>34.420555663951291</v>
      </c>
      <c r="BF549" s="1132" t="str">
        <f t="shared" si="428"/>
        <v>CI-HVC-BOIL-V06-190101</v>
      </c>
      <c r="BG549" s="1132" t="str">
        <f t="shared" si="429"/>
        <v>Nicor Gas PY11-PY14 Adjustable Goals Template_2025-03-01, Tab 4.4.10</v>
      </c>
      <c r="BH549" s="2505">
        <f>'4.4.10'!$Q$13</f>
        <v>351.42569241023205</v>
      </c>
      <c r="BI549" s="2568" t="s">
        <v>1003</v>
      </c>
      <c r="BJ549" s="1362">
        <f t="shared" si="451"/>
        <v>293.25771180249046</v>
      </c>
      <c r="BK549" s="1360">
        <f t="shared" si="430"/>
        <v>34.420555663951291</v>
      </c>
      <c r="BL549" s="1601">
        <f t="shared" si="431"/>
        <v>293.25771180249046</v>
      </c>
      <c r="BM549" s="1601">
        <f t="shared" si="432"/>
        <v>293.25771180249046</v>
      </c>
      <c r="BN549" s="1601">
        <f t="shared" si="433"/>
        <v>293.25771180249046</v>
      </c>
      <c r="BO549" s="1601">
        <f t="shared" si="434"/>
        <v>293.25771180249046</v>
      </c>
      <c r="BP549" s="1602">
        <f t="shared" si="435"/>
        <v>1173.0308472099618</v>
      </c>
      <c r="BQ549" s="1629"/>
      <c r="BR549" s="1629" t="s">
        <v>435</v>
      </c>
      <c r="BS549" s="1602">
        <v>0</v>
      </c>
      <c r="BT549" s="1602">
        <v>25</v>
      </c>
      <c r="BU549" s="1602">
        <v>25</v>
      </c>
      <c r="BV549" s="1602">
        <v>25</v>
      </c>
      <c r="BW549" s="1602">
        <v>25</v>
      </c>
      <c r="BX549" s="1362">
        <f t="shared" si="452"/>
        <v>6470.9289034634794</v>
      </c>
      <c r="BY549" s="1362">
        <f t="shared" si="453"/>
        <v>6470.9289034634794</v>
      </c>
      <c r="BZ549" s="1362">
        <f t="shared" si="454"/>
        <v>6470.9289034634794</v>
      </c>
      <c r="CA549" s="1362">
        <f t="shared" si="455"/>
        <v>6470.9289034634794</v>
      </c>
      <c r="CB549" s="1362">
        <f t="shared" si="456"/>
        <v>25883.715613853918</v>
      </c>
      <c r="CC549" s="1360">
        <v>25</v>
      </c>
      <c r="CD549" s="1360">
        <v>25</v>
      </c>
      <c r="CE549" s="1360">
        <v>25</v>
      </c>
      <c r="CF549" s="1360">
        <v>25</v>
      </c>
      <c r="CG549" s="1604">
        <f t="shared" si="436"/>
        <v>7331.4427950622603</v>
      </c>
      <c r="CH549" s="1604">
        <f t="shared" si="437"/>
        <v>7331.4427950622603</v>
      </c>
      <c r="CI549" s="1604">
        <f t="shared" si="438"/>
        <v>7331.4427950622603</v>
      </c>
      <c r="CJ549" s="1604">
        <f t="shared" si="439"/>
        <v>7331.4427950622603</v>
      </c>
      <c r="CK549" s="1521">
        <f t="shared" si="440"/>
        <v>29325.771180249041</v>
      </c>
      <c r="CL549" s="1132">
        <v>542</v>
      </c>
      <c r="CM549" s="1132" t="s">
        <v>356</v>
      </c>
      <c r="CN549" s="1359">
        <v>0</v>
      </c>
      <c r="CO549" s="1360">
        <v>0.86924999999999997</v>
      </c>
      <c r="CP549" s="1360">
        <v>0.86924999999999997</v>
      </c>
      <c r="CQ549" s="1360">
        <v>0.86924999999999997</v>
      </c>
      <c r="CR549" s="1360">
        <v>0.86924999999999997</v>
      </c>
      <c r="CS549" s="1362">
        <f t="shared" si="441"/>
        <v>293.25771180249046</v>
      </c>
      <c r="CT549" s="1362">
        <f t="shared" si="442"/>
        <v>293.25771180249046</v>
      </c>
      <c r="CU549" s="1362">
        <f t="shared" si="443"/>
        <v>293.25771180249046</v>
      </c>
      <c r="CV549" s="1362">
        <f t="shared" si="444"/>
        <v>293.25771180249046</v>
      </c>
      <c r="CW549" s="1362">
        <f t="shared" si="445"/>
        <v>1173.0308472099618</v>
      </c>
      <c r="CY549" s="2887"/>
    </row>
    <row r="550" spans="1:103" s="1143" customFormat="1" ht="46.5" x14ac:dyDescent="0.35">
      <c r="A550" s="1132" t="s">
        <v>116</v>
      </c>
      <c r="B550" s="1132" t="s">
        <v>1000</v>
      </c>
      <c r="C550" s="1132" t="s">
        <v>455</v>
      </c>
      <c r="D550" s="1359" t="s">
        <v>456</v>
      </c>
      <c r="E550" s="1359">
        <v>1</v>
      </c>
      <c r="F550" s="2564" t="s">
        <v>457</v>
      </c>
      <c r="G550" s="1132" t="s">
        <v>356</v>
      </c>
      <c r="H550" s="1360">
        <v>3.4769999999999999</v>
      </c>
      <c r="I550" s="1360">
        <v>3.4769999999999999</v>
      </c>
      <c r="J550" s="1360">
        <v>3.4769999999999999</v>
      </c>
      <c r="K550" s="1360">
        <v>3.4769999999999999</v>
      </c>
      <c r="L550" s="1132" t="s">
        <v>458</v>
      </c>
      <c r="M550" s="1132" t="str">
        <f t="shared" si="407"/>
        <v>Nicor Gas PY11-PY14 Adjustable Goals Template_2025-03-01, Tab 4.4.11</v>
      </c>
      <c r="N550" s="1361">
        <v>246.40192524374996</v>
      </c>
      <c r="O550" s="1361">
        <v>246.40192524374996</v>
      </c>
      <c r="P550" s="1361">
        <v>246.40192524374996</v>
      </c>
      <c r="Q550" s="1361">
        <v>246.40192524374996</v>
      </c>
      <c r="R550" s="1781">
        <v>0.83</v>
      </c>
      <c r="S550" s="1781">
        <v>0.83</v>
      </c>
      <c r="T550" s="1781">
        <v>0.83</v>
      </c>
      <c r="U550" s="1781">
        <v>0.83</v>
      </c>
      <c r="V550" s="2567">
        <v>0.96</v>
      </c>
      <c r="W550" s="2567">
        <v>0.96</v>
      </c>
      <c r="X550" s="2567">
        <v>0.96</v>
      </c>
      <c r="Y550" s="2567">
        <v>0.96</v>
      </c>
      <c r="Z550" s="1359">
        <v>0</v>
      </c>
      <c r="AA550" s="2567">
        <f t="shared" si="408"/>
        <v>0.96</v>
      </c>
      <c r="AB550" s="2567">
        <f t="shared" si="409"/>
        <v>0.96</v>
      </c>
      <c r="AC550" s="2567">
        <f t="shared" si="410"/>
        <v>0.96</v>
      </c>
      <c r="AD550" s="2567">
        <f t="shared" si="411"/>
        <v>0.96</v>
      </c>
      <c r="AE550" s="2567">
        <f t="shared" si="412"/>
        <v>0.96</v>
      </c>
      <c r="AF550" s="2567">
        <f t="shared" si="413"/>
        <v>0.96</v>
      </c>
      <c r="AG550" s="2567">
        <f t="shared" si="414"/>
        <v>0.96</v>
      </c>
      <c r="AH550" s="2567">
        <f t="shared" si="415"/>
        <v>0.96</v>
      </c>
      <c r="AI550" s="1362">
        <f t="shared" si="446"/>
        <v>711.09378008019041</v>
      </c>
      <c r="AJ550" s="1362">
        <f t="shared" si="447"/>
        <v>711.09378008019041</v>
      </c>
      <c r="AK550" s="1362">
        <f t="shared" si="448"/>
        <v>711.09378008019041</v>
      </c>
      <c r="AL550" s="1362">
        <f t="shared" si="449"/>
        <v>711.09378008019041</v>
      </c>
      <c r="AM550" s="1362">
        <f t="shared" si="450"/>
        <v>2844.3751203207617</v>
      </c>
      <c r="AN550" s="1132" t="str">
        <f t="shared" si="416"/>
        <v>CI-HVC-FRNC-V08-190101</v>
      </c>
      <c r="AO550" s="1132" t="str">
        <f t="shared" si="417"/>
        <v>Nicor Gas PY11-PY14 Adjustable Goals Template_2025-03-01, Tab 4.4.11</v>
      </c>
      <c r="AP550" s="2505">
        <f>'4.4.11'!$R$4</f>
        <v>246.40192524374996</v>
      </c>
      <c r="AQ550" s="2568" t="s">
        <v>1002</v>
      </c>
      <c r="AR550" s="2505">
        <f t="shared" si="418"/>
        <v>822.46991430961782</v>
      </c>
      <c r="AS550" s="2505">
        <f t="shared" si="419"/>
        <v>111.37613422942741</v>
      </c>
      <c r="AT550" s="1132" t="str">
        <f t="shared" si="420"/>
        <v>CI-HVC-FRNC-V08-190101</v>
      </c>
      <c r="AU550" s="1132" t="str">
        <f t="shared" si="421"/>
        <v>Nicor Gas PY11-PY14 Adjustable Goals Template_2025-03-01, Tab 4.4.11</v>
      </c>
      <c r="AV550" s="2505">
        <f>'4.4.11'!$R$4</f>
        <v>246.40192524374996</v>
      </c>
      <c r="AW550" s="2568" t="s">
        <v>1002</v>
      </c>
      <c r="AX550" s="1362">
        <f t="shared" si="422"/>
        <v>822.46991430961782</v>
      </c>
      <c r="AY550" s="1360">
        <f t="shared" si="423"/>
        <v>111.37613422942741</v>
      </c>
      <c r="AZ550" s="1132" t="str">
        <f t="shared" si="424"/>
        <v>CI-HVC-FRNC-V08-190101</v>
      </c>
      <c r="BA550" s="1132" t="str">
        <f t="shared" si="425"/>
        <v>Nicor Gas PY11-PY14 Adjustable Goals Template_2025-03-01, Tab 4.4.11</v>
      </c>
      <c r="BB550" s="2505">
        <f>'4.4.11'!$R$4</f>
        <v>246.40192524374996</v>
      </c>
      <c r="BC550" s="2568" t="s">
        <v>1002</v>
      </c>
      <c r="BD550" s="1362">
        <f t="shared" si="426"/>
        <v>822.46991430961782</v>
      </c>
      <c r="BE550" s="1360">
        <f t="shared" si="427"/>
        <v>111.37613422942741</v>
      </c>
      <c r="BF550" s="1132" t="str">
        <f t="shared" si="428"/>
        <v>CI-HVC-FRNC-V08-190101</v>
      </c>
      <c r="BG550" s="1132" t="str">
        <f t="shared" si="429"/>
        <v>Nicor Gas PY11-PY14 Adjustable Goals Template_2025-03-01, Tab 4.4.11</v>
      </c>
      <c r="BH550" s="2505">
        <f>'4.4.11'!$R$4</f>
        <v>246.40192524374996</v>
      </c>
      <c r="BI550" s="2568" t="s">
        <v>1002</v>
      </c>
      <c r="BJ550" s="1362">
        <f t="shared" si="451"/>
        <v>822.46991430961782</v>
      </c>
      <c r="BK550" s="1360">
        <f t="shared" si="430"/>
        <v>111.37613422942741</v>
      </c>
      <c r="BL550" s="1601">
        <f t="shared" si="431"/>
        <v>822.46991430961782</v>
      </c>
      <c r="BM550" s="1601">
        <f t="shared" si="432"/>
        <v>822.46991430961782</v>
      </c>
      <c r="BN550" s="1601">
        <f t="shared" si="433"/>
        <v>822.46991430961782</v>
      </c>
      <c r="BO550" s="1601">
        <f t="shared" si="434"/>
        <v>822.46991430961782</v>
      </c>
      <c r="BP550" s="1602">
        <f t="shared" si="435"/>
        <v>3289.8796572384713</v>
      </c>
      <c r="BQ550" s="1629"/>
      <c r="BR550" s="1629" t="s">
        <v>457</v>
      </c>
      <c r="BS550" s="1602">
        <v>0</v>
      </c>
      <c r="BT550" s="1602">
        <v>16.5</v>
      </c>
      <c r="BU550" s="1602">
        <v>16.5</v>
      </c>
      <c r="BV550" s="1602">
        <v>16.5</v>
      </c>
      <c r="BW550" s="1602">
        <v>16.5</v>
      </c>
      <c r="BX550" s="1362">
        <f t="shared" si="452"/>
        <v>11733.047371323142</v>
      </c>
      <c r="BY550" s="1362">
        <f t="shared" si="453"/>
        <v>11733.047371323142</v>
      </c>
      <c r="BZ550" s="1362">
        <f t="shared" si="454"/>
        <v>11733.047371323142</v>
      </c>
      <c r="CA550" s="1362">
        <f t="shared" si="455"/>
        <v>11733.047371323142</v>
      </c>
      <c r="CB550" s="1362">
        <f t="shared" si="456"/>
        <v>46932.189485292569</v>
      </c>
      <c r="CC550" s="1360">
        <v>16.5</v>
      </c>
      <c r="CD550" s="1360">
        <v>16.5</v>
      </c>
      <c r="CE550" s="1360">
        <v>16.5</v>
      </c>
      <c r="CF550" s="1360">
        <v>16.5</v>
      </c>
      <c r="CG550" s="1604">
        <f t="shared" si="436"/>
        <v>13570.753586108693</v>
      </c>
      <c r="CH550" s="1604">
        <f t="shared" si="437"/>
        <v>13570.753586108693</v>
      </c>
      <c r="CI550" s="1604">
        <f t="shared" si="438"/>
        <v>13570.753586108693</v>
      </c>
      <c r="CJ550" s="1604">
        <f t="shared" si="439"/>
        <v>13570.753586108693</v>
      </c>
      <c r="CK550" s="1521">
        <f t="shared" si="440"/>
        <v>54283.01434443477</v>
      </c>
      <c r="CL550" s="1132">
        <v>543</v>
      </c>
      <c r="CM550" s="1132" t="s">
        <v>356</v>
      </c>
      <c r="CN550" s="1359">
        <v>0</v>
      </c>
      <c r="CO550" s="1360">
        <v>3.4769999999999999</v>
      </c>
      <c r="CP550" s="1360">
        <v>3.4769999999999999</v>
      </c>
      <c r="CQ550" s="1360">
        <v>3.4769999999999999</v>
      </c>
      <c r="CR550" s="1360">
        <v>3.4769999999999999</v>
      </c>
      <c r="CS550" s="1362">
        <f t="shared" si="441"/>
        <v>822.46991430961782</v>
      </c>
      <c r="CT550" s="1362">
        <f t="shared" si="442"/>
        <v>822.46991430961782</v>
      </c>
      <c r="CU550" s="1362">
        <f t="shared" si="443"/>
        <v>822.46991430961782</v>
      </c>
      <c r="CV550" s="1362">
        <f t="shared" si="444"/>
        <v>822.46991430961782</v>
      </c>
      <c r="CW550" s="1362">
        <f t="shared" si="445"/>
        <v>3289.8796572384713</v>
      </c>
      <c r="CY550" s="2887"/>
    </row>
    <row r="551" spans="1:103" s="1143" customFormat="1" ht="46.5" x14ac:dyDescent="0.35">
      <c r="A551" s="1132" t="s">
        <v>116</v>
      </c>
      <c r="B551" s="1132" t="s">
        <v>1000</v>
      </c>
      <c r="C551" s="1132" t="s">
        <v>629</v>
      </c>
      <c r="D551" s="1359" t="s">
        <v>630</v>
      </c>
      <c r="E551" s="1359">
        <v>1</v>
      </c>
      <c r="F551" s="2564" t="s">
        <v>631</v>
      </c>
      <c r="G551" s="1132" t="s">
        <v>356</v>
      </c>
      <c r="H551" s="1360">
        <v>74.755499999999998</v>
      </c>
      <c r="I551" s="1360">
        <v>74.755499999999998</v>
      </c>
      <c r="J551" s="1360">
        <v>74.755499999999998</v>
      </c>
      <c r="K551" s="1360">
        <v>74.755499999999998</v>
      </c>
      <c r="L551" s="1132" t="s">
        <v>632</v>
      </c>
      <c r="M551" s="1132" t="str">
        <f t="shared" si="407"/>
        <v>Nicor Gas PY11-PY14 Adjustable Goals Template_2025-03-01, Tab 5.3.7</v>
      </c>
      <c r="N551" s="1361">
        <v>185.21062775919711</v>
      </c>
      <c r="O551" s="1361">
        <v>185.21062775919711</v>
      </c>
      <c r="P551" s="1361">
        <v>185.21062775919711</v>
      </c>
      <c r="Q551" s="1361">
        <v>185.21062775919711</v>
      </c>
      <c r="R551" s="1781">
        <v>0.83</v>
      </c>
      <c r="S551" s="1781">
        <v>0.83</v>
      </c>
      <c r="T551" s="1781">
        <v>0.83</v>
      </c>
      <c r="U551" s="1781">
        <v>0.83</v>
      </c>
      <c r="V551" s="2567">
        <v>0.96</v>
      </c>
      <c r="W551" s="2567">
        <v>0.96</v>
      </c>
      <c r="X551" s="2567">
        <v>0.96</v>
      </c>
      <c r="Y551" s="2567">
        <v>0.96</v>
      </c>
      <c r="Z551" s="1359">
        <v>0</v>
      </c>
      <c r="AA551" s="2567">
        <f t="shared" si="408"/>
        <v>0.96</v>
      </c>
      <c r="AB551" s="2567">
        <f t="shared" si="409"/>
        <v>0.96</v>
      </c>
      <c r="AC551" s="2567">
        <f t="shared" si="410"/>
        <v>0.96</v>
      </c>
      <c r="AD551" s="2567">
        <f t="shared" si="411"/>
        <v>0.96</v>
      </c>
      <c r="AE551" s="2567">
        <f t="shared" si="412"/>
        <v>0.96</v>
      </c>
      <c r="AF551" s="2567">
        <f t="shared" si="413"/>
        <v>0.96</v>
      </c>
      <c r="AG551" s="2567">
        <f t="shared" si="414"/>
        <v>0.96</v>
      </c>
      <c r="AH551" s="2567">
        <f t="shared" si="415"/>
        <v>0.96</v>
      </c>
      <c r="AI551" s="1362">
        <f t="shared" si="446"/>
        <v>11491.775859265706</v>
      </c>
      <c r="AJ551" s="1362">
        <f t="shared" si="447"/>
        <v>11491.775859265706</v>
      </c>
      <c r="AK551" s="1362">
        <f t="shared" si="448"/>
        <v>11491.775859265706</v>
      </c>
      <c r="AL551" s="1362">
        <f t="shared" si="449"/>
        <v>11491.775859265706</v>
      </c>
      <c r="AM551" s="1362">
        <f t="shared" si="450"/>
        <v>45967.103437062826</v>
      </c>
      <c r="AN551" s="1132" t="str">
        <f t="shared" si="416"/>
        <v>RS-HVC-GHEF-V08-190101</v>
      </c>
      <c r="AO551" s="1132" t="str">
        <f t="shared" si="417"/>
        <v>Nicor Gas PY11-PY14 Adjustable Goals Template_2025-03-01, Tab 5.3.7</v>
      </c>
      <c r="AP551" s="2505">
        <f>'5.3.7'!$P$4</f>
        <v>185.21062775919711</v>
      </c>
      <c r="AQ551" s="2568" t="s">
        <v>1002</v>
      </c>
      <c r="AR551" s="2505">
        <f t="shared" si="418"/>
        <v>13291.692560114552</v>
      </c>
      <c r="AS551" s="2505">
        <f t="shared" si="419"/>
        <v>1799.9167008488457</v>
      </c>
      <c r="AT551" s="1132" t="str">
        <f t="shared" si="420"/>
        <v>RS-HVC-GHEF-V08-190101</v>
      </c>
      <c r="AU551" s="1132" t="str">
        <f t="shared" si="421"/>
        <v>Nicor Gas PY11-PY14 Adjustable Goals Template_2025-03-01, Tab 5.3.7</v>
      </c>
      <c r="AV551" s="2505">
        <f>'5.3.7'!$P$4</f>
        <v>185.21062775919711</v>
      </c>
      <c r="AW551" s="2568" t="s">
        <v>1002</v>
      </c>
      <c r="AX551" s="1362">
        <f t="shared" si="422"/>
        <v>13291.692560114552</v>
      </c>
      <c r="AY551" s="1360">
        <f t="shared" si="423"/>
        <v>1799.9167008488457</v>
      </c>
      <c r="AZ551" s="1132" t="str">
        <f t="shared" si="424"/>
        <v>RS-HVC-GHEF-V08-190101</v>
      </c>
      <c r="BA551" s="1132" t="str">
        <f t="shared" si="425"/>
        <v>Nicor Gas PY11-PY14 Adjustable Goals Template_2025-03-01, Tab 5.3.7</v>
      </c>
      <c r="BB551" s="2505">
        <f>'5.3.7'!$P$4</f>
        <v>185.21062775919711</v>
      </c>
      <c r="BC551" s="2568" t="s">
        <v>1002</v>
      </c>
      <c r="BD551" s="1362">
        <f t="shared" si="426"/>
        <v>13291.692560114552</v>
      </c>
      <c r="BE551" s="1360">
        <f t="shared" si="427"/>
        <v>1799.9167008488457</v>
      </c>
      <c r="BF551" s="1132" t="str">
        <f t="shared" si="428"/>
        <v>RS-HVC-GHEF-V08-190101</v>
      </c>
      <c r="BG551" s="1132" t="str">
        <f t="shared" si="429"/>
        <v>Nicor Gas PY11-PY14 Adjustable Goals Template_2025-03-01, Tab 5.3.7</v>
      </c>
      <c r="BH551" s="2505">
        <f>'5.3.7'!$P$4</f>
        <v>185.21062775919711</v>
      </c>
      <c r="BI551" s="2568" t="s">
        <v>1002</v>
      </c>
      <c r="BJ551" s="1362">
        <f t="shared" si="451"/>
        <v>13291.692560114552</v>
      </c>
      <c r="BK551" s="1360">
        <f t="shared" si="430"/>
        <v>1799.9167008488457</v>
      </c>
      <c r="BL551" s="1601">
        <f t="shared" si="431"/>
        <v>13291.692560114552</v>
      </c>
      <c r="BM551" s="1601">
        <f t="shared" si="432"/>
        <v>13291.692560114552</v>
      </c>
      <c r="BN551" s="1601">
        <f t="shared" si="433"/>
        <v>13291.692560114552</v>
      </c>
      <c r="BO551" s="1601">
        <f t="shared" si="434"/>
        <v>13291.692560114552</v>
      </c>
      <c r="BP551" s="1602">
        <f t="shared" si="435"/>
        <v>53166.770240458209</v>
      </c>
      <c r="BQ551" s="1629"/>
      <c r="BR551" s="1629" t="s">
        <v>631</v>
      </c>
      <c r="BS551" s="1602">
        <v>0</v>
      </c>
      <c r="BT551" s="1602">
        <v>20</v>
      </c>
      <c r="BU551" s="1602">
        <v>20</v>
      </c>
      <c r="BV551" s="1602">
        <v>20</v>
      </c>
      <c r="BW551" s="1602">
        <v>20</v>
      </c>
      <c r="BX551" s="1362">
        <f t="shared" si="452"/>
        <v>229835.51718531412</v>
      </c>
      <c r="BY551" s="1362">
        <f t="shared" si="453"/>
        <v>229835.51718531412</v>
      </c>
      <c r="BZ551" s="1362">
        <f t="shared" si="454"/>
        <v>229835.51718531412</v>
      </c>
      <c r="CA551" s="1362">
        <f t="shared" si="455"/>
        <v>229835.51718531412</v>
      </c>
      <c r="CB551" s="1362">
        <f t="shared" si="456"/>
        <v>919342.06874125649</v>
      </c>
      <c r="CC551" s="1360">
        <v>20</v>
      </c>
      <c r="CD551" s="1360">
        <v>20</v>
      </c>
      <c r="CE551" s="1360">
        <v>20</v>
      </c>
      <c r="CF551" s="1360">
        <v>20</v>
      </c>
      <c r="CG551" s="1604">
        <f t="shared" si="436"/>
        <v>265833.85120229103</v>
      </c>
      <c r="CH551" s="1604">
        <f t="shared" si="437"/>
        <v>265833.85120229103</v>
      </c>
      <c r="CI551" s="1604">
        <f t="shared" si="438"/>
        <v>265833.85120229103</v>
      </c>
      <c r="CJ551" s="1604">
        <f t="shared" si="439"/>
        <v>265833.85120229103</v>
      </c>
      <c r="CK551" s="1521">
        <f t="shared" si="440"/>
        <v>1063335.4048091641</v>
      </c>
      <c r="CL551" s="1132">
        <v>544</v>
      </c>
      <c r="CM551" s="1132" t="s">
        <v>356</v>
      </c>
      <c r="CN551" s="1359">
        <v>0</v>
      </c>
      <c r="CO551" s="1360">
        <v>74.755499999999998</v>
      </c>
      <c r="CP551" s="1360">
        <v>74.755499999999998</v>
      </c>
      <c r="CQ551" s="1360">
        <v>74.755499999999998</v>
      </c>
      <c r="CR551" s="1360">
        <v>74.755499999999998</v>
      </c>
      <c r="CS551" s="1362">
        <f t="shared" si="441"/>
        <v>13291.692560114552</v>
      </c>
      <c r="CT551" s="1362">
        <f t="shared" si="442"/>
        <v>13291.692560114552</v>
      </c>
      <c r="CU551" s="1362">
        <f t="shared" si="443"/>
        <v>13291.692560114552</v>
      </c>
      <c r="CV551" s="1362">
        <f t="shared" si="444"/>
        <v>13291.692560114552</v>
      </c>
      <c r="CW551" s="1362">
        <f t="shared" si="445"/>
        <v>53166.770240458209</v>
      </c>
      <c r="CY551" s="2887"/>
    </row>
    <row r="552" spans="1:103" s="1143" customFormat="1" ht="115.5" customHeight="1" x14ac:dyDescent="0.35">
      <c r="A552" s="1132" t="s">
        <v>116</v>
      </c>
      <c r="B552" s="1132" t="s">
        <v>1000</v>
      </c>
      <c r="C552" s="1132" t="s">
        <v>468</v>
      </c>
      <c r="D552" s="1359" t="s">
        <v>469</v>
      </c>
      <c r="E552" s="1359">
        <v>1</v>
      </c>
      <c r="F552" s="1780" t="s">
        <v>469</v>
      </c>
      <c r="G552" s="1132" t="s">
        <v>356</v>
      </c>
      <c r="H552" s="1360">
        <v>18.254249999999999</v>
      </c>
      <c r="I552" s="1360">
        <v>18.254249999999999</v>
      </c>
      <c r="J552" s="1360">
        <v>18.254249999999999</v>
      </c>
      <c r="K552" s="1360">
        <v>18.254249999999999</v>
      </c>
      <c r="L552" s="1132" t="s">
        <v>470</v>
      </c>
      <c r="M552" s="1132" t="str">
        <f t="shared" si="407"/>
        <v>Nicor Gas PY11-PY14 Adjustable Goals Template_2025-03-01, Tab 4.4.12</v>
      </c>
      <c r="N552" s="1361">
        <v>281.27205882352951</v>
      </c>
      <c r="O552" s="1361">
        <v>281.27205882352951</v>
      </c>
      <c r="P552" s="1361">
        <v>281.27205882352951</v>
      </c>
      <c r="Q552" s="1361">
        <v>281.27205882352951</v>
      </c>
      <c r="R552" s="1781">
        <v>0.83</v>
      </c>
      <c r="S552" s="1781">
        <v>0.83</v>
      </c>
      <c r="T552" s="1781">
        <v>0.83</v>
      </c>
      <c r="U552" s="1781">
        <v>0.83</v>
      </c>
      <c r="V552" s="2567">
        <v>0.96</v>
      </c>
      <c r="W552" s="2567">
        <v>0.96</v>
      </c>
      <c r="X552" s="2567">
        <v>0.96</v>
      </c>
      <c r="Y552" s="2567">
        <v>0.96</v>
      </c>
      <c r="Z552" s="1359">
        <v>0</v>
      </c>
      <c r="AA552" s="2567">
        <f t="shared" si="408"/>
        <v>0.96</v>
      </c>
      <c r="AB552" s="2567">
        <f t="shared" si="409"/>
        <v>0.96</v>
      </c>
      <c r="AC552" s="2567">
        <f t="shared" si="410"/>
        <v>0.96</v>
      </c>
      <c r="AD552" s="2567">
        <f t="shared" si="411"/>
        <v>0.96</v>
      </c>
      <c r="AE552" s="2567">
        <f t="shared" si="412"/>
        <v>0.96</v>
      </c>
      <c r="AF552" s="2567">
        <f t="shared" si="413"/>
        <v>0.96</v>
      </c>
      <c r="AG552" s="2567">
        <f t="shared" si="414"/>
        <v>0.96</v>
      </c>
      <c r="AH552" s="2567">
        <f t="shared" si="415"/>
        <v>0.96</v>
      </c>
      <c r="AI552" s="1362">
        <f t="shared" si="446"/>
        <v>4261.5606982169129</v>
      </c>
      <c r="AJ552" s="1362">
        <f t="shared" si="447"/>
        <v>4261.5606982169129</v>
      </c>
      <c r="AK552" s="1362">
        <f t="shared" si="448"/>
        <v>4261.5606982169129</v>
      </c>
      <c r="AL552" s="1362">
        <f t="shared" si="449"/>
        <v>4261.5606982169129</v>
      </c>
      <c r="AM552" s="1362">
        <f t="shared" si="450"/>
        <v>17046.242792867652</v>
      </c>
      <c r="AN552" s="1132" t="str">
        <f t="shared" si="416"/>
        <v>CI-HVC-IRHT-V01-190101</v>
      </c>
      <c r="AO552" s="1132" t="str">
        <f t="shared" si="417"/>
        <v>Nicor Gas PY11-PY14 Adjustable Goals Template_2025-03-01, Tab 4.4.12</v>
      </c>
      <c r="AP552" s="2505">
        <f>'4.4.12'!$K$4</f>
        <v>281.27205882352951</v>
      </c>
      <c r="AQ552" s="2568" t="s">
        <v>1002</v>
      </c>
      <c r="AR552" s="2505">
        <f t="shared" si="418"/>
        <v>4929.0340605882366</v>
      </c>
      <c r="AS552" s="2505">
        <f t="shared" si="419"/>
        <v>667.47336237132367</v>
      </c>
      <c r="AT552" s="1132" t="str">
        <f t="shared" si="420"/>
        <v>CI-HVC-IRHT-V01-190101</v>
      </c>
      <c r="AU552" s="1132" t="str">
        <f t="shared" si="421"/>
        <v>Nicor Gas PY11-PY14 Adjustable Goals Template_2025-03-01, Tab 4.4.12</v>
      </c>
      <c r="AV552" s="2505">
        <f>'4.4.12'!$K$4</f>
        <v>281.27205882352951</v>
      </c>
      <c r="AW552" s="2568" t="s">
        <v>1002</v>
      </c>
      <c r="AX552" s="1362">
        <f t="shared" si="422"/>
        <v>4929.0340605882366</v>
      </c>
      <c r="AY552" s="1360">
        <f t="shared" si="423"/>
        <v>667.47336237132367</v>
      </c>
      <c r="AZ552" s="1132" t="str">
        <f t="shared" si="424"/>
        <v>CI-HVC-IRHT-V01-190101</v>
      </c>
      <c r="BA552" s="1132" t="str">
        <f t="shared" si="425"/>
        <v>Nicor Gas PY11-PY14 Adjustable Goals Template_2025-03-01, Tab 4.4.12</v>
      </c>
      <c r="BB552" s="2505">
        <f>'4.4.12'!$K$4</f>
        <v>281.27205882352951</v>
      </c>
      <c r="BC552" s="2568" t="s">
        <v>1002</v>
      </c>
      <c r="BD552" s="1362">
        <f t="shared" si="426"/>
        <v>4929.0340605882366</v>
      </c>
      <c r="BE552" s="1360">
        <f t="shared" si="427"/>
        <v>667.47336237132367</v>
      </c>
      <c r="BF552" s="1132" t="str">
        <f t="shared" si="428"/>
        <v>CI-HVC-IRHT-V01-190101</v>
      </c>
      <c r="BG552" s="1132" t="str">
        <f t="shared" si="429"/>
        <v>Nicor Gas PY11-PY14 Adjustable Goals Template_2025-03-01, Tab 4.4.12</v>
      </c>
      <c r="BH552" s="2505">
        <f>'4.4.12'!$K$4</f>
        <v>281.27205882352951</v>
      </c>
      <c r="BI552" s="2568" t="s">
        <v>1002</v>
      </c>
      <c r="BJ552" s="1362">
        <f t="shared" si="451"/>
        <v>4929.0340605882366</v>
      </c>
      <c r="BK552" s="1360">
        <f t="shared" si="430"/>
        <v>667.47336237132367</v>
      </c>
      <c r="BL552" s="1601">
        <f t="shared" si="431"/>
        <v>4929.0340605882366</v>
      </c>
      <c r="BM552" s="1601">
        <f t="shared" si="432"/>
        <v>4929.0340605882366</v>
      </c>
      <c r="BN552" s="1601">
        <f t="shared" si="433"/>
        <v>4929.0340605882366</v>
      </c>
      <c r="BO552" s="1601">
        <f t="shared" si="434"/>
        <v>4929.0340605882366</v>
      </c>
      <c r="BP552" s="1602">
        <f t="shared" si="435"/>
        <v>19716.136242352946</v>
      </c>
      <c r="BQ552" s="1629"/>
      <c r="BR552" s="1629" t="s">
        <v>469</v>
      </c>
      <c r="BS552" s="1602">
        <v>0</v>
      </c>
      <c r="BT552" s="1602">
        <v>15</v>
      </c>
      <c r="BU552" s="1602">
        <v>15</v>
      </c>
      <c r="BV552" s="1602">
        <v>15</v>
      </c>
      <c r="BW552" s="1602">
        <v>15</v>
      </c>
      <c r="BX552" s="1362">
        <f t="shared" si="452"/>
        <v>63923.410473253694</v>
      </c>
      <c r="BY552" s="1362">
        <f t="shared" si="453"/>
        <v>63923.410473253694</v>
      </c>
      <c r="BZ552" s="1362">
        <f t="shared" si="454"/>
        <v>63923.410473253694</v>
      </c>
      <c r="CA552" s="1362">
        <f t="shared" si="455"/>
        <v>63923.410473253694</v>
      </c>
      <c r="CB552" s="1362">
        <f t="shared" si="456"/>
        <v>255693.64189301478</v>
      </c>
      <c r="CC552" s="1360">
        <v>15</v>
      </c>
      <c r="CD552" s="1360">
        <v>15</v>
      </c>
      <c r="CE552" s="1360">
        <v>15</v>
      </c>
      <c r="CF552" s="1360">
        <v>15</v>
      </c>
      <c r="CG552" s="1604">
        <f t="shared" si="436"/>
        <v>73935.510908823548</v>
      </c>
      <c r="CH552" s="1604">
        <f t="shared" si="437"/>
        <v>73935.510908823548</v>
      </c>
      <c r="CI552" s="1604">
        <f t="shared" si="438"/>
        <v>73935.510908823548</v>
      </c>
      <c r="CJ552" s="1604">
        <f t="shared" si="439"/>
        <v>73935.510908823548</v>
      </c>
      <c r="CK552" s="1521">
        <f t="shared" si="440"/>
        <v>295742.04363529419</v>
      </c>
      <c r="CL552" s="1132">
        <v>545</v>
      </c>
      <c r="CM552" s="1132" t="s">
        <v>356</v>
      </c>
      <c r="CN552" s="1359">
        <v>0</v>
      </c>
      <c r="CO552" s="1360">
        <v>18.254249999999999</v>
      </c>
      <c r="CP552" s="1360">
        <v>18.254249999999999</v>
      </c>
      <c r="CQ552" s="1360">
        <v>18.254249999999999</v>
      </c>
      <c r="CR552" s="1360">
        <v>18.254249999999999</v>
      </c>
      <c r="CS552" s="1362">
        <f t="shared" si="441"/>
        <v>4929.0340605882366</v>
      </c>
      <c r="CT552" s="1362">
        <f t="shared" si="442"/>
        <v>4929.0340605882366</v>
      </c>
      <c r="CU552" s="1362">
        <f t="shared" si="443"/>
        <v>4929.0340605882366</v>
      </c>
      <c r="CV552" s="1362">
        <f t="shared" si="444"/>
        <v>4929.0340605882366</v>
      </c>
      <c r="CW552" s="1362">
        <f t="shared" si="445"/>
        <v>19716.136242352946</v>
      </c>
      <c r="CY552" s="2887"/>
    </row>
    <row r="553" spans="1:103" s="1143" customFormat="1" ht="62" x14ac:dyDescent="0.35">
      <c r="A553" s="1132" t="s">
        <v>116</v>
      </c>
      <c r="B553" s="1132" t="s">
        <v>1000</v>
      </c>
      <c r="C553" s="1132" t="s">
        <v>482</v>
      </c>
      <c r="D553" s="1359" t="s">
        <v>483</v>
      </c>
      <c r="E553" s="1359">
        <v>1</v>
      </c>
      <c r="F553" s="2807" t="s">
        <v>479</v>
      </c>
      <c r="G553" s="1132" t="s">
        <v>356</v>
      </c>
      <c r="H553" s="1360">
        <v>0.86924999999999997</v>
      </c>
      <c r="I553" s="1360">
        <v>0.86924999999999997</v>
      </c>
      <c r="J553" s="1360">
        <v>0.86924999999999997</v>
      </c>
      <c r="K553" s="1360">
        <v>0.86924999999999997</v>
      </c>
      <c r="L553" s="1132" t="s">
        <v>480</v>
      </c>
      <c r="M553" s="1132" t="str">
        <f t="shared" si="407"/>
        <v>Nicor Gas PY11-PY14 Adjustable Goals Template_2025-03-01, Tab 4.3.1</v>
      </c>
      <c r="N553" s="1361">
        <v>336.19206214763915</v>
      </c>
      <c r="O553" s="1361">
        <v>336.19206214763915</v>
      </c>
      <c r="P553" s="1361">
        <v>336.19206214763915</v>
      </c>
      <c r="Q553" s="1361">
        <v>336.19206214763915</v>
      </c>
      <c r="R553" s="1781">
        <v>0.83</v>
      </c>
      <c r="S553" s="1781">
        <v>0.83</v>
      </c>
      <c r="T553" s="1781">
        <v>0.83</v>
      </c>
      <c r="U553" s="1781">
        <v>0.83</v>
      </c>
      <c r="V553" s="2567">
        <v>0.96</v>
      </c>
      <c r="W553" s="2567">
        <v>0.96</v>
      </c>
      <c r="X553" s="2567">
        <v>0.96</v>
      </c>
      <c r="Y553" s="2567">
        <v>0.96</v>
      </c>
      <c r="Z553" s="1359">
        <v>0</v>
      </c>
      <c r="AA553" s="2567">
        <f t="shared" si="408"/>
        <v>0.96</v>
      </c>
      <c r="AB553" s="2567">
        <f t="shared" si="409"/>
        <v>0.96</v>
      </c>
      <c r="AC553" s="2567">
        <f t="shared" si="410"/>
        <v>0.96</v>
      </c>
      <c r="AD553" s="2567">
        <f t="shared" si="411"/>
        <v>0.96</v>
      </c>
      <c r="AE553" s="2567">
        <f t="shared" si="412"/>
        <v>0.96</v>
      </c>
      <c r="AF553" s="2567">
        <f t="shared" si="413"/>
        <v>0.96</v>
      </c>
      <c r="AG553" s="2567">
        <f t="shared" si="414"/>
        <v>0.96</v>
      </c>
      <c r="AH553" s="2567">
        <f t="shared" si="415"/>
        <v>0.96</v>
      </c>
      <c r="AI553" s="1362">
        <f t="shared" si="446"/>
        <v>242.55500851812332</v>
      </c>
      <c r="AJ553" s="1362">
        <f t="shared" si="447"/>
        <v>242.55500851812332</v>
      </c>
      <c r="AK553" s="1362">
        <f t="shared" si="448"/>
        <v>242.55500851812332</v>
      </c>
      <c r="AL553" s="1362">
        <f t="shared" si="449"/>
        <v>242.55500851812332</v>
      </c>
      <c r="AM553" s="1362">
        <f t="shared" si="450"/>
        <v>970.22003407249326</v>
      </c>
      <c r="AN553" s="1132" t="str">
        <f t="shared" si="416"/>
        <v>CI-HW_-HWE-V03-190101</v>
      </c>
      <c r="AO553" s="1132" t="str">
        <f t="shared" si="417"/>
        <v>Nicor Gas PY11-PY14 Adjustable Goals Template_2025-03-01, Tab 4.3.1</v>
      </c>
      <c r="AP553" s="2568">
        <f>'4.3.1'!$Q$5</f>
        <v>350.51919514182515</v>
      </c>
      <c r="AQ553" s="2568" t="s">
        <v>1004</v>
      </c>
      <c r="AR553" s="2505">
        <f t="shared" si="418"/>
        <v>292.50125796195022</v>
      </c>
      <c r="AS553" s="2505">
        <f t="shared" si="419"/>
        <v>49.9462494438269</v>
      </c>
      <c r="AT553" s="1132" t="str">
        <f t="shared" si="420"/>
        <v>CI-HW_-HWE-V03-190101</v>
      </c>
      <c r="AU553" s="1132" t="str">
        <f t="shared" si="421"/>
        <v>Nicor Gas PY11-PY14 Adjustable Goals Template_2025-03-01, Tab 4.3.1</v>
      </c>
      <c r="AV553" s="2505">
        <f>'4.3.1'!$Q$5</f>
        <v>350.51919514182515</v>
      </c>
      <c r="AW553" s="2568" t="s">
        <v>1004</v>
      </c>
      <c r="AX553" s="1362">
        <f t="shared" si="422"/>
        <v>292.50125796195022</v>
      </c>
      <c r="AY553" s="1360">
        <f t="shared" si="423"/>
        <v>49.9462494438269</v>
      </c>
      <c r="AZ553" s="1132" t="str">
        <f t="shared" si="424"/>
        <v>CI-HW_-HWE-V03-190101</v>
      </c>
      <c r="BA553" s="1132" t="str">
        <f t="shared" si="425"/>
        <v>Nicor Gas PY11-PY14 Adjustable Goals Template_2025-03-01, Tab 4.3.1</v>
      </c>
      <c r="BB553" s="2505">
        <f>'4.3.1'!$Q$5</f>
        <v>350.51919514182515</v>
      </c>
      <c r="BC553" s="2568" t="s">
        <v>1004</v>
      </c>
      <c r="BD553" s="1362">
        <f t="shared" si="426"/>
        <v>292.50125796195022</v>
      </c>
      <c r="BE553" s="1360">
        <f t="shared" si="427"/>
        <v>49.9462494438269</v>
      </c>
      <c r="BF553" s="1132" t="str">
        <f t="shared" si="428"/>
        <v>CI-HW_-HWE-V03-190101</v>
      </c>
      <c r="BG553" s="1132" t="str">
        <f t="shared" si="429"/>
        <v>Nicor Gas PY11-PY14 Adjustable Goals Template_2025-03-01, Tab 4.3.1</v>
      </c>
      <c r="BH553" s="2505">
        <f>'4.3.1'!$Q$5</f>
        <v>350.51919514182515</v>
      </c>
      <c r="BI553" s="2568" t="s">
        <v>1004</v>
      </c>
      <c r="BJ553" s="1362">
        <f t="shared" si="451"/>
        <v>292.50125796195022</v>
      </c>
      <c r="BK553" s="1360">
        <f t="shared" si="430"/>
        <v>49.9462494438269</v>
      </c>
      <c r="BL553" s="1601">
        <f t="shared" si="431"/>
        <v>292.50125796195022</v>
      </c>
      <c r="BM553" s="1601">
        <f t="shared" si="432"/>
        <v>292.50125796195022</v>
      </c>
      <c r="BN553" s="1601">
        <f t="shared" si="433"/>
        <v>292.50125796195022</v>
      </c>
      <c r="BO553" s="1601">
        <f t="shared" si="434"/>
        <v>292.50125796195022</v>
      </c>
      <c r="BP553" s="1602">
        <f t="shared" si="435"/>
        <v>1170.0050318478009</v>
      </c>
      <c r="BQ553" s="1629"/>
      <c r="BR553" s="1629" t="s">
        <v>479</v>
      </c>
      <c r="BS553" s="1602">
        <v>0</v>
      </c>
      <c r="BT553" s="1602">
        <v>15</v>
      </c>
      <c r="BU553" s="1602">
        <v>15</v>
      </c>
      <c r="BV553" s="1602">
        <v>15</v>
      </c>
      <c r="BW553" s="1602">
        <v>15</v>
      </c>
      <c r="BX553" s="1362">
        <f t="shared" si="452"/>
        <v>3638.3251277718496</v>
      </c>
      <c r="BY553" s="1362">
        <f t="shared" si="453"/>
        <v>3638.3251277718496</v>
      </c>
      <c r="BZ553" s="1362">
        <f t="shared" si="454"/>
        <v>3638.3251277718496</v>
      </c>
      <c r="CA553" s="1362">
        <f t="shared" si="455"/>
        <v>3638.3251277718496</v>
      </c>
      <c r="CB553" s="1362">
        <f t="shared" si="456"/>
        <v>14553.300511087398</v>
      </c>
      <c r="CC553" s="1360">
        <v>15</v>
      </c>
      <c r="CD553" s="1360">
        <v>15</v>
      </c>
      <c r="CE553" s="1360">
        <v>15</v>
      </c>
      <c r="CF553" s="1360">
        <v>15</v>
      </c>
      <c r="CG553" s="1604">
        <f t="shared" si="436"/>
        <v>4387.5188694292528</v>
      </c>
      <c r="CH553" s="1604">
        <f t="shared" si="437"/>
        <v>4387.5188694292528</v>
      </c>
      <c r="CI553" s="1604">
        <f t="shared" si="438"/>
        <v>4387.5188694292528</v>
      </c>
      <c r="CJ553" s="1604">
        <f t="shared" si="439"/>
        <v>4387.5188694292528</v>
      </c>
      <c r="CK553" s="1521">
        <f t="shared" si="440"/>
        <v>17550.075477717011</v>
      </c>
      <c r="CL553" s="1132">
        <v>546</v>
      </c>
      <c r="CM553" s="1132" t="s">
        <v>356</v>
      </c>
      <c r="CN553" s="1359">
        <v>0</v>
      </c>
      <c r="CO553" s="1360">
        <v>0.86924999999999997</v>
      </c>
      <c r="CP553" s="1360">
        <v>0.86924999999999997</v>
      </c>
      <c r="CQ553" s="1360">
        <v>0.86924999999999997</v>
      </c>
      <c r="CR553" s="1360">
        <v>0.86924999999999997</v>
      </c>
      <c r="CS553" s="1362">
        <f t="shared" si="441"/>
        <v>292.50125796195022</v>
      </c>
      <c r="CT553" s="1362">
        <f t="shared" si="442"/>
        <v>292.50125796195022</v>
      </c>
      <c r="CU553" s="1362">
        <f t="shared" si="443"/>
        <v>292.50125796195022</v>
      </c>
      <c r="CV553" s="1362">
        <f t="shared" si="444"/>
        <v>292.50125796195022</v>
      </c>
      <c r="CW553" s="1362">
        <f t="shared" si="445"/>
        <v>1170.0050318478009</v>
      </c>
      <c r="CY553" s="2887"/>
    </row>
    <row r="554" spans="1:103" s="1143" customFormat="1" ht="81.75" customHeight="1" x14ac:dyDescent="0.35">
      <c r="A554" s="1132" t="s">
        <v>116</v>
      </c>
      <c r="B554" s="1132" t="s">
        <v>1000</v>
      </c>
      <c r="C554" s="1132" t="s">
        <v>484</v>
      </c>
      <c r="D554" s="1359" t="s">
        <v>485</v>
      </c>
      <c r="E554" s="1359">
        <v>1</v>
      </c>
      <c r="F554" s="1780" t="s">
        <v>485</v>
      </c>
      <c r="G554" s="1132" t="s">
        <v>356</v>
      </c>
      <c r="H554" s="1360">
        <v>35.639249999999997</v>
      </c>
      <c r="I554" s="1360">
        <v>35.639249999999997</v>
      </c>
      <c r="J554" s="1360">
        <v>35.639249999999997</v>
      </c>
      <c r="K554" s="1360">
        <v>35.639249999999997</v>
      </c>
      <c r="L554" s="1132" t="s">
        <v>486</v>
      </c>
      <c r="M554" s="1132" t="str">
        <f t="shared" si="407"/>
        <v>Nicor Gas PY11-PY14 Adjustable Goals Template_2025-03-01, Tab Customized TRM 4.4.48</v>
      </c>
      <c r="N554" s="1361">
        <v>227.28119295958282</v>
      </c>
      <c r="O554" s="1361">
        <v>227.28119295958282</v>
      </c>
      <c r="P554" s="1361">
        <v>227.28119295958282</v>
      </c>
      <c r="Q554" s="1361">
        <v>227.28119295958282</v>
      </c>
      <c r="R554" s="1781">
        <v>0.91</v>
      </c>
      <c r="S554" s="1781">
        <v>0.91</v>
      </c>
      <c r="T554" s="1781">
        <v>0.91</v>
      </c>
      <c r="U554" s="1781">
        <v>0.91</v>
      </c>
      <c r="V554" s="2567">
        <v>0.98</v>
      </c>
      <c r="W554" s="2567">
        <v>0.98</v>
      </c>
      <c r="X554" s="2567">
        <v>0.98</v>
      </c>
      <c r="Y554" s="2567">
        <v>0.98</v>
      </c>
      <c r="Z554" s="1359">
        <v>0</v>
      </c>
      <c r="AA554" s="2567">
        <f t="shared" si="408"/>
        <v>0.98</v>
      </c>
      <c r="AB554" s="2567">
        <f t="shared" si="409"/>
        <v>0.98</v>
      </c>
      <c r="AC554" s="2567">
        <f t="shared" si="410"/>
        <v>0.98</v>
      </c>
      <c r="AD554" s="2567">
        <f t="shared" si="411"/>
        <v>0.98</v>
      </c>
      <c r="AE554" s="2567">
        <f t="shared" si="412"/>
        <v>0.98</v>
      </c>
      <c r="AF554" s="2567">
        <f t="shared" si="413"/>
        <v>0.98</v>
      </c>
      <c r="AG554" s="2567">
        <f t="shared" si="414"/>
        <v>0.98</v>
      </c>
      <c r="AH554" s="2567">
        <f t="shared" si="415"/>
        <v>0.98</v>
      </c>
      <c r="AI554" s="1362">
        <f t="shared" si="446"/>
        <v>7371.1194431281792</v>
      </c>
      <c r="AJ554" s="1362">
        <f t="shared" si="447"/>
        <v>7371.1194431281792</v>
      </c>
      <c r="AK554" s="1362">
        <f t="shared" si="448"/>
        <v>7371.1194431281792</v>
      </c>
      <c r="AL554" s="1362">
        <f t="shared" si="449"/>
        <v>7371.1194431281792</v>
      </c>
      <c r="AM554" s="1362">
        <f t="shared" si="450"/>
        <v>29484.477772512717</v>
      </c>
      <c r="AN554" s="1132" t="str">
        <f t="shared" si="416"/>
        <v>C149</v>
      </c>
      <c r="AO554" s="1132" t="str">
        <f t="shared" si="417"/>
        <v>Nicor Gas PY11-PY14 Adjustable Goals Template_2025-03-01, Tab Customized TRM 4.4.48</v>
      </c>
      <c r="AP554" s="2505">
        <f>'Customized TRM 4.4.48'!$C$51</f>
        <v>138.79304850065191</v>
      </c>
      <c r="AQ554" s="2568" t="s">
        <v>1005</v>
      </c>
      <c r="AR554" s="2505">
        <f t="shared" si="418"/>
        <v>4847.5505507013204</v>
      </c>
      <c r="AS554" s="2505">
        <f t="shared" si="419"/>
        <v>-2523.5688924268588</v>
      </c>
      <c r="AT554" s="1132" t="str">
        <f t="shared" si="420"/>
        <v>C149</v>
      </c>
      <c r="AU554" s="1132" t="str">
        <f t="shared" si="421"/>
        <v>Nicor Gas PY11-PY14 Adjustable Goals Template_2025-03-01, Tab Customized TRM 4.4.48</v>
      </c>
      <c r="AV554" s="2505">
        <f>'Customized TRM 4.4.48'!$C$51</f>
        <v>138.79304850065191</v>
      </c>
      <c r="AW554" s="2568" t="s">
        <v>1005</v>
      </c>
      <c r="AX554" s="1362">
        <f t="shared" si="422"/>
        <v>4847.5505507013204</v>
      </c>
      <c r="AY554" s="1360">
        <f t="shared" si="423"/>
        <v>-2523.5688924268588</v>
      </c>
      <c r="AZ554" s="1132" t="str">
        <f t="shared" si="424"/>
        <v>C149</v>
      </c>
      <c r="BA554" s="1132" t="str">
        <f t="shared" si="425"/>
        <v>Nicor Gas PY11-PY14 Adjustable Goals Template_2025-03-01, Tab Customized TRM 4.4.48</v>
      </c>
      <c r="BB554" s="2505">
        <f>'Customized TRM 4.4.48'!$C$51</f>
        <v>138.79304850065191</v>
      </c>
      <c r="BC554" s="2568" t="s">
        <v>1005</v>
      </c>
      <c r="BD554" s="1362">
        <f t="shared" si="426"/>
        <v>4847.5505507013204</v>
      </c>
      <c r="BE554" s="1360">
        <f t="shared" si="427"/>
        <v>-2523.5688924268588</v>
      </c>
      <c r="BF554" s="1132" t="str">
        <f t="shared" si="428"/>
        <v>C149</v>
      </c>
      <c r="BG554" s="1132" t="str">
        <f t="shared" si="429"/>
        <v>Nicor Gas PY11-PY14 Adjustable Goals Template_2025-03-01, Tab Customized TRM 4.4.48</v>
      </c>
      <c r="BH554" s="2505">
        <f>'Customized TRM 4.4.48'!$C$51</f>
        <v>138.79304850065191</v>
      </c>
      <c r="BI554" s="2568" t="s">
        <v>1005</v>
      </c>
      <c r="BJ554" s="1362">
        <f t="shared" si="451"/>
        <v>4847.5505507013204</v>
      </c>
      <c r="BK554" s="1360">
        <f t="shared" si="430"/>
        <v>-2523.5688924268588</v>
      </c>
      <c r="BL554" s="1601">
        <f t="shared" si="431"/>
        <v>4847.5505507013204</v>
      </c>
      <c r="BM554" s="1601">
        <f t="shared" si="432"/>
        <v>4847.5505507013204</v>
      </c>
      <c r="BN554" s="1601">
        <f t="shared" si="433"/>
        <v>4847.5505507013204</v>
      </c>
      <c r="BO554" s="1601">
        <f t="shared" si="434"/>
        <v>4847.5505507013204</v>
      </c>
      <c r="BP554" s="1602">
        <f t="shared" si="435"/>
        <v>19390.202202805282</v>
      </c>
      <c r="BQ554" s="1629"/>
      <c r="BR554" s="1629" t="s">
        <v>485</v>
      </c>
      <c r="BS554" s="1602">
        <v>0</v>
      </c>
      <c r="BT554" s="1602">
        <v>11</v>
      </c>
      <c r="BU554" s="1602">
        <v>11</v>
      </c>
      <c r="BV554" s="1602">
        <v>11</v>
      </c>
      <c r="BW554" s="1602">
        <v>11</v>
      </c>
      <c r="BX554" s="1362">
        <f t="shared" si="452"/>
        <v>81082.313874409971</v>
      </c>
      <c r="BY554" s="1362">
        <f t="shared" si="453"/>
        <v>81082.313874409971</v>
      </c>
      <c r="BZ554" s="1362">
        <f t="shared" si="454"/>
        <v>81082.313874409971</v>
      </c>
      <c r="CA554" s="1362">
        <f t="shared" si="455"/>
        <v>81082.313874409971</v>
      </c>
      <c r="CB554" s="1362">
        <f t="shared" si="456"/>
        <v>324329.25549763988</v>
      </c>
      <c r="CC554" s="1360">
        <v>11</v>
      </c>
      <c r="CD554" s="1360">
        <v>11</v>
      </c>
      <c r="CE554" s="1360">
        <v>11</v>
      </c>
      <c r="CF554" s="1360">
        <v>11</v>
      </c>
      <c r="CG554" s="1604">
        <f t="shared" si="436"/>
        <v>53323.056057714522</v>
      </c>
      <c r="CH554" s="1604">
        <f t="shared" si="437"/>
        <v>53323.056057714522</v>
      </c>
      <c r="CI554" s="1604">
        <f t="shared" si="438"/>
        <v>53323.056057714522</v>
      </c>
      <c r="CJ554" s="1604">
        <f t="shared" si="439"/>
        <v>53323.056057714522</v>
      </c>
      <c r="CK554" s="1521">
        <f t="shared" si="440"/>
        <v>213292.22423085809</v>
      </c>
      <c r="CL554" s="1132">
        <v>547</v>
      </c>
      <c r="CM554" s="1132" t="s">
        <v>356</v>
      </c>
      <c r="CN554" s="1359">
        <v>0</v>
      </c>
      <c r="CO554" s="1360">
        <v>35.639249999999997</v>
      </c>
      <c r="CP554" s="1360">
        <v>35.639249999999997</v>
      </c>
      <c r="CQ554" s="1360">
        <v>35.639249999999997</v>
      </c>
      <c r="CR554" s="1360">
        <v>35.639249999999997</v>
      </c>
      <c r="CS554" s="1362">
        <f t="shared" si="441"/>
        <v>4847.5505507013204</v>
      </c>
      <c r="CT554" s="1362">
        <f t="shared" si="442"/>
        <v>4847.5505507013204</v>
      </c>
      <c r="CU554" s="1362">
        <f t="shared" si="443"/>
        <v>4847.5505507013204</v>
      </c>
      <c r="CV554" s="1362">
        <f t="shared" si="444"/>
        <v>4847.5505507013204</v>
      </c>
      <c r="CW554" s="1362">
        <f t="shared" si="445"/>
        <v>19390.202202805282</v>
      </c>
      <c r="CY554" s="2887"/>
    </row>
    <row r="555" spans="1:103" s="1143" customFormat="1" ht="46.5" x14ac:dyDescent="0.35">
      <c r="A555" s="1132" t="s">
        <v>116</v>
      </c>
      <c r="B555" s="1132" t="s">
        <v>1000</v>
      </c>
      <c r="C555" s="1132" t="s">
        <v>497</v>
      </c>
      <c r="D555" s="1359" t="s">
        <v>498</v>
      </c>
      <c r="E555" s="1359">
        <v>1</v>
      </c>
      <c r="F555" s="2564" t="s">
        <v>495</v>
      </c>
      <c r="G555" s="1132" t="s">
        <v>356</v>
      </c>
      <c r="H555" s="1360">
        <v>0.86924999999999997</v>
      </c>
      <c r="I555" s="1360">
        <v>0.86924999999999997</v>
      </c>
      <c r="J555" s="1360">
        <v>0.86924999999999997</v>
      </c>
      <c r="K555" s="1360">
        <v>0.86924999999999997</v>
      </c>
      <c r="L555" s="1132" t="s">
        <v>496</v>
      </c>
      <c r="M555" s="1132" t="str">
        <f t="shared" si="407"/>
        <v>Nicor Gas PY11-PY14 Adjustable Goals Template_2025-03-01, Tab 4.3.4</v>
      </c>
      <c r="N555" s="1361">
        <v>1010</v>
      </c>
      <c r="O555" s="1361">
        <v>1010</v>
      </c>
      <c r="P555" s="1361">
        <v>1010</v>
      </c>
      <c r="Q555" s="1361">
        <v>1010</v>
      </c>
      <c r="R555" s="1781">
        <v>0.83</v>
      </c>
      <c r="S555" s="1781">
        <v>0.83</v>
      </c>
      <c r="T555" s="1781">
        <v>0.83</v>
      </c>
      <c r="U555" s="1781">
        <v>0.83</v>
      </c>
      <c r="V555" s="2567">
        <v>0.96</v>
      </c>
      <c r="W555" s="2567">
        <v>0.96</v>
      </c>
      <c r="X555" s="2567">
        <v>0.96</v>
      </c>
      <c r="Y555" s="2567">
        <v>0.96</v>
      </c>
      <c r="Z555" s="1359">
        <v>0</v>
      </c>
      <c r="AA555" s="2567">
        <f t="shared" si="408"/>
        <v>0.96</v>
      </c>
      <c r="AB555" s="2567">
        <f t="shared" si="409"/>
        <v>0.96</v>
      </c>
      <c r="AC555" s="2567">
        <f t="shared" si="410"/>
        <v>0.96</v>
      </c>
      <c r="AD555" s="2567">
        <f t="shared" si="411"/>
        <v>0.96</v>
      </c>
      <c r="AE555" s="2567">
        <f t="shared" si="412"/>
        <v>0.96</v>
      </c>
      <c r="AF555" s="2567">
        <f t="shared" si="413"/>
        <v>0.96</v>
      </c>
      <c r="AG555" s="2567">
        <f t="shared" si="414"/>
        <v>0.96</v>
      </c>
      <c r="AH555" s="2567">
        <f t="shared" si="415"/>
        <v>0.96</v>
      </c>
      <c r="AI555" s="1362">
        <f t="shared" si="446"/>
        <v>728.692275</v>
      </c>
      <c r="AJ555" s="1362">
        <f t="shared" si="447"/>
        <v>728.692275</v>
      </c>
      <c r="AK555" s="1362">
        <f t="shared" si="448"/>
        <v>728.692275</v>
      </c>
      <c r="AL555" s="1362">
        <f t="shared" si="449"/>
        <v>728.692275</v>
      </c>
      <c r="AM555" s="1362">
        <f t="shared" si="450"/>
        <v>2914.7691</v>
      </c>
      <c r="AN555" s="1132" t="str">
        <f t="shared" si="416"/>
        <v>CI-HW_-HWE-PLCV-V02-190101</v>
      </c>
      <c r="AO555" s="1132" t="str">
        <f t="shared" si="417"/>
        <v>Nicor Gas PY11-PY14 Adjustable Goals Template_2025-03-01, Tab 4.3.4</v>
      </c>
      <c r="AP555" s="2505">
        <f>'4.3.4'!$M$5</f>
        <v>1010</v>
      </c>
      <c r="AQ555" s="2568" t="s">
        <v>1002</v>
      </c>
      <c r="AR555" s="2505">
        <f t="shared" si="418"/>
        <v>842.82479999999998</v>
      </c>
      <c r="AS555" s="2505">
        <f t="shared" si="419"/>
        <v>114.13252499999999</v>
      </c>
      <c r="AT555" s="1132" t="str">
        <f t="shared" si="420"/>
        <v>CI-HW_-HWE-PLCV-V02-190101</v>
      </c>
      <c r="AU555" s="1132" t="str">
        <f t="shared" si="421"/>
        <v>Nicor Gas PY11-PY14 Adjustable Goals Template_2025-03-01, Tab 4.3.4</v>
      </c>
      <c r="AV555" s="2505">
        <f>'4.3.4'!$M$5</f>
        <v>1010</v>
      </c>
      <c r="AW555" s="2568" t="s">
        <v>1002</v>
      </c>
      <c r="AX555" s="1362">
        <f t="shared" si="422"/>
        <v>842.82479999999998</v>
      </c>
      <c r="AY555" s="1360">
        <f t="shared" si="423"/>
        <v>114.13252499999999</v>
      </c>
      <c r="AZ555" s="1132" t="str">
        <f t="shared" si="424"/>
        <v>CI-HW_-HWE-PLCV-V02-190101</v>
      </c>
      <c r="BA555" s="1132" t="str">
        <f t="shared" si="425"/>
        <v>Nicor Gas PY11-PY14 Adjustable Goals Template_2025-03-01, Tab 4.3.4</v>
      </c>
      <c r="BB555" s="2505">
        <f>'4.3.4'!$M$5</f>
        <v>1010</v>
      </c>
      <c r="BC555" s="2568" t="s">
        <v>1002</v>
      </c>
      <c r="BD555" s="1362">
        <f t="shared" si="426"/>
        <v>842.82479999999998</v>
      </c>
      <c r="BE555" s="1360">
        <f t="shared" si="427"/>
        <v>114.13252499999999</v>
      </c>
      <c r="BF555" s="1132" t="str">
        <f t="shared" si="428"/>
        <v>CI-HW_-HWE-PLCV-V02-190101</v>
      </c>
      <c r="BG555" s="1132" t="str">
        <f t="shared" si="429"/>
        <v>Nicor Gas PY11-PY14 Adjustable Goals Template_2025-03-01, Tab 4.3.4</v>
      </c>
      <c r="BH555" s="2505">
        <f>'4.3.4'!$M$5</f>
        <v>1010</v>
      </c>
      <c r="BI555" s="2568" t="s">
        <v>1002</v>
      </c>
      <c r="BJ555" s="1362">
        <f t="shared" si="451"/>
        <v>842.82479999999998</v>
      </c>
      <c r="BK555" s="1360">
        <f t="shared" si="430"/>
        <v>114.13252499999999</v>
      </c>
      <c r="BL555" s="1601">
        <f t="shared" si="431"/>
        <v>842.82479999999998</v>
      </c>
      <c r="BM555" s="1601">
        <f t="shared" si="432"/>
        <v>842.82479999999998</v>
      </c>
      <c r="BN555" s="1601">
        <f t="shared" si="433"/>
        <v>842.82479999999998</v>
      </c>
      <c r="BO555" s="1601">
        <f t="shared" si="434"/>
        <v>842.82479999999998</v>
      </c>
      <c r="BP555" s="1602">
        <f t="shared" si="435"/>
        <v>3371.2991999999999</v>
      </c>
      <c r="BQ555" s="1629"/>
      <c r="BR555" s="1629" t="s">
        <v>495</v>
      </c>
      <c r="BS555" s="1602">
        <v>0</v>
      </c>
      <c r="BT555" s="1602">
        <v>6</v>
      </c>
      <c r="BU555" s="1602">
        <v>6</v>
      </c>
      <c r="BV555" s="1602">
        <v>6</v>
      </c>
      <c r="BW555" s="1602">
        <v>6</v>
      </c>
      <c r="BX555" s="1362">
        <f t="shared" si="452"/>
        <v>4372.1536500000002</v>
      </c>
      <c r="BY555" s="1362">
        <f t="shared" si="453"/>
        <v>4372.1536500000002</v>
      </c>
      <c r="BZ555" s="1362">
        <f t="shared" si="454"/>
        <v>4372.1536500000002</v>
      </c>
      <c r="CA555" s="1362">
        <f t="shared" si="455"/>
        <v>4372.1536500000002</v>
      </c>
      <c r="CB555" s="1362">
        <f t="shared" si="456"/>
        <v>17488.614600000001</v>
      </c>
      <c r="CC555" s="1360">
        <v>6</v>
      </c>
      <c r="CD555" s="1360">
        <v>6</v>
      </c>
      <c r="CE555" s="1360">
        <v>6</v>
      </c>
      <c r="CF555" s="1360">
        <v>6</v>
      </c>
      <c r="CG555" s="1604">
        <f t="shared" si="436"/>
        <v>5056.9487999999992</v>
      </c>
      <c r="CH555" s="1604">
        <f t="shared" si="437"/>
        <v>5056.9487999999992</v>
      </c>
      <c r="CI555" s="1604">
        <f t="shared" si="438"/>
        <v>5056.9487999999992</v>
      </c>
      <c r="CJ555" s="1604">
        <f t="shared" si="439"/>
        <v>5056.9487999999992</v>
      </c>
      <c r="CK555" s="1521">
        <f t="shared" si="440"/>
        <v>20227.795199999997</v>
      </c>
      <c r="CL555" s="1132">
        <v>548</v>
      </c>
      <c r="CM555" s="1132" t="s">
        <v>356</v>
      </c>
      <c r="CN555" s="1359">
        <v>0</v>
      </c>
      <c r="CO555" s="1360">
        <v>0.86924999999999997</v>
      </c>
      <c r="CP555" s="1360">
        <v>0.86924999999999997</v>
      </c>
      <c r="CQ555" s="1360">
        <v>0.86924999999999997</v>
      </c>
      <c r="CR555" s="1360">
        <v>0.86924999999999997</v>
      </c>
      <c r="CS555" s="1362">
        <f t="shared" si="441"/>
        <v>842.82479999999998</v>
      </c>
      <c r="CT555" s="1362">
        <f t="shared" si="442"/>
        <v>842.82479999999998</v>
      </c>
      <c r="CU555" s="1362">
        <f t="shared" si="443"/>
        <v>842.82479999999998</v>
      </c>
      <c r="CV555" s="1362">
        <f t="shared" si="444"/>
        <v>842.82479999999998</v>
      </c>
      <c r="CW555" s="1362">
        <f t="shared" si="445"/>
        <v>3371.2991999999999</v>
      </c>
      <c r="CY555" s="2887"/>
    </row>
    <row r="556" spans="1:103" s="1143" customFormat="1" ht="46.5" x14ac:dyDescent="0.35">
      <c r="A556" s="1132" t="s">
        <v>116</v>
      </c>
      <c r="B556" s="1132" t="s">
        <v>1000</v>
      </c>
      <c r="C556" s="1132" t="s">
        <v>499</v>
      </c>
      <c r="D556" s="1359" t="s">
        <v>500</v>
      </c>
      <c r="E556" s="1359">
        <v>1</v>
      </c>
      <c r="F556" s="2564" t="s">
        <v>500</v>
      </c>
      <c r="G556" s="1132" t="s">
        <v>356</v>
      </c>
      <c r="H556" s="1360">
        <v>0.86924999999999997</v>
      </c>
      <c r="I556" s="1360">
        <v>0.86924999999999997</v>
      </c>
      <c r="J556" s="1360">
        <v>0.86924999999999997</v>
      </c>
      <c r="K556" s="1360">
        <v>0.86924999999999997</v>
      </c>
      <c r="L556" s="1132" t="s">
        <v>501</v>
      </c>
      <c r="M556" s="1132" t="str">
        <f t="shared" si="407"/>
        <v>Nicor Gas PY11-PY14 Adjustable Goals Template_2025-03-01, Tab 4.3.6</v>
      </c>
      <c r="N556" s="1361">
        <v>4605</v>
      </c>
      <c r="O556" s="1361">
        <v>4605</v>
      </c>
      <c r="P556" s="1361">
        <v>4605</v>
      </c>
      <c r="Q556" s="1361">
        <v>4605</v>
      </c>
      <c r="R556" s="1781">
        <v>0.83</v>
      </c>
      <c r="S556" s="1781">
        <v>0.83</v>
      </c>
      <c r="T556" s="1781">
        <v>0.83</v>
      </c>
      <c r="U556" s="1781">
        <v>0.83</v>
      </c>
      <c r="V556" s="2567">
        <v>0.96</v>
      </c>
      <c r="W556" s="2567">
        <v>0.96</v>
      </c>
      <c r="X556" s="2567">
        <v>0.96</v>
      </c>
      <c r="Y556" s="2567">
        <v>0.96</v>
      </c>
      <c r="Z556" s="1359">
        <v>0</v>
      </c>
      <c r="AA556" s="2567">
        <f t="shared" si="408"/>
        <v>0.96</v>
      </c>
      <c r="AB556" s="2567">
        <f t="shared" si="409"/>
        <v>0.96</v>
      </c>
      <c r="AC556" s="2567">
        <f t="shared" si="410"/>
        <v>0.96</v>
      </c>
      <c r="AD556" s="2567">
        <f t="shared" si="411"/>
        <v>0.96</v>
      </c>
      <c r="AE556" s="2567">
        <f t="shared" si="412"/>
        <v>0.96</v>
      </c>
      <c r="AF556" s="2567">
        <f t="shared" si="413"/>
        <v>0.96</v>
      </c>
      <c r="AG556" s="2567">
        <f t="shared" si="414"/>
        <v>0.96</v>
      </c>
      <c r="AH556" s="2567">
        <f t="shared" si="415"/>
        <v>0.96</v>
      </c>
      <c r="AI556" s="1362">
        <f t="shared" si="446"/>
        <v>3322.4038874999997</v>
      </c>
      <c r="AJ556" s="1362">
        <f t="shared" si="447"/>
        <v>3322.4038874999997</v>
      </c>
      <c r="AK556" s="1362">
        <f t="shared" si="448"/>
        <v>3322.4038874999997</v>
      </c>
      <c r="AL556" s="1362">
        <f t="shared" si="449"/>
        <v>3322.4038874999997</v>
      </c>
      <c r="AM556" s="1362">
        <f t="shared" si="450"/>
        <v>13289.615549999999</v>
      </c>
      <c r="AN556" s="1132" t="str">
        <f t="shared" si="416"/>
        <v>CI-HW-HWE-OZLD-V02-190101</v>
      </c>
      <c r="AO556" s="1132" t="str">
        <f t="shared" si="417"/>
        <v>Nicor Gas PY11-PY14 Adjustable Goals Template_2025-03-01, Tab 4.3.6</v>
      </c>
      <c r="AP556" s="2505">
        <f>'4.3.6'!$M$4</f>
        <v>4605</v>
      </c>
      <c r="AQ556" s="2568" t="s">
        <v>1002</v>
      </c>
      <c r="AR556" s="2505">
        <f t="shared" si="418"/>
        <v>3842.7803999999996</v>
      </c>
      <c r="AS556" s="2505">
        <f t="shared" si="419"/>
        <v>520.37651249999999</v>
      </c>
      <c r="AT556" s="1132" t="str">
        <f t="shared" si="420"/>
        <v>CI-HW-HWE-OZLD-V02-190101</v>
      </c>
      <c r="AU556" s="1132" t="str">
        <f t="shared" si="421"/>
        <v>Nicor Gas PY11-PY14 Adjustable Goals Template_2025-03-01, Tab 4.3.6</v>
      </c>
      <c r="AV556" s="2505">
        <f>'4.3.6'!$M$4</f>
        <v>4605</v>
      </c>
      <c r="AW556" s="2568" t="s">
        <v>1002</v>
      </c>
      <c r="AX556" s="1362">
        <f t="shared" si="422"/>
        <v>3842.7803999999996</v>
      </c>
      <c r="AY556" s="1360">
        <f t="shared" si="423"/>
        <v>520.37651249999999</v>
      </c>
      <c r="AZ556" s="1132" t="str">
        <f t="shared" si="424"/>
        <v>CI-HW-HWE-OZLD-V02-190101</v>
      </c>
      <c r="BA556" s="1132" t="str">
        <f t="shared" si="425"/>
        <v>Nicor Gas PY11-PY14 Adjustable Goals Template_2025-03-01, Tab 4.3.6</v>
      </c>
      <c r="BB556" s="2505">
        <f>'4.3.6'!$M$4</f>
        <v>4605</v>
      </c>
      <c r="BC556" s="2568" t="s">
        <v>1002</v>
      </c>
      <c r="BD556" s="1362">
        <f t="shared" si="426"/>
        <v>3842.7803999999996</v>
      </c>
      <c r="BE556" s="1360">
        <f t="shared" si="427"/>
        <v>520.37651249999999</v>
      </c>
      <c r="BF556" s="1132" t="str">
        <f t="shared" si="428"/>
        <v>CI-HW-HWE-OZLD-V02-190101</v>
      </c>
      <c r="BG556" s="1132" t="str">
        <f t="shared" si="429"/>
        <v>Nicor Gas PY11-PY14 Adjustable Goals Template_2025-03-01, Tab 4.3.6</v>
      </c>
      <c r="BH556" s="2505">
        <f>'4.3.6'!$M$4</f>
        <v>4605</v>
      </c>
      <c r="BI556" s="2568" t="s">
        <v>1002</v>
      </c>
      <c r="BJ556" s="1362">
        <f t="shared" si="451"/>
        <v>3842.7803999999996</v>
      </c>
      <c r="BK556" s="1360">
        <f t="shared" si="430"/>
        <v>520.37651249999999</v>
      </c>
      <c r="BL556" s="1601">
        <f t="shared" si="431"/>
        <v>3842.7803999999996</v>
      </c>
      <c r="BM556" s="1601">
        <f t="shared" si="432"/>
        <v>3842.7803999999996</v>
      </c>
      <c r="BN556" s="1601">
        <f t="shared" si="433"/>
        <v>3842.7803999999996</v>
      </c>
      <c r="BO556" s="1601">
        <f t="shared" si="434"/>
        <v>3842.7803999999996</v>
      </c>
      <c r="BP556" s="1602">
        <f t="shared" si="435"/>
        <v>15371.121599999999</v>
      </c>
      <c r="BQ556" s="1629"/>
      <c r="BR556" s="1629" t="s">
        <v>500</v>
      </c>
      <c r="BS556" s="1602">
        <v>0</v>
      </c>
      <c r="BT556" s="1602">
        <v>10</v>
      </c>
      <c r="BU556" s="1602">
        <v>10</v>
      </c>
      <c r="BV556" s="1602">
        <v>10</v>
      </c>
      <c r="BW556" s="1602">
        <v>10</v>
      </c>
      <c r="BX556" s="1362">
        <f t="shared" si="452"/>
        <v>33224.038874999998</v>
      </c>
      <c r="BY556" s="1362">
        <f t="shared" si="453"/>
        <v>33224.038874999998</v>
      </c>
      <c r="BZ556" s="1362">
        <f t="shared" si="454"/>
        <v>33224.038874999998</v>
      </c>
      <c r="CA556" s="1362">
        <f t="shared" si="455"/>
        <v>33224.038874999998</v>
      </c>
      <c r="CB556" s="1362">
        <f t="shared" si="456"/>
        <v>132896.15549999999</v>
      </c>
      <c r="CC556" s="1360">
        <v>10</v>
      </c>
      <c r="CD556" s="1360">
        <v>10</v>
      </c>
      <c r="CE556" s="1360">
        <v>10</v>
      </c>
      <c r="CF556" s="1360">
        <v>10</v>
      </c>
      <c r="CG556" s="1604">
        <f t="shared" si="436"/>
        <v>38427.803999999996</v>
      </c>
      <c r="CH556" s="1604">
        <f t="shared" si="437"/>
        <v>38427.803999999996</v>
      </c>
      <c r="CI556" s="1604">
        <f t="shared" si="438"/>
        <v>38427.803999999996</v>
      </c>
      <c r="CJ556" s="1604">
        <f t="shared" si="439"/>
        <v>38427.803999999996</v>
      </c>
      <c r="CK556" s="1521">
        <f t="shared" si="440"/>
        <v>153711.21599999999</v>
      </c>
      <c r="CL556" s="1132">
        <v>549</v>
      </c>
      <c r="CM556" s="1132" t="s">
        <v>356</v>
      </c>
      <c r="CN556" s="1359">
        <v>0</v>
      </c>
      <c r="CO556" s="1360">
        <v>0.86924999999999997</v>
      </c>
      <c r="CP556" s="1360">
        <v>0.86924999999999997</v>
      </c>
      <c r="CQ556" s="1360">
        <v>0.86924999999999997</v>
      </c>
      <c r="CR556" s="1360">
        <v>0.86924999999999997</v>
      </c>
      <c r="CS556" s="1362">
        <f t="shared" si="441"/>
        <v>3842.7803999999996</v>
      </c>
      <c r="CT556" s="1362">
        <f t="shared" si="442"/>
        <v>3842.7803999999996</v>
      </c>
      <c r="CU556" s="1362">
        <f t="shared" si="443"/>
        <v>3842.7803999999996</v>
      </c>
      <c r="CV556" s="1362">
        <f t="shared" si="444"/>
        <v>3842.7803999999996</v>
      </c>
      <c r="CW556" s="1362">
        <f t="shared" si="445"/>
        <v>15371.121599999999</v>
      </c>
      <c r="CY556" s="2887"/>
    </row>
    <row r="557" spans="1:103" s="1143" customFormat="1" ht="46.5" x14ac:dyDescent="0.35">
      <c r="A557" s="1132" t="s">
        <v>116</v>
      </c>
      <c r="B557" s="1132" t="s">
        <v>1000</v>
      </c>
      <c r="C557" s="1132" t="s">
        <v>510</v>
      </c>
      <c r="D557" s="1359" t="s">
        <v>511</v>
      </c>
      <c r="E557" s="1359">
        <v>1</v>
      </c>
      <c r="F557" s="2564" t="s">
        <v>512</v>
      </c>
      <c r="G557" s="1132" t="s">
        <v>356</v>
      </c>
      <c r="H557" s="1360">
        <v>0.21731249999999999</v>
      </c>
      <c r="I557" s="1360">
        <v>0.21731249999999999</v>
      </c>
      <c r="J557" s="1360">
        <v>0.21731249999999999</v>
      </c>
      <c r="K557" s="1360">
        <v>0.21731249999999999</v>
      </c>
      <c r="L557" s="1132" t="s">
        <v>513</v>
      </c>
      <c r="M557" s="1132" t="str">
        <f t="shared" si="407"/>
        <v>Nicor Gas PY11-PY14 Adjustable Goals Template_2025-03-01, Tab 4.4.19</v>
      </c>
      <c r="N557" s="1361">
        <v>11212.849999999997</v>
      </c>
      <c r="O557" s="1361">
        <v>11212.849999999997</v>
      </c>
      <c r="P557" s="1361">
        <v>11212.849999999997</v>
      </c>
      <c r="Q557" s="1361">
        <v>11212.849999999997</v>
      </c>
      <c r="R557" s="1781">
        <v>0.83</v>
      </c>
      <c r="S557" s="1781">
        <v>0.83</v>
      </c>
      <c r="T557" s="1781">
        <v>0.83</v>
      </c>
      <c r="U557" s="1781">
        <v>0.83</v>
      </c>
      <c r="V557" s="2567">
        <v>0.96</v>
      </c>
      <c r="W557" s="2567">
        <v>0.96</v>
      </c>
      <c r="X557" s="2567">
        <v>0.96</v>
      </c>
      <c r="Y557" s="2567">
        <v>0.96</v>
      </c>
      <c r="Z557" s="1359">
        <v>0</v>
      </c>
      <c r="AA557" s="2567">
        <f t="shared" si="408"/>
        <v>0.96</v>
      </c>
      <c r="AB557" s="2567">
        <f t="shared" si="409"/>
        <v>0.96</v>
      </c>
      <c r="AC557" s="2567">
        <f t="shared" si="410"/>
        <v>0.96</v>
      </c>
      <c r="AD557" s="2567">
        <f t="shared" si="411"/>
        <v>0.96</v>
      </c>
      <c r="AE557" s="2567">
        <f t="shared" si="412"/>
        <v>0.96</v>
      </c>
      <c r="AF557" s="2567">
        <f t="shared" si="413"/>
        <v>0.96</v>
      </c>
      <c r="AG557" s="2567">
        <f t="shared" si="414"/>
        <v>0.96</v>
      </c>
      <c r="AH557" s="2567">
        <f t="shared" si="415"/>
        <v>0.96</v>
      </c>
      <c r="AI557" s="1362">
        <f t="shared" si="446"/>
        <v>2022.4547464687494</v>
      </c>
      <c r="AJ557" s="1362">
        <f t="shared" si="447"/>
        <v>2022.4547464687494</v>
      </c>
      <c r="AK557" s="1362">
        <f t="shared" si="448"/>
        <v>2022.4547464687494</v>
      </c>
      <c r="AL557" s="1362">
        <f t="shared" si="449"/>
        <v>2022.4547464687494</v>
      </c>
      <c r="AM557" s="1362">
        <f t="shared" si="450"/>
        <v>8089.8189858749975</v>
      </c>
      <c r="AN557" s="1132" t="str">
        <f t="shared" si="416"/>
        <v>CI-HVC-DCV-V05-190101</v>
      </c>
      <c r="AO557" s="1132" t="str">
        <f t="shared" si="417"/>
        <v>Nicor Gas PY11-PY14 Adjustable Goals Template_2025-03-01, Tab 4.4.19</v>
      </c>
      <c r="AP557" s="2505">
        <f>'4.4.19'!$P$4</f>
        <v>11212.849999999997</v>
      </c>
      <c r="AQ557" s="2568" t="s">
        <v>1002</v>
      </c>
      <c r="AR557" s="2505">
        <f t="shared" si="418"/>
        <v>2339.2247669999992</v>
      </c>
      <c r="AS557" s="2505">
        <f t="shared" si="419"/>
        <v>316.77002053124988</v>
      </c>
      <c r="AT557" s="1132" t="str">
        <f t="shared" si="420"/>
        <v>CI-HVC-DCV-V05-190101</v>
      </c>
      <c r="AU557" s="1132" t="str">
        <f t="shared" si="421"/>
        <v>Nicor Gas PY11-PY14 Adjustable Goals Template_2025-03-01, Tab 4.4.19</v>
      </c>
      <c r="AV557" s="2505">
        <f>'4.4.19'!$P$4</f>
        <v>11212.849999999997</v>
      </c>
      <c r="AW557" s="2568" t="s">
        <v>1002</v>
      </c>
      <c r="AX557" s="1362">
        <f t="shared" si="422"/>
        <v>2339.2247669999992</v>
      </c>
      <c r="AY557" s="1360">
        <f t="shared" si="423"/>
        <v>316.77002053124988</v>
      </c>
      <c r="AZ557" s="1132" t="str">
        <f t="shared" si="424"/>
        <v>CI-HVC-DCV-V05-190101</v>
      </c>
      <c r="BA557" s="1132" t="str">
        <f t="shared" si="425"/>
        <v>Nicor Gas PY11-PY14 Adjustable Goals Template_2025-03-01, Tab 4.4.19</v>
      </c>
      <c r="BB557" s="2505">
        <f>'4.4.19'!$P$4</f>
        <v>11212.849999999997</v>
      </c>
      <c r="BC557" s="2568" t="s">
        <v>1002</v>
      </c>
      <c r="BD557" s="1362">
        <f t="shared" si="426"/>
        <v>2339.2247669999992</v>
      </c>
      <c r="BE557" s="1360">
        <f t="shared" si="427"/>
        <v>316.77002053124988</v>
      </c>
      <c r="BF557" s="1132" t="str">
        <f t="shared" si="428"/>
        <v>CI-HVC-DCV-V05-190101</v>
      </c>
      <c r="BG557" s="1132" t="str">
        <f t="shared" si="429"/>
        <v>Nicor Gas PY11-PY14 Adjustable Goals Template_2025-03-01, Tab 4.4.19</v>
      </c>
      <c r="BH557" s="2505">
        <f>'4.4.19'!$P$4</f>
        <v>11212.849999999997</v>
      </c>
      <c r="BI557" s="2568" t="s">
        <v>1002</v>
      </c>
      <c r="BJ557" s="1362">
        <f t="shared" si="451"/>
        <v>2339.2247669999992</v>
      </c>
      <c r="BK557" s="1360">
        <f t="shared" si="430"/>
        <v>316.77002053124988</v>
      </c>
      <c r="BL557" s="1601">
        <f t="shared" si="431"/>
        <v>2339.2247669999992</v>
      </c>
      <c r="BM557" s="1601">
        <f t="shared" si="432"/>
        <v>2339.2247669999992</v>
      </c>
      <c r="BN557" s="1601">
        <f t="shared" si="433"/>
        <v>2339.2247669999992</v>
      </c>
      <c r="BO557" s="1601">
        <f t="shared" si="434"/>
        <v>2339.2247669999992</v>
      </c>
      <c r="BP557" s="1602">
        <f t="shared" si="435"/>
        <v>9356.899067999997</v>
      </c>
      <c r="BQ557" s="1629"/>
      <c r="BR557" s="1629" t="s">
        <v>512</v>
      </c>
      <c r="BS557" s="1602">
        <v>0</v>
      </c>
      <c r="BT557" s="1602">
        <v>10</v>
      </c>
      <c r="BU557" s="1602">
        <v>10</v>
      </c>
      <c r="BV557" s="1602">
        <v>10</v>
      </c>
      <c r="BW557" s="1602">
        <v>10</v>
      </c>
      <c r="BX557" s="1362">
        <f t="shared" si="452"/>
        <v>20224.547464687494</v>
      </c>
      <c r="BY557" s="1362">
        <f t="shared" si="453"/>
        <v>20224.547464687494</v>
      </c>
      <c r="BZ557" s="1362">
        <f t="shared" si="454"/>
        <v>20224.547464687494</v>
      </c>
      <c r="CA557" s="1362">
        <f t="shared" si="455"/>
        <v>20224.547464687494</v>
      </c>
      <c r="CB557" s="1362">
        <f t="shared" si="456"/>
        <v>80898.189858749975</v>
      </c>
      <c r="CC557" s="1360">
        <v>10</v>
      </c>
      <c r="CD557" s="1360">
        <v>10</v>
      </c>
      <c r="CE557" s="1360">
        <v>10</v>
      </c>
      <c r="CF557" s="1360">
        <v>10</v>
      </c>
      <c r="CG557" s="1604">
        <f t="shared" si="436"/>
        <v>23392.24766999999</v>
      </c>
      <c r="CH557" s="1604">
        <f t="shared" si="437"/>
        <v>23392.24766999999</v>
      </c>
      <c r="CI557" s="1604">
        <f t="shared" si="438"/>
        <v>23392.24766999999</v>
      </c>
      <c r="CJ557" s="1604">
        <f t="shared" si="439"/>
        <v>23392.24766999999</v>
      </c>
      <c r="CK557" s="1521">
        <f t="shared" si="440"/>
        <v>93568.990679999959</v>
      </c>
      <c r="CL557" s="1132">
        <v>550</v>
      </c>
      <c r="CM557" s="1132" t="s">
        <v>356</v>
      </c>
      <c r="CN557" s="1359">
        <v>0</v>
      </c>
      <c r="CO557" s="1360">
        <v>0.21731249999999999</v>
      </c>
      <c r="CP557" s="1360">
        <v>0.21731249999999999</v>
      </c>
      <c r="CQ557" s="1360">
        <v>0.21731249999999999</v>
      </c>
      <c r="CR557" s="1360">
        <v>0.21731249999999999</v>
      </c>
      <c r="CS557" s="1362">
        <f t="shared" si="441"/>
        <v>2339.2247669999992</v>
      </c>
      <c r="CT557" s="1362">
        <f t="shared" si="442"/>
        <v>2339.2247669999992</v>
      </c>
      <c r="CU557" s="1362">
        <f t="shared" si="443"/>
        <v>2339.2247669999992</v>
      </c>
      <c r="CV557" s="1362">
        <f t="shared" si="444"/>
        <v>2339.2247669999992</v>
      </c>
      <c r="CW557" s="1362">
        <f t="shared" si="445"/>
        <v>9356.899067999997</v>
      </c>
      <c r="CY557" s="2887"/>
    </row>
    <row r="558" spans="1:103" s="1143" customFormat="1" ht="46.5" x14ac:dyDescent="0.35">
      <c r="A558" s="1132" t="s">
        <v>116</v>
      </c>
      <c r="B558" s="1132" t="s">
        <v>1000</v>
      </c>
      <c r="C558" s="1132" t="s">
        <v>334</v>
      </c>
      <c r="D558" s="1359" t="s">
        <v>335</v>
      </c>
      <c r="E558" s="1359">
        <v>1</v>
      </c>
      <c r="F558" s="2564" t="s">
        <v>336</v>
      </c>
      <c r="G558" s="1132" t="s">
        <v>337</v>
      </c>
      <c r="H558" s="1360">
        <v>1099.6012500000002</v>
      </c>
      <c r="I558" s="1360">
        <v>1099.6012500000002</v>
      </c>
      <c r="J558" s="1360">
        <v>1099.6012500000002</v>
      </c>
      <c r="K558" s="1360">
        <v>1099.6012500000002</v>
      </c>
      <c r="L558" s="1132" t="s">
        <v>338</v>
      </c>
      <c r="M558" s="1132" t="str">
        <f t="shared" si="407"/>
        <v>Nicor Gas PY11-PY14 Adjustable Goals Template_2025-03-01, Tab 4.4.14</v>
      </c>
      <c r="N558" s="1361">
        <v>1.6846271672771671</v>
      </c>
      <c r="O558" s="1361">
        <v>1.6846271672771671</v>
      </c>
      <c r="P558" s="1361">
        <v>1.6846271672771671</v>
      </c>
      <c r="Q558" s="1361">
        <v>1.6846271672771671</v>
      </c>
      <c r="R558" s="1781">
        <v>0.83</v>
      </c>
      <c r="S558" s="1781">
        <v>0.83</v>
      </c>
      <c r="T558" s="1781">
        <v>0.83</v>
      </c>
      <c r="U558" s="1781">
        <v>0.83</v>
      </c>
      <c r="V558" s="2567">
        <v>0.96</v>
      </c>
      <c r="W558" s="2567">
        <v>0.96</v>
      </c>
      <c r="X558" s="2567">
        <v>0.96</v>
      </c>
      <c r="Y558" s="2567">
        <v>0.96</v>
      </c>
      <c r="Z558" s="1359">
        <v>0</v>
      </c>
      <c r="AA558" s="2567">
        <f t="shared" si="408"/>
        <v>0.96</v>
      </c>
      <c r="AB558" s="2567">
        <f t="shared" si="409"/>
        <v>0.96</v>
      </c>
      <c r="AC558" s="2567">
        <f t="shared" si="410"/>
        <v>0.96</v>
      </c>
      <c r="AD558" s="2567">
        <f t="shared" si="411"/>
        <v>0.96</v>
      </c>
      <c r="AE558" s="2567">
        <f t="shared" si="412"/>
        <v>0.96</v>
      </c>
      <c r="AF558" s="2567">
        <f t="shared" si="413"/>
        <v>0.96</v>
      </c>
      <c r="AG558" s="2567">
        <f t="shared" si="414"/>
        <v>0.96</v>
      </c>
      <c r="AH558" s="2567">
        <f t="shared" si="415"/>
        <v>0.96</v>
      </c>
      <c r="AI558" s="1362">
        <f t="shared" si="446"/>
        <v>1537.5070553052037</v>
      </c>
      <c r="AJ558" s="1362">
        <f t="shared" si="447"/>
        <v>1537.5070553052037</v>
      </c>
      <c r="AK558" s="1362">
        <f t="shared" si="448"/>
        <v>1537.5070553052037</v>
      </c>
      <c r="AL558" s="1362">
        <f t="shared" si="449"/>
        <v>1537.5070553052037</v>
      </c>
      <c r="AM558" s="1362">
        <f t="shared" si="450"/>
        <v>6150.0282212208149</v>
      </c>
      <c r="AN558" s="1132" t="str">
        <f t="shared" si="416"/>
        <v>CI-HVC-PINS-V05-190101</v>
      </c>
      <c r="AO558" s="1132" t="str">
        <f t="shared" si="417"/>
        <v>Nicor Gas PY11-PY14 Adjustable Goals Template_2025-03-01, Tab 4.4.14</v>
      </c>
      <c r="AP558" s="2505">
        <f>'4.4.14'!$T$10</f>
        <v>1.6846271672771671</v>
      </c>
      <c r="AQ558" s="2568" t="s">
        <v>1002</v>
      </c>
      <c r="AR558" s="2505">
        <f t="shared" si="418"/>
        <v>1778.3214133650549</v>
      </c>
      <c r="AS558" s="2505">
        <f t="shared" si="419"/>
        <v>240.8143580598512</v>
      </c>
      <c r="AT558" s="1132" t="str">
        <f t="shared" si="420"/>
        <v>CI-HVC-PINS-V05-190101</v>
      </c>
      <c r="AU558" s="1132" t="str">
        <f t="shared" si="421"/>
        <v>Nicor Gas PY11-PY14 Adjustable Goals Template_2025-03-01, Tab 4.4.14</v>
      </c>
      <c r="AV558" s="2505">
        <f>'4.4.14'!$T$10</f>
        <v>1.6846271672771671</v>
      </c>
      <c r="AW558" s="2568" t="s">
        <v>1002</v>
      </c>
      <c r="AX558" s="1362">
        <f t="shared" si="422"/>
        <v>1778.3214133650549</v>
      </c>
      <c r="AY558" s="1360">
        <f t="shared" si="423"/>
        <v>240.8143580598512</v>
      </c>
      <c r="AZ558" s="1132" t="str">
        <f t="shared" si="424"/>
        <v>CI-HVC-PINS-V05-190101</v>
      </c>
      <c r="BA558" s="1132" t="str">
        <f t="shared" si="425"/>
        <v>Nicor Gas PY11-PY14 Adjustable Goals Template_2025-03-01, Tab 4.4.14</v>
      </c>
      <c r="BB558" s="2505">
        <f>'4.4.14'!$T$10</f>
        <v>1.6846271672771671</v>
      </c>
      <c r="BC558" s="2568" t="s">
        <v>1002</v>
      </c>
      <c r="BD558" s="1362">
        <f t="shared" si="426"/>
        <v>1778.3214133650549</v>
      </c>
      <c r="BE558" s="1360">
        <f t="shared" si="427"/>
        <v>240.8143580598512</v>
      </c>
      <c r="BF558" s="1132" t="str">
        <f t="shared" si="428"/>
        <v>CI-HVC-PINS-V05-190101</v>
      </c>
      <c r="BG558" s="1132" t="str">
        <f t="shared" si="429"/>
        <v>Nicor Gas PY11-PY14 Adjustable Goals Template_2025-03-01, Tab 4.4.14</v>
      </c>
      <c r="BH558" s="2505">
        <f>'4.4.14'!$T$10</f>
        <v>1.6846271672771671</v>
      </c>
      <c r="BI558" s="2568" t="s">
        <v>1002</v>
      </c>
      <c r="BJ558" s="1362">
        <f t="shared" si="451"/>
        <v>1778.3214133650549</v>
      </c>
      <c r="BK558" s="1360">
        <f t="shared" si="430"/>
        <v>240.8143580598512</v>
      </c>
      <c r="BL558" s="1601">
        <f t="shared" si="431"/>
        <v>1778.3214133650549</v>
      </c>
      <c r="BM558" s="1601">
        <f t="shared" si="432"/>
        <v>1778.3214133650549</v>
      </c>
      <c r="BN558" s="1601">
        <f t="shared" si="433"/>
        <v>1778.3214133650549</v>
      </c>
      <c r="BO558" s="1601">
        <f t="shared" si="434"/>
        <v>1778.3214133650549</v>
      </c>
      <c r="BP558" s="1602">
        <f t="shared" si="435"/>
        <v>7113.2856534602197</v>
      </c>
      <c r="BQ558" s="1629"/>
      <c r="BR558" s="1629" t="s">
        <v>336</v>
      </c>
      <c r="BS558" s="1602">
        <v>0</v>
      </c>
      <c r="BT558" s="1602">
        <v>15</v>
      </c>
      <c r="BU558" s="1602">
        <v>15</v>
      </c>
      <c r="BV558" s="1602">
        <v>15</v>
      </c>
      <c r="BW558" s="1602">
        <v>15</v>
      </c>
      <c r="BX558" s="1362">
        <f t="shared" si="452"/>
        <v>23062.605829578057</v>
      </c>
      <c r="BY558" s="1362">
        <f t="shared" si="453"/>
        <v>23062.605829578057</v>
      </c>
      <c r="BZ558" s="1362">
        <f t="shared" si="454"/>
        <v>23062.605829578057</v>
      </c>
      <c r="CA558" s="1362">
        <f t="shared" si="455"/>
        <v>23062.605829578057</v>
      </c>
      <c r="CB558" s="1362">
        <f t="shared" si="456"/>
        <v>92250.423318312227</v>
      </c>
      <c r="CC558" s="1360">
        <v>15</v>
      </c>
      <c r="CD558" s="1360">
        <v>15</v>
      </c>
      <c r="CE558" s="1360">
        <v>15</v>
      </c>
      <c r="CF558" s="1360">
        <v>15</v>
      </c>
      <c r="CG558" s="1604">
        <f t="shared" si="436"/>
        <v>26674.821200475824</v>
      </c>
      <c r="CH558" s="1604">
        <f t="shared" si="437"/>
        <v>26674.821200475824</v>
      </c>
      <c r="CI558" s="1604">
        <f t="shared" si="438"/>
        <v>26674.821200475824</v>
      </c>
      <c r="CJ558" s="1604">
        <f t="shared" si="439"/>
        <v>26674.821200475824</v>
      </c>
      <c r="CK558" s="1521">
        <f t="shared" si="440"/>
        <v>106699.2848019033</v>
      </c>
      <c r="CL558" s="1132">
        <v>551</v>
      </c>
      <c r="CM558" s="1132" t="s">
        <v>337</v>
      </c>
      <c r="CN558" s="1359">
        <v>0</v>
      </c>
      <c r="CO558" s="1360">
        <v>1099.6012500000002</v>
      </c>
      <c r="CP558" s="1360">
        <v>1099.6012500000002</v>
      </c>
      <c r="CQ558" s="1360">
        <v>1099.6012500000002</v>
      </c>
      <c r="CR558" s="1360">
        <v>1099.6012500000002</v>
      </c>
      <c r="CS558" s="1362">
        <f t="shared" si="441"/>
        <v>1778.3214133650549</v>
      </c>
      <c r="CT558" s="1362">
        <f t="shared" si="442"/>
        <v>1778.3214133650549</v>
      </c>
      <c r="CU558" s="1362">
        <f t="shared" si="443"/>
        <v>1778.3214133650549</v>
      </c>
      <c r="CV558" s="1362">
        <f t="shared" si="444"/>
        <v>1778.3214133650549</v>
      </c>
      <c r="CW558" s="1362">
        <f t="shared" si="445"/>
        <v>7113.2856534602197</v>
      </c>
      <c r="CY558" s="2887"/>
    </row>
    <row r="559" spans="1:103" s="1143" customFormat="1" ht="45" customHeight="1" x14ac:dyDescent="0.35">
      <c r="A559" s="1132" t="s">
        <v>116</v>
      </c>
      <c r="B559" s="1132" t="s">
        <v>1000</v>
      </c>
      <c r="C559" s="1132" t="s">
        <v>339</v>
      </c>
      <c r="D559" s="1359" t="s">
        <v>340</v>
      </c>
      <c r="E559" s="1359">
        <v>1</v>
      </c>
      <c r="F559" s="2564" t="s">
        <v>336</v>
      </c>
      <c r="G559" s="1132" t="s">
        <v>337</v>
      </c>
      <c r="H559" s="1360">
        <v>8184.8580000000011</v>
      </c>
      <c r="I559" s="1360">
        <v>8184.8580000000011</v>
      </c>
      <c r="J559" s="1360">
        <v>8184.8580000000011</v>
      </c>
      <c r="K559" s="1360">
        <v>8184.8580000000011</v>
      </c>
      <c r="L559" s="1132" t="s">
        <v>338</v>
      </c>
      <c r="M559" s="1132" t="str">
        <f t="shared" si="407"/>
        <v>Nicor Gas PY11-PY14 Adjustable Goals Template_2025-03-01, Tab 4.4.14</v>
      </c>
      <c r="N559" s="1361">
        <v>4.3477888475836428</v>
      </c>
      <c r="O559" s="1361">
        <v>4.3477888475836428</v>
      </c>
      <c r="P559" s="1361">
        <v>4.3477888475836428</v>
      </c>
      <c r="Q559" s="1361">
        <v>4.3477888475836428</v>
      </c>
      <c r="R559" s="1781">
        <v>0.83</v>
      </c>
      <c r="S559" s="1781">
        <v>0.83</v>
      </c>
      <c r="T559" s="1781">
        <v>0.83</v>
      </c>
      <c r="U559" s="1781">
        <v>0.83</v>
      </c>
      <c r="V559" s="2567">
        <v>0.96</v>
      </c>
      <c r="W559" s="2567">
        <v>0.96</v>
      </c>
      <c r="X559" s="2567">
        <v>0.96</v>
      </c>
      <c r="Y559" s="2567">
        <v>0.96</v>
      </c>
      <c r="Z559" s="1359">
        <v>0</v>
      </c>
      <c r="AA559" s="2567">
        <f t="shared" si="408"/>
        <v>0.96</v>
      </c>
      <c r="AB559" s="2567">
        <f t="shared" si="409"/>
        <v>0.96</v>
      </c>
      <c r="AC559" s="2567">
        <f t="shared" si="410"/>
        <v>0.96</v>
      </c>
      <c r="AD559" s="2567">
        <f t="shared" si="411"/>
        <v>0.96</v>
      </c>
      <c r="AE559" s="2567">
        <f t="shared" si="412"/>
        <v>0.96</v>
      </c>
      <c r="AF559" s="2567">
        <f t="shared" si="413"/>
        <v>0.96</v>
      </c>
      <c r="AG559" s="2567">
        <f t="shared" si="414"/>
        <v>0.96</v>
      </c>
      <c r="AH559" s="2567">
        <f t="shared" si="415"/>
        <v>0.96</v>
      </c>
      <c r="AI559" s="1362">
        <f t="shared" si="446"/>
        <v>29536.40849510828</v>
      </c>
      <c r="AJ559" s="1362">
        <f t="shared" si="447"/>
        <v>29536.40849510828</v>
      </c>
      <c r="AK559" s="1362">
        <f t="shared" si="448"/>
        <v>29536.40849510828</v>
      </c>
      <c r="AL559" s="1362">
        <f t="shared" si="449"/>
        <v>29536.40849510828</v>
      </c>
      <c r="AM559" s="1362">
        <f t="shared" si="450"/>
        <v>118145.63398043312</v>
      </c>
      <c r="AN559" s="1132" t="str">
        <f t="shared" si="416"/>
        <v>CI-HVC-PINS-V05-190101</v>
      </c>
      <c r="AO559" s="1132" t="str">
        <f t="shared" si="417"/>
        <v>Nicor Gas PY11-PY14 Adjustable Goals Template_2025-03-01, Tab 4.4.14</v>
      </c>
      <c r="AP559" s="2505">
        <f>'4.4.14'!$T$7</f>
        <v>4.3477888475836428</v>
      </c>
      <c r="AQ559" s="2568" t="s">
        <v>1002</v>
      </c>
      <c r="AR559" s="2505">
        <f t="shared" si="418"/>
        <v>34162.592958197529</v>
      </c>
      <c r="AS559" s="2505">
        <f t="shared" si="419"/>
        <v>4626.1844630892483</v>
      </c>
      <c r="AT559" s="1132" t="str">
        <f t="shared" si="420"/>
        <v>CI-HVC-PINS-V05-190101</v>
      </c>
      <c r="AU559" s="1132" t="str">
        <f t="shared" si="421"/>
        <v>Nicor Gas PY11-PY14 Adjustable Goals Template_2025-03-01, Tab 4.4.14</v>
      </c>
      <c r="AV559" s="2505">
        <f>'4.4.14'!$T$7</f>
        <v>4.3477888475836428</v>
      </c>
      <c r="AW559" s="2568" t="s">
        <v>1002</v>
      </c>
      <c r="AX559" s="1362">
        <f t="shared" si="422"/>
        <v>34162.592958197529</v>
      </c>
      <c r="AY559" s="1360">
        <f t="shared" si="423"/>
        <v>4626.1844630892483</v>
      </c>
      <c r="AZ559" s="1132" t="str">
        <f t="shared" si="424"/>
        <v>CI-HVC-PINS-V05-190101</v>
      </c>
      <c r="BA559" s="1132" t="str">
        <f t="shared" si="425"/>
        <v>Nicor Gas PY11-PY14 Adjustable Goals Template_2025-03-01, Tab 4.4.14</v>
      </c>
      <c r="BB559" s="2505">
        <f>'4.4.14'!$T$7</f>
        <v>4.3477888475836428</v>
      </c>
      <c r="BC559" s="2568" t="s">
        <v>1002</v>
      </c>
      <c r="BD559" s="1362">
        <f t="shared" si="426"/>
        <v>34162.592958197529</v>
      </c>
      <c r="BE559" s="1360">
        <f t="shared" si="427"/>
        <v>4626.1844630892483</v>
      </c>
      <c r="BF559" s="1132" t="str">
        <f t="shared" si="428"/>
        <v>CI-HVC-PINS-V05-190101</v>
      </c>
      <c r="BG559" s="1132" t="str">
        <f t="shared" si="429"/>
        <v>Nicor Gas PY11-PY14 Adjustable Goals Template_2025-03-01, Tab 4.4.14</v>
      </c>
      <c r="BH559" s="2505">
        <f>'4.4.14'!$T$7</f>
        <v>4.3477888475836428</v>
      </c>
      <c r="BI559" s="2568" t="s">
        <v>1002</v>
      </c>
      <c r="BJ559" s="1362">
        <f t="shared" si="451"/>
        <v>34162.592958197529</v>
      </c>
      <c r="BK559" s="1360">
        <f t="shared" si="430"/>
        <v>4626.1844630892483</v>
      </c>
      <c r="BL559" s="1601">
        <f t="shared" si="431"/>
        <v>34162.592958197529</v>
      </c>
      <c r="BM559" s="1601">
        <f t="shared" si="432"/>
        <v>34162.592958197529</v>
      </c>
      <c r="BN559" s="1601">
        <f t="shared" si="433"/>
        <v>34162.592958197529</v>
      </c>
      <c r="BO559" s="1601">
        <f t="shared" si="434"/>
        <v>34162.592958197529</v>
      </c>
      <c r="BP559" s="1602">
        <f t="shared" si="435"/>
        <v>136650.37183279012</v>
      </c>
      <c r="BQ559" s="1629"/>
      <c r="BR559" s="1629" t="s">
        <v>336</v>
      </c>
      <c r="BS559" s="1602">
        <v>0</v>
      </c>
      <c r="BT559" s="1602">
        <v>15</v>
      </c>
      <c r="BU559" s="1602">
        <v>15</v>
      </c>
      <c r="BV559" s="1602">
        <v>15</v>
      </c>
      <c r="BW559" s="1602">
        <v>15</v>
      </c>
      <c r="BX559" s="1362">
        <f t="shared" si="452"/>
        <v>443046.12742662418</v>
      </c>
      <c r="BY559" s="1362">
        <f t="shared" si="453"/>
        <v>443046.12742662418</v>
      </c>
      <c r="BZ559" s="1362">
        <f t="shared" si="454"/>
        <v>443046.12742662418</v>
      </c>
      <c r="CA559" s="1362">
        <f t="shared" si="455"/>
        <v>443046.12742662418</v>
      </c>
      <c r="CB559" s="1362">
        <f t="shared" si="456"/>
        <v>1772184.5097064967</v>
      </c>
      <c r="CC559" s="1360">
        <v>15</v>
      </c>
      <c r="CD559" s="1360">
        <v>15</v>
      </c>
      <c r="CE559" s="1360">
        <v>15</v>
      </c>
      <c r="CF559" s="1360">
        <v>15</v>
      </c>
      <c r="CG559" s="1604">
        <f t="shared" si="436"/>
        <v>512438.89437296294</v>
      </c>
      <c r="CH559" s="1604">
        <f t="shared" si="437"/>
        <v>512438.89437296294</v>
      </c>
      <c r="CI559" s="1604">
        <f t="shared" si="438"/>
        <v>512438.89437296294</v>
      </c>
      <c r="CJ559" s="1604">
        <f t="shared" si="439"/>
        <v>512438.89437296294</v>
      </c>
      <c r="CK559" s="1521">
        <f t="shared" si="440"/>
        <v>2049755.5774918518</v>
      </c>
      <c r="CL559" s="1132">
        <v>552</v>
      </c>
      <c r="CM559" s="1132" t="s">
        <v>337</v>
      </c>
      <c r="CN559" s="1359">
        <v>0</v>
      </c>
      <c r="CO559" s="1360">
        <v>8184.8580000000011</v>
      </c>
      <c r="CP559" s="1360">
        <v>8184.8580000000011</v>
      </c>
      <c r="CQ559" s="1360">
        <v>8184.8580000000011</v>
      </c>
      <c r="CR559" s="1360">
        <v>8184.8580000000011</v>
      </c>
      <c r="CS559" s="1362">
        <f t="shared" si="441"/>
        <v>34162.592958197529</v>
      </c>
      <c r="CT559" s="1362">
        <f t="shared" si="442"/>
        <v>34162.592958197529</v>
      </c>
      <c r="CU559" s="1362">
        <f t="shared" si="443"/>
        <v>34162.592958197529</v>
      </c>
      <c r="CV559" s="1362">
        <f t="shared" si="444"/>
        <v>34162.592958197529</v>
      </c>
      <c r="CW559" s="1362">
        <f t="shared" si="445"/>
        <v>136650.37183279012</v>
      </c>
      <c r="CY559" s="2887"/>
    </row>
    <row r="560" spans="1:103" s="1143" customFormat="1" ht="46.5" x14ac:dyDescent="0.35">
      <c r="A560" s="1132" t="s">
        <v>116</v>
      </c>
      <c r="B560" s="1132" t="s">
        <v>1000</v>
      </c>
      <c r="C560" s="1132" t="s">
        <v>341</v>
      </c>
      <c r="D560" s="1359" t="s">
        <v>342</v>
      </c>
      <c r="E560" s="1359">
        <v>1</v>
      </c>
      <c r="F560" s="2564" t="s">
        <v>336</v>
      </c>
      <c r="G560" s="1132" t="s">
        <v>337</v>
      </c>
      <c r="H560" s="1360">
        <v>192.97349999999997</v>
      </c>
      <c r="I560" s="1360">
        <v>192.97349999999997</v>
      </c>
      <c r="J560" s="1360">
        <v>192.97349999999997</v>
      </c>
      <c r="K560" s="1360">
        <v>192.97349999999997</v>
      </c>
      <c r="L560" s="1132" t="s">
        <v>338</v>
      </c>
      <c r="M560" s="1132" t="str">
        <f t="shared" si="407"/>
        <v>Nicor Gas PY11-PY14 Adjustable Goals Template_2025-03-01, Tab 4.4.14</v>
      </c>
      <c r="N560" s="1361">
        <v>6.2725912019826513</v>
      </c>
      <c r="O560" s="1361">
        <v>6.2725912019826513</v>
      </c>
      <c r="P560" s="1361">
        <v>6.2725912019826513</v>
      </c>
      <c r="Q560" s="1361">
        <v>6.2725912019826513</v>
      </c>
      <c r="R560" s="1781">
        <v>0.83</v>
      </c>
      <c r="S560" s="1781">
        <v>0.83</v>
      </c>
      <c r="T560" s="1781">
        <v>0.83</v>
      </c>
      <c r="U560" s="1781">
        <v>0.83</v>
      </c>
      <c r="V560" s="2567">
        <v>0.96</v>
      </c>
      <c r="W560" s="2567">
        <v>0.96</v>
      </c>
      <c r="X560" s="2567">
        <v>0.96</v>
      </c>
      <c r="Y560" s="2567">
        <v>0.96</v>
      </c>
      <c r="Z560" s="1359">
        <v>0</v>
      </c>
      <c r="AA560" s="2567">
        <f t="shared" si="408"/>
        <v>0.96</v>
      </c>
      <c r="AB560" s="2567">
        <f t="shared" si="409"/>
        <v>0.96</v>
      </c>
      <c r="AC560" s="2567">
        <f t="shared" si="410"/>
        <v>0.96</v>
      </c>
      <c r="AD560" s="2567">
        <f t="shared" si="411"/>
        <v>0.96</v>
      </c>
      <c r="AE560" s="2567">
        <f t="shared" si="412"/>
        <v>0.96</v>
      </c>
      <c r="AF560" s="2567">
        <f t="shared" si="413"/>
        <v>0.96</v>
      </c>
      <c r="AG560" s="2567">
        <f t="shared" si="414"/>
        <v>0.96</v>
      </c>
      <c r="AH560" s="2567">
        <f t="shared" si="415"/>
        <v>0.96</v>
      </c>
      <c r="AI560" s="1362">
        <f t="shared" si="446"/>
        <v>1004.6684190021131</v>
      </c>
      <c r="AJ560" s="1362">
        <f t="shared" si="447"/>
        <v>1004.6684190021131</v>
      </c>
      <c r="AK560" s="1362">
        <f t="shared" si="448"/>
        <v>1004.6684190021131</v>
      </c>
      <c r="AL560" s="1362">
        <f t="shared" si="449"/>
        <v>1004.6684190021131</v>
      </c>
      <c r="AM560" s="1362">
        <f t="shared" si="450"/>
        <v>4018.6736760084523</v>
      </c>
      <c r="AN560" s="1132" t="str">
        <f t="shared" si="416"/>
        <v>CI-HVC-PINS-V05-190101</v>
      </c>
      <c r="AO560" s="1132" t="str">
        <f t="shared" si="417"/>
        <v>Nicor Gas PY11-PY14 Adjustable Goals Template_2025-03-01, Tab 4.4.14</v>
      </c>
      <c r="AP560" s="2505">
        <f>'4.4.14'!$T$12</f>
        <v>6.2725912019826513</v>
      </c>
      <c r="AQ560" s="2568" t="s">
        <v>1002</v>
      </c>
      <c r="AR560" s="2505">
        <f t="shared" si="418"/>
        <v>1162.0261231831669</v>
      </c>
      <c r="AS560" s="2505">
        <f t="shared" si="419"/>
        <v>157.3577041810538</v>
      </c>
      <c r="AT560" s="1132" t="str">
        <f t="shared" si="420"/>
        <v>CI-HVC-PINS-V05-190101</v>
      </c>
      <c r="AU560" s="1132" t="str">
        <f t="shared" si="421"/>
        <v>Nicor Gas PY11-PY14 Adjustable Goals Template_2025-03-01, Tab 4.4.14</v>
      </c>
      <c r="AV560" s="2505">
        <f>'4.4.14'!$T$12</f>
        <v>6.2725912019826513</v>
      </c>
      <c r="AW560" s="2568" t="s">
        <v>1002</v>
      </c>
      <c r="AX560" s="1362">
        <f t="shared" si="422"/>
        <v>1162.0261231831669</v>
      </c>
      <c r="AY560" s="1360">
        <f t="shared" si="423"/>
        <v>157.3577041810538</v>
      </c>
      <c r="AZ560" s="1132" t="str">
        <f t="shared" si="424"/>
        <v>CI-HVC-PINS-V05-190101</v>
      </c>
      <c r="BA560" s="1132" t="str">
        <f t="shared" si="425"/>
        <v>Nicor Gas PY11-PY14 Adjustable Goals Template_2025-03-01, Tab 4.4.14</v>
      </c>
      <c r="BB560" s="2505">
        <f>'4.4.14'!$T$12</f>
        <v>6.2725912019826513</v>
      </c>
      <c r="BC560" s="2568" t="s">
        <v>1002</v>
      </c>
      <c r="BD560" s="1362">
        <f t="shared" si="426"/>
        <v>1162.0261231831669</v>
      </c>
      <c r="BE560" s="1360">
        <f t="shared" si="427"/>
        <v>157.3577041810538</v>
      </c>
      <c r="BF560" s="1132" t="str">
        <f t="shared" si="428"/>
        <v>CI-HVC-PINS-V05-190101</v>
      </c>
      <c r="BG560" s="1132" t="str">
        <f t="shared" si="429"/>
        <v>Nicor Gas PY11-PY14 Adjustable Goals Template_2025-03-01, Tab 4.4.14</v>
      </c>
      <c r="BH560" s="2505">
        <f>'4.4.14'!$T$12</f>
        <v>6.2725912019826513</v>
      </c>
      <c r="BI560" s="2568" t="s">
        <v>1002</v>
      </c>
      <c r="BJ560" s="1362">
        <f t="shared" si="451"/>
        <v>1162.0261231831669</v>
      </c>
      <c r="BK560" s="1360">
        <f t="shared" si="430"/>
        <v>157.3577041810538</v>
      </c>
      <c r="BL560" s="1601">
        <f t="shared" si="431"/>
        <v>1162.0261231831669</v>
      </c>
      <c r="BM560" s="1601">
        <f t="shared" si="432"/>
        <v>1162.0261231831669</v>
      </c>
      <c r="BN560" s="1601">
        <f t="shared" si="433"/>
        <v>1162.0261231831669</v>
      </c>
      <c r="BO560" s="1601">
        <f t="shared" si="434"/>
        <v>1162.0261231831669</v>
      </c>
      <c r="BP560" s="1602">
        <f t="shared" si="435"/>
        <v>4648.1044927326675</v>
      </c>
      <c r="BQ560" s="1629"/>
      <c r="BR560" s="1629" t="s">
        <v>336</v>
      </c>
      <c r="BS560" s="1602">
        <v>0</v>
      </c>
      <c r="BT560" s="1602">
        <v>15</v>
      </c>
      <c r="BU560" s="1602">
        <v>15</v>
      </c>
      <c r="BV560" s="1602">
        <v>15</v>
      </c>
      <c r="BW560" s="1602">
        <v>15</v>
      </c>
      <c r="BX560" s="1362">
        <f t="shared" si="452"/>
        <v>15070.026285031696</v>
      </c>
      <c r="BY560" s="1362">
        <f t="shared" si="453"/>
        <v>15070.026285031696</v>
      </c>
      <c r="BZ560" s="1362">
        <f t="shared" si="454"/>
        <v>15070.026285031696</v>
      </c>
      <c r="CA560" s="1362">
        <f t="shared" si="455"/>
        <v>15070.026285031696</v>
      </c>
      <c r="CB560" s="1362">
        <f t="shared" si="456"/>
        <v>60280.105140126783</v>
      </c>
      <c r="CC560" s="1360">
        <v>15</v>
      </c>
      <c r="CD560" s="1360">
        <v>15</v>
      </c>
      <c r="CE560" s="1360">
        <v>15</v>
      </c>
      <c r="CF560" s="1360">
        <v>15</v>
      </c>
      <c r="CG560" s="1604">
        <f t="shared" si="436"/>
        <v>17430.391847747505</v>
      </c>
      <c r="CH560" s="1604">
        <f t="shared" si="437"/>
        <v>17430.391847747505</v>
      </c>
      <c r="CI560" s="1604">
        <f t="shared" si="438"/>
        <v>17430.391847747505</v>
      </c>
      <c r="CJ560" s="1604">
        <f t="shared" si="439"/>
        <v>17430.391847747505</v>
      </c>
      <c r="CK560" s="1521">
        <f t="shared" si="440"/>
        <v>69721.567390990022</v>
      </c>
      <c r="CL560" s="1132">
        <v>553</v>
      </c>
      <c r="CM560" s="1132" t="s">
        <v>337</v>
      </c>
      <c r="CN560" s="1359">
        <v>0</v>
      </c>
      <c r="CO560" s="1360">
        <v>192.97349999999997</v>
      </c>
      <c r="CP560" s="1360">
        <v>192.97349999999997</v>
      </c>
      <c r="CQ560" s="1360">
        <v>192.97349999999997</v>
      </c>
      <c r="CR560" s="1360">
        <v>192.97349999999997</v>
      </c>
      <c r="CS560" s="1362">
        <f t="shared" si="441"/>
        <v>1162.0261231831669</v>
      </c>
      <c r="CT560" s="1362">
        <f t="shared" si="442"/>
        <v>1162.0261231831669</v>
      </c>
      <c r="CU560" s="1362">
        <f t="shared" si="443"/>
        <v>1162.0261231831669</v>
      </c>
      <c r="CV560" s="1362">
        <f t="shared" si="444"/>
        <v>1162.0261231831669</v>
      </c>
      <c r="CW560" s="1362">
        <f t="shared" si="445"/>
        <v>4648.1044927326675</v>
      </c>
      <c r="CY560" s="2887"/>
    </row>
    <row r="561" spans="1:103" s="1143" customFormat="1" ht="46.5" x14ac:dyDescent="0.35">
      <c r="A561" s="1132" t="s">
        <v>116</v>
      </c>
      <c r="B561" s="1132" t="s">
        <v>1000</v>
      </c>
      <c r="C561" s="1132" t="s">
        <v>345</v>
      </c>
      <c r="D561" s="1359" t="s">
        <v>346</v>
      </c>
      <c r="E561" s="1359">
        <v>1</v>
      </c>
      <c r="F561" s="2564" t="s">
        <v>336</v>
      </c>
      <c r="G561" s="1132" t="s">
        <v>337</v>
      </c>
      <c r="H561" s="1360">
        <v>1047.44625</v>
      </c>
      <c r="I561" s="1360">
        <v>1047.44625</v>
      </c>
      <c r="J561" s="1360">
        <v>1047.44625</v>
      </c>
      <c r="K561" s="1360">
        <v>1047.44625</v>
      </c>
      <c r="L561" s="1132" t="s">
        <v>338</v>
      </c>
      <c r="M561" s="1132" t="str">
        <f t="shared" si="407"/>
        <v>Nicor Gas PY11-PY14 Adjustable Goals Template_2025-03-01, Tab 4.4.14</v>
      </c>
      <c r="N561" s="1361">
        <v>2.0533046641791044</v>
      </c>
      <c r="O561" s="1361">
        <v>2.0533046641791044</v>
      </c>
      <c r="P561" s="1361">
        <v>2.0533046641791044</v>
      </c>
      <c r="Q561" s="1361">
        <v>2.0533046641791044</v>
      </c>
      <c r="R561" s="1781">
        <v>0.83</v>
      </c>
      <c r="S561" s="1781">
        <v>0.83</v>
      </c>
      <c r="T561" s="1781">
        <v>0.83</v>
      </c>
      <c r="U561" s="1781">
        <v>0.83</v>
      </c>
      <c r="V561" s="2567">
        <v>0.96</v>
      </c>
      <c r="W561" s="2567">
        <v>0.96</v>
      </c>
      <c r="X561" s="2567">
        <v>0.96</v>
      </c>
      <c r="Y561" s="2567">
        <v>0.96</v>
      </c>
      <c r="Z561" s="1359">
        <v>0</v>
      </c>
      <c r="AA561" s="2567">
        <f t="shared" si="408"/>
        <v>0.96</v>
      </c>
      <c r="AB561" s="2567">
        <f t="shared" si="409"/>
        <v>0.96</v>
      </c>
      <c r="AC561" s="2567">
        <f t="shared" si="410"/>
        <v>0.96</v>
      </c>
      <c r="AD561" s="2567">
        <f t="shared" si="411"/>
        <v>0.96</v>
      </c>
      <c r="AE561" s="2567">
        <f t="shared" si="412"/>
        <v>0.96</v>
      </c>
      <c r="AF561" s="2567">
        <f t="shared" si="413"/>
        <v>0.96</v>
      </c>
      <c r="AG561" s="2567">
        <f t="shared" si="414"/>
        <v>0.96</v>
      </c>
      <c r="AH561" s="2567">
        <f t="shared" si="415"/>
        <v>0.96</v>
      </c>
      <c r="AI561" s="1362">
        <f t="shared" si="446"/>
        <v>1785.1028045995872</v>
      </c>
      <c r="AJ561" s="1362">
        <f t="shared" si="447"/>
        <v>1785.1028045995872</v>
      </c>
      <c r="AK561" s="1362">
        <f t="shared" si="448"/>
        <v>1785.1028045995872</v>
      </c>
      <c r="AL561" s="1362">
        <f t="shared" si="449"/>
        <v>1785.1028045995872</v>
      </c>
      <c r="AM561" s="1362">
        <f t="shared" si="450"/>
        <v>7140.4112183983489</v>
      </c>
      <c r="AN561" s="1132" t="str">
        <f t="shared" si="416"/>
        <v>CI-HVC-PINS-V05-190101</v>
      </c>
      <c r="AO561" s="1132" t="str">
        <f t="shared" si="417"/>
        <v>Nicor Gas PY11-PY14 Adjustable Goals Template_2025-03-01, Tab 4.4.14</v>
      </c>
      <c r="AP561" s="2505">
        <f>'4.4.14'!$T$9</f>
        <v>2.0533046641791044</v>
      </c>
      <c r="AQ561" s="2568" t="s">
        <v>1002</v>
      </c>
      <c r="AR561" s="2505">
        <f t="shared" si="418"/>
        <v>2064.6972197778359</v>
      </c>
      <c r="AS561" s="2505">
        <f t="shared" si="419"/>
        <v>279.59441517824871</v>
      </c>
      <c r="AT561" s="1132" t="str">
        <f t="shared" si="420"/>
        <v>CI-HVC-PINS-V05-190101</v>
      </c>
      <c r="AU561" s="1132" t="str">
        <f t="shared" si="421"/>
        <v>Nicor Gas PY11-PY14 Adjustable Goals Template_2025-03-01, Tab 4.4.14</v>
      </c>
      <c r="AV561" s="2505">
        <f>'4.4.14'!$T$9</f>
        <v>2.0533046641791044</v>
      </c>
      <c r="AW561" s="2568" t="s">
        <v>1002</v>
      </c>
      <c r="AX561" s="1362">
        <f t="shared" si="422"/>
        <v>2064.6972197778359</v>
      </c>
      <c r="AY561" s="1360">
        <f t="shared" si="423"/>
        <v>279.59441517824871</v>
      </c>
      <c r="AZ561" s="1132" t="str">
        <f t="shared" si="424"/>
        <v>CI-HVC-PINS-V05-190101</v>
      </c>
      <c r="BA561" s="1132" t="str">
        <f t="shared" si="425"/>
        <v>Nicor Gas PY11-PY14 Adjustable Goals Template_2025-03-01, Tab 4.4.14</v>
      </c>
      <c r="BB561" s="2505">
        <f>'4.4.14'!$T$9</f>
        <v>2.0533046641791044</v>
      </c>
      <c r="BC561" s="2568" t="s">
        <v>1002</v>
      </c>
      <c r="BD561" s="1362">
        <f t="shared" si="426"/>
        <v>2064.6972197778359</v>
      </c>
      <c r="BE561" s="1360">
        <f t="shared" si="427"/>
        <v>279.59441517824871</v>
      </c>
      <c r="BF561" s="1132" t="str">
        <f t="shared" si="428"/>
        <v>CI-HVC-PINS-V05-190101</v>
      </c>
      <c r="BG561" s="1132" t="str">
        <f t="shared" si="429"/>
        <v>Nicor Gas PY11-PY14 Adjustable Goals Template_2025-03-01, Tab 4.4.14</v>
      </c>
      <c r="BH561" s="2505">
        <f>'4.4.14'!$T$9</f>
        <v>2.0533046641791044</v>
      </c>
      <c r="BI561" s="2568" t="s">
        <v>1002</v>
      </c>
      <c r="BJ561" s="1362">
        <f t="shared" si="451"/>
        <v>2064.6972197778359</v>
      </c>
      <c r="BK561" s="1360">
        <f t="shared" si="430"/>
        <v>279.59441517824871</v>
      </c>
      <c r="BL561" s="1601">
        <f t="shared" si="431"/>
        <v>2064.6972197778359</v>
      </c>
      <c r="BM561" s="1601">
        <f t="shared" si="432"/>
        <v>2064.6972197778359</v>
      </c>
      <c r="BN561" s="1601">
        <f t="shared" si="433"/>
        <v>2064.6972197778359</v>
      </c>
      <c r="BO561" s="1601">
        <f t="shared" si="434"/>
        <v>2064.6972197778359</v>
      </c>
      <c r="BP561" s="1602">
        <f t="shared" si="435"/>
        <v>8258.7888791113437</v>
      </c>
      <c r="BQ561" s="1629"/>
      <c r="BR561" s="1629" t="s">
        <v>336</v>
      </c>
      <c r="BS561" s="1602">
        <v>0</v>
      </c>
      <c r="BT561" s="1602">
        <v>15</v>
      </c>
      <c r="BU561" s="1602">
        <v>15</v>
      </c>
      <c r="BV561" s="1602">
        <v>15</v>
      </c>
      <c r="BW561" s="1602">
        <v>15</v>
      </c>
      <c r="BX561" s="1362">
        <f t="shared" si="452"/>
        <v>26776.542068993807</v>
      </c>
      <c r="BY561" s="1362">
        <f t="shared" si="453"/>
        <v>26776.542068993807</v>
      </c>
      <c r="BZ561" s="1362">
        <f t="shared" si="454"/>
        <v>26776.542068993807</v>
      </c>
      <c r="CA561" s="1362">
        <f t="shared" si="455"/>
        <v>26776.542068993807</v>
      </c>
      <c r="CB561" s="1362">
        <f t="shared" si="456"/>
        <v>107106.16827597523</v>
      </c>
      <c r="CC561" s="1360">
        <v>15</v>
      </c>
      <c r="CD561" s="1360">
        <v>15</v>
      </c>
      <c r="CE561" s="1360">
        <v>15</v>
      </c>
      <c r="CF561" s="1360">
        <v>15</v>
      </c>
      <c r="CG561" s="1604">
        <f t="shared" si="436"/>
        <v>30970.458296667533</v>
      </c>
      <c r="CH561" s="1604">
        <f t="shared" si="437"/>
        <v>30970.458296667533</v>
      </c>
      <c r="CI561" s="1604">
        <f t="shared" si="438"/>
        <v>30970.458296667533</v>
      </c>
      <c r="CJ561" s="1604">
        <f t="shared" si="439"/>
        <v>30970.458296667533</v>
      </c>
      <c r="CK561" s="1521">
        <f t="shared" si="440"/>
        <v>123881.83318667013</v>
      </c>
      <c r="CL561" s="1132">
        <v>554</v>
      </c>
      <c r="CM561" s="1132" t="s">
        <v>337</v>
      </c>
      <c r="CN561" s="1359">
        <v>0</v>
      </c>
      <c r="CO561" s="1360">
        <v>1047.44625</v>
      </c>
      <c r="CP561" s="1360">
        <v>1047.44625</v>
      </c>
      <c r="CQ561" s="1360">
        <v>1047.44625</v>
      </c>
      <c r="CR561" s="1360">
        <v>1047.44625</v>
      </c>
      <c r="CS561" s="1362">
        <f t="shared" si="441"/>
        <v>2064.6972197778359</v>
      </c>
      <c r="CT561" s="1362">
        <f t="shared" si="442"/>
        <v>2064.6972197778359</v>
      </c>
      <c r="CU561" s="1362">
        <f t="shared" si="443"/>
        <v>2064.6972197778359</v>
      </c>
      <c r="CV561" s="1362">
        <f t="shared" si="444"/>
        <v>2064.6972197778359</v>
      </c>
      <c r="CW561" s="1362">
        <f t="shared" si="445"/>
        <v>8258.7888791113437</v>
      </c>
      <c r="CY561" s="2887"/>
    </row>
    <row r="562" spans="1:103" s="1143" customFormat="1" ht="46.5" x14ac:dyDescent="0.35">
      <c r="A562" s="1132" t="s">
        <v>116</v>
      </c>
      <c r="B562" s="1132" t="s">
        <v>1000</v>
      </c>
      <c r="C562" s="1132" t="s">
        <v>347</v>
      </c>
      <c r="D562" s="1359" t="s">
        <v>348</v>
      </c>
      <c r="E562" s="1359">
        <v>1</v>
      </c>
      <c r="F562" s="2564" t="s">
        <v>336</v>
      </c>
      <c r="G562" s="1132" t="s">
        <v>337</v>
      </c>
      <c r="H562" s="1360">
        <v>71.278499999999994</v>
      </c>
      <c r="I562" s="1360">
        <v>71.278499999999994</v>
      </c>
      <c r="J562" s="1360">
        <v>71.278499999999994</v>
      </c>
      <c r="K562" s="1360">
        <v>71.278499999999994</v>
      </c>
      <c r="L562" s="1132" t="s">
        <v>338</v>
      </c>
      <c r="M562" s="1132" t="str">
        <f t="shared" si="407"/>
        <v>Nicor Gas PY11-PY14 Adjustable Goals Template_2025-03-01, Tab 4.4.14</v>
      </c>
      <c r="N562" s="1361">
        <v>7.4695851301115246</v>
      </c>
      <c r="O562" s="1361">
        <v>7.4695851301115246</v>
      </c>
      <c r="P562" s="1361">
        <v>7.4695851301115246</v>
      </c>
      <c r="Q562" s="1361">
        <v>7.4695851301115246</v>
      </c>
      <c r="R562" s="1781">
        <v>0.83</v>
      </c>
      <c r="S562" s="1781">
        <v>0.83</v>
      </c>
      <c r="T562" s="1781">
        <v>0.83</v>
      </c>
      <c r="U562" s="1781">
        <v>0.83</v>
      </c>
      <c r="V562" s="2567">
        <v>0.96</v>
      </c>
      <c r="W562" s="2567">
        <v>0.96</v>
      </c>
      <c r="X562" s="2567">
        <v>0.96</v>
      </c>
      <c r="Y562" s="2567">
        <v>0.96</v>
      </c>
      <c r="Z562" s="1359">
        <v>0</v>
      </c>
      <c r="AA562" s="2567">
        <f t="shared" si="408"/>
        <v>0.96</v>
      </c>
      <c r="AB562" s="2567">
        <f t="shared" si="409"/>
        <v>0.96</v>
      </c>
      <c r="AC562" s="2567">
        <f t="shared" si="410"/>
        <v>0.96</v>
      </c>
      <c r="AD562" s="2567">
        <f t="shared" si="411"/>
        <v>0.96</v>
      </c>
      <c r="AE562" s="2567">
        <f t="shared" si="412"/>
        <v>0.96</v>
      </c>
      <c r="AF562" s="2567">
        <f t="shared" si="413"/>
        <v>0.96</v>
      </c>
      <c r="AG562" s="2567">
        <f t="shared" si="414"/>
        <v>0.96</v>
      </c>
      <c r="AH562" s="2567">
        <f t="shared" si="415"/>
        <v>0.96</v>
      </c>
      <c r="AI562" s="1362">
        <f t="shared" si="446"/>
        <v>441.909283668223</v>
      </c>
      <c r="AJ562" s="1362">
        <f t="shared" si="447"/>
        <v>441.909283668223</v>
      </c>
      <c r="AK562" s="1362">
        <f t="shared" si="448"/>
        <v>441.909283668223</v>
      </c>
      <c r="AL562" s="1362">
        <f t="shared" si="449"/>
        <v>441.909283668223</v>
      </c>
      <c r="AM562" s="1362">
        <f t="shared" si="450"/>
        <v>1767.637134672892</v>
      </c>
      <c r="AN562" s="1132" t="str">
        <f t="shared" si="416"/>
        <v>CI-HVC-PINS-V05-190101</v>
      </c>
      <c r="AO562" s="1132" t="str">
        <f t="shared" si="417"/>
        <v>Nicor Gas PY11-PY14 Adjustable Goals Template_2025-03-01, Tab 4.4.14</v>
      </c>
      <c r="AP562" s="2505">
        <f>'4.4.14'!$T$18</f>
        <v>7.4695851301115246</v>
      </c>
      <c r="AQ562" s="2568" t="s">
        <v>1002</v>
      </c>
      <c r="AR562" s="2505">
        <f t="shared" si="418"/>
        <v>511.12399074878806</v>
      </c>
      <c r="AS562" s="2505">
        <f t="shared" si="419"/>
        <v>69.214707080565063</v>
      </c>
      <c r="AT562" s="1132" t="str">
        <f t="shared" si="420"/>
        <v>CI-HVC-PINS-V05-190101</v>
      </c>
      <c r="AU562" s="1132" t="str">
        <f t="shared" si="421"/>
        <v>Nicor Gas PY11-PY14 Adjustable Goals Template_2025-03-01, Tab 4.4.14</v>
      </c>
      <c r="AV562" s="2505">
        <f>'4.4.14'!$T$18</f>
        <v>7.4695851301115246</v>
      </c>
      <c r="AW562" s="2568" t="s">
        <v>1002</v>
      </c>
      <c r="AX562" s="1362">
        <f t="shared" si="422"/>
        <v>511.12399074878806</v>
      </c>
      <c r="AY562" s="1360">
        <f t="shared" si="423"/>
        <v>69.214707080565063</v>
      </c>
      <c r="AZ562" s="1132" t="str">
        <f t="shared" si="424"/>
        <v>CI-HVC-PINS-V05-190101</v>
      </c>
      <c r="BA562" s="1132" t="str">
        <f t="shared" si="425"/>
        <v>Nicor Gas PY11-PY14 Adjustable Goals Template_2025-03-01, Tab 4.4.14</v>
      </c>
      <c r="BB562" s="2505">
        <f>'4.4.14'!$T$18</f>
        <v>7.4695851301115246</v>
      </c>
      <c r="BC562" s="2568" t="s">
        <v>1002</v>
      </c>
      <c r="BD562" s="1362">
        <f t="shared" si="426"/>
        <v>511.12399074878806</v>
      </c>
      <c r="BE562" s="1360">
        <f t="shared" si="427"/>
        <v>69.214707080565063</v>
      </c>
      <c r="BF562" s="1132" t="str">
        <f t="shared" si="428"/>
        <v>CI-HVC-PINS-V05-190101</v>
      </c>
      <c r="BG562" s="1132" t="str">
        <f t="shared" si="429"/>
        <v>Nicor Gas PY11-PY14 Adjustable Goals Template_2025-03-01, Tab 4.4.14</v>
      </c>
      <c r="BH562" s="2505">
        <f>'4.4.14'!$T$18</f>
        <v>7.4695851301115246</v>
      </c>
      <c r="BI562" s="2568" t="s">
        <v>1002</v>
      </c>
      <c r="BJ562" s="1362">
        <f t="shared" si="451"/>
        <v>511.12399074878806</v>
      </c>
      <c r="BK562" s="1360">
        <f t="shared" si="430"/>
        <v>69.214707080565063</v>
      </c>
      <c r="BL562" s="1601">
        <f t="shared" si="431"/>
        <v>511.12399074878806</v>
      </c>
      <c r="BM562" s="1601">
        <f t="shared" si="432"/>
        <v>511.12399074878806</v>
      </c>
      <c r="BN562" s="1601">
        <f t="shared" si="433"/>
        <v>511.12399074878806</v>
      </c>
      <c r="BO562" s="1601">
        <f t="shared" si="434"/>
        <v>511.12399074878806</v>
      </c>
      <c r="BP562" s="1602">
        <f t="shared" si="435"/>
        <v>2044.4959629951522</v>
      </c>
      <c r="BQ562" s="1629"/>
      <c r="BR562" s="1629" t="s">
        <v>336</v>
      </c>
      <c r="BS562" s="1602">
        <v>0</v>
      </c>
      <c r="BT562" s="1602">
        <v>15</v>
      </c>
      <c r="BU562" s="1602">
        <v>15</v>
      </c>
      <c r="BV562" s="1602">
        <v>15</v>
      </c>
      <c r="BW562" s="1602">
        <v>15</v>
      </c>
      <c r="BX562" s="1362">
        <f t="shared" si="452"/>
        <v>6628.639255023345</v>
      </c>
      <c r="BY562" s="1362">
        <f t="shared" si="453"/>
        <v>6628.639255023345</v>
      </c>
      <c r="BZ562" s="1362">
        <f t="shared" si="454"/>
        <v>6628.639255023345</v>
      </c>
      <c r="CA562" s="1362">
        <f t="shared" si="455"/>
        <v>6628.639255023345</v>
      </c>
      <c r="CB562" s="1362">
        <f t="shared" si="456"/>
        <v>26514.55702009338</v>
      </c>
      <c r="CC562" s="1360">
        <v>15</v>
      </c>
      <c r="CD562" s="1360">
        <v>15</v>
      </c>
      <c r="CE562" s="1360">
        <v>15</v>
      </c>
      <c r="CF562" s="1360">
        <v>15</v>
      </c>
      <c r="CG562" s="1604">
        <f t="shared" si="436"/>
        <v>7666.859861231821</v>
      </c>
      <c r="CH562" s="1604">
        <f t="shared" si="437"/>
        <v>7666.859861231821</v>
      </c>
      <c r="CI562" s="1604">
        <f t="shared" si="438"/>
        <v>7666.859861231821</v>
      </c>
      <c r="CJ562" s="1604">
        <f t="shared" si="439"/>
        <v>7666.859861231821</v>
      </c>
      <c r="CK562" s="1521">
        <f t="shared" si="440"/>
        <v>30667.439444927284</v>
      </c>
      <c r="CL562" s="1132">
        <v>555</v>
      </c>
      <c r="CM562" s="1132" t="s">
        <v>337</v>
      </c>
      <c r="CN562" s="1359">
        <v>0</v>
      </c>
      <c r="CO562" s="1360">
        <v>71.278499999999994</v>
      </c>
      <c r="CP562" s="1360">
        <v>71.278499999999994</v>
      </c>
      <c r="CQ562" s="1360">
        <v>71.278499999999994</v>
      </c>
      <c r="CR562" s="1360">
        <v>71.278499999999994</v>
      </c>
      <c r="CS562" s="1362">
        <f t="shared" si="441"/>
        <v>511.12399074878806</v>
      </c>
      <c r="CT562" s="1362">
        <f t="shared" si="442"/>
        <v>511.12399074878806</v>
      </c>
      <c r="CU562" s="1362">
        <f t="shared" si="443"/>
        <v>511.12399074878806</v>
      </c>
      <c r="CV562" s="1362">
        <f t="shared" si="444"/>
        <v>511.12399074878806</v>
      </c>
      <c r="CW562" s="1362">
        <f t="shared" si="445"/>
        <v>2044.4959629951522</v>
      </c>
      <c r="CY562" s="2887"/>
    </row>
    <row r="563" spans="1:103" s="1143" customFormat="1" ht="30" customHeight="1" x14ac:dyDescent="0.35">
      <c r="A563" s="1132" t="s">
        <v>116</v>
      </c>
      <c r="B563" s="1132" t="s">
        <v>1000</v>
      </c>
      <c r="C563" s="1132" t="s">
        <v>514</v>
      </c>
      <c r="D563" s="1359" t="s">
        <v>515</v>
      </c>
      <c r="E563" s="1359">
        <v>1</v>
      </c>
      <c r="F563" s="2564" t="s">
        <v>515</v>
      </c>
      <c r="G563" s="1132" t="s">
        <v>337</v>
      </c>
      <c r="H563" s="1360">
        <v>1465.5554999999999</v>
      </c>
      <c r="I563" s="1360">
        <v>1465.5554999999999</v>
      </c>
      <c r="J563" s="1360">
        <v>1465.5554999999999</v>
      </c>
      <c r="K563" s="1360">
        <v>1465.5554999999999</v>
      </c>
      <c r="L563" s="1132" t="s">
        <v>516</v>
      </c>
      <c r="M563" s="1132" t="str">
        <f t="shared" si="407"/>
        <v>Nicor Gas PY11-PY14 Adjustable Goals Template_2025-03-01, Tab Customized TRM 4.4.14</v>
      </c>
      <c r="N563" s="1361">
        <v>14.012905292972208</v>
      </c>
      <c r="O563" s="1361">
        <v>14.012905292972208</v>
      </c>
      <c r="P563" s="1361">
        <v>14.012905292972208</v>
      </c>
      <c r="Q563" s="1361">
        <v>14.012905292972208</v>
      </c>
      <c r="R563" s="1781">
        <v>0.83</v>
      </c>
      <c r="S563" s="1781">
        <v>0.83</v>
      </c>
      <c r="T563" s="1781">
        <v>0.83</v>
      </c>
      <c r="U563" s="1781">
        <v>0.83</v>
      </c>
      <c r="V563" s="2567">
        <v>0.96</v>
      </c>
      <c r="W563" s="2567">
        <v>0.96</v>
      </c>
      <c r="X563" s="2567">
        <v>0.96</v>
      </c>
      <c r="Y563" s="2567">
        <v>0.96</v>
      </c>
      <c r="Z563" s="1359">
        <v>0</v>
      </c>
      <c r="AA563" s="2567">
        <f t="shared" si="408"/>
        <v>0.96</v>
      </c>
      <c r="AB563" s="2567">
        <f t="shared" si="409"/>
        <v>0.96</v>
      </c>
      <c r="AC563" s="2567">
        <f t="shared" si="410"/>
        <v>0.96</v>
      </c>
      <c r="AD563" s="2567">
        <f t="shared" si="411"/>
        <v>0.96</v>
      </c>
      <c r="AE563" s="2567">
        <f t="shared" si="412"/>
        <v>0.96</v>
      </c>
      <c r="AF563" s="2567">
        <f t="shared" si="413"/>
        <v>0.96</v>
      </c>
      <c r="AG563" s="2567">
        <f t="shared" si="414"/>
        <v>0.96</v>
      </c>
      <c r="AH563" s="2567">
        <f t="shared" si="415"/>
        <v>0.96</v>
      </c>
      <c r="AI563" s="1362">
        <f t="shared" si="446"/>
        <v>17045.453051168457</v>
      </c>
      <c r="AJ563" s="1362">
        <f t="shared" si="447"/>
        <v>17045.453051168457</v>
      </c>
      <c r="AK563" s="1362">
        <f t="shared" si="448"/>
        <v>17045.453051168457</v>
      </c>
      <c r="AL563" s="1362">
        <f t="shared" si="449"/>
        <v>17045.453051168457</v>
      </c>
      <c r="AM563" s="1362">
        <f t="shared" si="450"/>
        <v>68181.812204673828</v>
      </c>
      <c r="AN563" s="1132" t="str">
        <f t="shared" si="416"/>
        <v>C144</v>
      </c>
      <c r="AO563" s="1132" t="str">
        <f t="shared" si="417"/>
        <v>Nicor Gas PY11-PY14 Adjustable Goals Template_2025-03-01, Tab Customized TRM 4.4.14</v>
      </c>
      <c r="AP563" s="2505">
        <f>'Customized TRM 4.4.14'!$B$19</f>
        <v>14.012905292972208</v>
      </c>
      <c r="AQ563" s="2568" t="s">
        <v>1002</v>
      </c>
      <c r="AR563" s="2505">
        <f t="shared" si="418"/>
        <v>19715.222806170746</v>
      </c>
      <c r="AS563" s="2505">
        <f t="shared" si="419"/>
        <v>2669.7697550022895</v>
      </c>
      <c r="AT563" s="1132" t="str">
        <f t="shared" si="420"/>
        <v>C144</v>
      </c>
      <c r="AU563" s="1132" t="str">
        <f t="shared" si="421"/>
        <v>Nicor Gas PY11-PY14 Adjustable Goals Template_2025-03-01, Tab Customized TRM 4.4.14</v>
      </c>
      <c r="AV563" s="2505">
        <f>'Customized TRM 4.4.14'!$B$19</f>
        <v>14.012905292972208</v>
      </c>
      <c r="AW563" s="2568" t="s">
        <v>1002</v>
      </c>
      <c r="AX563" s="1362">
        <f t="shared" si="422"/>
        <v>19715.222806170746</v>
      </c>
      <c r="AY563" s="1360">
        <f t="shared" si="423"/>
        <v>2669.7697550022895</v>
      </c>
      <c r="AZ563" s="1132" t="str">
        <f t="shared" si="424"/>
        <v>C144</v>
      </c>
      <c r="BA563" s="1132" t="str">
        <f t="shared" si="425"/>
        <v>Nicor Gas PY11-PY14 Adjustable Goals Template_2025-03-01, Tab Customized TRM 4.4.14</v>
      </c>
      <c r="BB563" s="2505">
        <f>'Customized TRM 4.4.14'!$B$19</f>
        <v>14.012905292972208</v>
      </c>
      <c r="BC563" s="2568" t="s">
        <v>1002</v>
      </c>
      <c r="BD563" s="1362">
        <f t="shared" si="426"/>
        <v>19715.222806170746</v>
      </c>
      <c r="BE563" s="1360">
        <f t="shared" si="427"/>
        <v>2669.7697550022895</v>
      </c>
      <c r="BF563" s="1132" t="str">
        <f t="shared" si="428"/>
        <v>C144</v>
      </c>
      <c r="BG563" s="1132" t="str">
        <f t="shared" si="429"/>
        <v>Nicor Gas PY11-PY14 Adjustable Goals Template_2025-03-01, Tab Customized TRM 4.4.14</v>
      </c>
      <c r="BH563" s="2505">
        <f>'Customized TRM 4.4.14'!$B$19</f>
        <v>14.012905292972208</v>
      </c>
      <c r="BI563" s="2568" t="s">
        <v>1002</v>
      </c>
      <c r="BJ563" s="1362">
        <f t="shared" si="451"/>
        <v>19715.222806170746</v>
      </c>
      <c r="BK563" s="1360">
        <f t="shared" si="430"/>
        <v>2669.7697550022895</v>
      </c>
      <c r="BL563" s="1601">
        <f t="shared" si="431"/>
        <v>19715.222806170746</v>
      </c>
      <c r="BM563" s="1601">
        <f t="shared" si="432"/>
        <v>19715.222806170746</v>
      </c>
      <c r="BN563" s="1601">
        <f t="shared" si="433"/>
        <v>19715.222806170746</v>
      </c>
      <c r="BO563" s="1601">
        <f t="shared" si="434"/>
        <v>19715.222806170746</v>
      </c>
      <c r="BP563" s="1602">
        <f t="shared" si="435"/>
        <v>78860.891224682986</v>
      </c>
      <c r="BQ563" s="1629"/>
      <c r="BR563" s="1629" t="s">
        <v>515</v>
      </c>
      <c r="BS563" s="1602">
        <v>0</v>
      </c>
      <c r="BT563" s="1602">
        <v>15</v>
      </c>
      <c r="BU563" s="1602">
        <v>15</v>
      </c>
      <c r="BV563" s="1602">
        <v>15</v>
      </c>
      <c r="BW563" s="1602">
        <v>15</v>
      </c>
      <c r="BX563" s="1362">
        <f t="shared" si="452"/>
        <v>255681.79576752684</v>
      </c>
      <c r="BY563" s="1362">
        <f t="shared" si="453"/>
        <v>255681.79576752684</v>
      </c>
      <c r="BZ563" s="1362">
        <f t="shared" si="454"/>
        <v>255681.79576752684</v>
      </c>
      <c r="CA563" s="1362">
        <f t="shared" si="455"/>
        <v>255681.79576752684</v>
      </c>
      <c r="CB563" s="1362">
        <f t="shared" si="456"/>
        <v>1022727.1830701074</v>
      </c>
      <c r="CC563" s="1360">
        <v>15</v>
      </c>
      <c r="CD563" s="1360">
        <v>15</v>
      </c>
      <c r="CE563" s="1360">
        <v>15</v>
      </c>
      <c r="CF563" s="1360">
        <v>15</v>
      </c>
      <c r="CG563" s="1604">
        <f t="shared" si="436"/>
        <v>295728.34209256124</v>
      </c>
      <c r="CH563" s="1604">
        <f t="shared" si="437"/>
        <v>295728.34209256124</v>
      </c>
      <c r="CI563" s="1604">
        <f t="shared" si="438"/>
        <v>295728.34209256124</v>
      </c>
      <c r="CJ563" s="1604">
        <f t="shared" si="439"/>
        <v>295728.34209256124</v>
      </c>
      <c r="CK563" s="1521">
        <f t="shared" si="440"/>
        <v>1182913.368370245</v>
      </c>
      <c r="CL563" s="1132">
        <v>556</v>
      </c>
      <c r="CM563" s="1132" t="s">
        <v>337</v>
      </c>
      <c r="CN563" s="1359">
        <v>0</v>
      </c>
      <c r="CO563" s="1360">
        <v>1465.5554999999999</v>
      </c>
      <c r="CP563" s="1360">
        <v>1465.5554999999999</v>
      </c>
      <c r="CQ563" s="1360">
        <v>1465.5554999999999</v>
      </c>
      <c r="CR563" s="1360">
        <v>1465.5554999999999</v>
      </c>
      <c r="CS563" s="1362">
        <f t="shared" si="441"/>
        <v>19715.222806170746</v>
      </c>
      <c r="CT563" s="1362">
        <f t="shared" si="442"/>
        <v>19715.222806170746</v>
      </c>
      <c r="CU563" s="1362">
        <f t="shared" si="443"/>
        <v>19715.222806170746</v>
      </c>
      <c r="CV563" s="1362">
        <f t="shared" si="444"/>
        <v>19715.222806170746</v>
      </c>
      <c r="CW563" s="1362">
        <f t="shared" si="445"/>
        <v>78860.891224682986</v>
      </c>
      <c r="CY563" s="2887"/>
    </row>
    <row r="564" spans="1:103" s="1143" customFormat="1" ht="46.5" x14ac:dyDescent="0.35">
      <c r="A564" s="1132" t="s">
        <v>116</v>
      </c>
      <c r="B564" s="1132" t="s">
        <v>1000</v>
      </c>
      <c r="C564" s="1132" t="s">
        <v>523</v>
      </c>
      <c r="D564" s="1359" t="s">
        <v>524</v>
      </c>
      <c r="E564" s="1359">
        <v>1</v>
      </c>
      <c r="F564" s="2564" t="s">
        <v>519</v>
      </c>
      <c r="G564" s="1132" t="s">
        <v>337</v>
      </c>
      <c r="H564" s="1360">
        <v>34.770000000000003</v>
      </c>
      <c r="I564" s="1360">
        <v>34.770000000000003</v>
      </c>
      <c r="J564" s="1360">
        <v>34.770000000000003</v>
      </c>
      <c r="K564" s="1360">
        <v>34.770000000000003</v>
      </c>
      <c r="L564" s="1132" t="s">
        <v>520</v>
      </c>
      <c r="M564" s="1132" t="str">
        <f t="shared" si="407"/>
        <v>Nicor Gas PY11-PY14 Adjustable Goals Template_2025-03-01, Tab 4.4.24</v>
      </c>
      <c r="N564" s="1361">
        <v>0.23165999999999998</v>
      </c>
      <c r="O564" s="1361">
        <v>0.23165999999999998</v>
      </c>
      <c r="P564" s="1361">
        <v>0.23165999999999998</v>
      </c>
      <c r="Q564" s="1361">
        <v>0.23165999999999998</v>
      </c>
      <c r="R564" s="1781">
        <v>0.83</v>
      </c>
      <c r="S564" s="1781">
        <v>0.83</v>
      </c>
      <c r="T564" s="1781">
        <v>0.83</v>
      </c>
      <c r="U564" s="1781">
        <v>0.83</v>
      </c>
      <c r="V564" s="2567">
        <v>0.96</v>
      </c>
      <c r="W564" s="2567">
        <v>0.96</v>
      </c>
      <c r="X564" s="2567">
        <v>0.96</v>
      </c>
      <c r="Y564" s="2567">
        <v>0.96</v>
      </c>
      <c r="Z564" s="1359">
        <v>0</v>
      </c>
      <c r="AA564" s="2567">
        <f t="shared" si="408"/>
        <v>0.96</v>
      </c>
      <c r="AB564" s="2567">
        <f t="shared" si="409"/>
        <v>0.96</v>
      </c>
      <c r="AC564" s="2567">
        <f t="shared" si="410"/>
        <v>0.96</v>
      </c>
      <c r="AD564" s="2567">
        <f t="shared" si="411"/>
        <v>0.96</v>
      </c>
      <c r="AE564" s="2567">
        <f t="shared" si="412"/>
        <v>0.96</v>
      </c>
      <c r="AF564" s="2567">
        <f t="shared" si="413"/>
        <v>0.96</v>
      </c>
      <c r="AG564" s="2567">
        <f t="shared" si="414"/>
        <v>0.96</v>
      </c>
      <c r="AH564" s="2567">
        <f t="shared" si="415"/>
        <v>0.96</v>
      </c>
      <c r="AI564" s="1362">
        <f t="shared" si="446"/>
        <v>6.6854991059999991</v>
      </c>
      <c r="AJ564" s="1362">
        <f t="shared" si="447"/>
        <v>6.6854991059999991</v>
      </c>
      <c r="AK564" s="1362">
        <f t="shared" si="448"/>
        <v>6.6854991059999991</v>
      </c>
      <c r="AL564" s="1362">
        <f t="shared" si="449"/>
        <v>6.6854991059999991</v>
      </c>
      <c r="AM564" s="1362">
        <f t="shared" si="450"/>
        <v>26.741996423999996</v>
      </c>
      <c r="AN564" s="1132" t="str">
        <f t="shared" si="416"/>
        <v>CI-HVC-SPIN-V02-160601</v>
      </c>
      <c r="AO564" s="1132" t="str">
        <f t="shared" si="417"/>
        <v>Nicor Gas PY11-PY14 Adjustable Goals Template_2025-03-01, Tab 4.4.24</v>
      </c>
      <c r="AP564" s="2505">
        <f>'4.4.24 '!$R$6</f>
        <v>0.23165999999999998</v>
      </c>
      <c r="AQ564" s="2568" t="s">
        <v>1002</v>
      </c>
      <c r="AR564" s="2505">
        <f t="shared" si="418"/>
        <v>7.7326254719999996</v>
      </c>
      <c r="AS564" s="2247">
        <f t="shared" si="419"/>
        <v>1.0471263660000005</v>
      </c>
      <c r="AT564" s="1132" t="str">
        <f t="shared" si="420"/>
        <v>CI-HVC-SPIN-V02-160601</v>
      </c>
      <c r="AU564" s="1132" t="str">
        <f t="shared" si="421"/>
        <v>Nicor Gas PY11-PY14 Adjustable Goals Template_2025-03-01, Tab 4.4.24</v>
      </c>
      <c r="AV564" s="2505">
        <f>'4.4.24 '!$R$6</f>
        <v>0.23165999999999998</v>
      </c>
      <c r="AW564" s="2568" t="s">
        <v>1002</v>
      </c>
      <c r="AX564" s="1362">
        <f t="shared" si="422"/>
        <v>7.7326254719999996</v>
      </c>
      <c r="AY564" s="1360">
        <f t="shared" si="423"/>
        <v>1.0471263660000005</v>
      </c>
      <c r="AZ564" s="1132" t="str">
        <f t="shared" si="424"/>
        <v>CI-HVC-SPIN-V02-160601</v>
      </c>
      <c r="BA564" s="1132" t="str">
        <f t="shared" si="425"/>
        <v>Nicor Gas PY11-PY14 Adjustable Goals Template_2025-03-01, Tab 4.4.24</v>
      </c>
      <c r="BB564" s="2505">
        <f>'4.4.24 '!$R$6</f>
        <v>0.23165999999999998</v>
      </c>
      <c r="BC564" s="2568" t="s">
        <v>1002</v>
      </c>
      <c r="BD564" s="1362">
        <f t="shared" si="426"/>
        <v>7.7326254719999996</v>
      </c>
      <c r="BE564" s="1360">
        <f t="shared" si="427"/>
        <v>1.0471263660000005</v>
      </c>
      <c r="BF564" s="1132" t="str">
        <f t="shared" si="428"/>
        <v>CI-HVC-SPIN-V02-160601</v>
      </c>
      <c r="BG564" s="1132" t="str">
        <f t="shared" si="429"/>
        <v>Nicor Gas PY11-PY14 Adjustable Goals Template_2025-03-01, Tab 4.4.24</v>
      </c>
      <c r="BH564" s="2505">
        <f>'4.4.24 '!$R$6</f>
        <v>0.23165999999999998</v>
      </c>
      <c r="BI564" s="2568" t="s">
        <v>1002</v>
      </c>
      <c r="BJ564" s="1362">
        <f t="shared" si="451"/>
        <v>7.7326254719999996</v>
      </c>
      <c r="BK564" s="1360">
        <f t="shared" si="430"/>
        <v>1.0471263660000005</v>
      </c>
      <c r="BL564" s="1601">
        <f t="shared" si="431"/>
        <v>7.7326254719999996</v>
      </c>
      <c r="BM564" s="1601">
        <f t="shared" si="432"/>
        <v>7.7326254719999996</v>
      </c>
      <c r="BN564" s="1601">
        <f t="shared" si="433"/>
        <v>7.7326254719999996</v>
      </c>
      <c r="BO564" s="1601">
        <f t="shared" si="434"/>
        <v>7.7326254719999996</v>
      </c>
      <c r="BP564" s="1602">
        <f t="shared" si="435"/>
        <v>30.930501887999998</v>
      </c>
      <c r="BQ564" s="1629"/>
      <c r="BR564" s="1629" t="s">
        <v>519</v>
      </c>
      <c r="BS564" s="1602">
        <v>0</v>
      </c>
      <c r="BT564" s="1602">
        <v>15</v>
      </c>
      <c r="BU564" s="1602">
        <v>15</v>
      </c>
      <c r="BV564" s="1602">
        <v>15</v>
      </c>
      <c r="BW564" s="1602">
        <v>15</v>
      </c>
      <c r="BX564" s="1362">
        <f t="shared" si="452"/>
        <v>100.28248658999999</v>
      </c>
      <c r="BY564" s="1362">
        <f t="shared" si="453"/>
        <v>100.28248658999999</v>
      </c>
      <c r="BZ564" s="1362">
        <f t="shared" si="454"/>
        <v>100.28248658999999</v>
      </c>
      <c r="CA564" s="1362">
        <f t="shared" si="455"/>
        <v>100.28248658999999</v>
      </c>
      <c r="CB564" s="1362">
        <f t="shared" si="456"/>
        <v>401.12994635999996</v>
      </c>
      <c r="CC564" s="1360">
        <v>15</v>
      </c>
      <c r="CD564" s="1360">
        <v>15</v>
      </c>
      <c r="CE564" s="1360">
        <v>15</v>
      </c>
      <c r="CF564" s="1360">
        <v>15</v>
      </c>
      <c r="CG564" s="1604">
        <f t="shared" si="436"/>
        <v>115.98938208000001</v>
      </c>
      <c r="CH564" s="1604">
        <f t="shared" si="437"/>
        <v>115.98938208000001</v>
      </c>
      <c r="CI564" s="1604">
        <f t="shared" si="438"/>
        <v>115.98938208000001</v>
      </c>
      <c r="CJ564" s="1604">
        <f t="shared" si="439"/>
        <v>115.98938208000001</v>
      </c>
      <c r="CK564" s="1521">
        <f t="shared" si="440"/>
        <v>463.95752832000005</v>
      </c>
      <c r="CL564" s="1132">
        <v>557</v>
      </c>
      <c r="CM564" s="1132" t="s">
        <v>337</v>
      </c>
      <c r="CN564" s="1359">
        <v>0</v>
      </c>
      <c r="CO564" s="1360">
        <v>34.770000000000003</v>
      </c>
      <c r="CP564" s="1360">
        <v>34.770000000000003</v>
      </c>
      <c r="CQ564" s="1360">
        <v>34.770000000000003</v>
      </c>
      <c r="CR564" s="1360">
        <v>34.770000000000003</v>
      </c>
      <c r="CS564" s="1362">
        <f t="shared" si="441"/>
        <v>7.7326254719999996</v>
      </c>
      <c r="CT564" s="1362">
        <f t="shared" si="442"/>
        <v>7.7326254719999996</v>
      </c>
      <c r="CU564" s="1362">
        <f t="shared" si="443"/>
        <v>7.7326254719999996</v>
      </c>
      <c r="CV564" s="1362">
        <f t="shared" si="444"/>
        <v>7.7326254719999996</v>
      </c>
      <c r="CW564" s="1362">
        <f t="shared" si="445"/>
        <v>30.930501887999998</v>
      </c>
      <c r="CY564" s="2887"/>
    </row>
    <row r="565" spans="1:103" s="1143" customFormat="1" ht="46.5" x14ac:dyDescent="0.35">
      <c r="A565" s="1132" t="s">
        <v>116</v>
      </c>
      <c r="B565" s="1132" t="s">
        <v>1000</v>
      </c>
      <c r="C565" s="1132" t="s">
        <v>353</v>
      </c>
      <c r="D565" s="1359" t="s">
        <v>354</v>
      </c>
      <c r="E565" s="1359">
        <v>1</v>
      </c>
      <c r="F565" s="2564" t="s">
        <v>355</v>
      </c>
      <c r="G565" s="1132" t="s">
        <v>356</v>
      </c>
      <c r="H565" s="1360">
        <v>178.19625000000002</v>
      </c>
      <c r="I565" s="1360">
        <v>178.19625000000002</v>
      </c>
      <c r="J565" s="1360">
        <v>178.19625000000002</v>
      </c>
      <c r="K565" s="1360">
        <v>178.19625000000002</v>
      </c>
      <c r="L565" s="1132" t="s">
        <v>357</v>
      </c>
      <c r="M565" s="1132" t="str">
        <f t="shared" si="407"/>
        <v>Nicor Gas PY11-PY14 Adjustable Goals Template_2025-03-01, Tab 4.4.16</v>
      </c>
      <c r="N565" s="1361">
        <v>102.13709764839483</v>
      </c>
      <c r="O565" s="1361">
        <v>102.13709764839483</v>
      </c>
      <c r="P565" s="1361">
        <v>102.13709764839483</v>
      </c>
      <c r="Q565" s="1361">
        <v>102.13709764839483</v>
      </c>
      <c r="R565" s="1781">
        <v>0.83</v>
      </c>
      <c r="S565" s="1781">
        <v>0.83</v>
      </c>
      <c r="T565" s="1781">
        <v>0.83</v>
      </c>
      <c r="U565" s="1781">
        <v>0.83</v>
      </c>
      <c r="V565" s="2567">
        <v>0.96</v>
      </c>
      <c r="W565" s="2567">
        <v>0.96</v>
      </c>
      <c r="X565" s="2567">
        <v>0.96</v>
      </c>
      <c r="Y565" s="2567">
        <v>0.96</v>
      </c>
      <c r="Z565" s="1359">
        <v>0</v>
      </c>
      <c r="AA565" s="2567">
        <f t="shared" si="408"/>
        <v>0.96</v>
      </c>
      <c r="AB565" s="2567">
        <f t="shared" si="409"/>
        <v>0.96</v>
      </c>
      <c r="AC565" s="2567">
        <f t="shared" si="410"/>
        <v>0.96</v>
      </c>
      <c r="AD565" s="2567">
        <f t="shared" si="411"/>
        <v>0.96</v>
      </c>
      <c r="AE565" s="2567">
        <f t="shared" si="412"/>
        <v>0.96</v>
      </c>
      <c r="AF565" s="2567">
        <f t="shared" si="413"/>
        <v>0.96</v>
      </c>
      <c r="AG565" s="2567">
        <f t="shared" si="414"/>
        <v>0.96</v>
      </c>
      <c r="AH565" s="2567">
        <f t="shared" si="415"/>
        <v>0.96</v>
      </c>
      <c r="AI565" s="1362">
        <f t="shared" si="446"/>
        <v>15106.371663067055</v>
      </c>
      <c r="AJ565" s="1362">
        <f t="shared" si="447"/>
        <v>15106.371663067055</v>
      </c>
      <c r="AK565" s="1362">
        <f t="shared" si="448"/>
        <v>15106.371663067055</v>
      </c>
      <c r="AL565" s="1362">
        <f t="shared" si="449"/>
        <v>15106.371663067055</v>
      </c>
      <c r="AM565" s="1362">
        <f t="shared" si="450"/>
        <v>60425.48665226822</v>
      </c>
      <c r="AN565" s="1132" t="str">
        <f t="shared" si="416"/>
        <v>CI-HVC-STRE-V05-180101</v>
      </c>
      <c r="AO565" s="1132" t="str">
        <f t="shared" si="417"/>
        <v>Nicor Gas PY11-PY14 Adjustable Goals Template_2025-03-01, Tab 4.4.16</v>
      </c>
      <c r="AP565" s="2505">
        <f>'4.4.16'!$O$11</f>
        <v>102.13709764839483</v>
      </c>
      <c r="AQ565" s="2568" t="s">
        <v>1002</v>
      </c>
      <c r="AR565" s="2505">
        <f t="shared" si="418"/>
        <v>17472.429875354668</v>
      </c>
      <c r="AS565" s="2505">
        <f t="shared" si="419"/>
        <v>2366.0582122876131</v>
      </c>
      <c r="AT565" s="1132" t="str">
        <f t="shared" si="420"/>
        <v>CI-HVC-STRE-V05-180101</v>
      </c>
      <c r="AU565" s="1132" t="str">
        <f t="shared" si="421"/>
        <v>Nicor Gas PY11-PY14 Adjustable Goals Template_2025-03-01, Tab 4.4.16</v>
      </c>
      <c r="AV565" s="2505">
        <f>'4.4.16'!$O$11</f>
        <v>102.13709764839483</v>
      </c>
      <c r="AW565" s="2568" t="s">
        <v>1002</v>
      </c>
      <c r="AX565" s="1362">
        <f t="shared" si="422"/>
        <v>17472.429875354668</v>
      </c>
      <c r="AY565" s="1360">
        <f t="shared" si="423"/>
        <v>2366.0582122876131</v>
      </c>
      <c r="AZ565" s="1132" t="str">
        <f t="shared" si="424"/>
        <v>CI-HVC-STRE-V05-180101</v>
      </c>
      <c r="BA565" s="1132" t="str">
        <f t="shared" si="425"/>
        <v>Nicor Gas PY11-PY14 Adjustable Goals Template_2025-03-01, Tab 4.4.16</v>
      </c>
      <c r="BB565" s="2505">
        <f>'4.4.16'!$O$11</f>
        <v>102.13709764839483</v>
      </c>
      <c r="BC565" s="2568" t="s">
        <v>1002</v>
      </c>
      <c r="BD565" s="1362">
        <f t="shared" si="426"/>
        <v>17472.429875354668</v>
      </c>
      <c r="BE565" s="1360">
        <f t="shared" si="427"/>
        <v>2366.0582122876131</v>
      </c>
      <c r="BF565" s="1132" t="str">
        <f t="shared" si="428"/>
        <v>CI-HVC-STRE-V05-180101</v>
      </c>
      <c r="BG565" s="1132" t="str">
        <f t="shared" si="429"/>
        <v>Nicor Gas PY11-PY14 Adjustable Goals Template_2025-03-01, Tab 4.4.16</v>
      </c>
      <c r="BH565" s="2505">
        <f>'4.4.16'!$O$11</f>
        <v>102.13709764839483</v>
      </c>
      <c r="BI565" s="2568" t="s">
        <v>1002</v>
      </c>
      <c r="BJ565" s="1362">
        <f t="shared" si="451"/>
        <v>17472.429875354668</v>
      </c>
      <c r="BK565" s="1360">
        <f t="shared" si="430"/>
        <v>2366.0582122876131</v>
      </c>
      <c r="BL565" s="1601">
        <f t="shared" si="431"/>
        <v>17472.429875354668</v>
      </c>
      <c r="BM565" s="1601">
        <f t="shared" si="432"/>
        <v>17472.429875354668</v>
      </c>
      <c r="BN565" s="1601">
        <f t="shared" si="433"/>
        <v>17472.429875354668</v>
      </c>
      <c r="BO565" s="1601">
        <f t="shared" si="434"/>
        <v>17472.429875354668</v>
      </c>
      <c r="BP565" s="1602">
        <f t="shared" si="435"/>
        <v>69889.719501418673</v>
      </c>
      <c r="BQ565" s="1629"/>
      <c r="BR565" s="1629" t="s">
        <v>355</v>
      </c>
      <c r="BS565" s="1602">
        <v>0</v>
      </c>
      <c r="BT565" s="1602">
        <v>6</v>
      </c>
      <c r="BU565" s="1602">
        <v>6</v>
      </c>
      <c r="BV565" s="1602">
        <v>6</v>
      </c>
      <c r="BW565" s="1602">
        <v>6</v>
      </c>
      <c r="BX565" s="1362">
        <f t="shared" si="452"/>
        <v>90638.229978402334</v>
      </c>
      <c r="BY565" s="1362">
        <f t="shared" si="453"/>
        <v>90638.229978402334</v>
      </c>
      <c r="BZ565" s="1362">
        <f t="shared" si="454"/>
        <v>90638.229978402334</v>
      </c>
      <c r="CA565" s="1362">
        <f t="shared" si="455"/>
        <v>90638.229978402334</v>
      </c>
      <c r="CB565" s="1362">
        <f t="shared" si="456"/>
        <v>362552.91991360934</v>
      </c>
      <c r="CC565" s="1360">
        <v>6</v>
      </c>
      <c r="CD565" s="1360">
        <v>6</v>
      </c>
      <c r="CE565" s="1360">
        <v>6</v>
      </c>
      <c r="CF565" s="1360">
        <v>6</v>
      </c>
      <c r="CG565" s="1604">
        <f t="shared" si="436"/>
        <v>104834.57925212801</v>
      </c>
      <c r="CH565" s="1604">
        <f t="shared" si="437"/>
        <v>104834.57925212801</v>
      </c>
      <c r="CI565" s="1604">
        <f t="shared" si="438"/>
        <v>104834.57925212801</v>
      </c>
      <c r="CJ565" s="1604">
        <f t="shared" si="439"/>
        <v>104834.57925212801</v>
      </c>
      <c r="CK565" s="1521">
        <f t="shared" si="440"/>
        <v>419338.31700851204</v>
      </c>
      <c r="CL565" s="1132">
        <v>558</v>
      </c>
      <c r="CM565" s="1132" t="s">
        <v>356</v>
      </c>
      <c r="CN565" s="1359">
        <v>0</v>
      </c>
      <c r="CO565" s="1360">
        <v>178.19625000000002</v>
      </c>
      <c r="CP565" s="1360">
        <v>178.19625000000002</v>
      </c>
      <c r="CQ565" s="1360">
        <v>178.19625000000002</v>
      </c>
      <c r="CR565" s="1360">
        <v>178.19625000000002</v>
      </c>
      <c r="CS565" s="1362">
        <f t="shared" si="441"/>
        <v>17472.429875354668</v>
      </c>
      <c r="CT565" s="1362">
        <f t="shared" si="442"/>
        <v>17472.429875354668</v>
      </c>
      <c r="CU565" s="1362">
        <f t="shared" si="443"/>
        <v>17472.429875354668</v>
      </c>
      <c r="CV565" s="1362">
        <f t="shared" si="444"/>
        <v>17472.429875354668</v>
      </c>
      <c r="CW565" s="1362">
        <f t="shared" si="445"/>
        <v>69889.719501418673</v>
      </c>
      <c r="CY565" s="2887"/>
    </row>
    <row r="566" spans="1:103" s="1143" customFormat="1" ht="46.5" x14ac:dyDescent="0.35">
      <c r="A566" s="1132" t="s">
        <v>116</v>
      </c>
      <c r="B566" s="1132" t="s">
        <v>1000</v>
      </c>
      <c r="C566" s="1132" t="s">
        <v>358</v>
      </c>
      <c r="D566" s="1359" t="s">
        <v>359</v>
      </c>
      <c r="E566" s="1359">
        <v>1</v>
      </c>
      <c r="F566" s="2564" t="s">
        <v>355</v>
      </c>
      <c r="G566" s="1132" t="s">
        <v>356</v>
      </c>
      <c r="H566" s="1360">
        <v>0.86924999999999997</v>
      </c>
      <c r="I566" s="1360">
        <v>0.86924999999999997</v>
      </c>
      <c r="J566" s="1360">
        <v>0.86924999999999997</v>
      </c>
      <c r="K566" s="1360">
        <v>0.86924999999999997</v>
      </c>
      <c r="L566" s="1132" t="s">
        <v>357</v>
      </c>
      <c r="M566" s="1132" t="str">
        <f t="shared" si="407"/>
        <v>Nicor Gas PY11-PY14 Adjustable Goals Template_2025-03-01, Tab 4.4.16</v>
      </c>
      <c r="N566" s="1361">
        <v>762.90491998307095</v>
      </c>
      <c r="O566" s="1361">
        <v>762.90491998307095</v>
      </c>
      <c r="P566" s="1361">
        <v>762.90491998307095</v>
      </c>
      <c r="Q566" s="1361">
        <v>762.90491998307095</v>
      </c>
      <c r="R566" s="1781">
        <v>0.83</v>
      </c>
      <c r="S566" s="1781">
        <v>0.83</v>
      </c>
      <c r="T566" s="1781">
        <v>0.83</v>
      </c>
      <c r="U566" s="1781">
        <v>0.83</v>
      </c>
      <c r="V566" s="2567">
        <v>0.96</v>
      </c>
      <c r="W566" s="2567">
        <v>0.96</v>
      </c>
      <c r="X566" s="2567">
        <v>0.96</v>
      </c>
      <c r="Y566" s="2567">
        <v>0.96</v>
      </c>
      <c r="Z566" s="1359">
        <v>0</v>
      </c>
      <c r="AA566" s="2567">
        <f t="shared" si="408"/>
        <v>0.96</v>
      </c>
      <c r="AB566" s="2567">
        <f t="shared" si="409"/>
        <v>0.96</v>
      </c>
      <c r="AC566" s="2567">
        <f t="shared" si="410"/>
        <v>0.96</v>
      </c>
      <c r="AD566" s="2567">
        <f t="shared" si="411"/>
        <v>0.96</v>
      </c>
      <c r="AE566" s="2567">
        <f t="shared" si="412"/>
        <v>0.96</v>
      </c>
      <c r="AF566" s="2567">
        <f t="shared" si="413"/>
        <v>0.96</v>
      </c>
      <c r="AG566" s="2567">
        <f t="shared" si="414"/>
        <v>0.96</v>
      </c>
      <c r="AH566" s="2567">
        <f t="shared" si="415"/>
        <v>0.96</v>
      </c>
      <c r="AI566" s="1362">
        <f t="shared" si="446"/>
        <v>550.41873440708605</v>
      </c>
      <c r="AJ566" s="1362">
        <f t="shared" si="447"/>
        <v>550.41873440708605</v>
      </c>
      <c r="AK566" s="1362">
        <f t="shared" si="448"/>
        <v>550.41873440708605</v>
      </c>
      <c r="AL566" s="1362">
        <f t="shared" si="449"/>
        <v>550.41873440708605</v>
      </c>
      <c r="AM566" s="1362">
        <f t="shared" si="450"/>
        <v>2201.6749376283442</v>
      </c>
      <c r="AN566" s="1132" t="str">
        <f t="shared" si="416"/>
        <v>CI-HVC-STRE-V05-180101</v>
      </c>
      <c r="AO566" s="1132" t="str">
        <f t="shared" si="417"/>
        <v>Nicor Gas PY11-PY14 Adjustable Goals Template_2025-03-01, Tab 4.4.16</v>
      </c>
      <c r="AP566" s="2505">
        <f>'4.4.16'!$O$5</f>
        <v>762.90491998307095</v>
      </c>
      <c r="AQ566" s="2568" t="s">
        <v>1002</v>
      </c>
      <c r="AR566" s="2505">
        <f t="shared" si="418"/>
        <v>636.62889762747307</v>
      </c>
      <c r="AS566" s="2505">
        <f t="shared" si="419"/>
        <v>86.210163220387017</v>
      </c>
      <c r="AT566" s="1132" t="str">
        <f t="shared" si="420"/>
        <v>CI-HVC-STRE-V05-180101</v>
      </c>
      <c r="AU566" s="1132" t="str">
        <f t="shared" si="421"/>
        <v>Nicor Gas PY11-PY14 Adjustable Goals Template_2025-03-01, Tab 4.4.16</v>
      </c>
      <c r="AV566" s="2505">
        <f>'4.4.16'!$O$5</f>
        <v>762.90491998307095</v>
      </c>
      <c r="AW566" s="2568" t="s">
        <v>1002</v>
      </c>
      <c r="AX566" s="1362">
        <f t="shared" si="422"/>
        <v>636.62889762747307</v>
      </c>
      <c r="AY566" s="1360">
        <f t="shared" si="423"/>
        <v>86.210163220387017</v>
      </c>
      <c r="AZ566" s="1132" t="str">
        <f t="shared" si="424"/>
        <v>CI-HVC-STRE-V05-180101</v>
      </c>
      <c r="BA566" s="1132" t="str">
        <f t="shared" si="425"/>
        <v>Nicor Gas PY11-PY14 Adjustable Goals Template_2025-03-01, Tab 4.4.16</v>
      </c>
      <c r="BB566" s="2505">
        <f>'4.4.16'!$O$5</f>
        <v>762.90491998307095</v>
      </c>
      <c r="BC566" s="2568" t="s">
        <v>1002</v>
      </c>
      <c r="BD566" s="1362">
        <f t="shared" si="426"/>
        <v>636.62889762747307</v>
      </c>
      <c r="BE566" s="1360">
        <f t="shared" si="427"/>
        <v>86.210163220387017</v>
      </c>
      <c r="BF566" s="1132" t="str">
        <f t="shared" si="428"/>
        <v>CI-HVC-STRE-V05-180101</v>
      </c>
      <c r="BG566" s="1132" t="str">
        <f t="shared" si="429"/>
        <v>Nicor Gas PY11-PY14 Adjustable Goals Template_2025-03-01, Tab 4.4.16</v>
      </c>
      <c r="BH566" s="2505">
        <f>'4.4.16'!$O$5</f>
        <v>762.90491998307095</v>
      </c>
      <c r="BI566" s="2568" t="s">
        <v>1002</v>
      </c>
      <c r="BJ566" s="1362">
        <f t="shared" si="451"/>
        <v>636.62889762747307</v>
      </c>
      <c r="BK566" s="1360">
        <f t="shared" si="430"/>
        <v>86.210163220387017</v>
      </c>
      <c r="BL566" s="1601">
        <f t="shared" si="431"/>
        <v>636.62889762747307</v>
      </c>
      <c r="BM566" s="1601">
        <f t="shared" si="432"/>
        <v>636.62889762747307</v>
      </c>
      <c r="BN566" s="1601">
        <f t="shared" si="433"/>
        <v>636.62889762747307</v>
      </c>
      <c r="BO566" s="1601">
        <f t="shared" si="434"/>
        <v>636.62889762747307</v>
      </c>
      <c r="BP566" s="1602">
        <f t="shared" si="435"/>
        <v>2546.5155905098923</v>
      </c>
      <c r="BQ566" s="1629"/>
      <c r="BR566" s="1629" t="s">
        <v>355</v>
      </c>
      <c r="BS566" s="1602">
        <v>0</v>
      </c>
      <c r="BT566" s="1602">
        <v>6</v>
      </c>
      <c r="BU566" s="1602">
        <v>6</v>
      </c>
      <c r="BV566" s="1602">
        <v>6</v>
      </c>
      <c r="BW566" s="1602">
        <v>6</v>
      </c>
      <c r="BX566" s="1362">
        <f t="shared" si="452"/>
        <v>3302.5124064425163</v>
      </c>
      <c r="BY566" s="1362">
        <f t="shared" si="453"/>
        <v>3302.5124064425163</v>
      </c>
      <c r="BZ566" s="1362">
        <f t="shared" si="454"/>
        <v>3302.5124064425163</v>
      </c>
      <c r="CA566" s="1362">
        <f t="shared" si="455"/>
        <v>3302.5124064425163</v>
      </c>
      <c r="CB566" s="1362">
        <f t="shared" si="456"/>
        <v>13210.049625770065</v>
      </c>
      <c r="CC566" s="1360">
        <v>6</v>
      </c>
      <c r="CD566" s="1360">
        <v>6</v>
      </c>
      <c r="CE566" s="1360">
        <v>6</v>
      </c>
      <c r="CF566" s="1360">
        <v>6</v>
      </c>
      <c r="CG566" s="1604">
        <f t="shared" si="436"/>
        <v>3819.7733857648377</v>
      </c>
      <c r="CH566" s="1604">
        <f t="shared" si="437"/>
        <v>3819.7733857648377</v>
      </c>
      <c r="CI566" s="1604">
        <f t="shared" si="438"/>
        <v>3819.7733857648377</v>
      </c>
      <c r="CJ566" s="1604">
        <f t="shared" si="439"/>
        <v>3819.7733857648377</v>
      </c>
      <c r="CK566" s="1521">
        <f t="shared" si="440"/>
        <v>15279.093543059351</v>
      </c>
      <c r="CL566" s="1132">
        <v>559</v>
      </c>
      <c r="CM566" s="1132" t="s">
        <v>356</v>
      </c>
      <c r="CN566" s="1359">
        <v>0</v>
      </c>
      <c r="CO566" s="1360">
        <v>0.86924999999999997</v>
      </c>
      <c r="CP566" s="1360">
        <v>0.86924999999999997</v>
      </c>
      <c r="CQ566" s="1360">
        <v>0.86924999999999997</v>
      </c>
      <c r="CR566" s="1360">
        <v>0.86924999999999997</v>
      </c>
      <c r="CS566" s="1362">
        <f t="shared" si="441"/>
        <v>636.62889762747307</v>
      </c>
      <c r="CT566" s="1362">
        <f t="shared" si="442"/>
        <v>636.62889762747307</v>
      </c>
      <c r="CU566" s="1362">
        <f t="shared" si="443"/>
        <v>636.62889762747307</v>
      </c>
      <c r="CV566" s="1362">
        <f t="shared" si="444"/>
        <v>636.62889762747307</v>
      </c>
      <c r="CW566" s="1362">
        <f t="shared" si="445"/>
        <v>2546.5155905098923</v>
      </c>
      <c r="CY566" s="2887"/>
    </row>
    <row r="567" spans="1:103" s="1143" customFormat="1" ht="46.5" x14ac:dyDescent="0.35">
      <c r="A567" s="1132" t="s">
        <v>116</v>
      </c>
      <c r="B567" s="1132" t="s">
        <v>1000</v>
      </c>
      <c r="C567" s="1132" t="s">
        <v>362</v>
      </c>
      <c r="D567" s="1359" t="s">
        <v>363</v>
      </c>
      <c r="E567" s="1359">
        <v>1</v>
      </c>
      <c r="F567" s="2564" t="s">
        <v>355</v>
      </c>
      <c r="G567" s="1132" t="s">
        <v>356</v>
      </c>
      <c r="H567" s="1360">
        <v>2.6077499999999998</v>
      </c>
      <c r="I567" s="1360">
        <v>2.6077499999999998</v>
      </c>
      <c r="J567" s="1360">
        <v>2.6077499999999998</v>
      </c>
      <c r="K567" s="1360">
        <v>2.6077499999999998</v>
      </c>
      <c r="L567" s="1132" t="s">
        <v>357</v>
      </c>
      <c r="M567" s="1132" t="str">
        <f t="shared" si="407"/>
        <v>Nicor Gas PY11-PY14 Adjustable Goals Template_2025-03-01, Tab 4.4.16</v>
      </c>
      <c r="N567" s="1361">
        <v>5256.3081214778895</v>
      </c>
      <c r="O567" s="1361">
        <v>5256.3081214778895</v>
      </c>
      <c r="P567" s="1361">
        <v>5256.3081214778895</v>
      </c>
      <c r="Q567" s="1361">
        <v>5256.3081214778895</v>
      </c>
      <c r="R567" s="1781">
        <v>0.83</v>
      </c>
      <c r="S567" s="1781">
        <v>0.83</v>
      </c>
      <c r="T567" s="1781">
        <v>0.83</v>
      </c>
      <c r="U567" s="1781">
        <v>0.83</v>
      </c>
      <c r="V567" s="2567">
        <v>0.96</v>
      </c>
      <c r="W567" s="2567">
        <v>0.96</v>
      </c>
      <c r="X567" s="2567">
        <v>0.96</v>
      </c>
      <c r="Y567" s="2567">
        <v>0.96</v>
      </c>
      <c r="Z567" s="1359">
        <v>0</v>
      </c>
      <c r="AA567" s="2567">
        <f t="shared" si="408"/>
        <v>0.96</v>
      </c>
      <c r="AB567" s="2567">
        <f t="shared" si="409"/>
        <v>0.96</v>
      </c>
      <c r="AC567" s="2567">
        <f t="shared" si="410"/>
        <v>0.96</v>
      </c>
      <c r="AD567" s="2567">
        <f t="shared" si="411"/>
        <v>0.96</v>
      </c>
      <c r="AE567" s="2567">
        <f t="shared" si="412"/>
        <v>0.96</v>
      </c>
      <c r="AF567" s="2567">
        <f t="shared" si="413"/>
        <v>0.96</v>
      </c>
      <c r="AG567" s="2567">
        <f t="shared" si="414"/>
        <v>0.96</v>
      </c>
      <c r="AH567" s="2567">
        <f t="shared" si="415"/>
        <v>0.96</v>
      </c>
      <c r="AI567" s="1362">
        <f t="shared" si="446"/>
        <v>11376.92412814069</v>
      </c>
      <c r="AJ567" s="1362">
        <f t="shared" si="447"/>
        <v>11376.92412814069</v>
      </c>
      <c r="AK567" s="1362">
        <f t="shared" si="448"/>
        <v>11376.92412814069</v>
      </c>
      <c r="AL567" s="1362">
        <f t="shared" si="449"/>
        <v>11376.92412814069</v>
      </c>
      <c r="AM567" s="1362">
        <f t="shared" si="450"/>
        <v>45507.696512562761</v>
      </c>
      <c r="AN567" s="1132" t="str">
        <f t="shared" si="416"/>
        <v>CI-HVC-STRE-V05-180101</v>
      </c>
      <c r="AO567" s="1132" t="str">
        <f t="shared" si="417"/>
        <v>Nicor Gas PY11-PY14 Adjustable Goals Template_2025-03-01, Tab 4.4.16</v>
      </c>
      <c r="AP567" s="2505">
        <f>'4.4.16'!$O$7</f>
        <v>5256.3081214778895</v>
      </c>
      <c r="AQ567" s="2568" t="s">
        <v>1002</v>
      </c>
      <c r="AR567" s="2505">
        <f t="shared" si="418"/>
        <v>13158.852003632604</v>
      </c>
      <c r="AS567" s="2505">
        <f t="shared" si="419"/>
        <v>1781.9278754919142</v>
      </c>
      <c r="AT567" s="1132" t="str">
        <f t="shared" si="420"/>
        <v>CI-HVC-STRE-V05-180101</v>
      </c>
      <c r="AU567" s="1132" t="str">
        <f t="shared" si="421"/>
        <v>Nicor Gas PY11-PY14 Adjustable Goals Template_2025-03-01, Tab 4.4.16</v>
      </c>
      <c r="AV567" s="2505">
        <f>'4.4.16'!$O$7</f>
        <v>5256.3081214778895</v>
      </c>
      <c r="AW567" s="2568" t="s">
        <v>1002</v>
      </c>
      <c r="AX567" s="1362">
        <f t="shared" si="422"/>
        <v>13158.852003632604</v>
      </c>
      <c r="AY567" s="1360">
        <f t="shared" si="423"/>
        <v>1781.9278754919142</v>
      </c>
      <c r="AZ567" s="1132" t="str">
        <f t="shared" si="424"/>
        <v>CI-HVC-STRE-V05-180101</v>
      </c>
      <c r="BA567" s="1132" t="str">
        <f t="shared" si="425"/>
        <v>Nicor Gas PY11-PY14 Adjustable Goals Template_2025-03-01, Tab 4.4.16</v>
      </c>
      <c r="BB567" s="2505">
        <f>'4.4.16'!$O$7</f>
        <v>5256.3081214778895</v>
      </c>
      <c r="BC567" s="2568" t="s">
        <v>1002</v>
      </c>
      <c r="BD567" s="1362">
        <f t="shared" si="426"/>
        <v>13158.852003632604</v>
      </c>
      <c r="BE567" s="1360">
        <f t="shared" si="427"/>
        <v>1781.9278754919142</v>
      </c>
      <c r="BF567" s="1132" t="str">
        <f t="shared" si="428"/>
        <v>CI-HVC-STRE-V05-180101</v>
      </c>
      <c r="BG567" s="1132" t="str">
        <f t="shared" si="429"/>
        <v>Nicor Gas PY11-PY14 Adjustable Goals Template_2025-03-01, Tab 4.4.16</v>
      </c>
      <c r="BH567" s="2505">
        <f>'4.4.16'!$O$7</f>
        <v>5256.3081214778895</v>
      </c>
      <c r="BI567" s="2568" t="s">
        <v>1002</v>
      </c>
      <c r="BJ567" s="1362">
        <f t="shared" si="451"/>
        <v>13158.852003632604</v>
      </c>
      <c r="BK567" s="1360">
        <f t="shared" si="430"/>
        <v>1781.9278754919142</v>
      </c>
      <c r="BL567" s="1601">
        <f t="shared" si="431"/>
        <v>13158.852003632604</v>
      </c>
      <c r="BM567" s="1601">
        <f t="shared" si="432"/>
        <v>13158.852003632604</v>
      </c>
      <c r="BN567" s="1601">
        <f t="shared" si="433"/>
        <v>13158.852003632604</v>
      </c>
      <c r="BO567" s="1601">
        <f t="shared" si="434"/>
        <v>13158.852003632604</v>
      </c>
      <c r="BP567" s="1602">
        <f t="shared" si="435"/>
        <v>52635.408014530418</v>
      </c>
      <c r="BQ567" s="1629"/>
      <c r="BR567" s="1629" t="s">
        <v>355</v>
      </c>
      <c r="BS567" s="1602">
        <v>0</v>
      </c>
      <c r="BT567" s="1602">
        <v>6</v>
      </c>
      <c r="BU567" s="1602">
        <v>6</v>
      </c>
      <c r="BV567" s="1602">
        <v>6</v>
      </c>
      <c r="BW567" s="1602">
        <v>6</v>
      </c>
      <c r="BX567" s="1362">
        <f t="shared" si="452"/>
        <v>68261.544768844149</v>
      </c>
      <c r="BY567" s="1362">
        <f t="shared" si="453"/>
        <v>68261.544768844149</v>
      </c>
      <c r="BZ567" s="1362">
        <f t="shared" si="454"/>
        <v>68261.544768844149</v>
      </c>
      <c r="CA567" s="1362">
        <f t="shared" si="455"/>
        <v>68261.544768844149</v>
      </c>
      <c r="CB567" s="1362">
        <f t="shared" si="456"/>
        <v>273046.1790753766</v>
      </c>
      <c r="CC567" s="1360">
        <v>6</v>
      </c>
      <c r="CD567" s="1360">
        <v>6</v>
      </c>
      <c r="CE567" s="1360">
        <v>6</v>
      </c>
      <c r="CF567" s="1360">
        <v>6</v>
      </c>
      <c r="CG567" s="1604">
        <f t="shared" si="436"/>
        <v>78953.112021795634</v>
      </c>
      <c r="CH567" s="1604">
        <f t="shared" si="437"/>
        <v>78953.112021795634</v>
      </c>
      <c r="CI567" s="1604">
        <f t="shared" si="438"/>
        <v>78953.112021795634</v>
      </c>
      <c r="CJ567" s="1604">
        <f t="shared" si="439"/>
        <v>78953.112021795634</v>
      </c>
      <c r="CK567" s="1521">
        <f t="shared" si="440"/>
        <v>315812.44808718254</v>
      </c>
      <c r="CL567" s="1132">
        <v>560</v>
      </c>
      <c r="CM567" s="1132" t="s">
        <v>356</v>
      </c>
      <c r="CN567" s="1359">
        <v>0</v>
      </c>
      <c r="CO567" s="1360">
        <v>2.6077499999999998</v>
      </c>
      <c r="CP567" s="1360">
        <v>2.6077499999999998</v>
      </c>
      <c r="CQ567" s="1360">
        <v>2.6077499999999998</v>
      </c>
      <c r="CR567" s="1360">
        <v>2.6077499999999998</v>
      </c>
      <c r="CS567" s="1362">
        <f t="shared" si="441"/>
        <v>13158.852003632604</v>
      </c>
      <c r="CT567" s="1362">
        <f t="shared" si="442"/>
        <v>13158.852003632604</v>
      </c>
      <c r="CU567" s="1362">
        <f t="shared" si="443"/>
        <v>13158.852003632604</v>
      </c>
      <c r="CV567" s="1362">
        <f t="shared" si="444"/>
        <v>13158.852003632604</v>
      </c>
      <c r="CW567" s="1362">
        <f t="shared" si="445"/>
        <v>52635.408014530418</v>
      </c>
      <c r="CY567" s="2887"/>
    </row>
    <row r="568" spans="1:103" s="1143" customFormat="1" ht="46.5" x14ac:dyDescent="0.35">
      <c r="A568" s="1132" t="s">
        <v>116</v>
      </c>
      <c r="B568" s="1132" t="s">
        <v>1000</v>
      </c>
      <c r="C568" s="1132" t="s">
        <v>541</v>
      </c>
      <c r="D568" s="1359" t="s">
        <v>542</v>
      </c>
      <c r="E568" s="1359">
        <v>1</v>
      </c>
      <c r="F568" s="2564" t="s">
        <v>355</v>
      </c>
      <c r="G568" s="1132" t="s">
        <v>356</v>
      </c>
      <c r="H568" s="1360">
        <v>1648.9672499999999</v>
      </c>
      <c r="I568" s="1360">
        <v>1648.9672499999999</v>
      </c>
      <c r="J568" s="1360">
        <v>1648.9672499999999</v>
      </c>
      <c r="K568" s="1360">
        <v>1648.9672499999999</v>
      </c>
      <c r="L568" s="1132" t="s">
        <v>357</v>
      </c>
      <c r="M568" s="1132" t="str">
        <f t="shared" si="407"/>
        <v>Nicor Gas PY11-PY14 Adjustable Goals Template_2025-03-01, Tab 4.4.16</v>
      </c>
      <c r="N568" s="1361">
        <v>648.01507774707386</v>
      </c>
      <c r="O568" s="1361">
        <v>648.01507774707386</v>
      </c>
      <c r="P568" s="1361">
        <v>648.01507774707386</v>
      </c>
      <c r="Q568" s="1361">
        <v>648.01507774707386</v>
      </c>
      <c r="R568" s="1781">
        <v>0.83</v>
      </c>
      <c r="S568" s="1781">
        <v>0.83</v>
      </c>
      <c r="T568" s="1781">
        <v>0.83</v>
      </c>
      <c r="U568" s="1781">
        <v>0.83</v>
      </c>
      <c r="V568" s="2567">
        <v>0.96</v>
      </c>
      <c r="W568" s="2567">
        <v>0.96</v>
      </c>
      <c r="X568" s="2567">
        <v>0.96</v>
      </c>
      <c r="Y568" s="2567">
        <v>0.96</v>
      </c>
      <c r="Z568" s="1359">
        <v>0</v>
      </c>
      <c r="AA568" s="2567">
        <f t="shared" si="408"/>
        <v>0.96</v>
      </c>
      <c r="AB568" s="2567">
        <f t="shared" si="409"/>
        <v>0.96</v>
      </c>
      <c r="AC568" s="2567">
        <f t="shared" si="410"/>
        <v>0.96</v>
      </c>
      <c r="AD568" s="2567">
        <f t="shared" si="411"/>
        <v>0.96</v>
      </c>
      <c r="AE568" s="2567">
        <f t="shared" si="412"/>
        <v>0.96</v>
      </c>
      <c r="AF568" s="2567">
        <f t="shared" si="413"/>
        <v>0.96</v>
      </c>
      <c r="AG568" s="2567">
        <f t="shared" si="414"/>
        <v>0.96</v>
      </c>
      <c r="AH568" s="2567">
        <f t="shared" si="415"/>
        <v>0.96</v>
      </c>
      <c r="AI568" s="1362">
        <f t="shared" si="446"/>
        <v>886901.18179023662</v>
      </c>
      <c r="AJ568" s="1362">
        <f t="shared" si="447"/>
        <v>886901.18179023662</v>
      </c>
      <c r="AK568" s="1362">
        <f t="shared" si="448"/>
        <v>886901.18179023662</v>
      </c>
      <c r="AL568" s="1362">
        <f t="shared" si="449"/>
        <v>886901.18179023662</v>
      </c>
      <c r="AM568" s="1362">
        <f t="shared" si="450"/>
        <v>3547604.7271609465</v>
      </c>
      <c r="AN568" s="1132" t="str">
        <f t="shared" si="416"/>
        <v>CI-HVC-STRE-V05-180101</v>
      </c>
      <c r="AO568" s="1132" t="str">
        <f t="shared" si="417"/>
        <v>Nicor Gas PY11-PY14 Adjustable Goals Template_2025-03-01, Tab 4.4.16</v>
      </c>
      <c r="AP568" s="2505">
        <f>'4.4.16'!$O$13</f>
        <v>648.01507774707386</v>
      </c>
      <c r="AQ568" s="2568" t="s">
        <v>1002</v>
      </c>
      <c r="AR568" s="2505">
        <f t="shared" si="418"/>
        <v>1025813.4150826833</v>
      </c>
      <c r="AS568" s="2505">
        <f t="shared" si="419"/>
        <v>138912.2332924467</v>
      </c>
      <c r="AT568" s="1132" t="str">
        <f t="shared" si="420"/>
        <v>CI-HVC-STRE-V05-180101</v>
      </c>
      <c r="AU568" s="1132" t="str">
        <f t="shared" si="421"/>
        <v>Nicor Gas PY11-PY14 Adjustable Goals Template_2025-03-01, Tab 4.4.16</v>
      </c>
      <c r="AV568" s="2505">
        <f>'4.4.16'!$O$13</f>
        <v>648.01507774707386</v>
      </c>
      <c r="AW568" s="2568" t="s">
        <v>1002</v>
      </c>
      <c r="AX568" s="1362">
        <f t="shared" si="422"/>
        <v>1025813.4150826833</v>
      </c>
      <c r="AY568" s="1360">
        <f t="shared" si="423"/>
        <v>138912.2332924467</v>
      </c>
      <c r="AZ568" s="1132" t="str">
        <f t="shared" si="424"/>
        <v>CI-HVC-STRE-V05-180101</v>
      </c>
      <c r="BA568" s="1132" t="str">
        <f t="shared" si="425"/>
        <v>Nicor Gas PY11-PY14 Adjustable Goals Template_2025-03-01, Tab 4.4.16</v>
      </c>
      <c r="BB568" s="2505">
        <f>'4.4.16'!$O$13</f>
        <v>648.01507774707386</v>
      </c>
      <c r="BC568" s="2568" t="s">
        <v>1002</v>
      </c>
      <c r="BD568" s="1362">
        <f t="shared" si="426"/>
        <v>1025813.4150826833</v>
      </c>
      <c r="BE568" s="1360">
        <f t="shared" si="427"/>
        <v>138912.2332924467</v>
      </c>
      <c r="BF568" s="1132" t="str">
        <f t="shared" si="428"/>
        <v>CI-HVC-STRE-V05-180101</v>
      </c>
      <c r="BG568" s="1132" t="str">
        <f t="shared" si="429"/>
        <v>Nicor Gas PY11-PY14 Adjustable Goals Template_2025-03-01, Tab 4.4.16</v>
      </c>
      <c r="BH568" s="2505">
        <f>'4.4.16'!$O$13</f>
        <v>648.01507774707386</v>
      </c>
      <c r="BI568" s="2568" t="s">
        <v>1002</v>
      </c>
      <c r="BJ568" s="1362">
        <f t="shared" si="451"/>
        <v>1025813.4150826833</v>
      </c>
      <c r="BK568" s="1360">
        <f t="shared" si="430"/>
        <v>138912.2332924467</v>
      </c>
      <c r="BL568" s="1601">
        <f t="shared" si="431"/>
        <v>1025813.4150826833</v>
      </c>
      <c r="BM568" s="1601">
        <f t="shared" si="432"/>
        <v>1025813.4150826833</v>
      </c>
      <c r="BN568" s="1601">
        <f t="shared" si="433"/>
        <v>1025813.4150826833</v>
      </c>
      <c r="BO568" s="1601">
        <f t="shared" si="434"/>
        <v>1025813.4150826833</v>
      </c>
      <c r="BP568" s="1602">
        <f t="shared" si="435"/>
        <v>4103253.6603307333</v>
      </c>
      <c r="BQ568" s="1629"/>
      <c r="BR568" s="1629" t="s">
        <v>355</v>
      </c>
      <c r="BS568" s="1602">
        <v>0</v>
      </c>
      <c r="BT568" s="1602">
        <v>6</v>
      </c>
      <c r="BU568" s="1602">
        <v>6</v>
      </c>
      <c r="BV568" s="1602">
        <v>6</v>
      </c>
      <c r="BW568" s="1602">
        <v>6</v>
      </c>
      <c r="BX568" s="1362">
        <f t="shared" si="452"/>
        <v>5321407.0907414202</v>
      </c>
      <c r="BY568" s="1362">
        <f t="shared" si="453"/>
        <v>5321407.0907414202</v>
      </c>
      <c r="BZ568" s="1362">
        <f t="shared" si="454"/>
        <v>5321407.0907414202</v>
      </c>
      <c r="CA568" s="1362">
        <f t="shared" si="455"/>
        <v>5321407.0907414202</v>
      </c>
      <c r="CB568" s="1362">
        <f t="shared" si="456"/>
        <v>21285628.362965681</v>
      </c>
      <c r="CC568" s="1360">
        <v>6</v>
      </c>
      <c r="CD568" s="1360">
        <v>6</v>
      </c>
      <c r="CE568" s="1360">
        <v>6</v>
      </c>
      <c r="CF568" s="1360">
        <v>6</v>
      </c>
      <c r="CG568" s="1604">
        <f t="shared" si="436"/>
        <v>6154880.4904960999</v>
      </c>
      <c r="CH568" s="1604">
        <f t="shared" si="437"/>
        <v>6154880.4904960999</v>
      </c>
      <c r="CI568" s="1604">
        <f t="shared" si="438"/>
        <v>6154880.4904960999</v>
      </c>
      <c r="CJ568" s="1604">
        <f t="shared" si="439"/>
        <v>6154880.4904960999</v>
      </c>
      <c r="CK568" s="1521">
        <f t="shared" si="440"/>
        <v>24619521.9619844</v>
      </c>
      <c r="CL568" s="1132">
        <v>561</v>
      </c>
      <c r="CM568" s="1132" t="s">
        <v>356</v>
      </c>
      <c r="CN568" s="1359">
        <v>0</v>
      </c>
      <c r="CO568" s="1360">
        <v>1648.9672499999999</v>
      </c>
      <c r="CP568" s="1360">
        <v>1648.9672499999999</v>
      </c>
      <c r="CQ568" s="1360">
        <v>1648.9672499999999</v>
      </c>
      <c r="CR568" s="1360">
        <v>1648.9672499999999</v>
      </c>
      <c r="CS568" s="1362">
        <f t="shared" si="441"/>
        <v>1025813.4150826833</v>
      </c>
      <c r="CT568" s="1362">
        <f t="shared" si="442"/>
        <v>1025813.4150826833</v>
      </c>
      <c r="CU568" s="1362">
        <f t="shared" si="443"/>
        <v>1025813.4150826833</v>
      </c>
      <c r="CV568" s="1362">
        <f t="shared" si="444"/>
        <v>1025813.4150826833</v>
      </c>
      <c r="CW568" s="1362">
        <f t="shared" si="445"/>
        <v>4103253.6603307333</v>
      </c>
      <c r="CY568" s="2887"/>
    </row>
    <row r="569" spans="1:103" s="1143" customFormat="1" ht="45.75" customHeight="1" x14ac:dyDescent="0.35">
      <c r="A569" s="1132" t="s">
        <v>116</v>
      </c>
      <c r="B569" s="1132" t="s">
        <v>1000</v>
      </c>
      <c r="C569" s="1132" t="s">
        <v>577</v>
      </c>
      <c r="D569" s="1359" t="s">
        <v>578</v>
      </c>
      <c r="E569" s="1359">
        <v>1</v>
      </c>
      <c r="F569" s="1132" t="s">
        <v>579</v>
      </c>
      <c r="G569" s="1132" t="s">
        <v>328</v>
      </c>
      <c r="H569" s="1360">
        <v>8.6925000000000008</v>
      </c>
      <c r="I569" s="1360">
        <v>8.6925000000000008</v>
      </c>
      <c r="J569" s="1360">
        <v>8.6925000000000008</v>
      </c>
      <c r="K569" s="1360">
        <v>8.6925000000000008</v>
      </c>
      <c r="L569" s="1132" t="s">
        <v>580</v>
      </c>
      <c r="M569" s="1132" t="str">
        <f t="shared" si="407"/>
        <v>Nicor Gas PY11-PY14 Adjustable Goals Template_2025-03-01, Tab 4.4.52</v>
      </c>
      <c r="N569" s="1361">
        <v>28.084000000000003</v>
      </c>
      <c r="O569" s="1361">
        <v>28.084000000000003</v>
      </c>
      <c r="P569" s="1361">
        <v>28.084000000000003</v>
      </c>
      <c r="Q569" s="1361">
        <v>28.084000000000003</v>
      </c>
      <c r="R569" s="1781">
        <v>0.83</v>
      </c>
      <c r="S569" s="1781">
        <v>0.83</v>
      </c>
      <c r="T569" s="1781">
        <v>0.83</v>
      </c>
      <c r="U569" s="1781">
        <v>0.83</v>
      </c>
      <c r="V569" s="2567">
        <v>0.96</v>
      </c>
      <c r="W569" s="2567">
        <v>0.96</v>
      </c>
      <c r="X569" s="2567">
        <v>0.96</v>
      </c>
      <c r="Y569" s="2567">
        <v>0.96</v>
      </c>
      <c r="Z569" s="1359">
        <v>0</v>
      </c>
      <c r="AA569" s="2567">
        <f t="shared" si="408"/>
        <v>0.96</v>
      </c>
      <c r="AB569" s="2567">
        <f t="shared" si="409"/>
        <v>0.96</v>
      </c>
      <c r="AC569" s="2567">
        <f t="shared" si="410"/>
        <v>0.96</v>
      </c>
      <c r="AD569" s="2567">
        <f t="shared" si="411"/>
        <v>0.96</v>
      </c>
      <c r="AE569" s="2567">
        <f t="shared" si="412"/>
        <v>0.96</v>
      </c>
      <c r="AF569" s="2567">
        <f t="shared" si="413"/>
        <v>0.96</v>
      </c>
      <c r="AG569" s="2567">
        <f t="shared" si="414"/>
        <v>0.96</v>
      </c>
      <c r="AH569" s="2567">
        <f t="shared" si="415"/>
        <v>0.96</v>
      </c>
      <c r="AI569" s="1362">
        <f t="shared" si="446"/>
        <v>202.61974110000003</v>
      </c>
      <c r="AJ569" s="1362">
        <f t="shared" si="447"/>
        <v>202.61974110000003</v>
      </c>
      <c r="AK569" s="1362">
        <f t="shared" si="448"/>
        <v>202.61974110000003</v>
      </c>
      <c r="AL569" s="1362">
        <f t="shared" si="449"/>
        <v>202.61974110000003</v>
      </c>
      <c r="AM569" s="1362">
        <f t="shared" si="450"/>
        <v>810.47896440000011</v>
      </c>
      <c r="AN569" s="1132" t="str">
        <f t="shared" si="416"/>
        <v>CI-HVC-HHRR-V01-210101</v>
      </c>
      <c r="AO569" s="1132" t="str">
        <f t="shared" si="417"/>
        <v>Nicor Gas PY11-PY14 Adjustable Goals Template_2025-03-01, Tab 4.4.52</v>
      </c>
      <c r="AP569" s="2505">
        <f>'4.4.52'!$N$4</f>
        <v>28.084000000000003</v>
      </c>
      <c r="AQ569" s="2568" t="s">
        <v>1002</v>
      </c>
      <c r="AR569" s="2505">
        <f t="shared" si="418"/>
        <v>234.35536320000006</v>
      </c>
      <c r="AS569" s="2505">
        <f t="shared" si="419"/>
        <v>31.735622100000029</v>
      </c>
      <c r="AT569" s="1132" t="str">
        <f t="shared" si="420"/>
        <v>CI-HVC-HHRR-V01-210101</v>
      </c>
      <c r="AU569" s="1132" t="str">
        <f t="shared" si="421"/>
        <v>Nicor Gas PY11-PY14 Adjustable Goals Template_2025-03-01, Tab 4.4.52</v>
      </c>
      <c r="AV569" s="2505">
        <f>'4.4.52'!$N$4</f>
        <v>28.084000000000003</v>
      </c>
      <c r="AW569" s="2568" t="s">
        <v>1002</v>
      </c>
      <c r="AX569" s="1362">
        <f t="shared" si="422"/>
        <v>234.35536320000006</v>
      </c>
      <c r="AY569" s="1360">
        <f t="shared" si="423"/>
        <v>31.735622100000029</v>
      </c>
      <c r="AZ569" s="1132" t="str">
        <f t="shared" si="424"/>
        <v>CI-HVC-HHRR-V01-210101</v>
      </c>
      <c r="BA569" s="1132" t="str">
        <f t="shared" si="425"/>
        <v>Nicor Gas PY11-PY14 Adjustable Goals Template_2025-03-01, Tab 4.4.52</v>
      </c>
      <c r="BB569" s="2505">
        <f>'4.4.52'!$N$4</f>
        <v>28.084000000000003</v>
      </c>
      <c r="BC569" s="2568" t="s">
        <v>1002</v>
      </c>
      <c r="BD569" s="1362">
        <f t="shared" si="426"/>
        <v>234.35536320000006</v>
      </c>
      <c r="BE569" s="1360">
        <f t="shared" si="427"/>
        <v>31.735622100000029</v>
      </c>
      <c r="BF569" s="1132" t="str">
        <f t="shared" si="428"/>
        <v>CI-HVC-HHRR-V01-210101</v>
      </c>
      <c r="BG569" s="1132" t="str">
        <f t="shared" si="429"/>
        <v>Nicor Gas PY11-PY14 Adjustable Goals Template_2025-03-01, Tab 4.4.52</v>
      </c>
      <c r="BH569" s="2505">
        <f>'4.4.52'!$N$4</f>
        <v>28.084000000000003</v>
      </c>
      <c r="BI569" s="2568" t="s">
        <v>1002</v>
      </c>
      <c r="BJ569" s="1362">
        <f t="shared" si="451"/>
        <v>234.35536320000006</v>
      </c>
      <c r="BK569" s="1360">
        <f t="shared" si="430"/>
        <v>31.735622100000029</v>
      </c>
      <c r="BL569" s="1601">
        <f t="shared" si="431"/>
        <v>234.35536320000006</v>
      </c>
      <c r="BM569" s="1601">
        <f t="shared" si="432"/>
        <v>234.35536320000006</v>
      </c>
      <c r="BN569" s="1601">
        <f t="shared" si="433"/>
        <v>234.35536320000006</v>
      </c>
      <c r="BO569" s="1601">
        <f t="shared" si="434"/>
        <v>234.35536320000006</v>
      </c>
      <c r="BP569" s="1602">
        <f t="shared" si="435"/>
        <v>937.42145280000022</v>
      </c>
      <c r="BQ569" s="1629"/>
      <c r="BR569" s="1629" t="s">
        <v>579</v>
      </c>
      <c r="BS569" s="1602">
        <v>0</v>
      </c>
      <c r="BT569" s="1602">
        <v>25</v>
      </c>
      <c r="BU569" s="1602">
        <v>25</v>
      </c>
      <c r="BV569" s="1602">
        <v>25</v>
      </c>
      <c r="BW569" s="1602">
        <v>25</v>
      </c>
      <c r="BX569" s="1362">
        <f t="shared" si="452"/>
        <v>5065.4935275000007</v>
      </c>
      <c r="BY569" s="1362">
        <f t="shared" si="453"/>
        <v>5065.4935275000007</v>
      </c>
      <c r="BZ569" s="1362">
        <f t="shared" si="454"/>
        <v>5065.4935275000007</v>
      </c>
      <c r="CA569" s="1362">
        <f t="shared" si="455"/>
        <v>5065.4935275000007</v>
      </c>
      <c r="CB569" s="1362">
        <f t="shared" si="456"/>
        <v>20261.974110000003</v>
      </c>
      <c r="CC569" s="1360">
        <v>25</v>
      </c>
      <c r="CD569" s="1360">
        <v>25</v>
      </c>
      <c r="CE569" s="1360">
        <v>25</v>
      </c>
      <c r="CF569" s="1360">
        <v>25</v>
      </c>
      <c r="CG569" s="1604">
        <f t="shared" si="436"/>
        <v>5858.8840800000016</v>
      </c>
      <c r="CH569" s="1604">
        <f t="shared" si="437"/>
        <v>5858.8840800000016</v>
      </c>
      <c r="CI569" s="1604">
        <f t="shared" si="438"/>
        <v>5858.8840800000016</v>
      </c>
      <c r="CJ569" s="1604">
        <f t="shared" si="439"/>
        <v>5858.8840800000016</v>
      </c>
      <c r="CK569" s="1521">
        <f t="shared" si="440"/>
        <v>23435.536320000007</v>
      </c>
      <c r="CL569" s="1132">
        <v>562</v>
      </c>
      <c r="CM569" s="1132" t="s">
        <v>328</v>
      </c>
      <c r="CN569" s="1359">
        <v>0</v>
      </c>
      <c r="CO569" s="1360">
        <v>8.6925000000000008</v>
      </c>
      <c r="CP569" s="1360">
        <v>8.6925000000000008</v>
      </c>
      <c r="CQ569" s="1360">
        <v>8.6925000000000008</v>
      </c>
      <c r="CR569" s="1360">
        <v>8.6925000000000008</v>
      </c>
      <c r="CS569" s="1362">
        <f t="shared" si="441"/>
        <v>234.35536320000006</v>
      </c>
      <c r="CT569" s="1362">
        <f t="shared" si="442"/>
        <v>234.35536320000006</v>
      </c>
      <c r="CU569" s="1362">
        <f t="shared" si="443"/>
        <v>234.35536320000006</v>
      </c>
      <c r="CV569" s="1362">
        <f t="shared" si="444"/>
        <v>234.35536320000006</v>
      </c>
      <c r="CW569" s="1362">
        <f t="shared" si="445"/>
        <v>937.42145280000022</v>
      </c>
      <c r="CY569" s="2887"/>
    </row>
    <row r="570" spans="1:103" s="1143" customFormat="1" ht="46.5" x14ac:dyDescent="0.35">
      <c r="A570" s="1132" t="s">
        <v>116</v>
      </c>
      <c r="B570" s="1132" t="s">
        <v>1000</v>
      </c>
      <c r="C570" s="1132" t="s">
        <v>581</v>
      </c>
      <c r="D570" s="1359" t="s">
        <v>582</v>
      </c>
      <c r="E570" s="1359">
        <v>1</v>
      </c>
      <c r="F570" s="2564" t="s">
        <v>583</v>
      </c>
      <c r="G570" s="1132" t="s">
        <v>328</v>
      </c>
      <c r="H570" s="1360">
        <v>1.7384999999999999</v>
      </c>
      <c r="I570" s="1360">
        <v>1.7384999999999999</v>
      </c>
      <c r="J570" s="1360">
        <v>1.7384999999999999</v>
      </c>
      <c r="K570" s="1360">
        <v>1.7384999999999999</v>
      </c>
      <c r="L570" s="1132" t="s">
        <v>584</v>
      </c>
      <c r="M570" s="1132" t="str">
        <f t="shared" si="407"/>
        <v>Nicor Gas PY11-PY14 Adjustable Goals Template_2025-03-01, Tab 4.4.49</v>
      </c>
      <c r="N570" s="1361">
        <v>288.1875</v>
      </c>
      <c r="O570" s="1361">
        <v>288.1875</v>
      </c>
      <c r="P570" s="1361">
        <v>288.1875</v>
      </c>
      <c r="Q570" s="1361">
        <v>288.1875</v>
      </c>
      <c r="R570" s="1781">
        <v>0.83</v>
      </c>
      <c r="S570" s="1781">
        <v>0.83</v>
      </c>
      <c r="T570" s="1781">
        <v>0.83</v>
      </c>
      <c r="U570" s="1781">
        <v>0.83</v>
      </c>
      <c r="V570" s="2567">
        <v>0.96</v>
      </c>
      <c r="W570" s="2567">
        <v>0.96</v>
      </c>
      <c r="X570" s="2567">
        <v>0.96</v>
      </c>
      <c r="Y570" s="2567">
        <v>0.96</v>
      </c>
      <c r="Z570" s="1359">
        <v>0</v>
      </c>
      <c r="AA570" s="2567">
        <f t="shared" si="408"/>
        <v>0.96</v>
      </c>
      <c r="AB570" s="2567">
        <f t="shared" si="409"/>
        <v>0.96</v>
      </c>
      <c r="AC570" s="2567">
        <f t="shared" si="410"/>
        <v>0.96</v>
      </c>
      <c r="AD570" s="2567">
        <f t="shared" si="411"/>
        <v>0.96</v>
      </c>
      <c r="AE570" s="2567">
        <f t="shared" si="412"/>
        <v>0.96</v>
      </c>
      <c r="AF570" s="2567">
        <f t="shared" si="413"/>
        <v>0.96</v>
      </c>
      <c r="AG570" s="2567">
        <f t="shared" si="414"/>
        <v>0.96</v>
      </c>
      <c r="AH570" s="2567">
        <f t="shared" si="415"/>
        <v>0.96</v>
      </c>
      <c r="AI570" s="1362">
        <f t="shared" si="446"/>
        <v>415.84159406250001</v>
      </c>
      <c r="AJ570" s="1362">
        <f t="shared" si="447"/>
        <v>415.84159406250001</v>
      </c>
      <c r="AK570" s="1362">
        <f t="shared" si="448"/>
        <v>415.84159406250001</v>
      </c>
      <c r="AL570" s="1362">
        <f t="shared" si="449"/>
        <v>415.84159406250001</v>
      </c>
      <c r="AM570" s="1362">
        <f t="shared" si="450"/>
        <v>1663.36637625</v>
      </c>
      <c r="AN570" s="1132" t="str">
        <f t="shared" si="416"/>
        <v>CI-HVC-BCHD-V01-210101</v>
      </c>
      <c r="AO570" s="1132" t="str">
        <f t="shared" si="417"/>
        <v>Nicor Gas PY11-PY14 Adjustable Goals Template_2025-03-01, Tab 4.4.49</v>
      </c>
      <c r="AP570" s="2505">
        <f>'4.4.49'!$Q$4</f>
        <v>288.1875</v>
      </c>
      <c r="AQ570" s="2568" t="s">
        <v>1002</v>
      </c>
      <c r="AR570" s="2505">
        <f t="shared" si="418"/>
        <v>480.97341</v>
      </c>
      <c r="AS570" s="2505">
        <f t="shared" si="419"/>
        <v>65.131815937499994</v>
      </c>
      <c r="AT570" s="1132" t="str">
        <f t="shared" si="420"/>
        <v>CI-HVC-BCHD-V01-210101</v>
      </c>
      <c r="AU570" s="1132" t="str">
        <f t="shared" si="421"/>
        <v>Nicor Gas PY11-PY14 Adjustable Goals Template_2025-03-01, Tab 4.4.49</v>
      </c>
      <c r="AV570" s="2505">
        <f>'4.4.49'!$Q$4</f>
        <v>288.1875</v>
      </c>
      <c r="AW570" s="2568" t="s">
        <v>1002</v>
      </c>
      <c r="AX570" s="1362">
        <f t="shared" si="422"/>
        <v>480.97341</v>
      </c>
      <c r="AY570" s="1360">
        <f t="shared" si="423"/>
        <v>65.131815937499994</v>
      </c>
      <c r="AZ570" s="1132" t="str">
        <f t="shared" si="424"/>
        <v>CI-HVC-BCHD-V01-210101</v>
      </c>
      <c r="BA570" s="1132" t="str">
        <f t="shared" si="425"/>
        <v>Nicor Gas PY11-PY14 Adjustable Goals Template_2025-03-01, Tab 4.4.49</v>
      </c>
      <c r="BB570" s="2505">
        <f>'4.4.49'!$Q$4</f>
        <v>288.1875</v>
      </c>
      <c r="BC570" s="2568" t="s">
        <v>1002</v>
      </c>
      <c r="BD570" s="1362">
        <f t="shared" si="426"/>
        <v>480.97341</v>
      </c>
      <c r="BE570" s="1360">
        <f t="shared" si="427"/>
        <v>65.131815937499994</v>
      </c>
      <c r="BF570" s="1132" t="str">
        <f t="shared" si="428"/>
        <v>CI-HVC-BCHD-V01-210101</v>
      </c>
      <c r="BG570" s="1132" t="str">
        <f t="shared" si="429"/>
        <v>Nicor Gas PY11-PY14 Adjustable Goals Template_2025-03-01, Tab 4.4.49</v>
      </c>
      <c r="BH570" s="2505">
        <f>'4.4.49'!$Q$4</f>
        <v>288.1875</v>
      </c>
      <c r="BI570" s="2568" t="s">
        <v>1002</v>
      </c>
      <c r="BJ570" s="1362">
        <f t="shared" si="451"/>
        <v>480.97341</v>
      </c>
      <c r="BK570" s="1360">
        <f t="shared" si="430"/>
        <v>65.131815937499994</v>
      </c>
      <c r="BL570" s="1601">
        <f t="shared" si="431"/>
        <v>480.97341</v>
      </c>
      <c r="BM570" s="1601">
        <f t="shared" si="432"/>
        <v>480.97341</v>
      </c>
      <c r="BN570" s="1601">
        <f t="shared" si="433"/>
        <v>480.97341</v>
      </c>
      <c r="BO570" s="1601">
        <f t="shared" si="434"/>
        <v>480.97341</v>
      </c>
      <c r="BP570" s="1602">
        <f t="shared" si="435"/>
        <v>1923.89364</v>
      </c>
      <c r="BQ570" s="1629"/>
      <c r="BR570" s="1629" t="s">
        <v>583</v>
      </c>
      <c r="BS570" s="1602">
        <v>0</v>
      </c>
      <c r="BT570" s="1602">
        <v>2</v>
      </c>
      <c r="BU570" s="1602">
        <v>2</v>
      </c>
      <c r="BV570" s="1602">
        <v>2</v>
      </c>
      <c r="BW570" s="1602">
        <v>2</v>
      </c>
      <c r="BX570" s="1362">
        <f t="shared" si="452"/>
        <v>831.68318812500002</v>
      </c>
      <c r="BY570" s="1362">
        <f t="shared" si="453"/>
        <v>831.68318812500002</v>
      </c>
      <c r="BZ570" s="1362">
        <f t="shared" si="454"/>
        <v>831.68318812500002</v>
      </c>
      <c r="CA570" s="1362">
        <f t="shared" si="455"/>
        <v>831.68318812500002</v>
      </c>
      <c r="CB570" s="1362">
        <f t="shared" si="456"/>
        <v>3326.7327525000001</v>
      </c>
      <c r="CC570" s="1360">
        <v>2</v>
      </c>
      <c r="CD570" s="1360">
        <v>2</v>
      </c>
      <c r="CE570" s="1360">
        <v>2</v>
      </c>
      <c r="CF570" s="1360">
        <v>2</v>
      </c>
      <c r="CG570" s="1604">
        <f t="shared" si="436"/>
        <v>961.94681999999989</v>
      </c>
      <c r="CH570" s="1604">
        <f t="shared" si="437"/>
        <v>961.94681999999989</v>
      </c>
      <c r="CI570" s="1604">
        <f t="shared" si="438"/>
        <v>961.94681999999989</v>
      </c>
      <c r="CJ570" s="1604">
        <f t="shared" si="439"/>
        <v>961.94681999999989</v>
      </c>
      <c r="CK570" s="1521">
        <f t="shared" si="440"/>
        <v>3847.7872799999996</v>
      </c>
      <c r="CL570" s="1132">
        <v>563</v>
      </c>
      <c r="CM570" s="1132" t="s">
        <v>328</v>
      </c>
      <c r="CN570" s="1359">
        <v>0</v>
      </c>
      <c r="CO570" s="1360">
        <v>1.7384999999999999</v>
      </c>
      <c r="CP570" s="1360">
        <v>1.7384999999999999</v>
      </c>
      <c r="CQ570" s="1360">
        <v>1.7384999999999999</v>
      </c>
      <c r="CR570" s="1360">
        <v>1.7384999999999999</v>
      </c>
      <c r="CS570" s="1362">
        <f t="shared" si="441"/>
        <v>480.97341</v>
      </c>
      <c r="CT570" s="1362">
        <f t="shared" si="442"/>
        <v>480.97341</v>
      </c>
      <c r="CU570" s="1362">
        <f t="shared" si="443"/>
        <v>480.97341</v>
      </c>
      <c r="CV570" s="1362">
        <f t="shared" si="444"/>
        <v>480.97341</v>
      </c>
      <c r="CW570" s="1362">
        <f t="shared" si="445"/>
        <v>1923.89364</v>
      </c>
      <c r="CY570" s="2887"/>
    </row>
    <row r="571" spans="1:103" s="1143" customFormat="1" ht="46.5" x14ac:dyDescent="0.35">
      <c r="A571" s="1132" t="s">
        <v>116</v>
      </c>
      <c r="B571" s="1132" t="s">
        <v>1000</v>
      </c>
      <c r="C571" s="1132" t="s">
        <v>585</v>
      </c>
      <c r="D571" s="1359" t="s">
        <v>586</v>
      </c>
      <c r="E571" s="1359">
        <v>1</v>
      </c>
      <c r="F571" s="2564" t="s">
        <v>355</v>
      </c>
      <c r="G571" s="1132" t="s">
        <v>356</v>
      </c>
      <c r="H571" s="1360">
        <v>8.6925000000000008</v>
      </c>
      <c r="I571" s="1360">
        <v>8.6925000000000008</v>
      </c>
      <c r="J571" s="1360">
        <v>8.6925000000000008</v>
      </c>
      <c r="K571" s="1360">
        <v>8.6925000000000008</v>
      </c>
      <c r="L571" s="1132" t="s">
        <v>357</v>
      </c>
      <c r="M571" s="1132" t="str">
        <f t="shared" si="407"/>
        <v>Nicor Gas PY11-PY14 Adjustable Goals Template_2025-03-01, Tab 4.4.16</v>
      </c>
      <c r="N571" s="1361">
        <v>102.13709764839483</v>
      </c>
      <c r="O571" s="1361">
        <v>102.13709764839483</v>
      </c>
      <c r="P571" s="1361">
        <v>102.13709764839483</v>
      </c>
      <c r="Q571" s="1361">
        <v>102.13709764839483</v>
      </c>
      <c r="R571" s="1781">
        <v>0.83</v>
      </c>
      <c r="S571" s="1781">
        <v>0.83</v>
      </c>
      <c r="T571" s="1781">
        <v>0.83</v>
      </c>
      <c r="U571" s="1781">
        <v>0.83</v>
      </c>
      <c r="V571" s="2567">
        <v>0.96</v>
      </c>
      <c r="W571" s="2567">
        <v>0.96</v>
      </c>
      <c r="X571" s="2567">
        <v>0.96</v>
      </c>
      <c r="Y571" s="2567">
        <v>0.96</v>
      </c>
      <c r="Z571" s="1359">
        <v>0</v>
      </c>
      <c r="AA571" s="2567">
        <f t="shared" si="408"/>
        <v>0.96</v>
      </c>
      <c r="AB571" s="2567">
        <f t="shared" si="409"/>
        <v>0.96</v>
      </c>
      <c r="AC571" s="2567">
        <f t="shared" si="410"/>
        <v>0.96</v>
      </c>
      <c r="AD571" s="2567">
        <f t="shared" si="411"/>
        <v>0.96</v>
      </c>
      <c r="AE571" s="2567">
        <f t="shared" si="412"/>
        <v>0.96</v>
      </c>
      <c r="AF571" s="2567">
        <f t="shared" si="413"/>
        <v>0.96</v>
      </c>
      <c r="AG571" s="2567">
        <f t="shared" si="414"/>
        <v>0.96</v>
      </c>
      <c r="AH571" s="2567">
        <f t="shared" si="415"/>
        <v>0.96</v>
      </c>
      <c r="AI571" s="1362">
        <f t="shared" si="446"/>
        <v>736.89617868619791</v>
      </c>
      <c r="AJ571" s="1362">
        <f t="shared" si="447"/>
        <v>736.89617868619791</v>
      </c>
      <c r="AK571" s="1362">
        <f t="shared" si="448"/>
        <v>736.89617868619791</v>
      </c>
      <c r="AL571" s="1362">
        <f t="shared" si="449"/>
        <v>736.89617868619791</v>
      </c>
      <c r="AM571" s="1362">
        <f t="shared" si="450"/>
        <v>2947.5847147447917</v>
      </c>
      <c r="AN571" s="1132" t="str">
        <f t="shared" si="416"/>
        <v>CI-HVC-STRE-V05-180101</v>
      </c>
      <c r="AO571" s="1132" t="str">
        <f t="shared" si="417"/>
        <v>Nicor Gas PY11-PY14 Adjustable Goals Template_2025-03-01, Tab 4.4.16</v>
      </c>
      <c r="AP571" s="2505">
        <f>'4.4.16'!$O$21</f>
        <v>102.13709764839483</v>
      </c>
      <c r="AQ571" s="2568" t="s">
        <v>1002</v>
      </c>
      <c r="AR571" s="2505">
        <f t="shared" si="418"/>
        <v>852.31365245632526</v>
      </c>
      <c r="AS571" s="2505">
        <f t="shared" si="419"/>
        <v>115.41747377012734</v>
      </c>
      <c r="AT571" s="1132" t="str">
        <f t="shared" si="420"/>
        <v>CI-HVC-STRE-V05-180101</v>
      </c>
      <c r="AU571" s="1132" t="str">
        <f t="shared" si="421"/>
        <v>Nicor Gas PY11-PY14 Adjustable Goals Template_2025-03-01, Tab 4.4.16</v>
      </c>
      <c r="AV571" s="2505">
        <f>'4.4.16'!$O$21</f>
        <v>102.13709764839483</v>
      </c>
      <c r="AW571" s="2568" t="s">
        <v>1002</v>
      </c>
      <c r="AX571" s="1362">
        <f t="shared" si="422"/>
        <v>852.31365245632526</v>
      </c>
      <c r="AY571" s="1360">
        <f t="shared" si="423"/>
        <v>115.41747377012734</v>
      </c>
      <c r="AZ571" s="1132" t="str">
        <f t="shared" si="424"/>
        <v>CI-HVC-STRE-V05-180101</v>
      </c>
      <c r="BA571" s="1132" t="str">
        <f t="shared" si="425"/>
        <v>Nicor Gas PY11-PY14 Adjustable Goals Template_2025-03-01, Tab 4.4.16</v>
      </c>
      <c r="BB571" s="2505">
        <f>'4.4.16'!$O$21</f>
        <v>102.13709764839483</v>
      </c>
      <c r="BC571" s="2568" t="s">
        <v>1002</v>
      </c>
      <c r="BD571" s="1362">
        <f t="shared" si="426"/>
        <v>852.31365245632526</v>
      </c>
      <c r="BE571" s="1360">
        <f t="shared" si="427"/>
        <v>115.41747377012734</v>
      </c>
      <c r="BF571" s="1132" t="str">
        <f t="shared" si="428"/>
        <v>CI-HVC-STRE-V05-180101</v>
      </c>
      <c r="BG571" s="1132" t="str">
        <f t="shared" si="429"/>
        <v>Nicor Gas PY11-PY14 Adjustable Goals Template_2025-03-01, Tab 4.4.16</v>
      </c>
      <c r="BH571" s="2505">
        <f>'4.4.16'!$O$21</f>
        <v>102.13709764839483</v>
      </c>
      <c r="BI571" s="2568" t="s">
        <v>1002</v>
      </c>
      <c r="BJ571" s="1362">
        <f t="shared" si="451"/>
        <v>852.31365245632526</v>
      </c>
      <c r="BK571" s="1360">
        <f t="shared" si="430"/>
        <v>115.41747377012734</v>
      </c>
      <c r="BL571" s="1601">
        <f t="shared" si="431"/>
        <v>852.31365245632526</v>
      </c>
      <c r="BM571" s="1601">
        <f t="shared" si="432"/>
        <v>852.31365245632526</v>
      </c>
      <c r="BN571" s="1601">
        <f t="shared" si="433"/>
        <v>852.31365245632526</v>
      </c>
      <c r="BO571" s="1601">
        <f t="shared" si="434"/>
        <v>852.31365245632526</v>
      </c>
      <c r="BP571" s="1602">
        <f t="shared" si="435"/>
        <v>3409.254609825301</v>
      </c>
      <c r="BQ571" s="1629"/>
      <c r="BR571" s="1629" t="s">
        <v>355</v>
      </c>
      <c r="BS571" s="1602">
        <v>0</v>
      </c>
      <c r="BT571" s="1602">
        <v>20</v>
      </c>
      <c r="BU571" s="1602">
        <v>20</v>
      </c>
      <c r="BV571" s="1602">
        <v>20</v>
      </c>
      <c r="BW571" s="1602">
        <v>20</v>
      </c>
      <c r="BX571" s="1362">
        <f t="shared" si="452"/>
        <v>14737.923573723958</v>
      </c>
      <c r="BY571" s="1362">
        <f t="shared" si="453"/>
        <v>14737.923573723958</v>
      </c>
      <c r="BZ571" s="1362">
        <f t="shared" si="454"/>
        <v>14737.923573723958</v>
      </c>
      <c r="CA571" s="1362">
        <f t="shared" si="455"/>
        <v>14737.923573723958</v>
      </c>
      <c r="CB571" s="1362">
        <f t="shared" si="456"/>
        <v>58951.694294895831</v>
      </c>
      <c r="CC571" s="1360">
        <v>20</v>
      </c>
      <c r="CD571" s="1360">
        <v>20</v>
      </c>
      <c r="CE571" s="1360">
        <v>20</v>
      </c>
      <c r="CF571" s="1360">
        <v>20</v>
      </c>
      <c r="CG571" s="1604">
        <f t="shared" si="436"/>
        <v>17046.273049126507</v>
      </c>
      <c r="CH571" s="1604">
        <f t="shared" si="437"/>
        <v>17046.273049126507</v>
      </c>
      <c r="CI571" s="1604">
        <f t="shared" si="438"/>
        <v>17046.273049126507</v>
      </c>
      <c r="CJ571" s="1604">
        <f t="shared" si="439"/>
        <v>17046.273049126507</v>
      </c>
      <c r="CK571" s="1521">
        <f t="shared" si="440"/>
        <v>68185.092196506026</v>
      </c>
      <c r="CL571" s="1132">
        <v>564</v>
      </c>
      <c r="CM571" s="1132" t="s">
        <v>356</v>
      </c>
      <c r="CN571" s="1359">
        <v>0</v>
      </c>
      <c r="CO571" s="1360">
        <v>8.6925000000000008</v>
      </c>
      <c r="CP571" s="1360">
        <v>8.6925000000000008</v>
      </c>
      <c r="CQ571" s="1360">
        <v>8.6925000000000008</v>
      </c>
      <c r="CR571" s="1360">
        <v>8.6925000000000008</v>
      </c>
      <c r="CS571" s="1362">
        <f t="shared" si="441"/>
        <v>852.31365245632526</v>
      </c>
      <c r="CT571" s="1362">
        <f t="shared" si="442"/>
        <v>852.31365245632526</v>
      </c>
      <c r="CU571" s="1362">
        <f t="shared" si="443"/>
        <v>852.31365245632526</v>
      </c>
      <c r="CV571" s="1362">
        <f t="shared" si="444"/>
        <v>852.31365245632526</v>
      </c>
      <c r="CW571" s="1362">
        <f t="shared" si="445"/>
        <v>3409.254609825301</v>
      </c>
      <c r="CY571" s="2887"/>
    </row>
    <row r="572" spans="1:103" s="1143" customFormat="1" ht="46.5" x14ac:dyDescent="0.35">
      <c r="A572" s="1132" t="s">
        <v>116</v>
      </c>
      <c r="B572" s="1132" t="s">
        <v>1000</v>
      </c>
      <c r="C572" s="1132" t="s">
        <v>599</v>
      </c>
      <c r="D572" s="1359" t="s">
        <v>600</v>
      </c>
      <c r="E572" s="1359">
        <v>1</v>
      </c>
      <c r="F572" s="2564" t="s">
        <v>355</v>
      </c>
      <c r="G572" s="1132" t="s">
        <v>356</v>
      </c>
      <c r="H572" s="1360">
        <v>34.770000000000003</v>
      </c>
      <c r="I572" s="1360">
        <v>34.770000000000003</v>
      </c>
      <c r="J572" s="1360">
        <v>34.770000000000003</v>
      </c>
      <c r="K572" s="1360">
        <v>34.770000000000003</v>
      </c>
      <c r="L572" s="1132" t="s">
        <v>357</v>
      </c>
      <c r="M572" s="1132" t="str">
        <f t="shared" si="407"/>
        <v>Nicor Gas PY11-PY14 Adjustable Goals Template_2025-03-01, Tab 4.4.16</v>
      </c>
      <c r="N572" s="1361">
        <v>648.01507774707386</v>
      </c>
      <c r="O572" s="1361">
        <v>648.01507774707386</v>
      </c>
      <c r="P572" s="1361">
        <v>648.01507774707386</v>
      </c>
      <c r="Q572" s="1361">
        <v>648.01507774707386</v>
      </c>
      <c r="R572" s="1781">
        <v>0.83</v>
      </c>
      <c r="S572" s="1781">
        <v>0.83</v>
      </c>
      <c r="T572" s="1781">
        <v>0.83</v>
      </c>
      <c r="U572" s="1781">
        <v>0.83</v>
      </c>
      <c r="V572" s="2567">
        <v>0.96</v>
      </c>
      <c r="W572" s="2567">
        <v>0.96</v>
      </c>
      <c r="X572" s="2567">
        <v>0.96</v>
      </c>
      <c r="Y572" s="2567">
        <v>0.96</v>
      </c>
      <c r="Z572" s="1359">
        <v>0</v>
      </c>
      <c r="AA572" s="2567">
        <f t="shared" si="408"/>
        <v>0.96</v>
      </c>
      <c r="AB572" s="2567">
        <f t="shared" si="409"/>
        <v>0.96</v>
      </c>
      <c r="AC572" s="2567">
        <f t="shared" si="410"/>
        <v>0.96</v>
      </c>
      <c r="AD572" s="2567">
        <f t="shared" si="411"/>
        <v>0.96</v>
      </c>
      <c r="AE572" s="2567">
        <f t="shared" si="412"/>
        <v>0.96</v>
      </c>
      <c r="AF572" s="2567">
        <f t="shared" si="413"/>
        <v>0.96</v>
      </c>
      <c r="AG572" s="2567">
        <f t="shared" si="414"/>
        <v>0.96</v>
      </c>
      <c r="AH572" s="2567">
        <f t="shared" si="415"/>
        <v>0.96</v>
      </c>
      <c r="AI572" s="1362">
        <f t="shared" si="446"/>
        <v>18701.13193021058</v>
      </c>
      <c r="AJ572" s="1362">
        <f t="shared" si="447"/>
        <v>18701.13193021058</v>
      </c>
      <c r="AK572" s="1362">
        <f t="shared" si="448"/>
        <v>18701.13193021058</v>
      </c>
      <c r="AL572" s="1362">
        <f t="shared" si="449"/>
        <v>18701.13193021058</v>
      </c>
      <c r="AM572" s="1362">
        <f t="shared" si="450"/>
        <v>74804.527720842321</v>
      </c>
      <c r="AN572" s="1132" t="str">
        <f t="shared" si="416"/>
        <v>CI-HVC-STRE-V05-180101</v>
      </c>
      <c r="AO572" s="1132" t="str">
        <f t="shared" si="417"/>
        <v>Nicor Gas PY11-PY14 Adjustable Goals Template_2025-03-01, Tab 4.4.16</v>
      </c>
      <c r="AP572" s="2505">
        <f>'4.4.16'!$O$23</f>
        <v>648.01507774707386</v>
      </c>
      <c r="AQ572" s="2568" t="s">
        <v>1002</v>
      </c>
      <c r="AR572" s="2505">
        <f t="shared" si="418"/>
        <v>21630.224883135128</v>
      </c>
      <c r="AS572" s="2505">
        <f t="shared" si="419"/>
        <v>2929.0929529245477</v>
      </c>
      <c r="AT572" s="1132" t="str">
        <f t="shared" si="420"/>
        <v>CI-HVC-STRE-V05-180101</v>
      </c>
      <c r="AU572" s="1132" t="str">
        <f t="shared" si="421"/>
        <v>Nicor Gas PY11-PY14 Adjustable Goals Template_2025-03-01, Tab 4.4.16</v>
      </c>
      <c r="AV572" s="2505">
        <f>'4.4.16'!$O$23</f>
        <v>648.01507774707386</v>
      </c>
      <c r="AW572" s="2568" t="s">
        <v>1002</v>
      </c>
      <c r="AX572" s="1362">
        <f t="shared" si="422"/>
        <v>21630.224883135128</v>
      </c>
      <c r="AY572" s="1360">
        <f t="shared" si="423"/>
        <v>2929.0929529245477</v>
      </c>
      <c r="AZ572" s="1132" t="str">
        <f t="shared" si="424"/>
        <v>CI-HVC-STRE-V05-180101</v>
      </c>
      <c r="BA572" s="1132" t="str">
        <f t="shared" si="425"/>
        <v>Nicor Gas PY11-PY14 Adjustable Goals Template_2025-03-01, Tab 4.4.16</v>
      </c>
      <c r="BB572" s="2505">
        <f>'4.4.16'!$O$23</f>
        <v>648.01507774707386</v>
      </c>
      <c r="BC572" s="2568" t="s">
        <v>1002</v>
      </c>
      <c r="BD572" s="1362">
        <f t="shared" si="426"/>
        <v>21630.224883135128</v>
      </c>
      <c r="BE572" s="1360">
        <f t="shared" si="427"/>
        <v>2929.0929529245477</v>
      </c>
      <c r="BF572" s="1132" t="str">
        <f t="shared" si="428"/>
        <v>CI-HVC-STRE-V05-180101</v>
      </c>
      <c r="BG572" s="1132" t="str">
        <f t="shared" si="429"/>
        <v>Nicor Gas PY11-PY14 Adjustable Goals Template_2025-03-01, Tab 4.4.16</v>
      </c>
      <c r="BH572" s="2505">
        <f>'4.4.16'!$O$23</f>
        <v>648.01507774707386</v>
      </c>
      <c r="BI572" s="2568" t="s">
        <v>1002</v>
      </c>
      <c r="BJ572" s="1362">
        <f t="shared" si="451"/>
        <v>21630.224883135128</v>
      </c>
      <c r="BK572" s="1360">
        <f t="shared" si="430"/>
        <v>2929.0929529245477</v>
      </c>
      <c r="BL572" s="1601">
        <f t="shared" si="431"/>
        <v>21630.224883135128</v>
      </c>
      <c r="BM572" s="1601">
        <f t="shared" si="432"/>
        <v>21630.224883135128</v>
      </c>
      <c r="BN572" s="1601">
        <f t="shared" si="433"/>
        <v>21630.224883135128</v>
      </c>
      <c r="BO572" s="1601">
        <f t="shared" si="434"/>
        <v>21630.224883135128</v>
      </c>
      <c r="BP572" s="1602">
        <f t="shared" si="435"/>
        <v>86520.899532540512</v>
      </c>
      <c r="BQ572" s="1629"/>
      <c r="BR572" s="1629" t="s">
        <v>355</v>
      </c>
      <c r="BS572" s="1602">
        <v>0</v>
      </c>
      <c r="BT572" s="1602">
        <v>20</v>
      </c>
      <c r="BU572" s="1602">
        <v>20</v>
      </c>
      <c r="BV572" s="1602">
        <v>20</v>
      </c>
      <c r="BW572" s="1602">
        <v>20</v>
      </c>
      <c r="BX572" s="1362">
        <f t="shared" si="452"/>
        <v>374022.63860421162</v>
      </c>
      <c r="BY572" s="1362">
        <f t="shared" si="453"/>
        <v>374022.63860421162</v>
      </c>
      <c r="BZ572" s="1362">
        <f t="shared" si="454"/>
        <v>374022.63860421162</v>
      </c>
      <c r="CA572" s="1362">
        <f t="shared" si="455"/>
        <v>374022.63860421162</v>
      </c>
      <c r="CB572" s="1362">
        <f t="shared" si="456"/>
        <v>1496090.5544168465</v>
      </c>
      <c r="CC572" s="1360">
        <v>20</v>
      </c>
      <c r="CD572" s="1360">
        <v>20</v>
      </c>
      <c r="CE572" s="1360">
        <v>20</v>
      </c>
      <c r="CF572" s="1360">
        <v>20</v>
      </c>
      <c r="CG572" s="1604">
        <f t="shared" si="436"/>
        <v>432604.49766270263</v>
      </c>
      <c r="CH572" s="1604">
        <f t="shared" si="437"/>
        <v>432604.49766270263</v>
      </c>
      <c r="CI572" s="1604">
        <f t="shared" si="438"/>
        <v>432604.49766270263</v>
      </c>
      <c r="CJ572" s="1604">
        <f t="shared" si="439"/>
        <v>432604.49766270263</v>
      </c>
      <c r="CK572" s="1521">
        <f t="shared" si="440"/>
        <v>1730417.9906508105</v>
      </c>
      <c r="CL572" s="1132">
        <v>565</v>
      </c>
      <c r="CM572" s="1132" t="s">
        <v>356</v>
      </c>
      <c r="CN572" s="1359">
        <v>0</v>
      </c>
      <c r="CO572" s="1360">
        <v>34.770000000000003</v>
      </c>
      <c r="CP572" s="1360">
        <v>34.770000000000003</v>
      </c>
      <c r="CQ572" s="1360">
        <v>34.770000000000003</v>
      </c>
      <c r="CR572" s="1360">
        <v>34.770000000000003</v>
      </c>
      <c r="CS572" s="1362">
        <f t="shared" si="441"/>
        <v>21630.224883135128</v>
      </c>
      <c r="CT572" s="1362">
        <f t="shared" si="442"/>
        <v>21630.224883135128</v>
      </c>
      <c r="CU572" s="1362">
        <f t="shared" si="443"/>
        <v>21630.224883135128</v>
      </c>
      <c r="CV572" s="1362">
        <f t="shared" si="444"/>
        <v>21630.224883135128</v>
      </c>
      <c r="CW572" s="1362">
        <f t="shared" si="445"/>
        <v>86520.899532540512</v>
      </c>
      <c r="CY572" s="2887"/>
    </row>
    <row r="573" spans="1:103" s="1143" customFormat="1" ht="45.75" customHeight="1" x14ac:dyDescent="0.35">
      <c r="A573" s="1132" t="s">
        <v>116</v>
      </c>
      <c r="B573" s="1132" t="s">
        <v>1000</v>
      </c>
      <c r="C573" s="1132" t="s">
        <v>547</v>
      </c>
      <c r="D573" s="1359" t="s">
        <v>105</v>
      </c>
      <c r="E573" s="1359">
        <f>IF(AI573-AR573=0,0,1)</f>
        <v>0</v>
      </c>
      <c r="F573" s="1132" t="s">
        <v>105</v>
      </c>
      <c r="G573" s="1132" t="s">
        <v>356</v>
      </c>
      <c r="H573" s="1360">
        <v>26.077500000000001</v>
      </c>
      <c r="I573" s="1360">
        <v>26.077500000000001</v>
      </c>
      <c r="J573" s="1360">
        <v>26.077500000000001</v>
      </c>
      <c r="K573" s="1360">
        <v>26.077500000000001</v>
      </c>
      <c r="L573" s="1132" t="s">
        <v>105</v>
      </c>
      <c r="M573" s="1132" t="str">
        <f t="shared" si="407"/>
        <v/>
      </c>
      <c r="N573" s="1361">
        <v>0</v>
      </c>
      <c r="O573" s="1361">
        <v>0</v>
      </c>
      <c r="P573" s="1361">
        <v>0</v>
      </c>
      <c r="Q573" s="1361">
        <v>0</v>
      </c>
      <c r="R573" s="1781">
        <v>0.83</v>
      </c>
      <c r="S573" s="1781">
        <v>0.83</v>
      </c>
      <c r="T573" s="1781">
        <v>0.83</v>
      </c>
      <c r="U573" s="1781">
        <v>0.83</v>
      </c>
      <c r="V573" s="2567">
        <v>0.96</v>
      </c>
      <c r="W573" s="2567">
        <v>0.96</v>
      </c>
      <c r="X573" s="2567">
        <v>0.96</v>
      </c>
      <c r="Y573" s="2567">
        <v>0.96</v>
      </c>
      <c r="Z573" s="1359">
        <v>0</v>
      </c>
      <c r="AA573" s="2567">
        <f t="shared" si="408"/>
        <v>0.96</v>
      </c>
      <c r="AB573" s="2567">
        <f t="shared" si="409"/>
        <v>0.96</v>
      </c>
      <c r="AC573" s="2567">
        <f t="shared" si="410"/>
        <v>0.96</v>
      </c>
      <c r="AD573" s="2567">
        <f t="shared" si="411"/>
        <v>0.96</v>
      </c>
      <c r="AE573" s="2567">
        <f t="shared" si="412"/>
        <v>0.96</v>
      </c>
      <c r="AF573" s="2567">
        <f t="shared" si="413"/>
        <v>0.96</v>
      </c>
      <c r="AG573" s="2567">
        <f t="shared" si="414"/>
        <v>0.96</v>
      </c>
      <c r="AH573" s="2567">
        <f t="shared" si="415"/>
        <v>0.96</v>
      </c>
      <c r="AI573" s="1362">
        <f t="shared" si="446"/>
        <v>0</v>
      </c>
      <c r="AJ573" s="1362">
        <f t="shared" si="447"/>
        <v>0</v>
      </c>
      <c r="AK573" s="1362">
        <f t="shared" si="448"/>
        <v>0</v>
      </c>
      <c r="AL573" s="1362">
        <f t="shared" si="449"/>
        <v>0</v>
      </c>
      <c r="AM573" s="1362">
        <f t="shared" si="450"/>
        <v>0</v>
      </c>
      <c r="AN573" s="1132" t="str">
        <f t="shared" si="416"/>
        <v>Custom</v>
      </c>
      <c r="AO573" s="1132" t="str">
        <f t="shared" si="417"/>
        <v/>
      </c>
      <c r="AP573" s="2505">
        <v>0</v>
      </c>
      <c r="AQ573" s="2568" t="s">
        <v>1002</v>
      </c>
      <c r="AR573" s="2505">
        <f t="shared" si="418"/>
        <v>0</v>
      </c>
      <c r="AS573" s="2505">
        <f t="shared" si="419"/>
        <v>0</v>
      </c>
      <c r="AT573" s="1132" t="str">
        <f t="shared" si="420"/>
        <v>Custom</v>
      </c>
      <c r="AU573" s="1132" t="str">
        <f t="shared" si="421"/>
        <v/>
      </c>
      <c r="AV573" s="2505">
        <v>0</v>
      </c>
      <c r="AW573" s="2568" t="s">
        <v>1002</v>
      </c>
      <c r="AX573" s="1362">
        <f t="shared" si="422"/>
        <v>0</v>
      </c>
      <c r="AY573" s="1360">
        <f t="shared" si="423"/>
        <v>0</v>
      </c>
      <c r="AZ573" s="1132" t="str">
        <f t="shared" si="424"/>
        <v>Custom</v>
      </c>
      <c r="BA573" s="1132" t="str">
        <f t="shared" si="425"/>
        <v/>
      </c>
      <c r="BB573" s="2505">
        <v>0</v>
      </c>
      <c r="BC573" s="2568" t="s">
        <v>1002</v>
      </c>
      <c r="BD573" s="1362">
        <f t="shared" si="426"/>
        <v>0</v>
      </c>
      <c r="BE573" s="1360">
        <f t="shared" si="427"/>
        <v>0</v>
      </c>
      <c r="BF573" s="1132" t="str">
        <f t="shared" si="428"/>
        <v>Custom</v>
      </c>
      <c r="BG573" s="1132" t="str">
        <f t="shared" si="429"/>
        <v/>
      </c>
      <c r="BH573" s="2505">
        <v>0</v>
      </c>
      <c r="BI573" s="2568" t="s">
        <v>1002</v>
      </c>
      <c r="BJ573" s="1362">
        <f t="shared" si="451"/>
        <v>0</v>
      </c>
      <c r="BK573" s="1360">
        <f t="shared" si="430"/>
        <v>0</v>
      </c>
      <c r="BL573" s="1601">
        <f t="shared" si="431"/>
        <v>0</v>
      </c>
      <c r="BM573" s="1601">
        <f t="shared" si="432"/>
        <v>0</v>
      </c>
      <c r="BN573" s="1601">
        <f t="shared" si="433"/>
        <v>0</v>
      </c>
      <c r="BO573" s="1601">
        <f t="shared" si="434"/>
        <v>0</v>
      </c>
      <c r="BP573" s="1602">
        <f t="shared" si="435"/>
        <v>0</v>
      </c>
      <c r="BQ573" s="1629"/>
      <c r="BR573" s="1629"/>
      <c r="BS573" s="1602">
        <v>0</v>
      </c>
      <c r="BT573" s="1602">
        <v>0</v>
      </c>
      <c r="BU573" s="1602">
        <v>0</v>
      </c>
      <c r="BV573" s="1602">
        <v>0</v>
      </c>
      <c r="BW573" s="1602">
        <v>0</v>
      </c>
      <c r="BX573" s="1362">
        <f t="shared" si="452"/>
        <v>0</v>
      </c>
      <c r="BY573" s="1362">
        <f t="shared" si="453"/>
        <v>0</v>
      </c>
      <c r="BZ573" s="1362">
        <f t="shared" si="454"/>
        <v>0</v>
      </c>
      <c r="CA573" s="1362">
        <f t="shared" si="455"/>
        <v>0</v>
      </c>
      <c r="CB573" s="1362">
        <f t="shared" si="456"/>
        <v>0</v>
      </c>
      <c r="CC573" s="1360">
        <v>0</v>
      </c>
      <c r="CD573" s="1360">
        <v>0</v>
      </c>
      <c r="CE573" s="1360">
        <v>0</v>
      </c>
      <c r="CF573" s="1360">
        <v>0</v>
      </c>
      <c r="CG573" s="1604">
        <f t="shared" si="436"/>
        <v>0</v>
      </c>
      <c r="CH573" s="1604">
        <f t="shared" si="437"/>
        <v>0</v>
      </c>
      <c r="CI573" s="1604">
        <f t="shared" si="438"/>
        <v>0</v>
      </c>
      <c r="CJ573" s="1604">
        <f t="shared" si="439"/>
        <v>0</v>
      </c>
      <c r="CK573" s="1521">
        <f t="shared" si="440"/>
        <v>0</v>
      </c>
      <c r="CL573" s="1132">
        <v>566</v>
      </c>
      <c r="CM573" s="1132" t="s">
        <v>356</v>
      </c>
      <c r="CN573" s="1359">
        <v>0</v>
      </c>
      <c r="CO573" s="1360">
        <v>26.077500000000001</v>
      </c>
      <c r="CP573" s="1360">
        <v>26.077500000000001</v>
      </c>
      <c r="CQ573" s="1360">
        <v>26.077500000000001</v>
      </c>
      <c r="CR573" s="1360">
        <v>26.077500000000001</v>
      </c>
      <c r="CS573" s="1362">
        <f t="shared" si="441"/>
        <v>0</v>
      </c>
      <c r="CT573" s="1362">
        <f t="shared" si="442"/>
        <v>0</v>
      </c>
      <c r="CU573" s="1362">
        <f t="shared" si="443"/>
        <v>0</v>
      </c>
      <c r="CV573" s="1362">
        <f t="shared" si="444"/>
        <v>0</v>
      </c>
      <c r="CW573" s="1362">
        <f t="shared" si="445"/>
        <v>0</v>
      </c>
      <c r="CY573" s="2887"/>
    </row>
    <row r="574" spans="1:103" s="1143" customFormat="1" ht="31" x14ac:dyDescent="0.35">
      <c r="A574" s="1132" t="s">
        <v>116</v>
      </c>
      <c r="B574" s="1132" t="s">
        <v>1000</v>
      </c>
      <c r="C574" s="1132" t="s">
        <v>1006</v>
      </c>
      <c r="D574" s="1359" t="s">
        <v>105</v>
      </c>
      <c r="E574" s="1359">
        <f>IF(AI574-AR574=0,0,1)</f>
        <v>0</v>
      </c>
      <c r="F574" s="1132" t="s">
        <v>105</v>
      </c>
      <c r="G574" s="1132" t="s">
        <v>356</v>
      </c>
      <c r="H574" s="1360">
        <v>266.85975000000002</v>
      </c>
      <c r="I574" s="1360">
        <v>266.85975000000002</v>
      </c>
      <c r="J574" s="1360">
        <v>266.85975000000002</v>
      </c>
      <c r="K574" s="1360">
        <v>266.85975000000002</v>
      </c>
      <c r="L574" s="1132" t="s">
        <v>105</v>
      </c>
      <c r="M574" s="1132" t="str">
        <f t="shared" si="407"/>
        <v/>
      </c>
      <c r="N574" s="1361">
        <v>0</v>
      </c>
      <c r="O574" s="1361">
        <v>0</v>
      </c>
      <c r="P574" s="1361">
        <v>0</v>
      </c>
      <c r="Q574" s="1361">
        <v>0</v>
      </c>
      <c r="R574" s="1781">
        <v>0.92</v>
      </c>
      <c r="S574" s="1781">
        <v>0.92</v>
      </c>
      <c r="T574" s="1781">
        <v>0.92</v>
      </c>
      <c r="U574" s="1781">
        <v>0.92</v>
      </c>
      <c r="V574" s="2567">
        <v>0.96</v>
      </c>
      <c r="W574" s="2567">
        <v>0.96</v>
      </c>
      <c r="X574" s="2567">
        <v>0.96</v>
      </c>
      <c r="Y574" s="2567">
        <v>0.96</v>
      </c>
      <c r="Z574" s="1359">
        <v>0</v>
      </c>
      <c r="AA574" s="2567">
        <f t="shared" si="408"/>
        <v>0.96</v>
      </c>
      <c r="AB574" s="2567">
        <f t="shared" si="409"/>
        <v>0.96</v>
      </c>
      <c r="AC574" s="2567">
        <f t="shared" si="410"/>
        <v>0.96</v>
      </c>
      <c r="AD574" s="2567">
        <f t="shared" si="411"/>
        <v>0.96</v>
      </c>
      <c r="AE574" s="2567">
        <f t="shared" si="412"/>
        <v>0.96</v>
      </c>
      <c r="AF574" s="2567">
        <f t="shared" si="413"/>
        <v>0.96</v>
      </c>
      <c r="AG574" s="2567">
        <f t="shared" si="414"/>
        <v>0.96</v>
      </c>
      <c r="AH574" s="2567">
        <f t="shared" si="415"/>
        <v>0.96</v>
      </c>
      <c r="AI574" s="1362">
        <f t="shared" si="446"/>
        <v>0</v>
      </c>
      <c r="AJ574" s="1362">
        <f t="shared" si="447"/>
        <v>0</v>
      </c>
      <c r="AK574" s="1362">
        <f t="shared" si="448"/>
        <v>0</v>
      </c>
      <c r="AL574" s="1362">
        <f t="shared" si="449"/>
        <v>0</v>
      </c>
      <c r="AM574" s="1362">
        <f t="shared" si="450"/>
        <v>0</v>
      </c>
      <c r="AN574" s="1132" t="str">
        <f t="shared" si="416"/>
        <v>Custom</v>
      </c>
      <c r="AO574" s="1132" t="str">
        <f t="shared" si="417"/>
        <v/>
      </c>
      <c r="AP574" s="2505">
        <v>0</v>
      </c>
      <c r="AQ574" s="2568" t="s">
        <v>1007</v>
      </c>
      <c r="AR574" s="2505">
        <f t="shared" si="418"/>
        <v>0</v>
      </c>
      <c r="AS574" s="2505">
        <f t="shared" si="419"/>
        <v>0</v>
      </c>
      <c r="AT574" s="1132" t="str">
        <f t="shared" si="420"/>
        <v>Custom</v>
      </c>
      <c r="AU574" s="1132" t="str">
        <f t="shared" si="421"/>
        <v/>
      </c>
      <c r="AV574" s="2505">
        <v>0</v>
      </c>
      <c r="AW574" s="2568" t="s">
        <v>1007</v>
      </c>
      <c r="AX574" s="1362">
        <f t="shared" si="422"/>
        <v>0</v>
      </c>
      <c r="AY574" s="1360">
        <f t="shared" si="423"/>
        <v>0</v>
      </c>
      <c r="AZ574" s="1132" t="str">
        <f t="shared" si="424"/>
        <v>Custom</v>
      </c>
      <c r="BA574" s="1132" t="str">
        <f t="shared" si="425"/>
        <v/>
      </c>
      <c r="BB574" s="2505">
        <v>0</v>
      </c>
      <c r="BC574" s="2568" t="s">
        <v>1007</v>
      </c>
      <c r="BD574" s="1362">
        <f t="shared" si="426"/>
        <v>0</v>
      </c>
      <c r="BE574" s="1360">
        <f t="shared" si="427"/>
        <v>0</v>
      </c>
      <c r="BF574" s="1132" t="str">
        <f t="shared" si="428"/>
        <v>Custom</v>
      </c>
      <c r="BG574" s="1132" t="str">
        <f t="shared" si="429"/>
        <v/>
      </c>
      <c r="BH574" s="2505">
        <v>0</v>
      </c>
      <c r="BI574" s="2568" t="s">
        <v>1007</v>
      </c>
      <c r="BJ574" s="1362">
        <f t="shared" si="451"/>
        <v>0</v>
      </c>
      <c r="BK574" s="1360">
        <f t="shared" si="430"/>
        <v>0</v>
      </c>
      <c r="BL574" s="1601">
        <f t="shared" si="431"/>
        <v>0</v>
      </c>
      <c r="BM574" s="1601">
        <f t="shared" si="432"/>
        <v>0</v>
      </c>
      <c r="BN574" s="1601">
        <f t="shared" si="433"/>
        <v>0</v>
      </c>
      <c r="BO574" s="1601">
        <f t="shared" si="434"/>
        <v>0</v>
      </c>
      <c r="BP574" s="1602">
        <f t="shared" si="435"/>
        <v>0</v>
      </c>
      <c r="BQ574" s="1629"/>
      <c r="BR574" s="1629"/>
      <c r="BS574" s="1602">
        <v>0</v>
      </c>
      <c r="BT574" s="1602">
        <v>1</v>
      </c>
      <c r="BU574" s="1602">
        <v>1</v>
      </c>
      <c r="BV574" s="1602">
        <v>1</v>
      </c>
      <c r="BW574" s="1602">
        <v>1</v>
      </c>
      <c r="BX574" s="1362">
        <f t="shared" si="452"/>
        <v>0</v>
      </c>
      <c r="BY574" s="1362">
        <f t="shared" si="453"/>
        <v>0</v>
      </c>
      <c r="BZ574" s="1362">
        <f t="shared" si="454"/>
        <v>0</v>
      </c>
      <c r="CA574" s="1362">
        <f t="shared" si="455"/>
        <v>0</v>
      </c>
      <c r="CB574" s="1362">
        <f t="shared" si="456"/>
        <v>0</v>
      </c>
      <c r="CC574" s="1360">
        <v>1</v>
      </c>
      <c r="CD574" s="1360">
        <v>1</v>
      </c>
      <c r="CE574" s="1360">
        <v>1</v>
      </c>
      <c r="CF574" s="1360">
        <v>1</v>
      </c>
      <c r="CG574" s="1604">
        <f t="shared" si="436"/>
        <v>0</v>
      </c>
      <c r="CH574" s="1604">
        <f t="shared" si="437"/>
        <v>0</v>
      </c>
      <c r="CI574" s="1604">
        <f t="shared" si="438"/>
        <v>0</v>
      </c>
      <c r="CJ574" s="1604">
        <f t="shared" si="439"/>
        <v>0</v>
      </c>
      <c r="CK574" s="1521">
        <f t="shared" si="440"/>
        <v>0</v>
      </c>
      <c r="CL574" s="1132">
        <v>567</v>
      </c>
      <c r="CM574" s="1132" t="s">
        <v>356</v>
      </c>
      <c r="CN574" s="1359">
        <v>0</v>
      </c>
      <c r="CO574" s="1360">
        <v>266.85975000000002</v>
      </c>
      <c r="CP574" s="1360">
        <v>266.85975000000002</v>
      </c>
      <c r="CQ574" s="1360">
        <v>266.85975000000002</v>
      </c>
      <c r="CR574" s="1360">
        <v>266.85975000000002</v>
      </c>
      <c r="CS574" s="1362">
        <f t="shared" si="441"/>
        <v>0</v>
      </c>
      <c r="CT574" s="1362">
        <f t="shared" si="442"/>
        <v>0</v>
      </c>
      <c r="CU574" s="1362">
        <f t="shared" si="443"/>
        <v>0</v>
      </c>
      <c r="CV574" s="1362">
        <f t="shared" si="444"/>
        <v>0</v>
      </c>
      <c r="CW574" s="1362">
        <f t="shared" si="445"/>
        <v>0</v>
      </c>
      <c r="CY574" s="2887"/>
    </row>
    <row r="575" spans="1:103" s="1143" customFormat="1" ht="62" x14ac:dyDescent="0.35">
      <c r="A575" s="1132" t="s">
        <v>116</v>
      </c>
      <c r="B575" s="1132" t="s">
        <v>1000</v>
      </c>
      <c r="C575" s="1132" t="s">
        <v>549</v>
      </c>
      <c r="D575" s="1359" t="s">
        <v>550</v>
      </c>
      <c r="E575" s="1359">
        <v>1</v>
      </c>
      <c r="F575" s="2807" t="s">
        <v>545</v>
      </c>
      <c r="G575" s="1132" t="s">
        <v>356</v>
      </c>
      <c r="H575" s="1360">
        <v>12.169499999999999</v>
      </c>
      <c r="I575" s="1360">
        <v>12.169499999999999</v>
      </c>
      <c r="J575" s="1360">
        <v>12.169499999999999</v>
      </c>
      <c r="K575" s="1360">
        <v>12.169499999999999</v>
      </c>
      <c r="L575" s="1132" t="s">
        <v>546</v>
      </c>
      <c r="M575" s="1132" t="str">
        <f t="shared" si="407"/>
        <v>Nicor Gas PY11-PY14 Adjustable Goals Template_2025-03-01, Tab 4.2.11</v>
      </c>
      <c r="N575" s="1361">
        <v>158.27666400000004</v>
      </c>
      <c r="O575" s="1361">
        <v>158.27666400000004</v>
      </c>
      <c r="P575" s="1361">
        <v>158.27666400000004</v>
      </c>
      <c r="Q575" s="1361">
        <v>158.27666400000004</v>
      </c>
      <c r="R575" s="1781">
        <v>0.92</v>
      </c>
      <c r="S575" s="1781">
        <v>0.92</v>
      </c>
      <c r="T575" s="1781">
        <v>0.92</v>
      </c>
      <c r="U575" s="1781">
        <v>0.92</v>
      </c>
      <c r="V575" s="2567">
        <v>0.96</v>
      </c>
      <c r="W575" s="2567">
        <v>0.96</v>
      </c>
      <c r="X575" s="2567">
        <v>0.96</v>
      </c>
      <c r="Y575" s="2567">
        <v>0.96</v>
      </c>
      <c r="Z575" s="1359">
        <v>0</v>
      </c>
      <c r="AA575" s="2567">
        <f t="shared" si="408"/>
        <v>0.96</v>
      </c>
      <c r="AB575" s="2567">
        <f t="shared" si="409"/>
        <v>0.96</v>
      </c>
      <c r="AC575" s="2567">
        <f t="shared" si="410"/>
        <v>0.96</v>
      </c>
      <c r="AD575" s="2567">
        <f t="shared" si="411"/>
        <v>0.96</v>
      </c>
      <c r="AE575" s="2567">
        <f t="shared" si="412"/>
        <v>0.96</v>
      </c>
      <c r="AF575" s="2567">
        <f t="shared" si="413"/>
        <v>0.96</v>
      </c>
      <c r="AG575" s="2567">
        <f t="shared" si="414"/>
        <v>0.96</v>
      </c>
      <c r="AH575" s="2567">
        <f t="shared" si="415"/>
        <v>0.96</v>
      </c>
      <c r="AI575" s="1362">
        <f t="shared" si="446"/>
        <v>1772.0560335441605</v>
      </c>
      <c r="AJ575" s="1362">
        <f t="shared" si="447"/>
        <v>1772.0560335441605</v>
      </c>
      <c r="AK575" s="1362">
        <f t="shared" si="448"/>
        <v>1772.0560335441605</v>
      </c>
      <c r="AL575" s="1362">
        <f t="shared" si="449"/>
        <v>1772.0560335441605</v>
      </c>
      <c r="AM575" s="1362">
        <f t="shared" si="450"/>
        <v>7088.2241341766421</v>
      </c>
      <c r="AN575" s="1132" t="str">
        <f t="shared" si="416"/>
        <v>CI-FSE-SPRY-V05-190101</v>
      </c>
      <c r="AO575" s="1132" t="str">
        <f t="shared" si="417"/>
        <v>Nicor Gas PY11-PY14 Adjustable Goals Template_2025-03-01, Tab 4.2.11</v>
      </c>
      <c r="AP575" s="2568">
        <f>'4.2.11'!$N$4</f>
        <v>158.27666400000004</v>
      </c>
      <c r="AQ575" s="2568" t="s">
        <v>1004</v>
      </c>
      <c r="AR575" s="2505">
        <f t="shared" si="418"/>
        <v>1849.1019480460802</v>
      </c>
      <c r="AS575" s="2505">
        <f t="shared" si="419"/>
        <v>77.045914501919697</v>
      </c>
      <c r="AT575" s="1132" t="str">
        <f t="shared" si="420"/>
        <v>CI-FSE-SPRY-V05-190101</v>
      </c>
      <c r="AU575" s="1132" t="str">
        <f t="shared" si="421"/>
        <v>Nicor Gas PY11-PY14 Adjustable Goals Template_2025-03-01, Tab 4.2.11</v>
      </c>
      <c r="AV575" s="2505">
        <f>'4.2.11'!$N$4</f>
        <v>158.27666400000004</v>
      </c>
      <c r="AW575" s="2568" t="s">
        <v>1004</v>
      </c>
      <c r="AX575" s="1362">
        <f t="shared" si="422"/>
        <v>1849.1019480460802</v>
      </c>
      <c r="AY575" s="1360">
        <f t="shared" si="423"/>
        <v>77.045914501919697</v>
      </c>
      <c r="AZ575" s="1132" t="str">
        <f t="shared" si="424"/>
        <v>CI-FSE-SPRY-V05-190101</v>
      </c>
      <c r="BA575" s="1132" t="str">
        <f t="shared" si="425"/>
        <v>Nicor Gas PY11-PY14 Adjustable Goals Template_2025-03-01, Tab 4.2.11</v>
      </c>
      <c r="BB575" s="2505">
        <f>'4.2.11'!$N$4</f>
        <v>158.27666400000004</v>
      </c>
      <c r="BC575" s="2568" t="s">
        <v>1004</v>
      </c>
      <c r="BD575" s="1362">
        <f t="shared" si="426"/>
        <v>1849.1019480460802</v>
      </c>
      <c r="BE575" s="1360">
        <f t="shared" si="427"/>
        <v>77.045914501919697</v>
      </c>
      <c r="BF575" s="1132" t="str">
        <f t="shared" si="428"/>
        <v>CI-FSE-SPRY-V05-190101</v>
      </c>
      <c r="BG575" s="1132" t="str">
        <f t="shared" si="429"/>
        <v>Nicor Gas PY11-PY14 Adjustable Goals Template_2025-03-01, Tab 4.2.11</v>
      </c>
      <c r="BH575" s="2505">
        <f>'4.2.11'!$N$4</f>
        <v>158.27666400000004</v>
      </c>
      <c r="BI575" s="2568" t="s">
        <v>1004</v>
      </c>
      <c r="BJ575" s="1362">
        <f t="shared" si="451"/>
        <v>1849.1019480460802</v>
      </c>
      <c r="BK575" s="1360">
        <f t="shared" si="430"/>
        <v>77.045914501919697</v>
      </c>
      <c r="BL575" s="1601">
        <f t="shared" si="431"/>
        <v>1849.1019480460802</v>
      </c>
      <c r="BM575" s="1601">
        <f t="shared" si="432"/>
        <v>1849.1019480460802</v>
      </c>
      <c r="BN575" s="1601">
        <f t="shared" si="433"/>
        <v>1849.1019480460802</v>
      </c>
      <c r="BO575" s="1601">
        <f t="shared" si="434"/>
        <v>1849.1019480460802</v>
      </c>
      <c r="BP575" s="1602">
        <f t="shared" si="435"/>
        <v>7396.4077921843209</v>
      </c>
      <c r="BQ575" s="1629"/>
      <c r="BR575" s="1629" t="s">
        <v>545</v>
      </c>
      <c r="BS575" s="1602">
        <v>0</v>
      </c>
      <c r="BT575" s="1602">
        <v>5</v>
      </c>
      <c r="BU575" s="1602">
        <v>5</v>
      </c>
      <c r="BV575" s="1602">
        <v>5</v>
      </c>
      <c r="BW575" s="1602">
        <v>5</v>
      </c>
      <c r="BX575" s="1362">
        <f t="shared" si="452"/>
        <v>8860.2801677208026</v>
      </c>
      <c r="BY575" s="1362">
        <f t="shared" si="453"/>
        <v>8860.2801677208026</v>
      </c>
      <c r="BZ575" s="1362">
        <f t="shared" si="454"/>
        <v>8860.2801677208026</v>
      </c>
      <c r="CA575" s="1362">
        <f t="shared" si="455"/>
        <v>8860.2801677208026</v>
      </c>
      <c r="CB575" s="1362">
        <f t="shared" si="456"/>
        <v>35441.120670883211</v>
      </c>
      <c r="CC575" s="1360">
        <v>5</v>
      </c>
      <c r="CD575" s="1360">
        <v>5</v>
      </c>
      <c r="CE575" s="1360">
        <v>5</v>
      </c>
      <c r="CF575" s="1360">
        <v>5</v>
      </c>
      <c r="CG575" s="1604">
        <f t="shared" si="436"/>
        <v>9245.5097402304018</v>
      </c>
      <c r="CH575" s="1604">
        <f t="shared" si="437"/>
        <v>9245.5097402304018</v>
      </c>
      <c r="CI575" s="1604">
        <f t="shared" si="438"/>
        <v>9245.5097402304018</v>
      </c>
      <c r="CJ575" s="1604">
        <f t="shared" si="439"/>
        <v>9245.5097402304018</v>
      </c>
      <c r="CK575" s="1521">
        <f t="shared" si="440"/>
        <v>36982.038960921607</v>
      </c>
      <c r="CL575" s="1132">
        <v>568</v>
      </c>
      <c r="CM575" s="1132" t="s">
        <v>356</v>
      </c>
      <c r="CN575" s="1359">
        <v>0</v>
      </c>
      <c r="CO575" s="1360">
        <v>12.169499999999999</v>
      </c>
      <c r="CP575" s="1360">
        <v>12.169499999999999</v>
      </c>
      <c r="CQ575" s="1360">
        <v>12.169499999999999</v>
      </c>
      <c r="CR575" s="1360">
        <v>12.169499999999999</v>
      </c>
      <c r="CS575" s="1362">
        <f t="shared" si="441"/>
        <v>1849.1019480460802</v>
      </c>
      <c r="CT575" s="1362">
        <f t="shared" si="442"/>
        <v>1849.1019480460802</v>
      </c>
      <c r="CU575" s="1362">
        <f t="shared" si="443"/>
        <v>1849.1019480460802</v>
      </c>
      <c r="CV575" s="1362">
        <f t="shared" si="444"/>
        <v>1849.1019480460802</v>
      </c>
      <c r="CW575" s="1362">
        <f t="shared" si="445"/>
        <v>7396.4077921843209</v>
      </c>
      <c r="CY575" s="2887"/>
    </row>
    <row r="576" spans="1:103" s="1143" customFormat="1" ht="62" x14ac:dyDescent="0.35">
      <c r="A576" s="1132" t="s">
        <v>116</v>
      </c>
      <c r="B576" s="1132" t="s">
        <v>1000</v>
      </c>
      <c r="C576" s="1132" t="s">
        <v>551</v>
      </c>
      <c r="D576" s="1359" t="s">
        <v>552</v>
      </c>
      <c r="E576" s="1359">
        <v>1</v>
      </c>
      <c r="F576" s="2807" t="s">
        <v>545</v>
      </c>
      <c r="G576" s="1132" t="s">
        <v>356</v>
      </c>
      <c r="H576" s="1360">
        <v>2.6077499999999998</v>
      </c>
      <c r="I576" s="1360">
        <v>2.6077499999999998</v>
      </c>
      <c r="J576" s="1360">
        <v>2.6077499999999998</v>
      </c>
      <c r="K576" s="1360">
        <v>2.6077499999999998</v>
      </c>
      <c r="L576" s="1132" t="s">
        <v>546</v>
      </c>
      <c r="M576" s="1132" t="str">
        <f t="shared" si="407"/>
        <v>Nicor Gas PY11-PY14 Adjustable Goals Template_2025-03-01, Tab 4.2.11</v>
      </c>
      <c r="N576" s="1361">
        <v>237.414996</v>
      </c>
      <c r="O576" s="1361">
        <v>237.414996</v>
      </c>
      <c r="P576" s="1361">
        <v>237.414996</v>
      </c>
      <c r="Q576" s="1361">
        <v>237.414996</v>
      </c>
      <c r="R576" s="1781">
        <v>0.92</v>
      </c>
      <c r="S576" s="1781">
        <v>0.92</v>
      </c>
      <c r="T576" s="1781">
        <v>0.92</v>
      </c>
      <c r="U576" s="1781">
        <v>0.92</v>
      </c>
      <c r="V576" s="2567">
        <v>0.96</v>
      </c>
      <c r="W576" s="2567">
        <v>0.96</v>
      </c>
      <c r="X576" s="2567">
        <v>0.96</v>
      </c>
      <c r="Y576" s="2567">
        <v>0.96</v>
      </c>
      <c r="Z576" s="1359">
        <v>0</v>
      </c>
      <c r="AA576" s="2567">
        <f t="shared" si="408"/>
        <v>0.96</v>
      </c>
      <c r="AB576" s="2567">
        <f t="shared" si="409"/>
        <v>0.96</v>
      </c>
      <c r="AC576" s="2567">
        <f t="shared" si="410"/>
        <v>0.96</v>
      </c>
      <c r="AD576" s="2567">
        <f t="shared" si="411"/>
        <v>0.96</v>
      </c>
      <c r="AE576" s="2567">
        <f t="shared" si="412"/>
        <v>0.96</v>
      </c>
      <c r="AF576" s="2567">
        <f t="shared" si="413"/>
        <v>0.96</v>
      </c>
      <c r="AG576" s="2567">
        <f t="shared" si="414"/>
        <v>0.96</v>
      </c>
      <c r="AH576" s="2567">
        <f t="shared" si="415"/>
        <v>0.96</v>
      </c>
      <c r="AI576" s="1362">
        <f t="shared" si="446"/>
        <v>569.58943935347997</v>
      </c>
      <c r="AJ576" s="1362">
        <f t="shared" si="447"/>
        <v>569.58943935347997</v>
      </c>
      <c r="AK576" s="1362">
        <f t="shared" si="448"/>
        <v>569.58943935347997</v>
      </c>
      <c r="AL576" s="1362">
        <f t="shared" si="449"/>
        <v>569.58943935347997</v>
      </c>
      <c r="AM576" s="1362">
        <f t="shared" si="450"/>
        <v>2278.3577574139199</v>
      </c>
      <c r="AN576" s="1132" t="str">
        <f t="shared" si="416"/>
        <v>CI-FSE-SPRY-V05-190101</v>
      </c>
      <c r="AO576" s="1132" t="str">
        <f t="shared" si="417"/>
        <v>Nicor Gas PY11-PY14 Adjustable Goals Template_2025-03-01, Tab 4.2.11</v>
      </c>
      <c r="AP576" s="2568">
        <f>'4.2.11'!$N$3</f>
        <v>237.414996</v>
      </c>
      <c r="AQ576" s="2568" t="s">
        <v>1004</v>
      </c>
      <c r="AR576" s="2505">
        <f t="shared" si="418"/>
        <v>594.35419758623993</v>
      </c>
      <c r="AS576" s="2505">
        <f t="shared" si="419"/>
        <v>24.764758232759959</v>
      </c>
      <c r="AT576" s="1132" t="str">
        <f t="shared" si="420"/>
        <v>CI-FSE-SPRY-V05-190101</v>
      </c>
      <c r="AU576" s="1132" t="str">
        <f t="shared" si="421"/>
        <v>Nicor Gas PY11-PY14 Adjustable Goals Template_2025-03-01, Tab 4.2.11</v>
      </c>
      <c r="AV576" s="2505">
        <f>'4.2.11'!$N$3</f>
        <v>237.414996</v>
      </c>
      <c r="AW576" s="2568" t="s">
        <v>1004</v>
      </c>
      <c r="AX576" s="1362">
        <f t="shared" si="422"/>
        <v>594.35419758623993</v>
      </c>
      <c r="AY576" s="1360">
        <f t="shared" si="423"/>
        <v>24.764758232759959</v>
      </c>
      <c r="AZ576" s="1132" t="str">
        <f t="shared" si="424"/>
        <v>CI-FSE-SPRY-V05-190101</v>
      </c>
      <c r="BA576" s="1132" t="str">
        <f t="shared" si="425"/>
        <v>Nicor Gas PY11-PY14 Adjustable Goals Template_2025-03-01, Tab 4.2.11</v>
      </c>
      <c r="BB576" s="2505">
        <f>'4.2.11'!$N$3</f>
        <v>237.414996</v>
      </c>
      <c r="BC576" s="2568" t="s">
        <v>1004</v>
      </c>
      <c r="BD576" s="1362">
        <f t="shared" si="426"/>
        <v>594.35419758623993</v>
      </c>
      <c r="BE576" s="1360">
        <f t="shared" si="427"/>
        <v>24.764758232759959</v>
      </c>
      <c r="BF576" s="1132" t="str">
        <f t="shared" si="428"/>
        <v>CI-FSE-SPRY-V05-190101</v>
      </c>
      <c r="BG576" s="1132" t="str">
        <f t="shared" si="429"/>
        <v>Nicor Gas PY11-PY14 Adjustable Goals Template_2025-03-01, Tab 4.2.11</v>
      </c>
      <c r="BH576" s="2505">
        <f>'4.2.11'!$N$3</f>
        <v>237.414996</v>
      </c>
      <c r="BI576" s="2568" t="s">
        <v>1004</v>
      </c>
      <c r="BJ576" s="1362">
        <f t="shared" si="451"/>
        <v>594.35419758623993</v>
      </c>
      <c r="BK576" s="1360">
        <f t="shared" si="430"/>
        <v>24.764758232759959</v>
      </c>
      <c r="BL576" s="1601">
        <f t="shared" si="431"/>
        <v>594.35419758623993</v>
      </c>
      <c r="BM576" s="1601">
        <f t="shared" si="432"/>
        <v>594.35419758623993</v>
      </c>
      <c r="BN576" s="1601">
        <f t="shared" si="433"/>
        <v>594.35419758623993</v>
      </c>
      <c r="BO576" s="1601">
        <f t="shared" si="434"/>
        <v>594.35419758623993</v>
      </c>
      <c r="BP576" s="1602">
        <f t="shared" si="435"/>
        <v>2377.4167903449597</v>
      </c>
      <c r="BQ576" s="1629"/>
      <c r="BR576" s="1629" t="s">
        <v>545</v>
      </c>
      <c r="BS576" s="1602">
        <v>0</v>
      </c>
      <c r="BT576" s="1602">
        <v>5</v>
      </c>
      <c r="BU576" s="1602">
        <v>5</v>
      </c>
      <c r="BV576" s="1602">
        <v>5</v>
      </c>
      <c r="BW576" s="1602">
        <v>5</v>
      </c>
      <c r="BX576" s="1362">
        <f t="shared" si="452"/>
        <v>2847.9471967673999</v>
      </c>
      <c r="BY576" s="1362">
        <f t="shared" si="453"/>
        <v>2847.9471967673999</v>
      </c>
      <c r="BZ576" s="1362">
        <f t="shared" si="454"/>
        <v>2847.9471967673999</v>
      </c>
      <c r="CA576" s="1362">
        <f t="shared" si="455"/>
        <v>2847.9471967673999</v>
      </c>
      <c r="CB576" s="1362">
        <f t="shared" si="456"/>
        <v>11391.788787069599</v>
      </c>
      <c r="CC576" s="1360">
        <v>5</v>
      </c>
      <c r="CD576" s="1360">
        <v>5</v>
      </c>
      <c r="CE576" s="1360">
        <v>5</v>
      </c>
      <c r="CF576" s="1360">
        <v>5</v>
      </c>
      <c r="CG576" s="1604">
        <f t="shared" si="436"/>
        <v>2971.7709879311997</v>
      </c>
      <c r="CH576" s="1604">
        <f t="shared" si="437"/>
        <v>2971.7709879311997</v>
      </c>
      <c r="CI576" s="1604">
        <f t="shared" si="438"/>
        <v>2971.7709879311997</v>
      </c>
      <c r="CJ576" s="1604">
        <f t="shared" si="439"/>
        <v>2971.7709879311997</v>
      </c>
      <c r="CK576" s="1521">
        <f t="shared" si="440"/>
        <v>11887.083951724799</v>
      </c>
      <c r="CL576" s="1132">
        <v>569</v>
      </c>
      <c r="CM576" s="1132" t="s">
        <v>356</v>
      </c>
      <c r="CN576" s="1359">
        <v>0</v>
      </c>
      <c r="CO576" s="1360">
        <v>2.6077499999999998</v>
      </c>
      <c r="CP576" s="1360">
        <v>2.6077499999999998</v>
      </c>
      <c r="CQ576" s="1360">
        <v>2.6077499999999998</v>
      </c>
      <c r="CR576" s="1360">
        <v>2.6077499999999998</v>
      </c>
      <c r="CS576" s="1362">
        <f t="shared" si="441"/>
        <v>594.35419758623993</v>
      </c>
      <c r="CT576" s="1362">
        <f t="shared" si="442"/>
        <v>594.35419758623993</v>
      </c>
      <c r="CU576" s="1362">
        <f t="shared" si="443"/>
        <v>594.35419758623993</v>
      </c>
      <c r="CV576" s="1362">
        <f t="shared" si="444"/>
        <v>594.35419758623993</v>
      </c>
      <c r="CW576" s="1362">
        <f t="shared" si="445"/>
        <v>2377.4167903449597</v>
      </c>
      <c r="CY576" s="2887"/>
    </row>
    <row r="577" spans="1:103" s="1143" customFormat="1" ht="62" x14ac:dyDescent="0.35">
      <c r="A577" s="1132" t="s">
        <v>116</v>
      </c>
      <c r="B577" s="1132" t="s">
        <v>1000</v>
      </c>
      <c r="C577" s="1132" t="s">
        <v>543</v>
      </c>
      <c r="D577" s="1359" t="s">
        <v>544</v>
      </c>
      <c r="E577" s="1359">
        <v>1</v>
      </c>
      <c r="F577" s="2807" t="s">
        <v>545</v>
      </c>
      <c r="G577" s="1132" t="s">
        <v>356</v>
      </c>
      <c r="H577" s="1360">
        <v>6.0847499999999997</v>
      </c>
      <c r="I577" s="1360">
        <v>6.0847499999999997</v>
      </c>
      <c r="J577" s="1360">
        <v>6.0847499999999997</v>
      </c>
      <c r="K577" s="1360">
        <v>6.0847499999999997</v>
      </c>
      <c r="L577" s="1132" t="s">
        <v>546</v>
      </c>
      <c r="M577" s="1132" t="str">
        <f t="shared" si="407"/>
        <v>Nicor Gas PY11-PY14 Adjustable Goals Template_2025-03-01, Tab 4.2.11</v>
      </c>
      <c r="N577" s="1361">
        <v>241.37191260000003</v>
      </c>
      <c r="O577" s="1361">
        <v>241.37191260000003</v>
      </c>
      <c r="P577" s="1361">
        <v>241.37191260000003</v>
      </c>
      <c r="Q577" s="1361">
        <v>241.37191260000003</v>
      </c>
      <c r="R577" s="1781">
        <v>0.92</v>
      </c>
      <c r="S577" s="1781">
        <v>0.92</v>
      </c>
      <c r="T577" s="1781">
        <v>0.92</v>
      </c>
      <c r="U577" s="1781">
        <v>0.92</v>
      </c>
      <c r="V577" s="2567">
        <v>0.96</v>
      </c>
      <c r="W577" s="2567">
        <v>0.96</v>
      </c>
      <c r="X577" s="2567">
        <v>0.96</v>
      </c>
      <c r="Y577" s="2567">
        <v>0.96</v>
      </c>
      <c r="Z577" s="1359">
        <v>0</v>
      </c>
      <c r="AA577" s="2567">
        <f t="shared" si="408"/>
        <v>0.96</v>
      </c>
      <c r="AB577" s="2567">
        <f t="shared" si="409"/>
        <v>0.96</v>
      </c>
      <c r="AC577" s="2567">
        <f t="shared" si="410"/>
        <v>0.96</v>
      </c>
      <c r="AD577" s="2567">
        <f t="shared" si="411"/>
        <v>0.96</v>
      </c>
      <c r="AE577" s="2567">
        <f t="shared" si="412"/>
        <v>0.96</v>
      </c>
      <c r="AF577" s="2567">
        <f t="shared" si="413"/>
        <v>0.96</v>
      </c>
      <c r="AG577" s="2567">
        <f t="shared" si="414"/>
        <v>0.96</v>
      </c>
      <c r="AH577" s="2567">
        <f t="shared" si="415"/>
        <v>0.96</v>
      </c>
      <c r="AI577" s="1362">
        <f t="shared" si="446"/>
        <v>1351.1927255774222</v>
      </c>
      <c r="AJ577" s="1362">
        <f t="shared" si="447"/>
        <v>1351.1927255774222</v>
      </c>
      <c r="AK577" s="1362">
        <f t="shared" si="448"/>
        <v>1351.1927255774222</v>
      </c>
      <c r="AL577" s="1362">
        <f t="shared" si="449"/>
        <v>1351.1927255774222</v>
      </c>
      <c r="AM577" s="1362">
        <f t="shared" si="450"/>
        <v>5404.7709023096886</v>
      </c>
      <c r="AN577" s="1132" t="str">
        <f t="shared" si="416"/>
        <v>CI-FSE-SPRY-V05-190101</v>
      </c>
      <c r="AO577" s="1132" t="str">
        <f t="shared" si="417"/>
        <v>Nicor Gas PY11-PY14 Adjustable Goals Template_2025-03-01, Tab 4.2.11</v>
      </c>
      <c r="AP577" s="2568">
        <f>'4.2.11'!$N$9</f>
        <v>241.37191260000003</v>
      </c>
      <c r="AQ577" s="2568" t="s">
        <v>1004</v>
      </c>
      <c r="AR577" s="2505">
        <f t="shared" si="418"/>
        <v>1409.940235385136</v>
      </c>
      <c r="AS577" s="2505">
        <f t="shared" si="419"/>
        <v>58.747509807713868</v>
      </c>
      <c r="AT577" s="1132" t="str">
        <f t="shared" si="420"/>
        <v>CI-FSE-SPRY-V05-190101</v>
      </c>
      <c r="AU577" s="1132" t="str">
        <f t="shared" si="421"/>
        <v>Nicor Gas PY11-PY14 Adjustable Goals Template_2025-03-01, Tab 4.2.11</v>
      </c>
      <c r="AV577" s="2505">
        <f>'4.2.11'!$N$9</f>
        <v>241.37191260000003</v>
      </c>
      <c r="AW577" s="2568" t="s">
        <v>1004</v>
      </c>
      <c r="AX577" s="1362">
        <f t="shared" si="422"/>
        <v>1409.940235385136</v>
      </c>
      <c r="AY577" s="1360">
        <f t="shared" si="423"/>
        <v>58.747509807713868</v>
      </c>
      <c r="AZ577" s="1132" t="str">
        <f t="shared" si="424"/>
        <v>CI-FSE-SPRY-V05-190101</v>
      </c>
      <c r="BA577" s="1132" t="str">
        <f t="shared" si="425"/>
        <v>Nicor Gas PY11-PY14 Adjustable Goals Template_2025-03-01, Tab 4.2.11</v>
      </c>
      <c r="BB577" s="2505">
        <f>'4.2.11'!$N$9</f>
        <v>241.37191260000003</v>
      </c>
      <c r="BC577" s="2568" t="s">
        <v>1004</v>
      </c>
      <c r="BD577" s="1362">
        <f t="shared" si="426"/>
        <v>1409.940235385136</v>
      </c>
      <c r="BE577" s="1360">
        <f t="shared" si="427"/>
        <v>58.747509807713868</v>
      </c>
      <c r="BF577" s="1132" t="str">
        <f t="shared" si="428"/>
        <v>CI-FSE-SPRY-V05-190101</v>
      </c>
      <c r="BG577" s="1132" t="str">
        <f t="shared" si="429"/>
        <v>Nicor Gas PY11-PY14 Adjustable Goals Template_2025-03-01, Tab 4.2.11</v>
      </c>
      <c r="BH577" s="2505">
        <f>'4.2.11'!$N$9</f>
        <v>241.37191260000003</v>
      </c>
      <c r="BI577" s="2568" t="s">
        <v>1004</v>
      </c>
      <c r="BJ577" s="1362">
        <f t="shared" si="451"/>
        <v>1409.940235385136</v>
      </c>
      <c r="BK577" s="1360">
        <f t="shared" si="430"/>
        <v>58.747509807713868</v>
      </c>
      <c r="BL577" s="1601">
        <f t="shared" si="431"/>
        <v>1409.940235385136</v>
      </c>
      <c r="BM577" s="1601">
        <f t="shared" si="432"/>
        <v>1409.940235385136</v>
      </c>
      <c r="BN577" s="1601">
        <f t="shared" si="433"/>
        <v>1409.940235385136</v>
      </c>
      <c r="BO577" s="1601">
        <f t="shared" si="434"/>
        <v>1409.940235385136</v>
      </c>
      <c r="BP577" s="1602">
        <f t="shared" si="435"/>
        <v>5639.7609415405441</v>
      </c>
      <c r="BQ577" s="1629"/>
      <c r="BR577" s="1629" t="s">
        <v>545</v>
      </c>
      <c r="BS577" s="1602">
        <v>0</v>
      </c>
      <c r="BT577" s="1602">
        <v>5</v>
      </c>
      <c r="BU577" s="1602">
        <v>5</v>
      </c>
      <c r="BV577" s="1602">
        <v>5</v>
      </c>
      <c r="BW577" s="1602">
        <v>5</v>
      </c>
      <c r="BX577" s="1362">
        <f t="shared" si="452"/>
        <v>6755.9636278871112</v>
      </c>
      <c r="BY577" s="1362">
        <f t="shared" si="453"/>
        <v>6755.9636278871112</v>
      </c>
      <c r="BZ577" s="1362">
        <f t="shared" si="454"/>
        <v>6755.9636278871112</v>
      </c>
      <c r="CA577" s="1362">
        <f t="shared" si="455"/>
        <v>6755.9636278871112</v>
      </c>
      <c r="CB577" s="1362">
        <f t="shared" si="456"/>
        <v>27023.854511548445</v>
      </c>
      <c r="CC577" s="1360">
        <v>5</v>
      </c>
      <c r="CD577" s="1360">
        <v>5</v>
      </c>
      <c r="CE577" s="1360">
        <v>5</v>
      </c>
      <c r="CF577" s="1360">
        <v>5</v>
      </c>
      <c r="CG577" s="1604">
        <f t="shared" si="436"/>
        <v>7049.7011769256815</v>
      </c>
      <c r="CH577" s="1604">
        <f t="shared" si="437"/>
        <v>7049.7011769256815</v>
      </c>
      <c r="CI577" s="1604">
        <f t="shared" si="438"/>
        <v>7049.7011769256815</v>
      </c>
      <c r="CJ577" s="1604">
        <f t="shared" si="439"/>
        <v>7049.7011769256815</v>
      </c>
      <c r="CK577" s="1521">
        <f t="shared" si="440"/>
        <v>28198.804707702726</v>
      </c>
      <c r="CL577" s="1132">
        <v>570</v>
      </c>
      <c r="CM577" s="1132" t="s">
        <v>356</v>
      </c>
      <c r="CN577" s="1359">
        <v>0</v>
      </c>
      <c r="CO577" s="1360">
        <v>6.0847499999999997</v>
      </c>
      <c r="CP577" s="1360">
        <v>6.0847499999999997</v>
      </c>
      <c r="CQ577" s="1360">
        <v>6.0847499999999997</v>
      </c>
      <c r="CR577" s="1360">
        <v>6.0847499999999997</v>
      </c>
      <c r="CS577" s="1362">
        <f t="shared" si="441"/>
        <v>1409.940235385136</v>
      </c>
      <c r="CT577" s="1362">
        <f t="shared" si="442"/>
        <v>1409.940235385136</v>
      </c>
      <c r="CU577" s="1362">
        <f t="shared" si="443"/>
        <v>1409.940235385136</v>
      </c>
      <c r="CV577" s="1362">
        <f t="shared" si="444"/>
        <v>1409.940235385136</v>
      </c>
      <c r="CW577" s="1362">
        <f t="shared" si="445"/>
        <v>5639.7609415405441</v>
      </c>
      <c r="CY577" s="2887"/>
    </row>
    <row r="578" spans="1:103" s="1143" customFormat="1" ht="62" x14ac:dyDescent="0.35">
      <c r="A578" s="1132" t="s">
        <v>116</v>
      </c>
      <c r="B578" s="1132" t="s">
        <v>1000</v>
      </c>
      <c r="C578" s="1132" t="s">
        <v>553</v>
      </c>
      <c r="D578" s="1359" t="s">
        <v>554</v>
      </c>
      <c r="E578" s="1359">
        <v>1</v>
      </c>
      <c r="F578" s="2807" t="s">
        <v>555</v>
      </c>
      <c r="G578" s="1132" t="s">
        <v>328</v>
      </c>
      <c r="H578" s="1360">
        <v>73.016999999999996</v>
      </c>
      <c r="I578" s="1360">
        <v>73.016999999999996</v>
      </c>
      <c r="J578" s="1360">
        <v>73.016999999999996</v>
      </c>
      <c r="K578" s="1360">
        <v>73.016999999999996</v>
      </c>
      <c r="L578" s="1132" t="s">
        <v>556</v>
      </c>
      <c r="M578" s="1132" t="str">
        <f t="shared" si="407"/>
        <v>Nicor Gas PY11-PY14 Adjustable Goals Template_2025-03-01, Tab 4.3.2</v>
      </c>
      <c r="N578" s="1361">
        <v>6.5015389208633092</v>
      </c>
      <c r="O578" s="1361">
        <v>6.5015389208633092</v>
      </c>
      <c r="P578" s="1361">
        <v>6.5015389208633092</v>
      </c>
      <c r="Q578" s="1361">
        <v>6.5015389208633092</v>
      </c>
      <c r="R578" s="1781">
        <v>0.92</v>
      </c>
      <c r="S578" s="1781">
        <v>0.92</v>
      </c>
      <c r="T578" s="1781">
        <v>0.92</v>
      </c>
      <c r="U578" s="1781">
        <v>0.92</v>
      </c>
      <c r="V578" s="2567">
        <v>0.96</v>
      </c>
      <c r="W578" s="2567">
        <v>0.96</v>
      </c>
      <c r="X578" s="2567">
        <v>0.96</v>
      </c>
      <c r="Y578" s="2567">
        <v>0.96</v>
      </c>
      <c r="Z578" s="1359">
        <v>0</v>
      </c>
      <c r="AA578" s="2567">
        <f t="shared" si="408"/>
        <v>0.96</v>
      </c>
      <c r="AB578" s="2567">
        <f t="shared" si="409"/>
        <v>0.96</v>
      </c>
      <c r="AC578" s="2567">
        <f t="shared" si="410"/>
        <v>0.96</v>
      </c>
      <c r="AD578" s="2567">
        <f t="shared" si="411"/>
        <v>0.96</v>
      </c>
      <c r="AE578" s="2567">
        <f t="shared" si="412"/>
        <v>0.96</v>
      </c>
      <c r="AF578" s="2567">
        <f t="shared" si="413"/>
        <v>0.96</v>
      </c>
      <c r="AG578" s="2567">
        <f t="shared" si="414"/>
        <v>0.96</v>
      </c>
      <c r="AH578" s="2567">
        <f t="shared" si="415"/>
        <v>0.96</v>
      </c>
      <c r="AI578" s="1362">
        <f t="shared" si="446"/>
        <v>436.74503799390214</v>
      </c>
      <c r="AJ578" s="1362">
        <f t="shared" si="447"/>
        <v>436.74503799390214</v>
      </c>
      <c r="AK578" s="1362">
        <f t="shared" si="448"/>
        <v>436.74503799390214</v>
      </c>
      <c r="AL578" s="1362">
        <f t="shared" si="449"/>
        <v>436.74503799390214</v>
      </c>
      <c r="AM578" s="1362">
        <f t="shared" si="450"/>
        <v>1746.9801519756086</v>
      </c>
      <c r="AN578" s="1132" t="str">
        <f t="shared" si="416"/>
        <v>CI-HW_-LFFA-V08-190101</v>
      </c>
      <c r="AO578" s="1132" t="str">
        <f t="shared" si="417"/>
        <v>Nicor Gas PY11-PY14 Adjustable Goals Template_2025-03-01, Tab 4.3.2</v>
      </c>
      <c r="AP578" s="2568">
        <f>'4.3.2'!$N$5</f>
        <v>7.1194537769784167</v>
      </c>
      <c r="AQ578" s="2568" t="s">
        <v>1008</v>
      </c>
      <c r="AR578" s="2505">
        <f t="shared" si="418"/>
        <v>499.04751017628769</v>
      </c>
      <c r="AS578" s="2505">
        <f t="shared" si="419"/>
        <v>62.302472182385543</v>
      </c>
      <c r="AT578" s="1132" t="str">
        <f t="shared" si="420"/>
        <v>CI-HW_-LFFA-V08-190101</v>
      </c>
      <c r="AU578" s="1132" t="str">
        <f t="shared" si="421"/>
        <v>Nicor Gas PY11-PY14 Adjustable Goals Template_2025-03-01, Tab 4.3.2</v>
      </c>
      <c r="AV578" s="2505">
        <f>'4.3.2'!$N$5</f>
        <v>7.1194537769784167</v>
      </c>
      <c r="AW578" s="2568" t="s">
        <v>1008</v>
      </c>
      <c r="AX578" s="1362">
        <f t="shared" si="422"/>
        <v>499.04751017628769</v>
      </c>
      <c r="AY578" s="1360">
        <f t="shared" si="423"/>
        <v>62.302472182385543</v>
      </c>
      <c r="AZ578" s="1132" t="str">
        <f t="shared" si="424"/>
        <v>CI-HW_-LFFA-V08-190101</v>
      </c>
      <c r="BA578" s="1132" t="str">
        <f t="shared" si="425"/>
        <v>Nicor Gas PY11-PY14 Adjustable Goals Template_2025-03-01, Tab 4.3.2</v>
      </c>
      <c r="BB578" s="2505">
        <f>'4.3.2'!$N$5</f>
        <v>7.1194537769784167</v>
      </c>
      <c r="BC578" s="2568" t="s">
        <v>1008</v>
      </c>
      <c r="BD578" s="1362">
        <f t="shared" si="426"/>
        <v>499.04751017628769</v>
      </c>
      <c r="BE578" s="1360">
        <f t="shared" si="427"/>
        <v>62.302472182385543</v>
      </c>
      <c r="BF578" s="1132" t="str">
        <f t="shared" si="428"/>
        <v>CI-HW_-LFFA-V08-190101</v>
      </c>
      <c r="BG578" s="1132" t="str">
        <f t="shared" si="429"/>
        <v>Nicor Gas PY11-PY14 Adjustable Goals Template_2025-03-01, Tab 4.3.2</v>
      </c>
      <c r="BH578" s="2505">
        <f>'4.3.2'!$N$5</f>
        <v>7.1194537769784167</v>
      </c>
      <c r="BI578" s="2568" t="s">
        <v>1008</v>
      </c>
      <c r="BJ578" s="1362">
        <f t="shared" si="451"/>
        <v>499.04751017628769</v>
      </c>
      <c r="BK578" s="1360">
        <f t="shared" si="430"/>
        <v>62.302472182385543</v>
      </c>
      <c r="BL578" s="1601">
        <f t="shared" si="431"/>
        <v>499.04751017628769</v>
      </c>
      <c r="BM578" s="1601">
        <f t="shared" si="432"/>
        <v>499.04751017628769</v>
      </c>
      <c r="BN578" s="1601">
        <f t="shared" si="433"/>
        <v>499.04751017628769</v>
      </c>
      <c r="BO578" s="1601">
        <f t="shared" si="434"/>
        <v>499.04751017628769</v>
      </c>
      <c r="BP578" s="1602">
        <f t="shared" si="435"/>
        <v>1996.1900407051508</v>
      </c>
      <c r="BQ578" s="1629"/>
      <c r="BR578" s="1629" t="s">
        <v>555</v>
      </c>
      <c r="BS578" s="1602">
        <v>0</v>
      </c>
      <c r="BT578" s="1602">
        <v>10</v>
      </c>
      <c r="BU578" s="1602">
        <v>10</v>
      </c>
      <c r="BV578" s="1602">
        <v>10</v>
      </c>
      <c r="BW578" s="1602">
        <v>10</v>
      </c>
      <c r="BX578" s="1362">
        <f t="shared" si="452"/>
        <v>4367.4503799390213</v>
      </c>
      <c r="BY578" s="1362">
        <f t="shared" si="453"/>
        <v>4367.4503799390213</v>
      </c>
      <c r="BZ578" s="1362">
        <f t="shared" si="454"/>
        <v>4367.4503799390213</v>
      </c>
      <c r="CA578" s="1362">
        <f t="shared" si="455"/>
        <v>4367.4503799390213</v>
      </c>
      <c r="CB578" s="1362">
        <f t="shared" si="456"/>
        <v>17469.801519756085</v>
      </c>
      <c r="CC578" s="1360">
        <v>10</v>
      </c>
      <c r="CD578" s="1360">
        <v>10</v>
      </c>
      <c r="CE578" s="1360">
        <v>10</v>
      </c>
      <c r="CF578" s="1360">
        <v>10</v>
      </c>
      <c r="CG578" s="1604">
        <f t="shared" si="436"/>
        <v>4990.4751017628769</v>
      </c>
      <c r="CH578" s="1604">
        <f t="shared" si="437"/>
        <v>4990.4751017628769</v>
      </c>
      <c r="CI578" s="1604">
        <f t="shared" si="438"/>
        <v>4990.4751017628769</v>
      </c>
      <c r="CJ578" s="1604">
        <f t="shared" si="439"/>
        <v>4990.4751017628769</v>
      </c>
      <c r="CK578" s="1521">
        <f t="shared" si="440"/>
        <v>19961.900407051508</v>
      </c>
      <c r="CL578" s="1132">
        <v>571</v>
      </c>
      <c r="CM578" s="1132" t="s">
        <v>328</v>
      </c>
      <c r="CN578" s="1359">
        <v>0</v>
      </c>
      <c r="CO578" s="1360">
        <v>73.016999999999996</v>
      </c>
      <c r="CP578" s="1360">
        <v>73.016999999999996</v>
      </c>
      <c r="CQ578" s="1360">
        <v>73.016999999999996</v>
      </c>
      <c r="CR578" s="1360">
        <v>73.016999999999996</v>
      </c>
      <c r="CS578" s="1362">
        <f t="shared" si="441"/>
        <v>499.04751017628769</v>
      </c>
      <c r="CT578" s="1362">
        <f t="shared" si="442"/>
        <v>499.04751017628769</v>
      </c>
      <c r="CU578" s="1362">
        <f t="shared" si="443"/>
        <v>499.04751017628769</v>
      </c>
      <c r="CV578" s="1362">
        <f t="shared" si="444"/>
        <v>499.04751017628769</v>
      </c>
      <c r="CW578" s="1362">
        <f t="shared" si="445"/>
        <v>1996.1900407051508</v>
      </c>
      <c r="CY578" s="2887"/>
    </row>
    <row r="579" spans="1:103" s="1143" customFormat="1" ht="62" x14ac:dyDescent="0.35">
      <c r="A579" s="1132" t="s">
        <v>116</v>
      </c>
      <c r="B579" s="1132" t="s">
        <v>1000</v>
      </c>
      <c r="C579" s="1132" t="s">
        <v>558</v>
      </c>
      <c r="D579" s="1359" t="s">
        <v>559</v>
      </c>
      <c r="E579" s="1359">
        <v>1</v>
      </c>
      <c r="F579" s="2807" t="s">
        <v>555</v>
      </c>
      <c r="G579" s="1132" t="s">
        <v>328</v>
      </c>
      <c r="H579" s="1360">
        <v>334.66125</v>
      </c>
      <c r="I579" s="1360">
        <v>334.66125</v>
      </c>
      <c r="J579" s="1360">
        <v>334.66125</v>
      </c>
      <c r="K579" s="1360">
        <v>334.66125</v>
      </c>
      <c r="L579" s="1132" t="s">
        <v>556</v>
      </c>
      <c r="M579" s="1132" t="str">
        <f t="shared" si="407"/>
        <v>Nicor Gas PY11-PY14 Adjustable Goals Template_2025-03-01, Tab 4.3.2</v>
      </c>
      <c r="N579" s="1361">
        <v>5.3328738669064739</v>
      </c>
      <c r="O579" s="1361">
        <v>5.3328738669064739</v>
      </c>
      <c r="P579" s="1361">
        <v>5.3328738669064739</v>
      </c>
      <c r="Q579" s="1361">
        <v>5.3328738669064739</v>
      </c>
      <c r="R579" s="1781">
        <v>0.92</v>
      </c>
      <c r="S579" s="1781">
        <v>0.92</v>
      </c>
      <c r="T579" s="1781">
        <v>0.92</v>
      </c>
      <c r="U579" s="1781">
        <v>0.92</v>
      </c>
      <c r="V579" s="2567">
        <v>0.96</v>
      </c>
      <c r="W579" s="2567">
        <v>0.96</v>
      </c>
      <c r="X579" s="2567">
        <v>0.96</v>
      </c>
      <c r="Y579" s="2567">
        <v>0.96</v>
      </c>
      <c r="Z579" s="1359">
        <v>0</v>
      </c>
      <c r="AA579" s="2567">
        <f t="shared" si="408"/>
        <v>0.96</v>
      </c>
      <c r="AB579" s="2567">
        <f t="shared" si="409"/>
        <v>0.96</v>
      </c>
      <c r="AC579" s="2567">
        <f t="shared" si="410"/>
        <v>0.96</v>
      </c>
      <c r="AD579" s="2567">
        <f t="shared" si="411"/>
        <v>0.96</v>
      </c>
      <c r="AE579" s="2567">
        <f t="shared" si="412"/>
        <v>0.96</v>
      </c>
      <c r="AF579" s="2567">
        <f t="shared" si="413"/>
        <v>0.96</v>
      </c>
      <c r="AG579" s="2567">
        <f t="shared" si="414"/>
        <v>0.96</v>
      </c>
      <c r="AH579" s="2567">
        <f t="shared" si="415"/>
        <v>0.96</v>
      </c>
      <c r="AI579" s="1362">
        <f t="shared" si="446"/>
        <v>1641.9297356399538</v>
      </c>
      <c r="AJ579" s="1362">
        <f t="shared" si="447"/>
        <v>1641.9297356399538</v>
      </c>
      <c r="AK579" s="1362">
        <f t="shared" si="448"/>
        <v>1641.9297356399538</v>
      </c>
      <c r="AL579" s="1362">
        <f t="shared" si="449"/>
        <v>1641.9297356399538</v>
      </c>
      <c r="AM579" s="1362">
        <f t="shared" si="450"/>
        <v>6567.7189425598153</v>
      </c>
      <c r="AN579" s="1132" t="str">
        <f t="shared" si="416"/>
        <v>CI-HW_-LFFA-V08-190101</v>
      </c>
      <c r="AO579" s="1132" t="str">
        <f t="shared" si="417"/>
        <v>Nicor Gas PY11-PY14 Adjustable Goals Template_2025-03-01, Tab 4.3.2</v>
      </c>
      <c r="AP579" s="2568">
        <f>'4.3.2'!$N$4</f>
        <v>5.9104899280575545</v>
      </c>
      <c r="AQ579" s="2568" t="s">
        <v>1008</v>
      </c>
      <c r="AR579" s="2505">
        <f t="shared" si="418"/>
        <v>1898.8914695387052</v>
      </c>
      <c r="AS579" s="2505">
        <f t="shared" si="419"/>
        <v>256.96173389875139</v>
      </c>
      <c r="AT579" s="1132" t="str">
        <f t="shared" si="420"/>
        <v>CI-HW_-LFFA-V08-190101</v>
      </c>
      <c r="AU579" s="1132" t="str">
        <f t="shared" si="421"/>
        <v>Nicor Gas PY11-PY14 Adjustable Goals Template_2025-03-01, Tab 4.3.2</v>
      </c>
      <c r="AV579" s="2505">
        <f>'4.3.2'!$N$4</f>
        <v>5.9104899280575545</v>
      </c>
      <c r="AW579" s="2568" t="s">
        <v>1008</v>
      </c>
      <c r="AX579" s="1362">
        <f t="shared" si="422"/>
        <v>1898.8914695387052</v>
      </c>
      <c r="AY579" s="1360">
        <f t="shared" si="423"/>
        <v>256.96173389875139</v>
      </c>
      <c r="AZ579" s="1132" t="str">
        <f t="shared" si="424"/>
        <v>CI-HW_-LFFA-V08-190101</v>
      </c>
      <c r="BA579" s="1132" t="str">
        <f t="shared" si="425"/>
        <v>Nicor Gas PY11-PY14 Adjustable Goals Template_2025-03-01, Tab 4.3.2</v>
      </c>
      <c r="BB579" s="2505">
        <f>'4.3.2'!$N$4</f>
        <v>5.9104899280575545</v>
      </c>
      <c r="BC579" s="2568" t="s">
        <v>1008</v>
      </c>
      <c r="BD579" s="1362">
        <f t="shared" si="426"/>
        <v>1898.8914695387052</v>
      </c>
      <c r="BE579" s="1360">
        <f t="shared" si="427"/>
        <v>256.96173389875139</v>
      </c>
      <c r="BF579" s="1132" t="str">
        <f t="shared" si="428"/>
        <v>CI-HW_-LFFA-V08-190101</v>
      </c>
      <c r="BG579" s="1132" t="str">
        <f t="shared" si="429"/>
        <v>Nicor Gas PY11-PY14 Adjustable Goals Template_2025-03-01, Tab 4.3.2</v>
      </c>
      <c r="BH579" s="2505">
        <f>'4.3.2'!$N$4</f>
        <v>5.9104899280575545</v>
      </c>
      <c r="BI579" s="2568" t="s">
        <v>1008</v>
      </c>
      <c r="BJ579" s="1362">
        <f t="shared" si="451"/>
        <v>1898.8914695387052</v>
      </c>
      <c r="BK579" s="1360">
        <f t="shared" si="430"/>
        <v>256.96173389875139</v>
      </c>
      <c r="BL579" s="1601">
        <f t="shared" si="431"/>
        <v>1898.8914695387052</v>
      </c>
      <c r="BM579" s="1601">
        <f t="shared" si="432"/>
        <v>1898.8914695387052</v>
      </c>
      <c r="BN579" s="1601">
        <f t="shared" si="433"/>
        <v>1898.8914695387052</v>
      </c>
      <c r="BO579" s="1601">
        <f t="shared" si="434"/>
        <v>1898.8914695387052</v>
      </c>
      <c r="BP579" s="1602">
        <f t="shared" si="435"/>
        <v>7595.5658781548209</v>
      </c>
      <c r="BQ579" s="1629"/>
      <c r="BR579" s="1629" t="s">
        <v>555</v>
      </c>
      <c r="BS579" s="1602">
        <v>0</v>
      </c>
      <c r="BT579" s="1602">
        <v>10</v>
      </c>
      <c r="BU579" s="1602">
        <v>10</v>
      </c>
      <c r="BV579" s="1602">
        <v>10</v>
      </c>
      <c r="BW579" s="1602">
        <v>10</v>
      </c>
      <c r="BX579" s="1362">
        <f t="shared" si="452"/>
        <v>16419.29735639954</v>
      </c>
      <c r="BY579" s="1362">
        <f t="shared" si="453"/>
        <v>16419.29735639954</v>
      </c>
      <c r="BZ579" s="1362">
        <f t="shared" si="454"/>
        <v>16419.29735639954</v>
      </c>
      <c r="CA579" s="1362">
        <f t="shared" si="455"/>
        <v>16419.29735639954</v>
      </c>
      <c r="CB579" s="1362">
        <f t="shared" si="456"/>
        <v>65677.189425598161</v>
      </c>
      <c r="CC579" s="1360">
        <v>10</v>
      </c>
      <c r="CD579" s="1360">
        <v>10</v>
      </c>
      <c r="CE579" s="1360">
        <v>10</v>
      </c>
      <c r="CF579" s="1360">
        <v>10</v>
      </c>
      <c r="CG579" s="1604">
        <f t="shared" si="436"/>
        <v>18988.914695387051</v>
      </c>
      <c r="CH579" s="1604">
        <f t="shared" si="437"/>
        <v>18988.914695387051</v>
      </c>
      <c r="CI579" s="1604">
        <f t="shared" si="438"/>
        <v>18988.914695387051</v>
      </c>
      <c r="CJ579" s="1604">
        <f t="shared" si="439"/>
        <v>18988.914695387051</v>
      </c>
      <c r="CK579" s="1521">
        <f t="shared" si="440"/>
        <v>75955.658781548205</v>
      </c>
      <c r="CL579" s="1132">
        <v>572</v>
      </c>
      <c r="CM579" s="1132" t="s">
        <v>328</v>
      </c>
      <c r="CN579" s="1359">
        <v>0</v>
      </c>
      <c r="CO579" s="1360">
        <v>334.66125</v>
      </c>
      <c r="CP579" s="1360">
        <v>334.66125</v>
      </c>
      <c r="CQ579" s="1360">
        <v>334.66125</v>
      </c>
      <c r="CR579" s="1360">
        <v>334.66125</v>
      </c>
      <c r="CS579" s="1362">
        <f t="shared" si="441"/>
        <v>1898.8914695387052</v>
      </c>
      <c r="CT579" s="1362">
        <f t="shared" si="442"/>
        <v>1898.8914695387052</v>
      </c>
      <c r="CU579" s="1362">
        <f t="shared" si="443"/>
        <v>1898.8914695387052</v>
      </c>
      <c r="CV579" s="1362">
        <f t="shared" si="444"/>
        <v>1898.8914695387052</v>
      </c>
      <c r="CW579" s="1362">
        <f t="shared" si="445"/>
        <v>7595.5658781548209</v>
      </c>
      <c r="CY579" s="2887"/>
    </row>
    <row r="580" spans="1:103" s="1143" customFormat="1" ht="62" x14ac:dyDescent="0.35">
      <c r="A580" s="1132" t="s">
        <v>116</v>
      </c>
      <c r="B580" s="1132" t="s">
        <v>1000</v>
      </c>
      <c r="C580" s="1132" t="s">
        <v>560</v>
      </c>
      <c r="D580" s="1359" t="s">
        <v>561</v>
      </c>
      <c r="E580" s="1359">
        <v>1</v>
      </c>
      <c r="F580" s="2807" t="s">
        <v>555</v>
      </c>
      <c r="G580" s="1132" t="s">
        <v>328</v>
      </c>
      <c r="H580" s="1360">
        <v>19.1235</v>
      </c>
      <c r="I580" s="1360">
        <v>19.1235</v>
      </c>
      <c r="J580" s="1360">
        <v>19.1235</v>
      </c>
      <c r="K580" s="1360">
        <v>19.1235</v>
      </c>
      <c r="L580" s="1132" t="s">
        <v>556</v>
      </c>
      <c r="M580" s="1132" t="str">
        <f t="shared" si="407"/>
        <v>Nicor Gas PY11-PY14 Adjustable Goals Template_2025-03-01, Tab 4.3.2</v>
      </c>
      <c r="N580" s="1361">
        <v>24.761780691313646</v>
      </c>
      <c r="O580" s="1361">
        <v>24.761780691313646</v>
      </c>
      <c r="P580" s="1361">
        <v>24.761780691313646</v>
      </c>
      <c r="Q580" s="1361">
        <v>24.761780691313646</v>
      </c>
      <c r="R580" s="1781">
        <v>0.92</v>
      </c>
      <c r="S580" s="1781">
        <v>0.92</v>
      </c>
      <c r="T580" s="1781">
        <v>0.92</v>
      </c>
      <c r="U580" s="1781">
        <v>0.92</v>
      </c>
      <c r="V580" s="2567">
        <v>0.96</v>
      </c>
      <c r="W580" s="2567">
        <v>0.96</v>
      </c>
      <c r="X580" s="2567">
        <v>0.96</v>
      </c>
      <c r="Y580" s="2567">
        <v>0.96</v>
      </c>
      <c r="Z580" s="1359">
        <v>0</v>
      </c>
      <c r="AA580" s="2567">
        <f t="shared" si="408"/>
        <v>0.96</v>
      </c>
      <c r="AB580" s="2567">
        <f t="shared" si="409"/>
        <v>0.96</v>
      </c>
      <c r="AC580" s="2567">
        <f t="shared" si="410"/>
        <v>0.96</v>
      </c>
      <c r="AD580" s="2567">
        <f t="shared" si="411"/>
        <v>0.96</v>
      </c>
      <c r="AE580" s="2567">
        <f t="shared" si="412"/>
        <v>0.96</v>
      </c>
      <c r="AF580" s="2567">
        <f t="shared" si="413"/>
        <v>0.96</v>
      </c>
      <c r="AG580" s="2567">
        <f t="shared" si="414"/>
        <v>0.96</v>
      </c>
      <c r="AH580" s="2567">
        <f t="shared" si="415"/>
        <v>0.96</v>
      </c>
      <c r="AI580" s="1362">
        <f t="shared" si="446"/>
        <v>435.64936000630962</v>
      </c>
      <c r="AJ580" s="1362">
        <f t="shared" si="447"/>
        <v>435.64936000630962</v>
      </c>
      <c r="AK580" s="1362">
        <f t="shared" si="448"/>
        <v>435.64936000630962</v>
      </c>
      <c r="AL580" s="1362">
        <f t="shared" si="449"/>
        <v>435.64936000630962</v>
      </c>
      <c r="AM580" s="1362">
        <f t="shared" si="450"/>
        <v>1742.5974400252385</v>
      </c>
      <c r="AN580" s="1132" t="str">
        <f t="shared" si="416"/>
        <v>CI-HW_-LFFA-V08-190101</v>
      </c>
      <c r="AO580" s="1132" t="str">
        <f t="shared" si="417"/>
        <v>Nicor Gas PY11-PY14 Adjustable Goals Template_2025-03-01, Tab 4.3.2</v>
      </c>
      <c r="AP580" s="2568">
        <f>'4.3.2'!$N$6</f>
        <v>37.620137903225817</v>
      </c>
      <c r="AQ580" s="2568" t="s">
        <v>1008</v>
      </c>
      <c r="AR580" s="2505">
        <f t="shared" si="418"/>
        <v>690.65155890464541</v>
      </c>
      <c r="AS580" s="2505">
        <f t="shared" si="419"/>
        <v>255.00219889833579</v>
      </c>
      <c r="AT580" s="1132" t="str">
        <f t="shared" si="420"/>
        <v>CI-HW_-LFFA-V08-190101</v>
      </c>
      <c r="AU580" s="1132" t="str">
        <f t="shared" si="421"/>
        <v>Nicor Gas PY11-PY14 Adjustable Goals Template_2025-03-01, Tab 4.3.2</v>
      </c>
      <c r="AV580" s="2505">
        <f>'4.3.2'!$N$6</f>
        <v>37.620137903225817</v>
      </c>
      <c r="AW580" s="2568" t="s">
        <v>1008</v>
      </c>
      <c r="AX580" s="1362">
        <f t="shared" si="422"/>
        <v>690.65155890464541</v>
      </c>
      <c r="AY580" s="1360">
        <f t="shared" si="423"/>
        <v>255.00219889833579</v>
      </c>
      <c r="AZ580" s="1132" t="str">
        <f t="shared" si="424"/>
        <v>CI-HW_-LFFA-V08-190101</v>
      </c>
      <c r="BA580" s="1132" t="str">
        <f t="shared" si="425"/>
        <v>Nicor Gas PY11-PY14 Adjustable Goals Template_2025-03-01, Tab 4.3.2</v>
      </c>
      <c r="BB580" s="2505">
        <f>'4.3.2'!$N$6</f>
        <v>37.620137903225817</v>
      </c>
      <c r="BC580" s="2568" t="s">
        <v>1008</v>
      </c>
      <c r="BD580" s="1362">
        <f t="shared" si="426"/>
        <v>690.65155890464541</v>
      </c>
      <c r="BE580" s="1360">
        <f t="shared" si="427"/>
        <v>255.00219889833579</v>
      </c>
      <c r="BF580" s="1132" t="str">
        <f t="shared" si="428"/>
        <v>CI-HW_-LFFA-V08-190101</v>
      </c>
      <c r="BG580" s="1132" t="str">
        <f t="shared" si="429"/>
        <v>Nicor Gas PY11-PY14 Adjustable Goals Template_2025-03-01, Tab 4.3.2</v>
      </c>
      <c r="BH580" s="2505">
        <f>'4.3.2'!$N$6</f>
        <v>37.620137903225817</v>
      </c>
      <c r="BI580" s="2568" t="s">
        <v>1008</v>
      </c>
      <c r="BJ580" s="1362">
        <f t="shared" si="451"/>
        <v>690.65155890464541</v>
      </c>
      <c r="BK580" s="1360">
        <f t="shared" si="430"/>
        <v>255.00219889833579</v>
      </c>
      <c r="BL580" s="1601">
        <f t="shared" si="431"/>
        <v>690.65155890464541</v>
      </c>
      <c r="BM580" s="1601">
        <f t="shared" si="432"/>
        <v>690.65155890464541</v>
      </c>
      <c r="BN580" s="1601">
        <f t="shared" si="433"/>
        <v>690.65155890464541</v>
      </c>
      <c r="BO580" s="1601">
        <f t="shared" si="434"/>
        <v>690.65155890464541</v>
      </c>
      <c r="BP580" s="1602">
        <f t="shared" si="435"/>
        <v>2762.6062356185816</v>
      </c>
      <c r="BQ580" s="1629"/>
      <c r="BR580" s="1629" t="s">
        <v>555</v>
      </c>
      <c r="BS580" s="1602">
        <v>0</v>
      </c>
      <c r="BT580" s="1602">
        <v>10</v>
      </c>
      <c r="BU580" s="1602">
        <v>10</v>
      </c>
      <c r="BV580" s="1602">
        <v>10</v>
      </c>
      <c r="BW580" s="1602">
        <v>10</v>
      </c>
      <c r="BX580" s="1362">
        <f t="shared" si="452"/>
        <v>4356.493600063096</v>
      </c>
      <c r="BY580" s="1362">
        <f t="shared" si="453"/>
        <v>4356.493600063096</v>
      </c>
      <c r="BZ580" s="1362">
        <f t="shared" si="454"/>
        <v>4356.493600063096</v>
      </c>
      <c r="CA580" s="1362">
        <f t="shared" si="455"/>
        <v>4356.493600063096</v>
      </c>
      <c r="CB580" s="1362">
        <f t="shared" si="456"/>
        <v>17425.974400252384</v>
      </c>
      <c r="CC580" s="1360">
        <v>10</v>
      </c>
      <c r="CD580" s="1360">
        <v>10</v>
      </c>
      <c r="CE580" s="1360">
        <v>10</v>
      </c>
      <c r="CF580" s="1360">
        <v>10</v>
      </c>
      <c r="CG580" s="1604">
        <f t="shared" si="436"/>
        <v>6906.5155890464539</v>
      </c>
      <c r="CH580" s="1604">
        <f t="shared" si="437"/>
        <v>6906.5155890464539</v>
      </c>
      <c r="CI580" s="1604">
        <f t="shared" si="438"/>
        <v>6906.5155890464539</v>
      </c>
      <c r="CJ580" s="1604">
        <f t="shared" si="439"/>
        <v>6906.5155890464539</v>
      </c>
      <c r="CK580" s="1521">
        <f t="shared" si="440"/>
        <v>27626.062356185816</v>
      </c>
      <c r="CL580" s="1132">
        <v>573</v>
      </c>
      <c r="CM580" s="1132" t="s">
        <v>328</v>
      </c>
      <c r="CN580" s="1359">
        <v>0</v>
      </c>
      <c r="CO580" s="1360">
        <v>19.1235</v>
      </c>
      <c r="CP580" s="1360">
        <v>19.1235</v>
      </c>
      <c r="CQ580" s="1360">
        <v>19.1235</v>
      </c>
      <c r="CR580" s="1360">
        <v>19.1235</v>
      </c>
      <c r="CS580" s="1362">
        <f t="shared" si="441"/>
        <v>690.65155890464541</v>
      </c>
      <c r="CT580" s="1362">
        <f t="shared" si="442"/>
        <v>690.65155890464541</v>
      </c>
      <c r="CU580" s="1362">
        <f t="shared" si="443"/>
        <v>690.65155890464541</v>
      </c>
      <c r="CV580" s="1362">
        <f t="shared" si="444"/>
        <v>690.65155890464541</v>
      </c>
      <c r="CW580" s="1362">
        <f t="shared" si="445"/>
        <v>2762.6062356185816</v>
      </c>
      <c r="CY580" s="2887"/>
    </row>
    <row r="581" spans="1:103" s="1143" customFormat="1" ht="62" x14ac:dyDescent="0.35">
      <c r="A581" s="1132" t="s">
        <v>116</v>
      </c>
      <c r="B581" s="1132" t="s">
        <v>1000</v>
      </c>
      <c r="C581" s="1132" t="s">
        <v>562</v>
      </c>
      <c r="D581" s="1359" t="s">
        <v>563</v>
      </c>
      <c r="E581" s="1359">
        <v>1</v>
      </c>
      <c r="F581" s="2807" t="s">
        <v>563</v>
      </c>
      <c r="G581" s="1132" t="s">
        <v>328</v>
      </c>
      <c r="H581" s="1360">
        <v>31.292999999999996</v>
      </c>
      <c r="I581" s="1360">
        <v>31.292999999999996</v>
      </c>
      <c r="J581" s="1360">
        <v>31.292999999999996</v>
      </c>
      <c r="K581" s="1360">
        <v>31.292999999999996</v>
      </c>
      <c r="L581" s="1132" t="s">
        <v>564</v>
      </c>
      <c r="M581" s="1132" t="str">
        <f t="shared" si="407"/>
        <v>Nicor Gas PY11-PY14 Adjustable Goals Template_2025-03-01, Tab 4.3.3</v>
      </c>
      <c r="N581" s="1361">
        <v>19.917921113999995</v>
      </c>
      <c r="O581" s="1361">
        <v>19.917921113999995</v>
      </c>
      <c r="P581" s="1361">
        <v>19.917921113999995</v>
      </c>
      <c r="Q581" s="1361">
        <v>19.917921113999995</v>
      </c>
      <c r="R581" s="1781">
        <v>0.92</v>
      </c>
      <c r="S581" s="1781">
        <v>0.92</v>
      </c>
      <c r="T581" s="1781">
        <v>0.92</v>
      </c>
      <c r="U581" s="1781">
        <v>0.92</v>
      </c>
      <c r="V581" s="2567">
        <v>0.96</v>
      </c>
      <c r="W581" s="2567">
        <v>0.96</v>
      </c>
      <c r="X581" s="2567">
        <v>0.96</v>
      </c>
      <c r="Y581" s="2567">
        <v>0.96</v>
      </c>
      <c r="Z581" s="1359">
        <v>0</v>
      </c>
      <c r="AA581" s="2567">
        <f t="shared" si="408"/>
        <v>0.96</v>
      </c>
      <c r="AB581" s="2567">
        <f t="shared" si="409"/>
        <v>0.96</v>
      </c>
      <c r="AC581" s="2567">
        <f t="shared" si="410"/>
        <v>0.96</v>
      </c>
      <c r="AD581" s="2567">
        <f t="shared" si="411"/>
        <v>0.96</v>
      </c>
      <c r="AE581" s="2567">
        <f t="shared" si="412"/>
        <v>0.96</v>
      </c>
      <c r="AF581" s="2567">
        <f t="shared" si="413"/>
        <v>0.96</v>
      </c>
      <c r="AG581" s="2567">
        <f t="shared" si="414"/>
        <v>0.96</v>
      </c>
      <c r="AH581" s="2567">
        <f t="shared" si="415"/>
        <v>0.96</v>
      </c>
      <c r="AI581" s="1362">
        <f t="shared" si="446"/>
        <v>573.42818498676968</v>
      </c>
      <c r="AJ581" s="1362">
        <f t="shared" si="447"/>
        <v>573.42818498676968</v>
      </c>
      <c r="AK581" s="1362">
        <f t="shared" si="448"/>
        <v>573.42818498676968</v>
      </c>
      <c r="AL581" s="1362">
        <f t="shared" si="449"/>
        <v>573.42818498676968</v>
      </c>
      <c r="AM581" s="1362">
        <f t="shared" si="450"/>
        <v>2293.7127399470787</v>
      </c>
      <c r="AN581" s="1132" t="str">
        <f t="shared" si="416"/>
        <v>CI-HW_-HWE-LFSH-V05-190101</v>
      </c>
      <c r="AO581" s="1132" t="str">
        <f t="shared" si="417"/>
        <v>Nicor Gas PY11-PY14 Adjustable Goals Template_2025-03-01, Tab 4.3.3</v>
      </c>
      <c r="AP581" s="2568">
        <f>'4.3.3'!$O$4</f>
        <v>21.634983278999997</v>
      </c>
      <c r="AQ581" s="2568" t="s">
        <v>1008</v>
      </c>
      <c r="AR581" s="2505">
        <f t="shared" si="418"/>
        <v>649.94259047975686</v>
      </c>
      <c r="AS581" s="2505">
        <f t="shared" si="419"/>
        <v>76.51440549298718</v>
      </c>
      <c r="AT581" s="1132" t="str">
        <f t="shared" si="420"/>
        <v>CI-HW_-HWE-LFSH-V05-190101</v>
      </c>
      <c r="AU581" s="1132" t="str">
        <f t="shared" si="421"/>
        <v>Nicor Gas PY11-PY14 Adjustable Goals Template_2025-03-01, Tab 4.3.3</v>
      </c>
      <c r="AV581" s="2505">
        <f>'4.3.3'!$O$4</f>
        <v>21.634983278999997</v>
      </c>
      <c r="AW581" s="2568" t="s">
        <v>1008</v>
      </c>
      <c r="AX581" s="1362">
        <f t="shared" si="422"/>
        <v>649.94259047975686</v>
      </c>
      <c r="AY581" s="1360">
        <f t="shared" si="423"/>
        <v>76.51440549298718</v>
      </c>
      <c r="AZ581" s="1132" t="str">
        <f t="shared" si="424"/>
        <v>CI-HW_-HWE-LFSH-V05-190101</v>
      </c>
      <c r="BA581" s="1132" t="str">
        <f t="shared" si="425"/>
        <v>Nicor Gas PY11-PY14 Adjustable Goals Template_2025-03-01, Tab 4.3.3</v>
      </c>
      <c r="BB581" s="2505">
        <f>'4.3.3'!$O$4</f>
        <v>21.634983278999997</v>
      </c>
      <c r="BC581" s="2568" t="s">
        <v>1008</v>
      </c>
      <c r="BD581" s="1362">
        <f t="shared" si="426"/>
        <v>649.94259047975686</v>
      </c>
      <c r="BE581" s="1360">
        <f t="shared" si="427"/>
        <v>76.51440549298718</v>
      </c>
      <c r="BF581" s="1132" t="str">
        <f t="shared" si="428"/>
        <v>CI-HW_-HWE-LFSH-V05-190101</v>
      </c>
      <c r="BG581" s="1132" t="str">
        <f t="shared" si="429"/>
        <v>Nicor Gas PY11-PY14 Adjustable Goals Template_2025-03-01, Tab 4.3.3</v>
      </c>
      <c r="BH581" s="2505">
        <f>'4.3.3'!$O$4</f>
        <v>21.634983278999997</v>
      </c>
      <c r="BI581" s="2568" t="s">
        <v>1008</v>
      </c>
      <c r="BJ581" s="1362">
        <f t="shared" si="451"/>
        <v>649.94259047975686</v>
      </c>
      <c r="BK581" s="1360">
        <f t="shared" si="430"/>
        <v>76.51440549298718</v>
      </c>
      <c r="BL581" s="1601">
        <f t="shared" si="431"/>
        <v>649.94259047975686</v>
      </c>
      <c r="BM581" s="1601">
        <f t="shared" si="432"/>
        <v>649.94259047975686</v>
      </c>
      <c r="BN581" s="1601">
        <f t="shared" si="433"/>
        <v>649.94259047975686</v>
      </c>
      <c r="BO581" s="1601">
        <f t="shared" si="434"/>
        <v>649.94259047975686</v>
      </c>
      <c r="BP581" s="1602">
        <f t="shared" si="435"/>
        <v>2599.7703619190274</v>
      </c>
      <c r="BQ581" s="1629"/>
      <c r="BR581" s="1629" t="s">
        <v>563</v>
      </c>
      <c r="BS581" s="1602">
        <v>0</v>
      </c>
      <c r="BT581" s="1602">
        <v>10</v>
      </c>
      <c r="BU581" s="1602">
        <v>10</v>
      </c>
      <c r="BV581" s="1602">
        <v>10</v>
      </c>
      <c r="BW581" s="1602">
        <v>10</v>
      </c>
      <c r="BX581" s="1362">
        <f t="shared" si="452"/>
        <v>5734.281849867697</v>
      </c>
      <c r="BY581" s="1362">
        <f t="shared" si="453"/>
        <v>5734.281849867697</v>
      </c>
      <c r="BZ581" s="1362">
        <f t="shared" si="454"/>
        <v>5734.281849867697</v>
      </c>
      <c r="CA581" s="1362">
        <f t="shared" si="455"/>
        <v>5734.281849867697</v>
      </c>
      <c r="CB581" s="1362">
        <f t="shared" si="456"/>
        <v>22937.127399470788</v>
      </c>
      <c r="CC581" s="1360">
        <v>10</v>
      </c>
      <c r="CD581" s="1360">
        <v>10</v>
      </c>
      <c r="CE581" s="1360">
        <v>10</v>
      </c>
      <c r="CF581" s="1360">
        <v>10</v>
      </c>
      <c r="CG581" s="1604">
        <f t="shared" si="436"/>
        <v>6499.4259047975684</v>
      </c>
      <c r="CH581" s="1604">
        <f t="shared" si="437"/>
        <v>6499.4259047975684</v>
      </c>
      <c r="CI581" s="1604">
        <f t="shared" si="438"/>
        <v>6499.4259047975684</v>
      </c>
      <c r="CJ581" s="1604">
        <f t="shared" si="439"/>
        <v>6499.4259047975684</v>
      </c>
      <c r="CK581" s="1521">
        <f t="shared" si="440"/>
        <v>25997.703619190273</v>
      </c>
      <c r="CL581" s="1132">
        <v>574</v>
      </c>
      <c r="CM581" s="1132" t="s">
        <v>328</v>
      </c>
      <c r="CN581" s="1359">
        <v>0</v>
      </c>
      <c r="CO581" s="1360">
        <v>31.292999999999996</v>
      </c>
      <c r="CP581" s="1360">
        <v>31.292999999999996</v>
      </c>
      <c r="CQ581" s="1360">
        <v>31.292999999999996</v>
      </c>
      <c r="CR581" s="1360">
        <v>31.292999999999996</v>
      </c>
      <c r="CS581" s="1362">
        <f t="shared" si="441"/>
        <v>649.94259047975686</v>
      </c>
      <c r="CT581" s="1362">
        <f t="shared" si="442"/>
        <v>649.94259047975686</v>
      </c>
      <c r="CU581" s="1362">
        <f t="shared" si="443"/>
        <v>649.94259047975686</v>
      </c>
      <c r="CV581" s="1362">
        <f t="shared" si="444"/>
        <v>649.94259047975686</v>
      </c>
      <c r="CW581" s="1362">
        <f t="shared" si="445"/>
        <v>2599.7703619190274</v>
      </c>
      <c r="CY581" s="2887"/>
    </row>
    <row r="582" spans="1:103" s="1143" customFormat="1" ht="75.75" customHeight="1" x14ac:dyDescent="0.35">
      <c r="A582" s="1132" t="s">
        <v>116</v>
      </c>
      <c r="B582" s="1132" t="s">
        <v>1000</v>
      </c>
      <c r="C582" s="1132" t="s">
        <v>1009</v>
      </c>
      <c r="D582" s="1359" t="s">
        <v>1010</v>
      </c>
      <c r="E582" s="1359">
        <v>0</v>
      </c>
      <c r="F582" s="1132" t="s">
        <v>105</v>
      </c>
      <c r="G582" s="1132" t="s">
        <v>337</v>
      </c>
      <c r="H582" s="1360">
        <v>13.907999999999999</v>
      </c>
      <c r="I582" s="1360">
        <v>13.907999999999999</v>
      </c>
      <c r="J582" s="1360">
        <v>13.907999999999999</v>
      </c>
      <c r="K582" s="1360">
        <v>13.907999999999999</v>
      </c>
      <c r="L582" s="1132" t="s">
        <v>1011</v>
      </c>
      <c r="M582" s="1132" t="str">
        <f t="shared" si="407"/>
        <v/>
      </c>
      <c r="N582" s="1361">
        <v>6.2</v>
      </c>
      <c r="O582" s="1361">
        <v>6.2</v>
      </c>
      <c r="P582" s="1361">
        <v>6.2</v>
      </c>
      <c r="Q582" s="1361">
        <v>6.2</v>
      </c>
      <c r="R582" s="1781">
        <v>0.92</v>
      </c>
      <c r="S582" s="1781">
        <v>0.92</v>
      </c>
      <c r="T582" s="1781">
        <v>0.92</v>
      </c>
      <c r="U582" s="1781">
        <v>0.92</v>
      </c>
      <c r="V582" s="2567">
        <v>0.96</v>
      </c>
      <c r="W582" s="2567">
        <v>0.96</v>
      </c>
      <c r="X582" s="2567">
        <v>0.96</v>
      </c>
      <c r="Y582" s="2567">
        <v>0.96</v>
      </c>
      <c r="Z582" s="1359">
        <v>0</v>
      </c>
      <c r="AA582" s="2567">
        <f t="shared" si="408"/>
        <v>0.96</v>
      </c>
      <c r="AB582" s="2567">
        <f t="shared" si="409"/>
        <v>0.96</v>
      </c>
      <c r="AC582" s="2567">
        <f t="shared" si="410"/>
        <v>0.96</v>
      </c>
      <c r="AD582" s="2567">
        <f t="shared" si="411"/>
        <v>0.96</v>
      </c>
      <c r="AE582" s="2567">
        <f t="shared" si="412"/>
        <v>0.96</v>
      </c>
      <c r="AF582" s="2567">
        <f t="shared" si="413"/>
        <v>0.96</v>
      </c>
      <c r="AG582" s="2567">
        <f t="shared" si="414"/>
        <v>0.96</v>
      </c>
      <c r="AH582" s="2567">
        <f t="shared" si="415"/>
        <v>0.96</v>
      </c>
      <c r="AI582" s="1362">
        <f t="shared" si="446"/>
        <v>79.331232000000014</v>
      </c>
      <c r="AJ582" s="1362">
        <f t="shared" si="447"/>
        <v>79.331232000000014</v>
      </c>
      <c r="AK582" s="1362">
        <f t="shared" si="448"/>
        <v>79.331232000000014</v>
      </c>
      <c r="AL582" s="1362">
        <f t="shared" si="449"/>
        <v>79.331232000000014</v>
      </c>
      <c r="AM582" s="1362">
        <f t="shared" si="450"/>
        <v>317.32492800000006</v>
      </c>
      <c r="AN582" s="1132" t="str">
        <f t="shared" si="416"/>
        <v>C99</v>
      </c>
      <c r="AO582" s="1132" t="str">
        <f t="shared" si="417"/>
        <v/>
      </c>
      <c r="AP582" s="2247">
        <v>6.2</v>
      </c>
      <c r="AQ582" s="2568" t="s">
        <v>1007</v>
      </c>
      <c r="AR582" s="2505">
        <f t="shared" si="418"/>
        <v>82.780416000000002</v>
      </c>
      <c r="AS582" s="2505">
        <f t="shared" si="419"/>
        <v>3.4491839999999883</v>
      </c>
      <c r="AT582" s="1132" t="str">
        <f t="shared" si="420"/>
        <v>C99</v>
      </c>
      <c r="AU582" s="1132" t="str">
        <f t="shared" si="421"/>
        <v/>
      </c>
      <c r="AV582" s="2247">
        <v>6.2</v>
      </c>
      <c r="AW582" s="2568" t="s">
        <v>1007</v>
      </c>
      <c r="AX582" s="1362">
        <f t="shared" si="422"/>
        <v>82.780416000000002</v>
      </c>
      <c r="AY582" s="1360">
        <f t="shared" si="423"/>
        <v>3.4491839999999883</v>
      </c>
      <c r="AZ582" s="1132" t="str">
        <f t="shared" si="424"/>
        <v>C99</v>
      </c>
      <c r="BA582" s="1132" t="str">
        <f t="shared" si="425"/>
        <v/>
      </c>
      <c r="BB582" s="2247">
        <v>6.2</v>
      </c>
      <c r="BC582" s="2568" t="s">
        <v>1007</v>
      </c>
      <c r="BD582" s="1362">
        <f t="shared" si="426"/>
        <v>82.780416000000002</v>
      </c>
      <c r="BE582" s="1360">
        <f t="shared" si="427"/>
        <v>3.4491839999999883</v>
      </c>
      <c r="BF582" s="1132" t="str">
        <f t="shared" si="428"/>
        <v>C99</v>
      </c>
      <c r="BG582" s="1132" t="str">
        <f t="shared" si="429"/>
        <v/>
      </c>
      <c r="BH582" s="2247">
        <v>6.2</v>
      </c>
      <c r="BI582" s="2568" t="s">
        <v>1007</v>
      </c>
      <c r="BJ582" s="1362">
        <f t="shared" si="451"/>
        <v>82.780416000000002</v>
      </c>
      <c r="BK582" s="1360">
        <f t="shared" si="430"/>
        <v>3.4491839999999883</v>
      </c>
      <c r="BL582" s="1601">
        <f t="shared" si="431"/>
        <v>82.780416000000002</v>
      </c>
      <c r="BM582" s="1601">
        <f t="shared" si="432"/>
        <v>82.780416000000002</v>
      </c>
      <c r="BN582" s="1601">
        <f t="shared" si="433"/>
        <v>82.780416000000002</v>
      </c>
      <c r="BO582" s="1601">
        <f t="shared" si="434"/>
        <v>82.780416000000002</v>
      </c>
      <c r="BP582" s="1602">
        <f t="shared" si="435"/>
        <v>331.12166400000001</v>
      </c>
      <c r="BQ582" s="1629"/>
      <c r="BR582" s="1629"/>
      <c r="BS582" s="1602">
        <v>0</v>
      </c>
      <c r="BT582" s="1602">
        <v>15</v>
      </c>
      <c r="BU582" s="1602">
        <v>15</v>
      </c>
      <c r="BV582" s="1602">
        <v>15</v>
      </c>
      <c r="BW582" s="1602">
        <v>15</v>
      </c>
      <c r="BX582" s="1362">
        <f t="shared" si="452"/>
        <v>1189.9684800000002</v>
      </c>
      <c r="BY582" s="1362">
        <f t="shared" si="453"/>
        <v>1189.9684800000002</v>
      </c>
      <c r="BZ582" s="1362">
        <f t="shared" si="454"/>
        <v>1189.9684800000002</v>
      </c>
      <c r="CA582" s="1362">
        <f t="shared" si="455"/>
        <v>1189.9684800000002</v>
      </c>
      <c r="CB582" s="1362">
        <f t="shared" si="456"/>
        <v>4759.8739200000009</v>
      </c>
      <c r="CC582" s="1360">
        <v>15</v>
      </c>
      <c r="CD582" s="1360">
        <v>15</v>
      </c>
      <c r="CE582" s="1360">
        <v>15</v>
      </c>
      <c r="CF582" s="1360">
        <v>15</v>
      </c>
      <c r="CG582" s="1604">
        <f t="shared" si="436"/>
        <v>1241.7062399999998</v>
      </c>
      <c r="CH582" s="1604">
        <f t="shared" si="437"/>
        <v>1241.7062399999998</v>
      </c>
      <c r="CI582" s="1604">
        <f t="shared" si="438"/>
        <v>1241.7062399999998</v>
      </c>
      <c r="CJ582" s="1604">
        <f t="shared" si="439"/>
        <v>1241.7062399999998</v>
      </c>
      <c r="CK582" s="1521">
        <f t="shared" si="440"/>
        <v>4966.824959999999</v>
      </c>
      <c r="CL582" s="1132">
        <v>575</v>
      </c>
      <c r="CM582" s="1132" t="s">
        <v>337</v>
      </c>
      <c r="CN582" s="1359">
        <v>0</v>
      </c>
      <c r="CO582" s="1360">
        <v>13.907999999999999</v>
      </c>
      <c r="CP582" s="1360">
        <v>13.907999999999999</v>
      </c>
      <c r="CQ582" s="1360">
        <v>13.907999999999999</v>
      </c>
      <c r="CR582" s="1360">
        <v>13.907999999999999</v>
      </c>
      <c r="CS582" s="1362">
        <f t="shared" si="441"/>
        <v>82.780416000000002</v>
      </c>
      <c r="CT582" s="1362">
        <f t="shared" si="442"/>
        <v>82.780416000000002</v>
      </c>
      <c r="CU582" s="1362">
        <f t="shared" si="443"/>
        <v>82.780416000000002</v>
      </c>
      <c r="CV582" s="1362">
        <f t="shared" si="444"/>
        <v>82.780416000000002</v>
      </c>
      <c r="CW582" s="1362">
        <f t="shared" si="445"/>
        <v>331.12166400000001</v>
      </c>
      <c r="CY582" s="2887"/>
    </row>
    <row r="583" spans="1:103" s="1143" customFormat="1" ht="46.5" x14ac:dyDescent="0.35">
      <c r="A583" s="1132" t="s">
        <v>116</v>
      </c>
      <c r="B583" s="1132" t="s">
        <v>1000</v>
      </c>
      <c r="C583" s="1132" t="s">
        <v>565</v>
      </c>
      <c r="D583" s="1359" t="s">
        <v>566</v>
      </c>
      <c r="E583" s="1359">
        <v>1</v>
      </c>
      <c r="F583" s="2564" t="s">
        <v>567</v>
      </c>
      <c r="G583" s="1132" t="s">
        <v>337</v>
      </c>
      <c r="H583" s="1360">
        <v>13.907999999999999</v>
      </c>
      <c r="I583" s="1360">
        <v>13.907999999999999</v>
      </c>
      <c r="J583" s="1360">
        <v>13.907999999999999</v>
      </c>
      <c r="K583" s="1360">
        <v>13.907999999999999</v>
      </c>
      <c r="L583" s="1132" t="s">
        <v>568</v>
      </c>
      <c r="M583" s="1132" t="str">
        <f t="shared" si="407"/>
        <v>Nicor Gas PY11-PY14 Adjustable Goals Template_2025-03-01, Tab 4.8.16</v>
      </c>
      <c r="N583" s="1361">
        <v>10.32</v>
      </c>
      <c r="O583" s="1361">
        <v>10.32</v>
      </c>
      <c r="P583" s="1361">
        <v>10.32</v>
      </c>
      <c r="Q583" s="1361">
        <v>10.32</v>
      </c>
      <c r="R583" s="1781">
        <v>0.92</v>
      </c>
      <c r="S583" s="1781">
        <v>0.92</v>
      </c>
      <c r="T583" s="1781">
        <v>0.92</v>
      </c>
      <c r="U583" s="1781">
        <v>0.92</v>
      </c>
      <c r="V583" s="2567">
        <v>0.96</v>
      </c>
      <c r="W583" s="2567">
        <v>0.96</v>
      </c>
      <c r="X583" s="2567">
        <v>0.96</v>
      </c>
      <c r="Y583" s="2567">
        <v>0.96</v>
      </c>
      <c r="Z583" s="1359">
        <v>0</v>
      </c>
      <c r="AA583" s="2567">
        <f t="shared" si="408"/>
        <v>0.96</v>
      </c>
      <c r="AB583" s="2567">
        <f t="shared" si="409"/>
        <v>0.96</v>
      </c>
      <c r="AC583" s="2567">
        <f t="shared" si="410"/>
        <v>0.96</v>
      </c>
      <c r="AD583" s="2567">
        <f t="shared" si="411"/>
        <v>0.96</v>
      </c>
      <c r="AE583" s="2567">
        <f t="shared" si="412"/>
        <v>0.96</v>
      </c>
      <c r="AF583" s="2567">
        <f t="shared" si="413"/>
        <v>0.96</v>
      </c>
      <c r="AG583" s="2567">
        <f t="shared" si="414"/>
        <v>0.96</v>
      </c>
      <c r="AH583" s="2567">
        <f t="shared" si="415"/>
        <v>0.96</v>
      </c>
      <c r="AI583" s="1362">
        <f t="shared" si="446"/>
        <v>132.04811520000001</v>
      </c>
      <c r="AJ583" s="1362">
        <f t="shared" si="447"/>
        <v>132.04811520000001</v>
      </c>
      <c r="AK583" s="1362">
        <f t="shared" si="448"/>
        <v>132.04811520000001</v>
      </c>
      <c r="AL583" s="1362">
        <f t="shared" si="449"/>
        <v>132.04811520000001</v>
      </c>
      <c r="AM583" s="1362">
        <f t="shared" si="450"/>
        <v>528.19246080000005</v>
      </c>
      <c r="AN583" s="1132" t="str">
        <f t="shared" si="416"/>
        <v>CI-MSC-WTST-V01-200101</v>
      </c>
      <c r="AO583" s="1132" t="str">
        <f t="shared" si="417"/>
        <v>Nicor Gas PY11-PY14 Adjustable Goals Template_2025-03-01, Tab 4.8.16</v>
      </c>
      <c r="AP583" s="2505">
        <f>'4.8.16'!$J$5</f>
        <v>10.32</v>
      </c>
      <c r="AQ583" s="2568" t="s">
        <v>1007</v>
      </c>
      <c r="AR583" s="2505">
        <f t="shared" si="418"/>
        <v>137.78933760000001</v>
      </c>
      <c r="AS583" s="2505">
        <f t="shared" si="419"/>
        <v>5.7412223999999981</v>
      </c>
      <c r="AT583" s="1132" t="str">
        <f t="shared" si="420"/>
        <v>CI-MSC-WTST-V01-200101</v>
      </c>
      <c r="AU583" s="1132" t="str">
        <f t="shared" si="421"/>
        <v>Nicor Gas PY11-PY14 Adjustable Goals Template_2025-03-01, Tab 4.8.16</v>
      </c>
      <c r="AV583" s="2505">
        <f>'4.8.16'!$J$5</f>
        <v>10.32</v>
      </c>
      <c r="AW583" s="2568" t="s">
        <v>1007</v>
      </c>
      <c r="AX583" s="1362">
        <f t="shared" si="422"/>
        <v>137.78933760000001</v>
      </c>
      <c r="AY583" s="1360">
        <f t="shared" si="423"/>
        <v>5.7412223999999981</v>
      </c>
      <c r="AZ583" s="1132" t="str">
        <f t="shared" si="424"/>
        <v>CI-MSC-WTST-V01-200101</v>
      </c>
      <c r="BA583" s="1132" t="str">
        <f t="shared" si="425"/>
        <v>Nicor Gas PY11-PY14 Adjustable Goals Template_2025-03-01, Tab 4.8.16</v>
      </c>
      <c r="BB583" s="2505">
        <f>'4.8.16'!$J$5</f>
        <v>10.32</v>
      </c>
      <c r="BC583" s="2568" t="s">
        <v>1007</v>
      </c>
      <c r="BD583" s="1362">
        <f t="shared" si="426"/>
        <v>137.78933760000001</v>
      </c>
      <c r="BE583" s="1360">
        <f t="shared" si="427"/>
        <v>5.7412223999999981</v>
      </c>
      <c r="BF583" s="1132" t="str">
        <f t="shared" si="428"/>
        <v>CI-MSC-WTST-V01-200101</v>
      </c>
      <c r="BG583" s="1132" t="str">
        <f t="shared" si="429"/>
        <v>Nicor Gas PY11-PY14 Adjustable Goals Template_2025-03-01, Tab 4.8.16</v>
      </c>
      <c r="BH583" s="2505">
        <f>'4.8.16'!$J$5</f>
        <v>10.32</v>
      </c>
      <c r="BI583" s="2568" t="s">
        <v>1007</v>
      </c>
      <c r="BJ583" s="1362">
        <f t="shared" si="451"/>
        <v>137.78933760000001</v>
      </c>
      <c r="BK583" s="1360">
        <f t="shared" si="430"/>
        <v>5.7412223999999981</v>
      </c>
      <c r="BL583" s="1601">
        <f t="shared" si="431"/>
        <v>137.78933760000001</v>
      </c>
      <c r="BM583" s="1601">
        <f t="shared" si="432"/>
        <v>137.78933760000001</v>
      </c>
      <c r="BN583" s="1601">
        <f t="shared" si="433"/>
        <v>137.78933760000001</v>
      </c>
      <c r="BO583" s="1601">
        <f t="shared" si="434"/>
        <v>137.78933760000001</v>
      </c>
      <c r="BP583" s="1602">
        <f t="shared" si="435"/>
        <v>551.15735040000004</v>
      </c>
      <c r="BQ583" s="1629"/>
      <c r="BR583" s="1629" t="s">
        <v>567</v>
      </c>
      <c r="BS583" s="1602">
        <v>0</v>
      </c>
      <c r="BT583" s="1602">
        <v>10</v>
      </c>
      <c r="BU583" s="1602">
        <v>10</v>
      </c>
      <c r="BV583" s="1602">
        <v>10</v>
      </c>
      <c r="BW583" s="1602">
        <v>10</v>
      </c>
      <c r="BX583" s="1362">
        <f t="shared" si="452"/>
        <v>1320.4811520000001</v>
      </c>
      <c r="BY583" s="1362">
        <f t="shared" si="453"/>
        <v>1320.4811520000001</v>
      </c>
      <c r="BZ583" s="1362">
        <f t="shared" si="454"/>
        <v>1320.4811520000001</v>
      </c>
      <c r="CA583" s="1362">
        <f t="shared" si="455"/>
        <v>1320.4811520000001</v>
      </c>
      <c r="CB583" s="1362">
        <f t="shared" si="456"/>
        <v>5281.9246080000003</v>
      </c>
      <c r="CC583" s="1360">
        <v>10</v>
      </c>
      <c r="CD583" s="1360">
        <v>10</v>
      </c>
      <c r="CE583" s="1360">
        <v>10</v>
      </c>
      <c r="CF583" s="1360">
        <v>10</v>
      </c>
      <c r="CG583" s="1604">
        <f t="shared" si="436"/>
        <v>1377.8933759999998</v>
      </c>
      <c r="CH583" s="1604">
        <f t="shared" si="437"/>
        <v>1377.8933759999998</v>
      </c>
      <c r="CI583" s="1604">
        <f t="shared" si="438"/>
        <v>1377.8933759999998</v>
      </c>
      <c r="CJ583" s="1604">
        <f t="shared" si="439"/>
        <v>1377.8933759999998</v>
      </c>
      <c r="CK583" s="1521">
        <f t="shared" si="440"/>
        <v>5511.573503999999</v>
      </c>
      <c r="CL583" s="1132">
        <v>576</v>
      </c>
      <c r="CM583" s="1132" t="s">
        <v>337</v>
      </c>
      <c r="CN583" s="1359">
        <v>0</v>
      </c>
      <c r="CO583" s="1360">
        <v>13.907999999999999</v>
      </c>
      <c r="CP583" s="1360">
        <v>13.907999999999999</v>
      </c>
      <c r="CQ583" s="1360">
        <v>13.907999999999999</v>
      </c>
      <c r="CR583" s="1360">
        <v>13.907999999999999</v>
      </c>
      <c r="CS583" s="1362">
        <f t="shared" si="441"/>
        <v>137.78933760000001</v>
      </c>
      <c r="CT583" s="1362">
        <f t="shared" si="442"/>
        <v>137.78933760000001</v>
      </c>
      <c r="CU583" s="1362">
        <f t="shared" si="443"/>
        <v>137.78933760000001</v>
      </c>
      <c r="CV583" s="1362">
        <f t="shared" si="444"/>
        <v>137.78933760000001</v>
      </c>
      <c r="CW583" s="1362">
        <f t="shared" si="445"/>
        <v>551.15735040000004</v>
      </c>
      <c r="CY583" s="2887"/>
    </row>
    <row r="584" spans="1:103" s="1143" customFormat="1" ht="45.75" customHeight="1" x14ac:dyDescent="0.35">
      <c r="A584" s="1132" t="s">
        <v>116</v>
      </c>
      <c r="B584" s="1132" t="s">
        <v>1000</v>
      </c>
      <c r="C584" s="1132" t="s">
        <v>1012</v>
      </c>
      <c r="D584" s="1359" t="s">
        <v>105</v>
      </c>
      <c r="E584" s="1359">
        <v>0</v>
      </c>
      <c r="F584" s="1132" t="s">
        <v>105</v>
      </c>
      <c r="G584" s="1132" t="s">
        <v>328</v>
      </c>
      <c r="H584" s="1360">
        <v>7.8232499999999989</v>
      </c>
      <c r="I584" s="1360">
        <v>7.8232499999999989</v>
      </c>
      <c r="J584" s="1360">
        <v>7.8232499999999989</v>
      </c>
      <c r="K584" s="1360">
        <v>7.8232499999999989</v>
      </c>
      <c r="L584" s="1132" t="s">
        <v>105</v>
      </c>
      <c r="M584" s="1132" t="str">
        <f t="shared" ref="M584:M619" si="457">IF(F584&lt;&gt;"Custom",CONCATENATE($I$1,", ",$J$1," ",F584),"")</f>
        <v/>
      </c>
      <c r="N584" s="1361">
        <v>4402.1000000000004</v>
      </c>
      <c r="O584" s="1361">
        <v>4402.1000000000004</v>
      </c>
      <c r="P584" s="1361">
        <v>4402.1000000000004</v>
      </c>
      <c r="Q584" s="1361">
        <v>4402.1000000000004</v>
      </c>
      <c r="R584" s="1781">
        <v>0.93</v>
      </c>
      <c r="S584" s="1781">
        <v>0.93</v>
      </c>
      <c r="T584" s="1781">
        <v>0.93</v>
      </c>
      <c r="U584" s="1781">
        <v>0.93</v>
      </c>
      <c r="V584" s="2567">
        <v>0.96</v>
      </c>
      <c r="W584" s="2567">
        <v>0.96</v>
      </c>
      <c r="X584" s="2567">
        <v>0.96</v>
      </c>
      <c r="Y584" s="2567">
        <v>0.96</v>
      </c>
      <c r="Z584" s="1359">
        <v>0</v>
      </c>
      <c r="AA584" s="2567">
        <f t="shared" ref="AA584:AA619" si="458">V584</f>
        <v>0.96</v>
      </c>
      <c r="AB584" s="2567">
        <f t="shared" ref="AB584:AB619" si="459">W584</f>
        <v>0.96</v>
      </c>
      <c r="AC584" s="2567">
        <f t="shared" ref="AC584:AC619" si="460">X584</f>
        <v>0.96</v>
      </c>
      <c r="AD584" s="2567">
        <f t="shared" ref="AD584:AD619" si="461">Y584</f>
        <v>0.96</v>
      </c>
      <c r="AE584" s="2567">
        <f t="shared" ref="AE584:AE619" si="462">V584</f>
        <v>0.96</v>
      </c>
      <c r="AF584" s="2567">
        <f t="shared" ref="AF584:AF619" si="463">W584</f>
        <v>0.96</v>
      </c>
      <c r="AG584" s="2567">
        <f t="shared" ref="AG584:AG619" si="464">X584</f>
        <v>0.96</v>
      </c>
      <c r="AH584" s="2567">
        <f t="shared" ref="AH584:AH619" si="465">Y584</f>
        <v>0.96</v>
      </c>
      <c r="AI584" s="1362">
        <f t="shared" si="446"/>
        <v>32028.017807249998</v>
      </c>
      <c r="AJ584" s="1362">
        <f t="shared" si="447"/>
        <v>32028.017807249998</v>
      </c>
      <c r="AK584" s="1362">
        <f t="shared" si="448"/>
        <v>32028.017807249998</v>
      </c>
      <c r="AL584" s="1362">
        <f t="shared" si="449"/>
        <v>32028.017807249998</v>
      </c>
      <c r="AM584" s="1362">
        <f t="shared" si="450"/>
        <v>128112.07122899999</v>
      </c>
      <c r="AN584" s="1132" t="str">
        <f t="shared" ref="AN584:AN619" si="466">L584</f>
        <v>Custom</v>
      </c>
      <c r="AO584" s="1132" t="str">
        <f t="shared" ref="AO584:AO619" si="467">M584</f>
        <v/>
      </c>
      <c r="AP584" s="2505">
        <v>4402.1000000000004</v>
      </c>
      <c r="AQ584" s="2568" t="s">
        <v>1013</v>
      </c>
      <c r="AR584" s="2505">
        <f t="shared" ref="AR584:AR619" si="468">H584*AP584*V584</f>
        <v>33061.179671999998</v>
      </c>
      <c r="AS584" s="2505">
        <f t="shared" ref="AS584:AS619" si="469">AR584-AI584</f>
        <v>1033.1618647499999</v>
      </c>
      <c r="AT584" s="1132" t="str">
        <f t="shared" ref="AT584:AT619" si="470">L584</f>
        <v>Custom</v>
      </c>
      <c r="AU584" s="1132" t="str">
        <f t="shared" ref="AU584:AU619" si="471">M584</f>
        <v/>
      </c>
      <c r="AV584" s="2505">
        <v>4402.1000000000004</v>
      </c>
      <c r="AW584" s="2568" t="s">
        <v>1013</v>
      </c>
      <c r="AX584" s="1362">
        <f t="shared" ref="AX584:AX619" si="472">I584*AV584*W584</f>
        <v>33061.179671999998</v>
      </c>
      <c r="AY584" s="1360">
        <f t="shared" ref="AY584:AY619" si="473">AX584-AJ584</f>
        <v>1033.1618647499999</v>
      </c>
      <c r="AZ584" s="1132" t="str">
        <f t="shared" ref="AZ584:AZ609" si="474">L584</f>
        <v>Custom</v>
      </c>
      <c r="BA584" s="1132" t="str">
        <f t="shared" ref="BA584:BA609" si="475">M584</f>
        <v/>
      </c>
      <c r="BB584" s="2505">
        <v>4402.1000000000004</v>
      </c>
      <c r="BC584" s="2568" t="s">
        <v>1013</v>
      </c>
      <c r="BD584" s="1362">
        <f t="shared" ref="BD584:BD619" si="476">J584*BB584*X584</f>
        <v>33061.179671999998</v>
      </c>
      <c r="BE584" s="1360">
        <f t="shared" ref="BE584:BE619" si="477">BD584-AK584</f>
        <v>1033.1618647499999</v>
      </c>
      <c r="BF584" s="1132" t="str">
        <f t="shared" ref="BF584:BF609" si="478">L584</f>
        <v>Custom</v>
      </c>
      <c r="BG584" s="1132" t="str">
        <f t="shared" ref="BG584:BG609" si="479">M584</f>
        <v/>
      </c>
      <c r="BH584" s="2505">
        <v>4402.1000000000004</v>
      </c>
      <c r="BI584" s="2568" t="s">
        <v>1013</v>
      </c>
      <c r="BJ584" s="1362">
        <f t="shared" si="451"/>
        <v>33061.179671999998</v>
      </c>
      <c r="BK584" s="1360">
        <f t="shared" ref="BK584:BK619" si="480">BJ584-AL584</f>
        <v>1033.1618647499999</v>
      </c>
      <c r="BL584" s="1601">
        <f t="shared" ref="BL584:BL619" si="481">IF($BL$2=2022,IF($E584=1,AR584,AR584),IF($E584=1,AR584,AI584))</f>
        <v>33061.179671999998</v>
      </c>
      <c r="BM584" s="1601">
        <f t="shared" ref="BM584:BM619" si="482">IF($BL$2=2022,IF($E584=1,AX584,AX584),IF($E584=1,AX584,AJ584))</f>
        <v>33061.179671999998</v>
      </c>
      <c r="BN584" s="1601">
        <f t="shared" ref="BN584:BN619" si="483">IF($BL$2=2022,IF($E584=1,BD584,BD584),IF($E584=1,BD584,AK584))</f>
        <v>33061.179671999998</v>
      </c>
      <c r="BO584" s="1601">
        <f t="shared" ref="BO584:BO619" si="484">IF($BL$2=2022,IF($E584=1,BJ584,BJ584),IF($E584=1,BJ584,AL584))</f>
        <v>33061.179671999998</v>
      </c>
      <c r="BP584" s="1602">
        <f t="shared" ref="BP584:BP619" si="485">SUM(BL584:BO584)</f>
        <v>132244.71868799999</v>
      </c>
      <c r="BQ584" s="1629"/>
      <c r="BR584" s="1629"/>
      <c r="BS584" s="1602">
        <v>0</v>
      </c>
      <c r="BT584" s="1602">
        <v>15.000000000000002</v>
      </c>
      <c r="BU584" s="1602">
        <v>15.000000000000002</v>
      </c>
      <c r="BV584" s="1602">
        <v>15.000000000000002</v>
      </c>
      <c r="BW584" s="1602">
        <v>15.000000000000002</v>
      </c>
      <c r="BX584" s="1362">
        <f t="shared" si="452"/>
        <v>480420.26710875001</v>
      </c>
      <c r="BY584" s="1362">
        <f t="shared" si="453"/>
        <v>480420.26710875001</v>
      </c>
      <c r="BZ584" s="1362">
        <f t="shared" si="454"/>
        <v>480420.26710875001</v>
      </c>
      <c r="CA584" s="1362">
        <f t="shared" si="455"/>
        <v>480420.26710875001</v>
      </c>
      <c r="CB584" s="1362">
        <f t="shared" si="456"/>
        <v>1921681.068435</v>
      </c>
      <c r="CC584" s="1360">
        <v>15.000000000000002</v>
      </c>
      <c r="CD584" s="1360">
        <v>15.000000000000002</v>
      </c>
      <c r="CE584" s="1360">
        <v>15.000000000000002</v>
      </c>
      <c r="CF584" s="1360">
        <v>15.000000000000002</v>
      </c>
      <c r="CG584" s="1604">
        <f t="shared" ref="CG584:CG619" si="486">H584*V584*AP584*CC584</f>
        <v>495917.69508000003</v>
      </c>
      <c r="CH584" s="1604">
        <f t="shared" ref="CH584:CH619" si="487">I584*W584*AV584*CD584</f>
        <v>495917.69508000003</v>
      </c>
      <c r="CI584" s="1604">
        <f t="shared" ref="CI584:CI619" si="488">J584*X584*BB584*CE584</f>
        <v>495917.69508000003</v>
      </c>
      <c r="CJ584" s="1604">
        <f t="shared" ref="CJ584:CJ619" si="489">K584*Y584*BH584*CF584</f>
        <v>495917.69508000003</v>
      </c>
      <c r="CK584" s="1521">
        <f t="shared" ref="CK584:CK619" si="490">SUM(CG584:CJ584)</f>
        <v>1983670.7803200001</v>
      </c>
      <c r="CL584" s="1132">
        <v>577</v>
      </c>
      <c r="CM584" s="1132" t="s">
        <v>328</v>
      </c>
      <c r="CN584" s="1359">
        <v>0</v>
      </c>
      <c r="CO584" s="1360">
        <v>7.8232499999999989</v>
      </c>
      <c r="CP584" s="1360">
        <v>7.8232499999999989</v>
      </c>
      <c r="CQ584" s="1360">
        <v>7.8232499999999989</v>
      </c>
      <c r="CR584" s="1360">
        <v>7.8232499999999989</v>
      </c>
      <c r="CS584" s="1362">
        <f t="shared" ref="CS584:CS619" si="491">IF($CN584=1,CO584*N584*AE584,BL584)</f>
        <v>33061.179671999998</v>
      </c>
      <c r="CT584" s="1362">
        <f t="shared" ref="CT584:CT619" si="492">IF($CN584=1,CP584*O584*AF584,BM584)</f>
        <v>33061.179671999998</v>
      </c>
      <c r="CU584" s="1362">
        <f t="shared" ref="CU584:CU619" si="493">IF($CN584=1,CQ584*P584*AG584,BN584)</f>
        <v>33061.179671999998</v>
      </c>
      <c r="CV584" s="1362">
        <f t="shared" ref="CV584:CV619" si="494">IF($CN584=1,CR584*Q584*AH584,BO584)</f>
        <v>33061.179671999998</v>
      </c>
      <c r="CW584" s="1362">
        <f t="shared" ref="CW584:CW619" si="495">+SUM(CS584:CV584)</f>
        <v>132244.71868799999</v>
      </c>
      <c r="CY584" s="2887"/>
    </row>
    <row r="585" spans="1:103" s="1143" customFormat="1" ht="75.75" customHeight="1" x14ac:dyDescent="0.35">
      <c r="A585" s="1132" t="s">
        <v>116</v>
      </c>
      <c r="B585" s="1132" t="s">
        <v>1014</v>
      </c>
      <c r="C585" s="1132" t="s">
        <v>1001</v>
      </c>
      <c r="D585" s="1359" t="s">
        <v>105</v>
      </c>
      <c r="E585" s="1359">
        <f>IF(AI585-AR585=0,0,1)</f>
        <v>0</v>
      </c>
      <c r="F585" s="1132" t="s">
        <v>105</v>
      </c>
      <c r="G585" s="1132" t="s">
        <v>356</v>
      </c>
      <c r="H585" s="1360">
        <v>6.890625</v>
      </c>
      <c r="I585" s="1360">
        <v>6.890625</v>
      </c>
      <c r="J585" s="1360">
        <v>6.890625</v>
      </c>
      <c r="K585" s="1360">
        <v>6.890625</v>
      </c>
      <c r="L585" s="1132" t="s">
        <v>105</v>
      </c>
      <c r="M585" s="1132" t="str">
        <f t="shared" si="457"/>
        <v/>
      </c>
      <c r="N585" s="1361">
        <v>0</v>
      </c>
      <c r="O585" s="1361">
        <v>0</v>
      </c>
      <c r="P585" s="1361">
        <v>0</v>
      </c>
      <c r="Q585" s="1361">
        <v>0</v>
      </c>
      <c r="R585" s="1781">
        <v>0.83</v>
      </c>
      <c r="S585" s="1781">
        <v>0.83</v>
      </c>
      <c r="T585" s="1781">
        <v>0.83</v>
      </c>
      <c r="U585" s="1781">
        <v>0.83</v>
      </c>
      <c r="V585" s="2567">
        <v>0.96</v>
      </c>
      <c r="W585" s="2567">
        <v>0.96</v>
      </c>
      <c r="X585" s="2567">
        <v>0.96</v>
      </c>
      <c r="Y585" s="2567">
        <v>0.96</v>
      </c>
      <c r="Z585" s="1359">
        <v>0</v>
      </c>
      <c r="AA585" s="2567">
        <f t="shared" si="458"/>
        <v>0.96</v>
      </c>
      <c r="AB585" s="2567">
        <f t="shared" si="459"/>
        <v>0.96</v>
      </c>
      <c r="AC585" s="2567">
        <f t="shared" si="460"/>
        <v>0.96</v>
      </c>
      <c r="AD585" s="2567">
        <f t="shared" si="461"/>
        <v>0.96</v>
      </c>
      <c r="AE585" s="2567">
        <f t="shared" si="462"/>
        <v>0.96</v>
      </c>
      <c r="AF585" s="2567">
        <f t="shared" si="463"/>
        <v>0.96</v>
      </c>
      <c r="AG585" s="2567">
        <f t="shared" si="464"/>
        <v>0.96</v>
      </c>
      <c r="AH585" s="2567">
        <f t="shared" si="465"/>
        <v>0.96</v>
      </c>
      <c r="AI585" s="1362">
        <f t="shared" ref="AI585:AI619" si="496">H585*N585*R585</f>
        <v>0</v>
      </c>
      <c r="AJ585" s="1362">
        <f t="shared" ref="AJ585:AJ619" si="497">I585*O585*S585</f>
        <v>0</v>
      </c>
      <c r="AK585" s="1362">
        <f t="shared" ref="AK585:AK619" si="498">J585*P585*T585</f>
        <v>0</v>
      </c>
      <c r="AL585" s="1362">
        <f t="shared" ref="AL585:AL619" si="499">K585*Q585*U585</f>
        <v>0</v>
      </c>
      <c r="AM585" s="1362">
        <f t="shared" ref="AM585:AM619" si="500">SUM(AI585:AL585)</f>
        <v>0</v>
      </c>
      <c r="AN585" s="1132" t="str">
        <f t="shared" si="466"/>
        <v>Custom</v>
      </c>
      <c r="AO585" s="1132" t="str">
        <f t="shared" si="467"/>
        <v/>
      </c>
      <c r="AP585" s="2505">
        <v>0</v>
      </c>
      <c r="AQ585" s="2568" t="s">
        <v>1002</v>
      </c>
      <c r="AR585" s="2505">
        <f t="shared" si="468"/>
        <v>0</v>
      </c>
      <c r="AS585" s="2505">
        <f t="shared" si="469"/>
        <v>0</v>
      </c>
      <c r="AT585" s="1132" t="str">
        <f t="shared" si="470"/>
        <v>Custom</v>
      </c>
      <c r="AU585" s="1132" t="str">
        <f t="shared" si="471"/>
        <v/>
      </c>
      <c r="AV585" s="2505">
        <v>0</v>
      </c>
      <c r="AW585" s="2568" t="s">
        <v>1002</v>
      </c>
      <c r="AX585" s="1362">
        <f t="shared" si="472"/>
        <v>0</v>
      </c>
      <c r="AY585" s="1360">
        <f t="shared" si="473"/>
        <v>0</v>
      </c>
      <c r="AZ585" s="1132" t="str">
        <f t="shared" si="474"/>
        <v>Custom</v>
      </c>
      <c r="BA585" s="1132" t="str">
        <f t="shared" si="475"/>
        <v/>
      </c>
      <c r="BB585" s="2505">
        <v>0</v>
      </c>
      <c r="BC585" s="2568" t="s">
        <v>1002</v>
      </c>
      <c r="BD585" s="1362">
        <f t="shared" si="476"/>
        <v>0</v>
      </c>
      <c r="BE585" s="1360">
        <f t="shared" si="477"/>
        <v>0</v>
      </c>
      <c r="BF585" s="1132" t="str">
        <f t="shared" si="478"/>
        <v>Custom</v>
      </c>
      <c r="BG585" s="1132" t="str">
        <f t="shared" si="479"/>
        <v/>
      </c>
      <c r="BH585" s="2505">
        <v>0</v>
      </c>
      <c r="BI585" s="2568" t="s">
        <v>1002</v>
      </c>
      <c r="BJ585" s="1362">
        <f t="shared" ref="BJ585:BJ619" si="501">K585*BH585*Y585</f>
        <v>0</v>
      </c>
      <c r="BK585" s="1360">
        <f t="shared" si="480"/>
        <v>0</v>
      </c>
      <c r="BL585" s="1601">
        <f t="shared" si="481"/>
        <v>0</v>
      </c>
      <c r="BM585" s="1601">
        <f t="shared" si="482"/>
        <v>0</v>
      </c>
      <c r="BN585" s="1601">
        <f t="shared" si="483"/>
        <v>0</v>
      </c>
      <c r="BO585" s="1601">
        <f t="shared" si="484"/>
        <v>0</v>
      </c>
      <c r="BP585" s="1602">
        <f t="shared" si="485"/>
        <v>0</v>
      </c>
      <c r="BQ585" s="1629"/>
      <c r="BR585" s="1629"/>
      <c r="BS585" s="1602">
        <v>0</v>
      </c>
      <c r="BT585" s="1602">
        <v>1</v>
      </c>
      <c r="BU585" s="1602">
        <v>1</v>
      </c>
      <c r="BV585" s="1602">
        <v>1</v>
      </c>
      <c r="BW585" s="1602">
        <v>1</v>
      </c>
      <c r="BX585" s="1362">
        <f t="shared" ref="BX585:BX619" si="502">H585*N585*R585*BT585</f>
        <v>0</v>
      </c>
      <c r="BY585" s="1362">
        <f t="shared" ref="BY585:BY619" si="503">I585*O585*S585*BU585</f>
        <v>0</v>
      </c>
      <c r="BZ585" s="1362">
        <f t="shared" ref="BZ585:BZ619" si="504">J585*P585*T585*BV585</f>
        <v>0</v>
      </c>
      <c r="CA585" s="1362">
        <f t="shared" ref="CA585:CA619" si="505">K585*Q585*U585*BW585</f>
        <v>0</v>
      </c>
      <c r="CB585" s="1362">
        <f t="shared" ref="CB585:CB619" si="506">SUM(BX585:CA585)</f>
        <v>0</v>
      </c>
      <c r="CC585" s="1360">
        <v>1</v>
      </c>
      <c r="CD585" s="1360">
        <v>1</v>
      </c>
      <c r="CE585" s="1360">
        <v>1</v>
      </c>
      <c r="CF585" s="1360">
        <v>1</v>
      </c>
      <c r="CG585" s="1604">
        <f t="shared" si="486"/>
        <v>0</v>
      </c>
      <c r="CH585" s="1604">
        <f t="shared" si="487"/>
        <v>0</v>
      </c>
      <c r="CI585" s="1604">
        <f t="shared" si="488"/>
        <v>0</v>
      </c>
      <c r="CJ585" s="1604">
        <f t="shared" si="489"/>
        <v>0</v>
      </c>
      <c r="CK585" s="1521">
        <f t="shared" si="490"/>
        <v>0</v>
      </c>
      <c r="CL585" s="1132">
        <v>578</v>
      </c>
      <c r="CM585" s="1132" t="s">
        <v>356</v>
      </c>
      <c r="CN585" s="1359">
        <v>0</v>
      </c>
      <c r="CO585" s="1360">
        <v>6.890625</v>
      </c>
      <c r="CP585" s="1360">
        <v>6.890625</v>
      </c>
      <c r="CQ585" s="1360">
        <v>6.890625</v>
      </c>
      <c r="CR585" s="1360">
        <v>6.890625</v>
      </c>
      <c r="CS585" s="1362">
        <f t="shared" si="491"/>
        <v>0</v>
      </c>
      <c r="CT585" s="1362">
        <f t="shared" si="492"/>
        <v>0</v>
      </c>
      <c r="CU585" s="1362">
        <f t="shared" si="493"/>
        <v>0</v>
      </c>
      <c r="CV585" s="1362">
        <f t="shared" si="494"/>
        <v>0</v>
      </c>
      <c r="CW585" s="1362">
        <f t="shared" si="495"/>
        <v>0</v>
      </c>
      <c r="CY585" s="2887"/>
    </row>
    <row r="586" spans="1:103" s="1143" customFormat="1" ht="30" customHeight="1" x14ac:dyDescent="0.35">
      <c r="A586" s="1132" t="s">
        <v>116</v>
      </c>
      <c r="B586" s="1132" t="s">
        <v>1014</v>
      </c>
      <c r="C586" s="1132" t="s">
        <v>430</v>
      </c>
      <c r="D586" s="1359" t="s">
        <v>431</v>
      </c>
      <c r="E586" s="1359">
        <v>1</v>
      </c>
      <c r="F586" s="2807" t="s">
        <v>332</v>
      </c>
      <c r="G586" s="1132" t="s">
        <v>328</v>
      </c>
      <c r="H586" s="1360">
        <v>4.0424999999999995</v>
      </c>
      <c r="I586" s="1360">
        <v>4.0424999999999995</v>
      </c>
      <c r="J586" s="1360">
        <v>4.0424999999999995</v>
      </c>
      <c r="K586" s="1360">
        <v>4.0424999999999995</v>
      </c>
      <c r="L586" s="1132" t="s">
        <v>333</v>
      </c>
      <c r="M586" s="1132" t="str">
        <f t="shared" si="457"/>
        <v>Nicor Gas PY11-PY14 Adjustable Goals Template_2025-03-01, Tab 4.4.2</v>
      </c>
      <c r="N586" s="1361">
        <v>178.19138451334805</v>
      </c>
      <c r="O586" s="1361">
        <v>178.19138451334805</v>
      </c>
      <c r="P586" s="1361">
        <v>178.19138451334805</v>
      </c>
      <c r="Q586" s="1361">
        <v>178.19138451334805</v>
      </c>
      <c r="R586" s="1781">
        <v>0.83</v>
      </c>
      <c r="S586" s="1781">
        <v>0.83</v>
      </c>
      <c r="T586" s="1781">
        <v>0.83</v>
      </c>
      <c r="U586" s="1781">
        <v>0.83</v>
      </c>
      <c r="V586" s="2567">
        <v>0.96</v>
      </c>
      <c r="W586" s="2567">
        <v>0.96</v>
      </c>
      <c r="X586" s="2567">
        <v>0.96</v>
      </c>
      <c r="Y586" s="2567">
        <v>0.96</v>
      </c>
      <c r="Z586" s="1359">
        <v>0</v>
      </c>
      <c r="AA586" s="2567">
        <f t="shared" si="458"/>
        <v>0.96</v>
      </c>
      <c r="AB586" s="2567">
        <f t="shared" si="459"/>
        <v>0.96</v>
      </c>
      <c r="AC586" s="2567">
        <f t="shared" si="460"/>
        <v>0.96</v>
      </c>
      <c r="AD586" s="2567">
        <f t="shared" si="461"/>
        <v>0.96</v>
      </c>
      <c r="AE586" s="2567">
        <f t="shared" si="462"/>
        <v>0.96</v>
      </c>
      <c r="AF586" s="2567">
        <f t="shared" si="463"/>
        <v>0.96</v>
      </c>
      <c r="AG586" s="2567">
        <f t="shared" si="464"/>
        <v>0.96</v>
      </c>
      <c r="AH586" s="2567">
        <f t="shared" si="465"/>
        <v>0.96</v>
      </c>
      <c r="AI586" s="1362">
        <f t="shared" si="496"/>
        <v>597.88109767302387</v>
      </c>
      <c r="AJ586" s="1362">
        <f t="shared" si="497"/>
        <v>597.88109767302387</v>
      </c>
      <c r="AK586" s="1362">
        <f t="shared" si="498"/>
        <v>597.88109767302387</v>
      </c>
      <c r="AL586" s="1362">
        <f t="shared" si="499"/>
        <v>597.88109767302387</v>
      </c>
      <c r="AM586" s="1362">
        <f t="shared" si="500"/>
        <v>2391.5243906920955</v>
      </c>
      <c r="AN586" s="1132" t="str">
        <f t="shared" si="466"/>
        <v>CI-HVC-BLRT-V06-160601</v>
      </c>
      <c r="AO586" s="1132" t="str">
        <f t="shared" si="467"/>
        <v>Nicor Gas PY11-PY14 Adjustable Goals Template_2025-03-01, Tab 4.4.2</v>
      </c>
      <c r="AP586" s="2568">
        <f>'4.4.2'!$O$4</f>
        <v>174.54860553805378</v>
      </c>
      <c r="AQ586" s="2568" t="s">
        <v>1003</v>
      </c>
      <c r="AR586" s="2505">
        <f t="shared" si="468"/>
        <v>677.38822837207897</v>
      </c>
      <c r="AS586" s="2505">
        <f t="shared" si="469"/>
        <v>79.507130699055097</v>
      </c>
      <c r="AT586" s="1132" t="str">
        <f t="shared" si="470"/>
        <v>CI-HVC-BLRT-V06-160601</v>
      </c>
      <c r="AU586" s="1132" t="str">
        <f t="shared" si="471"/>
        <v>Nicor Gas PY11-PY14 Adjustable Goals Template_2025-03-01, Tab 4.4.2</v>
      </c>
      <c r="AV586" s="2505">
        <f>'4.4.2'!$O$4</f>
        <v>174.54860553805378</v>
      </c>
      <c r="AW586" s="2568" t="s">
        <v>1003</v>
      </c>
      <c r="AX586" s="1362">
        <f t="shared" si="472"/>
        <v>677.38822837207897</v>
      </c>
      <c r="AY586" s="1360">
        <f t="shared" si="473"/>
        <v>79.507130699055097</v>
      </c>
      <c r="AZ586" s="1132" t="str">
        <f t="shared" si="474"/>
        <v>CI-HVC-BLRT-V06-160601</v>
      </c>
      <c r="BA586" s="1132" t="str">
        <f t="shared" si="475"/>
        <v>Nicor Gas PY11-PY14 Adjustable Goals Template_2025-03-01, Tab 4.4.2</v>
      </c>
      <c r="BB586" s="2505">
        <f>'4.4.2'!$O$4</f>
        <v>174.54860553805378</v>
      </c>
      <c r="BC586" s="2568" t="s">
        <v>1003</v>
      </c>
      <c r="BD586" s="1362">
        <f t="shared" si="476"/>
        <v>677.38822837207897</v>
      </c>
      <c r="BE586" s="1360">
        <f t="shared" si="477"/>
        <v>79.507130699055097</v>
      </c>
      <c r="BF586" s="1132" t="str">
        <f t="shared" si="478"/>
        <v>CI-HVC-BLRT-V06-160601</v>
      </c>
      <c r="BG586" s="1132" t="str">
        <f t="shared" si="479"/>
        <v>Nicor Gas PY11-PY14 Adjustable Goals Template_2025-03-01, Tab 4.4.2</v>
      </c>
      <c r="BH586" s="2505">
        <f>'4.4.2'!$O$4</f>
        <v>174.54860553805378</v>
      </c>
      <c r="BI586" s="2568" t="s">
        <v>1003</v>
      </c>
      <c r="BJ586" s="1362">
        <f t="shared" si="501"/>
        <v>677.38822837207897</v>
      </c>
      <c r="BK586" s="1360">
        <f t="shared" si="480"/>
        <v>79.507130699055097</v>
      </c>
      <c r="BL586" s="1601">
        <f t="shared" si="481"/>
        <v>677.38822837207897</v>
      </c>
      <c r="BM586" s="1601">
        <f t="shared" si="482"/>
        <v>677.38822837207897</v>
      </c>
      <c r="BN586" s="1601">
        <f t="shared" si="483"/>
        <v>677.38822837207897</v>
      </c>
      <c r="BO586" s="1601">
        <f t="shared" si="484"/>
        <v>677.38822837207897</v>
      </c>
      <c r="BP586" s="1602">
        <f t="shared" si="485"/>
        <v>2709.5529134883159</v>
      </c>
      <c r="BQ586" s="1629"/>
      <c r="BR586" s="1629" t="s">
        <v>332</v>
      </c>
      <c r="BS586" s="1602">
        <v>0</v>
      </c>
      <c r="BT586" s="1602">
        <v>3</v>
      </c>
      <c r="BU586" s="1602">
        <v>3</v>
      </c>
      <c r="BV586" s="1602">
        <v>3</v>
      </c>
      <c r="BW586" s="1602">
        <v>3</v>
      </c>
      <c r="BX586" s="1362">
        <f t="shared" si="502"/>
        <v>1793.6432930190717</v>
      </c>
      <c r="BY586" s="1362">
        <f t="shared" si="503"/>
        <v>1793.6432930190717</v>
      </c>
      <c r="BZ586" s="1362">
        <f t="shared" si="504"/>
        <v>1793.6432930190717</v>
      </c>
      <c r="CA586" s="1362">
        <f t="shared" si="505"/>
        <v>1793.6432930190717</v>
      </c>
      <c r="CB586" s="1362">
        <f t="shared" si="506"/>
        <v>7174.5731720762869</v>
      </c>
      <c r="CC586" s="1360">
        <v>3</v>
      </c>
      <c r="CD586" s="1360">
        <v>3</v>
      </c>
      <c r="CE586" s="1360">
        <v>3</v>
      </c>
      <c r="CF586" s="1360">
        <v>3</v>
      </c>
      <c r="CG586" s="1604">
        <f t="shared" si="486"/>
        <v>2032.1646851162368</v>
      </c>
      <c r="CH586" s="1604">
        <f t="shared" si="487"/>
        <v>2032.1646851162368</v>
      </c>
      <c r="CI586" s="1604">
        <f t="shared" si="488"/>
        <v>2032.1646851162368</v>
      </c>
      <c r="CJ586" s="1604">
        <f t="shared" si="489"/>
        <v>2032.1646851162368</v>
      </c>
      <c r="CK586" s="1521">
        <f t="shared" si="490"/>
        <v>8128.6587404649472</v>
      </c>
      <c r="CL586" s="1132">
        <v>579</v>
      </c>
      <c r="CM586" s="1132" t="s">
        <v>328</v>
      </c>
      <c r="CN586" s="1359">
        <v>0</v>
      </c>
      <c r="CO586" s="1360">
        <v>4.0424999999999995</v>
      </c>
      <c r="CP586" s="1360">
        <v>4.0424999999999995</v>
      </c>
      <c r="CQ586" s="1360">
        <v>4.0424999999999995</v>
      </c>
      <c r="CR586" s="1360">
        <v>4.0424999999999995</v>
      </c>
      <c r="CS586" s="1362">
        <f t="shared" si="491"/>
        <v>677.38822837207897</v>
      </c>
      <c r="CT586" s="1362">
        <f t="shared" si="492"/>
        <v>677.38822837207897</v>
      </c>
      <c r="CU586" s="1362">
        <f t="shared" si="493"/>
        <v>677.38822837207897</v>
      </c>
      <c r="CV586" s="1362">
        <f t="shared" si="494"/>
        <v>677.38822837207897</v>
      </c>
      <c r="CW586" s="1362">
        <f t="shared" si="495"/>
        <v>2709.5529134883159</v>
      </c>
      <c r="CY586" s="2887"/>
    </row>
    <row r="587" spans="1:103" s="1143" customFormat="1" ht="77.5" x14ac:dyDescent="0.35">
      <c r="A587" s="1132" t="s">
        <v>116</v>
      </c>
      <c r="B587" s="1132" t="s">
        <v>1014</v>
      </c>
      <c r="C587" s="1132" t="s">
        <v>439</v>
      </c>
      <c r="D587" s="1359" t="s">
        <v>440</v>
      </c>
      <c r="E587" s="1359">
        <v>1</v>
      </c>
      <c r="F587" s="2807" t="s">
        <v>435</v>
      </c>
      <c r="G587" s="1132" t="s">
        <v>356</v>
      </c>
      <c r="H587" s="1360">
        <v>0.73499999999999999</v>
      </c>
      <c r="I587" s="1360">
        <v>0.73499999999999999</v>
      </c>
      <c r="J587" s="1360">
        <v>0.73499999999999999</v>
      </c>
      <c r="K587" s="1360">
        <v>0.73499999999999999</v>
      </c>
      <c r="L587" s="1132" t="s">
        <v>436</v>
      </c>
      <c r="M587" s="1132" t="str">
        <f t="shared" si="457"/>
        <v>Nicor Gas PY11-PY14 Adjustable Goals Template_2025-03-01, Tab 4.4.10</v>
      </c>
      <c r="N587" s="1361">
        <v>744.8581799420856</v>
      </c>
      <c r="O587" s="1361">
        <v>744.8581799420856</v>
      </c>
      <c r="P587" s="1361">
        <v>744.8581799420856</v>
      </c>
      <c r="Q587" s="1361">
        <v>744.8581799420856</v>
      </c>
      <c r="R587" s="1781">
        <v>0.83</v>
      </c>
      <c r="S587" s="1781">
        <v>0.83</v>
      </c>
      <c r="T587" s="1781">
        <v>0.83</v>
      </c>
      <c r="U587" s="1781">
        <v>0.83</v>
      </c>
      <c r="V587" s="2567">
        <v>0.96</v>
      </c>
      <c r="W587" s="2567">
        <v>0.96</v>
      </c>
      <c r="X587" s="2567">
        <v>0.96</v>
      </c>
      <c r="Y587" s="2567">
        <v>0.96</v>
      </c>
      <c r="Z587" s="1359">
        <v>0</v>
      </c>
      <c r="AA587" s="2567">
        <f t="shared" si="458"/>
        <v>0.96</v>
      </c>
      <c r="AB587" s="2567">
        <f t="shared" si="459"/>
        <v>0.96</v>
      </c>
      <c r="AC587" s="2567">
        <f t="shared" si="460"/>
        <v>0.96</v>
      </c>
      <c r="AD587" s="2567">
        <f t="shared" si="461"/>
        <v>0.96</v>
      </c>
      <c r="AE587" s="2567">
        <f t="shared" si="462"/>
        <v>0.96</v>
      </c>
      <c r="AF587" s="2567">
        <f t="shared" si="463"/>
        <v>0.96</v>
      </c>
      <c r="AG587" s="2567">
        <f t="shared" si="464"/>
        <v>0.96</v>
      </c>
      <c r="AH587" s="2567">
        <f t="shared" si="465"/>
        <v>0.96</v>
      </c>
      <c r="AI587" s="1362">
        <f t="shared" si="496"/>
        <v>454.40073267366927</v>
      </c>
      <c r="AJ587" s="1362">
        <f t="shared" si="497"/>
        <v>454.40073267366927</v>
      </c>
      <c r="AK587" s="1362">
        <f t="shared" si="498"/>
        <v>454.40073267366927</v>
      </c>
      <c r="AL587" s="1362">
        <f t="shared" si="499"/>
        <v>454.40073267366927</v>
      </c>
      <c r="AM587" s="1362">
        <f t="shared" si="500"/>
        <v>1817.6029306946771</v>
      </c>
      <c r="AN587" s="1132" t="str">
        <f t="shared" si="466"/>
        <v>CI-HVC-BOIL-V06-190101</v>
      </c>
      <c r="AO587" s="1132" t="str">
        <f t="shared" si="467"/>
        <v>Nicor Gas PY11-PY14 Adjustable Goals Template_2025-03-01, Tab 4.4.10</v>
      </c>
      <c r="AP587" s="2568">
        <f>'4.4.10'!$Q$6</f>
        <v>729.63099191119761</v>
      </c>
      <c r="AQ587" s="2568" t="s">
        <v>1003</v>
      </c>
      <c r="AR587" s="2505">
        <f t="shared" si="468"/>
        <v>514.82762789254093</v>
      </c>
      <c r="AS587" s="2505">
        <f t="shared" si="469"/>
        <v>60.426895218871664</v>
      </c>
      <c r="AT587" s="1132" t="str">
        <f t="shared" si="470"/>
        <v>CI-HVC-BOIL-V06-190101</v>
      </c>
      <c r="AU587" s="1132" t="str">
        <f t="shared" si="471"/>
        <v>Nicor Gas PY11-PY14 Adjustable Goals Template_2025-03-01, Tab 4.4.10</v>
      </c>
      <c r="AV587" s="2505">
        <f>'4.4.10'!$Q$6</f>
        <v>729.63099191119761</v>
      </c>
      <c r="AW587" s="2568" t="s">
        <v>1003</v>
      </c>
      <c r="AX587" s="1362">
        <f t="shared" si="472"/>
        <v>514.82762789254093</v>
      </c>
      <c r="AY587" s="1360">
        <f t="shared" si="473"/>
        <v>60.426895218871664</v>
      </c>
      <c r="AZ587" s="1132" t="str">
        <f t="shared" si="474"/>
        <v>CI-HVC-BOIL-V06-190101</v>
      </c>
      <c r="BA587" s="1132" t="str">
        <f t="shared" si="475"/>
        <v>Nicor Gas PY11-PY14 Adjustable Goals Template_2025-03-01, Tab 4.4.10</v>
      </c>
      <c r="BB587" s="2505">
        <f>'4.4.10'!$Q$6</f>
        <v>729.63099191119761</v>
      </c>
      <c r="BC587" s="2568" t="s">
        <v>1003</v>
      </c>
      <c r="BD587" s="1362">
        <f t="shared" si="476"/>
        <v>514.82762789254093</v>
      </c>
      <c r="BE587" s="1360">
        <f t="shared" si="477"/>
        <v>60.426895218871664</v>
      </c>
      <c r="BF587" s="1132" t="str">
        <f t="shared" si="478"/>
        <v>CI-HVC-BOIL-V06-190101</v>
      </c>
      <c r="BG587" s="1132" t="str">
        <f t="shared" si="479"/>
        <v>Nicor Gas PY11-PY14 Adjustable Goals Template_2025-03-01, Tab 4.4.10</v>
      </c>
      <c r="BH587" s="2505">
        <f>'4.4.10'!$Q$6</f>
        <v>729.63099191119761</v>
      </c>
      <c r="BI587" s="2568" t="s">
        <v>1003</v>
      </c>
      <c r="BJ587" s="1362">
        <f t="shared" si="501"/>
        <v>514.82762789254093</v>
      </c>
      <c r="BK587" s="1360">
        <f t="shared" si="480"/>
        <v>60.426895218871664</v>
      </c>
      <c r="BL587" s="1601">
        <f t="shared" si="481"/>
        <v>514.82762789254093</v>
      </c>
      <c r="BM587" s="1601">
        <f t="shared" si="482"/>
        <v>514.82762789254093</v>
      </c>
      <c r="BN587" s="1601">
        <f t="shared" si="483"/>
        <v>514.82762789254093</v>
      </c>
      <c r="BO587" s="1601">
        <f t="shared" si="484"/>
        <v>514.82762789254093</v>
      </c>
      <c r="BP587" s="1602">
        <f t="shared" si="485"/>
        <v>2059.3105115701637</v>
      </c>
      <c r="BQ587" s="1629"/>
      <c r="BR587" s="1629" t="s">
        <v>435</v>
      </c>
      <c r="BS587" s="1602">
        <v>0</v>
      </c>
      <c r="BT587" s="1602">
        <v>25</v>
      </c>
      <c r="BU587" s="1602">
        <v>25</v>
      </c>
      <c r="BV587" s="1602">
        <v>25</v>
      </c>
      <c r="BW587" s="1602">
        <v>25</v>
      </c>
      <c r="BX587" s="1362">
        <f t="shared" si="502"/>
        <v>11360.018316841732</v>
      </c>
      <c r="BY587" s="1362">
        <f t="shared" si="503"/>
        <v>11360.018316841732</v>
      </c>
      <c r="BZ587" s="1362">
        <f t="shared" si="504"/>
        <v>11360.018316841732</v>
      </c>
      <c r="CA587" s="1362">
        <f t="shared" si="505"/>
        <v>11360.018316841732</v>
      </c>
      <c r="CB587" s="1362">
        <f t="shared" si="506"/>
        <v>45440.073267366926</v>
      </c>
      <c r="CC587" s="1360">
        <v>25</v>
      </c>
      <c r="CD587" s="1360">
        <v>25</v>
      </c>
      <c r="CE587" s="1360">
        <v>25</v>
      </c>
      <c r="CF587" s="1360">
        <v>25</v>
      </c>
      <c r="CG587" s="1604">
        <f t="shared" si="486"/>
        <v>12870.690697313526</v>
      </c>
      <c r="CH587" s="1604">
        <f t="shared" si="487"/>
        <v>12870.690697313526</v>
      </c>
      <c r="CI587" s="1604">
        <f t="shared" si="488"/>
        <v>12870.690697313526</v>
      </c>
      <c r="CJ587" s="1604">
        <f t="shared" si="489"/>
        <v>12870.690697313526</v>
      </c>
      <c r="CK587" s="1521">
        <f t="shared" si="490"/>
        <v>51482.762789254106</v>
      </c>
      <c r="CL587" s="1132">
        <v>580</v>
      </c>
      <c r="CM587" s="1132" t="s">
        <v>356</v>
      </c>
      <c r="CN587" s="1359">
        <v>0</v>
      </c>
      <c r="CO587" s="1360">
        <v>0.73499999999999999</v>
      </c>
      <c r="CP587" s="1360">
        <v>0.73499999999999999</v>
      </c>
      <c r="CQ587" s="1360">
        <v>0.73499999999999999</v>
      </c>
      <c r="CR587" s="1360">
        <v>0.73499999999999999</v>
      </c>
      <c r="CS587" s="1362">
        <f t="shared" si="491"/>
        <v>514.82762789254093</v>
      </c>
      <c r="CT587" s="1362">
        <f t="shared" si="492"/>
        <v>514.82762789254093</v>
      </c>
      <c r="CU587" s="1362">
        <f t="shared" si="493"/>
        <v>514.82762789254093</v>
      </c>
      <c r="CV587" s="1362">
        <f t="shared" si="494"/>
        <v>514.82762789254093</v>
      </c>
      <c r="CW587" s="1362">
        <f t="shared" si="495"/>
        <v>2059.3105115701637</v>
      </c>
      <c r="CY587" s="2887"/>
    </row>
    <row r="588" spans="1:103" s="1143" customFormat="1" ht="77.5" x14ac:dyDescent="0.35">
      <c r="A588" s="1132" t="s">
        <v>116</v>
      </c>
      <c r="B588" s="1132" t="s">
        <v>1014</v>
      </c>
      <c r="C588" s="1132" t="s">
        <v>443</v>
      </c>
      <c r="D588" s="1359" t="s">
        <v>444</v>
      </c>
      <c r="E588" s="1359">
        <v>1</v>
      </c>
      <c r="F588" s="2807" t="s">
        <v>435</v>
      </c>
      <c r="G588" s="1132" t="s">
        <v>356</v>
      </c>
      <c r="H588" s="1360">
        <v>0.73499999999999999</v>
      </c>
      <c r="I588" s="1360">
        <v>0.73499999999999999</v>
      </c>
      <c r="J588" s="1360">
        <v>0.73499999999999999</v>
      </c>
      <c r="K588" s="1360">
        <v>0.73499999999999999</v>
      </c>
      <c r="L588" s="1132" t="s">
        <v>436</v>
      </c>
      <c r="M588" s="1132" t="str">
        <f t="shared" si="457"/>
        <v>Nicor Gas PY11-PY14 Adjustable Goals Template_2025-03-01, Tab 4.4.10</v>
      </c>
      <c r="N588" s="1361">
        <v>2213.0736533223958</v>
      </c>
      <c r="O588" s="1361">
        <v>2213.0736533223958</v>
      </c>
      <c r="P588" s="1361">
        <v>2213.0736533223958</v>
      </c>
      <c r="Q588" s="1361">
        <v>2213.0736533223958</v>
      </c>
      <c r="R588" s="1781">
        <v>0.83</v>
      </c>
      <c r="S588" s="1781">
        <v>0.83</v>
      </c>
      <c r="T588" s="1781">
        <v>0.83</v>
      </c>
      <c r="U588" s="1781">
        <v>0.83</v>
      </c>
      <c r="V588" s="2567">
        <v>0.96</v>
      </c>
      <c r="W588" s="2567">
        <v>0.96</v>
      </c>
      <c r="X588" s="2567">
        <v>0.96</v>
      </c>
      <c r="Y588" s="2567">
        <v>0.96</v>
      </c>
      <c r="Z588" s="1359">
        <v>0</v>
      </c>
      <c r="AA588" s="2567">
        <f t="shared" si="458"/>
        <v>0.96</v>
      </c>
      <c r="AB588" s="2567">
        <f t="shared" si="459"/>
        <v>0.96</v>
      </c>
      <c r="AC588" s="2567">
        <f t="shared" si="460"/>
        <v>0.96</v>
      </c>
      <c r="AD588" s="2567">
        <f t="shared" si="461"/>
        <v>0.96</v>
      </c>
      <c r="AE588" s="2567">
        <f t="shared" si="462"/>
        <v>0.96</v>
      </c>
      <c r="AF588" s="2567">
        <f t="shared" si="463"/>
        <v>0.96</v>
      </c>
      <c r="AG588" s="2567">
        <f t="shared" si="464"/>
        <v>0.96</v>
      </c>
      <c r="AH588" s="2567">
        <f t="shared" si="465"/>
        <v>0.96</v>
      </c>
      <c r="AI588" s="1362">
        <f t="shared" si="496"/>
        <v>1350.0855822093274</v>
      </c>
      <c r="AJ588" s="1362">
        <f t="shared" si="497"/>
        <v>1350.0855822093274</v>
      </c>
      <c r="AK588" s="1362">
        <f t="shared" si="498"/>
        <v>1350.0855822093274</v>
      </c>
      <c r="AL588" s="1362">
        <f t="shared" si="499"/>
        <v>1350.0855822093274</v>
      </c>
      <c r="AM588" s="1362">
        <f t="shared" si="500"/>
        <v>5400.3423288373097</v>
      </c>
      <c r="AN588" s="1132" t="str">
        <f t="shared" si="466"/>
        <v>CI-HVC-BOIL-V06-190101</v>
      </c>
      <c r="AO588" s="1132" t="str">
        <f t="shared" si="467"/>
        <v>Nicor Gas PY11-PY14 Adjustable Goals Template_2025-03-01, Tab 4.4.10</v>
      </c>
      <c r="AP588" s="2568">
        <f>'4.4.10'!$Q$8</f>
        <v>2167.831633361006</v>
      </c>
      <c r="AQ588" s="2568" t="s">
        <v>1003</v>
      </c>
      <c r="AR588" s="2505">
        <f t="shared" si="468"/>
        <v>1529.6220004995259</v>
      </c>
      <c r="AS588" s="2505">
        <f t="shared" si="469"/>
        <v>179.53641829019853</v>
      </c>
      <c r="AT588" s="1132" t="str">
        <f t="shared" si="470"/>
        <v>CI-HVC-BOIL-V06-190101</v>
      </c>
      <c r="AU588" s="1132" t="str">
        <f t="shared" si="471"/>
        <v>Nicor Gas PY11-PY14 Adjustable Goals Template_2025-03-01, Tab 4.4.10</v>
      </c>
      <c r="AV588" s="2505">
        <f>'4.4.10'!$Q$8</f>
        <v>2167.831633361006</v>
      </c>
      <c r="AW588" s="2568" t="s">
        <v>1003</v>
      </c>
      <c r="AX588" s="1362">
        <f t="shared" si="472"/>
        <v>1529.6220004995259</v>
      </c>
      <c r="AY588" s="1360">
        <f t="shared" si="473"/>
        <v>179.53641829019853</v>
      </c>
      <c r="AZ588" s="1132" t="str">
        <f t="shared" si="474"/>
        <v>CI-HVC-BOIL-V06-190101</v>
      </c>
      <c r="BA588" s="1132" t="str">
        <f t="shared" si="475"/>
        <v>Nicor Gas PY11-PY14 Adjustable Goals Template_2025-03-01, Tab 4.4.10</v>
      </c>
      <c r="BB588" s="2505">
        <f>'4.4.10'!$Q$8</f>
        <v>2167.831633361006</v>
      </c>
      <c r="BC588" s="2568" t="s">
        <v>1003</v>
      </c>
      <c r="BD588" s="1362">
        <f t="shared" si="476"/>
        <v>1529.6220004995259</v>
      </c>
      <c r="BE588" s="1360">
        <f t="shared" si="477"/>
        <v>179.53641829019853</v>
      </c>
      <c r="BF588" s="1132" t="str">
        <f t="shared" si="478"/>
        <v>CI-HVC-BOIL-V06-190101</v>
      </c>
      <c r="BG588" s="1132" t="str">
        <f t="shared" si="479"/>
        <v>Nicor Gas PY11-PY14 Adjustable Goals Template_2025-03-01, Tab 4.4.10</v>
      </c>
      <c r="BH588" s="2505">
        <f>'4.4.10'!$Q$8</f>
        <v>2167.831633361006</v>
      </c>
      <c r="BI588" s="2568" t="s">
        <v>1003</v>
      </c>
      <c r="BJ588" s="1362">
        <f t="shared" si="501"/>
        <v>1529.6220004995259</v>
      </c>
      <c r="BK588" s="1360">
        <f t="shared" si="480"/>
        <v>179.53641829019853</v>
      </c>
      <c r="BL588" s="1601">
        <f t="shared" si="481"/>
        <v>1529.6220004995259</v>
      </c>
      <c r="BM588" s="1601">
        <f t="shared" si="482"/>
        <v>1529.6220004995259</v>
      </c>
      <c r="BN588" s="1601">
        <f t="shared" si="483"/>
        <v>1529.6220004995259</v>
      </c>
      <c r="BO588" s="1601">
        <f t="shared" si="484"/>
        <v>1529.6220004995259</v>
      </c>
      <c r="BP588" s="1602">
        <f t="shared" si="485"/>
        <v>6118.4880019981038</v>
      </c>
      <c r="BQ588" s="1629"/>
      <c r="BR588" s="1629" t="s">
        <v>435</v>
      </c>
      <c r="BS588" s="1602">
        <v>0</v>
      </c>
      <c r="BT588" s="1602">
        <v>25</v>
      </c>
      <c r="BU588" s="1602">
        <v>25</v>
      </c>
      <c r="BV588" s="1602">
        <v>25</v>
      </c>
      <c r="BW588" s="1602">
        <v>25</v>
      </c>
      <c r="BX588" s="1362">
        <f t="shared" si="502"/>
        <v>33752.139555233189</v>
      </c>
      <c r="BY588" s="1362">
        <f t="shared" si="503"/>
        <v>33752.139555233189</v>
      </c>
      <c r="BZ588" s="1362">
        <f t="shared" si="504"/>
        <v>33752.139555233189</v>
      </c>
      <c r="CA588" s="1362">
        <f t="shared" si="505"/>
        <v>33752.139555233189</v>
      </c>
      <c r="CB588" s="1362">
        <f t="shared" si="506"/>
        <v>135008.55822093275</v>
      </c>
      <c r="CC588" s="1360">
        <v>25</v>
      </c>
      <c r="CD588" s="1360">
        <v>25</v>
      </c>
      <c r="CE588" s="1360">
        <v>25</v>
      </c>
      <c r="CF588" s="1360">
        <v>25</v>
      </c>
      <c r="CG588" s="1604">
        <f t="shared" si="486"/>
        <v>38240.550012488144</v>
      </c>
      <c r="CH588" s="1604">
        <f t="shared" si="487"/>
        <v>38240.550012488144</v>
      </c>
      <c r="CI588" s="1604">
        <f t="shared" si="488"/>
        <v>38240.550012488144</v>
      </c>
      <c r="CJ588" s="1604">
        <f t="shared" si="489"/>
        <v>38240.550012488144</v>
      </c>
      <c r="CK588" s="1521">
        <f t="shared" si="490"/>
        <v>152962.20004995257</v>
      </c>
      <c r="CL588" s="1132">
        <v>581</v>
      </c>
      <c r="CM588" s="1132" t="s">
        <v>356</v>
      </c>
      <c r="CN588" s="1359">
        <v>0</v>
      </c>
      <c r="CO588" s="1360">
        <v>0.73499999999999999</v>
      </c>
      <c r="CP588" s="1360">
        <v>0.73499999999999999</v>
      </c>
      <c r="CQ588" s="1360">
        <v>0.73499999999999999</v>
      </c>
      <c r="CR588" s="1360">
        <v>0.73499999999999999</v>
      </c>
      <c r="CS588" s="1362">
        <f t="shared" si="491"/>
        <v>1529.6220004995259</v>
      </c>
      <c r="CT588" s="1362">
        <f t="shared" si="492"/>
        <v>1529.6220004995259</v>
      </c>
      <c r="CU588" s="1362">
        <f t="shared" si="493"/>
        <v>1529.6220004995259</v>
      </c>
      <c r="CV588" s="1362">
        <f t="shared" si="494"/>
        <v>1529.6220004995259</v>
      </c>
      <c r="CW588" s="1362">
        <f t="shared" si="495"/>
        <v>6118.4880019981038</v>
      </c>
      <c r="CY588" s="2887"/>
    </row>
    <row r="589" spans="1:103" s="1143" customFormat="1" ht="77.5" x14ac:dyDescent="0.35">
      <c r="A589" s="1132" t="s">
        <v>116</v>
      </c>
      <c r="B589" s="1132" t="s">
        <v>1014</v>
      </c>
      <c r="C589" s="1132" t="s">
        <v>445</v>
      </c>
      <c r="D589" s="1359" t="s">
        <v>446</v>
      </c>
      <c r="E589" s="1359">
        <v>1</v>
      </c>
      <c r="F589" s="2807" t="s">
        <v>435</v>
      </c>
      <c r="G589" s="1132" t="s">
        <v>356</v>
      </c>
      <c r="H589" s="1360">
        <v>0.18375</v>
      </c>
      <c r="I589" s="1360">
        <v>0.18375</v>
      </c>
      <c r="J589" s="1360">
        <v>0.18375</v>
      </c>
      <c r="K589" s="1360">
        <v>0.18375</v>
      </c>
      <c r="L589" s="1132" t="s">
        <v>436</v>
      </c>
      <c r="M589" s="1132" t="str">
        <f t="shared" si="457"/>
        <v>Nicor Gas PY11-PY14 Adjustable Goals Template_2025-03-01, Tab 4.4.10</v>
      </c>
      <c r="N589" s="1361">
        <v>32.416513030888062</v>
      </c>
      <c r="O589" s="1361">
        <v>32.416513030888062</v>
      </c>
      <c r="P589" s="1361">
        <v>32.416513030888062</v>
      </c>
      <c r="Q589" s="1361">
        <v>32.416513030888062</v>
      </c>
      <c r="R589" s="1781">
        <v>0.83</v>
      </c>
      <c r="S589" s="1781">
        <v>0.83</v>
      </c>
      <c r="T589" s="1781">
        <v>0.83</v>
      </c>
      <c r="U589" s="1781">
        <v>0.83</v>
      </c>
      <c r="V589" s="2567">
        <v>0.96</v>
      </c>
      <c r="W589" s="2567">
        <v>0.96</v>
      </c>
      <c r="X589" s="2567">
        <v>0.96</v>
      </c>
      <c r="Y589" s="2567">
        <v>0.96</v>
      </c>
      <c r="Z589" s="1359">
        <v>0</v>
      </c>
      <c r="AA589" s="2567">
        <f t="shared" si="458"/>
        <v>0.96</v>
      </c>
      <c r="AB589" s="2567">
        <f t="shared" si="459"/>
        <v>0.96</v>
      </c>
      <c r="AC589" s="2567">
        <f t="shared" si="460"/>
        <v>0.96</v>
      </c>
      <c r="AD589" s="2567">
        <f t="shared" si="461"/>
        <v>0.96</v>
      </c>
      <c r="AE589" s="2567">
        <f t="shared" si="462"/>
        <v>0.96</v>
      </c>
      <c r="AF589" s="2567">
        <f t="shared" si="463"/>
        <v>0.96</v>
      </c>
      <c r="AG589" s="2567">
        <f t="shared" si="464"/>
        <v>0.96</v>
      </c>
      <c r="AH589" s="2567">
        <f t="shared" si="465"/>
        <v>0.96</v>
      </c>
      <c r="AI589" s="1362">
        <f t="shared" si="496"/>
        <v>4.9439234436233148</v>
      </c>
      <c r="AJ589" s="1362">
        <f t="shared" si="497"/>
        <v>4.9439234436233148</v>
      </c>
      <c r="AK589" s="1362">
        <f t="shared" si="498"/>
        <v>4.9439234436233148</v>
      </c>
      <c r="AL589" s="1362">
        <f t="shared" si="499"/>
        <v>4.9439234436233148</v>
      </c>
      <c r="AM589" s="1362">
        <f t="shared" si="500"/>
        <v>19.775693774493259</v>
      </c>
      <c r="AN589" s="1132" t="str">
        <f t="shared" si="466"/>
        <v>CI-HVC-BOIL-V06-190101</v>
      </c>
      <c r="AO589" s="1132" t="str">
        <f t="shared" si="467"/>
        <v>Nicor Gas PY11-PY14 Adjustable Goals Template_2025-03-01, Tab 4.4.10</v>
      </c>
      <c r="AP589" s="2568">
        <f>'4.4.10'!$Q$9</f>
        <v>31.753819980695013</v>
      </c>
      <c r="AQ589" s="2568" t="s">
        <v>1003</v>
      </c>
      <c r="AR589" s="2505">
        <f t="shared" si="468"/>
        <v>5.6013738445946002</v>
      </c>
      <c r="AS589" s="2247">
        <f t="shared" si="469"/>
        <v>0.65745040097128538</v>
      </c>
      <c r="AT589" s="1132" t="str">
        <f t="shared" si="470"/>
        <v>CI-HVC-BOIL-V06-190101</v>
      </c>
      <c r="AU589" s="1132" t="str">
        <f t="shared" si="471"/>
        <v>Nicor Gas PY11-PY14 Adjustable Goals Template_2025-03-01, Tab 4.4.10</v>
      </c>
      <c r="AV589" s="2505">
        <f>'4.4.10'!$Q$9</f>
        <v>31.753819980695013</v>
      </c>
      <c r="AW589" s="2568" t="s">
        <v>1003</v>
      </c>
      <c r="AX589" s="1362">
        <f t="shared" si="472"/>
        <v>5.6013738445946002</v>
      </c>
      <c r="AY589" s="1360">
        <f t="shared" si="473"/>
        <v>0.65745040097128538</v>
      </c>
      <c r="AZ589" s="1132" t="str">
        <f t="shared" si="474"/>
        <v>CI-HVC-BOIL-V06-190101</v>
      </c>
      <c r="BA589" s="1132" t="str">
        <f t="shared" si="475"/>
        <v>Nicor Gas PY11-PY14 Adjustable Goals Template_2025-03-01, Tab 4.4.10</v>
      </c>
      <c r="BB589" s="2505">
        <f>'4.4.10'!$Q$9</f>
        <v>31.753819980695013</v>
      </c>
      <c r="BC589" s="2568" t="s">
        <v>1003</v>
      </c>
      <c r="BD589" s="1362">
        <f t="shared" si="476"/>
        <v>5.6013738445946002</v>
      </c>
      <c r="BE589" s="1360">
        <f t="shared" si="477"/>
        <v>0.65745040097128538</v>
      </c>
      <c r="BF589" s="1132" t="str">
        <f t="shared" si="478"/>
        <v>CI-HVC-BOIL-V06-190101</v>
      </c>
      <c r="BG589" s="1132" t="str">
        <f t="shared" si="479"/>
        <v>Nicor Gas PY11-PY14 Adjustable Goals Template_2025-03-01, Tab 4.4.10</v>
      </c>
      <c r="BH589" s="2505">
        <f>'4.4.10'!$Q$9</f>
        <v>31.753819980695013</v>
      </c>
      <c r="BI589" s="2568" t="s">
        <v>1003</v>
      </c>
      <c r="BJ589" s="1362">
        <f t="shared" si="501"/>
        <v>5.6013738445946002</v>
      </c>
      <c r="BK589" s="1360">
        <f t="shared" si="480"/>
        <v>0.65745040097128538</v>
      </c>
      <c r="BL589" s="1601">
        <f t="shared" si="481"/>
        <v>5.6013738445946002</v>
      </c>
      <c r="BM589" s="1601">
        <f t="shared" si="482"/>
        <v>5.6013738445946002</v>
      </c>
      <c r="BN589" s="1601">
        <f t="shared" si="483"/>
        <v>5.6013738445946002</v>
      </c>
      <c r="BO589" s="1601">
        <f t="shared" si="484"/>
        <v>5.6013738445946002</v>
      </c>
      <c r="BP589" s="1602">
        <f t="shared" si="485"/>
        <v>22.405495378378401</v>
      </c>
      <c r="BQ589" s="1629"/>
      <c r="BR589" s="1629" t="s">
        <v>435</v>
      </c>
      <c r="BS589" s="1602">
        <v>0</v>
      </c>
      <c r="BT589" s="1602">
        <v>25</v>
      </c>
      <c r="BU589" s="1602">
        <v>25</v>
      </c>
      <c r="BV589" s="1602">
        <v>25</v>
      </c>
      <c r="BW589" s="1602">
        <v>25</v>
      </c>
      <c r="BX589" s="1362">
        <f t="shared" si="502"/>
        <v>123.59808609058287</v>
      </c>
      <c r="BY589" s="1362">
        <f t="shared" si="503"/>
        <v>123.59808609058287</v>
      </c>
      <c r="BZ589" s="1362">
        <f t="shared" si="504"/>
        <v>123.59808609058287</v>
      </c>
      <c r="CA589" s="1362">
        <f t="shared" si="505"/>
        <v>123.59808609058287</v>
      </c>
      <c r="CB589" s="1362">
        <f t="shared" si="506"/>
        <v>494.39234436233147</v>
      </c>
      <c r="CC589" s="1360">
        <v>25</v>
      </c>
      <c r="CD589" s="1360">
        <v>25</v>
      </c>
      <c r="CE589" s="1360">
        <v>25</v>
      </c>
      <c r="CF589" s="1360">
        <v>25</v>
      </c>
      <c r="CG589" s="1604">
        <f t="shared" si="486"/>
        <v>140.034346114865</v>
      </c>
      <c r="CH589" s="1604">
        <f t="shared" si="487"/>
        <v>140.034346114865</v>
      </c>
      <c r="CI589" s="1604">
        <f t="shared" si="488"/>
        <v>140.034346114865</v>
      </c>
      <c r="CJ589" s="1604">
        <f t="shared" si="489"/>
        <v>140.034346114865</v>
      </c>
      <c r="CK589" s="1521">
        <f t="shared" si="490"/>
        <v>560.13738445946001</v>
      </c>
      <c r="CL589" s="1132">
        <v>582</v>
      </c>
      <c r="CM589" s="1132" t="s">
        <v>356</v>
      </c>
      <c r="CN589" s="1359">
        <v>0</v>
      </c>
      <c r="CO589" s="1360">
        <v>0.18375</v>
      </c>
      <c r="CP589" s="1360">
        <v>0.18375</v>
      </c>
      <c r="CQ589" s="1360">
        <v>0.18375</v>
      </c>
      <c r="CR589" s="1360">
        <v>0.18375</v>
      </c>
      <c r="CS589" s="1362">
        <f t="shared" si="491"/>
        <v>5.6013738445946002</v>
      </c>
      <c r="CT589" s="1362">
        <f t="shared" si="492"/>
        <v>5.6013738445946002</v>
      </c>
      <c r="CU589" s="1362">
        <f t="shared" si="493"/>
        <v>5.6013738445946002</v>
      </c>
      <c r="CV589" s="1362">
        <f t="shared" si="494"/>
        <v>5.6013738445946002</v>
      </c>
      <c r="CW589" s="1362">
        <f t="shared" si="495"/>
        <v>22.405495378378401</v>
      </c>
      <c r="CY589" s="2887"/>
    </row>
    <row r="590" spans="1:103" s="1143" customFormat="1" ht="30" customHeight="1" x14ac:dyDescent="0.35">
      <c r="A590" s="1132" t="s">
        <v>116</v>
      </c>
      <c r="B590" s="1132" t="s">
        <v>1014</v>
      </c>
      <c r="C590" s="1132" t="s">
        <v>447</v>
      </c>
      <c r="D590" s="1359" t="s">
        <v>448</v>
      </c>
      <c r="E590" s="1359">
        <v>1</v>
      </c>
      <c r="F590" s="2807" t="s">
        <v>435</v>
      </c>
      <c r="G590" s="1132" t="s">
        <v>356</v>
      </c>
      <c r="H590" s="1360">
        <v>0.18375</v>
      </c>
      <c r="I590" s="1360">
        <v>0.18375</v>
      </c>
      <c r="J590" s="1360">
        <v>0.18375</v>
      </c>
      <c r="K590" s="1360">
        <v>0.18375</v>
      </c>
      <c r="L590" s="1132" t="s">
        <v>436</v>
      </c>
      <c r="M590" s="1132" t="str">
        <f t="shared" si="457"/>
        <v>Nicor Gas PY11-PY14 Adjustable Goals Template_2025-03-01, Tab 4.4.10</v>
      </c>
      <c r="N590" s="1361">
        <v>74.980804054054119</v>
      </c>
      <c r="O590" s="1361">
        <v>74.980804054054119</v>
      </c>
      <c r="P590" s="1361">
        <v>74.980804054054119</v>
      </c>
      <c r="Q590" s="1361">
        <v>74.980804054054119</v>
      </c>
      <c r="R590" s="1781">
        <v>0.83</v>
      </c>
      <c r="S590" s="1781">
        <v>0.83</v>
      </c>
      <c r="T590" s="1781">
        <v>0.83</v>
      </c>
      <c r="U590" s="1781">
        <v>0.83</v>
      </c>
      <c r="V590" s="2567">
        <v>0.96</v>
      </c>
      <c r="W590" s="2567">
        <v>0.96</v>
      </c>
      <c r="X590" s="2567">
        <v>0.96</v>
      </c>
      <c r="Y590" s="2567">
        <v>0.96</v>
      </c>
      <c r="Z590" s="1359">
        <v>0</v>
      </c>
      <c r="AA590" s="2567">
        <f t="shared" si="458"/>
        <v>0.96</v>
      </c>
      <c r="AB590" s="2567">
        <f t="shared" si="459"/>
        <v>0.96</v>
      </c>
      <c r="AC590" s="2567">
        <f t="shared" si="460"/>
        <v>0.96</v>
      </c>
      <c r="AD590" s="2567">
        <f t="shared" si="461"/>
        <v>0.96</v>
      </c>
      <c r="AE590" s="2567">
        <f t="shared" si="462"/>
        <v>0.96</v>
      </c>
      <c r="AF590" s="2567">
        <f t="shared" si="463"/>
        <v>0.96</v>
      </c>
      <c r="AG590" s="2567">
        <f t="shared" si="464"/>
        <v>0.96</v>
      </c>
      <c r="AH590" s="2567">
        <f t="shared" si="465"/>
        <v>0.96</v>
      </c>
      <c r="AI590" s="1362">
        <f t="shared" si="496"/>
        <v>11.435509878293928</v>
      </c>
      <c r="AJ590" s="1362">
        <f t="shared" si="497"/>
        <v>11.435509878293928</v>
      </c>
      <c r="AK590" s="1362">
        <f t="shared" si="498"/>
        <v>11.435509878293928</v>
      </c>
      <c r="AL590" s="1362">
        <f t="shared" si="499"/>
        <v>11.435509878293928</v>
      </c>
      <c r="AM590" s="1362">
        <f t="shared" si="500"/>
        <v>45.742039513175712</v>
      </c>
      <c r="AN590" s="1132" t="str">
        <f t="shared" si="466"/>
        <v>CI-HVC-BOIL-V06-190101</v>
      </c>
      <c r="AO590" s="1132" t="str">
        <f t="shared" si="467"/>
        <v>Nicor Gas PY11-PY14 Adjustable Goals Template_2025-03-01, Tab 4.4.10</v>
      </c>
      <c r="AP590" s="2568">
        <f>'4.4.10'!$Q$10</f>
        <v>73.447966216216287</v>
      </c>
      <c r="AQ590" s="2568" t="s">
        <v>1003</v>
      </c>
      <c r="AR590" s="2505">
        <f t="shared" si="468"/>
        <v>12.956221240540552</v>
      </c>
      <c r="AS590" s="2505">
        <f t="shared" si="469"/>
        <v>1.5207113622466242</v>
      </c>
      <c r="AT590" s="1132" t="str">
        <f t="shared" si="470"/>
        <v>CI-HVC-BOIL-V06-190101</v>
      </c>
      <c r="AU590" s="1132" t="str">
        <f t="shared" si="471"/>
        <v>Nicor Gas PY11-PY14 Adjustable Goals Template_2025-03-01, Tab 4.4.10</v>
      </c>
      <c r="AV590" s="2505">
        <f>'4.4.10'!$Q$10</f>
        <v>73.447966216216287</v>
      </c>
      <c r="AW590" s="2568" t="s">
        <v>1003</v>
      </c>
      <c r="AX590" s="1362">
        <f t="shared" si="472"/>
        <v>12.956221240540552</v>
      </c>
      <c r="AY590" s="1360">
        <f t="shared" si="473"/>
        <v>1.5207113622466242</v>
      </c>
      <c r="AZ590" s="1132" t="str">
        <f t="shared" si="474"/>
        <v>CI-HVC-BOIL-V06-190101</v>
      </c>
      <c r="BA590" s="1132" t="str">
        <f t="shared" si="475"/>
        <v>Nicor Gas PY11-PY14 Adjustable Goals Template_2025-03-01, Tab 4.4.10</v>
      </c>
      <c r="BB590" s="2505">
        <f>'4.4.10'!$Q$10</f>
        <v>73.447966216216287</v>
      </c>
      <c r="BC590" s="2568" t="s">
        <v>1003</v>
      </c>
      <c r="BD590" s="1362">
        <f t="shared" si="476"/>
        <v>12.956221240540552</v>
      </c>
      <c r="BE590" s="1360">
        <f t="shared" si="477"/>
        <v>1.5207113622466242</v>
      </c>
      <c r="BF590" s="1132" t="str">
        <f t="shared" si="478"/>
        <v>CI-HVC-BOIL-V06-190101</v>
      </c>
      <c r="BG590" s="1132" t="str">
        <f t="shared" si="479"/>
        <v>Nicor Gas PY11-PY14 Adjustable Goals Template_2025-03-01, Tab 4.4.10</v>
      </c>
      <c r="BH590" s="2505">
        <f>'4.4.10'!$Q$10</f>
        <v>73.447966216216287</v>
      </c>
      <c r="BI590" s="2568" t="s">
        <v>1003</v>
      </c>
      <c r="BJ590" s="1362">
        <f t="shared" si="501"/>
        <v>12.956221240540552</v>
      </c>
      <c r="BK590" s="1360">
        <f t="shared" si="480"/>
        <v>1.5207113622466242</v>
      </c>
      <c r="BL590" s="1601">
        <f t="shared" si="481"/>
        <v>12.956221240540552</v>
      </c>
      <c r="BM590" s="1601">
        <f t="shared" si="482"/>
        <v>12.956221240540552</v>
      </c>
      <c r="BN590" s="1601">
        <f t="shared" si="483"/>
        <v>12.956221240540552</v>
      </c>
      <c r="BO590" s="1601">
        <f t="shared" si="484"/>
        <v>12.956221240540552</v>
      </c>
      <c r="BP590" s="1602">
        <f t="shared" si="485"/>
        <v>51.824884962162209</v>
      </c>
      <c r="BQ590" s="1629"/>
      <c r="BR590" s="1629" t="s">
        <v>435</v>
      </c>
      <c r="BS590" s="1602">
        <v>0</v>
      </c>
      <c r="BT590" s="1602">
        <v>25</v>
      </c>
      <c r="BU590" s="1602">
        <v>25</v>
      </c>
      <c r="BV590" s="1602">
        <v>25</v>
      </c>
      <c r="BW590" s="1602">
        <v>25</v>
      </c>
      <c r="BX590" s="1362">
        <f t="shared" si="502"/>
        <v>285.88774695734821</v>
      </c>
      <c r="BY590" s="1362">
        <f t="shared" si="503"/>
        <v>285.88774695734821</v>
      </c>
      <c r="BZ590" s="1362">
        <f t="shared" si="504"/>
        <v>285.88774695734821</v>
      </c>
      <c r="CA590" s="1362">
        <f t="shared" si="505"/>
        <v>285.88774695734821</v>
      </c>
      <c r="CB590" s="1362">
        <f t="shared" si="506"/>
        <v>1143.5509878293929</v>
      </c>
      <c r="CC590" s="1360">
        <v>25</v>
      </c>
      <c r="CD590" s="1360">
        <v>25</v>
      </c>
      <c r="CE590" s="1360">
        <v>25</v>
      </c>
      <c r="CF590" s="1360">
        <v>25</v>
      </c>
      <c r="CG590" s="1604">
        <f t="shared" si="486"/>
        <v>323.90553101351384</v>
      </c>
      <c r="CH590" s="1604">
        <f t="shared" si="487"/>
        <v>323.90553101351384</v>
      </c>
      <c r="CI590" s="1604">
        <f t="shared" si="488"/>
        <v>323.90553101351384</v>
      </c>
      <c r="CJ590" s="1604">
        <f t="shared" si="489"/>
        <v>323.90553101351384</v>
      </c>
      <c r="CK590" s="1521">
        <f t="shared" si="490"/>
        <v>1295.6221240540553</v>
      </c>
      <c r="CL590" s="1132">
        <v>583</v>
      </c>
      <c r="CM590" s="1132" t="s">
        <v>356</v>
      </c>
      <c r="CN590" s="1359">
        <v>0</v>
      </c>
      <c r="CO590" s="1360">
        <v>0.18375</v>
      </c>
      <c r="CP590" s="1360">
        <v>0.18375</v>
      </c>
      <c r="CQ590" s="1360">
        <v>0.18375</v>
      </c>
      <c r="CR590" s="1360">
        <v>0.18375</v>
      </c>
      <c r="CS590" s="1362">
        <f t="shared" si="491"/>
        <v>12.956221240540552</v>
      </c>
      <c r="CT590" s="1362">
        <f t="shared" si="492"/>
        <v>12.956221240540552</v>
      </c>
      <c r="CU590" s="1362">
        <f t="shared" si="493"/>
        <v>12.956221240540552</v>
      </c>
      <c r="CV590" s="1362">
        <f t="shared" si="494"/>
        <v>12.956221240540552</v>
      </c>
      <c r="CW590" s="1362">
        <f t="shared" si="495"/>
        <v>51.824884962162209</v>
      </c>
      <c r="CY590" s="2887"/>
    </row>
    <row r="591" spans="1:103" s="1143" customFormat="1" ht="30" customHeight="1" x14ac:dyDescent="0.35">
      <c r="A591" s="1132" t="s">
        <v>116</v>
      </c>
      <c r="B591" s="1132" t="s">
        <v>1014</v>
      </c>
      <c r="C591" s="1132" t="s">
        <v>449</v>
      </c>
      <c r="D591" s="1359" t="s">
        <v>450</v>
      </c>
      <c r="E591" s="1359">
        <v>1</v>
      </c>
      <c r="F591" s="2807" t="s">
        <v>435</v>
      </c>
      <c r="G591" s="1132" t="s">
        <v>356</v>
      </c>
      <c r="H591" s="1360">
        <v>9.1874999999999998E-2</v>
      </c>
      <c r="I591" s="1360">
        <v>9.1874999999999998E-2</v>
      </c>
      <c r="J591" s="1360">
        <v>9.1874999999999998E-2</v>
      </c>
      <c r="K591" s="1360">
        <v>9.1874999999999998E-2</v>
      </c>
      <c r="L591" s="1132" t="s">
        <v>436</v>
      </c>
      <c r="M591" s="1132" t="str">
        <f t="shared" si="457"/>
        <v>Nicor Gas PY11-PY14 Adjustable Goals Template_2025-03-01, Tab 4.4.10</v>
      </c>
      <c r="N591" s="1361">
        <v>134.22992131467194</v>
      </c>
      <c r="O591" s="1361">
        <v>134.22992131467194</v>
      </c>
      <c r="P591" s="1361">
        <v>134.22992131467194</v>
      </c>
      <c r="Q591" s="1361">
        <v>134.22992131467194</v>
      </c>
      <c r="R591" s="1781">
        <v>0.83</v>
      </c>
      <c r="S591" s="1781">
        <v>0.83</v>
      </c>
      <c r="T591" s="1781">
        <v>0.83</v>
      </c>
      <c r="U591" s="1781">
        <v>0.83</v>
      </c>
      <c r="V591" s="2567">
        <v>0.96</v>
      </c>
      <c r="W591" s="2567">
        <v>0.96</v>
      </c>
      <c r="X591" s="2567">
        <v>0.96</v>
      </c>
      <c r="Y591" s="2567">
        <v>0.96</v>
      </c>
      <c r="Z591" s="1359">
        <v>0</v>
      </c>
      <c r="AA591" s="2567">
        <f t="shared" si="458"/>
        <v>0.96</v>
      </c>
      <c r="AB591" s="2567">
        <f t="shared" si="459"/>
        <v>0.96</v>
      </c>
      <c r="AC591" s="2567">
        <f t="shared" si="460"/>
        <v>0.96</v>
      </c>
      <c r="AD591" s="2567">
        <f t="shared" si="461"/>
        <v>0.96</v>
      </c>
      <c r="AE591" s="2567">
        <f t="shared" si="462"/>
        <v>0.96</v>
      </c>
      <c r="AF591" s="2567">
        <f t="shared" si="463"/>
        <v>0.96</v>
      </c>
      <c r="AG591" s="2567">
        <f t="shared" si="464"/>
        <v>0.96</v>
      </c>
      <c r="AH591" s="2567">
        <f t="shared" si="465"/>
        <v>0.96</v>
      </c>
      <c r="AI591" s="1362">
        <f t="shared" si="496"/>
        <v>10.235870437251952</v>
      </c>
      <c r="AJ591" s="1362">
        <f t="shared" si="497"/>
        <v>10.235870437251952</v>
      </c>
      <c r="AK591" s="1362">
        <f t="shared" si="498"/>
        <v>10.235870437251952</v>
      </c>
      <c r="AL591" s="1362">
        <f t="shared" si="499"/>
        <v>10.235870437251952</v>
      </c>
      <c r="AM591" s="1362">
        <f t="shared" si="500"/>
        <v>40.943481749007809</v>
      </c>
      <c r="AN591" s="1132" t="str">
        <f t="shared" si="466"/>
        <v>CI-HVC-BOIL-V06-190101</v>
      </c>
      <c r="AO591" s="1132" t="str">
        <f t="shared" si="467"/>
        <v>Nicor Gas PY11-PY14 Adjustable Goals Template_2025-03-01, Tab 4.4.10</v>
      </c>
      <c r="AP591" s="2568">
        <f>'4.4.10'!$Q$11</f>
        <v>131.48584961583023</v>
      </c>
      <c r="AQ591" s="2568" t="s">
        <v>1003</v>
      </c>
      <c r="AR591" s="2505">
        <f t="shared" si="468"/>
        <v>11.597051936116227</v>
      </c>
      <c r="AS591" s="2247">
        <f t="shared" si="469"/>
        <v>1.3611814988642745</v>
      </c>
      <c r="AT591" s="1132" t="str">
        <f t="shared" si="470"/>
        <v>CI-HVC-BOIL-V06-190101</v>
      </c>
      <c r="AU591" s="1132" t="str">
        <f t="shared" si="471"/>
        <v>Nicor Gas PY11-PY14 Adjustable Goals Template_2025-03-01, Tab 4.4.10</v>
      </c>
      <c r="AV591" s="2505">
        <f>'4.4.10'!$Q$11</f>
        <v>131.48584961583023</v>
      </c>
      <c r="AW591" s="2568" t="s">
        <v>1003</v>
      </c>
      <c r="AX591" s="1362">
        <f t="shared" si="472"/>
        <v>11.597051936116227</v>
      </c>
      <c r="AY591" s="1360">
        <f t="shared" si="473"/>
        <v>1.3611814988642745</v>
      </c>
      <c r="AZ591" s="1132" t="str">
        <f t="shared" si="474"/>
        <v>CI-HVC-BOIL-V06-190101</v>
      </c>
      <c r="BA591" s="1132" t="str">
        <f t="shared" si="475"/>
        <v>Nicor Gas PY11-PY14 Adjustable Goals Template_2025-03-01, Tab 4.4.10</v>
      </c>
      <c r="BB591" s="2505">
        <f>'4.4.10'!$Q$11</f>
        <v>131.48584961583023</v>
      </c>
      <c r="BC591" s="2568" t="s">
        <v>1003</v>
      </c>
      <c r="BD591" s="1362">
        <f t="shared" si="476"/>
        <v>11.597051936116227</v>
      </c>
      <c r="BE591" s="1360">
        <f t="shared" si="477"/>
        <v>1.3611814988642745</v>
      </c>
      <c r="BF591" s="1132" t="str">
        <f t="shared" si="478"/>
        <v>CI-HVC-BOIL-V06-190101</v>
      </c>
      <c r="BG591" s="1132" t="str">
        <f t="shared" si="479"/>
        <v>Nicor Gas PY11-PY14 Adjustable Goals Template_2025-03-01, Tab 4.4.10</v>
      </c>
      <c r="BH591" s="2505">
        <f>'4.4.10'!$Q$11</f>
        <v>131.48584961583023</v>
      </c>
      <c r="BI591" s="2568" t="s">
        <v>1003</v>
      </c>
      <c r="BJ591" s="1362">
        <f t="shared" si="501"/>
        <v>11.597051936116227</v>
      </c>
      <c r="BK591" s="1360">
        <f t="shared" si="480"/>
        <v>1.3611814988642745</v>
      </c>
      <c r="BL591" s="1601">
        <f t="shared" si="481"/>
        <v>11.597051936116227</v>
      </c>
      <c r="BM591" s="1601">
        <f t="shared" si="482"/>
        <v>11.597051936116227</v>
      </c>
      <c r="BN591" s="1601">
        <f t="shared" si="483"/>
        <v>11.597051936116227</v>
      </c>
      <c r="BO591" s="1601">
        <f t="shared" si="484"/>
        <v>11.597051936116227</v>
      </c>
      <c r="BP591" s="1602">
        <f t="shared" si="485"/>
        <v>46.388207744464907</v>
      </c>
      <c r="BQ591" s="1629"/>
      <c r="BR591" s="1629" t="s">
        <v>435</v>
      </c>
      <c r="BS591" s="1602">
        <v>0</v>
      </c>
      <c r="BT591" s="1602">
        <v>25</v>
      </c>
      <c r="BU591" s="1602">
        <v>25</v>
      </c>
      <c r="BV591" s="1602">
        <v>25</v>
      </c>
      <c r="BW591" s="1602">
        <v>25</v>
      </c>
      <c r="BX591" s="1362">
        <f t="shared" si="502"/>
        <v>255.89676093129881</v>
      </c>
      <c r="BY591" s="1362">
        <f t="shared" si="503"/>
        <v>255.89676093129881</v>
      </c>
      <c r="BZ591" s="1362">
        <f t="shared" si="504"/>
        <v>255.89676093129881</v>
      </c>
      <c r="CA591" s="1362">
        <f t="shared" si="505"/>
        <v>255.89676093129881</v>
      </c>
      <c r="CB591" s="1362">
        <f t="shared" si="506"/>
        <v>1023.5870437251953</v>
      </c>
      <c r="CC591" s="1360">
        <v>25</v>
      </c>
      <c r="CD591" s="1360">
        <v>25</v>
      </c>
      <c r="CE591" s="1360">
        <v>25</v>
      </c>
      <c r="CF591" s="1360">
        <v>25</v>
      </c>
      <c r="CG591" s="1604">
        <f t="shared" si="486"/>
        <v>289.92629840290567</v>
      </c>
      <c r="CH591" s="1604">
        <f t="shared" si="487"/>
        <v>289.92629840290567</v>
      </c>
      <c r="CI591" s="1604">
        <f t="shared" si="488"/>
        <v>289.92629840290567</v>
      </c>
      <c r="CJ591" s="1604">
        <f t="shared" si="489"/>
        <v>289.92629840290567</v>
      </c>
      <c r="CK591" s="1521">
        <f t="shared" si="490"/>
        <v>1159.7051936116227</v>
      </c>
      <c r="CL591" s="1132">
        <v>584</v>
      </c>
      <c r="CM591" s="1132" t="s">
        <v>356</v>
      </c>
      <c r="CN591" s="1359">
        <v>0</v>
      </c>
      <c r="CO591" s="1360">
        <v>9.1874999999999998E-2</v>
      </c>
      <c r="CP591" s="1360">
        <v>9.1874999999999998E-2</v>
      </c>
      <c r="CQ591" s="1360">
        <v>9.1874999999999998E-2</v>
      </c>
      <c r="CR591" s="1360">
        <v>9.1874999999999998E-2</v>
      </c>
      <c r="CS591" s="1362">
        <f t="shared" si="491"/>
        <v>11.597051936116227</v>
      </c>
      <c r="CT591" s="1362">
        <f t="shared" si="492"/>
        <v>11.597051936116227</v>
      </c>
      <c r="CU591" s="1362">
        <f t="shared" si="493"/>
        <v>11.597051936116227</v>
      </c>
      <c r="CV591" s="1362">
        <f t="shared" si="494"/>
        <v>11.597051936116227</v>
      </c>
      <c r="CW591" s="1362">
        <f t="shared" si="495"/>
        <v>46.388207744464907</v>
      </c>
      <c r="CY591" s="2887"/>
    </row>
    <row r="592" spans="1:103" s="1143" customFormat="1" ht="77.5" x14ac:dyDescent="0.35">
      <c r="A592" s="1132" t="s">
        <v>116</v>
      </c>
      <c r="B592" s="1132" t="s">
        <v>1014</v>
      </c>
      <c r="C592" s="1132" t="s">
        <v>451</v>
      </c>
      <c r="D592" s="1359" t="s">
        <v>452</v>
      </c>
      <c r="E592" s="1359">
        <v>1</v>
      </c>
      <c r="F592" s="2807" t="s">
        <v>435</v>
      </c>
      <c r="G592" s="1132" t="s">
        <v>356</v>
      </c>
      <c r="H592" s="1360">
        <v>9.1874999999999998E-2</v>
      </c>
      <c r="I592" s="1360">
        <v>9.1874999999999998E-2</v>
      </c>
      <c r="J592" s="1360">
        <v>9.1874999999999998E-2</v>
      </c>
      <c r="K592" s="1360">
        <v>9.1874999999999998E-2</v>
      </c>
      <c r="L592" s="1132" t="s">
        <v>436</v>
      </c>
      <c r="M592" s="1132" t="str">
        <f t="shared" si="457"/>
        <v>Nicor Gas PY11-PY14 Adjustable Goals Template_2025-03-01, Tab 4.4.10</v>
      </c>
      <c r="N592" s="1361">
        <v>253.19326232722025</v>
      </c>
      <c r="O592" s="1361">
        <v>253.19326232722025</v>
      </c>
      <c r="P592" s="1361">
        <v>253.19326232722025</v>
      </c>
      <c r="Q592" s="1361">
        <v>253.19326232722025</v>
      </c>
      <c r="R592" s="1781">
        <v>0.83</v>
      </c>
      <c r="S592" s="1781">
        <v>0.83</v>
      </c>
      <c r="T592" s="1781">
        <v>0.83</v>
      </c>
      <c r="U592" s="1781">
        <v>0.83</v>
      </c>
      <c r="V592" s="2567">
        <v>0.96</v>
      </c>
      <c r="W592" s="2567">
        <v>0.96</v>
      </c>
      <c r="X592" s="2567">
        <v>0.96</v>
      </c>
      <c r="Y592" s="2567">
        <v>0.96</v>
      </c>
      <c r="Z592" s="1359">
        <v>0</v>
      </c>
      <c r="AA592" s="2567">
        <f t="shared" si="458"/>
        <v>0.96</v>
      </c>
      <c r="AB592" s="2567">
        <f t="shared" si="459"/>
        <v>0.96</v>
      </c>
      <c r="AC592" s="2567">
        <f t="shared" si="460"/>
        <v>0.96</v>
      </c>
      <c r="AD592" s="2567">
        <f t="shared" si="461"/>
        <v>0.96</v>
      </c>
      <c r="AE592" s="2567">
        <f t="shared" si="462"/>
        <v>0.96</v>
      </c>
      <c r="AF592" s="2567">
        <f t="shared" si="463"/>
        <v>0.96</v>
      </c>
      <c r="AG592" s="2567">
        <f t="shared" si="464"/>
        <v>0.96</v>
      </c>
      <c r="AH592" s="2567">
        <f t="shared" si="465"/>
        <v>0.96</v>
      </c>
      <c r="AI592" s="1362">
        <f t="shared" si="496"/>
        <v>19.307568710340089</v>
      </c>
      <c r="AJ592" s="1362">
        <f t="shared" si="497"/>
        <v>19.307568710340089</v>
      </c>
      <c r="AK592" s="1362">
        <f t="shared" si="498"/>
        <v>19.307568710340089</v>
      </c>
      <c r="AL592" s="1362">
        <f t="shared" si="499"/>
        <v>19.307568710340089</v>
      </c>
      <c r="AM592" s="1362">
        <f t="shared" si="500"/>
        <v>77.230274841360355</v>
      </c>
      <c r="AN592" s="1132" t="str">
        <f t="shared" si="466"/>
        <v>CI-HVC-BOIL-V06-190101</v>
      </c>
      <c r="AO592" s="1132" t="str">
        <f t="shared" si="467"/>
        <v>Nicor Gas PY11-PY14 Adjustable Goals Template_2025-03-01, Tab 4.4.10</v>
      </c>
      <c r="AP592" s="2568">
        <f>'4.4.10'!$Q$12</f>
        <v>248.01721470173769</v>
      </c>
      <c r="AQ592" s="2568" t="s">
        <v>1003</v>
      </c>
      <c r="AR592" s="2505">
        <f t="shared" si="468"/>
        <v>21.875118336693266</v>
      </c>
      <c r="AS592" s="2505">
        <f t="shared" si="469"/>
        <v>2.567549626353177</v>
      </c>
      <c r="AT592" s="1132" t="str">
        <f t="shared" si="470"/>
        <v>CI-HVC-BOIL-V06-190101</v>
      </c>
      <c r="AU592" s="1132" t="str">
        <f t="shared" si="471"/>
        <v>Nicor Gas PY11-PY14 Adjustable Goals Template_2025-03-01, Tab 4.4.10</v>
      </c>
      <c r="AV592" s="2505">
        <f>'4.4.10'!$Q$12</f>
        <v>248.01721470173769</v>
      </c>
      <c r="AW592" s="2568" t="s">
        <v>1003</v>
      </c>
      <c r="AX592" s="1362">
        <f t="shared" si="472"/>
        <v>21.875118336693266</v>
      </c>
      <c r="AY592" s="1360">
        <f t="shared" si="473"/>
        <v>2.567549626353177</v>
      </c>
      <c r="AZ592" s="1132" t="str">
        <f t="shared" si="474"/>
        <v>CI-HVC-BOIL-V06-190101</v>
      </c>
      <c r="BA592" s="1132" t="str">
        <f t="shared" si="475"/>
        <v>Nicor Gas PY11-PY14 Adjustable Goals Template_2025-03-01, Tab 4.4.10</v>
      </c>
      <c r="BB592" s="2505">
        <f>'4.4.10'!$Q$12</f>
        <v>248.01721470173769</v>
      </c>
      <c r="BC592" s="2568" t="s">
        <v>1003</v>
      </c>
      <c r="BD592" s="1362">
        <f t="shared" si="476"/>
        <v>21.875118336693266</v>
      </c>
      <c r="BE592" s="1360">
        <f t="shared" si="477"/>
        <v>2.567549626353177</v>
      </c>
      <c r="BF592" s="1132" t="str">
        <f t="shared" si="478"/>
        <v>CI-HVC-BOIL-V06-190101</v>
      </c>
      <c r="BG592" s="1132" t="str">
        <f t="shared" si="479"/>
        <v>Nicor Gas PY11-PY14 Adjustable Goals Template_2025-03-01, Tab 4.4.10</v>
      </c>
      <c r="BH592" s="2505">
        <f>'4.4.10'!$Q$12</f>
        <v>248.01721470173769</v>
      </c>
      <c r="BI592" s="2568" t="s">
        <v>1003</v>
      </c>
      <c r="BJ592" s="1362">
        <f t="shared" si="501"/>
        <v>21.875118336693266</v>
      </c>
      <c r="BK592" s="1360">
        <f t="shared" si="480"/>
        <v>2.567549626353177</v>
      </c>
      <c r="BL592" s="1601">
        <f t="shared" si="481"/>
        <v>21.875118336693266</v>
      </c>
      <c r="BM592" s="1601">
        <f t="shared" si="482"/>
        <v>21.875118336693266</v>
      </c>
      <c r="BN592" s="1601">
        <f t="shared" si="483"/>
        <v>21.875118336693266</v>
      </c>
      <c r="BO592" s="1601">
        <f t="shared" si="484"/>
        <v>21.875118336693266</v>
      </c>
      <c r="BP592" s="1602">
        <f t="shared" si="485"/>
        <v>87.500473346773063</v>
      </c>
      <c r="BQ592" s="1629"/>
      <c r="BR592" s="1629" t="s">
        <v>435</v>
      </c>
      <c r="BS592" s="1602">
        <v>0</v>
      </c>
      <c r="BT592" s="1602">
        <v>25</v>
      </c>
      <c r="BU592" s="1602">
        <v>25</v>
      </c>
      <c r="BV592" s="1602">
        <v>25</v>
      </c>
      <c r="BW592" s="1602">
        <v>25</v>
      </c>
      <c r="BX592" s="1362">
        <f t="shared" si="502"/>
        <v>482.6892177585022</v>
      </c>
      <c r="BY592" s="1362">
        <f t="shared" si="503"/>
        <v>482.6892177585022</v>
      </c>
      <c r="BZ592" s="1362">
        <f t="shared" si="504"/>
        <v>482.6892177585022</v>
      </c>
      <c r="CA592" s="1362">
        <f t="shared" si="505"/>
        <v>482.6892177585022</v>
      </c>
      <c r="CB592" s="1362">
        <f t="shared" si="506"/>
        <v>1930.7568710340088</v>
      </c>
      <c r="CC592" s="1360">
        <v>25</v>
      </c>
      <c r="CD592" s="1360">
        <v>25</v>
      </c>
      <c r="CE592" s="1360">
        <v>25</v>
      </c>
      <c r="CF592" s="1360">
        <v>25</v>
      </c>
      <c r="CG592" s="1604">
        <f t="shared" si="486"/>
        <v>546.87795841733168</v>
      </c>
      <c r="CH592" s="1604">
        <f t="shared" si="487"/>
        <v>546.87795841733168</v>
      </c>
      <c r="CI592" s="1604">
        <f t="shared" si="488"/>
        <v>546.87795841733168</v>
      </c>
      <c r="CJ592" s="1604">
        <f t="shared" si="489"/>
        <v>546.87795841733168</v>
      </c>
      <c r="CK592" s="1521">
        <f t="shared" si="490"/>
        <v>2187.5118336693267</v>
      </c>
      <c r="CL592" s="1132">
        <v>585</v>
      </c>
      <c r="CM592" s="1132" t="s">
        <v>356</v>
      </c>
      <c r="CN592" s="1359">
        <v>0</v>
      </c>
      <c r="CO592" s="1360">
        <v>9.1874999999999998E-2</v>
      </c>
      <c r="CP592" s="1360">
        <v>9.1874999999999998E-2</v>
      </c>
      <c r="CQ592" s="1360">
        <v>9.1874999999999998E-2</v>
      </c>
      <c r="CR592" s="1360">
        <v>9.1874999999999998E-2</v>
      </c>
      <c r="CS592" s="1362">
        <f t="shared" si="491"/>
        <v>21.875118336693266</v>
      </c>
      <c r="CT592" s="1362">
        <f t="shared" si="492"/>
        <v>21.875118336693266</v>
      </c>
      <c r="CU592" s="1362">
        <f t="shared" si="493"/>
        <v>21.875118336693266</v>
      </c>
      <c r="CV592" s="1362">
        <f t="shared" si="494"/>
        <v>21.875118336693266</v>
      </c>
      <c r="CW592" s="1362">
        <f t="shared" si="495"/>
        <v>87.500473346773063</v>
      </c>
      <c r="CY592" s="2887"/>
    </row>
    <row r="593" spans="1:103" s="1143" customFormat="1" ht="46.5" x14ac:dyDescent="0.35">
      <c r="A593" s="1132" t="s">
        <v>116</v>
      </c>
      <c r="B593" s="1132" t="s">
        <v>1014</v>
      </c>
      <c r="C593" s="1132" t="s">
        <v>455</v>
      </c>
      <c r="D593" s="1359" t="s">
        <v>456</v>
      </c>
      <c r="E593" s="1359">
        <v>1</v>
      </c>
      <c r="F593" s="2564" t="s">
        <v>457</v>
      </c>
      <c r="G593" s="1132" t="s">
        <v>356</v>
      </c>
      <c r="H593" s="1360">
        <v>0.73499999999999999</v>
      </c>
      <c r="I593" s="1360">
        <v>0.73499999999999999</v>
      </c>
      <c r="J593" s="1360">
        <v>0.73499999999999999</v>
      </c>
      <c r="K593" s="1360">
        <v>0.73499999999999999</v>
      </c>
      <c r="L593" s="1132" t="s">
        <v>458</v>
      </c>
      <c r="M593" s="1132" t="str">
        <f t="shared" si="457"/>
        <v>Nicor Gas PY11-PY14 Adjustable Goals Template_2025-03-01, Tab 4.4.11</v>
      </c>
      <c r="N593" s="1361">
        <v>246.40192524374996</v>
      </c>
      <c r="O593" s="1361">
        <v>246.40192524374996</v>
      </c>
      <c r="P593" s="1361">
        <v>246.40192524374996</v>
      </c>
      <c r="Q593" s="1361">
        <v>246.40192524374996</v>
      </c>
      <c r="R593" s="1781">
        <v>0.83</v>
      </c>
      <c r="S593" s="1781">
        <v>0.83</v>
      </c>
      <c r="T593" s="1781">
        <v>0.83</v>
      </c>
      <c r="U593" s="1781">
        <v>0.83</v>
      </c>
      <c r="V593" s="2567">
        <v>0.96</v>
      </c>
      <c r="W593" s="2567">
        <v>0.96</v>
      </c>
      <c r="X593" s="2567">
        <v>0.96</v>
      </c>
      <c r="Y593" s="2567">
        <v>0.96</v>
      </c>
      <c r="Z593" s="1359">
        <v>0</v>
      </c>
      <c r="AA593" s="2567">
        <f t="shared" si="458"/>
        <v>0.96</v>
      </c>
      <c r="AB593" s="2567">
        <f t="shared" si="459"/>
        <v>0.96</v>
      </c>
      <c r="AC593" s="2567">
        <f t="shared" si="460"/>
        <v>0.96</v>
      </c>
      <c r="AD593" s="2567">
        <f t="shared" si="461"/>
        <v>0.96</v>
      </c>
      <c r="AE593" s="2567">
        <f t="shared" si="462"/>
        <v>0.96</v>
      </c>
      <c r="AF593" s="2567">
        <f t="shared" si="463"/>
        <v>0.96</v>
      </c>
      <c r="AG593" s="2567">
        <f t="shared" si="464"/>
        <v>0.96</v>
      </c>
      <c r="AH593" s="2567">
        <f t="shared" si="465"/>
        <v>0.96</v>
      </c>
      <c r="AI593" s="1362">
        <f t="shared" si="496"/>
        <v>150.31749449494967</v>
      </c>
      <c r="AJ593" s="1362">
        <f t="shared" si="497"/>
        <v>150.31749449494967</v>
      </c>
      <c r="AK593" s="1362">
        <f t="shared" si="498"/>
        <v>150.31749449494967</v>
      </c>
      <c r="AL593" s="1362">
        <f t="shared" si="499"/>
        <v>150.31749449494967</v>
      </c>
      <c r="AM593" s="1362">
        <f t="shared" si="500"/>
        <v>601.26997797979868</v>
      </c>
      <c r="AN593" s="1132" t="str">
        <f t="shared" si="466"/>
        <v>CI-HVC-FRNC-V08-190101</v>
      </c>
      <c r="AO593" s="1132" t="str">
        <f t="shared" si="467"/>
        <v>Nicor Gas PY11-PY14 Adjustable Goals Template_2025-03-01, Tab 4.4.11</v>
      </c>
      <c r="AP593" s="2505">
        <f>'4.4.11'!$R$4</f>
        <v>246.40192524374996</v>
      </c>
      <c r="AQ593" s="2568" t="s">
        <v>1002</v>
      </c>
      <c r="AR593" s="2505">
        <f t="shared" si="468"/>
        <v>173.86119845198996</v>
      </c>
      <c r="AS593" s="2505">
        <f t="shared" si="469"/>
        <v>23.543703957040293</v>
      </c>
      <c r="AT593" s="1132" t="str">
        <f t="shared" si="470"/>
        <v>CI-HVC-FRNC-V08-190101</v>
      </c>
      <c r="AU593" s="1132" t="str">
        <f t="shared" si="471"/>
        <v>Nicor Gas PY11-PY14 Adjustable Goals Template_2025-03-01, Tab 4.4.11</v>
      </c>
      <c r="AV593" s="2505">
        <f>'4.4.11'!$R$4</f>
        <v>246.40192524374996</v>
      </c>
      <c r="AW593" s="2568" t="s">
        <v>1002</v>
      </c>
      <c r="AX593" s="1362">
        <f t="shared" si="472"/>
        <v>173.86119845198996</v>
      </c>
      <c r="AY593" s="1360">
        <f t="shared" si="473"/>
        <v>23.543703957040293</v>
      </c>
      <c r="AZ593" s="1132" t="str">
        <f t="shared" si="474"/>
        <v>CI-HVC-FRNC-V08-190101</v>
      </c>
      <c r="BA593" s="1132" t="str">
        <f t="shared" si="475"/>
        <v>Nicor Gas PY11-PY14 Adjustable Goals Template_2025-03-01, Tab 4.4.11</v>
      </c>
      <c r="BB593" s="2505">
        <f>'4.4.11'!$R$4</f>
        <v>246.40192524374996</v>
      </c>
      <c r="BC593" s="2568" t="s">
        <v>1002</v>
      </c>
      <c r="BD593" s="1362">
        <f t="shared" si="476"/>
        <v>173.86119845198996</v>
      </c>
      <c r="BE593" s="1360">
        <f t="shared" si="477"/>
        <v>23.543703957040293</v>
      </c>
      <c r="BF593" s="1132" t="str">
        <f t="shared" si="478"/>
        <v>CI-HVC-FRNC-V08-190101</v>
      </c>
      <c r="BG593" s="1132" t="str">
        <f t="shared" si="479"/>
        <v>Nicor Gas PY11-PY14 Adjustable Goals Template_2025-03-01, Tab 4.4.11</v>
      </c>
      <c r="BH593" s="2505">
        <f>'4.4.11'!$R$4</f>
        <v>246.40192524374996</v>
      </c>
      <c r="BI593" s="2568" t="s">
        <v>1002</v>
      </c>
      <c r="BJ593" s="1362">
        <f t="shared" si="501"/>
        <v>173.86119845198996</v>
      </c>
      <c r="BK593" s="1360">
        <f t="shared" si="480"/>
        <v>23.543703957040293</v>
      </c>
      <c r="BL593" s="1601">
        <f t="shared" si="481"/>
        <v>173.86119845198996</v>
      </c>
      <c r="BM593" s="1601">
        <f t="shared" si="482"/>
        <v>173.86119845198996</v>
      </c>
      <c r="BN593" s="1601">
        <f t="shared" si="483"/>
        <v>173.86119845198996</v>
      </c>
      <c r="BO593" s="1601">
        <f t="shared" si="484"/>
        <v>173.86119845198996</v>
      </c>
      <c r="BP593" s="1602">
        <f t="shared" si="485"/>
        <v>695.44479380795985</v>
      </c>
      <c r="BQ593" s="1629"/>
      <c r="BR593" s="1629" t="s">
        <v>457</v>
      </c>
      <c r="BS593" s="1602">
        <v>0</v>
      </c>
      <c r="BT593" s="1602">
        <v>16.5</v>
      </c>
      <c r="BU593" s="1602">
        <v>16.5</v>
      </c>
      <c r="BV593" s="1602">
        <v>16.5</v>
      </c>
      <c r="BW593" s="1602">
        <v>16.5</v>
      </c>
      <c r="BX593" s="1362">
        <f t="shared" si="502"/>
        <v>2480.2386591666695</v>
      </c>
      <c r="BY593" s="1362">
        <f t="shared" si="503"/>
        <v>2480.2386591666695</v>
      </c>
      <c r="BZ593" s="1362">
        <f t="shared" si="504"/>
        <v>2480.2386591666695</v>
      </c>
      <c r="CA593" s="1362">
        <f t="shared" si="505"/>
        <v>2480.2386591666695</v>
      </c>
      <c r="CB593" s="1362">
        <f t="shared" si="506"/>
        <v>9920.9546366666782</v>
      </c>
      <c r="CC593" s="1360">
        <v>16.5</v>
      </c>
      <c r="CD593" s="1360">
        <v>16.5</v>
      </c>
      <c r="CE593" s="1360">
        <v>16.5</v>
      </c>
      <c r="CF593" s="1360">
        <v>16.5</v>
      </c>
      <c r="CG593" s="1604">
        <f t="shared" si="486"/>
        <v>2868.7097744578346</v>
      </c>
      <c r="CH593" s="1604">
        <f t="shared" si="487"/>
        <v>2868.7097744578346</v>
      </c>
      <c r="CI593" s="1604">
        <f t="shared" si="488"/>
        <v>2868.7097744578346</v>
      </c>
      <c r="CJ593" s="1604">
        <f t="shared" si="489"/>
        <v>2868.7097744578346</v>
      </c>
      <c r="CK593" s="1521">
        <f t="shared" si="490"/>
        <v>11474.839097831338</v>
      </c>
      <c r="CL593" s="1132">
        <v>586</v>
      </c>
      <c r="CM593" s="1132" t="s">
        <v>356</v>
      </c>
      <c r="CN593" s="1359">
        <v>0</v>
      </c>
      <c r="CO593" s="1360">
        <v>0.73499999999999999</v>
      </c>
      <c r="CP593" s="1360">
        <v>0.73499999999999999</v>
      </c>
      <c r="CQ593" s="1360">
        <v>0.73499999999999999</v>
      </c>
      <c r="CR593" s="1360">
        <v>0.73499999999999999</v>
      </c>
      <c r="CS593" s="1362">
        <f t="shared" si="491"/>
        <v>173.86119845198996</v>
      </c>
      <c r="CT593" s="1362">
        <f t="shared" si="492"/>
        <v>173.86119845198996</v>
      </c>
      <c r="CU593" s="1362">
        <f t="shared" si="493"/>
        <v>173.86119845198996</v>
      </c>
      <c r="CV593" s="1362">
        <f t="shared" si="494"/>
        <v>173.86119845198996</v>
      </c>
      <c r="CW593" s="1362">
        <f t="shared" si="495"/>
        <v>695.44479380795985</v>
      </c>
      <c r="CY593" s="2887"/>
    </row>
    <row r="594" spans="1:103" s="1143" customFormat="1" ht="46.5" x14ac:dyDescent="0.35">
      <c r="A594" s="1132" t="s">
        <v>116</v>
      </c>
      <c r="B594" s="1132" t="s">
        <v>1014</v>
      </c>
      <c r="C594" s="1132" t="s">
        <v>459</v>
      </c>
      <c r="D594" s="1359" t="s">
        <v>460</v>
      </c>
      <c r="E594" s="1359">
        <v>1</v>
      </c>
      <c r="F594" s="2564" t="s">
        <v>457</v>
      </c>
      <c r="G594" s="1132" t="s">
        <v>356</v>
      </c>
      <c r="H594" s="1360">
        <v>3.6750000000000003</v>
      </c>
      <c r="I594" s="1360">
        <v>3.6750000000000003</v>
      </c>
      <c r="J594" s="1360">
        <v>3.6750000000000003</v>
      </c>
      <c r="K594" s="1360">
        <v>3.6750000000000003</v>
      </c>
      <c r="L594" s="1132" t="s">
        <v>458</v>
      </c>
      <c r="M594" s="1132" t="str">
        <f t="shared" si="457"/>
        <v>Nicor Gas PY11-PY14 Adjustable Goals Template_2025-03-01, Tab 4.4.11</v>
      </c>
      <c r="N594" s="1361">
        <v>309.75045379999989</v>
      </c>
      <c r="O594" s="1361">
        <v>309.75045379999989</v>
      </c>
      <c r="P594" s="1361">
        <v>309.75045379999989</v>
      </c>
      <c r="Q594" s="1361">
        <v>309.75045379999989</v>
      </c>
      <c r="R594" s="1781">
        <v>0.83</v>
      </c>
      <c r="S594" s="1781">
        <v>0.83</v>
      </c>
      <c r="T594" s="1781">
        <v>0.83</v>
      </c>
      <c r="U594" s="1781">
        <v>0.83</v>
      </c>
      <c r="V594" s="2567">
        <v>0.96</v>
      </c>
      <c r="W594" s="2567">
        <v>0.96</v>
      </c>
      <c r="X594" s="2567">
        <v>0.96</v>
      </c>
      <c r="Y594" s="2567">
        <v>0.96</v>
      </c>
      <c r="Z594" s="1359">
        <v>0</v>
      </c>
      <c r="AA594" s="2567">
        <f t="shared" si="458"/>
        <v>0.96</v>
      </c>
      <c r="AB594" s="2567">
        <f t="shared" si="459"/>
        <v>0.96</v>
      </c>
      <c r="AC594" s="2567">
        <f t="shared" si="460"/>
        <v>0.96</v>
      </c>
      <c r="AD594" s="2567">
        <f t="shared" si="461"/>
        <v>0.96</v>
      </c>
      <c r="AE594" s="2567">
        <f t="shared" si="462"/>
        <v>0.96</v>
      </c>
      <c r="AF594" s="2567">
        <f t="shared" si="463"/>
        <v>0.96</v>
      </c>
      <c r="AG594" s="2567">
        <f t="shared" si="464"/>
        <v>0.96</v>
      </c>
      <c r="AH594" s="2567">
        <f t="shared" si="465"/>
        <v>0.96</v>
      </c>
      <c r="AI594" s="1362">
        <f t="shared" si="496"/>
        <v>944.81632170344972</v>
      </c>
      <c r="AJ594" s="1362">
        <f t="shared" si="497"/>
        <v>944.81632170344972</v>
      </c>
      <c r="AK594" s="1362">
        <f t="shared" si="498"/>
        <v>944.81632170344972</v>
      </c>
      <c r="AL594" s="1362">
        <f t="shared" si="499"/>
        <v>944.81632170344972</v>
      </c>
      <c r="AM594" s="1362">
        <f t="shared" si="500"/>
        <v>3779.2652868137989</v>
      </c>
      <c r="AN594" s="1132" t="str">
        <f t="shared" si="466"/>
        <v>CI-HVC-FRNC-V08-190101</v>
      </c>
      <c r="AO594" s="1132" t="str">
        <f t="shared" si="467"/>
        <v>Nicor Gas PY11-PY14 Adjustable Goals Template_2025-03-01, Tab 4.4.11</v>
      </c>
      <c r="AP594" s="2505">
        <f>'4.4.11'!$R$5</f>
        <v>309.75045379999989</v>
      </c>
      <c r="AQ594" s="2568" t="s">
        <v>1002</v>
      </c>
      <c r="AR594" s="2505">
        <f t="shared" si="468"/>
        <v>1092.7996010063996</v>
      </c>
      <c r="AS594" s="2505">
        <f t="shared" si="469"/>
        <v>147.98327930294988</v>
      </c>
      <c r="AT594" s="1132" t="str">
        <f t="shared" si="470"/>
        <v>CI-HVC-FRNC-V08-190101</v>
      </c>
      <c r="AU594" s="1132" t="str">
        <f t="shared" si="471"/>
        <v>Nicor Gas PY11-PY14 Adjustable Goals Template_2025-03-01, Tab 4.4.11</v>
      </c>
      <c r="AV594" s="2505">
        <f>'4.4.11'!$R$5</f>
        <v>309.75045379999989</v>
      </c>
      <c r="AW594" s="2568" t="s">
        <v>1002</v>
      </c>
      <c r="AX594" s="1362">
        <f t="shared" si="472"/>
        <v>1092.7996010063996</v>
      </c>
      <c r="AY594" s="1360">
        <f t="shared" si="473"/>
        <v>147.98327930294988</v>
      </c>
      <c r="AZ594" s="1132" t="str">
        <f t="shared" si="474"/>
        <v>CI-HVC-FRNC-V08-190101</v>
      </c>
      <c r="BA594" s="1132" t="str">
        <f t="shared" si="475"/>
        <v>Nicor Gas PY11-PY14 Adjustable Goals Template_2025-03-01, Tab 4.4.11</v>
      </c>
      <c r="BB594" s="2505">
        <f>'4.4.11'!$R$5</f>
        <v>309.75045379999989</v>
      </c>
      <c r="BC594" s="2568" t="s">
        <v>1002</v>
      </c>
      <c r="BD594" s="1362">
        <f t="shared" si="476"/>
        <v>1092.7996010063996</v>
      </c>
      <c r="BE594" s="1360">
        <f t="shared" si="477"/>
        <v>147.98327930294988</v>
      </c>
      <c r="BF594" s="1132" t="str">
        <f t="shared" si="478"/>
        <v>CI-HVC-FRNC-V08-190101</v>
      </c>
      <c r="BG594" s="1132" t="str">
        <f t="shared" si="479"/>
        <v>Nicor Gas PY11-PY14 Adjustable Goals Template_2025-03-01, Tab 4.4.11</v>
      </c>
      <c r="BH594" s="2505">
        <f>'4.4.11'!$R$5</f>
        <v>309.75045379999989</v>
      </c>
      <c r="BI594" s="2568" t="s">
        <v>1002</v>
      </c>
      <c r="BJ594" s="1362">
        <f t="shared" si="501"/>
        <v>1092.7996010063996</v>
      </c>
      <c r="BK594" s="1360">
        <f t="shared" si="480"/>
        <v>147.98327930294988</v>
      </c>
      <c r="BL594" s="1601">
        <f t="shared" si="481"/>
        <v>1092.7996010063996</v>
      </c>
      <c r="BM594" s="1601">
        <f t="shared" si="482"/>
        <v>1092.7996010063996</v>
      </c>
      <c r="BN594" s="1601">
        <f t="shared" si="483"/>
        <v>1092.7996010063996</v>
      </c>
      <c r="BO594" s="1601">
        <f t="shared" si="484"/>
        <v>1092.7996010063996</v>
      </c>
      <c r="BP594" s="1602">
        <f t="shared" si="485"/>
        <v>4371.1984040255984</v>
      </c>
      <c r="BQ594" s="1629"/>
      <c r="BR594" s="1629" t="s">
        <v>457</v>
      </c>
      <c r="BS594" s="1602">
        <v>0</v>
      </c>
      <c r="BT594" s="1602">
        <v>16.5</v>
      </c>
      <c r="BU594" s="1602">
        <v>16.5</v>
      </c>
      <c r="BV594" s="1602">
        <v>16.5</v>
      </c>
      <c r="BW594" s="1602">
        <v>16.5</v>
      </c>
      <c r="BX594" s="1362">
        <f t="shared" si="502"/>
        <v>15589.46930810692</v>
      </c>
      <c r="BY594" s="1362">
        <f t="shared" si="503"/>
        <v>15589.46930810692</v>
      </c>
      <c r="BZ594" s="1362">
        <f t="shared" si="504"/>
        <v>15589.46930810692</v>
      </c>
      <c r="CA594" s="1362">
        <f t="shared" si="505"/>
        <v>15589.46930810692</v>
      </c>
      <c r="CB594" s="1362">
        <f t="shared" si="506"/>
        <v>62357.87723242768</v>
      </c>
      <c r="CC594" s="1360">
        <v>16.5</v>
      </c>
      <c r="CD594" s="1360">
        <v>16.5</v>
      </c>
      <c r="CE594" s="1360">
        <v>16.5</v>
      </c>
      <c r="CF594" s="1360">
        <v>16.5</v>
      </c>
      <c r="CG594" s="1604">
        <f t="shared" si="486"/>
        <v>18031.193416605594</v>
      </c>
      <c r="CH594" s="1604">
        <f t="shared" si="487"/>
        <v>18031.193416605594</v>
      </c>
      <c r="CI594" s="1604">
        <f t="shared" si="488"/>
        <v>18031.193416605594</v>
      </c>
      <c r="CJ594" s="1604">
        <f t="shared" si="489"/>
        <v>18031.193416605594</v>
      </c>
      <c r="CK594" s="1521">
        <f t="shared" si="490"/>
        <v>72124.773666422378</v>
      </c>
      <c r="CL594" s="1132">
        <v>587</v>
      </c>
      <c r="CM594" s="1132" t="s">
        <v>356</v>
      </c>
      <c r="CN594" s="1359">
        <v>0</v>
      </c>
      <c r="CO594" s="1360">
        <v>3.6750000000000003</v>
      </c>
      <c r="CP594" s="1360">
        <v>3.6750000000000003</v>
      </c>
      <c r="CQ594" s="1360">
        <v>3.6750000000000003</v>
      </c>
      <c r="CR594" s="1360">
        <v>3.6750000000000003</v>
      </c>
      <c r="CS594" s="1362">
        <f t="shared" si="491"/>
        <v>1092.7996010063996</v>
      </c>
      <c r="CT594" s="1362">
        <f t="shared" si="492"/>
        <v>1092.7996010063996</v>
      </c>
      <c r="CU594" s="1362">
        <f t="shared" si="493"/>
        <v>1092.7996010063996</v>
      </c>
      <c r="CV594" s="1362">
        <f t="shared" si="494"/>
        <v>1092.7996010063996</v>
      </c>
      <c r="CW594" s="1362">
        <f t="shared" si="495"/>
        <v>4371.1984040255984</v>
      </c>
      <c r="CY594" s="2887"/>
    </row>
    <row r="595" spans="1:103" s="1143" customFormat="1" ht="118.5" customHeight="1" x14ac:dyDescent="0.35">
      <c r="A595" s="1132" t="s">
        <v>116</v>
      </c>
      <c r="B595" s="1132" t="s">
        <v>1014</v>
      </c>
      <c r="C595" s="1132" t="s">
        <v>468</v>
      </c>
      <c r="D595" s="1359" t="s">
        <v>469</v>
      </c>
      <c r="E595" s="1359">
        <v>1</v>
      </c>
      <c r="F595" s="1780" t="s">
        <v>469</v>
      </c>
      <c r="G595" s="1132" t="s">
        <v>356</v>
      </c>
      <c r="H595" s="1360">
        <v>0.36749999999999999</v>
      </c>
      <c r="I595" s="1360">
        <v>0.36749999999999999</v>
      </c>
      <c r="J595" s="1360">
        <v>0.36749999999999999</v>
      </c>
      <c r="K595" s="1360">
        <v>0.36749999999999999</v>
      </c>
      <c r="L595" s="1132" t="s">
        <v>470</v>
      </c>
      <c r="M595" s="1132" t="str">
        <f t="shared" si="457"/>
        <v>Nicor Gas PY11-PY14 Adjustable Goals Template_2025-03-01, Tab 4.4.12</v>
      </c>
      <c r="N595" s="1361">
        <v>281.27205882352951</v>
      </c>
      <c r="O595" s="1361">
        <v>281.27205882352951</v>
      </c>
      <c r="P595" s="1361">
        <v>281.27205882352951</v>
      </c>
      <c r="Q595" s="1361">
        <v>281.27205882352951</v>
      </c>
      <c r="R595" s="1781">
        <v>0.83</v>
      </c>
      <c r="S595" s="1781">
        <v>0.83</v>
      </c>
      <c r="T595" s="1781">
        <v>0.83</v>
      </c>
      <c r="U595" s="1781">
        <v>0.83</v>
      </c>
      <c r="V595" s="2567">
        <v>0.96</v>
      </c>
      <c r="W595" s="2567">
        <v>0.96</v>
      </c>
      <c r="X595" s="2567">
        <v>0.96</v>
      </c>
      <c r="Y595" s="2567">
        <v>0.96</v>
      </c>
      <c r="Z595" s="1359">
        <v>0</v>
      </c>
      <c r="AA595" s="2567">
        <f t="shared" si="458"/>
        <v>0.96</v>
      </c>
      <c r="AB595" s="2567">
        <f t="shared" si="459"/>
        <v>0.96</v>
      </c>
      <c r="AC595" s="2567">
        <f t="shared" si="460"/>
        <v>0.96</v>
      </c>
      <c r="AD595" s="2567">
        <f t="shared" si="461"/>
        <v>0.96</v>
      </c>
      <c r="AE595" s="2567">
        <f t="shared" si="462"/>
        <v>0.96</v>
      </c>
      <c r="AF595" s="2567">
        <f t="shared" si="463"/>
        <v>0.96</v>
      </c>
      <c r="AG595" s="2567">
        <f t="shared" si="464"/>
        <v>0.96</v>
      </c>
      <c r="AH595" s="2567">
        <f t="shared" si="465"/>
        <v>0.96</v>
      </c>
      <c r="AI595" s="1362">
        <f t="shared" si="496"/>
        <v>85.795009742647082</v>
      </c>
      <c r="AJ595" s="1362">
        <f t="shared" si="497"/>
        <v>85.795009742647082</v>
      </c>
      <c r="AK595" s="1362">
        <f t="shared" si="498"/>
        <v>85.795009742647082</v>
      </c>
      <c r="AL595" s="1362">
        <f t="shared" si="499"/>
        <v>85.795009742647082</v>
      </c>
      <c r="AM595" s="1362">
        <f t="shared" si="500"/>
        <v>343.18003897058833</v>
      </c>
      <c r="AN595" s="1132" t="str">
        <f t="shared" si="466"/>
        <v>CI-HVC-IRHT-V01-190101</v>
      </c>
      <c r="AO595" s="1132" t="str">
        <f t="shared" si="467"/>
        <v>Nicor Gas PY11-PY14 Adjustable Goals Template_2025-03-01, Tab 4.4.12</v>
      </c>
      <c r="AP595" s="2505">
        <f>'4.4.12'!$K$4</f>
        <v>281.27205882352951</v>
      </c>
      <c r="AQ595" s="2568" t="s">
        <v>1002</v>
      </c>
      <c r="AR595" s="2505">
        <f t="shared" si="468"/>
        <v>99.2327823529412</v>
      </c>
      <c r="AS595" s="2505">
        <f t="shared" si="469"/>
        <v>13.437772610294118</v>
      </c>
      <c r="AT595" s="1132" t="str">
        <f t="shared" si="470"/>
        <v>CI-HVC-IRHT-V01-190101</v>
      </c>
      <c r="AU595" s="1132" t="str">
        <f t="shared" si="471"/>
        <v>Nicor Gas PY11-PY14 Adjustable Goals Template_2025-03-01, Tab 4.4.12</v>
      </c>
      <c r="AV595" s="2505">
        <f>'4.4.12'!$K$4</f>
        <v>281.27205882352951</v>
      </c>
      <c r="AW595" s="2568" t="s">
        <v>1002</v>
      </c>
      <c r="AX595" s="1362">
        <f t="shared" si="472"/>
        <v>99.2327823529412</v>
      </c>
      <c r="AY595" s="1360">
        <f t="shared" si="473"/>
        <v>13.437772610294118</v>
      </c>
      <c r="AZ595" s="1132" t="str">
        <f t="shared" si="474"/>
        <v>CI-HVC-IRHT-V01-190101</v>
      </c>
      <c r="BA595" s="1132" t="str">
        <f t="shared" si="475"/>
        <v>Nicor Gas PY11-PY14 Adjustable Goals Template_2025-03-01, Tab 4.4.12</v>
      </c>
      <c r="BB595" s="2505">
        <f>'4.4.12'!$K$4</f>
        <v>281.27205882352951</v>
      </c>
      <c r="BC595" s="2568" t="s">
        <v>1002</v>
      </c>
      <c r="BD595" s="1362">
        <f t="shared" si="476"/>
        <v>99.2327823529412</v>
      </c>
      <c r="BE595" s="1360">
        <f t="shared" si="477"/>
        <v>13.437772610294118</v>
      </c>
      <c r="BF595" s="1132" t="str">
        <f t="shared" si="478"/>
        <v>CI-HVC-IRHT-V01-190101</v>
      </c>
      <c r="BG595" s="1132" t="str">
        <f t="shared" si="479"/>
        <v>Nicor Gas PY11-PY14 Adjustable Goals Template_2025-03-01, Tab 4.4.12</v>
      </c>
      <c r="BH595" s="2505">
        <f>'4.4.12'!$K$4</f>
        <v>281.27205882352951</v>
      </c>
      <c r="BI595" s="2568" t="s">
        <v>1002</v>
      </c>
      <c r="BJ595" s="1362">
        <f t="shared" si="501"/>
        <v>99.2327823529412</v>
      </c>
      <c r="BK595" s="1360">
        <f t="shared" si="480"/>
        <v>13.437772610294118</v>
      </c>
      <c r="BL595" s="1601">
        <f t="shared" si="481"/>
        <v>99.2327823529412</v>
      </c>
      <c r="BM595" s="1601">
        <f t="shared" si="482"/>
        <v>99.2327823529412</v>
      </c>
      <c r="BN595" s="1601">
        <f t="shared" si="483"/>
        <v>99.2327823529412</v>
      </c>
      <c r="BO595" s="1601">
        <f t="shared" si="484"/>
        <v>99.2327823529412</v>
      </c>
      <c r="BP595" s="1602">
        <f t="shared" si="485"/>
        <v>396.9311294117648</v>
      </c>
      <c r="BQ595" s="1629"/>
      <c r="BR595" s="1629" t="s">
        <v>469</v>
      </c>
      <c r="BS595" s="1602">
        <v>0</v>
      </c>
      <c r="BT595" s="1602">
        <v>15</v>
      </c>
      <c r="BU595" s="1602">
        <v>15</v>
      </c>
      <c r="BV595" s="1602">
        <v>15</v>
      </c>
      <c r="BW595" s="1602">
        <v>15</v>
      </c>
      <c r="BX595" s="1362">
        <f t="shared" si="502"/>
        <v>1286.9251461397062</v>
      </c>
      <c r="BY595" s="1362">
        <f t="shared" si="503"/>
        <v>1286.9251461397062</v>
      </c>
      <c r="BZ595" s="1362">
        <f t="shared" si="504"/>
        <v>1286.9251461397062</v>
      </c>
      <c r="CA595" s="1362">
        <f t="shared" si="505"/>
        <v>1286.9251461397062</v>
      </c>
      <c r="CB595" s="1362">
        <f t="shared" si="506"/>
        <v>5147.7005845588246</v>
      </c>
      <c r="CC595" s="1360">
        <v>15</v>
      </c>
      <c r="CD595" s="1360">
        <v>15</v>
      </c>
      <c r="CE595" s="1360">
        <v>15</v>
      </c>
      <c r="CF595" s="1360">
        <v>15</v>
      </c>
      <c r="CG595" s="1604">
        <f t="shared" si="486"/>
        <v>1488.4917352941181</v>
      </c>
      <c r="CH595" s="1604">
        <f t="shared" si="487"/>
        <v>1488.4917352941181</v>
      </c>
      <c r="CI595" s="1604">
        <f t="shared" si="488"/>
        <v>1488.4917352941181</v>
      </c>
      <c r="CJ595" s="1604">
        <f t="shared" si="489"/>
        <v>1488.4917352941181</v>
      </c>
      <c r="CK595" s="1521">
        <f t="shared" si="490"/>
        <v>5953.9669411764726</v>
      </c>
      <c r="CL595" s="1132">
        <v>588</v>
      </c>
      <c r="CM595" s="1132" t="s">
        <v>356</v>
      </c>
      <c r="CN595" s="1359">
        <v>0</v>
      </c>
      <c r="CO595" s="1360">
        <v>0.36749999999999999</v>
      </c>
      <c r="CP595" s="1360">
        <v>0.36749999999999999</v>
      </c>
      <c r="CQ595" s="1360">
        <v>0.36749999999999999</v>
      </c>
      <c r="CR595" s="1360">
        <v>0.36749999999999999</v>
      </c>
      <c r="CS595" s="1362">
        <f t="shared" si="491"/>
        <v>99.2327823529412</v>
      </c>
      <c r="CT595" s="1362">
        <f t="shared" si="492"/>
        <v>99.2327823529412</v>
      </c>
      <c r="CU595" s="1362">
        <f t="shared" si="493"/>
        <v>99.2327823529412</v>
      </c>
      <c r="CV595" s="1362">
        <f t="shared" si="494"/>
        <v>99.2327823529412</v>
      </c>
      <c r="CW595" s="1362">
        <f t="shared" si="495"/>
        <v>396.9311294117648</v>
      </c>
      <c r="CY595" s="2887"/>
    </row>
    <row r="596" spans="1:103" s="1143" customFormat="1" ht="62" x14ac:dyDescent="0.35">
      <c r="A596" s="1132" t="s">
        <v>116</v>
      </c>
      <c r="B596" s="1132" t="s">
        <v>1014</v>
      </c>
      <c r="C596" s="1132" t="s">
        <v>482</v>
      </c>
      <c r="D596" s="1359" t="s">
        <v>483</v>
      </c>
      <c r="E596" s="1359">
        <v>1</v>
      </c>
      <c r="F596" s="2807" t="s">
        <v>479</v>
      </c>
      <c r="G596" s="1132" t="s">
        <v>356</v>
      </c>
      <c r="H596" s="1360">
        <v>0.36749999999999999</v>
      </c>
      <c r="I596" s="1360">
        <v>0.36749999999999999</v>
      </c>
      <c r="J596" s="1360">
        <v>0.36749999999999999</v>
      </c>
      <c r="K596" s="1360">
        <v>0.36749999999999999</v>
      </c>
      <c r="L596" s="1132" t="s">
        <v>480</v>
      </c>
      <c r="M596" s="1132" t="str">
        <f t="shared" si="457"/>
        <v>Nicor Gas PY11-PY14 Adjustable Goals Template_2025-03-01, Tab 4.3.1</v>
      </c>
      <c r="N596" s="1361">
        <v>336.19206214763915</v>
      </c>
      <c r="O596" s="1361">
        <v>336.19206214763915</v>
      </c>
      <c r="P596" s="1361">
        <v>336.19206214763915</v>
      </c>
      <c r="Q596" s="1361">
        <v>336.19206214763915</v>
      </c>
      <c r="R596" s="1781">
        <v>0.83</v>
      </c>
      <c r="S596" s="1781">
        <v>0.83</v>
      </c>
      <c r="T596" s="1781">
        <v>0.83</v>
      </c>
      <c r="U596" s="1781">
        <v>0.83</v>
      </c>
      <c r="V596" s="2567">
        <v>0.96</v>
      </c>
      <c r="W596" s="2567">
        <v>0.96</v>
      </c>
      <c r="X596" s="2567">
        <v>0.96</v>
      </c>
      <c r="Y596" s="2567">
        <v>0.96</v>
      </c>
      <c r="Z596" s="1359">
        <v>0</v>
      </c>
      <c r="AA596" s="2567">
        <f t="shared" si="458"/>
        <v>0.96</v>
      </c>
      <c r="AB596" s="2567">
        <f t="shared" si="459"/>
        <v>0.96</v>
      </c>
      <c r="AC596" s="2567">
        <f t="shared" si="460"/>
        <v>0.96</v>
      </c>
      <c r="AD596" s="2567">
        <f t="shared" si="461"/>
        <v>0.96</v>
      </c>
      <c r="AE596" s="2567">
        <f t="shared" si="462"/>
        <v>0.96</v>
      </c>
      <c r="AF596" s="2567">
        <f t="shared" si="463"/>
        <v>0.96</v>
      </c>
      <c r="AG596" s="2567">
        <f t="shared" si="464"/>
        <v>0.96</v>
      </c>
      <c r="AH596" s="2567">
        <f t="shared" si="465"/>
        <v>0.96</v>
      </c>
      <c r="AI596" s="1362">
        <f t="shared" si="496"/>
        <v>102.54698375658363</v>
      </c>
      <c r="AJ596" s="1362">
        <f t="shared" si="497"/>
        <v>102.54698375658363</v>
      </c>
      <c r="AK596" s="1362">
        <f t="shared" si="498"/>
        <v>102.54698375658363</v>
      </c>
      <c r="AL596" s="1362">
        <f t="shared" si="499"/>
        <v>102.54698375658363</v>
      </c>
      <c r="AM596" s="1362">
        <f t="shared" si="500"/>
        <v>410.18793502633451</v>
      </c>
      <c r="AN596" s="1132" t="str">
        <f t="shared" si="466"/>
        <v>CI-HW_-HWE-V03-190101</v>
      </c>
      <c r="AO596" s="1132" t="str">
        <f t="shared" si="467"/>
        <v>Nicor Gas PY11-PY14 Adjustable Goals Template_2025-03-01, Tab 4.3.1</v>
      </c>
      <c r="AP596" s="2568">
        <f>'4.3.1'!$Q$5</f>
        <v>350.51919514182515</v>
      </c>
      <c r="AQ596" s="2568" t="s">
        <v>1004</v>
      </c>
      <c r="AR596" s="2505">
        <f t="shared" si="468"/>
        <v>123.6631720460359</v>
      </c>
      <c r="AS596" s="2505">
        <f t="shared" si="469"/>
        <v>21.116188289452268</v>
      </c>
      <c r="AT596" s="1132" t="str">
        <f t="shared" si="470"/>
        <v>CI-HW_-HWE-V03-190101</v>
      </c>
      <c r="AU596" s="1132" t="str">
        <f t="shared" si="471"/>
        <v>Nicor Gas PY11-PY14 Adjustable Goals Template_2025-03-01, Tab 4.3.1</v>
      </c>
      <c r="AV596" s="2505">
        <f>'4.3.1'!$Q$5</f>
        <v>350.51919514182515</v>
      </c>
      <c r="AW596" s="2568" t="s">
        <v>1004</v>
      </c>
      <c r="AX596" s="1362">
        <f t="shared" si="472"/>
        <v>123.6631720460359</v>
      </c>
      <c r="AY596" s="1360">
        <f t="shared" si="473"/>
        <v>21.116188289452268</v>
      </c>
      <c r="AZ596" s="1132" t="str">
        <f t="shared" si="474"/>
        <v>CI-HW_-HWE-V03-190101</v>
      </c>
      <c r="BA596" s="1132" t="str">
        <f t="shared" si="475"/>
        <v>Nicor Gas PY11-PY14 Adjustable Goals Template_2025-03-01, Tab 4.3.1</v>
      </c>
      <c r="BB596" s="2505">
        <f>'4.3.1'!$Q$5</f>
        <v>350.51919514182515</v>
      </c>
      <c r="BC596" s="2568" t="s">
        <v>1004</v>
      </c>
      <c r="BD596" s="1362">
        <f t="shared" si="476"/>
        <v>123.6631720460359</v>
      </c>
      <c r="BE596" s="1360">
        <f t="shared" si="477"/>
        <v>21.116188289452268</v>
      </c>
      <c r="BF596" s="1132" t="str">
        <f t="shared" si="478"/>
        <v>CI-HW_-HWE-V03-190101</v>
      </c>
      <c r="BG596" s="1132" t="str">
        <f t="shared" si="479"/>
        <v>Nicor Gas PY11-PY14 Adjustable Goals Template_2025-03-01, Tab 4.3.1</v>
      </c>
      <c r="BH596" s="2505">
        <f>'4.3.1'!$Q$5</f>
        <v>350.51919514182515</v>
      </c>
      <c r="BI596" s="2568" t="s">
        <v>1004</v>
      </c>
      <c r="BJ596" s="1362">
        <f t="shared" si="501"/>
        <v>123.6631720460359</v>
      </c>
      <c r="BK596" s="1360">
        <f t="shared" si="480"/>
        <v>21.116188289452268</v>
      </c>
      <c r="BL596" s="1601">
        <f t="shared" si="481"/>
        <v>123.6631720460359</v>
      </c>
      <c r="BM596" s="1601">
        <f t="shared" si="482"/>
        <v>123.6631720460359</v>
      </c>
      <c r="BN596" s="1601">
        <f t="shared" si="483"/>
        <v>123.6631720460359</v>
      </c>
      <c r="BO596" s="1601">
        <f t="shared" si="484"/>
        <v>123.6631720460359</v>
      </c>
      <c r="BP596" s="1602">
        <f t="shared" si="485"/>
        <v>494.65268818414359</v>
      </c>
      <c r="BQ596" s="1629"/>
      <c r="BR596" s="1629" t="s">
        <v>479</v>
      </c>
      <c r="BS596" s="1602">
        <v>0</v>
      </c>
      <c r="BT596" s="1602">
        <v>15</v>
      </c>
      <c r="BU596" s="1602">
        <v>15</v>
      </c>
      <c r="BV596" s="1602">
        <v>15</v>
      </c>
      <c r="BW596" s="1602">
        <v>15</v>
      </c>
      <c r="BX596" s="1362">
        <f t="shared" si="502"/>
        <v>1538.2047563487545</v>
      </c>
      <c r="BY596" s="1362">
        <f t="shared" si="503"/>
        <v>1538.2047563487545</v>
      </c>
      <c r="BZ596" s="1362">
        <f t="shared" si="504"/>
        <v>1538.2047563487545</v>
      </c>
      <c r="CA596" s="1362">
        <f t="shared" si="505"/>
        <v>1538.2047563487545</v>
      </c>
      <c r="CB596" s="1362">
        <f t="shared" si="506"/>
        <v>6152.8190253950179</v>
      </c>
      <c r="CC596" s="1360">
        <v>15</v>
      </c>
      <c r="CD596" s="1360">
        <v>15</v>
      </c>
      <c r="CE596" s="1360">
        <v>15</v>
      </c>
      <c r="CF596" s="1360">
        <v>15</v>
      </c>
      <c r="CG596" s="1604">
        <f t="shared" si="486"/>
        <v>1854.9475806905386</v>
      </c>
      <c r="CH596" s="1604">
        <f t="shared" si="487"/>
        <v>1854.9475806905386</v>
      </c>
      <c r="CI596" s="1604">
        <f t="shared" si="488"/>
        <v>1854.9475806905386</v>
      </c>
      <c r="CJ596" s="1604">
        <f t="shared" si="489"/>
        <v>1854.9475806905386</v>
      </c>
      <c r="CK596" s="1521">
        <f t="shared" si="490"/>
        <v>7419.7903227621546</v>
      </c>
      <c r="CL596" s="1132">
        <v>589</v>
      </c>
      <c r="CM596" s="1132" t="s">
        <v>356</v>
      </c>
      <c r="CN596" s="1359">
        <v>0</v>
      </c>
      <c r="CO596" s="1360">
        <v>0.36749999999999999</v>
      </c>
      <c r="CP596" s="1360">
        <v>0.36749999999999999</v>
      </c>
      <c r="CQ596" s="1360">
        <v>0.36749999999999999</v>
      </c>
      <c r="CR596" s="1360">
        <v>0.36749999999999999</v>
      </c>
      <c r="CS596" s="1362">
        <f t="shared" si="491"/>
        <v>123.6631720460359</v>
      </c>
      <c r="CT596" s="1362">
        <f t="shared" si="492"/>
        <v>123.6631720460359</v>
      </c>
      <c r="CU596" s="1362">
        <f t="shared" si="493"/>
        <v>123.6631720460359</v>
      </c>
      <c r="CV596" s="1362">
        <f t="shared" si="494"/>
        <v>123.6631720460359</v>
      </c>
      <c r="CW596" s="1362">
        <f t="shared" si="495"/>
        <v>494.65268818414359</v>
      </c>
      <c r="CY596" s="2887"/>
    </row>
    <row r="597" spans="1:103" s="1143" customFormat="1" ht="46.5" x14ac:dyDescent="0.35">
      <c r="A597" s="1132" t="s">
        <v>116</v>
      </c>
      <c r="B597" s="1132" t="s">
        <v>1014</v>
      </c>
      <c r="C597" s="1132" t="s">
        <v>334</v>
      </c>
      <c r="D597" s="1359" t="s">
        <v>335</v>
      </c>
      <c r="E597" s="1359">
        <v>1</v>
      </c>
      <c r="F597" s="2564" t="s">
        <v>336</v>
      </c>
      <c r="G597" s="1132" t="s">
        <v>337</v>
      </c>
      <c r="H597" s="1360">
        <v>91.875</v>
      </c>
      <c r="I597" s="1360">
        <v>91.875</v>
      </c>
      <c r="J597" s="1360">
        <v>91.875</v>
      </c>
      <c r="K597" s="1360">
        <v>91.875</v>
      </c>
      <c r="L597" s="1132" t="s">
        <v>338</v>
      </c>
      <c r="M597" s="1132" t="str">
        <f t="shared" si="457"/>
        <v>Nicor Gas PY11-PY14 Adjustable Goals Template_2025-03-01, Tab 4.4.14</v>
      </c>
      <c r="N597" s="1361">
        <v>1.6846271672771671</v>
      </c>
      <c r="O597" s="1361">
        <v>1.6846271672771671</v>
      </c>
      <c r="P597" s="1361">
        <v>1.6846271672771671</v>
      </c>
      <c r="Q597" s="1361">
        <v>1.6846271672771671</v>
      </c>
      <c r="R597" s="1781">
        <v>0.83</v>
      </c>
      <c r="S597" s="1781">
        <v>0.83</v>
      </c>
      <c r="T597" s="1781">
        <v>0.83</v>
      </c>
      <c r="U597" s="1781">
        <v>0.83</v>
      </c>
      <c r="V597" s="2567">
        <v>0.96</v>
      </c>
      <c r="W597" s="2567">
        <v>0.96</v>
      </c>
      <c r="X597" s="2567">
        <v>0.96</v>
      </c>
      <c r="Y597" s="2567">
        <v>0.96</v>
      </c>
      <c r="Z597" s="1359">
        <v>0</v>
      </c>
      <c r="AA597" s="2567">
        <f t="shared" si="458"/>
        <v>0.96</v>
      </c>
      <c r="AB597" s="2567">
        <f t="shared" si="459"/>
        <v>0.96</v>
      </c>
      <c r="AC597" s="2567">
        <f t="shared" si="460"/>
        <v>0.96</v>
      </c>
      <c r="AD597" s="2567">
        <f t="shared" si="461"/>
        <v>0.96</v>
      </c>
      <c r="AE597" s="2567">
        <f t="shared" si="462"/>
        <v>0.96</v>
      </c>
      <c r="AF597" s="2567">
        <f t="shared" si="463"/>
        <v>0.96</v>
      </c>
      <c r="AG597" s="2567">
        <f t="shared" si="464"/>
        <v>0.96</v>
      </c>
      <c r="AH597" s="2567">
        <f t="shared" si="465"/>
        <v>0.96</v>
      </c>
      <c r="AI597" s="1362">
        <f t="shared" si="496"/>
        <v>128.46335042467948</v>
      </c>
      <c r="AJ597" s="1362">
        <f t="shared" si="497"/>
        <v>128.46335042467948</v>
      </c>
      <c r="AK597" s="1362">
        <f t="shared" si="498"/>
        <v>128.46335042467948</v>
      </c>
      <c r="AL597" s="1362">
        <f t="shared" si="499"/>
        <v>128.46335042467948</v>
      </c>
      <c r="AM597" s="1362">
        <f t="shared" si="500"/>
        <v>513.8534016987179</v>
      </c>
      <c r="AN597" s="1132" t="str">
        <f t="shared" si="466"/>
        <v>CI-HVC-PINS-V05-190101</v>
      </c>
      <c r="AO597" s="1132" t="str">
        <f t="shared" si="467"/>
        <v>Nicor Gas PY11-PY14 Adjustable Goals Template_2025-03-01, Tab 4.4.14</v>
      </c>
      <c r="AP597" s="2505">
        <f>'4.4.14'!$T$10</f>
        <v>1.6846271672771671</v>
      </c>
      <c r="AQ597" s="2568" t="s">
        <v>1002</v>
      </c>
      <c r="AR597" s="2505">
        <f t="shared" si="468"/>
        <v>148.58411615384614</v>
      </c>
      <c r="AS597" s="2505">
        <f t="shared" si="469"/>
        <v>20.120765729166664</v>
      </c>
      <c r="AT597" s="1132" t="str">
        <f t="shared" si="470"/>
        <v>CI-HVC-PINS-V05-190101</v>
      </c>
      <c r="AU597" s="1132" t="str">
        <f t="shared" si="471"/>
        <v>Nicor Gas PY11-PY14 Adjustable Goals Template_2025-03-01, Tab 4.4.14</v>
      </c>
      <c r="AV597" s="2505">
        <f>'4.4.14'!$T$10</f>
        <v>1.6846271672771671</v>
      </c>
      <c r="AW597" s="2568" t="s">
        <v>1002</v>
      </c>
      <c r="AX597" s="1362">
        <f t="shared" si="472"/>
        <v>148.58411615384614</v>
      </c>
      <c r="AY597" s="1360">
        <f t="shared" si="473"/>
        <v>20.120765729166664</v>
      </c>
      <c r="AZ597" s="1132" t="str">
        <f t="shared" si="474"/>
        <v>CI-HVC-PINS-V05-190101</v>
      </c>
      <c r="BA597" s="1132" t="str">
        <f t="shared" si="475"/>
        <v>Nicor Gas PY11-PY14 Adjustable Goals Template_2025-03-01, Tab 4.4.14</v>
      </c>
      <c r="BB597" s="2505">
        <f>'4.4.14'!$T$10</f>
        <v>1.6846271672771671</v>
      </c>
      <c r="BC597" s="2568" t="s">
        <v>1002</v>
      </c>
      <c r="BD597" s="1362">
        <f t="shared" si="476"/>
        <v>148.58411615384614</v>
      </c>
      <c r="BE597" s="1360">
        <f t="shared" si="477"/>
        <v>20.120765729166664</v>
      </c>
      <c r="BF597" s="1132" t="str">
        <f t="shared" si="478"/>
        <v>CI-HVC-PINS-V05-190101</v>
      </c>
      <c r="BG597" s="1132" t="str">
        <f t="shared" si="479"/>
        <v>Nicor Gas PY11-PY14 Adjustable Goals Template_2025-03-01, Tab 4.4.14</v>
      </c>
      <c r="BH597" s="2505">
        <f>'4.4.14'!$T$10</f>
        <v>1.6846271672771671</v>
      </c>
      <c r="BI597" s="2568" t="s">
        <v>1002</v>
      </c>
      <c r="BJ597" s="1362">
        <f t="shared" si="501"/>
        <v>148.58411615384614</v>
      </c>
      <c r="BK597" s="1360">
        <f t="shared" si="480"/>
        <v>20.120765729166664</v>
      </c>
      <c r="BL597" s="1601">
        <f t="shared" si="481"/>
        <v>148.58411615384614</v>
      </c>
      <c r="BM597" s="1601">
        <f t="shared" si="482"/>
        <v>148.58411615384614</v>
      </c>
      <c r="BN597" s="1601">
        <f t="shared" si="483"/>
        <v>148.58411615384614</v>
      </c>
      <c r="BO597" s="1601">
        <f t="shared" si="484"/>
        <v>148.58411615384614</v>
      </c>
      <c r="BP597" s="1602">
        <f t="shared" si="485"/>
        <v>594.33646461538456</v>
      </c>
      <c r="BQ597" s="1629"/>
      <c r="BR597" s="1629" t="s">
        <v>336</v>
      </c>
      <c r="BS597" s="1602">
        <v>0</v>
      </c>
      <c r="BT597" s="1602">
        <v>15</v>
      </c>
      <c r="BU597" s="1602">
        <v>15</v>
      </c>
      <c r="BV597" s="1602">
        <v>15</v>
      </c>
      <c r="BW597" s="1602">
        <v>15</v>
      </c>
      <c r="BX597" s="1362">
        <f t="shared" si="502"/>
        <v>1926.9502563701922</v>
      </c>
      <c r="BY597" s="1362">
        <f t="shared" si="503"/>
        <v>1926.9502563701922</v>
      </c>
      <c r="BZ597" s="1362">
        <f t="shared" si="504"/>
        <v>1926.9502563701922</v>
      </c>
      <c r="CA597" s="1362">
        <f t="shared" si="505"/>
        <v>1926.9502563701922</v>
      </c>
      <c r="CB597" s="1362">
        <f t="shared" si="506"/>
        <v>7707.8010254807687</v>
      </c>
      <c r="CC597" s="1360">
        <v>15</v>
      </c>
      <c r="CD597" s="1360">
        <v>15</v>
      </c>
      <c r="CE597" s="1360">
        <v>15</v>
      </c>
      <c r="CF597" s="1360">
        <v>15</v>
      </c>
      <c r="CG597" s="1604">
        <f t="shared" si="486"/>
        <v>2228.7617423076922</v>
      </c>
      <c r="CH597" s="1604">
        <f t="shared" si="487"/>
        <v>2228.7617423076922</v>
      </c>
      <c r="CI597" s="1604">
        <f t="shared" si="488"/>
        <v>2228.7617423076922</v>
      </c>
      <c r="CJ597" s="1604">
        <f t="shared" si="489"/>
        <v>2228.7617423076922</v>
      </c>
      <c r="CK597" s="1521">
        <f t="shared" si="490"/>
        <v>8915.0469692307688</v>
      </c>
      <c r="CL597" s="1132">
        <v>590</v>
      </c>
      <c r="CM597" s="1132" t="s">
        <v>337</v>
      </c>
      <c r="CN597" s="1359">
        <v>0</v>
      </c>
      <c r="CO597" s="1360">
        <v>91.875</v>
      </c>
      <c r="CP597" s="1360">
        <v>91.875</v>
      </c>
      <c r="CQ597" s="1360">
        <v>91.875</v>
      </c>
      <c r="CR597" s="1360">
        <v>91.875</v>
      </c>
      <c r="CS597" s="1362">
        <f t="shared" si="491"/>
        <v>148.58411615384614</v>
      </c>
      <c r="CT597" s="1362">
        <f t="shared" si="492"/>
        <v>148.58411615384614</v>
      </c>
      <c r="CU597" s="1362">
        <f t="shared" si="493"/>
        <v>148.58411615384614</v>
      </c>
      <c r="CV597" s="1362">
        <f t="shared" si="494"/>
        <v>148.58411615384614</v>
      </c>
      <c r="CW597" s="1362">
        <f t="shared" si="495"/>
        <v>594.33646461538456</v>
      </c>
      <c r="CY597" s="2887"/>
    </row>
    <row r="598" spans="1:103" s="1143" customFormat="1" ht="46.5" x14ac:dyDescent="0.35">
      <c r="A598" s="1132" t="s">
        <v>116</v>
      </c>
      <c r="B598" s="1132" t="s">
        <v>1014</v>
      </c>
      <c r="C598" s="1132" t="s">
        <v>339</v>
      </c>
      <c r="D598" s="1359" t="s">
        <v>340</v>
      </c>
      <c r="E598" s="1359">
        <v>1</v>
      </c>
      <c r="F598" s="2564" t="s">
        <v>336</v>
      </c>
      <c r="G598" s="1132" t="s">
        <v>337</v>
      </c>
      <c r="H598" s="1360">
        <v>367.5</v>
      </c>
      <c r="I598" s="1360">
        <v>367.5</v>
      </c>
      <c r="J598" s="1360">
        <v>367.5</v>
      </c>
      <c r="K598" s="1360">
        <v>367.5</v>
      </c>
      <c r="L598" s="1132" t="s">
        <v>338</v>
      </c>
      <c r="M598" s="1132" t="str">
        <f t="shared" si="457"/>
        <v>Nicor Gas PY11-PY14 Adjustable Goals Template_2025-03-01, Tab 4.4.14</v>
      </c>
      <c r="N598" s="1361">
        <v>4.3477888475836428</v>
      </c>
      <c r="O598" s="1361">
        <v>4.3477888475836428</v>
      </c>
      <c r="P598" s="1361">
        <v>4.3477888475836428</v>
      </c>
      <c r="Q598" s="1361">
        <v>4.3477888475836428</v>
      </c>
      <c r="R598" s="1781">
        <v>0.83</v>
      </c>
      <c r="S598" s="1781">
        <v>0.83</v>
      </c>
      <c r="T598" s="1781">
        <v>0.83</v>
      </c>
      <c r="U598" s="1781">
        <v>0.83</v>
      </c>
      <c r="V598" s="2567">
        <v>0.96</v>
      </c>
      <c r="W598" s="2567">
        <v>0.96</v>
      </c>
      <c r="X598" s="2567">
        <v>0.96</v>
      </c>
      <c r="Y598" s="2567">
        <v>0.96</v>
      </c>
      <c r="Z598" s="1359">
        <v>0</v>
      </c>
      <c r="AA598" s="2567">
        <f t="shared" si="458"/>
        <v>0.96</v>
      </c>
      <c r="AB598" s="2567">
        <f t="shared" si="459"/>
        <v>0.96</v>
      </c>
      <c r="AC598" s="2567">
        <f t="shared" si="460"/>
        <v>0.96</v>
      </c>
      <c r="AD598" s="2567">
        <f t="shared" si="461"/>
        <v>0.96</v>
      </c>
      <c r="AE598" s="2567">
        <f t="shared" si="462"/>
        <v>0.96</v>
      </c>
      <c r="AF598" s="2567">
        <f t="shared" si="463"/>
        <v>0.96</v>
      </c>
      <c r="AG598" s="2567">
        <f t="shared" si="464"/>
        <v>0.96</v>
      </c>
      <c r="AH598" s="2567">
        <f t="shared" si="465"/>
        <v>0.96</v>
      </c>
      <c r="AI598" s="1362">
        <f t="shared" si="496"/>
        <v>1326.1842932342006</v>
      </c>
      <c r="AJ598" s="1362">
        <f t="shared" si="497"/>
        <v>1326.1842932342006</v>
      </c>
      <c r="AK598" s="1362">
        <f t="shared" si="498"/>
        <v>1326.1842932342006</v>
      </c>
      <c r="AL598" s="1362">
        <f t="shared" si="499"/>
        <v>1326.1842932342006</v>
      </c>
      <c r="AM598" s="1362">
        <f t="shared" si="500"/>
        <v>5304.7371729368024</v>
      </c>
      <c r="AN598" s="1132" t="str">
        <f t="shared" si="466"/>
        <v>CI-HVC-PINS-V05-190101</v>
      </c>
      <c r="AO598" s="1132" t="str">
        <f t="shared" si="467"/>
        <v>Nicor Gas PY11-PY14 Adjustable Goals Template_2025-03-01, Tab 4.4.14</v>
      </c>
      <c r="AP598" s="2505">
        <f>'4.4.14'!$T$7</f>
        <v>4.3477888475836428</v>
      </c>
      <c r="AQ598" s="2568" t="s">
        <v>1002</v>
      </c>
      <c r="AR598" s="2505">
        <f t="shared" si="468"/>
        <v>1533.8999054275093</v>
      </c>
      <c r="AS598" s="2505">
        <f t="shared" si="469"/>
        <v>207.71561219330874</v>
      </c>
      <c r="AT598" s="1132" t="str">
        <f t="shared" si="470"/>
        <v>CI-HVC-PINS-V05-190101</v>
      </c>
      <c r="AU598" s="1132" t="str">
        <f t="shared" si="471"/>
        <v>Nicor Gas PY11-PY14 Adjustable Goals Template_2025-03-01, Tab 4.4.14</v>
      </c>
      <c r="AV598" s="2505">
        <f>'4.4.14'!$T$7</f>
        <v>4.3477888475836428</v>
      </c>
      <c r="AW598" s="2568" t="s">
        <v>1002</v>
      </c>
      <c r="AX598" s="1362">
        <f t="shared" si="472"/>
        <v>1533.8999054275093</v>
      </c>
      <c r="AY598" s="1360">
        <f t="shared" si="473"/>
        <v>207.71561219330874</v>
      </c>
      <c r="AZ598" s="1132" t="str">
        <f t="shared" si="474"/>
        <v>CI-HVC-PINS-V05-190101</v>
      </c>
      <c r="BA598" s="1132" t="str">
        <f t="shared" si="475"/>
        <v>Nicor Gas PY11-PY14 Adjustable Goals Template_2025-03-01, Tab 4.4.14</v>
      </c>
      <c r="BB598" s="2505">
        <f>'4.4.14'!$T$7</f>
        <v>4.3477888475836428</v>
      </c>
      <c r="BC598" s="2568" t="s">
        <v>1002</v>
      </c>
      <c r="BD598" s="1362">
        <f t="shared" si="476"/>
        <v>1533.8999054275093</v>
      </c>
      <c r="BE598" s="1360">
        <f t="shared" si="477"/>
        <v>207.71561219330874</v>
      </c>
      <c r="BF598" s="1132" t="str">
        <f t="shared" si="478"/>
        <v>CI-HVC-PINS-V05-190101</v>
      </c>
      <c r="BG598" s="1132" t="str">
        <f t="shared" si="479"/>
        <v>Nicor Gas PY11-PY14 Adjustable Goals Template_2025-03-01, Tab 4.4.14</v>
      </c>
      <c r="BH598" s="2505">
        <f>'4.4.14'!$T$7</f>
        <v>4.3477888475836428</v>
      </c>
      <c r="BI598" s="2568" t="s">
        <v>1002</v>
      </c>
      <c r="BJ598" s="1362">
        <f t="shared" si="501"/>
        <v>1533.8999054275093</v>
      </c>
      <c r="BK598" s="1360">
        <f t="shared" si="480"/>
        <v>207.71561219330874</v>
      </c>
      <c r="BL598" s="1601">
        <f t="shared" si="481"/>
        <v>1533.8999054275093</v>
      </c>
      <c r="BM598" s="1601">
        <f t="shared" si="482"/>
        <v>1533.8999054275093</v>
      </c>
      <c r="BN598" s="1601">
        <f t="shared" si="483"/>
        <v>1533.8999054275093</v>
      </c>
      <c r="BO598" s="1601">
        <f t="shared" si="484"/>
        <v>1533.8999054275093</v>
      </c>
      <c r="BP598" s="1602">
        <f t="shared" si="485"/>
        <v>6135.5996217100374</v>
      </c>
      <c r="BQ598" s="1629"/>
      <c r="BR598" s="1629" t="s">
        <v>336</v>
      </c>
      <c r="BS598" s="1602">
        <v>0</v>
      </c>
      <c r="BT598" s="1602">
        <v>15</v>
      </c>
      <c r="BU598" s="1602">
        <v>15</v>
      </c>
      <c r="BV598" s="1602">
        <v>15</v>
      </c>
      <c r="BW598" s="1602">
        <v>15</v>
      </c>
      <c r="BX598" s="1362">
        <f t="shared" si="502"/>
        <v>19892.764398513009</v>
      </c>
      <c r="BY598" s="1362">
        <f t="shared" si="503"/>
        <v>19892.764398513009</v>
      </c>
      <c r="BZ598" s="1362">
        <f t="shared" si="504"/>
        <v>19892.764398513009</v>
      </c>
      <c r="CA598" s="1362">
        <f t="shared" si="505"/>
        <v>19892.764398513009</v>
      </c>
      <c r="CB598" s="1362">
        <f t="shared" si="506"/>
        <v>79571.057594052036</v>
      </c>
      <c r="CC598" s="1360">
        <v>15</v>
      </c>
      <c r="CD598" s="1360">
        <v>15</v>
      </c>
      <c r="CE598" s="1360">
        <v>15</v>
      </c>
      <c r="CF598" s="1360">
        <v>15</v>
      </c>
      <c r="CG598" s="1604">
        <f t="shared" si="486"/>
        <v>23008.498581412641</v>
      </c>
      <c r="CH598" s="1604">
        <f t="shared" si="487"/>
        <v>23008.498581412641</v>
      </c>
      <c r="CI598" s="1604">
        <f t="shared" si="488"/>
        <v>23008.498581412641</v>
      </c>
      <c r="CJ598" s="1604">
        <f t="shared" si="489"/>
        <v>23008.498581412641</v>
      </c>
      <c r="CK598" s="1521">
        <f t="shared" si="490"/>
        <v>92033.994325650565</v>
      </c>
      <c r="CL598" s="1132">
        <v>591</v>
      </c>
      <c r="CM598" s="1132" t="s">
        <v>337</v>
      </c>
      <c r="CN598" s="1359">
        <v>0</v>
      </c>
      <c r="CO598" s="1360">
        <v>367.5</v>
      </c>
      <c r="CP598" s="1360">
        <v>367.5</v>
      </c>
      <c r="CQ598" s="1360">
        <v>367.5</v>
      </c>
      <c r="CR598" s="1360">
        <v>367.5</v>
      </c>
      <c r="CS598" s="1362">
        <f t="shared" si="491"/>
        <v>1533.8999054275093</v>
      </c>
      <c r="CT598" s="1362">
        <f t="shared" si="492"/>
        <v>1533.8999054275093</v>
      </c>
      <c r="CU598" s="1362">
        <f t="shared" si="493"/>
        <v>1533.8999054275093</v>
      </c>
      <c r="CV598" s="1362">
        <f t="shared" si="494"/>
        <v>1533.8999054275093</v>
      </c>
      <c r="CW598" s="1362">
        <f t="shared" si="495"/>
        <v>6135.5996217100374</v>
      </c>
      <c r="CY598" s="2887"/>
    </row>
    <row r="599" spans="1:103" s="1143" customFormat="1" ht="46.5" x14ac:dyDescent="0.35">
      <c r="A599" s="1132" t="s">
        <v>116</v>
      </c>
      <c r="B599" s="1132" t="s">
        <v>1014</v>
      </c>
      <c r="C599" s="1132" t="s">
        <v>345</v>
      </c>
      <c r="D599" s="1359" t="s">
        <v>346</v>
      </c>
      <c r="E599" s="1359">
        <v>1</v>
      </c>
      <c r="F599" s="2564" t="s">
        <v>336</v>
      </c>
      <c r="G599" s="1132" t="s">
        <v>337</v>
      </c>
      <c r="H599" s="1360">
        <v>91.875</v>
      </c>
      <c r="I599" s="1360">
        <v>91.875</v>
      </c>
      <c r="J599" s="1360">
        <v>91.875</v>
      </c>
      <c r="K599" s="1360">
        <v>91.875</v>
      </c>
      <c r="L599" s="1132" t="s">
        <v>338</v>
      </c>
      <c r="M599" s="1132" t="str">
        <f t="shared" si="457"/>
        <v>Nicor Gas PY11-PY14 Adjustable Goals Template_2025-03-01, Tab 4.4.14</v>
      </c>
      <c r="N599" s="1361">
        <v>2.0533046641791044</v>
      </c>
      <c r="O599" s="1361">
        <v>2.0533046641791044</v>
      </c>
      <c r="P599" s="1361">
        <v>2.0533046641791044</v>
      </c>
      <c r="Q599" s="1361">
        <v>2.0533046641791044</v>
      </c>
      <c r="R599" s="1781">
        <v>0.83</v>
      </c>
      <c r="S599" s="1781">
        <v>0.83</v>
      </c>
      <c r="T599" s="1781">
        <v>0.83</v>
      </c>
      <c r="U599" s="1781">
        <v>0.83</v>
      </c>
      <c r="V599" s="2567">
        <v>0.96</v>
      </c>
      <c r="W599" s="2567">
        <v>0.96</v>
      </c>
      <c r="X599" s="2567">
        <v>0.96</v>
      </c>
      <c r="Y599" s="2567">
        <v>0.96</v>
      </c>
      <c r="Z599" s="1359">
        <v>0</v>
      </c>
      <c r="AA599" s="2567">
        <f t="shared" si="458"/>
        <v>0.96</v>
      </c>
      <c r="AB599" s="2567">
        <f t="shared" si="459"/>
        <v>0.96</v>
      </c>
      <c r="AC599" s="2567">
        <f t="shared" si="460"/>
        <v>0.96</v>
      </c>
      <c r="AD599" s="2567">
        <f t="shared" si="461"/>
        <v>0.96</v>
      </c>
      <c r="AE599" s="2567">
        <f t="shared" si="462"/>
        <v>0.96</v>
      </c>
      <c r="AF599" s="2567">
        <f t="shared" si="463"/>
        <v>0.96</v>
      </c>
      <c r="AG599" s="2567">
        <f t="shared" si="464"/>
        <v>0.96</v>
      </c>
      <c r="AH599" s="2567">
        <f t="shared" si="465"/>
        <v>0.96</v>
      </c>
      <c r="AI599" s="1362">
        <f t="shared" si="496"/>
        <v>156.57731379780782</v>
      </c>
      <c r="AJ599" s="1362">
        <f t="shared" si="497"/>
        <v>156.57731379780782</v>
      </c>
      <c r="AK599" s="1362">
        <f t="shared" si="498"/>
        <v>156.57731379780782</v>
      </c>
      <c r="AL599" s="1362">
        <f t="shared" si="499"/>
        <v>156.57731379780782</v>
      </c>
      <c r="AM599" s="1362">
        <f t="shared" si="500"/>
        <v>626.30925519123127</v>
      </c>
      <c r="AN599" s="1132" t="str">
        <f t="shared" si="466"/>
        <v>CI-HVC-PINS-V05-190101</v>
      </c>
      <c r="AO599" s="1132" t="str">
        <f t="shared" si="467"/>
        <v>Nicor Gas PY11-PY14 Adjustable Goals Template_2025-03-01, Tab 4.4.14</v>
      </c>
      <c r="AP599" s="2505">
        <f>'4.4.14'!$T$9</f>
        <v>2.0533046641791044</v>
      </c>
      <c r="AQ599" s="2568" t="s">
        <v>1002</v>
      </c>
      <c r="AR599" s="2505">
        <f t="shared" si="468"/>
        <v>181.10147138059699</v>
      </c>
      <c r="AS599" s="2505">
        <f t="shared" si="469"/>
        <v>24.524157582789172</v>
      </c>
      <c r="AT599" s="1132" t="str">
        <f t="shared" si="470"/>
        <v>CI-HVC-PINS-V05-190101</v>
      </c>
      <c r="AU599" s="1132" t="str">
        <f t="shared" si="471"/>
        <v>Nicor Gas PY11-PY14 Adjustable Goals Template_2025-03-01, Tab 4.4.14</v>
      </c>
      <c r="AV599" s="2505">
        <f>'4.4.14'!$T$9</f>
        <v>2.0533046641791044</v>
      </c>
      <c r="AW599" s="2568" t="s">
        <v>1002</v>
      </c>
      <c r="AX599" s="1362">
        <f t="shared" si="472"/>
        <v>181.10147138059699</v>
      </c>
      <c r="AY599" s="1360">
        <f t="shared" si="473"/>
        <v>24.524157582789172</v>
      </c>
      <c r="AZ599" s="1132" t="str">
        <f t="shared" si="474"/>
        <v>CI-HVC-PINS-V05-190101</v>
      </c>
      <c r="BA599" s="1132" t="str">
        <f t="shared" si="475"/>
        <v>Nicor Gas PY11-PY14 Adjustable Goals Template_2025-03-01, Tab 4.4.14</v>
      </c>
      <c r="BB599" s="2505">
        <f>'4.4.14'!$T$9</f>
        <v>2.0533046641791044</v>
      </c>
      <c r="BC599" s="2568" t="s">
        <v>1002</v>
      </c>
      <c r="BD599" s="1362">
        <f t="shared" si="476"/>
        <v>181.10147138059699</v>
      </c>
      <c r="BE599" s="1360">
        <f t="shared" si="477"/>
        <v>24.524157582789172</v>
      </c>
      <c r="BF599" s="1132" t="str">
        <f t="shared" si="478"/>
        <v>CI-HVC-PINS-V05-190101</v>
      </c>
      <c r="BG599" s="1132" t="str">
        <f t="shared" si="479"/>
        <v>Nicor Gas PY11-PY14 Adjustable Goals Template_2025-03-01, Tab 4.4.14</v>
      </c>
      <c r="BH599" s="2505">
        <f>'4.4.14'!$T$9</f>
        <v>2.0533046641791044</v>
      </c>
      <c r="BI599" s="2568" t="s">
        <v>1002</v>
      </c>
      <c r="BJ599" s="1362">
        <f t="shared" si="501"/>
        <v>181.10147138059699</v>
      </c>
      <c r="BK599" s="1360">
        <f t="shared" si="480"/>
        <v>24.524157582789172</v>
      </c>
      <c r="BL599" s="1601">
        <f t="shared" si="481"/>
        <v>181.10147138059699</v>
      </c>
      <c r="BM599" s="1601">
        <f t="shared" si="482"/>
        <v>181.10147138059699</v>
      </c>
      <c r="BN599" s="1601">
        <f t="shared" si="483"/>
        <v>181.10147138059699</v>
      </c>
      <c r="BO599" s="1601">
        <f t="shared" si="484"/>
        <v>181.10147138059699</v>
      </c>
      <c r="BP599" s="1602">
        <f t="shared" si="485"/>
        <v>724.40588552238796</v>
      </c>
      <c r="BQ599" s="1629"/>
      <c r="BR599" s="1629" t="s">
        <v>336</v>
      </c>
      <c r="BS599" s="1602">
        <v>0</v>
      </c>
      <c r="BT599" s="1602">
        <v>15</v>
      </c>
      <c r="BU599" s="1602">
        <v>15</v>
      </c>
      <c r="BV599" s="1602">
        <v>15</v>
      </c>
      <c r="BW599" s="1602">
        <v>15</v>
      </c>
      <c r="BX599" s="1362">
        <f t="shared" si="502"/>
        <v>2348.6597069671175</v>
      </c>
      <c r="BY599" s="1362">
        <f t="shared" si="503"/>
        <v>2348.6597069671175</v>
      </c>
      <c r="BZ599" s="1362">
        <f t="shared" si="504"/>
        <v>2348.6597069671175</v>
      </c>
      <c r="CA599" s="1362">
        <f t="shared" si="505"/>
        <v>2348.6597069671175</v>
      </c>
      <c r="CB599" s="1362">
        <f t="shared" si="506"/>
        <v>9394.6388278684699</v>
      </c>
      <c r="CC599" s="1360">
        <v>15</v>
      </c>
      <c r="CD599" s="1360">
        <v>15</v>
      </c>
      <c r="CE599" s="1360">
        <v>15</v>
      </c>
      <c r="CF599" s="1360">
        <v>15</v>
      </c>
      <c r="CG599" s="1604">
        <f t="shared" si="486"/>
        <v>2716.5220707089552</v>
      </c>
      <c r="CH599" s="1604">
        <f t="shared" si="487"/>
        <v>2716.5220707089552</v>
      </c>
      <c r="CI599" s="1604">
        <f t="shared" si="488"/>
        <v>2716.5220707089552</v>
      </c>
      <c r="CJ599" s="1604">
        <f t="shared" si="489"/>
        <v>2716.5220707089552</v>
      </c>
      <c r="CK599" s="1521">
        <f t="shared" si="490"/>
        <v>10866.088282835821</v>
      </c>
      <c r="CL599" s="1132">
        <v>592</v>
      </c>
      <c r="CM599" s="1132" t="s">
        <v>337</v>
      </c>
      <c r="CN599" s="1359">
        <v>0</v>
      </c>
      <c r="CO599" s="1360">
        <v>91.875</v>
      </c>
      <c r="CP599" s="1360">
        <v>91.875</v>
      </c>
      <c r="CQ599" s="1360">
        <v>91.875</v>
      </c>
      <c r="CR599" s="1360">
        <v>91.875</v>
      </c>
      <c r="CS599" s="1362">
        <f t="shared" si="491"/>
        <v>181.10147138059699</v>
      </c>
      <c r="CT599" s="1362">
        <f t="shared" si="492"/>
        <v>181.10147138059699</v>
      </c>
      <c r="CU599" s="1362">
        <f t="shared" si="493"/>
        <v>181.10147138059699</v>
      </c>
      <c r="CV599" s="1362">
        <f t="shared" si="494"/>
        <v>181.10147138059699</v>
      </c>
      <c r="CW599" s="1362">
        <f t="shared" si="495"/>
        <v>724.40588552238796</v>
      </c>
      <c r="CY599" s="2887"/>
    </row>
    <row r="600" spans="1:103" s="1143" customFormat="1" ht="46.5" x14ac:dyDescent="0.35">
      <c r="A600" s="1132" t="s">
        <v>116</v>
      </c>
      <c r="B600" s="1132" t="s">
        <v>1014</v>
      </c>
      <c r="C600" s="1132" t="s">
        <v>353</v>
      </c>
      <c r="D600" s="1359" t="s">
        <v>354</v>
      </c>
      <c r="E600" s="1359">
        <v>1</v>
      </c>
      <c r="F600" s="2564" t="s">
        <v>355</v>
      </c>
      <c r="G600" s="1132" t="s">
        <v>356</v>
      </c>
      <c r="H600" s="1360">
        <v>9.1875</v>
      </c>
      <c r="I600" s="1360">
        <v>9.1875</v>
      </c>
      <c r="J600" s="1360">
        <v>9.1875</v>
      </c>
      <c r="K600" s="1360">
        <v>9.1875</v>
      </c>
      <c r="L600" s="1132" t="s">
        <v>357</v>
      </c>
      <c r="M600" s="1132" t="str">
        <f t="shared" si="457"/>
        <v>Nicor Gas PY11-PY14 Adjustable Goals Template_2025-03-01, Tab 4.4.16</v>
      </c>
      <c r="N600" s="1361">
        <v>102.13709764839483</v>
      </c>
      <c r="O600" s="1361">
        <v>102.13709764839483</v>
      </c>
      <c r="P600" s="1361">
        <v>102.13709764839483</v>
      </c>
      <c r="Q600" s="1361">
        <v>102.13709764839483</v>
      </c>
      <c r="R600" s="1781">
        <v>0.83</v>
      </c>
      <c r="S600" s="1781">
        <v>0.83</v>
      </c>
      <c r="T600" s="1781">
        <v>0.83</v>
      </c>
      <c r="U600" s="1781">
        <v>0.83</v>
      </c>
      <c r="V600" s="2567">
        <v>0.96</v>
      </c>
      <c r="W600" s="2567">
        <v>0.96</v>
      </c>
      <c r="X600" s="2567">
        <v>0.96</v>
      </c>
      <c r="Y600" s="2567">
        <v>0.96</v>
      </c>
      <c r="Z600" s="1359">
        <v>0</v>
      </c>
      <c r="AA600" s="2567">
        <f t="shared" si="458"/>
        <v>0.96</v>
      </c>
      <c r="AB600" s="2567">
        <f t="shared" si="459"/>
        <v>0.96</v>
      </c>
      <c r="AC600" s="2567">
        <f t="shared" si="460"/>
        <v>0.96</v>
      </c>
      <c r="AD600" s="2567">
        <f t="shared" si="461"/>
        <v>0.96</v>
      </c>
      <c r="AE600" s="2567">
        <f t="shared" si="462"/>
        <v>0.96</v>
      </c>
      <c r="AF600" s="2567">
        <f t="shared" si="463"/>
        <v>0.96</v>
      </c>
      <c r="AG600" s="2567">
        <f t="shared" si="464"/>
        <v>0.96</v>
      </c>
      <c r="AH600" s="2567">
        <f t="shared" si="465"/>
        <v>0.96</v>
      </c>
      <c r="AI600" s="1362">
        <f t="shared" si="496"/>
        <v>778.85920525504071</v>
      </c>
      <c r="AJ600" s="1362">
        <f t="shared" si="497"/>
        <v>778.85920525504071</v>
      </c>
      <c r="AK600" s="1362">
        <f t="shared" si="498"/>
        <v>778.85920525504071</v>
      </c>
      <c r="AL600" s="1362">
        <f t="shared" si="499"/>
        <v>778.85920525504071</v>
      </c>
      <c r="AM600" s="1362">
        <f t="shared" si="500"/>
        <v>3115.4368210201628</v>
      </c>
      <c r="AN600" s="1132" t="str">
        <f t="shared" si="466"/>
        <v>CI-HVC-STRE-V05-180101</v>
      </c>
      <c r="AO600" s="1132" t="str">
        <f t="shared" si="467"/>
        <v>Nicor Gas PY11-PY14 Adjustable Goals Template_2025-03-01, Tab 4.4.16</v>
      </c>
      <c r="AP600" s="2505">
        <f>'4.4.16'!$O$11</f>
        <v>102.13709764839483</v>
      </c>
      <c r="AQ600" s="2568" t="s">
        <v>1002</v>
      </c>
      <c r="AR600" s="2505">
        <f t="shared" si="468"/>
        <v>900.8492012588423</v>
      </c>
      <c r="AS600" s="2505">
        <f t="shared" si="469"/>
        <v>121.98999600380159</v>
      </c>
      <c r="AT600" s="1132" t="str">
        <f t="shared" si="470"/>
        <v>CI-HVC-STRE-V05-180101</v>
      </c>
      <c r="AU600" s="1132" t="str">
        <f t="shared" si="471"/>
        <v>Nicor Gas PY11-PY14 Adjustable Goals Template_2025-03-01, Tab 4.4.16</v>
      </c>
      <c r="AV600" s="2505">
        <f>'4.4.16'!$O$11</f>
        <v>102.13709764839483</v>
      </c>
      <c r="AW600" s="2568" t="s">
        <v>1002</v>
      </c>
      <c r="AX600" s="1362">
        <f t="shared" si="472"/>
        <v>900.8492012588423</v>
      </c>
      <c r="AY600" s="1360">
        <f t="shared" si="473"/>
        <v>121.98999600380159</v>
      </c>
      <c r="AZ600" s="1132" t="str">
        <f t="shared" si="474"/>
        <v>CI-HVC-STRE-V05-180101</v>
      </c>
      <c r="BA600" s="1132" t="str">
        <f t="shared" si="475"/>
        <v>Nicor Gas PY11-PY14 Adjustable Goals Template_2025-03-01, Tab 4.4.16</v>
      </c>
      <c r="BB600" s="2505">
        <f>'4.4.16'!$O$11</f>
        <v>102.13709764839483</v>
      </c>
      <c r="BC600" s="2568" t="s">
        <v>1002</v>
      </c>
      <c r="BD600" s="1362">
        <f t="shared" si="476"/>
        <v>900.8492012588423</v>
      </c>
      <c r="BE600" s="1360">
        <f t="shared" si="477"/>
        <v>121.98999600380159</v>
      </c>
      <c r="BF600" s="1132" t="str">
        <f t="shared" si="478"/>
        <v>CI-HVC-STRE-V05-180101</v>
      </c>
      <c r="BG600" s="1132" t="str">
        <f t="shared" si="479"/>
        <v>Nicor Gas PY11-PY14 Adjustable Goals Template_2025-03-01, Tab 4.4.16</v>
      </c>
      <c r="BH600" s="2505">
        <f>'4.4.16'!$O$11</f>
        <v>102.13709764839483</v>
      </c>
      <c r="BI600" s="2568" t="s">
        <v>1002</v>
      </c>
      <c r="BJ600" s="1362">
        <f t="shared" si="501"/>
        <v>900.8492012588423</v>
      </c>
      <c r="BK600" s="1360">
        <f t="shared" si="480"/>
        <v>121.98999600380159</v>
      </c>
      <c r="BL600" s="1601">
        <f t="shared" si="481"/>
        <v>900.8492012588423</v>
      </c>
      <c r="BM600" s="1601">
        <f t="shared" si="482"/>
        <v>900.8492012588423</v>
      </c>
      <c r="BN600" s="1601">
        <f t="shared" si="483"/>
        <v>900.8492012588423</v>
      </c>
      <c r="BO600" s="1601">
        <f t="shared" si="484"/>
        <v>900.8492012588423</v>
      </c>
      <c r="BP600" s="1602">
        <f t="shared" si="485"/>
        <v>3603.3968050353692</v>
      </c>
      <c r="BQ600" s="1629"/>
      <c r="BR600" s="1629" t="s">
        <v>355</v>
      </c>
      <c r="BS600" s="1602">
        <v>0</v>
      </c>
      <c r="BT600" s="1602">
        <v>6</v>
      </c>
      <c r="BU600" s="1602">
        <v>6</v>
      </c>
      <c r="BV600" s="1602">
        <v>6</v>
      </c>
      <c r="BW600" s="1602">
        <v>6</v>
      </c>
      <c r="BX600" s="1362">
        <f t="shared" si="502"/>
        <v>4673.1552315302442</v>
      </c>
      <c r="BY600" s="1362">
        <f t="shared" si="503"/>
        <v>4673.1552315302442</v>
      </c>
      <c r="BZ600" s="1362">
        <f t="shared" si="504"/>
        <v>4673.1552315302442</v>
      </c>
      <c r="CA600" s="1362">
        <f t="shared" si="505"/>
        <v>4673.1552315302442</v>
      </c>
      <c r="CB600" s="1362">
        <f t="shared" si="506"/>
        <v>18692.620926120977</v>
      </c>
      <c r="CC600" s="1360">
        <v>6</v>
      </c>
      <c r="CD600" s="1360">
        <v>6</v>
      </c>
      <c r="CE600" s="1360">
        <v>6</v>
      </c>
      <c r="CF600" s="1360">
        <v>6</v>
      </c>
      <c r="CG600" s="1604">
        <f t="shared" si="486"/>
        <v>5405.0952075530549</v>
      </c>
      <c r="CH600" s="1604">
        <f t="shared" si="487"/>
        <v>5405.0952075530549</v>
      </c>
      <c r="CI600" s="1604">
        <f t="shared" si="488"/>
        <v>5405.0952075530549</v>
      </c>
      <c r="CJ600" s="1604">
        <f t="shared" si="489"/>
        <v>5405.0952075530549</v>
      </c>
      <c r="CK600" s="1521">
        <f t="shared" si="490"/>
        <v>21620.38083021222</v>
      </c>
      <c r="CL600" s="1132">
        <v>593</v>
      </c>
      <c r="CM600" s="1132" t="s">
        <v>356</v>
      </c>
      <c r="CN600" s="1359">
        <v>0</v>
      </c>
      <c r="CO600" s="1360">
        <v>9.1875</v>
      </c>
      <c r="CP600" s="1360">
        <v>9.1875</v>
      </c>
      <c r="CQ600" s="1360">
        <v>9.1875</v>
      </c>
      <c r="CR600" s="1360">
        <v>9.1875</v>
      </c>
      <c r="CS600" s="1362">
        <f t="shared" si="491"/>
        <v>900.8492012588423</v>
      </c>
      <c r="CT600" s="1362">
        <f t="shared" si="492"/>
        <v>900.8492012588423</v>
      </c>
      <c r="CU600" s="1362">
        <f t="shared" si="493"/>
        <v>900.8492012588423</v>
      </c>
      <c r="CV600" s="1362">
        <f t="shared" si="494"/>
        <v>900.8492012588423</v>
      </c>
      <c r="CW600" s="1362">
        <f t="shared" si="495"/>
        <v>3603.3968050353692</v>
      </c>
      <c r="CY600" s="2887"/>
    </row>
    <row r="601" spans="1:103" s="1143" customFormat="1" ht="60.75" customHeight="1" x14ac:dyDescent="0.35">
      <c r="A601" s="1132" t="s">
        <v>116</v>
      </c>
      <c r="B601" s="1132" t="s">
        <v>1014</v>
      </c>
      <c r="C601" s="1132" t="s">
        <v>547</v>
      </c>
      <c r="D601" s="1359" t="s">
        <v>105</v>
      </c>
      <c r="E601" s="1359">
        <v>0</v>
      </c>
      <c r="F601" s="1132" t="s">
        <v>105</v>
      </c>
      <c r="G601" s="1132" t="s">
        <v>356</v>
      </c>
      <c r="H601" s="1360">
        <v>2.2049999999999996</v>
      </c>
      <c r="I601" s="1360">
        <v>2.2049999999999996</v>
      </c>
      <c r="J601" s="1360">
        <v>2.2049999999999996</v>
      </c>
      <c r="K601" s="1360">
        <v>2.2049999999999996</v>
      </c>
      <c r="L601" s="1132" t="s">
        <v>105</v>
      </c>
      <c r="M601" s="1132" t="str">
        <f t="shared" si="457"/>
        <v/>
      </c>
      <c r="N601" s="1361">
        <v>0</v>
      </c>
      <c r="O601" s="1361">
        <v>0</v>
      </c>
      <c r="P601" s="1361">
        <v>0</v>
      </c>
      <c r="Q601" s="1361">
        <v>0</v>
      </c>
      <c r="R601" s="1781">
        <v>0.83</v>
      </c>
      <c r="S601" s="1781">
        <v>0.83</v>
      </c>
      <c r="T601" s="1781">
        <v>0.83</v>
      </c>
      <c r="U601" s="1781">
        <v>0.83</v>
      </c>
      <c r="V601" s="2567">
        <v>0.96</v>
      </c>
      <c r="W601" s="2567">
        <v>0.96</v>
      </c>
      <c r="X601" s="2567">
        <v>0.96</v>
      </c>
      <c r="Y601" s="2567">
        <v>0.96</v>
      </c>
      <c r="Z601" s="1359">
        <v>0</v>
      </c>
      <c r="AA601" s="2567">
        <f t="shared" si="458"/>
        <v>0.96</v>
      </c>
      <c r="AB601" s="2567">
        <f t="shared" si="459"/>
        <v>0.96</v>
      </c>
      <c r="AC601" s="2567">
        <f t="shared" si="460"/>
        <v>0.96</v>
      </c>
      <c r="AD601" s="2567">
        <f t="shared" si="461"/>
        <v>0.96</v>
      </c>
      <c r="AE601" s="2567">
        <f t="shared" si="462"/>
        <v>0.96</v>
      </c>
      <c r="AF601" s="2567">
        <f t="shared" si="463"/>
        <v>0.96</v>
      </c>
      <c r="AG601" s="2567">
        <f t="shared" si="464"/>
        <v>0.96</v>
      </c>
      <c r="AH601" s="2567">
        <f t="shared" si="465"/>
        <v>0.96</v>
      </c>
      <c r="AI601" s="1362">
        <f t="shared" si="496"/>
        <v>0</v>
      </c>
      <c r="AJ601" s="1362">
        <f t="shared" si="497"/>
        <v>0</v>
      </c>
      <c r="AK601" s="1362">
        <f t="shared" si="498"/>
        <v>0</v>
      </c>
      <c r="AL601" s="1362">
        <f t="shared" si="499"/>
        <v>0</v>
      </c>
      <c r="AM601" s="1362">
        <f t="shared" si="500"/>
        <v>0</v>
      </c>
      <c r="AN601" s="1132" t="str">
        <f t="shared" si="466"/>
        <v>Custom</v>
      </c>
      <c r="AO601" s="1132" t="str">
        <f t="shared" si="467"/>
        <v/>
      </c>
      <c r="AP601" s="2505">
        <v>0</v>
      </c>
      <c r="AQ601" s="2568" t="s">
        <v>1002</v>
      </c>
      <c r="AR601" s="2505">
        <f t="shared" si="468"/>
        <v>0</v>
      </c>
      <c r="AS601" s="2505">
        <f t="shared" si="469"/>
        <v>0</v>
      </c>
      <c r="AT601" s="1132" t="str">
        <f t="shared" si="470"/>
        <v>Custom</v>
      </c>
      <c r="AU601" s="1132" t="str">
        <f t="shared" si="471"/>
        <v/>
      </c>
      <c r="AV601" s="2505">
        <v>0</v>
      </c>
      <c r="AW601" s="2568" t="s">
        <v>1002</v>
      </c>
      <c r="AX601" s="1362">
        <f t="shared" si="472"/>
        <v>0</v>
      </c>
      <c r="AY601" s="1360">
        <f t="shared" si="473"/>
        <v>0</v>
      </c>
      <c r="AZ601" s="1132" t="str">
        <f t="shared" si="474"/>
        <v>Custom</v>
      </c>
      <c r="BA601" s="1132" t="str">
        <f t="shared" si="475"/>
        <v/>
      </c>
      <c r="BB601" s="2505">
        <v>0</v>
      </c>
      <c r="BC601" s="2568" t="s">
        <v>1002</v>
      </c>
      <c r="BD601" s="1362">
        <f t="shared" si="476"/>
        <v>0</v>
      </c>
      <c r="BE601" s="1360">
        <f t="shared" si="477"/>
        <v>0</v>
      </c>
      <c r="BF601" s="1132" t="str">
        <f t="shared" si="478"/>
        <v>Custom</v>
      </c>
      <c r="BG601" s="1132" t="str">
        <f t="shared" si="479"/>
        <v/>
      </c>
      <c r="BH601" s="2505">
        <v>0</v>
      </c>
      <c r="BI601" s="2568" t="s">
        <v>1002</v>
      </c>
      <c r="BJ601" s="1362">
        <f t="shared" si="501"/>
        <v>0</v>
      </c>
      <c r="BK601" s="1360">
        <f t="shared" si="480"/>
        <v>0</v>
      </c>
      <c r="BL601" s="1601">
        <f t="shared" si="481"/>
        <v>0</v>
      </c>
      <c r="BM601" s="1601">
        <f t="shared" si="482"/>
        <v>0</v>
      </c>
      <c r="BN601" s="1601">
        <f t="shared" si="483"/>
        <v>0</v>
      </c>
      <c r="BO601" s="1601">
        <f t="shared" si="484"/>
        <v>0</v>
      </c>
      <c r="BP601" s="1602">
        <f t="shared" si="485"/>
        <v>0</v>
      </c>
      <c r="BQ601" s="1629"/>
      <c r="BR601" s="1629"/>
      <c r="BS601" s="1602">
        <v>0</v>
      </c>
      <c r="BT601" s="1602">
        <v>0</v>
      </c>
      <c r="BU601" s="1602">
        <v>0</v>
      </c>
      <c r="BV601" s="1602">
        <v>0</v>
      </c>
      <c r="BW601" s="1602">
        <v>0</v>
      </c>
      <c r="BX601" s="1362">
        <f t="shared" si="502"/>
        <v>0</v>
      </c>
      <c r="BY601" s="1362">
        <f t="shared" si="503"/>
        <v>0</v>
      </c>
      <c r="BZ601" s="1362">
        <f t="shared" si="504"/>
        <v>0</v>
      </c>
      <c r="CA601" s="1362">
        <f t="shared" si="505"/>
        <v>0</v>
      </c>
      <c r="CB601" s="1362">
        <f t="shared" si="506"/>
        <v>0</v>
      </c>
      <c r="CC601" s="1360">
        <v>0</v>
      </c>
      <c r="CD601" s="1360">
        <v>0</v>
      </c>
      <c r="CE601" s="1360">
        <v>0</v>
      </c>
      <c r="CF601" s="1360">
        <v>0</v>
      </c>
      <c r="CG601" s="1604">
        <f t="shared" si="486"/>
        <v>0</v>
      </c>
      <c r="CH601" s="1604">
        <f t="shared" si="487"/>
        <v>0</v>
      </c>
      <c r="CI601" s="1604">
        <f t="shared" si="488"/>
        <v>0</v>
      </c>
      <c r="CJ601" s="1604">
        <f t="shared" si="489"/>
        <v>0</v>
      </c>
      <c r="CK601" s="1521">
        <f t="shared" si="490"/>
        <v>0</v>
      </c>
      <c r="CL601" s="1132">
        <v>594</v>
      </c>
      <c r="CM601" s="1132" t="s">
        <v>356</v>
      </c>
      <c r="CN601" s="1359">
        <v>0</v>
      </c>
      <c r="CO601" s="1360">
        <v>2.2049999999999996</v>
      </c>
      <c r="CP601" s="1360">
        <v>2.2049999999999996</v>
      </c>
      <c r="CQ601" s="1360">
        <v>2.2049999999999996</v>
      </c>
      <c r="CR601" s="1360">
        <v>2.2049999999999996</v>
      </c>
      <c r="CS601" s="1362">
        <f t="shared" si="491"/>
        <v>0</v>
      </c>
      <c r="CT601" s="1362">
        <f t="shared" si="492"/>
        <v>0</v>
      </c>
      <c r="CU601" s="1362">
        <f t="shared" si="493"/>
        <v>0</v>
      </c>
      <c r="CV601" s="1362">
        <f t="shared" si="494"/>
        <v>0</v>
      </c>
      <c r="CW601" s="1362">
        <f t="shared" si="495"/>
        <v>0</v>
      </c>
      <c r="CY601" s="2887"/>
    </row>
    <row r="602" spans="1:103" s="1143" customFormat="1" ht="60.75" customHeight="1" x14ac:dyDescent="0.35">
      <c r="A602" s="1132" t="s">
        <v>116</v>
      </c>
      <c r="B602" s="1132" t="s">
        <v>1014</v>
      </c>
      <c r="C602" s="1132" t="s">
        <v>1006</v>
      </c>
      <c r="D602" s="1359" t="s">
        <v>105</v>
      </c>
      <c r="E602" s="1359">
        <v>0</v>
      </c>
      <c r="F602" s="1132" t="s">
        <v>105</v>
      </c>
      <c r="G602" s="1132" t="s">
        <v>356</v>
      </c>
      <c r="H602" s="1360">
        <v>22.05</v>
      </c>
      <c r="I602" s="1360">
        <v>22.05</v>
      </c>
      <c r="J602" s="1360">
        <v>22.05</v>
      </c>
      <c r="K602" s="1360">
        <v>22.05</v>
      </c>
      <c r="L602" s="1132" t="s">
        <v>105</v>
      </c>
      <c r="M602" s="1132" t="str">
        <f t="shared" si="457"/>
        <v/>
      </c>
      <c r="N602" s="1361">
        <v>0</v>
      </c>
      <c r="O602" s="1361">
        <v>0</v>
      </c>
      <c r="P602" s="1361">
        <v>0</v>
      </c>
      <c r="Q602" s="1361">
        <v>0</v>
      </c>
      <c r="R602" s="1781">
        <v>0.83</v>
      </c>
      <c r="S602" s="1781">
        <v>0.83</v>
      </c>
      <c r="T602" s="1781">
        <v>0.83</v>
      </c>
      <c r="U602" s="1781">
        <v>0.83</v>
      </c>
      <c r="V602" s="2567">
        <v>0.96</v>
      </c>
      <c r="W602" s="2567">
        <v>0.96</v>
      </c>
      <c r="X602" s="2567">
        <v>0.96</v>
      </c>
      <c r="Y602" s="2567">
        <v>0.96</v>
      </c>
      <c r="Z602" s="1359">
        <v>0</v>
      </c>
      <c r="AA602" s="2567">
        <f t="shared" si="458"/>
        <v>0.96</v>
      </c>
      <c r="AB602" s="2567">
        <f t="shared" si="459"/>
        <v>0.96</v>
      </c>
      <c r="AC602" s="2567">
        <f t="shared" si="460"/>
        <v>0.96</v>
      </c>
      <c r="AD602" s="2567">
        <f t="shared" si="461"/>
        <v>0.96</v>
      </c>
      <c r="AE602" s="2567">
        <f t="shared" si="462"/>
        <v>0.96</v>
      </c>
      <c r="AF602" s="2567">
        <f t="shared" si="463"/>
        <v>0.96</v>
      </c>
      <c r="AG602" s="2567">
        <f t="shared" si="464"/>
        <v>0.96</v>
      </c>
      <c r="AH602" s="2567">
        <f t="shared" si="465"/>
        <v>0.96</v>
      </c>
      <c r="AI602" s="1362">
        <f t="shared" si="496"/>
        <v>0</v>
      </c>
      <c r="AJ602" s="1362">
        <f t="shared" si="497"/>
        <v>0</v>
      </c>
      <c r="AK602" s="1362">
        <f t="shared" si="498"/>
        <v>0</v>
      </c>
      <c r="AL602" s="1362">
        <f t="shared" si="499"/>
        <v>0</v>
      </c>
      <c r="AM602" s="1362">
        <f t="shared" si="500"/>
        <v>0</v>
      </c>
      <c r="AN602" s="1132" t="str">
        <f t="shared" si="466"/>
        <v>Custom</v>
      </c>
      <c r="AO602" s="1132" t="str">
        <f t="shared" si="467"/>
        <v/>
      </c>
      <c r="AP602" s="2505">
        <v>0</v>
      </c>
      <c r="AQ602" s="2568" t="s">
        <v>1002</v>
      </c>
      <c r="AR602" s="2505">
        <f t="shared" si="468"/>
        <v>0</v>
      </c>
      <c r="AS602" s="2505">
        <f t="shared" si="469"/>
        <v>0</v>
      </c>
      <c r="AT602" s="1132" t="str">
        <f t="shared" si="470"/>
        <v>Custom</v>
      </c>
      <c r="AU602" s="1132" t="str">
        <f t="shared" si="471"/>
        <v/>
      </c>
      <c r="AV602" s="2505">
        <v>0</v>
      </c>
      <c r="AW602" s="2568" t="s">
        <v>1002</v>
      </c>
      <c r="AX602" s="1362">
        <f t="shared" si="472"/>
        <v>0</v>
      </c>
      <c r="AY602" s="1360">
        <f t="shared" si="473"/>
        <v>0</v>
      </c>
      <c r="AZ602" s="1132" t="str">
        <f t="shared" si="474"/>
        <v>Custom</v>
      </c>
      <c r="BA602" s="1132" t="str">
        <f t="shared" si="475"/>
        <v/>
      </c>
      <c r="BB602" s="2505">
        <v>0</v>
      </c>
      <c r="BC602" s="2568" t="s">
        <v>1002</v>
      </c>
      <c r="BD602" s="1362">
        <f t="shared" si="476"/>
        <v>0</v>
      </c>
      <c r="BE602" s="1360">
        <f t="shared" si="477"/>
        <v>0</v>
      </c>
      <c r="BF602" s="1132" t="str">
        <f t="shared" si="478"/>
        <v>Custom</v>
      </c>
      <c r="BG602" s="1132" t="str">
        <f t="shared" si="479"/>
        <v/>
      </c>
      <c r="BH602" s="2505">
        <v>0</v>
      </c>
      <c r="BI602" s="2568" t="s">
        <v>1002</v>
      </c>
      <c r="BJ602" s="1362">
        <f t="shared" si="501"/>
        <v>0</v>
      </c>
      <c r="BK602" s="1360">
        <f t="shared" si="480"/>
        <v>0</v>
      </c>
      <c r="BL602" s="1601">
        <f t="shared" si="481"/>
        <v>0</v>
      </c>
      <c r="BM602" s="1601">
        <f t="shared" si="482"/>
        <v>0</v>
      </c>
      <c r="BN602" s="1601">
        <f t="shared" si="483"/>
        <v>0</v>
      </c>
      <c r="BO602" s="1601">
        <f t="shared" si="484"/>
        <v>0</v>
      </c>
      <c r="BP602" s="1602">
        <f t="shared" si="485"/>
        <v>0</v>
      </c>
      <c r="BQ602" s="1629"/>
      <c r="BR602" s="1629"/>
      <c r="BS602" s="1602">
        <v>0</v>
      </c>
      <c r="BT602" s="1602">
        <v>1</v>
      </c>
      <c r="BU602" s="1602">
        <v>1</v>
      </c>
      <c r="BV602" s="1602">
        <v>1</v>
      </c>
      <c r="BW602" s="1602">
        <v>1</v>
      </c>
      <c r="BX602" s="1362">
        <f t="shared" si="502"/>
        <v>0</v>
      </c>
      <c r="BY602" s="1362">
        <f t="shared" si="503"/>
        <v>0</v>
      </c>
      <c r="BZ602" s="1362">
        <f t="shared" si="504"/>
        <v>0</v>
      </c>
      <c r="CA602" s="1362">
        <f t="shared" si="505"/>
        <v>0</v>
      </c>
      <c r="CB602" s="1362">
        <f t="shared" si="506"/>
        <v>0</v>
      </c>
      <c r="CC602" s="1360">
        <v>1</v>
      </c>
      <c r="CD602" s="1360">
        <v>1</v>
      </c>
      <c r="CE602" s="1360">
        <v>1</v>
      </c>
      <c r="CF602" s="1360">
        <v>1</v>
      </c>
      <c r="CG602" s="1604">
        <f t="shared" si="486"/>
        <v>0</v>
      </c>
      <c r="CH602" s="1604">
        <f t="shared" si="487"/>
        <v>0</v>
      </c>
      <c r="CI602" s="1604">
        <f t="shared" si="488"/>
        <v>0</v>
      </c>
      <c r="CJ602" s="1604">
        <f t="shared" si="489"/>
        <v>0</v>
      </c>
      <c r="CK602" s="1521">
        <f t="shared" si="490"/>
        <v>0</v>
      </c>
      <c r="CL602" s="1132">
        <v>595</v>
      </c>
      <c r="CM602" s="1132" t="s">
        <v>356</v>
      </c>
      <c r="CN602" s="1359">
        <v>0</v>
      </c>
      <c r="CO602" s="1360">
        <v>22.05</v>
      </c>
      <c r="CP602" s="1360">
        <v>22.05</v>
      </c>
      <c r="CQ602" s="1360">
        <v>22.05</v>
      </c>
      <c r="CR602" s="1360">
        <v>22.05</v>
      </c>
      <c r="CS602" s="1362">
        <f t="shared" si="491"/>
        <v>0</v>
      </c>
      <c r="CT602" s="1362">
        <f t="shared" si="492"/>
        <v>0</v>
      </c>
      <c r="CU602" s="1362">
        <f t="shared" si="493"/>
        <v>0</v>
      </c>
      <c r="CV602" s="1362">
        <f t="shared" si="494"/>
        <v>0</v>
      </c>
      <c r="CW602" s="1362">
        <f t="shared" si="495"/>
        <v>0</v>
      </c>
      <c r="CY602" s="2887"/>
    </row>
    <row r="603" spans="1:103" s="1143" customFormat="1" ht="30" customHeight="1" x14ac:dyDescent="0.35">
      <c r="A603" s="1132" t="s">
        <v>116</v>
      </c>
      <c r="B603" s="1132" t="s">
        <v>1014</v>
      </c>
      <c r="C603" s="1132" t="s">
        <v>549</v>
      </c>
      <c r="D603" s="1359" t="s">
        <v>550</v>
      </c>
      <c r="E603" s="1359">
        <v>1</v>
      </c>
      <c r="F603" s="2807" t="s">
        <v>545</v>
      </c>
      <c r="G603" s="1132" t="s">
        <v>356</v>
      </c>
      <c r="H603" s="1360">
        <v>2.2049999999999996</v>
      </c>
      <c r="I603" s="1360">
        <v>2.2049999999999996</v>
      </c>
      <c r="J603" s="1360">
        <v>2.2049999999999996</v>
      </c>
      <c r="K603" s="1360">
        <v>2.2049999999999996</v>
      </c>
      <c r="L603" s="1132" t="s">
        <v>546</v>
      </c>
      <c r="M603" s="1132" t="str">
        <f t="shared" si="457"/>
        <v>Nicor Gas PY11-PY14 Adjustable Goals Template_2025-03-01, Tab 4.2.11</v>
      </c>
      <c r="N603" s="1361">
        <v>158.27666400000004</v>
      </c>
      <c r="O603" s="1361">
        <v>158.27666400000004</v>
      </c>
      <c r="P603" s="1361">
        <v>158.27666400000004</v>
      </c>
      <c r="Q603" s="1361">
        <v>158.27666400000004</v>
      </c>
      <c r="R603" s="1781">
        <v>0.92</v>
      </c>
      <c r="S603" s="1781">
        <v>0.92</v>
      </c>
      <c r="T603" s="1781">
        <v>0.92</v>
      </c>
      <c r="U603" s="1781">
        <v>0.92</v>
      </c>
      <c r="V603" s="2567">
        <v>0.96</v>
      </c>
      <c r="W603" s="2567">
        <v>0.96</v>
      </c>
      <c r="X603" s="2567">
        <v>0.96</v>
      </c>
      <c r="Y603" s="2567">
        <v>0.96</v>
      </c>
      <c r="Z603" s="1359">
        <v>0</v>
      </c>
      <c r="AA603" s="2567">
        <f t="shared" si="458"/>
        <v>0.96</v>
      </c>
      <c r="AB603" s="2567">
        <f t="shared" si="459"/>
        <v>0.96</v>
      </c>
      <c r="AC603" s="2567">
        <f t="shared" si="460"/>
        <v>0.96</v>
      </c>
      <c r="AD603" s="2567">
        <f t="shared" si="461"/>
        <v>0.96</v>
      </c>
      <c r="AE603" s="2567">
        <f t="shared" si="462"/>
        <v>0.96</v>
      </c>
      <c r="AF603" s="2567">
        <f t="shared" si="463"/>
        <v>0.96</v>
      </c>
      <c r="AG603" s="2567">
        <f t="shared" si="464"/>
        <v>0.96</v>
      </c>
      <c r="AH603" s="2567">
        <f t="shared" si="465"/>
        <v>0.96</v>
      </c>
      <c r="AI603" s="1362">
        <f t="shared" si="496"/>
        <v>321.08004059040007</v>
      </c>
      <c r="AJ603" s="1362">
        <f t="shared" si="497"/>
        <v>321.08004059040007</v>
      </c>
      <c r="AK603" s="1362">
        <f t="shared" si="498"/>
        <v>321.08004059040007</v>
      </c>
      <c r="AL603" s="1362">
        <f t="shared" si="499"/>
        <v>321.08004059040007</v>
      </c>
      <c r="AM603" s="1362">
        <f t="shared" si="500"/>
        <v>1284.3201623616003</v>
      </c>
      <c r="AN603" s="1132" t="str">
        <f t="shared" si="466"/>
        <v>CI-FSE-SPRY-V05-190101</v>
      </c>
      <c r="AO603" s="1132" t="str">
        <f t="shared" si="467"/>
        <v>Nicor Gas PY11-PY14 Adjustable Goals Template_2025-03-01, Tab 4.2.11</v>
      </c>
      <c r="AP603" s="2568">
        <f>'4.2.11'!$N$4</f>
        <v>158.27666400000004</v>
      </c>
      <c r="AQ603" s="2568" t="s">
        <v>1004</v>
      </c>
      <c r="AR603" s="2505">
        <f t="shared" si="468"/>
        <v>335.0400423552</v>
      </c>
      <c r="AS603" s="2505">
        <f t="shared" si="469"/>
        <v>13.960001764799927</v>
      </c>
      <c r="AT603" s="1132" t="str">
        <f t="shared" si="470"/>
        <v>CI-FSE-SPRY-V05-190101</v>
      </c>
      <c r="AU603" s="1132" t="str">
        <f t="shared" si="471"/>
        <v>Nicor Gas PY11-PY14 Adjustable Goals Template_2025-03-01, Tab 4.2.11</v>
      </c>
      <c r="AV603" s="2505">
        <f>'4.2.11'!$N$4</f>
        <v>158.27666400000004</v>
      </c>
      <c r="AW603" s="2568" t="s">
        <v>1004</v>
      </c>
      <c r="AX603" s="1362">
        <f t="shared" si="472"/>
        <v>335.0400423552</v>
      </c>
      <c r="AY603" s="1360">
        <f t="shared" si="473"/>
        <v>13.960001764799927</v>
      </c>
      <c r="AZ603" s="1132" t="str">
        <f t="shared" si="474"/>
        <v>CI-FSE-SPRY-V05-190101</v>
      </c>
      <c r="BA603" s="1132" t="str">
        <f t="shared" si="475"/>
        <v>Nicor Gas PY11-PY14 Adjustable Goals Template_2025-03-01, Tab 4.2.11</v>
      </c>
      <c r="BB603" s="2505">
        <f>'4.2.11'!$N$4</f>
        <v>158.27666400000004</v>
      </c>
      <c r="BC603" s="2568" t="s">
        <v>1004</v>
      </c>
      <c r="BD603" s="1362">
        <f t="shared" si="476"/>
        <v>335.0400423552</v>
      </c>
      <c r="BE603" s="1360">
        <f t="shared" si="477"/>
        <v>13.960001764799927</v>
      </c>
      <c r="BF603" s="1132" t="str">
        <f t="shared" si="478"/>
        <v>CI-FSE-SPRY-V05-190101</v>
      </c>
      <c r="BG603" s="1132" t="str">
        <f t="shared" si="479"/>
        <v>Nicor Gas PY11-PY14 Adjustable Goals Template_2025-03-01, Tab 4.2.11</v>
      </c>
      <c r="BH603" s="2505">
        <f>'4.2.11'!$N$4</f>
        <v>158.27666400000004</v>
      </c>
      <c r="BI603" s="2568" t="s">
        <v>1004</v>
      </c>
      <c r="BJ603" s="1362">
        <f t="shared" si="501"/>
        <v>335.0400423552</v>
      </c>
      <c r="BK603" s="1360">
        <f t="shared" si="480"/>
        <v>13.960001764799927</v>
      </c>
      <c r="BL603" s="1601">
        <f t="shared" si="481"/>
        <v>335.0400423552</v>
      </c>
      <c r="BM603" s="1601">
        <f t="shared" si="482"/>
        <v>335.0400423552</v>
      </c>
      <c r="BN603" s="1601">
        <f t="shared" si="483"/>
        <v>335.0400423552</v>
      </c>
      <c r="BO603" s="1601">
        <f t="shared" si="484"/>
        <v>335.0400423552</v>
      </c>
      <c r="BP603" s="1602">
        <f t="shared" si="485"/>
        <v>1340.1601694208</v>
      </c>
      <c r="BQ603" s="1629"/>
      <c r="BR603" s="1629" t="s">
        <v>545</v>
      </c>
      <c r="BS603" s="1602">
        <v>0</v>
      </c>
      <c r="BT603" s="1602">
        <v>5</v>
      </c>
      <c r="BU603" s="1602">
        <v>5</v>
      </c>
      <c r="BV603" s="1602">
        <v>5</v>
      </c>
      <c r="BW603" s="1602">
        <v>5</v>
      </c>
      <c r="BX603" s="1362">
        <f t="shared" si="502"/>
        <v>1605.4002029520004</v>
      </c>
      <c r="BY603" s="1362">
        <f t="shared" si="503"/>
        <v>1605.4002029520004</v>
      </c>
      <c r="BZ603" s="1362">
        <f t="shared" si="504"/>
        <v>1605.4002029520004</v>
      </c>
      <c r="CA603" s="1362">
        <f t="shared" si="505"/>
        <v>1605.4002029520004</v>
      </c>
      <c r="CB603" s="1362">
        <f t="shared" si="506"/>
        <v>6421.6008118080017</v>
      </c>
      <c r="CC603" s="1360">
        <v>5</v>
      </c>
      <c r="CD603" s="1360">
        <v>5</v>
      </c>
      <c r="CE603" s="1360">
        <v>5</v>
      </c>
      <c r="CF603" s="1360">
        <v>5</v>
      </c>
      <c r="CG603" s="1604">
        <f t="shared" si="486"/>
        <v>1675.2002117760001</v>
      </c>
      <c r="CH603" s="1604">
        <f t="shared" si="487"/>
        <v>1675.2002117760001</v>
      </c>
      <c r="CI603" s="1604">
        <f t="shared" si="488"/>
        <v>1675.2002117760001</v>
      </c>
      <c r="CJ603" s="1604">
        <f t="shared" si="489"/>
        <v>1675.2002117760001</v>
      </c>
      <c r="CK603" s="1521">
        <f t="shared" si="490"/>
        <v>6700.8008471040002</v>
      </c>
      <c r="CL603" s="1132">
        <v>596</v>
      </c>
      <c r="CM603" s="1132" t="s">
        <v>356</v>
      </c>
      <c r="CN603" s="1359">
        <v>0</v>
      </c>
      <c r="CO603" s="1360">
        <v>2.2049999999999996</v>
      </c>
      <c r="CP603" s="1360">
        <v>2.2049999999999996</v>
      </c>
      <c r="CQ603" s="1360">
        <v>2.2049999999999996</v>
      </c>
      <c r="CR603" s="1360">
        <v>2.2049999999999996</v>
      </c>
      <c r="CS603" s="1362">
        <f t="shared" si="491"/>
        <v>335.0400423552</v>
      </c>
      <c r="CT603" s="1362">
        <f t="shared" si="492"/>
        <v>335.0400423552</v>
      </c>
      <c r="CU603" s="1362">
        <f t="shared" si="493"/>
        <v>335.0400423552</v>
      </c>
      <c r="CV603" s="1362">
        <f t="shared" si="494"/>
        <v>335.0400423552</v>
      </c>
      <c r="CW603" s="1362">
        <f t="shared" si="495"/>
        <v>1340.1601694208</v>
      </c>
      <c r="CY603" s="2887"/>
    </row>
    <row r="604" spans="1:103" s="1143" customFormat="1" ht="62" x14ac:dyDescent="0.35">
      <c r="A604" s="1132" t="s">
        <v>116</v>
      </c>
      <c r="B604" s="1132" t="s">
        <v>1014</v>
      </c>
      <c r="C604" s="1132" t="s">
        <v>551</v>
      </c>
      <c r="D604" s="1359" t="s">
        <v>552</v>
      </c>
      <c r="E604" s="1359">
        <v>1</v>
      </c>
      <c r="F604" s="2807" t="s">
        <v>545</v>
      </c>
      <c r="G604" s="1132" t="s">
        <v>356</v>
      </c>
      <c r="H604" s="1360">
        <v>0.36749999999999999</v>
      </c>
      <c r="I604" s="1360">
        <v>0.36749999999999999</v>
      </c>
      <c r="J604" s="1360">
        <v>0.36749999999999999</v>
      </c>
      <c r="K604" s="1360">
        <v>0.36749999999999999</v>
      </c>
      <c r="L604" s="1132" t="s">
        <v>546</v>
      </c>
      <c r="M604" s="1132" t="str">
        <f t="shared" si="457"/>
        <v>Nicor Gas PY11-PY14 Adjustable Goals Template_2025-03-01, Tab 4.2.11</v>
      </c>
      <c r="N604" s="1361">
        <v>237.414996</v>
      </c>
      <c r="O604" s="1361">
        <v>237.414996</v>
      </c>
      <c r="P604" s="1361">
        <v>237.414996</v>
      </c>
      <c r="Q604" s="1361">
        <v>237.414996</v>
      </c>
      <c r="R604" s="1781">
        <v>0.92</v>
      </c>
      <c r="S604" s="1781">
        <v>0.92</v>
      </c>
      <c r="T604" s="1781">
        <v>0.92</v>
      </c>
      <c r="U604" s="1781">
        <v>0.92</v>
      </c>
      <c r="V604" s="2567">
        <v>0.96</v>
      </c>
      <c r="W604" s="2567">
        <v>0.96</v>
      </c>
      <c r="X604" s="2567">
        <v>0.96</v>
      </c>
      <c r="Y604" s="2567">
        <v>0.96</v>
      </c>
      <c r="Z604" s="1359">
        <v>0</v>
      </c>
      <c r="AA604" s="2567">
        <f t="shared" si="458"/>
        <v>0.96</v>
      </c>
      <c r="AB604" s="2567">
        <f t="shared" si="459"/>
        <v>0.96</v>
      </c>
      <c r="AC604" s="2567">
        <f t="shared" si="460"/>
        <v>0.96</v>
      </c>
      <c r="AD604" s="2567">
        <f t="shared" si="461"/>
        <v>0.96</v>
      </c>
      <c r="AE604" s="2567">
        <f t="shared" si="462"/>
        <v>0.96</v>
      </c>
      <c r="AF604" s="2567">
        <f t="shared" si="463"/>
        <v>0.96</v>
      </c>
      <c r="AG604" s="2567">
        <f t="shared" si="464"/>
        <v>0.96</v>
      </c>
      <c r="AH604" s="2567">
        <f t="shared" si="465"/>
        <v>0.96</v>
      </c>
      <c r="AI604" s="1362">
        <f t="shared" si="496"/>
        <v>80.270010147600004</v>
      </c>
      <c r="AJ604" s="1362">
        <f t="shared" si="497"/>
        <v>80.270010147600004</v>
      </c>
      <c r="AK604" s="1362">
        <f t="shared" si="498"/>
        <v>80.270010147600004</v>
      </c>
      <c r="AL604" s="1362">
        <f t="shared" si="499"/>
        <v>80.270010147600004</v>
      </c>
      <c r="AM604" s="1362">
        <f t="shared" si="500"/>
        <v>321.08004059040002</v>
      </c>
      <c r="AN604" s="1132" t="str">
        <f t="shared" si="466"/>
        <v>CI-FSE-SPRY-V05-190101</v>
      </c>
      <c r="AO604" s="1132" t="str">
        <f t="shared" si="467"/>
        <v>Nicor Gas PY11-PY14 Adjustable Goals Template_2025-03-01, Tab 4.2.11</v>
      </c>
      <c r="AP604" s="2568">
        <f>'4.2.11'!$N$3</f>
        <v>237.414996</v>
      </c>
      <c r="AQ604" s="2568" t="s">
        <v>1004</v>
      </c>
      <c r="AR604" s="2505">
        <f t="shared" si="468"/>
        <v>83.7600105888</v>
      </c>
      <c r="AS604" s="2505">
        <f t="shared" si="469"/>
        <v>3.4900004411999959</v>
      </c>
      <c r="AT604" s="1132" t="str">
        <f t="shared" si="470"/>
        <v>CI-FSE-SPRY-V05-190101</v>
      </c>
      <c r="AU604" s="1132" t="str">
        <f t="shared" si="471"/>
        <v>Nicor Gas PY11-PY14 Adjustable Goals Template_2025-03-01, Tab 4.2.11</v>
      </c>
      <c r="AV604" s="2505">
        <f>'4.2.11'!$N$3</f>
        <v>237.414996</v>
      </c>
      <c r="AW604" s="2568" t="s">
        <v>1004</v>
      </c>
      <c r="AX604" s="1362">
        <f t="shared" si="472"/>
        <v>83.7600105888</v>
      </c>
      <c r="AY604" s="1360">
        <f t="shared" si="473"/>
        <v>3.4900004411999959</v>
      </c>
      <c r="AZ604" s="1132" t="str">
        <f t="shared" si="474"/>
        <v>CI-FSE-SPRY-V05-190101</v>
      </c>
      <c r="BA604" s="1132" t="str">
        <f t="shared" si="475"/>
        <v>Nicor Gas PY11-PY14 Adjustable Goals Template_2025-03-01, Tab 4.2.11</v>
      </c>
      <c r="BB604" s="2505">
        <f>'4.2.11'!$N$3</f>
        <v>237.414996</v>
      </c>
      <c r="BC604" s="2568" t="s">
        <v>1004</v>
      </c>
      <c r="BD604" s="1362">
        <f t="shared" si="476"/>
        <v>83.7600105888</v>
      </c>
      <c r="BE604" s="1360">
        <f t="shared" si="477"/>
        <v>3.4900004411999959</v>
      </c>
      <c r="BF604" s="1132" t="str">
        <f t="shared" si="478"/>
        <v>CI-FSE-SPRY-V05-190101</v>
      </c>
      <c r="BG604" s="1132" t="str">
        <f t="shared" si="479"/>
        <v>Nicor Gas PY11-PY14 Adjustable Goals Template_2025-03-01, Tab 4.2.11</v>
      </c>
      <c r="BH604" s="2505">
        <f>'4.2.11'!$N$3</f>
        <v>237.414996</v>
      </c>
      <c r="BI604" s="2568" t="s">
        <v>1004</v>
      </c>
      <c r="BJ604" s="1362">
        <f t="shared" si="501"/>
        <v>83.7600105888</v>
      </c>
      <c r="BK604" s="1360">
        <f t="shared" si="480"/>
        <v>3.4900004411999959</v>
      </c>
      <c r="BL604" s="1601">
        <f t="shared" si="481"/>
        <v>83.7600105888</v>
      </c>
      <c r="BM604" s="1601">
        <f t="shared" si="482"/>
        <v>83.7600105888</v>
      </c>
      <c r="BN604" s="1601">
        <f t="shared" si="483"/>
        <v>83.7600105888</v>
      </c>
      <c r="BO604" s="1601">
        <f t="shared" si="484"/>
        <v>83.7600105888</v>
      </c>
      <c r="BP604" s="1602">
        <f t="shared" si="485"/>
        <v>335.0400423552</v>
      </c>
      <c r="BQ604" s="1629"/>
      <c r="BR604" s="1629" t="s">
        <v>545</v>
      </c>
      <c r="BS604" s="1602">
        <v>0</v>
      </c>
      <c r="BT604" s="1602">
        <v>5</v>
      </c>
      <c r="BU604" s="1602">
        <v>5</v>
      </c>
      <c r="BV604" s="1602">
        <v>5</v>
      </c>
      <c r="BW604" s="1602">
        <v>5</v>
      </c>
      <c r="BX604" s="1362">
        <f t="shared" si="502"/>
        <v>401.35005073800005</v>
      </c>
      <c r="BY604" s="1362">
        <f t="shared" si="503"/>
        <v>401.35005073800005</v>
      </c>
      <c r="BZ604" s="1362">
        <f t="shared" si="504"/>
        <v>401.35005073800005</v>
      </c>
      <c r="CA604" s="1362">
        <f t="shared" si="505"/>
        <v>401.35005073800005</v>
      </c>
      <c r="CB604" s="1362">
        <f t="shared" si="506"/>
        <v>1605.4002029520002</v>
      </c>
      <c r="CC604" s="1360">
        <v>5</v>
      </c>
      <c r="CD604" s="1360">
        <v>5</v>
      </c>
      <c r="CE604" s="1360">
        <v>5</v>
      </c>
      <c r="CF604" s="1360">
        <v>5</v>
      </c>
      <c r="CG604" s="1604">
        <f t="shared" si="486"/>
        <v>418.80005294400002</v>
      </c>
      <c r="CH604" s="1604">
        <f t="shared" si="487"/>
        <v>418.80005294400002</v>
      </c>
      <c r="CI604" s="1604">
        <f t="shared" si="488"/>
        <v>418.80005294400002</v>
      </c>
      <c r="CJ604" s="1604">
        <f t="shared" si="489"/>
        <v>418.80005294400002</v>
      </c>
      <c r="CK604" s="1521">
        <f t="shared" si="490"/>
        <v>1675.2002117760001</v>
      </c>
      <c r="CL604" s="1132">
        <v>597</v>
      </c>
      <c r="CM604" s="1132" t="s">
        <v>356</v>
      </c>
      <c r="CN604" s="1359">
        <v>0</v>
      </c>
      <c r="CO604" s="1360">
        <v>0.36749999999999999</v>
      </c>
      <c r="CP604" s="1360">
        <v>0.36749999999999999</v>
      </c>
      <c r="CQ604" s="1360">
        <v>0.36749999999999999</v>
      </c>
      <c r="CR604" s="1360">
        <v>0.36749999999999999</v>
      </c>
      <c r="CS604" s="1362">
        <f t="shared" si="491"/>
        <v>83.7600105888</v>
      </c>
      <c r="CT604" s="1362">
        <f t="shared" si="492"/>
        <v>83.7600105888</v>
      </c>
      <c r="CU604" s="1362">
        <f t="shared" si="493"/>
        <v>83.7600105888</v>
      </c>
      <c r="CV604" s="1362">
        <f t="shared" si="494"/>
        <v>83.7600105888</v>
      </c>
      <c r="CW604" s="1362">
        <f t="shared" si="495"/>
        <v>335.0400423552</v>
      </c>
      <c r="CY604" s="2887"/>
    </row>
    <row r="605" spans="1:103" s="1143" customFormat="1" ht="46.5" x14ac:dyDescent="0.35">
      <c r="A605" s="1132" t="s">
        <v>116</v>
      </c>
      <c r="B605" s="1132" t="s">
        <v>1014</v>
      </c>
      <c r="C605" s="1132" t="s">
        <v>1015</v>
      </c>
      <c r="D605" s="1359" t="s">
        <v>1016</v>
      </c>
      <c r="E605" s="1359">
        <v>1</v>
      </c>
      <c r="F605" s="2564" t="s">
        <v>1016</v>
      </c>
      <c r="G605" s="1132" t="s">
        <v>356</v>
      </c>
      <c r="H605" s="1360">
        <v>0.36749999999999999</v>
      </c>
      <c r="I605" s="1360">
        <v>0.36749999999999999</v>
      </c>
      <c r="J605" s="1360">
        <v>0.36749999999999999</v>
      </c>
      <c r="K605" s="1360">
        <v>0.36749999999999999</v>
      </c>
      <c r="L605" s="1132" t="s">
        <v>1017</v>
      </c>
      <c r="M605" s="1132" t="str">
        <f t="shared" si="457"/>
        <v>Nicor Gas PY11-PY14 Adjustable Goals Template_2025-03-01, Tab Customized TRM 4.2.11</v>
      </c>
      <c r="N605" s="1361">
        <v>51.167025000000002</v>
      </c>
      <c r="O605" s="1361">
        <v>51.167025000000002</v>
      </c>
      <c r="P605" s="1361">
        <v>51.167025000000002</v>
      </c>
      <c r="Q605" s="1361">
        <v>51.167025000000002</v>
      </c>
      <c r="R605" s="1781">
        <v>0.92</v>
      </c>
      <c r="S605" s="1781">
        <v>0.92</v>
      </c>
      <c r="T605" s="1781">
        <v>0.92</v>
      </c>
      <c r="U605" s="1781">
        <v>0.92</v>
      </c>
      <c r="V605" s="2567">
        <v>0.96</v>
      </c>
      <c r="W605" s="2567">
        <v>0.96</v>
      </c>
      <c r="X605" s="2567">
        <v>0.96</v>
      </c>
      <c r="Y605" s="2567">
        <v>0.96</v>
      </c>
      <c r="Z605" s="1359">
        <v>0</v>
      </c>
      <c r="AA605" s="2567">
        <f t="shared" si="458"/>
        <v>0.96</v>
      </c>
      <c r="AB605" s="2567">
        <f t="shared" si="459"/>
        <v>0.96</v>
      </c>
      <c r="AC605" s="2567">
        <f t="shared" si="460"/>
        <v>0.96</v>
      </c>
      <c r="AD605" s="2567">
        <f t="shared" si="461"/>
        <v>0.96</v>
      </c>
      <c r="AE605" s="2567">
        <f t="shared" si="462"/>
        <v>0.96</v>
      </c>
      <c r="AF605" s="2567">
        <f t="shared" si="463"/>
        <v>0.96</v>
      </c>
      <c r="AG605" s="2567">
        <f t="shared" si="464"/>
        <v>0.96</v>
      </c>
      <c r="AH605" s="2567">
        <f t="shared" si="465"/>
        <v>0.96</v>
      </c>
      <c r="AI605" s="1362">
        <f t="shared" si="496"/>
        <v>17.2995711525</v>
      </c>
      <c r="AJ605" s="1362">
        <f t="shared" si="497"/>
        <v>17.2995711525</v>
      </c>
      <c r="AK605" s="1362">
        <f t="shared" si="498"/>
        <v>17.2995711525</v>
      </c>
      <c r="AL605" s="1362">
        <f t="shared" si="499"/>
        <v>17.2995711525</v>
      </c>
      <c r="AM605" s="1362">
        <f t="shared" si="500"/>
        <v>69.198284610000002</v>
      </c>
      <c r="AN605" s="1132" t="str">
        <f t="shared" si="466"/>
        <v>C151</v>
      </c>
      <c r="AO605" s="1132" t="str">
        <f t="shared" si="467"/>
        <v>Nicor Gas PY11-PY14 Adjustable Goals Template_2025-03-01, Tab Customized TRM 4.2.11</v>
      </c>
      <c r="AP605" s="2505">
        <f>'Customized TRM 4.2.11'!$B$21</f>
        <v>51.167025000000002</v>
      </c>
      <c r="AQ605" s="2568" t="s">
        <v>1007</v>
      </c>
      <c r="AR605" s="2505">
        <f t="shared" si="468"/>
        <v>18.051726419999998</v>
      </c>
      <c r="AS605" s="2247">
        <f t="shared" si="469"/>
        <v>0.75215526749999739</v>
      </c>
      <c r="AT605" s="1132" t="str">
        <f t="shared" si="470"/>
        <v>C151</v>
      </c>
      <c r="AU605" s="1132" t="str">
        <f t="shared" si="471"/>
        <v>Nicor Gas PY11-PY14 Adjustable Goals Template_2025-03-01, Tab Customized TRM 4.2.11</v>
      </c>
      <c r="AV605" s="2505">
        <f>'Customized TRM 4.2.11'!$B$21</f>
        <v>51.167025000000002</v>
      </c>
      <c r="AW605" s="2568" t="s">
        <v>1007</v>
      </c>
      <c r="AX605" s="1362">
        <f t="shared" si="472"/>
        <v>18.051726419999998</v>
      </c>
      <c r="AY605" s="1360">
        <f t="shared" si="473"/>
        <v>0.75215526749999739</v>
      </c>
      <c r="AZ605" s="1132" t="str">
        <f t="shared" si="474"/>
        <v>C151</v>
      </c>
      <c r="BA605" s="1132" t="str">
        <f t="shared" si="475"/>
        <v>Nicor Gas PY11-PY14 Adjustable Goals Template_2025-03-01, Tab Customized TRM 4.2.11</v>
      </c>
      <c r="BB605" s="2505">
        <f>'Customized TRM 4.2.11'!$B$21</f>
        <v>51.167025000000002</v>
      </c>
      <c r="BC605" s="2568" t="s">
        <v>1007</v>
      </c>
      <c r="BD605" s="1362">
        <f t="shared" si="476"/>
        <v>18.051726419999998</v>
      </c>
      <c r="BE605" s="1360">
        <f t="shared" si="477"/>
        <v>0.75215526749999739</v>
      </c>
      <c r="BF605" s="1132" t="str">
        <f t="shared" si="478"/>
        <v>C151</v>
      </c>
      <c r="BG605" s="1132" t="str">
        <f t="shared" si="479"/>
        <v>Nicor Gas PY11-PY14 Adjustable Goals Template_2025-03-01, Tab Customized TRM 4.2.11</v>
      </c>
      <c r="BH605" s="2505">
        <f>'Customized TRM 4.2.11'!$B$21</f>
        <v>51.167025000000002</v>
      </c>
      <c r="BI605" s="2568" t="s">
        <v>1007</v>
      </c>
      <c r="BJ605" s="1362">
        <f t="shared" si="501"/>
        <v>18.051726419999998</v>
      </c>
      <c r="BK605" s="1360">
        <f t="shared" si="480"/>
        <v>0.75215526749999739</v>
      </c>
      <c r="BL605" s="1601">
        <f t="shared" si="481"/>
        <v>18.051726419999998</v>
      </c>
      <c r="BM605" s="1601">
        <f t="shared" si="482"/>
        <v>18.051726419999998</v>
      </c>
      <c r="BN605" s="1601">
        <f t="shared" si="483"/>
        <v>18.051726419999998</v>
      </c>
      <c r="BO605" s="1601">
        <f t="shared" si="484"/>
        <v>18.051726419999998</v>
      </c>
      <c r="BP605" s="1602">
        <f t="shared" si="485"/>
        <v>72.206905679999991</v>
      </c>
      <c r="BQ605" s="1629"/>
      <c r="BR605" s="1629" t="s">
        <v>1016</v>
      </c>
      <c r="BS605" s="1602">
        <v>0</v>
      </c>
      <c r="BT605" s="1602">
        <v>5</v>
      </c>
      <c r="BU605" s="1602">
        <v>5</v>
      </c>
      <c r="BV605" s="1602">
        <v>5</v>
      </c>
      <c r="BW605" s="1602">
        <v>5</v>
      </c>
      <c r="BX605" s="1362">
        <f t="shared" si="502"/>
        <v>86.497855762499995</v>
      </c>
      <c r="BY605" s="1362">
        <f t="shared" si="503"/>
        <v>86.497855762499995</v>
      </c>
      <c r="BZ605" s="1362">
        <f t="shared" si="504"/>
        <v>86.497855762499995</v>
      </c>
      <c r="CA605" s="1362">
        <f t="shared" si="505"/>
        <v>86.497855762499995</v>
      </c>
      <c r="CB605" s="1362">
        <f t="shared" si="506"/>
        <v>345.99142304999998</v>
      </c>
      <c r="CC605" s="1360">
        <v>5</v>
      </c>
      <c r="CD605" s="1360">
        <v>5</v>
      </c>
      <c r="CE605" s="1360">
        <v>5</v>
      </c>
      <c r="CF605" s="1360">
        <v>5</v>
      </c>
      <c r="CG605" s="1604">
        <f t="shared" si="486"/>
        <v>90.2586321</v>
      </c>
      <c r="CH605" s="1604">
        <f t="shared" si="487"/>
        <v>90.2586321</v>
      </c>
      <c r="CI605" s="1604">
        <f t="shared" si="488"/>
        <v>90.2586321</v>
      </c>
      <c r="CJ605" s="1604">
        <f t="shared" si="489"/>
        <v>90.2586321</v>
      </c>
      <c r="CK605" s="1521">
        <f t="shared" si="490"/>
        <v>361.0345284</v>
      </c>
      <c r="CL605" s="1132">
        <v>598</v>
      </c>
      <c r="CM605" s="1132" t="s">
        <v>356</v>
      </c>
      <c r="CN605" s="1359">
        <v>0</v>
      </c>
      <c r="CO605" s="1360">
        <v>0.36749999999999999</v>
      </c>
      <c r="CP605" s="1360">
        <v>0.36749999999999999</v>
      </c>
      <c r="CQ605" s="1360">
        <v>0.36749999999999999</v>
      </c>
      <c r="CR605" s="1360">
        <v>0.36749999999999999</v>
      </c>
      <c r="CS605" s="1362">
        <f t="shared" si="491"/>
        <v>18.051726419999998</v>
      </c>
      <c r="CT605" s="1362">
        <f t="shared" si="492"/>
        <v>18.051726419999998</v>
      </c>
      <c r="CU605" s="1362">
        <f t="shared" si="493"/>
        <v>18.051726419999998</v>
      </c>
      <c r="CV605" s="1362">
        <f t="shared" si="494"/>
        <v>18.051726419999998</v>
      </c>
      <c r="CW605" s="1362">
        <f t="shared" si="495"/>
        <v>72.206905679999991</v>
      </c>
      <c r="CY605" s="2887"/>
    </row>
    <row r="606" spans="1:103" s="1143" customFormat="1" ht="62" x14ac:dyDescent="0.35">
      <c r="A606" s="1132" t="s">
        <v>116</v>
      </c>
      <c r="B606" s="1132" t="s">
        <v>1014</v>
      </c>
      <c r="C606" s="1132" t="s">
        <v>553</v>
      </c>
      <c r="D606" s="1359" t="s">
        <v>554</v>
      </c>
      <c r="E606" s="1359">
        <v>1</v>
      </c>
      <c r="F606" s="2807" t="s">
        <v>555</v>
      </c>
      <c r="G606" s="1132" t="s">
        <v>328</v>
      </c>
      <c r="H606" s="1360">
        <v>234.83249999999998</v>
      </c>
      <c r="I606" s="1360">
        <v>234.83249999999998</v>
      </c>
      <c r="J606" s="1360">
        <v>234.83249999999998</v>
      </c>
      <c r="K606" s="1360">
        <v>234.83249999999998</v>
      </c>
      <c r="L606" s="1132" t="s">
        <v>556</v>
      </c>
      <c r="M606" s="1132" t="str">
        <f t="shared" si="457"/>
        <v>Nicor Gas PY11-PY14 Adjustable Goals Template_2025-03-01, Tab 4.3.2</v>
      </c>
      <c r="N606" s="1361">
        <v>6.5015389208633092</v>
      </c>
      <c r="O606" s="1361">
        <v>6.5015389208633092</v>
      </c>
      <c r="P606" s="1361">
        <v>6.5015389208633092</v>
      </c>
      <c r="Q606" s="1361">
        <v>6.5015389208633092</v>
      </c>
      <c r="R606" s="1781">
        <v>0.92</v>
      </c>
      <c r="S606" s="1781">
        <v>0.92</v>
      </c>
      <c r="T606" s="1781">
        <v>0.92</v>
      </c>
      <c r="U606" s="1781">
        <v>0.92</v>
      </c>
      <c r="V606" s="2567">
        <v>0.96</v>
      </c>
      <c r="W606" s="2567">
        <v>0.96</v>
      </c>
      <c r="X606" s="2567">
        <v>0.96</v>
      </c>
      <c r="Y606" s="2567">
        <v>0.96</v>
      </c>
      <c r="Z606" s="1359">
        <v>0</v>
      </c>
      <c r="AA606" s="2567">
        <f t="shared" si="458"/>
        <v>0.96</v>
      </c>
      <c r="AB606" s="2567">
        <f t="shared" si="459"/>
        <v>0.96</v>
      </c>
      <c r="AC606" s="2567">
        <f t="shared" si="460"/>
        <v>0.96</v>
      </c>
      <c r="AD606" s="2567">
        <f t="shared" si="461"/>
        <v>0.96</v>
      </c>
      <c r="AE606" s="2567">
        <f t="shared" si="462"/>
        <v>0.96</v>
      </c>
      <c r="AF606" s="2567">
        <f t="shared" si="463"/>
        <v>0.96</v>
      </c>
      <c r="AG606" s="2567">
        <f t="shared" si="464"/>
        <v>0.96</v>
      </c>
      <c r="AH606" s="2567">
        <f t="shared" si="465"/>
        <v>0.96</v>
      </c>
      <c r="AI606" s="1362">
        <f t="shared" si="496"/>
        <v>1404.6308275429424</v>
      </c>
      <c r="AJ606" s="1362">
        <f t="shared" si="497"/>
        <v>1404.6308275429424</v>
      </c>
      <c r="AK606" s="1362">
        <f t="shared" si="498"/>
        <v>1404.6308275429424</v>
      </c>
      <c r="AL606" s="1362">
        <f t="shared" si="499"/>
        <v>1404.6308275429424</v>
      </c>
      <c r="AM606" s="1362">
        <f t="shared" si="500"/>
        <v>5618.5233101717695</v>
      </c>
      <c r="AN606" s="1132" t="str">
        <f t="shared" si="466"/>
        <v>CI-HW_-LFFA-V08-190101</v>
      </c>
      <c r="AO606" s="1132" t="str">
        <f t="shared" si="467"/>
        <v>Nicor Gas PY11-PY14 Adjustable Goals Template_2025-03-01, Tab 4.3.2</v>
      </c>
      <c r="AP606" s="2568">
        <f>'4.3.2'!$N$5</f>
        <v>7.1194537769784167</v>
      </c>
      <c r="AQ606" s="2568" t="s">
        <v>1008</v>
      </c>
      <c r="AR606" s="2505">
        <f t="shared" si="468"/>
        <v>1605.0039639189924</v>
      </c>
      <c r="AS606" s="2505">
        <f t="shared" si="469"/>
        <v>200.37313637605007</v>
      </c>
      <c r="AT606" s="1132" t="str">
        <f t="shared" si="470"/>
        <v>CI-HW_-LFFA-V08-190101</v>
      </c>
      <c r="AU606" s="1132" t="str">
        <f t="shared" si="471"/>
        <v>Nicor Gas PY11-PY14 Adjustable Goals Template_2025-03-01, Tab 4.3.2</v>
      </c>
      <c r="AV606" s="2505">
        <f>'4.3.2'!$N$5</f>
        <v>7.1194537769784167</v>
      </c>
      <c r="AW606" s="2568" t="s">
        <v>1008</v>
      </c>
      <c r="AX606" s="1362">
        <f t="shared" si="472"/>
        <v>1605.0039639189924</v>
      </c>
      <c r="AY606" s="1360">
        <f t="shared" si="473"/>
        <v>200.37313637605007</v>
      </c>
      <c r="AZ606" s="1132" t="str">
        <f t="shared" si="474"/>
        <v>CI-HW_-LFFA-V08-190101</v>
      </c>
      <c r="BA606" s="1132" t="str">
        <f t="shared" si="475"/>
        <v>Nicor Gas PY11-PY14 Adjustable Goals Template_2025-03-01, Tab 4.3.2</v>
      </c>
      <c r="BB606" s="2505">
        <f>'4.3.2'!$N$5</f>
        <v>7.1194537769784167</v>
      </c>
      <c r="BC606" s="2568" t="s">
        <v>1008</v>
      </c>
      <c r="BD606" s="1362">
        <f t="shared" si="476"/>
        <v>1605.0039639189924</v>
      </c>
      <c r="BE606" s="1360">
        <f t="shared" si="477"/>
        <v>200.37313637605007</v>
      </c>
      <c r="BF606" s="1132" t="str">
        <f t="shared" si="478"/>
        <v>CI-HW_-LFFA-V08-190101</v>
      </c>
      <c r="BG606" s="1132" t="str">
        <f t="shared" si="479"/>
        <v>Nicor Gas PY11-PY14 Adjustable Goals Template_2025-03-01, Tab 4.3.2</v>
      </c>
      <c r="BH606" s="2505">
        <f>'4.3.2'!$N$5</f>
        <v>7.1194537769784167</v>
      </c>
      <c r="BI606" s="2568" t="s">
        <v>1008</v>
      </c>
      <c r="BJ606" s="1362">
        <f t="shared" si="501"/>
        <v>1605.0039639189924</v>
      </c>
      <c r="BK606" s="1360">
        <f t="shared" si="480"/>
        <v>200.37313637605007</v>
      </c>
      <c r="BL606" s="1601">
        <f t="shared" si="481"/>
        <v>1605.0039639189924</v>
      </c>
      <c r="BM606" s="1601">
        <f t="shared" si="482"/>
        <v>1605.0039639189924</v>
      </c>
      <c r="BN606" s="1601">
        <f t="shared" si="483"/>
        <v>1605.0039639189924</v>
      </c>
      <c r="BO606" s="1601">
        <f t="shared" si="484"/>
        <v>1605.0039639189924</v>
      </c>
      <c r="BP606" s="1602">
        <f t="shared" si="485"/>
        <v>6420.0158556759698</v>
      </c>
      <c r="BQ606" s="1629"/>
      <c r="BR606" s="1629" t="s">
        <v>555</v>
      </c>
      <c r="BS606" s="1602">
        <v>0</v>
      </c>
      <c r="BT606" s="1602">
        <v>10</v>
      </c>
      <c r="BU606" s="1602">
        <v>10</v>
      </c>
      <c r="BV606" s="1602">
        <v>10</v>
      </c>
      <c r="BW606" s="1602">
        <v>10</v>
      </c>
      <c r="BX606" s="1362">
        <f t="shared" si="502"/>
        <v>14046.308275429423</v>
      </c>
      <c r="BY606" s="1362">
        <f t="shared" si="503"/>
        <v>14046.308275429423</v>
      </c>
      <c r="BZ606" s="1362">
        <f t="shared" si="504"/>
        <v>14046.308275429423</v>
      </c>
      <c r="CA606" s="1362">
        <f t="shared" si="505"/>
        <v>14046.308275429423</v>
      </c>
      <c r="CB606" s="1362">
        <f t="shared" si="506"/>
        <v>56185.233101717691</v>
      </c>
      <c r="CC606" s="1360">
        <v>10</v>
      </c>
      <c r="CD606" s="1360">
        <v>10</v>
      </c>
      <c r="CE606" s="1360">
        <v>10</v>
      </c>
      <c r="CF606" s="1360">
        <v>10</v>
      </c>
      <c r="CG606" s="1604">
        <f t="shared" si="486"/>
        <v>16050.039639189925</v>
      </c>
      <c r="CH606" s="1604">
        <f t="shared" si="487"/>
        <v>16050.039639189925</v>
      </c>
      <c r="CI606" s="1604">
        <f t="shared" si="488"/>
        <v>16050.039639189925</v>
      </c>
      <c r="CJ606" s="1604">
        <f t="shared" si="489"/>
        <v>16050.039639189925</v>
      </c>
      <c r="CK606" s="1521">
        <f t="shared" si="490"/>
        <v>64200.158556759699</v>
      </c>
      <c r="CL606" s="1132">
        <v>599</v>
      </c>
      <c r="CM606" s="1132" t="s">
        <v>328</v>
      </c>
      <c r="CN606" s="1359">
        <v>0</v>
      </c>
      <c r="CO606" s="1360">
        <v>234.83249999999998</v>
      </c>
      <c r="CP606" s="1360">
        <v>234.83249999999998</v>
      </c>
      <c r="CQ606" s="1360">
        <v>234.83249999999998</v>
      </c>
      <c r="CR606" s="1360">
        <v>234.83249999999998</v>
      </c>
      <c r="CS606" s="1362">
        <f t="shared" si="491"/>
        <v>1605.0039639189924</v>
      </c>
      <c r="CT606" s="1362">
        <f t="shared" si="492"/>
        <v>1605.0039639189924</v>
      </c>
      <c r="CU606" s="1362">
        <f t="shared" si="493"/>
        <v>1605.0039639189924</v>
      </c>
      <c r="CV606" s="1362">
        <f t="shared" si="494"/>
        <v>1605.0039639189924</v>
      </c>
      <c r="CW606" s="1362">
        <f t="shared" si="495"/>
        <v>6420.0158556759698</v>
      </c>
      <c r="CY606" s="2887"/>
    </row>
    <row r="607" spans="1:103" s="1143" customFormat="1" ht="62" x14ac:dyDescent="0.35">
      <c r="A607" s="1132" t="s">
        <v>116</v>
      </c>
      <c r="B607" s="1132" t="s">
        <v>1014</v>
      </c>
      <c r="C607" s="1132" t="s">
        <v>558</v>
      </c>
      <c r="D607" s="1359" t="s">
        <v>559</v>
      </c>
      <c r="E607" s="1359">
        <v>1</v>
      </c>
      <c r="F607" s="2807" t="s">
        <v>555</v>
      </c>
      <c r="G607" s="1132" t="s">
        <v>328</v>
      </c>
      <c r="H607" s="1360">
        <v>605.27249999999992</v>
      </c>
      <c r="I607" s="1360">
        <v>605.27249999999992</v>
      </c>
      <c r="J607" s="1360">
        <v>605.27249999999992</v>
      </c>
      <c r="K607" s="1360">
        <v>605.27249999999992</v>
      </c>
      <c r="L607" s="1132" t="s">
        <v>556</v>
      </c>
      <c r="M607" s="1132" t="str">
        <f t="shared" si="457"/>
        <v>Nicor Gas PY11-PY14 Adjustable Goals Template_2025-03-01, Tab 4.3.2</v>
      </c>
      <c r="N607" s="1361">
        <v>5.3328738669064739</v>
      </c>
      <c r="O607" s="1361">
        <v>5.3328738669064739</v>
      </c>
      <c r="P607" s="1361">
        <v>5.3328738669064739</v>
      </c>
      <c r="Q607" s="1361">
        <v>5.3328738669064739</v>
      </c>
      <c r="R607" s="1781">
        <v>0.92</v>
      </c>
      <c r="S607" s="1781">
        <v>0.92</v>
      </c>
      <c r="T607" s="1781">
        <v>0.92</v>
      </c>
      <c r="U607" s="1781">
        <v>0.92</v>
      </c>
      <c r="V607" s="2567">
        <v>0.96</v>
      </c>
      <c r="W607" s="2567">
        <v>0.96</v>
      </c>
      <c r="X607" s="2567">
        <v>0.96</v>
      </c>
      <c r="Y607" s="2567">
        <v>0.96</v>
      </c>
      <c r="Z607" s="1359">
        <v>0</v>
      </c>
      <c r="AA607" s="2567">
        <f t="shared" si="458"/>
        <v>0.96</v>
      </c>
      <c r="AB607" s="2567">
        <f t="shared" si="459"/>
        <v>0.96</v>
      </c>
      <c r="AC607" s="2567">
        <f t="shared" si="460"/>
        <v>0.96</v>
      </c>
      <c r="AD607" s="2567">
        <f t="shared" si="461"/>
        <v>0.96</v>
      </c>
      <c r="AE607" s="2567">
        <f t="shared" si="462"/>
        <v>0.96</v>
      </c>
      <c r="AF607" s="2567">
        <f t="shared" si="463"/>
        <v>0.96</v>
      </c>
      <c r="AG607" s="2567">
        <f t="shared" si="464"/>
        <v>0.96</v>
      </c>
      <c r="AH607" s="2567">
        <f t="shared" si="465"/>
        <v>0.96</v>
      </c>
      <c r="AI607" s="1362">
        <f t="shared" si="496"/>
        <v>2969.6145457985767</v>
      </c>
      <c r="AJ607" s="1362">
        <f t="shared" si="497"/>
        <v>2969.6145457985767</v>
      </c>
      <c r="AK607" s="1362">
        <f t="shared" si="498"/>
        <v>2969.6145457985767</v>
      </c>
      <c r="AL607" s="1362">
        <f t="shared" si="499"/>
        <v>2969.6145457985767</v>
      </c>
      <c r="AM607" s="1362">
        <f t="shared" si="500"/>
        <v>11878.458183194307</v>
      </c>
      <c r="AN607" s="1132" t="str">
        <f t="shared" si="466"/>
        <v>CI-HW_-LFFA-V08-190101</v>
      </c>
      <c r="AO607" s="1132" t="str">
        <f t="shared" si="467"/>
        <v>Nicor Gas PY11-PY14 Adjustable Goals Template_2025-03-01, Tab 4.3.2</v>
      </c>
      <c r="AP607" s="2568">
        <f>'4.3.2'!$N$4</f>
        <v>5.9104899280575545</v>
      </c>
      <c r="AQ607" s="2568" t="s">
        <v>1008</v>
      </c>
      <c r="AR607" s="2505">
        <f t="shared" si="468"/>
        <v>3434.3587343810068</v>
      </c>
      <c r="AS607" s="2505">
        <f t="shared" si="469"/>
        <v>464.74418858243007</v>
      </c>
      <c r="AT607" s="1132" t="str">
        <f t="shared" si="470"/>
        <v>CI-HW_-LFFA-V08-190101</v>
      </c>
      <c r="AU607" s="1132" t="str">
        <f t="shared" si="471"/>
        <v>Nicor Gas PY11-PY14 Adjustable Goals Template_2025-03-01, Tab 4.3.2</v>
      </c>
      <c r="AV607" s="2505">
        <f>'4.3.2'!$N$4</f>
        <v>5.9104899280575545</v>
      </c>
      <c r="AW607" s="2568" t="s">
        <v>1008</v>
      </c>
      <c r="AX607" s="1362">
        <f t="shared" si="472"/>
        <v>3434.3587343810068</v>
      </c>
      <c r="AY607" s="1360">
        <f t="shared" si="473"/>
        <v>464.74418858243007</v>
      </c>
      <c r="AZ607" s="1132" t="str">
        <f t="shared" si="474"/>
        <v>CI-HW_-LFFA-V08-190101</v>
      </c>
      <c r="BA607" s="1132" t="str">
        <f t="shared" si="475"/>
        <v>Nicor Gas PY11-PY14 Adjustable Goals Template_2025-03-01, Tab 4.3.2</v>
      </c>
      <c r="BB607" s="2505">
        <f>'4.3.2'!$N$4</f>
        <v>5.9104899280575545</v>
      </c>
      <c r="BC607" s="2568" t="s">
        <v>1008</v>
      </c>
      <c r="BD607" s="1362">
        <f t="shared" si="476"/>
        <v>3434.3587343810068</v>
      </c>
      <c r="BE607" s="1360">
        <f t="shared" si="477"/>
        <v>464.74418858243007</v>
      </c>
      <c r="BF607" s="1132" t="str">
        <f t="shared" si="478"/>
        <v>CI-HW_-LFFA-V08-190101</v>
      </c>
      <c r="BG607" s="1132" t="str">
        <f t="shared" si="479"/>
        <v>Nicor Gas PY11-PY14 Adjustable Goals Template_2025-03-01, Tab 4.3.2</v>
      </c>
      <c r="BH607" s="2505">
        <f>'4.3.2'!$N$4</f>
        <v>5.9104899280575545</v>
      </c>
      <c r="BI607" s="2568" t="s">
        <v>1008</v>
      </c>
      <c r="BJ607" s="1362">
        <f t="shared" si="501"/>
        <v>3434.3587343810068</v>
      </c>
      <c r="BK607" s="1360">
        <f t="shared" si="480"/>
        <v>464.74418858243007</v>
      </c>
      <c r="BL607" s="1601">
        <f t="shared" si="481"/>
        <v>3434.3587343810068</v>
      </c>
      <c r="BM607" s="1601">
        <f t="shared" si="482"/>
        <v>3434.3587343810068</v>
      </c>
      <c r="BN607" s="1601">
        <f t="shared" si="483"/>
        <v>3434.3587343810068</v>
      </c>
      <c r="BO607" s="1601">
        <f t="shared" si="484"/>
        <v>3434.3587343810068</v>
      </c>
      <c r="BP607" s="1602">
        <f t="shared" si="485"/>
        <v>13737.434937524027</v>
      </c>
      <c r="BQ607" s="1629"/>
      <c r="BR607" s="1629" t="s">
        <v>555</v>
      </c>
      <c r="BS607" s="1602">
        <v>0</v>
      </c>
      <c r="BT607" s="1602">
        <v>10</v>
      </c>
      <c r="BU607" s="1602">
        <v>10</v>
      </c>
      <c r="BV607" s="1602">
        <v>10</v>
      </c>
      <c r="BW607" s="1602">
        <v>10</v>
      </c>
      <c r="BX607" s="1362">
        <f t="shared" si="502"/>
        <v>29696.145457985767</v>
      </c>
      <c r="BY607" s="1362">
        <f t="shared" si="503"/>
        <v>29696.145457985767</v>
      </c>
      <c r="BZ607" s="1362">
        <f t="shared" si="504"/>
        <v>29696.145457985767</v>
      </c>
      <c r="CA607" s="1362">
        <f t="shared" si="505"/>
        <v>29696.145457985767</v>
      </c>
      <c r="CB607" s="1362">
        <f t="shared" si="506"/>
        <v>118784.58183194307</v>
      </c>
      <c r="CC607" s="1360">
        <v>10</v>
      </c>
      <c r="CD607" s="1360">
        <v>10</v>
      </c>
      <c r="CE607" s="1360">
        <v>10</v>
      </c>
      <c r="CF607" s="1360">
        <v>10</v>
      </c>
      <c r="CG607" s="1604">
        <f t="shared" si="486"/>
        <v>34343.587343810068</v>
      </c>
      <c r="CH607" s="1604">
        <f t="shared" si="487"/>
        <v>34343.587343810068</v>
      </c>
      <c r="CI607" s="1604">
        <f t="shared" si="488"/>
        <v>34343.587343810068</v>
      </c>
      <c r="CJ607" s="1604">
        <f t="shared" si="489"/>
        <v>34343.587343810068</v>
      </c>
      <c r="CK607" s="1521">
        <f t="shared" si="490"/>
        <v>137374.34937524027</v>
      </c>
      <c r="CL607" s="1132">
        <v>600</v>
      </c>
      <c r="CM607" s="1132" t="s">
        <v>328</v>
      </c>
      <c r="CN607" s="1359">
        <v>0</v>
      </c>
      <c r="CO607" s="1360">
        <v>605.27249999999992</v>
      </c>
      <c r="CP607" s="1360">
        <v>605.27249999999992</v>
      </c>
      <c r="CQ607" s="1360">
        <v>605.27249999999992</v>
      </c>
      <c r="CR607" s="1360">
        <v>605.27249999999992</v>
      </c>
      <c r="CS607" s="1362">
        <f t="shared" si="491"/>
        <v>3434.3587343810068</v>
      </c>
      <c r="CT607" s="1362">
        <f t="shared" si="492"/>
        <v>3434.3587343810068</v>
      </c>
      <c r="CU607" s="1362">
        <f t="shared" si="493"/>
        <v>3434.3587343810068</v>
      </c>
      <c r="CV607" s="1362">
        <f t="shared" si="494"/>
        <v>3434.3587343810068</v>
      </c>
      <c r="CW607" s="1362">
        <f t="shared" si="495"/>
        <v>13737.434937524027</v>
      </c>
      <c r="CY607" s="2887"/>
    </row>
    <row r="608" spans="1:103" s="1143" customFormat="1" ht="30" customHeight="1" x14ac:dyDescent="0.35">
      <c r="A608" s="1132" t="s">
        <v>116</v>
      </c>
      <c r="B608" s="1132" t="s">
        <v>1014</v>
      </c>
      <c r="C608" s="1132" t="s">
        <v>560</v>
      </c>
      <c r="D608" s="1359" t="s">
        <v>561</v>
      </c>
      <c r="E608" s="1359">
        <v>1</v>
      </c>
      <c r="F608" s="2807" t="s">
        <v>555</v>
      </c>
      <c r="G608" s="1132" t="s">
        <v>328</v>
      </c>
      <c r="H608" s="1360">
        <v>0.36749999999999999</v>
      </c>
      <c r="I608" s="1360">
        <v>0.36749999999999999</v>
      </c>
      <c r="J608" s="1360">
        <v>0.36749999999999999</v>
      </c>
      <c r="K608" s="1360">
        <v>0.36749999999999999</v>
      </c>
      <c r="L608" s="1132" t="s">
        <v>556</v>
      </c>
      <c r="M608" s="1132" t="str">
        <f t="shared" si="457"/>
        <v>Nicor Gas PY11-PY14 Adjustable Goals Template_2025-03-01, Tab 4.3.2</v>
      </c>
      <c r="N608" s="1361">
        <v>24.761780691313646</v>
      </c>
      <c r="O608" s="1361">
        <v>24.761780691313646</v>
      </c>
      <c r="P608" s="1361">
        <v>24.761780691313646</v>
      </c>
      <c r="Q608" s="1361">
        <v>24.761780691313646</v>
      </c>
      <c r="R608" s="1781">
        <v>0.92</v>
      </c>
      <c r="S608" s="1781">
        <v>0.92</v>
      </c>
      <c r="T608" s="1781">
        <v>0.92</v>
      </c>
      <c r="U608" s="1781">
        <v>0.92</v>
      </c>
      <c r="V608" s="2567">
        <v>0.96</v>
      </c>
      <c r="W608" s="2567">
        <v>0.96</v>
      </c>
      <c r="X608" s="2567">
        <v>0.96</v>
      </c>
      <c r="Y608" s="2567">
        <v>0.96</v>
      </c>
      <c r="Z608" s="1359">
        <v>0</v>
      </c>
      <c r="AA608" s="2567">
        <f t="shared" si="458"/>
        <v>0.96</v>
      </c>
      <c r="AB608" s="2567">
        <f t="shared" si="459"/>
        <v>0.96</v>
      </c>
      <c r="AC608" s="2567">
        <f t="shared" si="460"/>
        <v>0.96</v>
      </c>
      <c r="AD608" s="2567">
        <f t="shared" si="461"/>
        <v>0.96</v>
      </c>
      <c r="AE608" s="2567">
        <f t="shared" si="462"/>
        <v>0.96</v>
      </c>
      <c r="AF608" s="2567">
        <f t="shared" si="463"/>
        <v>0.96</v>
      </c>
      <c r="AG608" s="2567">
        <f t="shared" si="464"/>
        <v>0.96</v>
      </c>
      <c r="AH608" s="2567">
        <f t="shared" si="465"/>
        <v>0.96</v>
      </c>
      <c r="AI608" s="1362">
        <f t="shared" si="496"/>
        <v>8.3719580517331451</v>
      </c>
      <c r="AJ608" s="1362">
        <f t="shared" si="497"/>
        <v>8.3719580517331451</v>
      </c>
      <c r="AK608" s="1362">
        <f t="shared" si="498"/>
        <v>8.3719580517331451</v>
      </c>
      <c r="AL608" s="1362">
        <f t="shared" si="499"/>
        <v>8.3719580517331451</v>
      </c>
      <c r="AM608" s="1362">
        <f t="shared" si="500"/>
        <v>33.48783220693258</v>
      </c>
      <c r="AN608" s="1132" t="str">
        <f t="shared" si="466"/>
        <v>CI-HW_-LFFA-V08-190101</v>
      </c>
      <c r="AO608" s="1132" t="str">
        <f t="shared" si="467"/>
        <v>Nicor Gas PY11-PY14 Adjustable Goals Template_2025-03-01, Tab 4.3.2</v>
      </c>
      <c r="AP608" s="2568">
        <f>'4.3.2'!$N$6</f>
        <v>37.620137903225817</v>
      </c>
      <c r="AQ608" s="2568" t="s">
        <v>1008</v>
      </c>
      <c r="AR608" s="2505">
        <f t="shared" si="468"/>
        <v>13.272384652258067</v>
      </c>
      <c r="AS608" s="2247">
        <f t="shared" si="469"/>
        <v>4.9004266005249217</v>
      </c>
      <c r="AT608" s="1132" t="str">
        <f t="shared" si="470"/>
        <v>CI-HW_-LFFA-V08-190101</v>
      </c>
      <c r="AU608" s="1132" t="str">
        <f t="shared" si="471"/>
        <v>Nicor Gas PY11-PY14 Adjustable Goals Template_2025-03-01, Tab 4.3.2</v>
      </c>
      <c r="AV608" s="2505">
        <f>'4.3.2'!$N$6</f>
        <v>37.620137903225817</v>
      </c>
      <c r="AW608" s="2568" t="s">
        <v>1008</v>
      </c>
      <c r="AX608" s="1362">
        <f t="shared" si="472"/>
        <v>13.272384652258067</v>
      </c>
      <c r="AY608" s="1360">
        <f t="shared" si="473"/>
        <v>4.9004266005249217</v>
      </c>
      <c r="AZ608" s="1132" t="str">
        <f t="shared" si="474"/>
        <v>CI-HW_-LFFA-V08-190101</v>
      </c>
      <c r="BA608" s="1132" t="str">
        <f t="shared" si="475"/>
        <v>Nicor Gas PY11-PY14 Adjustable Goals Template_2025-03-01, Tab 4.3.2</v>
      </c>
      <c r="BB608" s="2505">
        <f>'4.3.2'!$N$6</f>
        <v>37.620137903225817</v>
      </c>
      <c r="BC608" s="2568" t="s">
        <v>1008</v>
      </c>
      <c r="BD608" s="1362">
        <f t="shared" si="476"/>
        <v>13.272384652258067</v>
      </c>
      <c r="BE608" s="1360">
        <f t="shared" si="477"/>
        <v>4.9004266005249217</v>
      </c>
      <c r="BF608" s="1132" t="str">
        <f t="shared" si="478"/>
        <v>CI-HW_-LFFA-V08-190101</v>
      </c>
      <c r="BG608" s="1132" t="str">
        <f t="shared" si="479"/>
        <v>Nicor Gas PY11-PY14 Adjustable Goals Template_2025-03-01, Tab 4.3.2</v>
      </c>
      <c r="BH608" s="2505">
        <f>'4.3.2'!$N$6</f>
        <v>37.620137903225817</v>
      </c>
      <c r="BI608" s="2568" t="s">
        <v>1008</v>
      </c>
      <c r="BJ608" s="1362">
        <f t="shared" si="501"/>
        <v>13.272384652258067</v>
      </c>
      <c r="BK608" s="1360">
        <f t="shared" si="480"/>
        <v>4.9004266005249217</v>
      </c>
      <c r="BL608" s="1601">
        <f t="shared" si="481"/>
        <v>13.272384652258067</v>
      </c>
      <c r="BM608" s="1601">
        <f t="shared" si="482"/>
        <v>13.272384652258067</v>
      </c>
      <c r="BN608" s="1601">
        <f t="shared" si="483"/>
        <v>13.272384652258067</v>
      </c>
      <c r="BO608" s="1601">
        <f t="shared" si="484"/>
        <v>13.272384652258067</v>
      </c>
      <c r="BP608" s="1602">
        <f t="shared" si="485"/>
        <v>53.089538609032267</v>
      </c>
      <c r="BQ608" s="1629"/>
      <c r="BR608" s="1629" t="s">
        <v>555</v>
      </c>
      <c r="BS608" s="1602">
        <v>0</v>
      </c>
      <c r="BT608" s="1602">
        <v>10</v>
      </c>
      <c r="BU608" s="1602">
        <v>10</v>
      </c>
      <c r="BV608" s="1602">
        <v>10</v>
      </c>
      <c r="BW608" s="1602">
        <v>10</v>
      </c>
      <c r="BX608" s="1362">
        <f t="shared" si="502"/>
        <v>83.719580517331451</v>
      </c>
      <c r="BY608" s="1362">
        <f t="shared" si="503"/>
        <v>83.719580517331451</v>
      </c>
      <c r="BZ608" s="1362">
        <f t="shared" si="504"/>
        <v>83.719580517331451</v>
      </c>
      <c r="CA608" s="1362">
        <f t="shared" si="505"/>
        <v>83.719580517331451</v>
      </c>
      <c r="CB608" s="1362">
        <f t="shared" si="506"/>
        <v>334.8783220693258</v>
      </c>
      <c r="CC608" s="1360">
        <v>10</v>
      </c>
      <c r="CD608" s="1360">
        <v>10</v>
      </c>
      <c r="CE608" s="1360">
        <v>10</v>
      </c>
      <c r="CF608" s="1360">
        <v>10</v>
      </c>
      <c r="CG608" s="1604">
        <f t="shared" si="486"/>
        <v>132.72384652258069</v>
      </c>
      <c r="CH608" s="1604">
        <f t="shared" si="487"/>
        <v>132.72384652258069</v>
      </c>
      <c r="CI608" s="1604">
        <f t="shared" si="488"/>
        <v>132.72384652258069</v>
      </c>
      <c r="CJ608" s="1604">
        <f t="shared" si="489"/>
        <v>132.72384652258069</v>
      </c>
      <c r="CK608" s="1521">
        <f t="shared" si="490"/>
        <v>530.89538609032275</v>
      </c>
      <c r="CL608" s="1132">
        <v>601</v>
      </c>
      <c r="CM608" s="1132" t="s">
        <v>328</v>
      </c>
      <c r="CN608" s="1359">
        <v>0</v>
      </c>
      <c r="CO608" s="1360">
        <v>0.36749999999999999</v>
      </c>
      <c r="CP608" s="1360">
        <v>0.36749999999999999</v>
      </c>
      <c r="CQ608" s="1360">
        <v>0.36749999999999999</v>
      </c>
      <c r="CR608" s="1360">
        <v>0.36749999999999999</v>
      </c>
      <c r="CS608" s="1362">
        <f t="shared" si="491"/>
        <v>13.272384652258067</v>
      </c>
      <c r="CT608" s="1362">
        <f t="shared" si="492"/>
        <v>13.272384652258067</v>
      </c>
      <c r="CU608" s="1362">
        <f t="shared" si="493"/>
        <v>13.272384652258067</v>
      </c>
      <c r="CV608" s="1362">
        <f t="shared" si="494"/>
        <v>13.272384652258067</v>
      </c>
      <c r="CW608" s="1362">
        <f t="shared" si="495"/>
        <v>53.089538609032267</v>
      </c>
      <c r="CY608" s="2887"/>
    </row>
    <row r="609" spans="1:103" s="1143" customFormat="1" ht="62" x14ac:dyDescent="0.35">
      <c r="A609" s="1132" t="s">
        <v>116</v>
      </c>
      <c r="B609" s="1132" t="s">
        <v>1014</v>
      </c>
      <c r="C609" s="1132" t="s">
        <v>562</v>
      </c>
      <c r="D609" s="1359" t="s">
        <v>563</v>
      </c>
      <c r="E609" s="1359">
        <v>1</v>
      </c>
      <c r="F609" s="2807" t="s">
        <v>563</v>
      </c>
      <c r="G609" s="1132" t="s">
        <v>328</v>
      </c>
      <c r="H609" s="1360">
        <v>44.835000000000001</v>
      </c>
      <c r="I609" s="1360">
        <v>44.835000000000001</v>
      </c>
      <c r="J609" s="1360">
        <v>44.835000000000001</v>
      </c>
      <c r="K609" s="1360">
        <v>44.835000000000001</v>
      </c>
      <c r="L609" s="1132" t="s">
        <v>564</v>
      </c>
      <c r="M609" s="1132" t="str">
        <f t="shared" si="457"/>
        <v>Nicor Gas PY11-PY14 Adjustable Goals Template_2025-03-01, Tab 4.3.3</v>
      </c>
      <c r="N609" s="1361">
        <v>19.917921113999995</v>
      </c>
      <c r="O609" s="1361">
        <v>19.917921113999995</v>
      </c>
      <c r="P609" s="1361">
        <v>19.917921113999995</v>
      </c>
      <c r="Q609" s="1361">
        <v>19.917921113999995</v>
      </c>
      <c r="R609" s="1781">
        <v>0.92</v>
      </c>
      <c r="S609" s="1781">
        <v>0.92</v>
      </c>
      <c r="T609" s="1781">
        <v>0.92</v>
      </c>
      <c r="U609" s="1781">
        <v>0.92</v>
      </c>
      <c r="V609" s="2567">
        <v>0.96</v>
      </c>
      <c r="W609" s="2567">
        <v>0.96</v>
      </c>
      <c r="X609" s="2567">
        <v>0.96</v>
      </c>
      <c r="Y609" s="2567">
        <v>0.96</v>
      </c>
      <c r="Z609" s="1359">
        <v>0</v>
      </c>
      <c r="AA609" s="2567">
        <f t="shared" si="458"/>
        <v>0.96</v>
      </c>
      <c r="AB609" s="2567">
        <f t="shared" si="459"/>
        <v>0.96</v>
      </c>
      <c r="AC609" s="2567">
        <f t="shared" si="460"/>
        <v>0.96</v>
      </c>
      <c r="AD609" s="2567">
        <f t="shared" si="461"/>
        <v>0.96</v>
      </c>
      <c r="AE609" s="2567">
        <f t="shared" si="462"/>
        <v>0.96</v>
      </c>
      <c r="AF609" s="2567">
        <f t="shared" si="463"/>
        <v>0.96</v>
      </c>
      <c r="AG609" s="2567">
        <f t="shared" si="464"/>
        <v>0.96</v>
      </c>
      <c r="AH609" s="2567">
        <f t="shared" si="465"/>
        <v>0.96</v>
      </c>
      <c r="AI609" s="1362">
        <f t="shared" si="496"/>
        <v>821.57839369449459</v>
      </c>
      <c r="AJ609" s="1362">
        <f t="shared" si="497"/>
        <v>821.57839369449459</v>
      </c>
      <c r="AK609" s="1362">
        <f t="shared" si="498"/>
        <v>821.57839369449459</v>
      </c>
      <c r="AL609" s="1362">
        <f t="shared" si="499"/>
        <v>821.57839369449459</v>
      </c>
      <c r="AM609" s="1362">
        <f t="shared" si="500"/>
        <v>3286.3135747779784</v>
      </c>
      <c r="AN609" s="1132" t="str">
        <f t="shared" si="466"/>
        <v>CI-HW_-HWE-LFSH-V05-190101</v>
      </c>
      <c r="AO609" s="1132" t="str">
        <f t="shared" si="467"/>
        <v>Nicor Gas PY11-PY14 Adjustable Goals Template_2025-03-01, Tab 4.3.3</v>
      </c>
      <c r="AP609" s="2568">
        <f>'4.3.3'!$O$4</f>
        <v>21.634983278999997</v>
      </c>
      <c r="AQ609" s="2568" t="s">
        <v>1018</v>
      </c>
      <c r="AR609" s="2505">
        <f t="shared" si="468"/>
        <v>931.20429630140632</v>
      </c>
      <c r="AS609" s="2505">
        <f t="shared" si="469"/>
        <v>109.62590260691172</v>
      </c>
      <c r="AT609" s="1132" t="str">
        <f t="shared" si="470"/>
        <v>CI-HW_-HWE-LFSH-V05-190101</v>
      </c>
      <c r="AU609" s="1132" t="str">
        <f t="shared" si="471"/>
        <v>Nicor Gas PY11-PY14 Adjustable Goals Template_2025-03-01, Tab 4.3.3</v>
      </c>
      <c r="AV609" s="2505">
        <f>'4.3.3'!$O$4</f>
        <v>21.634983278999997</v>
      </c>
      <c r="AW609" s="2568" t="s">
        <v>1018</v>
      </c>
      <c r="AX609" s="1362">
        <f t="shared" si="472"/>
        <v>931.20429630140632</v>
      </c>
      <c r="AY609" s="1360">
        <f t="shared" si="473"/>
        <v>109.62590260691172</v>
      </c>
      <c r="AZ609" s="1132" t="str">
        <f t="shared" si="474"/>
        <v>CI-HW_-HWE-LFSH-V05-190101</v>
      </c>
      <c r="BA609" s="1132" t="str">
        <f t="shared" si="475"/>
        <v>Nicor Gas PY11-PY14 Adjustable Goals Template_2025-03-01, Tab 4.3.3</v>
      </c>
      <c r="BB609" s="2505">
        <f>'4.3.3'!$O$4</f>
        <v>21.634983278999997</v>
      </c>
      <c r="BC609" s="2568" t="s">
        <v>1018</v>
      </c>
      <c r="BD609" s="1362">
        <f t="shared" si="476"/>
        <v>931.20429630140632</v>
      </c>
      <c r="BE609" s="1360">
        <f t="shared" si="477"/>
        <v>109.62590260691172</v>
      </c>
      <c r="BF609" s="1132" t="str">
        <f t="shared" si="478"/>
        <v>CI-HW_-HWE-LFSH-V05-190101</v>
      </c>
      <c r="BG609" s="1132" t="str">
        <f t="shared" si="479"/>
        <v>Nicor Gas PY11-PY14 Adjustable Goals Template_2025-03-01, Tab 4.3.3</v>
      </c>
      <c r="BH609" s="2505">
        <f>'4.3.3'!$O$4</f>
        <v>21.634983278999997</v>
      </c>
      <c r="BI609" s="2568" t="s">
        <v>1018</v>
      </c>
      <c r="BJ609" s="1362">
        <f t="shared" si="501"/>
        <v>931.20429630140632</v>
      </c>
      <c r="BK609" s="1360">
        <f t="shared" si="480"/>
        <v>109.62590260691172</v>
      </c>
      <c r="BL609" s="1601">
        <f t="shared" si="481"/>
        <v>931.20429630140632</v>
      </c>
      <c r="BM609" s="1601">
        <f t="shared" si="482"/>
        <v>931.20429630140632</v>
      </c>
      <c r="BN609" s="1601">
        <f t="shared" si="483"/>
        <v>931.20429630140632</v>
      </c>
      <c r="BO609" s="1601">
        <f t="shared" si="484"/>
        <v>931.20429630140632</v>
      </c>
      <c r="BP609" s="1602">
        <f t="shared" si="485"/>
        <v>3724.8171852056253</v>
      </c>
      <c r="BQ609" s="1629"/>
      <c r="BR609" s="1629" t="s">
        <v>563</v>
      </c>
      <c r="BS609" s="1602">
        <v>0</v>
      </c>
      <c r="BT609" s="1602">
        <v>10</v>
      </c>
      <c r="BU609" s="1602">
        <v>10</v>
      </c>
      <c r="BV609" s="1602">
        <v>10</v>
      </c>
      <c r="BW609" s="1602">
        <v>10</v>
      </c>
      <c r="BX609" s="1362">
        <f t="shared" si="502"/>
        <v>8215.7839369449466</v>
      </c>
      <c r="BY609" s="1362">
        <f t="shared" si="503"/>
        <v>8215.7839369449466</v>
      </c>
      <c r="BZ609" s="1362">
        <f t="shared" si="504"/>
        <v>8215.7839369449466</v>
      </c>
      <c r="CA609" s="1362">
        <f t="shared" si="505"/>
        <v>8215.7839369449466</v>
      </c>
      <c r="CB609" s="1362">
        <f t="shared" si="506"/>
        <v>32863.135747779786</v>
      </c>
      <c r="CC609" s="1360">
        <v>10</v>
      </c>
      <c r="CD609" s="1360">
        <v>10</v>
      </c>
      <c r="CE609" s="1360">
        <v>10</v>
      </c>
      <c r="CF609" s="1360">
        <v>10</v>
      </c>
      <c r="CG609" s="1604">
        <f t="shared" si="486"/>
        <v>9312.0429630140625</v>
      </c>
      <c r="CH609" s="1604">
        <f t="shared" si="487"/>
        <v>9312.0429630140625</v>
      </c>
      <c r="CI609" s="1604">
        <f t="shared" si="488"/>
        <v>9312.0429630140625</v>
      </c>
      <c r="CJ609" s="1604">
        <f t="shared" si="489"/>
        <v>9312.0429630140625</v>
      </c>
      <c r="CK609" s="1521">
        <f t="shared" si="490"/>
        <v>37248.17185205625</v>
      </c>
      <c r="CL609" s="1132">
        <v>602</v>
      </c>
      <c r="CM609" s="1132" t="s">
        <v>328</v>
      </c>
      <c r="CN609" s="1359">
        <v>0</v>
      </c>
      <c r="CO609" s="1360">
        <v>44.835000000000001</v>
      </c>
      <c r="CP609" s="1360">
        <v>44.835000000000001</v>
      </c>
      <c r="CQ609" s="1360">
        <v>44.835000000000001</v>
      </c>
      <c r="CR609" s="1360">
        <v>44.835000000000001</v>
      </c>
      <c r="CS609" s="1362">
        <f t="shared" si="491"/>
        <v>931.20429630140632</v>
      </c>
      <c r="CT609" s="1362">
        <f t="shared" si="492"/>
        <v>931.20429630140632</v>
      </c>
      <c r="CU609" s="1362">
        <f t="shared" si="493"/>
        <v>931.20429630140632</v>
      </c>
      <c r="CV609" s="1362">
        <f t="shared" si="494"/>
        <v>931.20429630140632</v>
      </c>
      <c r="CW609" s="1362">
        <f t="shared" si="495"/>
        <v>3724.8171852056253</v>
      </c>
      <c r="CY609" s="2887"/>
    </row>
    <row r="610" spans="1:103" s="1143" customFormat="1" ht="75.75" customHeight="1" x14ac:dyDescent="0.35">
      <c r="A610" s="1132" t="s">
        <v>116</v>
      </c>
      <c r="B610" s="1132" t="s">
        <v>1014</v>
      </c>
      <c r="C610" s="1132" t="s">
        <v>1009</v>
      </c>
      <c r="D610" s="1359" t="s">
        <v>105</v>
      </c>
      <c r="E610" s="1359">
        <v>0</v>
      </c>
      <c r="F610" s="1132" t="s">
        <v>105</v>
      </c>
      <c r="G610" s="1132" t="s">
        <v>337</v>
      </c>
      <c r="H610" s="1360">
        <v>2.2049999999999996</v>
      </c>
      <c r="I610" s="1360">
        <v>2.2049999999999996</v>
      </c>
      <c r="J610" s="1360">
        <v>2.2049999999999996</v>
      </c>
      <c r="K610" s="1360">
        <v>2.2049999999999996</v>
      </c>
      <c r="L610" s="1132" t="s">
        <v>1011</v>
      </c>
      <c r="M610" s="1132" t="str">
        <f t="shared" si="457"/>
        <v/>
      </c>
      <c r="N610" s="2245">
        <v>6.2</v>
      </c>
      <c r="O610" s="1361">
        <v>6.2</v>
      </c>
      <c r="P610" s="1361">
        <v>6.2</v>
      </c>
      <c r="Q610" s="1361">
        <v>6.2</v>
      </c>
      <c r="R610" s="1781">
        <v>0.92</v>
      </c>
      <c r="S610" s="1781">
        <v>0.92</v>
      </c>
      <c r="T610" s="1781">
        <v>0.92</v>
      </c>
      <c r="U610" s="1781">
        <v>0.92</v>
      </c>
      <c r="V610" s="2567">
        <v>0.96</v>
      </c>
      <c r="W610" s="2567">
        <v>0.96</v>
      </c>
      <c r="X610" s="2567">
        <v>0.96</v>
      </c>
      <c r="Y610" s="2567">
        <v>0.96</v>
      </c>
      <c r="Z610" s="1359">
        <v>0</v>
      </c>
      <c r="AA610" s="2567">
        <f t="shared" si="458"/>
        <v>0.96</v>
      </c>
      <c r="AB610" s="2567">
        <f t="shared" si="459"/>
        <v>0.96</v>
      </c>
      <c r="AC610" s="2567">
        <f t="shared" si="460"/>
        <v>0.96</v>
      </c>
      <c r="AD610" s="2567">
        <f t="shared" si="461"/>
        <v>0.96</v>
      </c>
      <c r="AE610" s="2567">
        <f t="shared" si="462"/>
        <v>0.96</v>
      </c>
      <c r="AF610" s="2567">
        <f t="shared" si="463"/>
        <v>0.96</v>
      </c>
      <c r="AG610" s="2567">
        <f t="shared" si="464"/>
        <v>0.96</v>
      </c>
      <c r="AH610" s="2567">
        <f t="shared" si="465"/>
        <v>0.96</v>
      </c>
      <c r="AI610" s="1362">
        <f t="shared" si="496"/>
        <v>12.577319999999999</v>
      </c>
      <c r="AJ610" s="1362">
        <f t="shared" si="497"/>
        <v>12.577319999999999</v>
      </c>
      <c r="AK610" s="1362">
        <f t="shared" si="498"/>
        <v>12.577319999999999</v>
      </c>
      <c r="AL610" s="1362">
        <f t="shared" si="499"/>
        <v>12.577319999999999</v>
      </c>
      <c r="AM610" s="1362">
        <f t="shared" si="500"/>
        <v>50.309279999999994</v>
      </c>
      <c r="AN610" s="1132" t="str">
        <f t="shared" si="466"/>
        <v>C99</v>
      </c>
      <c r="AO610" s="1132" t="str">
        <f t="shared" si="467"/>
        <v/>
      </c>
      <c r="AP610" s="2247">
        <v>6.2</v>
      </c>
      <c r="AQ610" s="2568" t="s">
        <v>1007</v>
      </c>
      <c r="AR610" s="2505">
        <f t="shared" si="468"/>
        <v>13.124159999999998</v>
      </c>
      <c r="AS610" s="2505">
        <f t="shared" si="469"/>
        <v>0.54683999999999955</v>
      </c>
      <c r="AT610" s="1132" t="str">
        <f t="shared" si="470"/>
        <v>C99</v>
      </c>
      <c r="AU610" s="1132" t="str">
        <f t="shared" si="471"/>
        <v/>
      </c>
      <c r="AV610" s="2247">
        <v>6.2</v>
      </c>
      <c r="AW610" s="2568" t="s">
        <v>1007</v>
      </c>
      <c r="AX610" s="1362">
        <f t="shared" si="472"/>
        <v>13.124159999999998</v>
      </c>
      <c r="AY610" s="1360">
        <f t="shared" si="473"/>
        <v>0.54683999999999955</v>
      </c>
      <c r="AZ610" s="1132" t="s">
        <v>105</v>
      </c>
      <c r="BA610" s="1132" t="str">
        <f t="shared" ref="BA610:BA619" si="507">M610</f>
        <v/>
      </c>
      <c r="BB610" s="2247">
        <v>6.2</v>
      </c>
      <c r="BC610" s="2568" t="s">
        <v>1007</v>
      </c>
      <c r="BD610" s="1362">
        <f t="shared" si="476"/>
        <v>13.124159999999998</v>
      </c>
      <c r="BE610" s="1360">
        <f t="shared" si="477"/>
        <v>0.54683999999999955</v>
      </c>
      <c r="BF610" s="1132" t="s">
        <v>105</v>
      </c>
      <c r="BG610" s="1132" t="str">
        <f t="shared" ref="BG610:BG619" si="508">M610</f>
        <v/>
      </c>
      <c r="BH610" s="2247">
        <v>6.2</v>
      </c>
      <c r="BI610" s="2568" t="s">
        <v>1007</v>
      </c>
      <c r="BJ610" s="1362">
        <f t="shared" si="501"/>
        <v>13.124159999999998</v>
      </c>
      <c r="BK610" s="1360">
        <f t="shared" si="480"/>
        <v>0.54683999999999955</v>
      </c>
      <c r="BL610" s="1601">
        <f t="shared" si="481"/>
        <v>13.124159999999998</v>
      </c>
      <c r="BM610" s="1601">
        <f t="shared" si="482"/>
        <v>13.124159999999998</v>
      </c>
      <c r="BN610" s="1601">
        <f t="shared" si="483"/>
        <v>13.124159999999998</v>
      </c>
      <c r="BO610" s="1601">
        <f t="shared" si="484"/>
        <v>13.124159999999998</v>
      </c>
      <c r="BP610" s="1602">
        <f t="shared" si="485"/>
        <v>52.496639999999992</v>
      </c>
      <c r="BQ610" s="1629"/>
      <c r="BR610" s="1629"/>
      <c r="BS610" s="1602">
        <v>0</v>
      </c>
      <c r="BT610" s="1602">
        <v>15</v>
      </c>
      <c r="BU610" s="1602">
        <v>15</v>
      </c>
      <c r="BV610" s="1602">
        <v>15</v>
      </c>
      <c r="BW610" s="1602">
        <v>15</v>
      </c>
      <c r="BX610" s="1362">
        <f t="shared" si="502"/>
        <v>188.65979999999999</v>
      </c>
      <c r="BY610" s="1362">
        <f t="shared" si="503"/>
        <v>188.65979999999999</v>
      </c>
      <c r="BZ610" s="1362">
        <f t="shared" si="504"/>
        <v>188.65979999999999</v>
      </c>
      <c r="CA610" s="1362">
        <f t="shared" si="505"/>
        <v>188.65979999999999</v>
      </c>
      <c r="CB610" s="1362">
        <f t="shared" si="506"/>
        <v>754.63919999999996</v>
      </c>
      <c r="CC610" s="1360">
        <v>15</v>
      </c>
      <c r="CD610" s="1360">
        <v>15</v>
      </c>
      <c r="CE610" s="1360">
        <v>15</v>
      </c>
      <c r="CF610" s="1360">
        <v>15</v>
      </c>
      <c r="CG610" s="1604">
        <f t="shared" si="486"/>
        <v>196.86239999999998</v>
      </c>
      <c r="CH610" s="1604">
        <f t="shared" si="487"/>
        <v>196.86239999999998</v>
      </c>
      <c r="CI610" s="1604">
        <f t="shared" si="488"/>
        <v>196.86239999999998</v>
      </c>
      <c r="CJ610" s="1604">
        <f t="shared" si="489"/>
        <v>196.86239999999998</v>
      </c>
      <c r="CK610" s="1521">
        <f t="shared" si="490"/>
        <v>787.44959999999992</v>
      </c>
      <c r="CL610" s="1132">
        <v>603</v>
      </c>
      <c r="CM610" s="1132" t="s">
        <v>337</v>
      </c>
      <c r="CN610" s="1359">
        <v>0</v>
      </c>
      <c r="CO610" s="1360">
        <v>2.2049999999999996</v>
      </c>
      <c r="CP610" s="1360">
        <v>2.2049999999999996</v>
      </c>
      <c r="CQ610" s="1360">
        <v>2.2049999999999996</v>
      </c>
      <c r="CR610" s="1360">
        <v>2.2049999999999996</v>
      </c>
      <c r="CS610" s="1362">
        <f t="shared" si="491"/>
        <v>13.124159999999998</v>
      </c>
      <c r="CT610" s="1362">
        <f t="shared" si="492"/>
        <v>13.124159999999998</v>
      </c>
      <c r="CU610" s="1362">
        <f t="shared" si="493"/>
        <v>13.124159999999998</v>
      </c>
      <c r="CV610" s="1362">
        <f t="shared" si="494"/>
        <v>13.124159999999998</v>
      </c>
      <c r="CW610" s="1362">
        <f t="shared" si="495"/>
        <v>52.496639999999992</v>
      </c>
      <c r="CY610" s="2887"/>
    </row>
    <row r="611" spans="1:103" s="1143" customFormat="1" ht="46.5" x14ac:dyDescent="0.35">
      <c r="A611" s="1132" t="s">
        <v>116</v>
      </c>
      <c r="B611" s="1132" t="s">
        <v>1014</v>
      </c>
      <c r="C611" s="1132" t="s">
        <v>565</v>
      </c>
      <c r="D611" s="1359" t="s">
        <v>566</v>
      </c>
      <c r="E611" s="1359">
        <v>1</v>
      </c>
      <c r="F611" s="2564" t="s">
        <v>567</v>
      </c>
      <c r="G611" s="1132" t="s">
        <v>337</v>
      </c>
      <c r="H611" s="1360">
        <v>0.73499999999999999</v>
      </c>
      <c r="I611" s="1360">
        <v>0.73499999999999999</v>
      </c>
      <c r="J611" s="1360">
        <v>0.73499999999999999</v>
      </c>
      <c r="K611" s="1360">
        <v>0.73499999999999999</v>
      </c>
      <c r="L611" s="1132" t="s">
        <v>568</v>
      </c>
      <c r="M611" s="1132" t="str">
        <f t="shared" si="457"/>
        <v>Nicor Gas PY11-PY14 Adjustable Goals Template_2025-03-01, Tab 4.8.16</v>
      </c>
      <c r="N611" s="1361">
        <v>10.32</v>
      </c>
      <c r="O611" s="1361">
        <v>10.32</v>
      </c>
      <c r="P611" s="1361">
        <v>10.32</v>
      </c>
      <c r="Q611" s="1361">
        <v>10.32</v>
      </c>
      <c r="R611" s="1781">
        <v>0.92</v>
      </c>
      <c r="S611" s="1781">
        <v>0.92</v>
      </c>
      <c r="T611" s="1781">
        <v>0.92</v>
      </c>
      <c r="U611" s="1781">
        <v>0.92</v>
      </c>
      <c r="V611" s="2567">
        <v>0.96</v>
      </c>
      <c r="W611" s="2567">
        <v>0.96</v>
      </c>
      <c r="X611" s="2567">
        <v>0.96</v>
      </c>
      <c r="Y611" s="2567">
        <v>0.96</v>
      </c>
      <c r="Z611" s="1359">
        <v>0</v>
      </c>
      <c r="AA611" s="2567">
        <f t="shared" si="458"/>
        <v>0.96</v>
      </c>
      <c r="AB611" s="2567">
        <f t="shared" si="459"/>
        <v>0.96</v>
      </c>
      <c r="AC611" s="2567">
        <f t="shared" si="460"/>
        <v>0.96</v>
      </c>
      <c r="AD611" s="2567">
        <f t="shared" si="461"/>
        <v>0.96</v>
      </c>
      <c r="AE611" s="2567">
        <f t="shared" si="462"/>
        <v>0.96</v>
      </c>
      <c r="AF611" s="2567">
        <f t="shared" si="463"/>
        <v>0.96</v>
      </c>
      <c r="AG611" s="2567">
        <f t="shared" si="464"/>
        <v>0.96</v>
      </c>
      <c r="AH611" s="2567">
        <f t="shared" si="465"/>
        <v>0.96</v>
      </c>
      <c r="AI611" s="1362">
        <f t="shared" si="496"/>
        <v>6.978384000000001</v>
      </c>
      <c r="AJ611" s="1362">
        <f t="shared" si="497"/>
        <v>6.978384000000001</v>
      </c>
      <c r="AK611" s="1362">
        <f t="shared" si="498"/>
        <v>6.978384000000001</v>
      </c>
      <c r="AL611" s="1362">
        <f t="shared" si="499"/>
        <v>6.978384000000001</v>
      </c>
      <c r="AM611" s="1362">
        <f t="shared" si="500"/>
        <v>27.913536000000004</v>
      </c>
      <c r="AN611" s="1132" t="str">
        <f t="shared" si="466"/>
        <v>CI-MSC-WTST-V01-200101</v>
      </c>
      <c r="AO611" s="1132" t="str">
        <f t="shared" si="467"/>
        <v>Nicor Gas PY11-PY14 Adjustable Goals Template_2025-03-01, Tab 4.8.16</v>
      </c>
      <c r="AP611" s="2247">
        <f>'4.8.16'!$J$5</f>
        <v>10.32</v>
      </c>
      <c r="AQ611" s="2568" t="s">
        <v>1007</v>
      </c>
      <c r="AR611" s="2505">
        <f t="shared" si="468"/>
        <v>7.2817920000000003</v>
      </c>
      <c r="AS611" s="2247">
        <f t="shared" si="469"/>
        <v>0.30340799999999923</v>
      </c>
      <c r="AT611" s="1132" t="str">
        <f t="shared" si="470"/>
        <v>CI-MSC-WTST-V01-200101</v>
      </c>
      <c r="AU611" s="1132" t="str">
        <f t="shared" si="471"/>
        <v>Nicor Gas PY11-PY14 Adjustable Goals Template_2025-03-01, Tab 4.8.16</v>
      </c>
      <c r="AV611" s="2247">
        <f>'4.8.16'!$J$5</f>
        <v>10.32</v>
      </c>
      <c r="AW611" s="2568" t="s">
        <v>1007</v>
      </c>
      <c r="AX611" s="1362">
        <f t="shared" si="472"/>
        <v>7.2817920000000003</v>
      </c>
      <c r="AY611" s="1360">
        <f t="shared" si="473"/>
        <v>0.30340799999999923</v>
      </c>
      <c r="AZ611" s="1132" t="str">
        <f t="shared" ref="AZ611:AZ619" si="509">L611</f>
        <v>CI-MSC-WTST-V01-200101</v>
      </c>
      <c r="BA611" s="1132" t="str">
        <f t="shared" si="507"/>
        <v>Nicor Gas PY11-PY14 Adjustable Goals Template_2025-03-01, Tab 4.8.16</v>
      </c>
      <c r="BB611" s="2247">
        <f>'4.8.16'!$J$5</f>
        <v>10.32</v>
      </c>
      <c r="BC611" s="2568" t="s">
        <v>1007</v>
      </c>
      <c r="BD611" s="1362">
        <f t="shared" si="476"/>
        <v>7.2817920000000003</v>
      </c>
      <c r="BE611" s="1360">
        <f t="shared" si="477"/>
        <v>0.30340799999999923</v>
      </c>
      <c r="BF611" s="1132" t="str">
        <f t="shared" ref="BF611:BF619" si="510">L611</f>
        <v>CI-MSC-WTST-V01-200101</v>
      </c>
      <c r="BG611" s="1132" t="str">
        <f t="shared" si="508"/>
        <v>Nicor Gas PY11-PY14 Adjustable Goals Template_2025-03-01, Tab 4.8.16</v>
      </c>
      <c r="BH611" s="2247">
        <f>'4.8.16'!$J$5</f>
        <v>10.32</v>
      </c>
      <c r="BI611" s="2568" t="s">
        <v>1007</v>
      </c>
      <c r="BJ611" s="1362">
        <f t="shared" si="501"/>
        <v>7.2817920000000003</v>
      </c>
      <c r="BK611" s="1360">
        <f t="shared" si="480"/>
        <v>0.30340799999999923</v>
      </c>
      <c r="BL611" s="1601">
        <f t="shared" si="481"/>
        <v>7.2817920000000003</v>
      </c>
      <c r="BM611" s="1601">
        <f t="shared" si="482"/>
        <v>7.2817920000000003</v>
      </c>
      <c r="BN611" s="1601">
        <f t="shared" si="483"/>
        <v>7.2817920000000003</v>
      </c>
      <c r="BO611" s="1601">
        <f t="shared" si="484"/>
        <v>7.2817920000000003</v>
      </c>
      <c r="BP611" s="1602">
        <f t="shared" si="485"/>
        <v>29.127168000000001</v>
      </c>
      <c r="BQ611" s="1629"/>
      <c r="BR611" s="1629" t="s">
        <v>567</v>
      </c>
      <c r="BS611" s="1602">
        <v>0</v>
      </c>
      <c r="BT611" s="1602">
        <v>10</v>
      </c>
      <c r="BU611" s="1602">
        <v>10</v>
      </c>
      <c r="BV611" s="1602">
        <v>10</v>
      </c>
      <c r="BW611" s="1602">
        <v>10</v>
      </c>
      <c r="BX611" s="1362">
        <f t="shared" si="502"/>
        <v>69.783840000000012</v>
      </c>
      <c r="BY611" s="1362">
        <f t="shared" si="503"/>
        <v>69.783840000000012</v>
      </c>
      <c r="BZ611" s="1362">
        <f t="shared" si="504"/>
        <v>69.783840000000012</v>
      </c>
      <c r="CA611" s="1362">
        <f t="shared" si="505"/>
        <v>69.783840000000012</v>
      </c>
      <c r="CB611" s="1362">
        <f t="shared" si="506"/>
        <v>279.13536000000005</v>
      </c>
      <c r="CC611" s="1360">
        <v>10</v>
      </c>
      <c r="CD611" s="1360">
        <v>10</v>
      </c>
      <c r="CE611" s="1360">
        <v>10</v>
      </c>
      <c r="CF611" s="1360">
        <v>10</v>
      </c>
      <c r="CG611" s="1604">
        <f t="shared" si="486"/>
        <v>72.817920000000001</v>
      </c>
      <c r="CH611" s="1604">
        <f t="shared" si="487"/>
        <v>72.817920000000001</v>
      </c>
      <c r="CI611" s="1604">
        <f t="shared" si="488"/>
        <v>72.817920000000001</v>
      </c>
      <c r="CJ611" s="1604">
        <f t="shared" si="489"/>
        <v>72.817920000000001</v>
      </c>
      <c r="CK611" s="1521">
        <f t="shared" si="490"/>
        <v>291.27168</v>
      </c>
      <c r="CL611" s="1132">
        <v>604</v>
      </c>
      <c r="CM611" s="1132" t="s">
        <v>337</v>
      </c>
      <c r="CN611" s="1359">
        <v>0</v>
      </c>
      <c r="CO611" s="1360">
        <v>0.73499999999999999</v>
      </c>
      <c r="CP611" s="1360">
        <v>0.73499999999999999</v>
      </c>
      <c r="CQ611" s="1360">
        <v>0.73499999999999999</v>
      </c>
      <c r="CR611" s="1360">
        <v>0.73499999999999999</v>
      </c>
      <c r="CS611" s="1362">
        <f t="shared" si="491"/>
        <v>7.2817920000000003</v>
      </c>
      <c r="CT611" s="1362">
        <f t="shared" si="492"/>
        <v>7.2817920000000003</v>
      </c>
      <c r="CU611" s="1362">
        <f t="shared" si="493"/>
        <v>7.2817920000000003</v>
      </c>
      <c r="CV611" s="1362">
        <f t="shared" si="494"/>
        <v>7.2817920000000003</v>
      </c>
      <c r="CW611" s="1362">
        <f t="shared" si="495"/>
        <v>29.127168000000001</v>
      </c>
      <c r="CY611" s="2887"/>
    </row>
    <row r="612" spans="1:103" s="1143" customFormat="1" ht="75.75" customHeight="1" x14ac:dyDescent="0.35">
      <c r="A612" s="1132" t="s">
        <v>116</v>
      </c>
      <c r="B612" s="1132" t="s">
        <v>1014</v>
      </c>
      <c r="C612" s="1132" t="s">
        <v>1012</v>
      </c>
      <c r="D612" s="1359" t="s">
        <v>105</v>
      </c>
      <c r="E612" s="1359">
        <v>0</v>
      </c>
      <c r="F612" s="1132" t="s">
        <v>105</v>
      </c>
      <c r="G612" s="1132" t="s">
        <v>328</v>
      </c>
      <c r="H612" s="1360">
        <v>3.3075000000000001</v>
      </c>
      <c r="I612" s="1360">
        <v>3.3075000000000001</v>
      </c>
      <c r="J612" s="1360">
        <v>3.3075000000000001</v>
      </c>
      <c r="K612" s="1360">
        <v>3.3075000000000001</v>
      </c>
      <c r="L612" s="1132" t="s">
        <v>105</v>
      </c>
      <c r="M612" s="1132" t="str">
        <f t="shared" si="457"/>
        <v/>
      </c>
      <c r="N612" s="1361">
        <v>4402.1000000000004</v>
      </c>
      <c r="O612" s="1361">
        <v>4402.1000000000004</v>
      </c>
      <c r="P612" s="1361">
        <v>4402.1000000000004</v>
      </c>
      <c r="Q612" s="1361">
        <v>4402.1000000000004</v>
      </c>
      <c r="R612" s="1781">
        <v>0.93</v>
      </c>
      <c r="S612" s="1781">
        <v>0.93</v>
      </c>
      <c r="T612" s="1781">
        <v>0.93</v>
      </c>
      <c r="U612" s="1781">
        <v>0.93</v>
      </c>
      <c r="V612" s="2567">
        <v>0.96</v>
      </c>
      <c r="W612" s="2567">
        <v>0.96</v>
      </c>
      <c r="X612" s="2567">
        <v>0.96</v>
      </c>
      <c r="Y612" s="2567">
        <v>0.96</v>
      </c>
      <c r="Z612" s="1359">
        <v>0</v>
      </c>
      <c r="AA612" s="2567">
        <f t="shared" si="458"/>
        <v>0.96</v>
      </c>
      <c r="AB612" s="2567">
        <f t="shared" si="459"/>
        <v>0.96</v>
      </c>
      <c r="AC612" s="2567">
        <f t="shared" si="460"/>
        <v>0.96</v>
      </c>
      <c r="AD612" s="2567">
        <f t="shared" si="461"/>
        <v>0.96</v>
      </c>
      <c r="AE612" s="2567">
        <f t="shared" si="462"/>
        <v>0.96</v>
      </c>
      <c r="AF612" s="2567">
        <f t="shared" si="463"/>
        <v>0.96</v>
      </c>
      <c r="AG612" s="2567">
        <f t="shared" si="464"/>
        <v>0.96</v>
      </c>
      <c r="AH612" s="2567">
        <f t="shared" si="465"/>
        <v>0.96</v>
      </c>
      <c r="AI612" s="1362">
        <f t="shared" si="496"/>
        <v>13540.749547500001</v>
      </c>
      <c r="AJ612" s="1362">
        <f t="shared" si="497"/>
        <v>13540.749547500001</v>
      </c>
      <c r="AK612" s="1362">
        <f t="shared" si="498"/>
        <v>13540.749547500001</v>
      </c>
      <c r="AL612" s="1362">
        <f t="shared" si="499"/>
        <v>13540.749547500001</v>
      </c>
      <c r="AM612" s="1362">
        <f t="shared" si="500"/>
        <v>54162.998190000006</v>
      </c>
      <c r="AN612" s="1132" t="str">
        <f t="shared" si="466"/>
        <v>Custom</v>
      </c>
      <c r="AO612" s="1132" t="str">
        <f t="shared" si="467"/>
        <v/>
      </c>
      <c r="AP612" s="2505">
        <v>4402.1000000000004</v>
      </c>
      <c r="AQ612" s="2568" t="s">
        <v>1013</v>
      </c>
      <c r="AR612" s="2505">
        <f t="shared" si="468"/>
        <v>13977.547920000001</v>
      </c>
      <c r="AS612" s="2505">
        <f t="shared" si="469"/>
        <v>436.79837249999946</v>
      </c>
      <c r="AT612" s="1132" t="str">
        <f t="shared" si="470"/>
        <v>Custom</v>
      </c>
      <c r="AU612" s="1132" t="str">
        <f t="shared" si="471"/>
        <v/>
      </c>
      <c r="AV612" s="2505">
        <v>4402.1000000000004</v>
      </c>
      <c r="AW612" s="2568" t="s">
        <v>1013</v>
      </c>
      <c r="AX612" s="1362">
        <f t="shared" si="472"/>
        <v>13977.547920000001</v>
      </c>
      <c r="AY612" s="1360">
        <f t="shared" si="473"/>
        <v>436.79837249999946</v>
      </c>
      <c r="AZ612" s="1132" t="str">
        <f t="shared" si="509"/>
        <v>Custom</v>
      </c>
      <c r="BA612" s="1132" t="str">
        <f t="shared" si="507"/>
        <v/>
      </c>
      <c r="BB612" s="2505">
        <v>4402.1000000000004</v>
      </c>
      <c r="BC612" s="2568" t="s">
        <v>1013</v>
      </c>
      <c r="BD612" s="1362">
        <f t="shared" si="476"/>
        <v>13977.547920000001</v>
      </c>
      <c r="BE612" s="1360">
        <f t="shared" si="477"/>
        <v>436.79837249999946</v>
      </c>
      <c r="BF612" s="1132" t="str">
        <f t="shared" si="510"/>
        <v>Custom</v>
      </c>
      <c r="BG612" s="1132" t="str">
        <f t="shared" si="508"/>
        <v/>
      </c>
      <c r="BH612" s="2505">
        <v>4402.1000000000004</v>
      </c>
      <c r="BI612" s="2568" t="s">
        <v>1013</v>
      </c>
      <c r="BJ612" s="1362">
        <f t="shared" si="501"/>
        <v>13977.547920000001</v>
      </c>
      <c r="BK612" s="1360">
        <f t="shared" si="480"/>
        <v>436.79837249999946</v>
      </c>
      <c r="BL612" s="1601">
        <f t="shared" si="481"/>
        <v>13977.547920000001</v>
      </c>
      <c r="BM612" s="1601">
        <f t="shared" si="482"/>
        <v>13977.547920000001</v>
      </c>
      <c r="BN612" s="1601">
        <f t="shared" si="483"/>
        <v>13977.547920000001</v>
      </c>
      <c r="BO612" s="1601">
        <f t="shared" si="484"/>
        <v>13977.547920000001</v>
      </c>
      <c r="BP612" s="1602">
        <f t="shared" si="485"/>
        <v>55910.191680000004</v>
      </c>
      <c r="BQ612" s="1629"/>
      <c r="BR612" s="1629"/>
      <c r="BS612" s="1602">
        <v>0</v>
      </c>
      <c r="BT612" s="1602">
        <v>15.000000000000002</v>
      </c>
      <c r="BU612" s="1602">
        <v>15.000000000000002</v>
      </c>
      <c r="BV612" s="1602">
        <v>15.000000000000002</v>
      </c>
      <c r="BW612" s="1602">
        <v>15.000000000000002</v>
      </c>
      <c r="BX612" s="1362">
        <f t="shared" si="502"/>
        <v>203111.24321250003</v>
      </c>
      <c r="BY612" s="1362">
        <f t="shared" si="503"/>
        <v>203111.24321250003</v>
      </c>
      <c r="BZ612" s="1362">
        <f t="shared" si="504"/>
        <v>203111.24321250003</v>
      </c>
      <c r="CA612" s="1362">
        <f t="shared" si="505"/>
        <v>203111.24321250003</v>
      </c>
      <c r="CB612" s="1362">
        <f t="shared" si="506"/>
        <v>812444.97285000014</v>
      </c>
      <c r="CC612" s="1360">
        <v>15.000000000000002</v>
      </c>
      <c r="CD612" s="1360">
        <v>15.000000000000002</v>
      </c>
      <c r="CE612" s="1360">
        <v>15.000000000000002</v>
      </c>
      <c r="CF612" s="1360">
        <v>15.000000000000002</v>
      </c>
      <c r="CG612" s="1604">
        <f t="shared" si="486"/>
        <v>209663.21880000003</v>
      </c>
      <c r="CH612" s="1604">
        <f t="shared" si="487"/>
        <v>209663.21880000003</v>
      </c>
      <c r="CI612" s="1604">
        <f t="shared" si="488"/>
        <v>209663.21880000003</v>
      </c>
      <c r="CJ612" s="1604">
        <f t="shared" si="489"/>
        <v>209663.21880000003</v>
      </c>
      <c r="CK612" s="1521">
        <f t="shared" si="490"/>
        <v>838652.87520000013</v>
      </c>
      <c r="CL612" s="1132">
        <v>605</v>
      </c>
      <c r="CM612" s="1132" t="s">
        <v>328</v>
      </c>
      <c r="CN612" s="1359">
        <v>0</v>
      </c>
      <c r="CO612" s="1360">
        <v>3.3075000000000001</v>
      </c>
      <c r="CP612" s="1360">
        <v>3.3075000000000001</v>
      </c>
      <c r="CQ612" s="1360">
        <v>3.3075000000000001</v>
      </c>
      <c r="CR612" s="1360">
        <v>3.3075000000000001</v>
      </c>
      <c r="CS612" s="1362">
        <f t="shared" si="491"/>
        <v>13977.547920000001</v>
      </c>
      <c r="CT612" s="1362">
        <f t="shared" si="492"/>
        <v>13977.547920000001</v>
      </c>
      <c r="CU612" s="1362">
        <f t="shared" si="493"/>
        <v>13977.547920000001</v>
      </c>
      <c r="CV612" s="1362">
        <f t="shared" si="494"/>
        <v>13977.547920000001</v>
      </c>
      <c r="CW612" s="1362">
        <f t="shared" si="495"/>
        <v>55910.191680000004</v>
      </c>
      <c r="CY612" s="2887"/>
    </row>
    <row r="613" spans="1:103" s="1143" customFormat="1" ht="31" x14ac:dyDescent="0.35">
      <c r="A613" s="1132" t="s">
        <v>117</v>
      </c>
      <c r="B613" s="1132" t="s">
        <v>1019</v>
      </c>
      <c r="C613" s="1132" t="s">
        <v>1020</v>
      </c>
      <c r="D613" s="1359" t="s">
        <v>105</v>
      </c>
      <c r="E613" s="1359">
        <v>0</v>
      </c>
      <c r="F613" s="1132" t="s">
        <v>105</v>
      </c>
      <c r="G613" s="1132" t="s">
        <v>1021</v>
      </c>
      <c r="H613" s="1360">
        <v>7.6137180000000004</v>
      </c>
      <c r="I613" s="1360">
        <v>7.6137180000000004</v>
      </c>
      <c r="J613" s="1360">
        <v>7.6137180000000004</v>
      </c>
      <c r="K613" s="1360">
        <v>7.6137180000000004</v>
      </c>
      <c r="L613" s="1132" t="s">
        <v>105</v>
      </c>
      <c r="M613" s="1132" t="str">
        <f t="shared" si="457"/>
        <v/>
      </c>
      <c r="N613" s="1361">
        <v>46236.6</v>
      </c>
      <c r="O613" s="1361">
        <v>46236.6</v>
      </c>
      <c r="P613" s="1361">
        <v>46236.6</v>
      </c>
      <c r="Q613" s="1361">
        <v>46236.6</v>
      </c>
      <c r="R613" s="1781">
        <v>1</v>
      </c>
      <c r="S613" s="1781">
        <v>1</v>
      </c>
      <c r="T613" s="1781">
        <v>1</v>
      </c>
      <c r="U613" s="1781">
        <v>1</v>
      </c>
      <c r="V613" s="2567">
        <v>0.97</v>
      </c>
      <c r="W613" s="2567">
        <v>0.97</v>
      </c>
      <c r="X613" s="2567">
        <v>0.97</v>
      </c>
      <c r="Y613" s="2567">
        <v>0.97</v>
      </c>
      <c r="Z613" s="1359">
        <v>0</v>
      </c>
      <c r="AA613" s="2567">
        <f t="shared" si="458"/>
        <v>0.97</v>
      </c>
      <c r="AB613" s="2567">
        <f t="shared" si="459"/>
        <v>0.97</v>
      </c>
      <c r="AC613" s="2567">
        <f t="shared" si="460"/>
        <v>0.97</v>
      </c>
      <c r="AD613" s="2567">
        <f t="shared" si="461"/>
        <v>0.97</v>
      </c>
      <c r="AE613" s="1781">
        <f t="shared" si="462"/>
        <v>0.97</v>
      </c>
      <c r="AF613" s="1781">
        <f t="shared" si="463"/>
        <v>0.97</v>
      </c>
      <c r="AG613" s="1781">
        <f t="shared" si="464"/>
        <v>0.97</v>
      </c>
      <c r="AH613" s="1781">
        <f t="shared" si="465"/>
        <v>0.97</v>
      </c>
      <c r="AI613" s="1362">
        <f t="shared" si="496"/>
        <v>352032.43367880001</v>
      </c>
      <c r="AJ613" s="1362">
        <f t="shared" si="497"/>
        <v>352032.43367880001</v>
      </c>
      <c r="AK613" s="1362">
        <f t="shared" si="498"/>
        <v>352032.43367880001</v>
      </c>
      <c r="AL613" s="1362">
        <f t="shared" si="499"/>
        <v>352032.43367880001</v>
      </c>
      <c r="AM613" s="1362">
        <f t="shared" si="500"/>
        <v>1408129.7347152</v>
      </c>
      <c r="AN613" s="1132" t="str">
        <f t="shared" si="466"/>
        <v>Custom</v>
      </c>
      <c r="AO613" s="1132" t="str">
        <f t="shared" si="467"/>
        <v/>
      </c>
      <c r="AP613" s="2505">
        <v>46236.6</v>
      </c>
      <c r="AQ613" s="2568" t="s">
        <v>1022</v>
      </c>
      <c r="AR613" s="2505">
        <f t="shared" si="468"/>
        <v>341471.46066843602</v>
      </c>
      <c r="AS613" s="2505">
        <f t="shared" si="469"/>
        <v>-10560.973010363989</v>
      </c>
      <c r="AT613" s="1132" t="str">
        <f t="shared" si="470"/>
        <v>Custom</v>
      </c>
      <c r="AU613" s="1132" t="str">
        <f t="shared" si="471"/>
        <v/>
      </c>
      <c r="AV613" s="2505">
        <v>46236.6</v>
      </c>
      <c r="AW613" s="2568" t="s">
        <v>1022</v>
      </c>
      <c r="AX613" s="1362">
        <f t="shared" si="472"/>
        <v>341471.46066843602</v>
      </c>
      <c r="AY613" s="1360">
        <f t="shared" si="473"/>
        <v>-10560.973010363989</v>
      </c>
      <c r="AZ613" s="1132" t="str">
        <f t="shared" si="509"/>
        <v>Custom</v>
      </c>
      <c r="BA613" s="1132" t="str">
        <f t="shared" si="507"/>
        <v/>
      </c>
      <c r="BB613" s="2505">
        <v>46236.6</v>
      </c>
      <c r="BC613" s="2568" t="s">
        <v>1022</v>
      </c>
      <c r="BD613" s="1362">
        <f t="shared" si="476"/>
        <v>341471.46066843602</v>
      </c>
      <c r="BE613" s="1360">
        <f t="shared" si="477"/>
        <v>-10560.973010363989</v>
      </c>
      <c r="BF613" s="1132" t="str">
        <f t="shared" si="510"/>
        <v>Custom</v>
      </c>
      <c r="BG613" s="1132" t="str">
        <f t="shared" si="508"/>
        <v/>
      </c>
      <c r="BH613" s="2505">
        <v>46236.6</v>
      </c>
      <c r="BI613" s="2568" t="s">
        <v>1022</v>
      </c>
      <c r="BJ613" s="1362">
        <f t="shared" si="501"/>
        <v>341471.46066843602</v>
      </c>
      <c r="BK613" s="1360">
        <f t="shared" si="480"/>
        <v>-10560.973010363989</v>
      </c>
      <c r="BL613" s="1601">
        <f t="shared" si="481"/>
        <v>341471.46066843602</v>
      </c>
      <c r="BM613" s="1601">
        <f t="shared" si="482"/>
        <v>341471.46066843602</v>
      </c>
      <c r="BN613" s="1601">
        <f t="shared" si="483"/>
        <v>341471.46066843602</v>
      </c>
      <c r="BO613" s="1601">
        <f t="shared" si="484"/>
        <v>341471.46066843602</v>
      </c>
      <c r="BP613" s="1602">
        <f t="shared" si="485"/>
        <v>1365885.8426737441</v>
      </c>
      <c r="BQ613" s="1629"/>
      <c r="BR613" s="1629"/>
      <c r="BS613" s="2773">
        <v>1</v>
      </c>
      <c r="BT613" s="1362">
        <v>5</v>
      </c>
      <c r="BU613" s="1362">
        <v>5</v>
      </c>
      <c r="BV613" s="1362">
        <v>5</v>
      </c>
      <c r="BW613" s="1362">
        <v>5</v>
      </c>
      <c r="BX613" s="1362">
        <f t="shared" si="502"/>
        <v>1760162.168394</v>
      </c>
      <c r="BY613" s="1362">
        <f t="shared" si="503"/>
        <v>1760162.168394</v>
      </c>
      <c r="BZ613" s="1362">
        <f t="shared" si="504"/>
        <v>1760162.168394</v>
      </c>
      <c r="CA613" s="1362">
        <f t="shared" si="505"/>
        <v>1760162.168394</v>
      </c>
      <c r="CB613" s="1362">
        <f t="shared" si="506"/>
        <v>7040648.6735760001</v>
      </c>
      <c r="CC613" s="2775">
        <v>7</v>
      </c>
      <c r="CD613" s="2775">
        <v>7</v>
      </c>
      <c r="CE613" s="2775">
        <v>7</v>
      </c>
      <c r="CF613" s="2775">
        <v>7</v>
      </c>
      <c r="CG613" s="1604">
        <f t="shared" si="486"/>
        <v>2390300.2246790519</v>
      </c>
      <c r="CH613" s="1604">
        <f t="shared" si="487"/>
        <v>2390300.2246790519</v>
      </c>
      <c r="CI613" s="1604">
        <f t="shared" si="488"/>
        <v>2390300.2246790519</v>
      </c>
      <c r="CJ613" s="1604">
        <f t="shared" si="489"/>
        <v>2390300.2246790519</v>
      </c>
      <c r="CK613" s="1521">
        <f t="shared" si="490"/>
        <v>9561200.8987162076</v>
      </c>
      <c r="CL613" s="1132">
        <v>606</v>
      </c>
      <c r="CM613" s="1132" t="s">
        <v>1021</v>
      </c>
      <c r="CN613" s="1359">
        <v>0</v>
      </c>
      <c r="CO613" s="1360">
        <v>7.6137180000000004</v>
      </c>
      <c r="CP613" s="1360">
        <v>7.6137180000000004</v>
      </c>
      <c r="CQ613" s="1360">
        <v>7.6137180000000004</v>
      </c>
      <c r="CR613" s="1360">
        <v>7.6137180000000004</v>
      </c>
      <c r="CS613" s="1362">
        <f t="shared" si="491"/>
        <v>341471.46066843602</v>
      </c>
      <c r="CT613" s="1362">
        <f t="shared" si="492"/>
        <v>341471.46066843602</v>
      </c>
      <c r="CU613" s="1362">
        <f t="shared" si="493"/>
        <v>341471.46066843602</v>
      </c>
      <c r="CV613" s="1362">
        <f t="shared" si="494"/>
        <v>341471.46066843602</v>
      </c>
      <c r="CW613" s="1362">
        <f t="shared" si="495"/>
        <v>1365885.8426737441</v>
      </c>
      <c r="CY613" s="2887"/>
    </row>
    <row r="614" spans="1:103" s="1143" customFormat="1" ht="31" x14ac:dyDescent="0.35">
      <c r="A614" s="1132" t="s">
        <v>117</v>
      </c>
      <c r="B614" s="1132" t="s">
        <v>1019</v>
      </c>
      <c r="C614" s="1132" t="s">
        <v>1023</v>
      </c>
      <c r="D614" s="1359" t="s">
        <v>105</v>
      </c>
      <c r="E614" s="1359">
        <v>0</v>
      </c>
      <c r="F614" s="1132" t="s">
        <v>105</v>
      </c>
      <c r="G614" s="1132" t="s">
        <v>1021</v>
      </c>
      <c r="H614" s="1360">
        <v>3.8068590000000002</v>
      </c>
      <c r="I614" s="1360">
        <v>3.8068590000000002</v>
      </c>
      <c r="J614" s="1360">
        <v>3.8068590000000002</v>
      </c>
      <c r="K614" s="1360">
        <v>3.8068590000000002</v>
      </c>
      <c r="L614" s="1132" t="s">
        <v>105</v>
      </c>
      <c r="M614" s="1132" t="str">
        <f t="shared" si="457"/>
        <v/>
      </c>
      <c r="N614" s="1361">
        <v>30000</v>
      </c>
      <c r="O614" s="1361">
        <v>30000</v>
      </c>
      <c r="P614" s="1361">
        <v>30000</v>
      </c>
      <c r="Q614" s="1361">
        <v>30000</v>
      </c>
      <c r="R614" s="1781">
        <v>1</v>
      </c>
      <c r="S614" s="1781">
        <v>1</v>
      </c>
      <c r="T614" s="1781">
        <v>1</v>
      </c>
      <c r="U614" s="1781">
        <v>1</v>
      </c>
      <c r="V614" s="2567">
        <v>0.97</v>
      </c>
      <c r="W614" s="2567">
        <v>0.97</v>
      </c>
      <c r="X614" s="2567">
        <v>0.97</v>
      </c>
      <c r="Y614" s="2567">
        <v>0.97</v>
      </c>
      <c r="Z614" s="1359">
        <v>0</v>
      </c>
      <c r="AA614" s="2567">
        <f t="shared" si="458"/>
        <v>0.97</v>
      </c>
      <c r="AB614" s="2567">
        <f t="shared" si="459"/>
        <v>0.97</v>
      </c>
      <c r="AC614" s="2567">
        <f t="shared" si="460"/>
        <v>0.97</v>
      </c>
      <c r="AD614" s="2567">
        <f t="shared" si="461"/>
        <v>0.97</v>
      </c>
      <c r="AE614" s="1781">
        <f t="shared" si="462"/>
        <v>0.97</v>
      </c>
      <c r="AF614" s="1781">
        <f t="shared" si="463"/>
        <v>0.97</v>
      </c>
      <c r="AG614" s="1781">
        <f t="shared" si="464"/>
        <v>0.97</v>
      </c>
      <c r="AH614" s="1781">
        <f t="shared" si="465"/>
        <v>0.97</v>
      </c>
      <c r="AI614" s="1362">
        <f t="shared" si="496"/>
        <v>114205.77</v>
      </c>
      <c r="AJ614" s="1362">
        <f t="shared" si="497"/>
        <v>114205.77</v>
      </c>
      <c r="AK614" s="1362">
        <f t="shared" si="498"/>
        <v>114205.77</v>
      </c>
      <c r="AL614" s="1362">
        <f t="shared" si="499"/>
        <v>114205.77</v>
      </c>
      <c r="AM614" s="1362">
        <f t="shared" si="500"/>
        <v>456823.08</v>
      </c>
      <c r="AN614" s="1132" t="str">
        <f t="shared" si="466"/>
        <v>Custom</v>
      </c>
      <c r="AO614" s="1132" t="str">
        <f t="shared" si="467"/>
        <v/>
      </c>
      <c r="AP614" s="2505">
        <v>30000</v>
      </c>
      <c r="AQ614" s="2568" t="s">
        <v>1022</v>
      </c>
      <c r="AR614" s="2505">
        <f t="shared" si="468"/>
        <v>110779.5969</v>
      </c>
      <c r="AS614" s="2505">
        <f t="shared" si="469"/>
        <v>-3426.1731</v>
      </c>
      <c r="AT614" s="1132" t="str">
        <f t="shared" si="470"/>
        <v>Custom</v>
      </c>
      <c r="AU614" s="1132" t="str">
        <f t="shared" si="471"/>
        <v/>
      </c>
      <c r="AV614" s="2505">
        <v>30000</v>
      </c>
      <c r="AW614" s="2568" t="s">
        <v>1022</v>
      </c>
      <c r="AX614" s="1362">
        <f t="shared" si="472"/>
        <v>110779.5969</v>
      </c>
      <c r="AY614" s="1360">
        <f t="shared" si="473"/>
        <v>-3426.1731</v>
      </c>
      <c r="AZ614" s="1132" t="str">
        <f t="shared" si="509"/>
        <v>Custom</v>
      </c>
      <c r="BA614" s="1132" t="str">
        <f t="shared" si="507"/>
        <v/>
      </c>
      <c r="BB614" s="2505">
        <v>30000</v>
      </c>
      <c r="BC614" s="2568" t="s">
        <v>1022</v>
      </c>
      <c r="BD614" s="1362">
        <f t="shared" si="476"/>
        <v>110779.5969</v>
      </c>
      <c r="BE614" s="1360">
        <f t="shared" si="477"/>
        <v>-3426.1731</v>
      </c>
      <c r="BF614" s="1132" t="str">
        <f t="shared" si="510"/>
        <v>Custom</v>
      </c>
      <c r="BG614" s="1132" t="str">
        <f t="shared" si="508"/>
        <v/>
      </c>
      <c r="BH614" s="2505">
        <v>30000</v>
      </c>
      <c r="BI614" s="2568" t="s">
        <v>1022</v>
      </c>
      <c r="BJ614" s="1362">
        <f t="shared" si="501"/>
        <v>110779.5969</v>
      </c>
      <c r="BK614" s="1360">
        <f t="shared" si="480"/>
        <v>-3426.1731</v>
      </c>
      <c r="BL614" s="1601">
        <f t="shared" si="481"/>
        <v>110779.5969</v>
      </c>
      <c r="BM614" s="1601">
        <f t="shared" si="482"/>
        <v>110779.5969</v>
      </c>
      <c r="BN614" s="1601">
        <f t="shared" si="483"/>
        <v>110779.5969</v>
      </c>
      <c r="BO614" s="1601">
        <f t="shared" si="484"/>
        <v>110779.5969</v>
      </c>
      <c r="BP614" s="1602">
        <f t="shared" si="485"/>
        <v>443118.38760000002</v>
      </c>
      <c r="BQ614" s="1629"/>
      <c r="BR614" s="1629"/>
      <c r="BS614" s="2773">
        <v>1</v>
      </c>
      <c r="BT614" s="1362">
        <v>5</v>
      </c>
      <c r="BU614" s="1362">
        <v>5</v>
      </c>
      <c r="BV614" s="1362">
        <v>5</v>
      </c>
      <c r="BW614" s="1362">
        <v>5</v>
      </c>
      <c r="BX614" s="1362">
        <f t="shared" si="502"/>
        <v>571028.85</v>
      </c>
      <c r="BY614" s="1362">
        <f t="shared" si="503"/>
        <v>571028.85</v>
      </c>
      <c r="BZ614" s="1362">
        <f t="shared" si="504"/>
        <v>571028.85</v>
      </c>
      <c r="CA614" s="1362">
        <f t="shared" si="505"/>
        <v>571028.85</v>
      </c>
      <c r="CB614" s="1362">
        <f t="shared" si="506"/>
        <v>2284115.4</v>
      </c>
      <c r="CC614" s="2775">
        <v>7</v>
      </c>
      <c r="CD614" s="2775">
        <v>7</v>
      </c>
      <c r="CE614" s="2775">
        <v>7</v>
      </c>
      <c r="CF614" s="2775">
        <v>7</v>
      </c>
      <c r="CG614" s="1604">
        <f t="shared" si="486"/>
        <v>775457.17830000003</v>
      </c>
      <c r="CH614" s="1604">
        <f t="shared" si="487"/>
        <v>775457.17830000003</v>
      </c>
      <c r="CI614" s="1604">
        <f t="shared" si="488"/>
        <v>775457.17830000003</v>
      </c>
      <c r="CJ614" s="1604">
        <f t="shared" si="489"/>
        <v>775457.17830000003</v>
      </c>
      <c r="CK614" s="1521">
        <f t="shared" si="490"/>
        <v>3101828.7132000001</v>
      </c>
      <c r="CL614" s="1132">
        <v>607</v>
      </c>
      <c r="CM614" s="1132" t="s">
        <v>1021</v>
      </c>
      <c r="CN614" s="1359">
        <v>0</v>
      </c>
      <c r="CO614" s="1360">
        <v>3.8068590000000002</v>
      </c>
      <c r="CP614" s="1360">
        <v>3.8068590000000002</v>
      </c>
      <c r="CQ614" s="1360">
        <v>3.8068590000000002</v>
      </c>
      <c r="CR614" s="1360">
        <v>3.8068590000000002</v>
      </c>
      <c r="CS614" s="1362">
        <f t="shared" si="491"/>
        <v>110779.5969</v>
      </c>
      <c r="CT614" s="1362">
        <f t="shared" si="492"/>
        <v>110779.5969</v>
      </c>
      <c r="CU614" s="1362">
        <f t="shared" si="493"/>
        <v>110779.5969</v>
      </c>
      <c r="CV614" s="1362">
        <f t="shared" si="494"/>
        <v>110779.5969</v>
      </c>
      <c r="CW614" s="1362">
        <f t="shared" si="495"/>
        <v>443118.38760000002</v>
      </c>
      <c r="CY614" s="2887"/>
    </row>
    <row r="615" spans="1:103" s="1143" customFormat="1" ht="31" x14ac:dyDescent="0.35">
      <c r="A615" s="1132" t="s">
        <v>117</v>
      </c>
      <c r="B615" s="1132" t="s">
        <v>1019</v>
      </c>
      <c r="C615" s="1132" t="s">
        <v>1024</v>
      </c>
      <c r="D615" s="1359" t="s">
        <v>105</v>
      </c>
      <c r="E615" s="1359">
        <v>0</v>
      </c>
      <c r="F615" s="1132" t="s">
        <v>105</v>
      </c>
      <c r="G615" s="1132" t="s">
        <v>1021</v>
      </c>
      <c r="H615" s="1360">
        <v>3.8068590000000002</v>
      </c>
      <c r="I615" s="1360">
        <v>3.8068590000000002</v>
      </c>
      <c r="J615" s="1360">
        <v>3.8068590000000002</v>
      </c>
      <c r="K615" s="1360">
        <v>3.8068590000000002</v>
      </c>
      <c r="L615" s="1132" t="s">
        <v>105</v>
      </c>
      <c r="M615" s="1132" t="str">
        <f t="shared" si="457"/>
        <v/>
      </c>
      <c r="N615" s="1361">
        <v>18750</v>
      </c>
      <c r="O615" s="1361">
        <v>18750</v>
      </c>
      <c r="P615" s="1361">
        <v>18750</v>
      </c>
      <c r="Q615" s="1361">
        <v>18750</v>
      </c>
      <c r="R615" s="1781">
        <v>1</v>
      </c>
      <c r="S615" s="1781">
        <v>1</v>
      </c>
      <c r="T615" s="1781">
        <v>1</v>
      </c>
      <c r="U615" s="1781">
        <v>1</v>
      </c>
      <c r="V615" s="2567">
        <v>0.97</v>
      </c>
      <c r="W615" s="2567">
        <v>0.97</v>
      </c>
      <c r="X615" s="2567">
        <v>0.97</v>
      </c>
      <c r="Y615" s="2567">
        <v>0.97</v>
      </c>
      <c r="Z615" s="1359">
        <v>0</v>
      </c>
      <c r="AA615" s="2567">
        <f t="shared" si="458"/>
        <v>0.97</v>
      </c>
      <c r="AB615" s="2567">
        <f t="shared" si="459"/>
        <v>0.97</v>
      </c>
      <c r="AC615" s="2567">
        <f t="shared" si="460"/>
        <v>0.97</v>
      </c>
      <c r="AD615" s="2567">
        <f t="shared" si="461"/>
        <v>0.97</v>
      </c>
      <c r="AE615" s="1781">
        <f t="shared" si="462"/>
        <v>0.97</v>
      </c>
      <c r="AF615" s="1781">
        <f t="shared" si="463"/>
        <v>0.97</v>
      </c>
      <c r="AG615" s="1781">
        <f t="shared" si="464"/>
        <v>0.97</v>
      </c>
      <c r="AH615" s="1781">
        <f t="shared" si="465"/>
        <v>0.97</v>
      </c>
      <c r="AI615" s="1362">
        <f t="shared" si="496"/>
        <v>71378.606249999997</v>
      </c>
      <c r="AJ615" s="1362">
        <f t="shared" si="497"/>
        <v>71378.606249999997</v>
      </c>
      <c r="AK615" s="1362">
        <f t="shared" si="498"/>
        <v>71378.606249999997</v>
      </c>
      <c r="AL615" s="1362">
        <f t="shared" si="499"/>
        <v>71378.606249999997</v>
      </c>
      <c r="AM615" s="1362">
        <f t="shared" si="500"/>
        <v>285514.42499999999</v>
      </c>
      <c r="AN615" s="1132" t="str">
        <f t="shared" si="466"/>
        <v>Custom</v>
      </c>
      <c r="AO615" s="1132" t="str">
        <f t="shared" si="467"/>
        <v/>
      </c>
      <c r="AP615" s="2505">
        <v>18750</v>
      </c>
      <c r="AQ615" s="2568" t="s">
        <v>1022</v>
      </c>
      <c r="AR615" s="2505">
        <f t="shared" si="468"/>
        <v>69237.248062499988</v>
      </c>
      <c r="AS615" s="2505">
        <f t="shared" si="469"/>
        <v>-2141.3581875000091</v>
      </c>
      <c r="AT615" s="1132" t="str">
        <f t="shared" si="470"/>
        <v>Custom</v>
      </c>
      <c r="AU615" s="1132" t="str">
        <f t="shared" si="471"/>
        <v/>
      </c>
      <c r="AV615" s="2505">
        <v>18750</v>
      </c>
      <c r="AW615" s="2568" t="s">
        <v>1022</v>
      </c>
      <c r="AX615" s="1362">
        <f t="shared" si="472"/>
        <v>69237.248062499988</v>
      </c>
      <c r="AY615" s="1360">
        <f t="shared" si="473"/>
        <v>-2141.3581875000091</v>
      </c>
      <c r="AZ615" s="1132" t="str">
        <f t="shared" si="509"/>
        <v>Custom</v>
      </c>
      <c r="BA615" s="1132" t="str">
        <f t="shared" si="507"/>
        <v/>
      </c>
      <c r="BB615" s="2505">
        <v>18750</v>
      </c>
      <c r="BC615" s="2568" t="s">
        <v>1022</v>
      </c>
      <c r="BD615" s="1362">
        <f t="shared" si="476"/>
        <v>69237.248062499988</v>
      </c>
      <c r="BE615" s="1360">
        <f t="shared" si="477"/>
        <v>-2141.3581875000091</v>
      </c>
      <c r="BF615" s="1132" t="str">
        <f t="shared" si="510"/>
        <v>Custom</v>
      </c>
      <c r="BG615" s="1132" t="str">
        <f t="shared" si="508"/>
        <v/>
      </c>
      <c r="BH615" s="2505">
        <v>18750</v>
      </c>
      <c r="BI615" s="2568" t="s">
        <v>1022</v>
      </c>
      <c r="BJ615" s="1362">
        <f t="shared" si="501"/>
        <v>69237.248062499988</v>
      </c>
      <c r="BK615" s="1360">
        <f t="shared" si="480"/>
        <v>-2141.3581875000091</v>
      </c>
      <c r="BL615" s="1601">
        <f t="shared" si="481"/>
        <v>69237.248062499988</v>
      </c>
      <c r="BM615" s="1601">
        <f t="shared" si="482"/>
        <v>69237.248062499988</v>
      </c>
      <c r="BN615" s="1601">
        <f t="shared" si="483"/>
        <v>69237.248062499988</v>
      </c>
      <c r="BO615" s="1601">
        <f t="shared" si="484"/>
        <v>69237.248062499988</v>
      </c>
      <c r="BP615" s="1602">
        <f t="shared" si="485"/>
        <v>276948.99224999995</v>
      </c>
      <c r="BQ615" s="1629"/>
      <c r="BR615" s="1629"/>
      <c r="BS615" s="2773">
        <v>1</v>
      </c>
      <c r="BT615" s="1362">
        <v>5</v>
      </c>
      <c r="BU615" s="1362">
        <v>5</v>
      </c>
      <c r="BV615" s="1362">
        <v>5</v>
      </c>
      <c r="BW615" s="1362">
        <v>5</v>
      </c>
      <c r="BX615" s="1362">
        <f t="shared" si="502"/>
        <v>356893.03125</v>
      </c>
      <c r="BY615" s="1362">
        <f t="shared" si="503"/>
        <v>356893.03125</v>
      </c>
      <c r="BZ615" s="1362">
        <f t="shared" si="504"/>
        <v>356893.03125</v>
      </c>
      <c r="CA615" s="1362">
        <f t="shared" si="505"/>
        <v>356893.03125</v>
      </c>
      <c r="CB615" s="1362">
        <f t="shared" si="506"/>
        <v>1427572.125</v>
      </c>
      <c r="CC615" s="2775">
        <v>7</v>
      </c>
      <c r="CD615" s="2775">
        <v>7</v>
      </c>
      <c r="CE615" s="2775">
        <v>7</v>
      </c>
      <c r="CF615" s="2775">
        <v>7</v>
      </c>
      <c r="CG615" s="1604">
        <f t="shared" si="486"/>
        <v>484660.73643749999</v>
      </c>
      <c r="CH615" s="1604">
        <f t="shared" si="487"/>
        <v>484660.73643749999</v>
      </c>
      <c r="CI615" s="1604">
        <f t="shared" si="488"/>
        <v>484660.73643749999</v>
      </c>
      <c r="CJ615" s="1604">
        <f t="shared" si="489"/>
        <v>484660.73643749999</v>
      </c>
      <c r="CK615" s="1521">
        <f t="shared" si="490"/>
        <v>1938642.94575</v>
      </c>
      <c r="CL615" s="1132">
        <v>608</v>
      </c>
      <c r="CM615" s="1132" t="s">
        <v>1021</v>
      </c>
      <c r="CN615" s="1359">
        <v>0</v>
      </c>
      <c r="CO615" s="1360">
        <v>3.8068590000000002</v>
      </c>
      <c r="CP615" s="1360">
        <v>3.8068590000000002</v>
      </c>
      <c r="CQ615" s="1360">
        <v>3.8068590000000002</v>
      </c>
      <c r="CR615" s="1360">
        <v>3.8068590000000002</v>
      </c>
      <c r="CS615" s="1362">
        <f t="shared" si="491"/>
        <v>69237.248062499988</v>
      </c>
      <c r="CT615" s="1362">
        <f t="shared" si="492"/>
        <v>69237.248062499988</v>
      </c>
      <c r="CU615" s="1362">
        <f t="shared" si="493"/>
        <v>69237.248062499988</v>
      </c>
      <c r="CV615" s="1362">
        <f t="shared" si="494"/>
        <v>69237.248062499988</v>
      </c>
      <c r="CW615" s="1362">
        <f t="shared" si="495"/>
        <v>276948.99224999995</v>
      </c>
      <c r="CY615" s="2887"/>
    </row>
    <row r="616" spans="1:103" s="1143" customFormat="1" ht="31" x14ac:dyDescent="0.35">
      <c r="A616" s="1132" t="s">
        <v>117</v>
      </c>
      <c r="B616" s="1132" t="s">
        <v>1019</v>
      </c>
      <c r="C616" s="1132" t="s">
        <v>1025</v>
      </c>
      <c r="D616" s="1359" t="s">
        <v>105</v>
      </c>
      <c r="E616" s="1359">
        <v>0</v>
      </c>
      <c r="F616" s="1132" t="s">
        <v>105</v>
      </c>
      <c r="G616" s="1132" t="s">
        <v>1021</v>
      </c>
      <c r="H616" s="1360">
        <v>1.9034295000000001</v>
      </c>
      <c r="I616" s="1360">
        <v>1.9034295000000001</v>
      </c>
      <c r="J616" s="1360">
        <v>1.9034295000000001</v>
      </c>
      <c r="K616" s="1360">
        <v>1.9034295000000001</v>
      </c>
      <c r="L616" s="1132" t="s">
        <v>105</v>
      </c>
      <c r="M616" s="1132" t="str">
        <f t="shared" si="457"/>
        <v/>
      </c>
      <c r="N616" s="1361">
        <v>37500</v>
      </c>
      <c r="O616" s="1361">
        <v>37500</v>
      </c>
      <c r="P616" s="1361">
        <v>37500</v>
      </c>
      <c r="Q616" s="1361">
        <v>37500</v>
      </c>
      <c r="R616" s="1781">
        <v>1</v>
      </c>
      <c r="S616" s="1781">
        <v>1</v>
      </c>
      <c r="T616" s="1781">
        <v>1</v>
      </c>
      <c r="U616" s="1781">
        <v>1</v>
      </c>
      <c r="V616" s="2567">
        <v>0.97</v>
      </c>
      <c r="W616" s="2567">
        <v>0.97</v>
      </c>
      <c r="X616" s="2567">
        <v>0.97</v>
      </c>
      <c r="Y616" s="2567">
        <v>0.97</v>
      </c>
      <c r="Z616" s="1359">
        <v>0</v>
      </c>
      <c r="AA616" s="2567">
        <f t="shared" si="458"/>
        <v>0.97</v>
      </c>
      <c r="AB616" s="2567">
        <f t="shared" si="459"/>
        <v>0.97</v>
      </c>
      <c r="AC616" s="2567">
        <f t="shared" si="460"/>
        <v>0.97</v>
      </c>
      <c r="AD616" s="2567">
        <f t="shared" si="461"/>
        <v>0.97</v>
      </c>
      <c r="AE616" s="1781">
        <f t="shared" si="462"/>
        <v>0.97</v>
      </c>
      <c r="AF616" s="1781">
        <f t="shared" si="463"/>
        <v>0.97</v>
      </c>
      <c r="AG616" s="1781">
        <f t="shared" si="464"/>
        <v>0.97</v>
      </c>
      <c r="AH616" s="1781">
        <f t="shared" si="465"/>
        <v>0.97</v>
      </c>
      <c r="AI616" s="1362">
        <f t="shared" si="496"/>
        <v>71378.606249999997</v>
      </c>
      <c r="AJ616" s="1362">
        <f t="shared" si="497"/>
        <v>71378.606249999997</v>
      </c>
      <c r="AK616" s="1362">
        <f t="shared" si="498"/>
        <v>71378.606249999997</v>
      </c>
      <c r="AL616" s="1362">
        <f t="shared" si="499"/>
        <v>71378.606249999997</v>
      </c>
      <c r="AM616" s="1362">
        <f t="shared" si="500"/>
        <v>285514.42499999999</v>
      </c>
      <c r="AN616" s="1132" t="str">
        <f t="shared" si="466"/>
        <v>Custom</v>
      </c>
      <c r="AO616" s="1132" t="str">
        <f t="shared" si="467"/>
        <v/>
      </c>
      <c r="AP616" s="2505">
        <v>37500</v>
      </c>
      <c r="AQ616" s="2568" t="s">
        <v>1022</v>
      </c>
      <c r="AR616" s="2505">
        <f t="shared" si="468"/>
        <v>69237.248062499988</v>
      </c>
      <c r="AS616" s="2505">
        <f t="shared" si="469"/>
        <v>-2141.3581875000091</v>
      </c>
      <c r="AT616" s="1132" t="str">
        <f t="shared" si="470"/>
        <v>Custom</v>
      </c>
      <c r="AU616" s="1132" t="str">
        <f t="shared" si="471"/>
        <v/>
      </c>
      <c r="AV616" s="2505">
        <v>37500</v>
      </c>
      <c r="AW616" s="2568" t="s">
        <v>1022</v>
      </c>
      <c r="AX616" s="1362">
        <f t="shared" si="472"/>
        <v>69237.248062499988</v>
      </c>
      <c r="AY616" s="1360">
        <f t="shared" si="473"/>
        <v>-2141.3581875000091</v>
      </c>
      <c r="AZ616" s="1132" t="str">
        <f t="shared" si="509"/>
        <v>Custom</v>
      </c>
      <c r="BA616" s="1132" t="str">
        <f t="shared" si="507"/>
        <v/>
      </c>
      <c r="BB616" s="2505">
        <v>37500</v>
      </c>
      <c r="BC616" s="2568" t="s">
        <v>1022</v>
      </c>
      <c r="BD616" s="1362">
        <f t="shared" si="476"/>
        <v>69237.248062499988</v>
      </c>
      <c r="BE616" s="1360">
        <f t="shared" si="477"/>
        <v>-2141.3581875000091</v>
      </c>
      <c r="BF616" s="1132" t="str">
        <f t="shared" si="510"/>
        <v>Custom</v>
      </c>
      <c r="BG616" s="1132" t="str">
        <f t="shared" si="508"/>
        <v/>
      </c>
      <c r="BH616" s="2505">
        <v>37500</v>
      </c>
      <c r="BI616" s="2568" t="s">
        <v>1022</v>
      </c>
      <c r="BJ616" s="1362">
        <f t="shared" si="501"/>
        <v>69237.248062499988</v>
      </c>
      <c r="BK616" s="1360">
        <f t="shared" si="480"/>
        <v>-2141.3581875000091</v>
      </c>
      <c r="BL616" s="1601">
        <f t="shared" si="481"/>
        <v>69237.248062499988</v>
      </c>
      <c r="BM616" s="1601">
        <f t="shared" si="482"/>
        <v>69237.248062499988</v>
      </c>
      <c r="BN616" s="1601">
        <f t="shared" si="483"/>
        <v>69237.248062499988</v>
      </c>
      <c r="BO616" s="1601">
        <f t="shared" si="484"/>
        <v>69237.248062499988</v>
      </c>
      <c r="BP616" s="1602">
        <f t="shared" si="485"/>
        <v>276948.99224999995</v>
      </c>
      <c r="BQ616" s="1629"/>
      <c r="BR616" s="1629"/>
      <c r="BS616" s="2773">
        <v>1</v>
      </c>
      <c r="BT616" s="1362">
        <v>5</v>
      </c>
      <c r="BU616" s="1362">
        <v>5</v>
      </c>
      <c r="BV616" s="1362">
        <v>5</v>
      </c>
      <c r="BW616" s="1362">
        <v>5</v>
      </c>
      <c r="BX616" s="1362">
        <f t="shared" si="502"/>
        <v>356893.03125</v>
      </c>
      <c r="BY616" s="1362">
        <f t="shared" si="503"/>
        <v>356893.03125</v>
      </c>
      <c r="BZ616" s="1362">
        <f t="shared" si="504"/>
        <v>356893.03125</v>
      </c>
      <c r="CA616" s="1362">
        <f t="shared" si="505"/>
        <v>356893.03125</v>
      </c>
      <c r="CB616" s="1362">
        <f t="shared" si="506"/>
        <v>1427572.125</v>
      </c>
      <c r="CC616" s="2775">
        <v>7</v>
      </c>
      <c r="CD616" s="2775">
        <v>7</v>
      </c>
      <c r="CE616" s="2775">
        <v>7</v>
      </c>
      <c r="CF616" s="2775">
        <v>7</v>
      </c>
      <c r="CG616" s="1604">
        <f t="shared" si="486"/>
        <v>484660.73643749999</v>
      </c>
      <c r="CH616" s="1604">
        <f t="shared" si="487"/>
        <v>484660.73643749999</v>
      </c>
      <c r="CI616" s="1604">
        <f t="shared" si="488"/>
        <v>484660.73643749999</v>
      </c>
      <c r="CJ616" s="1604">
        <f t="shared" si="489"/>
        <v>484660.73643749999</v>
      </c>
      <c r="CK616" s="1521">
        <f t="shared" si="490"/>
        <v>1938642.94575</v>
      </c>
      <c r="CL616" s="1132">
        <v>609</v>
      </c>
      <c r="CM616" s="1132" t="s">
        <v>1021</v>
      </c>
      <c r="CN616" s="1359">
        <v>0</v>
      </c>
      <c r="CO616" s="1360">
        <v>1.9034295000000001</v>
      </c>
      <c r="CP616" s="1360">
        <v>1.9034295000000001</v>
      </c>
      <c r="CQ616" s="1360">
        <v>1.9034295000000001</v>
      </c>
      <c r="CR616" s="1360">
        <v>1.9034295000000001</v>
      </c>
      <c r="CS616" s="1362">
        <f t="shared" si="491"/>
        <v>69237.248062499988</v>
      </c>
      <c r="CT616" s="1362">
        <f t="shared" si="492"/>
        <v>69237.248062499988</v>
      </c>
      <c r="CU616" s="1362">
        <f t="shared" si="493"/>
        <v>69237.248062499988</v>
      </c>
      <c r="CV616" s="1362">
        <f t="shared" si="494"/>
        <v>69237.248062499988</v>
      </c>
      <c r="CW616" s="1362">
        <f t="shared" si="495"/>
        <v>276948.99224999995</v>
      </c>
      <c r="CY616" s="2887"/>
    </row>
    <row r="617" spans="1:103" s="1143" customFormat="1" ht="31" x14ac:dyDescent="0.35">
      <c r="A617" s="1132" t="s">
        <v>117</v>
      </c>
      <c r="B617" s="1132" t="s">
        <v>1026</v>
      </c>
      <c r="C617" s="1132" t="s">
        <v>1027</v>
      </c>
      <c r="D617" s="1359" t="s">
        <v>105</v>
      </c>
      <c r="E617" s="1359">
        <v>0</v>
      </c>
      <c r="F617" s="1132" t="s">
        <v>105</v>
      </c>
      <c r="G617" s="1132" t="s">
        <v>1021</v>
      </c>
      <c r="H617" s="1360">
        <v>3.04</v>
      </c>
      <c r="I617" s="1360">
        <v>3.04</v>
      </c>
      <c r="J617" s="1360">
        <v>3.04</v>
      </c>
      <c r="K617" s="1360">
        <v>3.04</v>
      </c>
      <c r="L617" s="1132" t="s">
        <v>105</v>
      </c>
      <c r="M617" s="1132" t="str">
        <f t="shared" si="457"/>
        <v/>
      </c>
      <c r="N617" s="1361">
        <v>18750</v>
      </c>
      <c r="O617" s="1361">
        <v>18750</v>
      </c>
      <c r="P617" s="1361">
        <v>18750</v>
      </c>
      <c r="Q617" s="1361">
        <v>18750</v>
      </c>
      <c r="R617" s="1781">
        <v>1</v>
      </c>
      <c r="S617" s="1781">
        <v>1</v>
      </c>
      <c r="T617" s="1781">
        <v>1</v>
      </c>
      <c r="U617" s="1781">
        <v>1</v>
      </c>
      <c r="V617" s="2567">
        <v>0.97</v>
      </c>
      <c r="W617" s="2567">
        <v>0.97</v>
      </c>
      <c r="X617" s="2567">
        <v>0.97</v>
      </c>
      <c r="Y617" s="2567">
        <v>0.97</v>
      </c>
      <c r="Z617" s="1359">
        <v>0</v>
      </c>
      <c r="AA617" s="2567">
        <f t="shared" si="458"/>
        <v>0.97</v>
      </c>
      <c r="AB617" s="2567">
        <f t="shared" si="459"/>
        <v>0.97</v>
      </c>
      <c r="AC617" s="2567">
        <f t="shared" si="460"/>
        <v>0.97</v>
      </c>
      <c r="AD617" s="2567">
        <f t="shared" si="461"/>
        <v>0.97</v>
      </c>
      <c r="AE617" s="1781">
        <f t="shared" si="462"/>
        <v>0.97</v>
      </c>
      <c r="AF617" s="1781">
        <f t="shared" si="463"/>
        <v>0.97</v>
      </c>
      <c r="AG617" s="1781">
        <f t="shared" si="464"/>
        <v>0.97</v>
      </c>
      <c r="AH617" s="1781">
        <f t="shared" si="465"/>
        <v>0.97</v>
      </c>
      <c r="AI617" s="1362">
        <f t="shared" si="496"/>
        <v>57000</v>
      </c>
      <c r="AJ617" s="1362">
        <f t="shared" si="497"/>
        <v>57000</v>
      </c>
      <c r="AK617" s="1362">
        <f t="shared" si="498"/>
        <v>57000</v>
      </c>
      <c r="AL617" s="1362">
        <f t="shared" si="499"/>
        <v>57000</v>
      </c>
      <c r="AM617" s="1362">
        <f t="shared" si="500"/>
        <v>228000</v>
      </c>
      <c r="AN617" s="1132" t="str">
        <f t="shared" si="466"/>
        <v>Custom</v>
      </c>
      <c r="AO617" s="1132" t="str">
        <f t="shared" si="467"/>
        <v/>
      </c>
      <c r="AP617" s="2505">
        <v>18750</v>
      </c>
      <c r="AQ617" s="2568" t="s">
        <v>1022</v>
      </c>
      <c r="AR617" s="2505">
        <f t="shared" si="468"/>
        <v>55290</v>
      </c>
      <c r="AS617" s="2505">
        <f t="shared" si="469"/>
        <v>-1710</v>
      </c>
      <c r="AT617" s="1132" t="str">
        <f t="shared" si="470"/>
        <v>Custom</v>
      </c>
      <c r="AU617" s="1132" t="str">
        <f t="shared" si="471"/>
        <v/>
      </c>
      <c r="AV617" s="2505">
        <v>18750</v>
      </c>
      <c r="AW617" s="2568" t="s">
        <v>1022</v>
      </c>
      <c r="AX617" s="1362">
        <f t="shared" si="472"/>
        <v>55290</v>
      </c>
      <c r="AY617" s="1360">
        <f t="shared" si="473"/>
        <v>-1710</v>
      </c>
      <c r="AZ617" s="1132" t="str">
        <f t="shared" si="509"/>
        <v>Custom</v>
      </c>
      <c r="BA617" s="1132" t="str">
        <f t="shared" si="507"/>
        <v/>
      </c>
      <c r="BB617" s="2505">
        <v>18750</v>
      </c>
      <c r="BC617" s="2568" t="s">
        <v>1022</v>
      </c>
      <c r="BD617" s="1362">
        <f t="shared" si="476"/>
        <v>55290</v>
      </c>
      <c r="BE617" s="1360">
        <f t="shared" si="477"/>
        <v>-1710</v>
      </c>
      <c r="BF617" s="1132" t="str">
        <f t="shared" si="510"/>
        <v>Custom</v>
      </c>
      <c r="BG617" s="1132" t="str">
        <f t="shared" si="508"/>
        <v/>
      </c>
      <c r="BH617" s="2505">
        <v>18750</v>
      </c>
      <c r="BI617" s="2568" t="s">
        <v>1022</v>
      </c>
      <c r="BJ617" s="1362">
        <f t="shared" si="501"/>
        <v>55290</v>
      </c>
      <c r="BK617" s="1360">
        <f t="shared" si="480"/>
        <v>-1710</v>
      </c>
      <c r="BL617" s="1601">
        <f t="shared" si="481"/>
        <v>55290</v>
      </c>
      <c r="BM617" s="1601">
        <f t="shared" si="482"/>
        <v>55290</v>
      </c>
      <c r="BN617" s="1601">
        <f t="shared" si="483"/>
        <v>55290</v>
      </c>
      <c r="BO617" s="1601">
        <f t="shared" si="484"/>
        <v>55290</v>
      </c>
      <c r="BP617" s="1602">
        <f t="shared" si="485"/>
        <v>221160</v>
      </c>
      <c r="BQ617" s="1629"/>
      <c r="BR617" s="1629"/>
      <c r="BS617" s="2773">
        <v>1</v>
      </c>
      <c r="BT617" s="1362">
        <v>5</v>
      </c>
      <c r="BU617" s="1362">
        <v>5</v>
      </c>
      <c r="BV617" s="1362">
        <v>5</v>
      </c>
      <c r="BW617" s="1362">
        <v>5</v>
      </c>
      <c r="BX617" s="1362">
        <f t="shared" si="502"/>
        <v>285000</v>
      </c>
      <c r="BY617" s="1362">
        <f t="shared" si="503"/>
        <v>285000</v>
      </c>
      <c r="BZ617" s="1362">
        <f t="shared" si="504"/>
        <v>285000</v>
      </c>
      <c r="CA617" s="1362">
        <f t="shared" si="505"/>
        <v>285000</v>
      </c>
      <c r="CB617" s="1362">
        <f t="shared" si="506"/>
        <v>1140000</v>
      </c>
      <c r="CC617" s="2775">
        <v>7</v>
      </c>
      <c r="CD617" s="2775">
        <v>7</v>
      </c>
      <c r="CE617" s="2775">
        <v>7</v>
      </c>
      <c r="CF617" s="2775">
        <v>7</v>
      </c>
      <c r="CG617" s="1604">
        <f t="shared" si="486"/>
        <v>387030</v>
      </c>
      <c r="CH617" s="1604">
        <f t="shared" si="487"/>
        <v>387030</v>
      </c>
      <c r="CI617" s="1604">
        <f t="shared" si="488"/>
        <v>387030</v>
      </c>
      <c r="CJ617" s="1604">
        <f t="shared" si="489"/>
        <v>387030</v>
      </c>
      <c r="CK617" s="1521">
        <f t="shared" si="490"/>
        <v>1548120</v>
      </c>
      <c r="CL617" s="1132">
        <v>610</v>
      </c>
      <c r="CM617" s="1132" t="s">
        <v>1021</v>
      </c>
      <c r="CN617" s="1359">
        <v>0</v>
      </c>
      <c r="CO617" s="1360">
        <v>3.04</v>
      </c>
      <c r="CP617" s="1360">
        <v>3.04</v>
      </c>
      <c r="CQ617" s="1360">
        <v>3.04</v>
      </c>
      <c r="CR617" s="1360">
        <v>3.04</v>
      </c>
      <c r="CS617" s="1362">
        <f t="shared" si="491"/>
        <v>55290</v>
      </c>
      <c r="CT617" s="1362">
        <f t="shared" si="492"/>
        <v>55290</v>
      </c>
      <c r="CU617" s="1362">
        <f t="shared" si="493"/>
        <v>55290</v>
      </c>
      <c r="CV617" s="1362">
        <f t="shared" si="494"/>
        <v>55290</v>
      </c>
      <c r="CW617" s="1362">
        <f t="shared" si="495"/>
        <v>221160</v>
      </c>
      <c r="CY617" s="2887"/>
    </row>
    <row r="618" spans="1:103" s="1143" customFormat="1" ht="31" x14ac:dyDescent="0.35">
      <c r="A618" s="1132" t="s">
        <v>117</v>
      </c>
      <c r="B618" s="1132" t="s">
        <v>1026</v>
      </c>
      <c r="C618" s="1132" t="s">
        <v>1028</v>
      </c>
      <c r="D618" s="1359" t="s">
        <v>105</v>
      </c>
      <c r="E618" s="1359">
        <v>0</v>
      </c>
      <c r="F618" s="1132" t="s">
        <v>105</v>
      </c>
      <c r="G618" s="1132" t="s">
        <v>1021</v>
      </c>
      <c r="H618" s="1360">
        <v>1.9</v>
      </c>
      <c r="I618" s="1360">
        <v>1.9</v>
      </c>
      <c r="J618" s="1360">
        <v>1.9</v>
      </c>
      <c r="K618" s="1360">
        <v>1.9</v>
      </c>
      <c r="L618" s="1132" t="s">
        <v>105</v>
      </c>
      <c r="M618" s="1132" t="str">
        <f t="shared" si="457"/>
        <v/>
      </c>
      <c r="N618" s="1361">
        <v>18750</v>
      </c>
      <c r="O618" s="1361">
        <v>18750</v>
      </c>
      <c r="P618" s="1361">
        <v>18750</v>
      </c>
      <c r="Q618" s="1361">
        <v>18750</v>
      </c>
      <c r="R618" s="1781">
        <v>1</v>
      </c>
      <c r="S618" s="1781">
        <v>1</v>
      </c>
      <c r="T618" s="1781">
        <v>1</v>
      </c>
      <c r="U618" s="1781">
        <v>1</v>
      </c>
      <c r="V618" s="2567">
        <v>0.97</v>
      </c>
      <c r="W618" s="2567">
        <v>0.97</v>
      </c>
      <c r="X618" s="2567">
        <v>0.97</v>
      </c>
      <c r="Y618" s="2567">
        <v>0.97</v>
      </c>
      <c r="Z618" s="1359">
        <v>0</v>
      </c>
      <c r="AA618" s="2567">
        <f t="shared" si="458"/>
        <v>0.97</v>
      </c>
      <c r="AB618" s="2567">
        <f t="shared" si="459"/>
        <v>0.97</v>
      </c>
      <c r="AC618" s="2567">
        <f t="shared" si="460"/>
        <v>0.97</v>
      </c>
      <c r="AD618" s="2567">
        <f t="shared" si="461"/>
        <v>0.97</v>
      </c>
      <c r="AE618" s="1781">
        <f t="shared" si="462"/>
        <v>0.97</v>
      </c>
      <c r="AF618" s="1781">
        <f t="shared" si="463"/>
        <v>0.97</v>
      </c>
      <c r="AG618" s="1781">
        <f t="shared" si="464"/>
        <v>0.97</v>
      </c>
      <c r="AH618" s="1781">
        <f t="shared" si="465"/>
        <v>0.97</v>
      </c>
      <c r="AI618" s="1362">
        <f t="shared" si="496"/>
        <v>35625</v>
      </c>
      <c r="AJ618" s="1362">
        <f t="shared" si="497"/>
        <v>35625</v>
      </c>
      <c r="AK618" s="1362">
        <f t="shared" si="498"/>
        <v>35625</v>
      </c>
      <c r="AL618" s="1362">
        <f t="shared" si="499"/>
        <v>35625</v>
      </c>
      <c r="AM618" s="1362">
        <f t="shared" si="500"/>
        <v>142500</v>
      </c>
      <c r="AN618" s="1132" t="str">
        <f t="shared" si="466"/>
        <v>Custom</v>
      </c>
      <c r="AO618" s="1132" t="str">
        <f t="shared" si="467"/>
        <v/>
      </c>
      <c r="AP618" s="2505">
        <v>18750</v>
      </c>
      <c r="AQ618" s="2568" t="s">
        <v>1022</v>
      </c>
      <c r="AR618" s="2505">
        <f t="shared" si="468"/>
        <v>34556.25</v>
      </c>
      <c r="AS618" s="2505">
        <f t="shared" si="469"/>
        <v>-1068.75</v>
      </c>
      <c r="AT618" s="1132" t="str">
        <f t="shared" si="470"/>
        <v>Custom</v>
      </c>
      <c r="AU618" s="1132" t="str">
        <f t="shared" si="471"/>
        <v/>
      </c>
      <c r="AV618" s="2505">
        <v>18750</v>
      </c>
      <c r="AW618" s="2568" t="s">
        <v>1022</v>
      </c>
      <c r="AX618" s="1362">
        <f t="shared" si="472"/>
        <v>34556.25</v>
      </c>
      <c r="AY618" s="1360">
        <f t="shared" si="473"/>
        <v>-1068.75</v>
      </c>
      <c r="AZ618" s="1132" t="str">
        <f t="shared" si="509"/>
        <v>Custom</v>
      </c>
      <c r="BA618" s="1132" t="str">
        <f t="shared" si="507"/>
        <v/>
      </c>
      <c r="BB618" s="2505">
        <v>18750</v>
      </c>
      <c r="BC618" s="2568" t="s">
        <v>1022</v>
      </c>
      <c r="BD618" s="1362">
        <f t="shared" si="476"/>
        <v>34556.25</v>
      </c>
      <c r="BE618" s="1360">
        <f t="shared" si="477"/>
        <v>-1068.75</v>
      </c>
      <c r="BF618" s="1132" t="str">
        <f t="shared" si="510"/>
        <v>Custom</v>
      </c>
      <c r="BG618" s="1132" t="str">
        <f t="shared" si="508"/>
        <v/>
      </c>
      <c r="BH618" s="2505">
        <v>18750</v>
      </c>
      <c r="BI618" s="2568" t="s">
        <v>1022</v>
      </c>
      <c r="BJ618" s="1362">
        <f t="shared" si="501"/>
        <v>34556.25</v>
      </c>
      <c r="BK618" s="1360">
        <f t="shared" si="480"/>
        <v>-1068.75</v>
      </c>
      <c r="BL618" s="1601">
        <f t="shared" si="481"/>
        <v>34556.25</v>
      </c>
      <c r="BM618" s="1601">
        <f t="shared" si="482"/>
        <v>34556.25</v>
      </c>
      <c r="BN618" s="1601">
        <f t="shared" si="483"/>
        <v>34556.25</v>
      </c>
      <c r="BO618" s="1601">
        <f t="shared" si="484"/>
        <v>34556.25</v>
      </c>
      <c r="BP618" s="1602">
        <f t="shared" si="485"/>
        <v>138225</v>
      </c>
      <c r="BQ618" s="1629"/>
      <c r="BR618" s="1629"/>
      <c r="BS618" s="2773">
        <v>1</v>
      </c>
      <c r="BT618" s="1362">
        <v>5</v>
      </c>
      <c r="BU618" s="1362">
        <v>5</v>
      </c>
      <c r="BV618" s="1362">
        <v>5</v>
      </c>
      <c r="BW618" s="1362">
        <v>5</v>
      </c>
      <c r="BX618" s="1362">
        <f t="shared" si="502"/>
        <v>178125</v>
      </c>
      <c r="BY618" s="1362">
        <f t="shared" si="503"/>
        <v>178125</v>
      </c>
      <c r="BZ618" s="1362">
        <f t="shared" si="504"/>
        <v>178125</v>
      </c>
      <c r="CA618" s="1362">
        <f t="shared" si="505"/>
        <v>178125</v>
      </c>
      <c r="CB618" s="1362">
        <f t="shared" si="506"/>
        <v>712500</v>
      </c>
      <c r="CC618" s="2775">
        <v>7</v>
      </c>
      <c r="CD618" s="2775">
        <v>7</v>
      </c>
      <c r="CE618" s="2775">
        <v>7</v>
      </c>
      <c r="CF618" s="2775">
        <v>7</v>
      </c>
      <c r="CG618" s="1604">
        <f t="shared" si="486"/>
        <v>241893.75</v>
      </c>
      <c r="CH618" s="1604">
        <f t="shared" si="487"/>
        <v>241893.75</v>
      </c>
      <c r="CI618" s="1604">
        <f t="shared" si="488"/>
        <v>241893.75</v>
      </c>
      <c r="CJ618" s="1604">
        <f t="shared" si="489"/>
        <v>241893.75</v>
      </c>
      <c r="CK618" s="1521">
        <f t="shared" si="490"/>
        <v>967575</v>
      </c>
      <c r="CL618" s="1132">
        <v>611</v>
      </c>
      <c r="CM618" s="1132" t="s">
        <v>1021</v>
      </c>
      <c r="CN618" s="1359">
        <v>0</v>
      </c>
      <c r="CO618" s="1360">
        <v>1.9</v>
      </c>
      <c r="CP618" s="1360">
        <v>1.9</v>
      </c>
      <c r="CQ618" s="1360">
        <v>1.9</v>
      </c>
      <c r="CR618" s="1360">
        <v>1.9</v>
      </c>
      <c r="CS618" s="1362">
        <f t="shared" si="491"/>
        <v>34556.25</v>
      </c>
      <c r="CT618" s="1362">
        <f t="shared" si="492"/>
        <v>34556.25</v>
      </c>
      <c r="CU618" s="1362">
        <f t="shared" si="493"/>
        <v>34556.25</v>
      </c>
      <c r="CV618" s="1362">
        <f t="shared" si="494"/>
        <v>34556.25</v>
      </c>
      <c r="CW618" s="1362">
        <f t="shared" si="495"/>
        <v>138225</v>
      </c>
      <c r="CY618" s="2887"/>
    </row>
    <row r="619" spans="1:103" s="1143" customFormat="1" ht="31" x14ac:dyDescent="0.35">
      <c r="A619" s="1132" t="s">
        <v>117</v>
      </c>
      <c r="B619" s="1132" t="s">
        <v>1026</v>
      </c>
      <c r="C619" s="1132" t="s">
        <v>1020</v>
      </c>
      <c r="D619" s="1359" t="s">
        <v>105</v>
      </c>
      <c r="E619" s="1359">
        <v>0</v>
      </c>
      <c r="F619" s="1132" t="s">
        <v>105</v>
      </c>
      <c r="G619" s="1132" t="s">
        <v>1021</v>
      </c>
      <c r="H619" s="1360">
        <v>1.9</v>
      </c>
      <c r="I619" s="1360">
        <v>1.9</v>
      </c>
      <c r="J619" s="1360">
        <v>1.9</v>
      </c>
      <c r="K619" s="1360">
        <v>1.9</v>
      </c>
      <c r="L619" s="1132" t="s">
        <v>105</v>
      </c>
      <c r="M619" s="1132" t="str">
        <f t="shared" si="457"/>
        <v/>
      </c>
      <c r="N619" s="1361">
        <v>46236.6</v>
      </c>
      <c r="O619" s="1361">
        <v>46236.6</v>
      </c>
      <c r="P619" s="1361">
        <v>46236.6</v>
      </c>
      <c r="Q619" s="1361">
        <v>46236.6</v>
      </c>
      <c r="R619" s="1781">
        <v>1</v>
      </c>
      <c r="S619" s="1781">
        <v>1</v>
      </c>
      <c r="T619" s="1781">
        <v>1</v>
      </c>
      <c r="U619" s="1781">
        <v>1</v>
      </c>
      <c r="V619" s="2567">
        <v>0.97</v>
      </c>
      <c r="W619" s="2567">
        <v>0.97</v>
      </c>
      <c r="X619" s="2567">
        <v>0.97</v>
      </c>
      <c r="Y619" s="2567">
        <v>0.97</v>
      </c>
      <c r="Z619" s="1359">
        <v>0</v>
      </c>
      <c r="AA619" s="2567">
        <f t="shared" si="458"/>
        <v>0.97</v>
      </c>
      <c r="AB619" s="2567">
        <f t="shared" si="459"/>
        <v>0.97</v>
      </c>
      <c r="AC619" s="2567">
        <f t="shared" si="460"/>
        <v>0.97</v>
      </c>
      <c r="AD619" s="2567">
        <f t="shared" si="461"/>
        <v>0.97</v>
      </c>
      <c r="AE619" s="1781">
        <f t="shared" si="462"/>
        <v>0.97</v>
      </c>
      <c r="AF619" s="1781">
        <f t="shared" si="463"/>
        <v>0.97</v>
      </c>
      <c r="AG619" s="1781">
        <f t="shared" si="464"/>
        <v>0.97</v>
      </c>
      <c r="AH619" s="1781">
        <f t="shared" si="465"/>
        <v>0.97</v>
      </c>
      <c r="AI619" s="1362">
        <f t="shared" si="496"/>
        <v>87849.54</v>
      </c>
      <c r="AJ619" s="1362">
        <f t="shared" si="497"/>
        <v>87849.54</v>
      </c>
      <c r="AK619" s="1362">
        <f t="shared" si="498"/>
        <v>87849.54</v>
      </c>
      <c r="AL619" s="1362">
        <f t="shared" si="499"/>
        <v>87849.54</v>
      </c>
      <c r="AM619" s="1362">
        <f t="shared" si="500"/>
        <v>351398.16</v>
      </c>
      <c r="AN619" s="1132" t="str">
        <f t="shared" si="466"/>
        <v>Custom</v>
      </c>
      <c r="AO619" s="1132" t="str">
        <f t="shared" si="467"/>
        <v/>
      </c>
      <c r="AP619" s="2505">
        <v>46236.6</v>
      </c>
      <c r="AQ619" s="2568" t="s">
        <v>1022</v>
      </c>
      <c r="AR619" s="2505">
        <f t="shared" si="468"/>
        <v>85214.053799999994</v>
      </c>
      <c r="AS619" s="2505">
        <f t="shared" si="469"/>
        <v>-2635.4861999999994</v>
      </c>
      <c r="AT619" s="1132" t="str">
        <f t="shared" si="470"/>
        <v>Custom</v>
      </c>
      <c r="AU619" s="1132" t="str">
        <f t="shared" si="471"/>
        <v/>
      </c>
      <c r="AV619" s="2505">
        <v>46236.6</v>
      </c>
      <c r="AW619" s="2568" t="s">
        <v>1022</v>
      </c>
      <c r="AX619" s="1362">
        <f t="shared" si="472"/>
        <v>85214.053799999994</v>
      </c>
      <c r="AY619" s="1360">
        <f t="shared" si="473"/>
        <v>-2635.4861999999994</v>
      </c>
      <c r="AZ619" s="1132" t="str">
        <f t="shared" si="509"/>
        <v>Custom</v>
      </c>
      <c r="BA619" s="1132" t="str">
        <f t="shared" si="507"/>
        <v/>
      </c>
      <c r="BB619" s="2505">
        <v>46236.6</v>
      </c>
      <c r="BC619" s="2568" t="s">
        <v>1022</v>
      </c>
      <c r="BD619" s="1362">
        <f t="shared" si="476"/>
        <v>85214.053799999994</v>
      </c>
      <c r="BE619" s="1360">
        <f t="shared" si="477"/>
        <v>-2635.4861999999994</v>
      </c>
      <c r="BF619" s="1132" t="str">
        <f t="shared" si="510"/>
        <v>Custom</v>
      </c>
      <c r="BG619" s="1132" t="str">
        <f t="shared" si="508"/>
        <v/>
      </c>
      <c r="BH619" s="2505">
        <v>46236.6</v>
      </c>
      <c r="BI619" s="2568" t="s">
        <v>1022</v>
      </c>
      <c r="BJ619" s="1362">
        <f t="shared" si="501"/>
        <v>85214.053799999994</v>
      </c>
      <c r="BK619" s="1360">
        <f t="shared" si="480"/>
        <v>-2635.4861999999994</v>
      </c>
      <c r="BL619" s="1601">
        <f t="shared" si="481"/>
        <v>85214.053799999994</v>
      </c>
      <c r="BM619" s="1601">
        <f t="shared" si="482"/>
        <v>85214.053799999994</v>
      </c>
      <c r="BN619" s="1601">
        <f t="shared" si="483"/>
        <v>85214.053799999994</v>
      </c>
      <c r="BO619" s="1601">
        <f t="shared" si="484"/>
        <v>85214.053799999994</v>
      </c>
      <c r="BP619" s="1602">
        <f t="shared" si="485"/>
        <v>340856.21519999998</v>
      </c>
      <c r="BQ619" s="1629"/>
      <c r="BR619" s="1629"/>
      <c r="BS619" s="2773">
        <v>1</v>
      </c>
      <c r="BT619" s="1362">
        <v>5</v>
      </c>
      <c r="BU619" s="1362">
        <v>5</v>
      </c>
      <c r="BV619" s="1362">
        <v>5</v>
      </c>
      <c r="BW619" s="1362">
        <v>5</v>
      </c>
      <c r="BX619" s="1362">
        <f t="shared" si="502"/>
        <v>439247.69999999995</v>
      </c>
      <c r="BY619" s="1362">
        <f t="shared" si="503"/>
        <v>439247.69999999995</v>
      </c>
      <c r="BZ619" s="1362">
        <f t="shared" si="504"/>
        <v>439247.69999999995</v>
      </c>
      <c r="CA619" s="1362">
        <f t="shared" si="505"/>
        <v>439247.69999999995</v>
      </c>
      <c r="CB619" s="1362">
        <f t="shared" si="506"/>
        <v>1756990.7999999998</v>
      </c>
      <c r="CC619" s="2775">
        <v>7</v>
      </c>
      <c r="CD619" s="2775">
        <v>7</v>
      </c>
      <c r="CE619" s="2775">
        <v>7</v>
      </c>
      <c r="CF619" s="2775">
        <v>7</v>
      </c>
      <c r="CG619" s="1604">
        <f t="shared" si="486"/>
        <v>596498.37659999996</v>
      </c>
      <c r="CH619" s="1604">
        <f t="shared" si="487"/>
        <v>596498.37659999996</v>
      </c>
      <c r="CI619" s="1604">
        <f t="shared" si="488"/>
        <v>596498.37659999996</v>
      </c>
      <c r="CJ619" s="1604">
        <f t="shared" si="489"/>
        <v>596498.37659999996</v>
      </c>
      <c r="CK619" s="1521">
        <f t="shared" si="490"/>
        <v>2385993.5063999998</v>
      </c>
      <c r="CL619" s="1132">
        <v>612</v>
      </c>
      <c r="CM619" s="1132" t="s">
        <v>1021</v>
      </c>
      <c r="CN619" s="1359">
        <v>0</v>
      </c>
      <c r="CO619" s="1360">
        <v>1.9</v>
      </c>
      <c r="CP619" s="1360">
        <v>1.9</v>
      </c>
      <c r="CQ619" s="1360">
        <v>1.9</v>
      </c>
      <c r="CR619" s="1360">
        <v>1.9</v>
      </c>
      <c r="CS619" s="1362">
        <f t="shared" si="491"/>
        <v>85214.053799999994</v>
      </c>
      <c r="CT619" s="1362">
        <f t="shared" si="492"/>
        <v>85214.053799999994</v>
      </c>
      <c r="CU619" s="1362">
        <f t="shared" si="493"/>
        <v>85214.053799999994</v>
      </c>
      <c r="CV619" s="1362">
        <f t="shared" si="494"/>
        <v>85214.053799999994</v>
      </c>
      <c r="CW619" s="1362">
        <f t="shared" si="495"/>
        <v>340856.21519999998</v>
      </c>
      <c r="CY619" s="2887"/>
    </row>
    <row r="620" spans="1:103" s="1568" customFormat="1" ht="28.5" customHeight="1" x14ac:dyDescent="0.4">
      <c r="A620" s="1615" t="s">
        <v>118</v>
      </c>
      <c r="B620" s="1615"/>
      <c r="C620" s="1616"/>
      <c r="D620" s="1617"/>
      <c r="E620" s="1617"/>
      <c r="F620" s="1618"/>
      <c r="G620" s="1618"/>
      <c r="H620" s="1619"/>
      <c r="I620" s="1619"/>
      <c r="J620" s="1619"/>
      <c r="K620" s="1619"/>
      <c r="L620" s="1618"/>
      <c r="M620" s="1618"/>
      <c r="N620" s="1619"/>
      <c r="O620" s="1619"/>
      <c r="P620" s="1619"/>
      <c r="Q620" s="1619"/>
      <c r="R620" s="1619"/>
      <c r="S620" s="1619"/>
      <c r="T620" s="1619"/>
      <c r="U620" s="1619"/>
      <c r="V620" s="1618"/>
      <c r="W620" s="1618"/>
      <c r="X620" s="1618"/>
      <c r="Y620" s="1618"/>
      <c r="Z620" s="1618"/>
      <c r="AA620" s="1618"/>
      <c r="AB620" s="1618"/>
      <c r="AC620" s="1618"/>
      <c r="AD620" s="1618"/>
      <c r="AE620" s="1618"/>
      <c r="AF620" s="1618"/>
      <c r="AG620" s="1618"/>
      <c r="AH620" s="1618"/>
      <c r="AI620" s="1620">
        <f>SUM(AI8:AI619)</f>
        <v>14000207.133906201</v>
      </c>
      <c r="AJ620" s="1620">
        <f t="shared" ref="AJ620:AL620" si="511">SUM(AJ8:AJ619)</f>
        <v>14000207.133906201</v>
      </c>
      <c r="AK620" s="1620">
        <f t="shared" si="511"/>
        <v>14000207.133906201</v>
      </c>
      <c r="AL620" s="1620">
        <f t="shared" si="511"/>
        <v>14000207.133906201</v>
      </c>
      <c r="AM620" s="1620">
        <f t="shared" ref="AM620" si="512">+SUM(AI620:AL620)</f>
        <v>56000828.535624802</v>
      </c>
      <c r="AN620" s="1621"/>
      <c r="AO620" s="1621"/>
      <c r="AP620" s="1621"/>
      <c r="AQ620" s="1621"/>
      <c r="AR620" s="2530">
        <f>SUM(AR8:AR619)</f>
        <v>14127405.607217545</v>
      </c>
      <c r="AS620" s="1622">
        <f>SUM(AS8:AS619)</f>
        <v>127198.47331134939</v>
      </c>
      <c r="AT620" s="1621"/>
      <c r="AU620" s="1621"/>
      <c r="AV620" s="1621"/>
      <c r="AW620" s="1621"/>
      <c r="AX620" s="1625">
        <f>SUM(AX8:AX619)</f>
        <v>14127405.607217545</v>
      </c>
      <c r="AY620" s="1625">
        <f>SUM(AY8:AY619)</f>
        <v>127198.47331134939</v>
      </c>
      <c r="AZ620" s="1621"/>
      <c r="BA620" s="1621"/>
      <c r="BB620" s="1621"/>
      <c r="BC620" s="1621"/>
      <c r="BD620" s="1626">
        <f>SUM(BD8:BD619)</f>
        <v>14127405.607217545</v>
      </c>
      <c r="BE620" s="1626">
        <f>SUM(BE8:BE619)</f>
        <v>127198.47331134939</v>
      </c>
      <c r="BF620" s="1621"/>
      <c r="BG620" s="1621"/>
      <c r="BH620" s="1621"/>
      <c r="BI620" s="1621"/>
      <c r="BJ620" s="1627">
        <f>SUM(BJ8:BJ619)</f>
        <v>14127405.607217545</v>
      </c>
      <c r="BK620" s="1627">
        <f>SUM(BK8:BK619)</f>
        <v>127198.47331134939</v>
      </c>
      <c r="BL620" s="1628">
        <f>SUM(BL8:BL619)</f>
        <v>14127405.607217545</v>
      </c>
      <c r="BM620" s="1628">
        <f>SUM(BM8:BM619)</f>
        <v>14127405.607217545</v>
      </c>
      <c r="BN620" s="1628">
        <f t="shared" ref="BN620:BP620" si="513">SUM(BN8:BN619)</f>
        <v>14127405.607217545</v>
      </c>
      <c r="BO620" s="1628">
        <f t="shared" si="513"/>
        <v>14127405.607217545</v>
      </c>
      <c r="BP620" s="1628">
        <f t="shared" si="513"/>
        <v>56509622.428870179</v>
      </c>
      <c r="BQ620" s="1621"/>
      <c r="BR620" s="1621"/>
      <c r="BS620" s="1621"/>
      <c r="BT620" s="1621"/>
      <c r="BU620" s="1621"/>
      <c r="BV620" s="1621"/>
      <c r="BW620" s="1621"/>
      <c r="BX620" s="1621"/>
      <c r="BY620" s="1621"/>
      <c r="BZ620" s="1621"/>
      <c r="CA620" s="1621"/>
      <c r="CB620" s="1633">
        <f>SUM(CB8:CB619)</f>
        <v>660361717.81570768</v>
      </c>
      <c r="CC620" s="1618"/>
      <c r="CD620" s="1618"/>
      <c r="CE620" s="1618"/>
      <c r="CF620" s="1618"/>
      <c r="CG620" s="1634">
        <f>SUM(CG8:CG619)</f>
        <v>167059732.28574187</v>
      </c>
      <c r="CH620" s="1634">
        <f t="shared" ref="CH620:CJ620" si="514">SUM(CH8:CH619)</f>
        <v>167059732.28574187</v>
      </c>
      <c r="CI620" s="1634">
        <f t="shared" si="514"/>
        <v>167059732.28574187</v>
      </c>
      <c r="CJ620" s="1634">
        <f t="shared" si="514"/>
        <v>167059732.28574187</v>
      </c>
      <c r="CK620" s="1634">
        <f>SUM(CK8:CK619)</f>
        <v>668238929.14296746</v>
      </c>
      <c r="CN620" s="2810"/>
      <c r="CS620" s="1620">
        <f>SUM(CS8:CS619)</f>
        <v>12540486.816896493</v>
      </c>
      <c r="CT620" s="1620">
        <f>SUM(CT8:CT619)</f>
        <v>12540486.816896493</v>
      </c>
      <c r="CU620" s="1620">
        <f t="shared" ref="CU620:CW620" si="515">SUM(CU8:CU619)</f>
        <v>12540486.816896493</v>
      </c>
      <c r="CV620" s="1620">
        <f t="shared" si="515"/>
        <v>12540486.816896493</v>
      </c>
      <c r="CW620" s="1620">
        <f t="shared" si="515"/>
        <v>50161947.26758597</v>
      </c>
    </row>
    <row r="621" spans="1:103" x14ac:dyDescent="0.45">
      <c r="Y621" s="1612"/>
      <c r="Z621" s="1612"/>
      <c r="AA621" s="1612"/>
      <c r="AB621" s="1612"/>
      <c r="AC621" s="1612"/>
      <c r="AD621" s="1612"/>
      <c r="AE621" s="1612"/>
      <c r="AF621" s="1612"/>
      <c r="AG621" s="1612"/>
      <c r="AH621" s="1612"/>
      <c r="AL621" s="30"/>
      <c r="AV621" s="1143"/>
      <c r="AW621" s="1612"/>
      <c r="BJ621" s="298"/>
      <c r="BK621" s="1613"/>
      <c r="BL621" s="1614"/>
      <c r="BM621" s="1614"/>
      <c r="BN621" s="1614"/>
      <c r="BO621" s="1599"/>
      <c r="BS621" s="1568"/>
      <c r="BT621" s="1568"/>
      <c r="BU621" s="1568"/>
      <c r="BV621" s="1568"/>
      <c r="BW621" s="1568"/>
      <c r="BX621" s="1568"/>
      <c r="BY621" s="1568"/>
      <c r="BZ621" s="1632" t="s">
        <v>1029</v>
      </c>
      <c r="CA621" s="1630">
        <f>CB620/AM620</f>
        <v>11.791999066507026</v>
      </c>
      <c r="CB621" s="433"/>
      <c r="CC621" s="433"/>
      <c r="CD621" s="433"/>
      <c r="CE621" s="433"/>
      <c r="CF621" s="1568"/>
      <c r="CG621" s="1568"/>
      <c r="CH621" s="1568"/>
      <c r="CI621" s="1631" t="s">
        <v>1030</v>
      </c>
      <c r="CJ621" s="1630">
        <f>CK620/$BP$620</f>
        <v>11.825223748116411</v>
      </c>
    </row>
    <row r="622" spans="1:103" x14ac:dyDescent="0.45">
      <c r="AK622" s="2509"/>
      <c r="AP622" s="2509"/>
      <c r="AR622" s="2509"/>
      <c r="AS622" s="298"/>
      <c r="AV622" s="1143"/>
      <c r="AW622" s="1612"/>
      <c r="BK622" s="1613"/>
      <c r="BL622" s="1614"/>
      <c r="BM622" s="1614"/>
      <c r="BN622" s="1614"/>
      <c r="BO622" s="1599"/>
      <c r="CA622" s="1599"/>
    </row>
  </sheetData>
  <autoFilter ref="A6:CW621" xr:uid="{633A0F3D-2761-4D9A-AA0F-4E57B212D3F3}"/>
  <customSheetViews>
    <customSheetView guid="{ECD6FE6A-9548-414E-B8AA-6998703C57E0}" scale="55" showPageBreaks="1" printArea="1" showAutoFilter="1" view="pageBreakPreview">
      <selection activeCell="BL11" sqref="BL11"/>
      <colBreaks count="9" manualBreakCount="9">
        <brk id="15" max="310" man="1"/>
        <brk id="24" max="310" man="1"/>
        <brk id="30" max="310" man="1"/>
        <brk id="36" max="310" man="1"/>
        <brk id="42" max="310" man="1"/>
        <brk id="48" max="310" man="1"/>
        <brk id="53" max="310" man="1"/>
        <brk id="55" max="310" man="1"/>
        <brk id="65" max="310" man="1"/>
      </colBreaks>
      <pageMargins left="0" right="0" top="0" bottom="0" header="0" footer="0"/>
      <printOptions headings="1" gridLines="1"/>
      <pageSetup scale="40" fitToWidth="5" orientation="landscape" r:id="rId1"/>
      <headerFooter>
        <oddFooter>&amp;L&amp;"Arial,Regular"&amp;14&amp;A
&amp;F&amp;C&amp;"Arial,Regular"&amp;14&amp;P</oddFooter>
      </headerFooter>
      <autoFilter ref="A7:BZ310" xr:uid="{AAD8E546-3F8E-4986-A56B-AC41B543D67A}"/>
    </customSheetView>
    <customSheetView guid="{11DE45F5-F478-4ED6-8DFF-12002C22A637}" scale="53" showPageBreaks="1" printArea="1" showAutoFilter="1" view="pageBreakPreview">
      <selection activeCell="BR310" sqref="BR310"/>
      <colBreaks count="9" manualBreakCount="9">
        <brk id="15" max="310" man="1"/>
        <brk id="24" max="310" man="1"/>
        <brk id="30" max="310" man="1"/>
        <brk id="36" max="310" man="1"/>
        <brk id="42" max="310" man="1"/>
        <brk id="48" max="310" man="1"/>
        <brk id="53" max="310" man="1"/>
        <brk id="55" max="310" man="1"/>
        <brk id="65" max="310" man="1"/>
      </colBreaks>
      <pageMargins left="0" right="0" top="0" bottom="0" header="0" footer="0"/>
      <printOptions headings="1" gridLines="1"/>
      <pageSetup scale="40" fitToWidth="5" orientation="landscape" r:id="rId2"/>
      <headerFooter>
        <oddFooter>&amp;L&amp;"Arial,Regular"&amp;14&amp;A
&amp;F&amp;C&amp;"Arial,Regular"&amp;14&amp;P</oddFooter>
      </headerFooter>
      <autoFilter ref="A7:BZ310" xr:uid="{AFEA9924-2AF2-4FC6-B3FC-83B5D6473C5D}"/>
    </customSheetView>
  </customSheetViews>
  <mergeCells count="30">
    <mergeCell ref="CS5:CW5"/>
    <mergeCell ref="AN4:AS4"/>
    <mergeCell ref="AT4:AY4"/>
    <mergeCell ref="V5:Y5"/>
    <mergeCell ref="AI5:AM5"/>
    <mergeCell ref="AN5:AQ5"/>
    <mergeCell ref="AT5:AW5"/>
    <mergeCell ref="CM4:CR4"/>
    <mergeCell ref="CM5:CR5"/>
    <mergeCell ref="AZ4:BE4"/>
    <mergeCell ref="BF4:BK4"/>
    <mergeCell ref="CC4:CF5"/>
    <mergeCell ref="CG4:CK5"/>
    <mergeCell ref="AZ5:BC5"/>
    <mergeCell ref="BF5:BI5"/>
    <mergeCell ref="BL4:BP5"/>
    <mergeCell ref="G5:K5"/>
    <mergeCell ref="L5:Q5"/>
    <mergeCell ref="G4:K4"/>
    <mergeCell ref="L4:Q4"/>
    <mergeCell ref="V4:AM4"/>
    <mergeCell ref="AA5:AD5"/>
    <mergeCell ref="AE5:AH5"/>
    <mergeCell ref="R5:U5"/>
    <mergeCell ref="R2:U2"/>
    <mergeCell ref="V2:Y2"/>
    <mergeCell ref="BQ4:BR4"/>
    <mergeCell ref="BS4:BS5"/>
    <mergeCell ref="BX4:CB5"/>
    <mergeCell ref="BT4:BW5"/>
  </mergeCells>
  <phoneticPr fontId="152" type="noConversion"/>
  <hyperlinks>
    <hyperlink ref="F8" location="'4.4.3'!Print_Area" display="'4.4.3'!Print_Area" xr:uid="{B977EC84-0C39-4857-BDFC-71C6739116F0}"/>
    <hyperlink ref="F9" location="'4.4.2'!A1" display="4.4.2" xr:uid="{5E73FBEA-6F2E-46F2-A0AE-CBC61DDE73EA}"/>
    <hyperlink ref="F10" location="'4.4.14'!A1" display="4.4.14" xr:uid="{734173E3-8C82-4D71-BF60-16D460742016}"/>
    <hyperlink ref="F11" location="'4.4.14'!A1" display="4.4.14" xr:uid="{6BE22185-51EB-46AA-8023-CE050DEA4EAE}"/>
    <hyperlink ref="F12" location="'4.4.14'!A1" display="4.4.14" xr:uid="{7FD7B2F4-CCD0-4515-9165-C22BC27DE951}"/>
    <hyperlink ref="F13" location="'4.4.14'!A1" display="4.4.14" xr:uid="{8F80D953-30CC-4BE1-9AFE-F9542F42B85C}"/>
    <hyperlink ref="F14" location="'4.4.14'!A1" display="4.4.14" xr:uid="{97A2A0D3-D969-4A39-B84F-3B62A0C5D62C}"/>
    <hyperlink ref="F15" location="'4.4.14'!A1" display="4.4.14" xr:uid="{C5444261-8710-42B2-BDB6-C82A7D1AD1A8}"/>
    <hyperlink ref="F16" location="'4.4.14'!A1" display="4.4.14" xr:uid="{1E6002C4-1912-4C89-B16B-DD9E91A79C9E}"/>
    <hyperlink ref="F17" location="'4.4.14'!A1" display="4.4.14" xr:uid="{D4F61D22-1F8F-4102-8CC2-1C2364DB2113}"/>
    <hyperlink ref="F79:F86" location="'4.4.14'!A1" display="4.4.14" xr:uid="{4837F0C0-9721-4352-857A-75EA4EBDBE19}"/>
    <hyperlink ref="F92:F98" location="'4.4.14'!A1" display="4.4.14" xr:uid="{1E92793C-8814-4386-BF0C-F3B421A377A9}"/>
    <hyperlink ref="F150:F156" location="'4.4.14'!A1" display="4.4.14" xr:uid="{428BEDDB-80C7-4D08-87F6-D46B42DEAB58}"/>
    <hyperlink ref="F273:F275" location="'4.4.14'!A1" display="4.4.14" xr:uid="{0AACB403-BD49-46C5-9EC0-DBBB2B8A1181}"/>
    <hyperlink ref="F443" location="'4.4.14'!A1" display="4.4.14" xr:uid="{934BFF69-AAF7-4265-8D42-D23484DF0DB5}"/>
    <hyperlink ref="F450:F451" location="'4.4.14'!A1" display="4.4.14" xr:uid="{D9F30412-78A8-427D-B3E5-6E1CE4814EED}"/>
    <hyperlink ref="F463:F466" location="'4.4.14'!A1" display="4.4.14" xr:uid="{50F07D8B-29D7-4A34-B4E9-49F1AF840259}"/>
    <hyperlink ref="F498" location="'4.4.14'!A1" display="4.4.14" xr:uid="{5B6F9C2E-7F6B-4E49-A409-908835D2BF66}"/>
    <hyperlink ref="F558:F562" location="'4.4.14'!A1" display="4.4.14" xr:uid="{2385ECC6-91BC-4A04-B0CE-058AD12C064D}"/>
    <hyperlink ref="F597:F599" location="'4.4.14'!A1" display="4.4.14" xr:uid="{FBA7DB9C-0B16-4772-A78D-B1E61853C36D}"/>
    <hyperlink ref="F18" location="'4.4.16'!A1" display="4.4.16" xr:uid="{D032F040-3DD9-4C14-8673-B48A461D87B6}"/>
    <hyperlink ref="F19" location="'4.4.16'!A1" display="4.4.16" xr:uid="{D5A5E9F5-6630-4547-8886-6B857F0E8588}"/>
    <hyperlink ref="F20" location="'4.4.16'!A1" display="4.4.16" xr:uid="{21B9133D-4D33-4DAB-9570-B5B0FAD7875E}"/>
    <hyperlink ref="F21" location="'4.4.16'!A1" display="4.4.16" xr:uid="{24415E4A-E312-4E38-97BB-AFB152DB4942}"/>
    <hyperlink ref="F22" location="'4.4.16'!A1" display="4.4.16" xr:uid="{DDF1168A-9B18-4328-B9C9-0053E940F0E4}"/>
    <hyperlink ref="F23" location="'4.4.16'!A1" display="4.4.16" xr:uid="{76ECBE46-A01B-44AA-A829-A7FB8930016A}"/>
    <hyperlink ref="F24" location="'4.4.16'!A1" display="4.4.16" xr:uid="{F3405BBC-DF34-479F-916C-A9C9008F59D6}"/>
    <hyperlink ref="F26" location="'4.2.3'!A1" display="4.2.3" xr:uid="{8BF97654-1597-4BD0-92CE-49DCE39CBD08}"/>
    <hyperlink ref="F27" location="'4.2.5'!A1" display="4.2.5" xr:uid="{09F2E234-B24D-42FD-B7B2-89786243BC60}"/>
    <hyperlink ref="F28" location="'4.2.1'!A1" display="4.2.1" xr:uid="{945C3145-C6AF-4A41-8575-FF761F285F33}"/>
    <hyperlink ref="F29" location="'4.2.4'!A1" display="4.2.4" xr:uid="{BA420D7D-1E74-418E-8A5C-2A78706608BC}"/>
    <hyperlink ref="F31" location="'4.2.18'!A1" display="4.2.18" xr:uid="{53B39522-260B-45F0-985F-BAAC18966433}"/>
    <hyperlink ref="F32" location="'4.2.18'!A1" display="4.2.18" xr:uid="{366E1259-F1FD-4EBF-A7CE-EE84DEB8E035}"/>
    <hyperlink ref="F33" location="'4.2.7'!A1" display="4.2.7" xr:uid="{99238C5F-3266-4B43-823A-5F028E8594D8}"/>
    <hyperlink ref="F35" location="'4.2.8'!A1" display="4.2.8" xr:uid="{58106C41-86F2-49B4-8E00-786824316225}"/>
    <hyperlink ref="F36" location="'4.2.17'!A1" display="4.2.17" xr:uid="{FE1F8DA2-56A7-4005-AEE3-DF0DEACC762F}"/>
    <hyperlink ref="F37" location="'4.2.13'!A1" display="4.2.13" xr:uid="{636F4F8B-0BF7-4335-A7AB-E3B24B80AAE3}"/>
    <hyperlink ref="F38" location="'4.2.12'!A1" display="4.2.12" xr:uid="{A710E02F-68C6-4192-A9E8-F9142A22D56A}"/>
    <hyperlink ref="F39" location="'4.2.15'!A1" display="4.2.15" xr:uid="{9990481A-D3E7-4710-A415-DBB5777F9560}"/>
    <hyperlink ref="F40" location="'4.2.14'!A1" display="4.2.14" xr:uid="{D33F9D6B-9793-4B8D-86A3-E1D06F56B94A}"/>
    <hyperlink ref="F45" location="'4.4.4'!A1" display="4.4.4" xr:uid="{A7212EB1-17B1-4896-BB3A-3677B9575A20}"/>
    <hyperlink ref="F46" location="'4.4.2'!A1" display="4.4.2" xr:uid="{433A1AA9-FF64-49AC-BADB-D098D75A95F3}"/>
    <hyperlink ref="F47" location="'4.4.3'!A1" display="4.4.3" xr:uid="{0E44F874-8B63-4865-BB56-6CA1D083F67C}"/>
    <hyperlink ref="F48" location="'4.4.10'!A1" display="4.4.10" xr:uid="{F338FB97-EEF4-4682-A932-2910789C4AD9}"/>
    <hyperlink ref="F49" location="'4.4.10'!A1" display="4.4.10" xr:uid="{DB3AD90D-0947-4FCD-ACB5-C0F20BEBE214}"/>
    <hyperlink ref="F50" location="'4.4.10'!A1" display="4.4.10" xr:uid="{3B7D6BB7-8E48-436D-BD9C-AF15190157FA}"/>
    <hyperlink ref="F51" location="'4.4.10'!A1" display="4.4.10" xr:uid="{6A84434B-FC6B-4DBD-B774-9698DE960472}"/>
    <hyperlink ref="F52" location="'4.4.10'!A1" display="4.4.10" xr:uid="{1591DE7F-8982-4A15-90F1-FCE39588334E}"/>
    <hyperlink ref="F53" location="'4.4.10'!A1" display="4.4.10" xr:uid="{5CF0ECFB-E84A-4405-82FD-6FDDF25CCC06}"/>
    <hyperlink ref="F54" location="'4.4.10'!A1" display="4.4.10" xr:uid="{D7AF3D8B-F50D-4DA0-BD0C-7C7E10B2337A}"/>
    <hyperlink ref="F55" location="'4.4.10'!A1" display="4.4.10" xr:uid="{C8E7DD0D-B0EE-43D0-8E5C-F781BA5CE3FF}"/>
    <hyperlink ref="F56" location="'4.4.10'!A1" display="4.4.10" xr:uid="{B42DF29E-5D9D-47B4-AFB1-19212910BCB3}"/>
    <hyperlink ref="F57" location="'4.4.10'!A1" display="4.4.10" xr:uid="{E37AE901-DCD2-4EFD-9FC2-B1C33CC4F23F}"/>
    <hyperlink ref="F58" location="'4.4.11'!A1" display="4.4.11" xr:uid="{C321F820-379D-4A8F-92F9-FEB4C6C3FEF5}"/>
    <hyperlink ref="F59" location="'4.4.11'!A1" display="4.4.11" xr:uid="{91D54EFF-DCCA-48B9-91B4-D918C5E2E864}"/>
    <hyperlink ref="F60" location="'4.4.11'!A1" display="4.4.11" xr:uid="{E74A8AA0-9820-4C8A-BFB2-A621FEE9EAA0}"/>
    <hyperlink ref="F61" location="'4.4.11'!A1" display="4.4.11" xr:uid="{4C756B0C-81A2-4B7D-A5DF-DF3AD2D11231}"/>
    <hyperlink ref="F62" location="'4.4.5'!A1" display="4.4.5" xr:uid="{71DA5473-5B9B-4765-8D19-1211F8123487}"/>
    <hyperlink ref="F63" location="'4.4.12'!A1" display="4.4.12" xr:uid="{BEEA3F86-2CA3-4EE1-A1D8-371FC9830266}"/>
    <hyperlink ref="F67" location="'4.3.1'!A1" display="4.3.1" xr:uid="{035C55AC-AA97-4DCE-AE4F-4D8B0EE9B880}"/>
    <hyperlink ref="F68" location="'4.3.1'!A1" display="4.3.1" xr:uid="{2537B639-4465-47E1-A030-D439675BB44F}"/>
    <hyperlink ref="F72" location="'4.3.4'!A1" display="4.3.4" xr:uid="{E7B434FD-FE81-4B9B-A3FF-2EE446713F8B}"/>
    <hyperlink ref="F73" location="'4.3.4'!A1" display="4.3.4" xr:uid="{CAE19DC9-131D-4C73-9D51-0A3B27F9B31B}"/>
    <hyperlink ref="F74" location="'4.3.6'!A1" display="4.3.6" xr:uid="{250F6C8E-DCC5-495F-987B-5331B90E2361}"/>
    <hyperlink ref="F75" location="'4.8.4'!A1" display="4.8.4" xr:uid="{65547712-F3C5-42DE-A080-2410FF8EEEFD}"/>
    <hyperlink ref="F76" location="'4.8.4'!A1" display="4.8.4" xr:uid="{7B4959DE-96E9-462F-8EA0-2608A1D1E323}"/>
    <hyperlink ref="F77" location="'4.8.4'!A1" display="4.8.4" xr:uid="{40665521-E722-426E-BD33-444191CEDACA}"/>
    <hyperlink ref="F78" location="'4.4.19'!A1" display="4.4.19" xr:uid="{C88BF016-E458-46A5-9CF8-7A05766961A1}"/>
    <hyperlink ref="F88" location="'4.4.24 '!A1" display="4.4.24" xr:uid="{782F12BE-9D03-43B1-A4E5-B99060970548}"/>
    <hyperlink ref="F89" location="'4.4.24 '!A1" display="4.4.24" xr:uid="{1E0C4C27-734A-4178-8043-FB50E5C838B7}"/>
    <hyperlink ref="F90" location="'4.4.24 '!A1" display="4.4.24" xr:uid="{085FA8E2-8434-434A-B678-61DFAB4610CD}"/>
    <hyperlink ref="F91" location="'4.4.24 '!A1" display="4.4.24" xr:uid="{D522CE91-3048-4A83-9882-F88DF87C6D27}"/>
    <hyperlink ref="F99" location="'4.4.16'!A1" display="4.4.16" xr:uid="{022D0CCF-AE28-4BD6-9C9D-414F8E67F242}"/>
    <hyperlink ref="F100" location="'4.4.16'!A1" display="4.4.16" xr:uid="{34A334A0-1252-4D5D-ABE5-769D033CFEF1}"/>
    <hyperlink ref="F101" location="'4.4.16'!A1" display="4.4.16" xr:uid="{057053C8-62CC-477C-B9E4-CEA0B9BAF874}"/>
    <hyperlink ref="F102" location="'4.4.16'!A1" display="4.4.16" xr:uid="{FB926CB0-9261-4027-9501-CB138D7E4B8F}"/>
    <hyperlink ref="F103" location="'4.4.16'!A1" display="4.4.16" xr:uid="{2B683F19-7104-4986-9ED8-858E5CD860AB}"/>
    <hyperlink ref="F104" location="'4.4.16'!A1" display="4.4.16" xr:uid="{C890F3E4-CF67-4D09-80FC-1713B98148FC}"/>
    <hyperlink ref="F105" location="'4.4.16'!A1" display="4.4.16" xr:uid="{EA243BAC-3370-49CA-80FB-EA8F6C60DEF5}"/>
    <hyperlink ref="F106" location="'4.4.16'!A1" display="4.4.16" xr:uid="{A811A202-9CC0-40F8-AE44-CBB1CD2E8F0F}"/>
    <hyperlink ref="F107" location="'4.2.11'!A1" display="4.2.11" xr:uid="{FF798AD1-4106-4CB2-80AF-8FF6C1DC4DD7}"/>
    <hyperlink ref="F111" location="'4.2.11'!A1" display="4.2.11" xr:uid="{CABDC1D9-87AB-4B4E-BE2F-CCC32C78696A}"/>
    <hyperlink ref="F112" location="'4.2.11'!A1" display="4.2.11" xr:uid="{061AC373-AE8B-43A9-9D5F-BC3F63DA4EEF}"/>
    <hyperlink ref="F113" location="'4.2.11'!A1" display="4.2.11" xr:uid="{25861012-4CEA-4447-839C-74BA08A0193D}"/>
    <hyperlink ref="F114" location="'4.3.2'!A1" display="4.3.2" xr:uid="{29B4D366-E6CD-4690-A5C1-27E35E47A6E7}"/>
    <hyperlink ref="F115" location="'4.3.2'!A1" display="4.3.2" xr:uid="{B13A7805-AED0-47CE-998B-7A57E8529BD3}"/>
    <hyperlink ref="F116" location="'4.3.2'!A1" display="4.3.2" xr:uid="{673FC953-D015-40AB-9F04-8264F0ABA048}"/>
    <hyperlink ref="F117" location="'4.3.3'!A1" display="4.3.3" xr:uid="{7AC19A84-1142-4CC6-AC59-DC3A14844BCB}"/>
    <hyperlink ref="F125" location="'4.4.16'!A1" display="4.4.16" xr:uid="{BE5DC8E2-BE80-443D-825A-B9E58E2FBE64}"/>
    <hyperlink ref="F126" location="'4.4.16'!A1" display="4.4.16" xr:uid="{EF489E66-F9A2-4A2B-92E8-A79FE1E2CCC5}"/>
    <hyperlink ref="F127" location="'4.4.16'!A1" display="4.4.16" xr:uid="{7AE1015C-994E-4AC6-B739-0B0977483A5A}"/>
    <hyperlink ref="F128" location="'4.4.16'!A1" display="4.4.16" xr:uid="{6EE05598-A3DE-4417-AE64-22B0DB703A15}"/>
    <hyperlink ref="F129" location="'4.4.16'!A1" display="4.4.16" xr:uid="{9099D9C4-B675-4C4E-A170-E894A5E97DD3}"/>
    <hyperlink ref="F130" location="'4.4.16'!A1" display="4.4.16" xr:uid="{D4FFE6B0-7B2F-487D-A59D-7287DCE7235A}"/>
    <hyperlink ref="F131" location="'4.4.16'!A1" display="4.4.16" xr:uid="{2C850DFD-907A-49AE-AD71-EAB0AE3DB507}"/>
    <hyperlink ref="F132" location="'4.4.16'!A1" display="4.4.16" xr:uid="{1C44F0E6-D1FA-4242-9B5D-D034AE595837}"/>
    <hyperlink ref="F133" location="'4.3.1'!A1" display="4.3.1" xr:uid="{9CF88AD6-016C-46AF-9B62-B9940352D870}"/>
    <hyperlink ref="F134" location="'4.3.1'!A1" display="4.3.1" xr:uid="{288B72EF-1C4C-46EB-A923-B491BF166A0E}"/>
    <hyperlink ref="F136" location="'4.4.4'!A1" display="4.4.4" xr:uid="{3796F23F-2CF3-4160-9776-ABF141BEF645}"/>
    <hyperlink ref="F137" location="'4.4.2'!A1" display="4.4.2" xr:uid="{BEA6A3AB-299E-4A09-9086-1CC0069116DD}"/>
    <hyperlink ref="F138" location="'4.4.3'!A1" display="4.4.3" xr:uid="{F36FA004-5BE6-460D-84E1-908560E88CF5}"/>
    <hyperlink ref="F139" location="'4.4.10'!A1" display="4.4.10" xr:uid="{51DA7EA9-BA54-445B-9CA3-8B1F9C2253F6}"/>
    <hyperlink ref="F140" location="'4.4.10'!A1" display="4.4.10" xr:uid="{4B260D97-CFD6-4E0B-868C-CA73327026CD}"/>
    <hyperlink ref="F141" location="'4.4.10'!A1" display="4.4.10" xr:uid="{677D43CE-A0CF-4783-9B8D-4E34A762E82A}"/>
    <hyperlink ref="F142" location="'4.4.10'!A1" display="4.4.10" xr:uid="{5E27FB5A-E95E-4C28-9576-09661E8A600F}"/>
    <hyperlink ref="F143" location="'4.4.10'!A1" display="4.4.10" xr:uid="{5A263BCD-5C81-41C3-9B77-C7D2E5344E14}"/>
    <hyperlink ref="F144" location="'4.4.10'!A1" display="4.4.10" xr:uid="{15E002F0-A9AE-4C19-8A31-578EF222F25E}"/>
    <hyperlink ref="F145" location="'4.4.10'!A1" display="4.4.10" xr:uid="{78243234-4FA6-4D3A-BD6A-6BFC283FB358}"/>
    <hyperlink ref="F146" location="'4.4.10'!A1" display="4.4.10" xr:uid="{A0978605-2312-4C7F-BC5A-58E6D19403ED}"/>
    <hyperlink ref="F147" location="'4.4.11'!A1" display="4.4.11" xr:uid="{8D1A5269-714B-45F2-8041-074708F63105}"/>
    <hyperlink ref="F148" location="'4.4.12'!A1" display="4.4.12" xr:uid="{F45C2028-4C54-48D9-81EA-2D92F7A44E9D}"/>
    <hyperlink ref="F149" location="'4.4.19'!A1" display="4.4.19" xr:uid="{055DEA8E-D062-428D-950C-3CBE0AA99457}"/>
    <hyperlink ref="F165" location="'4.2.11'!A1" display="4.2.11" xr:uid="{B2C04900-8894-4EC3-8E73-B4D2781E4503}"/>
    <hyperlink ref="F166" location="'4.2.11'!A1" display="4.2.11" xr:uid="{E89AD198-D17C-4963-83C3-36CF7F33DB31}"/>
    <hyperlink ref="F167" location="'4.2.11'!A1" display="4.2.11" xr:uid="{8C01D167-1F42-4005-A561-6AFD654B4A2D}"/>
    <hyperlink ref="F168" location="'4.3.2'!A1" display="4.3.2" xr:uid="{4004AD7D-F5DE-4888-A317-4F8C2CBE9150}"/>
    <hyperlink ref="F169" location="'4.3.2'!A1" display="4.3.2" xr:uid="{63700E31-99DB-4A5C-896B-42776A79A0B6}"/>
    <hyperlink ref="F170" location="'4.3.2'!A1" display="4.3.2" xr:uid="{E147378D-18E7-4BBB-9B71-F9491C3E8B2D}"/>
    <hyperlink ref="F171" location="'4.3.3'!A1" display="4.3.3" xr:uid="{06786F86-609A-4AB6-8CCC-E6B35FFBCAA0}"/>
    <hyperlink ref="F179" location="'4.4.16'!A1" display="4.4.16" xr:uid="{ED72F8F3-EB19-45EA-B283-A6A96076E6A6}"/>
    <hyperlink ref="F180" location="'4.4.16'!A1" display="4.4.16" xr:uid="{4F154130-6617-41B9-AA3D-9F0BB84D0D85}"/>
    <hyperlink ref="F181" location="'4.4.16'!A1" display="4.4.16" xr:uid="{58B84C4D-ABD9-4D8F-89BB-A23820AD5DB8}"/>
    <hyperlink ref="F182" location="'4.4.16'!A1" display="4.4.16" xr:uid="{F33A83AB-F653-4279-B665-A4E79D57CA83}"/>
    <hyperlink ref="F183" location="'4.4.16'!A1" display="4.4.16" xr:uid="{88DC2EDA-91A1-470A-B657-92FD04A420A7}"/>
    <hyperlink ref="F184" location="'4.4.16'!A1" display="4.4.16" xr:uid="{B84C0FA6-7813-4F4B-BFA6-003392537A97}"/>
    <hyperlink ref="F185" location="'4.4.16'!A1" display="4.4.16" xr:uid="{67F27A70-850D-48C1-8A62-38C0D6DDA753}"/>
    <hyperlink ref="F186" location="'4.4.16'!A1" display="4.4.16" xr:uid="{D5F180B8-4D4A-4E24-9F09-88027623396A}"/>
    <hyperlink ref="F224" location="'5.3.16'!A1" display="5.3.16" xr:uid="{0CF79CC4-D8CD-4CCB-BC1C-2F4BD1302CA7}"/>
    <hyperlink ref="F215" location="'5.3.7'!A1" display="5.3.7" xr:uid="{3481E2BA-5E3A-4C5C-9567-3D436D733E9D}"/>
    <hyperlink ref="F216" location="'5.3.7'!A1" display="5.3.7" xr:uid="{5F67976E-03B3-4807-B137-F96894D24BFB}"/>
    <hyperlink ref="F217" location="'5.3.6'!A1" display="5.3.6" xr:uid="{77CC7E7F-C5C1-4D72-B3EB-41D085FD7683}"/>
    <hyperlink ref="F219" location="'5.3.7'!A1" display="5.3.7" xr:uid="{2ABDDD2E-30A9-429C-9867-BC26CDC97AD6}"/>
    <hyperlink ref="F220" location="'5.3.7'!A1" display="5.3.7" xr:uid="{0CEC2A21-2D1A-4E2B-A74B-80282F5C1550}"/>
    <hyperlink ref="F221" location="'5.4.2'!A1" display="5.4.2" xr:uid="{5232B9DD-E568-4FFF-8323-302BA6EF98B5}"/>
    <hyperlink ref="F226" location="'5.6.1'!A1" display="5.6.1" xr:uid="{3AE7A06A-6E60-46B4-A1E3-81A597348DEA}"/>
    <hyperlink ref="F231" location="'5.6.1'!A1" display="5.6.1" xr:uid="{5B72759E-12C8-4F54-BF76-2331588CF2EE}"/>
    <hyperlink ref="F232" location="'5.3.4'!A1" display="5.3.4" xr:uid="{DA1860B2-6D98-4BF5-9A86-5CE86581CF99}"/>
    <hyperlink ref="F293" location="'5.3.4'!A1" display="5.3.4" xr:uid="{5EFE50EA-F3A2-4AD4-AC4D-8CE9A934045E}"/>
    <hyperlink ref="F324" location="'5.3.4'!A1" display="5.3.4" xr:uid="{BA2AAB76-C247-4D53-B85D-531A204635C5}"/>
    <hyperlink ref="F341" location="'5.3.4'!A1" display="5.3.4" xr:uid="{0265962D-A7FC-4869-9B93-6C1D4DB661B3}"/>
    <hyperlink ref="F393" location="'5.3.4'!A1" display="5.3.4" xr:uid="{A113F29C-70AB-42CD-81F7-D5325CE8F48B}"/>
    <hyperlink ref="F413" location="'5.3.4'!A1" display="5.3.4" xr:uid="{E28A7656-646C-4649-86C9-F418111AA426}"/>
    <hyperlink ref="F575" location="'4.2.11'!A1" display="4.2.11" xr:uid="{5C3B7518-5CAC-4589-AED6-BA70FB953470}"/>
    <hyperlink ref="F576" location="'4.2.11'!A1" display="4.2.11" xr:uid="{FED0A2AD-05E5-4464-A3AE-17B20B54C300}"/>
    <hyperlink ref="F577" location="'4.2.11'!A1" display="4.2.11" xr:uid="{20C88EB3-1B2B-44AE-9AF7-09083466C8DF}"/>
    <hyperlink ref="F603" location="'4.2.11'!A1" display="4.2.11" xr:uid="{95AEBC49-765A-467D-9D73-2CE441749913}"/>
    <hyperlink ref="F604" location="'4.2.11'!A1" display="4.2.11" xr:uid="{85A603CA-CB51-4A2F-B3DF-BD1FCF5B46E1}"/>
    <hyperlink ref="F303" location="'4.3.1'!A1" display="4.3.1" xr:uid="{1DEE474F-9766-478E-8045-8A1AD9E5998E}"/>
    <hyperlink ref="F367" location="'4.3.1'!A1" display="4.3.1" xr:uid="{0CEF612A-3673-49A5-89E6-A5CB953517AD}"/>
    <hyperlink ref="F384" location="'4.3.1'!A1" display="4.3.1" xr:uid="{54ADA74A-AC33-4C51-B65D-B5FCC6AA69A6}"/>
    <hyperlink ref="F403" location="'4.3.1'!A1" display="4.3.1" xr:uid="{C4390DEC-EAB3-4D2D-8029-95AAF6DBB923}"/>
    <hyperlink ref="F423" location="'4.3.1'!A1" display="4.3.1" xr:uid="{2AAB3861-8E2B-410B-BB87-78C219E57CA6}"/>
    <hyperlink ref="F457" location="'4.3.1'!A1" display="4.3.1" xr:uid="{C817068E-9A39-40B1-B4CC-AC85F6290011}"/>
    <hyperlink ref="F514" location="'4.3.1'!A1" display="4.3.1" xr:uid="{68581F61-3AE4-4805-9662-475A6B26A8CD}"/>
    <hyperlink ref="F553" location="'4.3.1'!A1" display="4.3.1" xr:uid="{55C0DA5C-DC94-4132-8E9A-B9A690FFE4D5}"/>
    <hyperlink ref="F596" location="'4.3.1'!A1" display="4.3.1" xr:uid="{2E5B0391-5A72-4FD7-9B9C-18E01FCBB3F9}"/>
    <hyperlink ref="F578" location="'4.3.2'!A1" display="4.3.2" xr:uid="{CD20E373-71C8-4FF7-9450-840A998E994B}"/>
    <hyperlink ref="F579" location="'4.3.2'!A1" display="4.3.2" xr:uid="{C001704E-B757-4AB8-8003-D3626707F8DE}"/>
    <hyperlink ref="F580" location="'4.3.2'!A1" display="4.3.2" xr:uid="{8D6FB729-DA3D-4836-8885-07F80408B4B5}"/>
    <hyperlink ref="F581" location="'4.3.3'!A1" display="4.3.3" xr:uid="{1EF62FED-68E3-4A4B-B815-7B5B559EB585}"/>
    <hyperlink ref="F606" location="'4.3.2'!A1" display="4.3.2" xr:uid="{E3D129A0-CEB3-4C02-8264-53D0FFF64E22}"/>
    <hyperlink ref="F607" location="'4.3.2'!A1" display="4.3.2" xr:uid="{CE70F297-3332-4A9D-AA8D-BF1807331EAE}"/>
    <hyperlink ref="F608" location="'4.3.2'!A1" display="4.3.2" xr:uid="{0272D5B2-241D-49ED-A662-99966A72035E}"/>
    <hyperlink ref="F609" location="'4.3.3'!A1" display="4.3.3" xr:uid="{408AAA65-5F10-40D1-AABC-EAB0C01AF81E}"/>
    <hyperlink ref="F515" location="'4.3.4'!A1" display="4.3.4" xr:uid="{E1C98418-EB2C-41E5-A8C4-F1ECBAAE8C29}"/>
    <hyperlink ref="F555" location="'4.3.4'!A1" display="4.3.4" xr:uid="{CC2FC203-A212-4BA7-877E-222688C060FA}"/>
    <hyperlink ref="F455" location="'4.4.10'!A1" display="4.4.10" xr:uid="{254BD9B8-CEED-403A-8D5A-AE9E7316DC64}"/>
    <hyperlink ref="F506" location="'4.4.10'!A1" display="4.4.10" xr:uid="{9039AA6E-072B-400B-A671-0F91A35A38C1}"/>
    <hyperlink ref="F507" location="'4.4.10'!A1" display="4.4.10" xr:uid="{02C540CA-A1C8-4657-9B19-A07A54C9C841}"/>
    <hyperlink ref="F508" location="'4.4.10'!A1" display="4.4.10" xr:uid="{C0F54721-6925-4785-A60D-3A2F8F195C7D}"/>
    <hyperlink ref="F509" location="'4.4.10'!A1" display="4.4.10" xr:uid="{CD9886D5-2BC3-4BEC-856A-25475431B983}"/>
    <hyperlink ref="F510" location="'4.4.10'!A1" display="4.4.10" xr:uid="{914A9C3D-AB8B-4CCF-A887-E69FBD06C5D5}"/>
    <hyperlink ref="F511" location="'4.4.10'!A1" display="4.4.10" xr:uid="{1F28F08C-35EE-4722-8F08-C76A80751C1C}"/>
    <hyperlink ref="F540" location="'4.4.10'!A1" display="4.4.10" xr:uid="{B5D7598B-2532-4A89-9DAC-3051D5DABDD7}"/>
    <hyperlink ref="F541" location="'4.4.10'!A1" display="4.4.10" xr:uid="{69340B73-F0F8-4F98-A88A-1B42F5C8AA72}"/>
    <hyperlink ref="F542" location="'4.4.10'!A1" display="4.4.10" xr:uid="{B0128A78-CE36-48F8-8133-CB2472E40B81}"/>
    <hyperlink ref="F543" location="'4.4.10'!A1" display="4.4.10" xr:uid="{B2DD1D32-954B-4266-9360-11D8735ED66F}"/>
    <hyperlink ref="F544" location="'4.4.10'!A1" display="4.4.10" xr:uid="{12BF0106-4FB6-4172-881E-19EFBA606320}"/>
    <hyperlink ref="F545" location="'4.4.10'!A1" display="4.4.10" xr:uid="{F97EC876-6354-4050-A2FE-11515043EF5B}"/>
    <hyperlink ref="F546" location="'4.4.10'!A1" display="4.4.10" xr:uid="{D175B784-63F5-44DE-9E63-B071967AA686}"/>
    <hyperlink ref="F547" location="'4.4.10'!A1" display="4.4.10" xr:uid="{78274843-C1A1-4639-A17F-FA0B6489201C}"/>
    <hyperlink ref="F548" location="'4.4.10'!A1" display="4.4.10" xr:uid="{863044D5-52FB-4A15-99DC-0A298EC81CB5}"/>
    <hyperlink ref="F549" location="'4.4.10'!A1" display="4.4.10" xr:uid="{3B8FAC7D-5374-493A-88D6-25B4C441CA75}"/>
    <hyperlink ref="F587" location="'4.4.10'!A1" display="4.4.10" xr:uid="{034BB2D1-A5BE-41FA-817F-E1A9EC21F5A9}"/>
    <hyperlink ref="F588" location="'4.4.10'!A1" display="4.4.10" xr:uid="{9ABFB978-9360-4CC9-AE31-4A8AEE0FBBAB}"/>
    <hyperlink ref="F589" location="'4.4.10'!A1" display="4.4.10" xr:uid="{6F90EC7A-B4A6-4002-B593-67291F3AA13B}"/>
    <hyperlink ref="F590" location="'4.4.10'!A1" display="4.4.10" xr:uid="{F3C3A162-72B0-40B9-A774-CD89222A7040}"/>
    <hyperlink ref="F591" location="'4.4.10'!A1" display="4.4.10" xr:uid="{B17A48A0-DB72-4AC8-8D23-7FFB3C84C78B}"/>
    <hyperlink ref="F592" location="'4.4.10'!A1" display="4.4.10" xr:uid="{4838BE84-7693-4EE8-9A0D-37EFB0651B4A}"/>
    <hyperlink ref="F516" location="'4.3.6'!A1" display="4.3.6" xr:uid="{6A3BFC8C-3DED-4FA0-9E8F-68D461012195}"/>
    <hyperlink ref="F556" location="'4.3.6'!A1" display="4.3.6" xr:uid="{4AE862BB-10A2-44C6-A80B-7F59A6BEBE4C}"/>
    <hyperlink ref="F593" location="'4.4.11'!A1" display="4.4.11" xr:uid="{B899CBED-CB76-466D-A739-4DF5DA381D2A}"/>
    <hyperlink ref="F594" location="'4.4.11'!A1" display="4.4.11" xr:uid="{EFE175DF-B918-4069-A5B6-4130C4DAD99C}"/>
    <hyperlink ref="F552" location="'4.4.12'!A1" display="4.4.12" xr:uid="{72379EC8-7061-470D-B85A-381905DDD109}"/>
    <hyperlink ref="F595" location="'4.4.12'!A1" display="4.4.12" xr:uid="{DDA63BA1-8624-4167-B347-72DC13D88DFC}"/>
    <hyperlink ref="F550" location="'4.4.11'!A1" display="4.4.11" xr:uid="{8FCB3364-49CB-4C26-A9F2-8B1E7EB57EDD}"/>
    <hyperlink ref="F505" location="'4.4.2'!A1" display="4.4.2" xr:uid="{49C0A08B-611A-4EAA-9B25-270CF342CBF1}"/>
    <hyperlink ref="F538" location="'4.4.2'!A1" display="4.4.2" xr:uid="{B07630D8-8AE2-4C57-AD20-817BFD550E84}"/>
    <hyperlink ref="F586" location="'4.4.2'!A1" display="4.4.2" xr:uid="{365C26FE-DF01-4CF6-B806-C9219833C3D7}"/>
    <hyperlink ref="F557" location="'4.4.19'!A1" display="4.4.19" xr:uid="{7BCFB16E-EE20-4D10-9AF2-872E9FA14ED6}"/>
    <hyperlink ref="F478" location="'4.4.2'!A1" display="4.4.2" xr:uid="{DF32A896-500B-4970-8AEF-007CA62AC7F9}"/>
    <hyperlink ref="F452" location="'4.4.2'!A1" display="4.4.2" xr:uid="{A6B2F6C1-03CA-4DC3-A867-C5699235D165}"/>
    <hyperlink ref="F272" location="'4.4.2'!A1" display="4.4.2" xr:uid="{6F1242F1-9757-47DC-952A-2127AFAF1ADE}"/>
    <hyperlink ref="F270" location="'4.4.16'!A1" display="4.4.16" xr:uid="{2DCB30E1-FD73-4826-8073-B296BF2F9A34}"/>
    <hyperlink ref="F453" location="'4.4.16'!A1" display="4.4.16" xr:uid="{7C3A663A-94DB-4256-B8E0-D4B254FABD6F}"/>
    <hyperlink ref="F454" location="'4.4.16'!A1" display="4.4.16" xr:uid="{A42DD9A1-AA18-4167-BB83-65961DAF3579}"/>
    <hyperlink ref="F476" location="'4.4.16'!A1" display="4.4.16" xr:uid="{C97FC645-B8A7-4676-97EE-7B1999E6F27D}"/>
    <hyperlink ref="F517" location="'4.4.16'!A1" display="4.4.16" xr:uid="{BE1DB74D-0AF0-4AFC-B88E-42869B9B9B9A}"/>
    <hyperlink ref="F565" location="'4.4.16'!A1" display="4.4.16" xr:uid="{DFB0277E-0519-4A80-91CF-B2212307BB32}"/>
    <hyperlink ref="F566" location="'4.4.16'!A1" display="4.4.16" xr:uid="{FF0E454B-2535-4B42-B85B-07B2DC3ECCFC}"/>
    <hyperlink ref="F567" location="'4.4.16'!A1" display="4.4.16" xr:uid="{AF5566A6-8370-42ED-8B4B-038F955D71AD}"/>
    <hyperlink ref="F568" location="'4.4.16'!A1" display="4.4.16" xr:uid="{A4CB1B7E-A82F-4453-8CE2-3CDBD15FDD45}"/>
    <hyperlink ref="F571" location="'4.4.16'!A1" display="4.4.16" xr:uid="{519BC021-3127-4947-B992-BEA2F37E2DFA}"/>
    <hyperlink ref="F572" location="'4.4.16'!A1" display="4.4.16" xr:uid="{B37DA13F-D2B6-4279-AF5C-605D6DF022C0}"/>
    <hyperlink ref="F600" location="'4.4.16'!A1" display="4.4.16" xr:uid="{69342F67-7133-4286-9038-5A439EAC44E3}"/>
    <hyperlink ref="F157" location="'4.4.16'!A1" display="4.4.16" xr:uid="{507BAEC1-47D9-4666-875D-17AC06343661}"/>
    <hyperlink ref="F158" location="'4.4.16'!A1" display="4.4.16" xr:uid="{4828186D-17B8-4C94-9EF0-C251DE9B6E84}"/>
    <hyperlink ref="F159" location="'4.4.16'!A1" display="4.4.16" xr:uid="{54CCDF35-2F6C-4E21-8AD6-4A9E82503BA7}"/>
    <hyperlink ref="F160" location="'4.4.16'!A1" display="4.4.16" xr:uid="{AEC12155-213A-4E8E-A465-33ED1CC62152}"/>
    <hyperlink ref="F161" location="'4.4.16'!A1" display="4.4.16" xr:uid="{EC3429E5-B23F-45CA-BE7C-EF095BAA054C}"/>
    <hyperlink ref="F467" location="'4.4.24 '!A1" display="4.4.24" xr:uid="{BA265183-DFD7-4A18-A742-00AB0D5ADF90}"/>
    <hyperlink ref="F468" location="'4.4.24 '!A1" display="4.4.24" xr:uid="{DE55DF86-670E-4233-B734-7B90F28DB7D5}"/>
    <hyperlink ref="F564" location="'4.4.24 '!A1" display="4.4.24" xr:uid="{7E049CDC-DA58-4BC7-A45F-5A9413B55D96}"/>
    <hyperlink ref="F539" location="'4.4.3'!A1" display="4.4.3" xr:uid="{009D129E-E355-4B87-B7A3-4C14D5A27E16}"/>
    <hyperlink ref="F271" location="'4.4.4'!A1" display="4.4.4" xr:uid="{79DB7F01-8164-46E2-A876-DFCFB4176165}"/>
    <hyperlink ref="F462" location="'4.4.4'!A1" display="4.4.4" xr:uid="{135C2DE2-2A66-4352-8726-92EADE1A3895}"/>
    <hyperlink ref="F477" location="'4.4.4'!A1" display="4.4.4" xr:uid="{302E1F41-A6F8-4910-A87B-4F1704A831E1}"/>
    <hyperlink ref="F537" location="'4.4.4'!A1" display="4.4.4" xr:uid="{DB52A238-9BAC-49AE-BEC2-B649099A88C2}"/>
    <hyperlink ref="F513" location="'4.4.48'!A1" display="4.4.48" xr:uid="{09E1C460-4698-4DD1-BD69-273043496266}"/>
    <hyperlink ref="F248" location="'5.3.16'!A1" display="5.3.16" xr:uid="{02DB7611-7081-407F-AB8C-AC19E17B47EC}"/>
    <hyperlink ref="F266" location="'5.3.16'!A1" display="5.3.16" xr:uid="{25F6FDB9-265F-4817-AE67-FBA200DFD66C}"/>
    <hyperlink ref="F286" location="'5.3.16'!A1" display="5.3.16" xr:uid="{D938A715-449F-4ECC-B5F8-64B2E0C9C1D5}"/>
    <hyperlink ref="F287" location="'5.3.16'!A1" display="5.3.16" xr:uid="{3D89F2F9-60AC-49E6-B7EB-4A5F06B5C63D}"/>
    <hyperlink ref="F288" location="'5.3.16'!A1" display="5.3.16" xr:uid="{37C8F3F0-8CD5-48FE-8D51-1CF38CF12193}"/>
    <hyperlink ref="F315" location="'5.3.16'!A1" display="5.3.16" xr:uid="{4AA963DC-2AAD-45C7-A013-798089D660FD}"/>
    <hyperlink ref="F331" location="'5.3.16'!A1" display="5.3.16" xr:uid="{3FE7F17E-9594-4727-BBFE-E4F7BA7C2498}"/>
    <hyperlink ref="F332" location="'5.3.16'!A1" display="5.3.16" xr:uid="{5DBC2B7A-5363-4633-91DB-5C7C8E31C728}"/>
    <hyperlink ref="F353" location="'5.3.16'!A1" display="5.3.16" xr:uid="{B00B1FEB-91DD-446D-8280-239F5ED41C09}"/>
    <hyperlink ref="F370" location="'5.3.16'!A1" display="5.3.16" xr:uid="{36B77D10-F7B5-45D3-94B7-A78918470ED3}"/>
    <hyperlink ref="F387" location="'5.3.16'!A1" display="5.3.16" xr:uid="{FBC89282-72FF-40D1-A670-A2B795572A8B}"/>
    <hyperlink ref="F406" location="'5.3.16'!A1" display="5.3.16" xr:uid="{E4295EAE-667A-481B-8742-C2098831B6A8}"/>
    <hyperlink ref="F407" location="'5.3.16'!A1" display="5.3.16" xr:uid="{121D37A9-863F-44B9-B40F-274A05D0CA6A}"/>
    <hyperlink ref="F446" location="'5.3.16'!A1" display="5.3.16" xr:uid="{EB2A6D00-28E9-4F52-AD88-7C0D60DBF568}"/>
    <hyperlink ref="F500" location="'5.3.16'!A1" display="5.3.16" xr:uid="{FD0F6110-3C3D-45D4-9EE8-B5057B308550}"/>
    <hyperlink ref="F533" location="'5.3.16'!A1" display="5.3.16" xr:uid="{091473E6-9322-4C8E-9054-7359FFC5B0ED}"/>
    <hyperlink ref="F502" location="'5.3.11'!A1" display="5.3.11" xr:uid="{66E9A31C-6D03-441E-AFDB-85E95555F2FD}"/>
    <hyperlink ref="F501" location="'5.3.11'!A1" display="5.3.11" xr:uid="{0F70676A-F30F-4590-AEE7-32072D311D01}"/>
    <hyperlink ref="F442" location="'5.3.11'!A1" display="5.3.11" xr:uid="{18888BAD-D3D3-4806-8280-DF0BC1FCF8C5}"/>
    <hyperlink ref="F441" location="'5.3.11'!A1" display="5.3.11" xr:uid="{96F35F17-6ABA-4B39-9EF2-B22F54188BE9}"/>
    <hyperlink ref="F420" location="'5.3.11'!A1" display="5.3.11" xr:uid="{00AC8989-9CB8-4E39-B5E0-3FB2DC237847}"/>
    <hyperlink ref="F400" location="'5.3.11'!A1" display="5.3.11" xr:uid="{4314A5F1-91AB-414A-A857-7FEDB6719522}"/>
    <hyperlink ref="F382" location="'5.3.11'!A1" display="5.3.11" xr:uid="{3E662C75-5F57-4986-9235-E433667A033D}"/>
    <hyperlink ref="F365" location="'5.3.11'!A1" display="5.3.11" xr:uid="{35E10519-A08B-48A6-8B81-1619A39E4FB9}"/>
    <hyperlink ref="F333" location="'5.3.11'!A1" display="5.3.11" xr:uid="{39F7D5E1-D01F-4E48-AD41-9CD4734D4B31}"/>
    <hyperlink ref="F316" location="'5.3.11'!A1" display="5.3.11" xr:uid="{45796CDF-5E49-48B5-91AF-AD3D91171ADC}"/>
    <hyperlink ref="F300" location="'5.3.11'!A1" display="5.3.11" xr:uid="{68F41856-A4CE-40EF-BC26-0E34B0FB061B}"/>
    <hyperlink ref="F265" location="'5.3.11'!A1" display="5.3.11" xr:uid="{510314BB-AF40-4F94-817F-CDD54F4D52FF}"/>
    <hyperlink ref="F247" location="'5.3.11'!A1" display="5.3.11" xr:uid="{E1C64C25-2BC4-4CE6-8A7E-E16A0F48FD00}"/>
    <hyperlink ref="F246" location="'5.3.11'!A1" display="5.3.11" xr:uid="{3B664059-C279-4D45-B9C0-639E690F2B3A}"/>
    <hyperlink ref="F263" location="'5.3.13'!A1" display="5.3.13" xr:uid="{B886AEFD-94A8-43F6-A311-19F49A147D04}"/>
    <hyperlink ref="F294" location="'5.3.13'!A1" display="5.3.13" xr:uid="{D4F00EEE-2A62-4BF4-ABCE-49DDE4A77E75}"/>
    <hyperlink ref="F445" location="'5.3.7'!A1" display="5.3.7" xr:uid="{6C807576-E60A-4FE7-B7E6-A53D38FF8C38}"/>
    <hyperlink ref="F499" location="'5.4.1'!A1" display="5.4.1" xr:uid="{0C9960FF-7C2C-4B9D-A1A6-03ED20E663FB}"/>
    <hyperlink ref="F512" location="'5.3.7'!A1" display="5.3.7" xr:uid="{B47CA9FD-3B99-4BE1-8EF5-F2AE866F2D35}"/>
    <hyperlink ref="F551" location="'5.3.7'!A1" display="5.3.7" xr:uid="{6310D285-8B16-4C20-BE88-D138FD0F3739}"/>
    <hyperlink ref="F496" location="'5.4.4'!A1" display="5.4.4" xr:uid="{B1E1F6F1-213B-4F7B-AE53-46A124CDD48C}"/>
    <hyperlink ref="F497" location="'5.4.4'!A1" display="5.4.4" xr:uid="{0C77985D-2BC9-48B3-AD7B-3777F9F7180A}"/>
    <hyperlink ref="F241" location="'5.4.5'!A1" display="5.4.5" xr:uid="{B21E5654-FAE3-4D05-B118-8EBFAE88C0B5}"/>
    <hyperlink ref="F242" location="'5.4.5'!A1" display="5.4.5" xr:uid="{FE3298AC-FF40-4481-BA00-7C58DBCEEF38}"/>
    <hyperlink ref="F256" location="'5.4.5'!A1" display="5.4.5" xr:uid="{B0A2E44F-C962-4EAE-B5E7-CF8AFACC2215}"/>
    <hyperlink ref="F259" location="'5.4.5'!A1" display="5.4.5" xr:uid="{AFD438C6-59B3-437B-87AD-552F22FC2093}"/>
    <hyperlink ref="F296" location="'5.4.5'!A1" display="5.4.5" xr:uid="{A15FFA46-45D5-48A0-AEF3-E04BAA2AA56A}"/>
    <hyperlink ref="F302" location="'5.4.5'!A1" display="5.4.5" xr:uid="{CA0C3DF2-DA95-4080-9E72-46DDE3BA56CC}"/>
    <hyperlink ref="F319" location="'5.4.5'!A1" display="5.4.5" xr:uid="{BF9AE45D-85DC-41D8-A3A1-46E3CB578116}"/>
    <hyperlink ref="F322" location="'5.4.5'!A1" display="5.4.5" xr:uid="{8ABC7123-FD0C-4845-839E-85E71DB0EC1D}"/>
    <hyperlink ref="F336" location="'5.4.5'!A1" display="5.4.5" xr:uid="{4B2EBAC5-D992-413A-8FEF-7A30B94A7D6C}"/>
    <hyperlink ref="F339" location="'5.4.5'!A1" display="5.4.5" xr:uid="{8933B87C-27D5-48F5-9745-7C35E4199045}"/>
    <hyperlink ref="F361" location="'5.4.5'!A1" display="5.4.5" xr:uid="{8A1B7C3B-1CCE-4DD2-BCB7-FED869EC299D}"/>
    <hyperlink ref="F366" location="'5.4.5'!A1" display="5.4.5" xr:uid="{4AE45BC0-04F9-4CE6-9C14-C1C2F30EECAD}"/>
    <hyperlink ref="F378" location="'5.4.5'!A1" display="5.4.5" xr:uid="{22F9AFA0-5F5F-4193-8324-ACD3CBE0D3DD}"/>
    <hyperlink ref="F383" location="'5.4.5'!A1" display="5.4.5" xr:uid="{A35DF135-06D2-4AA5-AB17-EE7E55F667A9}"/>
    <hyperlink ref="F396" location="'5.4.5'!A1" display="5.4.5" xr:uid="{F3D40036-3C56-477D-9F5B-F6E652F98DE9}"/>
    <hyperlink ref="F402" location="'5.4.5'!A1" display="5.4.5" xr:uid="{0877028A-B790-4090-A0C7-EDE2F17DAEC6}"/>
    <hyperlink ref="F416" location="'5.4.5'!A1" display="5.4.5" xr:uid="{0FA4DCF1-32A2-4AE1-9DC2-B4134DA2F9F6}"/>
    <hyperlink ref="F422" location="'5.4.5'!A1" display="5.4.5" xr:uid="{1197B9FE-2261-49A3-B11B-5C828B0BC362}"/>
    <hyperlink ref="F439" location="'5.4.5'!A1" display="5.4.5" xr:uid="{9E79CE1F-C1BD-410D-BC43-A7E68C129737}"/>
    <hyperlink ref="F440" location="'5.4.5'!A1" display="5.4.5" xr:uid="{796D85D0-CFB5-4564-ADBE-F411932BD075}"/>
    <hyperlink ref="F494" location="'5.4.5'!A1" display="5.4.5" xr:uid="{EAA6A3FC-EA30-42CB-9659-1D2D15C26B48}"/>
    <hyperlink ref="F495" location="'5.4.5'!A1" display="5.4.5" xr:uid="{632641D7-D24A-4D7B-B1A4-E407D458D300}"/>
    <hyperlink ref="F528" location="'5.6.1 Kit 4'!A1" display="5.6.1" xr:uid="{A1FACC8D-D444-4F47-A709-648431BCABC7}"/>
    <hyperlink ref="F472" location="'5.6.1'!A1" display="5.6.1" xr:uid="{A7883F14-DDB9-456E-BFA7-C0343861A23F}"/>
    <hyperlink ref="F449" location="'5.6.1'!A1" display="5.6.1" xr:uid="{F723276E-A01A-4526-96ED-A519E23A780D}"/>
    <hyperlink ref="F408" location="'5.6.1'!A1" display="5.6.1" xr:uid="{559077BF-66FF-4245-A881-49C1E87B1EFC}"/>
    <hyperlink ref="F388" location="'5.6.1'!A1" display="5.6.1" xr:uid="{A3772CCF-00F9-47C2-82BF-D676F4718381}"/>
    <hyperlink ref="F376" location="'5.6.1'!A1" display="5.6.1" xr:uid="{82E571CC-A29D-42FE-8DAD-1884873F3D19}"/>
    <hyperlink ref="F371" location="'5.6.1'!A1" display="5.6.1" xr:uid="{A8640F06-30EE-4AFF-978E-C24BE24356D6}"/>
    <hyperlink ref="F359" location="'5.6.1'!A1" display="5.6.1" xr:uid="{6F5739D9-3BBA-4C62-9F28-2A4F77B8E15C}"/>
    <hyperlink ref="F354" location="'5.6.1'!A1" display="5.6.1" xr:uid="{917A9C24-E097-4B2C-B377-8635D692D286}"/>
    <hyperlink ref="F342" location="'5.6.1'!A1" display="5.6.1" xr:uid="{A4CEF2A2-03FC-4878-B685-5EE0D563FED6}"/>
    <hyperlink ref="F325" location="'5.6.1'!A1" display="5.6.1" xr:uid="{080A607E-CB28-4645-9802-AE68903A6FA7}"/>
    <hyperlink ref="F311" location="'5.6.1 Kit 4'!A1" display="5.6.1" xr:uid="{8F1AFF79-A8FE-4346-B695-78C426486D10}"/>
    <hyperlink ref="F289" location="'5.6.1'!A1" display="5.6.1" xr:uid="{159E39F2-C693-41A7-93A1-4A2D0FB039EC}"/>
    <hyperlink ref="F261" location="'5.6.1'!A1" display="5.6.1" xr:uid="{46E0A2DA-7C38-4136-B438-4976DC416EC9}"/>
    <hyperlink ref="F260" location="'5.6.1'!A1" display="5.6.1" xr:uid="{04A680E7-C351-42CF-B2DB-B16FF9FAFEE6}"/>
    <hyperlink ref="F233" location="'5.6.2'!A1" display="5.6.2" xr:uid="{290D2D28-23F9-4434-AFF9-5E03086F6F00}"/>
    <hyperlink ref="F234" location="'5.6.4'!A1" display="5.6.4" xr:uid="{EB6A1D2A-1D29-47E1-ABD1-58D0398D13AD}"/>
    <hyperlink ref="F327" location="'5.6.3'!A1" display="5.6.3" xr:uid="{D4EAA3EA-C0FC-46E5-8874-07DDEF476335}"/>
    <hyperlink ref="F329" location="'5.6.3'!A1" display="5.6.3" xr:uid="{18CA4D4B-6A74-4E31-96F3-289D071A60C5}"/>
    <hyperlink ref="F344" location="'5.6.3'!A1" display="5.6.3" xr:uid="{49A69578-0525-44E9-9B85-62377E19F6A2}"/>
    <hyperlink ref="F394" location="'5.6.3'!A1" display="5.6.3" xr:uid="{5D8A459F-5C46-49A9-9411-978320EC6DFF}"/>
    <hyperlink ref="F414" location="'5.6.3'!A1" display="5.6.3" xr:uid="{4E71D507-1746-4191-B302-F7546AB46DBB}"/>
    <hyperlink ref="F356" location="'5.6.2'!A1" display="5.6.2" xr:uid="{ABC2635B-718A-4FEB-8D6C-B418835A39F3}"/>
    <hyperlink ref="F373" location="'5.6.2'!A1" display="5.6.2" xr:uid="{25562748-EBF6-45C0-A78A-A96A05DAF020}"/>
    <hyperlink ref="F390" location="'5.6.2'!A1" display="5.6.2" xr:uid="{84EC7456-0167-4348-857A-BA32B657DECD}"/>
    <hyperlink ref="F410" location="'5.6.2'!A1" display="5.6.2" xr:uid="{A716CCC1-D5B8-457D-BCB0-64B3C8D8CCC7}"/>
    <hyperlink ref="F447" location="'5.6.2'!A1" display="5.6.2" xr:uid="{EFEE9F6D-D3E8-44AD-BDDD-E9EB0D552A78}"/>
    <hyperlink ref="F304" location="'5.6.4'!A1" display="5.6.4" xr:uid="{BC13F9B8-D676-4E2D-895C-74398C2A9449}"/>
    <hyperlink ref="F347" location="'5.6.4'!A1" display="5.6.4" xr:uid="{3274CD82-F9B6-42E3-98EF-7BB8D5631361}"/>
    <hyperlink ref="F404" location="'5.6.4'!A1" display="5.6.4" xr:uid="{585D2AC6-AC67-4646-8E0E-DDD97B3F15F1}"/>
    <hyperlink ref="F424" location="'5.6.4'!A1" display="5.6.4" xr:uid="{008D0148-526B-4CF1-AD6F-DAD41E84F5D1}"/>
    <hyperlink ref="F243" location="'5.4.4'!A1" display="5.4.4" xr:uid="{55F597FF-D4A7-4BDD-993C-A8B65E9EE3D6}"/>
    <hyperlink ref="F244" location="'5.4.4'!A1" display="5.4.4" xr:uid="{A48AC2C3-9A43-4E4B-9F03-590636D96A42}"/>
    <hyperlink ref="F245" location="'5.4.1'!A1" display="5.4.1" xr:uid="{818409CC-9564-4BA3-A485-2D3B6B8BEFA2}"/>
    <hyperlink ref="F257" location="'5.4.4'!A1" display="5.4.4" xr:uid="{AA13AA2F-8530-4EFF-8100-07F22B1AC9D6}"/>
    <hyperlink ref="F258" location="'5.4.4'!A1" display="5.4.4" xr:uid="{AD4DB806-02EB-40AF-97EE-68346823F1D2}"/>
    <hyperlink ref="F291" location="'5.4.4'!A1" display="5.4.4" xr:uid="{B7DC20A2-0CFC-488C-9233-033EF487C35D}"/>
    <hyperlink ref="F292" location="'5.3.6'!A1" display="5.3.6" xr:uid="{E48ADCDF-B62A-4A51-A83F-503D4C6EA21B}"/>
    <hyperlink ref="F298" location="'5.4.1'!A1" display="5.4.1" xr:uid="{DE42084D-ADE8-43B6-BAF6-23C2624D0FC8}"/>
    <hyperlink ref="F299" location="'5.4.4'!A1" display="5.4.4" xr:uid="{FAEBE111-34E6-427B-B2B0-ACAEED08F0DF}"/>
    <hyperlink ref="F318" location="'5.3.7'!A1" display="5.3.7" xr:uid="{ED6CE228-0D7A-4078-8149-4018AEA68DAE}"/>
    <hyperlink ref="F320" location="'5.4.2'!A1" display="5.4.4" xr:uid="{F0335178-D34E-40B8-B836-6076A433ED9F}"/>
    <hyperlink ref="F321" location="'5.4.2'!A1" display="5.4.4" xr:uid="{E5D259D7-FE5C-4E44-91F6-2EEC4CDA1346}"/>
    <hyperlink ref="F323" location="'5.4.2'!A1" display="5.4.2" xr:uid="{E2146EFC-578B-48F4-B423-589BFBCCA097}"/>
    <hyperlink ref="F328" location="'5.4.1'!A1" display="5.4.1" xr:uid="{4BF341FA-D574-45AC-B4F1-D40BE4ED2833}"/>
    <hyperlink ref="F337" location="'5.4.4'!A1" display="5.4.4" xr:uid="{01D8175D-5342-4F1D-9DDE-4DC70A910670}"/>
    <hyperlink ref="F338" location="'5.4.4'!A1" display="5.4.4" xr:uid="{00664796-C459-42BD-97B4-A4B3E72829E8}"/>
    <hyperlink ref="F340" location="'5.4.2'!A1" display="5.4.2" xr:uid="{7DC5D927-38DC-48CD-8679-6F2F4E3ED6B1}"/>
    <hyperlink ref="F345" location="'5.4.1'!A1" display="5.4.1" xr:uid="{5F07FABF-3201-48E4-BA85-1C3FB25AD7C3}"/>
    <hyperlink ref="F358" location="'5.3.6'!A1" display="5.3.6" xr:uid="{C08F8B28-6E3B-49E8-9EEC-D6B7260EC5DD}"/>
    <hyperlink ref="F357" location="'5.4.4'!A1" display="5.4.4" xr:uid="{3CE6849C-A1DA-4173-AA46-1D55F804F5AA}"/>
    <hyperlink ref="F360" location="'5.3.7'!A1" display="5.3.7" xr:uid="{ED9FB31E-D1E3-4920-AD99-FB963F8EAF23}"/>
    <hyperlink ref="F363" location="'5.4.1'!A1" display="5.4.1" xr:uid="{D71E38FA-AC64-4709-9738-6AB23995DC31}"/>
    <hyperlink ref="F364" location="'5.4.4'!A1" display="5.4.4" xr:uid="{C3BC94E1-9E74-4D0C-9263-E6BD96DC862E}"/>
    <hyperlink ref="F374" location="'5.4.4'!A1" display="5.4.4" xr:uid="{79201BF3-AE7A-474C-9C83-1D040BC0F586}"/>
    <hyperlink ref="F375" location="'5.3.6'!A1" display="5.3.6" xr:uid="{59961E31-B39D-426B-A518-AF59722C8DBB}"/>
    <hyperlink ref="F377" location="'5.3.7'!A1" display="5.3.7" xr:uid="{C986B70C-C3AF-4BD7-B727-EA420CE0263D}"/>
    <hyperlink ref="F380" location="'5.4.1'!A1" display="5.4.1" xr:uid="{CCD400E1-38CB-43FD-A4BB-B1FD49F6DAF8}"/>
    <hyperlink ref="F381" location="'5.4.4'!A1" display="5.4.4" xr:uid="{783DE57D-8322-4BCE-A9C4-A2B851EDDBD5}"/>
    <hyperlink ref="F391" location="'5.4.4'!A1" display="5.4.4" xr:uid="{E95448AE-5447-4653-81D0-D950899514F4}"/>
    <hyperlink ref="F392" location="'5.3.6'!A1" display="5.3.6" xr:uid="{60AE71C6-AEB6-41E1-9DDA-A9AB7AD4069C}"/>
    <hyperlink ref="F395" location="'5.3.7'!A1" display="5.3.7" xr:uid="{231E6EEA-F3BB-4F02-9637-F6CA72524A1C}"/>
    <hyperlink ref="F398" location="'5.4.1'!A1" display="5.4.1" xr:uid="{05B436A2-7CAB-46CD-99FA-58811265F5E5}"/>
    <hyperlink ref="F399" location="'5.4.4'!A1" display="5.4.4" xr:uid="{07866C1C-4CB3-4D4E-80BB-2397D165900B}"/>
    <hyperlink ref="F411" location="'5.4.4'!A1" display="5.4.4" xr:uid="{636B42A6-9B8A-4892-8804-28B6D0609854}"/>
    <hyperlink ref="F412" location="'5.3.6'!A1" display="5.3.6" xr:uid="{F7ADC96F-CFEF-4C75-B1FA-C1E970796DC7}"/>
    <hyperlink ref="F415" location="'5.3.7'!A1" display="5.3.7" xr:uid="{F180F30C-B739-41C7-B996-F05AC3819566}"/>
    <hyperlink ref="F418" location="'5.4.1'!A1" display="5.4.1" xr:uid="{5C774FFD-E685-44FB-A0F9-152DDE646856}"/>
    <hyperlink ref="F419" location="'5.4.4'!A1" display="5.4.4" xr:uid="{738B8A6A-0F50-4AEA-A108-59C7B4DEB704}"/>
    <hyperlink ref="F437" location="'5.4.4'!A1" display="5.4.4" xr:uid="{279EE5F5-3079-4E8C-B9CB-326D105A5601}"/>
    <hyperlink ref="F438" location="'5.4.4'!A1" display="5.4.4" xr:uid="{6CB22B8A-75E8-4E0D-9F4D-74A528460429}"/>
    <hyperlink ref="F518" location="'4.8.4'!A1" display="4.8.4" xr:uid="{AD2E2E97-A97F-4F43-96A6-AB21056AF0DE}"/>
    <hyperlink ref="F70" location="'4.3.8'!A1" display="4.3.8" xr:uid="{64B5CDAE-514F-4C87-80AB-4B58C4720298}"/>
    <hyperlink ref="F71" location="'4.3.8'!A1" display="4.3.8" xr:uid="{AD516CCD-C1A9-44C1-A31D-F5898B2792E1}"/>
    <hyperlink ref="F118" location="'4.8.16'!A1" display="4.8.16" xr:uid="{0F6033DF-E182-45C0-8FA5-0FE6706FFF6A}"/>
    <hyperlink ref="F119" location="'4.4.47'!A1" display="4.4.47" xr:uid="{B2E52B66-BFFD-4B21-B6F1-75E19B677CEC}"/>
    <hyperlink ref="F120" location="'4.4.47'!A1" display="4.4.47" xr:uid="{AE68C625-0E25-413D-9CE9-C735E6A5DF6B}"/>
    <hyperlink ref="F121" location="'4.8.12'!A1" display="4.8.12" xr:uid="{F3CAC862-3AFD-4041-84A7-CE8F02EDA291}"/>
    <hyperlink ref="F122" location="'4.8.12'!A1" display="4.8.12" xr:uid="{338423DD-3E67-4868-A70A-D2A8F03EC10C}"/>
    <hyperlink ref="F123" location="'4.4.52'!A1" display="4.4.52" xr:uid="{87654689-AF1C-43A7-ABC5-A03F310F58E5}"/>
    <hyperlink ref="F227" location="'5.6.4&amp;5.6.5'!A1" display="5.6.5" xr:uid="{9AFF5C94-F85F-43EE-AF87-0E752E886F59}"/>
    <hyperlink ref="F228" location="'5.6.4&amp;5.6.5'!A1" display="5.6.5" xr:uid="{ADEE07FD-07B3-47CE-AC4F-EB880F0F3E16}"/>
    <hyperlink ref="F229" location="'5.6.4&amp;5.6.5'!A1" display="5.6.5" xr:uid="{4EB9BF27-57E5-4482-B595-DCCC8B976306}"/>
    <hyperlink ref="F230" location="'5.6.4&amp;5.6.5'!A1" display="5.6.5" xr:uid="{551F2D93-FFE5-42C1-98A6-899171FA86CD}"/>
    <hyperlink ref="F124" location="'4.4.49'!A1" display="4.4.49" xr:uid="{D5F4628E-503E-49C0-89E6-A5820EE24E7F}"/>
    <hyperlink ref="F236" location="'5.6.7'!A1" display="5.6.7" xr:uid="{BFB8C655-701F-4E19-B320-EE0F71BB6A45}"/>
    <hyperlink ref="F281" location="'4.4.49'!A1" display="4.4.49" xr:uid="{0F3BF212-2BC6-4EC2-B549-58AA8F4BC1B5}"/>
    <hyperlink ref="F280" location="'5.4.11'!A1" display="5.4.11" xr:uid="{5188EDEC-C239-4D31-952F-79934D5ECE24}"/>
    <hyperlink ref="F295" location="'5.3.7'!A1" display="5.3.7" xr:uid="{954553D7-80BD-4A27-9554-779E5F7DB80A}"/>
    <hyperlink ref="F282" location="'5.3.19'!A1" display="5.3.19" xr:uid="{767C1A0A-6262-42C8-A844-6F5FE9DF7BEC}"/>
    <hyperlink ref="F283" location="'5.6.7'!A1" display="5.6.7" xr:uid="{DEC61B6A-58D4-444E-BFD5-C504A7798AD4}"/>
    <hyperlink ref="F301" location="'5.6.6'!A1" display="5.6.6" xr:uid="{9240A6D5-CBF1-40D9-8A54-6981D95E3EE5}"/>
    <hyperlink ref="F346" location="'5.6.6'!A1" display="5.6.6" xr:uid="{6DA9A33B-5E26-459D-83C8-30E737F50B05}"/>
    <hyperlink ref="F401" location="'5.6.6'!A1" display="5.6.6" xr:uid="{045B3201-688F-40BD-97D8-88BDB4D896E7}"/>
    <hyperlink ref="F421" location="'5.6.6'!A1" display="5.6.6" xr:uid="{19FFE9D4-BC66-4981-9196-DC44282A3BA9}"/>
    <hyperlink ref="F305" location="'5.6.7'!A1" display="5.6.7" xr:uid="{D22359CF-006B-4A91-8E92-715F77E6CE1B}"/>
    <hyperlink ref="F350" location="'5.6.7'!A1" display="5.6.7" xr:uid="{3EBA4A7C-1CAE-4FC2-974D-B567DBFA15F8}"/>
    <hyperlink ref="F427" location="'5.6.7'!A1" display="5.6.7" xr:uid="{BED33DDC-8D3A-4A36-BBEF-3BDAAF1BE0E4}"/>
    <hyperlink ref="F461" location="'5.6.7'!A1" display="5.6.7" xr:uid="{37B9855D-49C0-49C2-AB3A-73668A5EE794}"/>
    <hyperlink ref="F178" location="'4.4.49'!A1" display="4.4.49" xr:uid="{90058DAE-58CC-4E9A-BD07-C207D4617549}"/>
    <hyperlink ref="F459" location="'4.4.49'!A1" display="4.4.49" xr:uid="{699CF04F-0253-4D3F-9F9A-89416819C5B7}"/>
    <hyperlink ref="F487" location="'4.4.49'!A1" display="4.4.49" xr:uid="{534BB358-953C-47BA-ABA9-E01100232AA0}"/>
    <hyperlink ref="F570" location="'4.4.49'!A1" display="4.4.49" xr:uid="{7A248F88-85D4-43EA-81A6-8CBEC8AE3EE1}"/>
    <hyperlink ref="F460" location="'5.3.19'!A1" display="5.3.19" xr:uid="{6BA09D95-41FD-41BB-9A5E-5E880616FC5B}"/>
    <hyperlink ref="F504" location="'5.3.19'!A1" display="5.3.19" xr:uid="{3469FA15-CE96-44AB-AC3B-C8C1EC441F9F}"/>
    <hyperlink ref="F519" location="'5.3.19'!A1" display="5.3.19" xr:uid="{A15504ED-CC23-4C89-9B79-820BC08189EE}"/>
    <hyperlink ref="F479" location="'4.4.14'!A1" display="4.4.14" xr:uid="{B5DA848A-A419-4269-9AD1-0828CB91DC85}"/>
    <hyperlink ref="F611" location="'4.8.16'!A1" display="4.8.16" xr:uid="{91FD4FF7-06FA-429D-A158-9A3C69649345}"/>
    <hyperlink ref="F69" location="'Customized TRM 4.4.48'!A1" display="Customized TRM 4.4.48" xr:uid="{AEDA3AE1-CBAD-4645-99D3-E87BFE464439}"/>
    <hyperlink ref="F503" location="'5.4.9'!A1" display="5.4.9" xr:uid="{9C3C403A-0777-4711-A6A7-EC2AC6F7E65F}"/>
    <hyperlink ref="F583" location="'4.8.16'!A1" display="4.8.16" xr:uid="{0D013F81-BC7B-403D-A45B-5E1BB67A869A}"/>
    <hyperlink ref="F554" location="'Customized TRM 4.4.48'!A1" display="Customized TRM 4.4.48" xr:uid="{4E28C11A-411E-48C2-A642-9BFE22C8145D}"/>
    <hyperlink ref="F87" location="'Customized TRM 4.4.14'!A1" display="Customized TRM 4.4.14" xr:uid="{941DC8BD-52D0-44CE-9093-FB39E3AD3B73}"/>
    <hyperlink ref="F456" location="'4.8.16'!A1" display="4.8.16" xr:uid="{8A5A10F2-BF22-4058-8F2A-2719E76C9A13}"/>
    <hyperlink ref="F458" location="'5.4.11'!A1" display="5.4.11" xr:uid="{AD4ED610-0C27-4FA5-A88E-4ED0A85DA2D6}"/>
    <hyperlink ref="F520" location="Kits!A1" display="5.4.4, 5.4.5, 5.4.6, 5.4.9" xr:uid="{2950815A-142F-4F89-85B6-6E9CD53DCE74}"/>
    <hyperlink ref="F521" location="Kits!A1" display="5.4.4, 5.4.5, 5.4.6, 5.4.9" xr:uid="{4AA75EE2-3CAF-4B7D-A3F5-3CA3E50CFBFF}"/>
    <hyperlink ref="F522" location="Kits!A1" display="5.4.4, 5.4.5,  5.4.9" xr:uid="{393E2EA9-4B21-4D8B-AA19-B75F6E7A4912}"/>
    <hyperlink ref="F523" location="Kits!A1" display="5.4.4, 5.4.5,  5.4.9" xr:uid="{4599ADA1-4E72-46F2-AEF7-3FB81881E9AC}"/>
    <hyperlink ref="F524" location="Kits!A1" display="5.4.4, 5.4.5,  5.4.9" xr:uid="{7EF38A34-FC90-4521-880B-1A5A0A7808F5}"/>
    <hyperlink ref="F525" location="Kits!A1" display="5.4.4, 5.4.5,  5.4.9" xr:uid="{25949E01-7E68-40EA-B1E0-90690E4919AF}"/>
    <hyperlink ref="F526" location="Kits!A1" display="5.4.4, 5.4.5,  5.4.9" xr:uid="{64E087DC-561E-47B5-8201-6BCA30F4ED16}"/>
    <hyperlink ref="F527" location="Kits!A1" display="5.4.4, 5.4.5,  5.4.9" xr:uid="{07539B79-062A-4DC7-B893-57735FFEE433}"/>
    <hyperlink ref="F563" location="'Customized TRM 4.4.14'!A1" display="Customized TRM 4.4.14" xr:uid="{9AAA0D7F-BBCD-4190-892E-DCABCB2B154E}"/>
    <hyperlink ref="F605" location="'Customized TRM 4.2.11'!A1" display="Customized TRM 4.2.11" xr:uid="{6551418E-A113-4149-B067-B799418D8426}"/>
    <hyperlink ref="F279" location="'4.4.36'!A1" display="4.4.36" xr:uid="{7A8A9D09-D6B5-49C5-BF23-1BF35E8EB61A}"/>
    <hyperlink ref="F484" location="'4.3.8'!A1" display="4.3.8" xr:uid="{29ADDAAD-9910-4E25-B6C5-109212C3FF39}"/>
    <hyperlink ref="F42" location="'4.2.16'!A1" display="4.2.16" xr:uid="{BDE46608-6CCC-4630-9369-E4D6A19F2CE3}"/>
    <hyperlink ref="F343" location="'5.6.4&amp;5.6.5'!A1" display="5.6.5" xr:uid="{9BDBD46D-1592-40B4-9A00-003648F656E0}"/>
    <hyperlink ref="F480" location="'4.4.14'!A1" display="4.4.14" xr:uid="{0EDCB9C1-752E-4904-900E-586F2FF207CD}"/>
    <hyperlink ref="F481" location="'4.4.14'!A1" display="4.4.14" xr:uid="{409DA191-C9CE-4025-ACCE-8E2481F78605}"/>
    <hyperlink ref="F486" location="'5.4.11'!A1" display="5.4.11" xr:uid="{09AF4BF2-9EE6-4A44-89A8-35D4DF0EEC00}"/>
    <hyperlink ref="F530" location="RNC!A1" display="5.3.4, 5.6.1, 5.4.2" xr:uid="{B7C950C0-49E4-446A-82BD-D4563686FB89}"/>
    <hyperlink ref="F531" location="RNC!A1" display="5.3.4, 5.6.1, 5.4.2,5.3.7" xr:uid="{E0BDE1FB-D859-4681-9992-C1F7FF9C1A20}"/>
    <hyperlink ref="F532" location="RNC!A1" display="5.3.16, 5.4.2,5.3.7" xr:uid="{742566D5-24B2-4F23-AF1A-B52E1DF4B1AB}"/>
    <hyperlink ref="F249" location="Kits!A1" display="5.6.1,5.4.9" xr:uid="{BF74E12C-E99F-4FBD-8103-08E9674C32D1}"/>
    <hyperlink ref="F276" location="'4.4.14'!A1" display="4.4.14" xr:uid="{718F8C2E-D2C0-42F2-A511-DA9F89A6AD0B}"/>
    <hyperlink ref="F277" location="'4.4.14'!A1" display="4.4.14" xr:uid="{B98B2AC7-C00A-4CFF-9F00-D8D593EEA37E}"/>
    <hyperlink ref="F309" location="Kits!A1" display="5.4.4, 5.4.5,  5.4.9" xr:uid="{12066EAC-77CE-4B16-85FA-9E40748FF02B}"/>
    <hyperlink ref="F310" location="Kits!A1" display="5.4.4, 5.4.5,  5.4.9" xr:uid="{F60AEA17-8413-44C9-AB40-80423E0DBCCC}"/>
    <hyperlink ref="F326" location="'5.6.4&amp;5.6.5'!A1" display="5.6.5" xr:uid="{418B476F-4392-4B9A-B706-9054F5240BF0}"/>
    <hyperlink ref="F334" location="'5.3.17'!A1" display="5.3.17" xr:uid="{84C01248-AFEC-4404-BC0D-94EFE62B55EE}"/>
    <hyperlink ref="F335" location="'5.3.7'!A1" display="5.3.7" xr:uid="{8E3ED746-F576-4FB9-BD24-4B7DF6488EE4}"/>
    <hyperlink ref="F355" location="'5.6.4&amp;5.6.5'!A1" display="5.6.5" xr:uid="{0D39EB39-44DF-473E-B2D1-C9D52E30AF66}"/>
    <hyperlink ref="F389" location="'5.6.4&amp;5.6.5'!A1" display="5.6.5" xr:uid="{D4BAC31A-8B5A-4C73-893B-F79D63018EBE}"/>
    <hyperlink ref="F409" location="'5.6.4&amp;5.6.5'!A1" display="5.6.5" xr:uid="{46E8F75E-1256-4D66-B029-26FA62BC8343}"/>
    <hyperlink ref="F444" location="'4.4.48'!A1" display="4.4.38" xr:uid="{F38DC9AB-1A7E-42BE-93EF-D7C19B094979}"/>
    <hyperlink ref="F448" location="'5.6.4&amp;5.6.5'!A1" display="5.6.5" xr:uid="{3AFB5022-562D-4FDC-807C-16805A2A0E73}"/>
    <hyperlink ref="F471" location="'5.4.11'!A1" display="5.4.11" xr:uid="{721E78AE-C446-4F93-9E9F-36047ACB4512}"/>
    <hyperlink ref="F473" location="'5.6.4&amp;5.6.5'!A1" display="5.6.5" xr:uid="{62933978-C13D-4B45-B72F-CC97F621610D}"/>
    <hyperlink ref="F482" location="'4.4.14'!A1" display="4.4.14" xr:uid="{FD1AE90D-B553-433A-AD83-6FAD55F522E5}"/>
    <hyperlink ref="F483" location="'4.4.14'!A1" display="4.4.14" xr:uid="{81B96767-ADA6-41D8-9FA9-24588B17685E}"/>
    <hyperlink ref="F485" location="'4.4.36'!A1" display="4.3.36" xr:uid="{9298730F-ECB9-4AA8-83A3-239414D689CC}"/>
    <hyperlink ref="F278" location="'4.3.8'!A1" display="4.3.8" xr:uid="{BA03BC7C-F1FC-4DB0-8186-741A204A0320}"/>
    <hyperlink ref="F317" location="'5.3.17'!A1" display="5.3.17" xr:uid="{A8859EC8-5C4D-4B9E-B215-577016A6DCBC}"/>
  </hyperlinks>
  <printOptions headings="1" gridLines="1"/>
  <pageMargins left="0.25" right="0.25" top="0.75" bottom="0.75" header="0.3" footer="0.3"/>
  <pageSetup scale="20" fitToWidth="5" orientation="landscape" r:id="rId3"/>
  <headerFooter>
    <oddFooter>&amp;L&amp;"Arial,Regular"&amp;14&amp;A
&amp;F&amp;C&amp;"Arial,Regular"&amp;14&amp;P</oddFooter>
  </headerFooter>
  <colBreaks count="7" manualBreakCount="7">
    <brk id="16" max="310" man="1"/>
    <brk id="38" max="310" man="1"/>
    <brk id="44" max="310" man="1"/>
    <brk id="50" max="310" man="1"/>
    <brk id="56" max="310" man="1"/>
    <brk id="62" max="310" man="1"/>
    <brk id="67" max="310" man="1"/>
  </colBreaks>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AI194"/>
  <sheetViews>
    <sheetView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J64" sqref="I60:J64"/>
    </sheetView>
  </sheetViews>
  <sheetFormatPr defaultRowHeight="14.5" x14ac:dyDescent="0.35"/>
  <cols>
    <col min="1" max="1" width="17.81640625" customWidth="1"/>
    <col min="2" max="2" width="68.26953125" customWidth="1"/>
    <col min="3" max="3" width="33.1796875" customWidth="1"/>
    <col min="4" max="4" width="26.54296875" customWidth="1"/>
    <col min="5" max="5" width="19.26953125" customWidth="1"/>
    <col min="6" max="6" width="20.54296875" customWidth="1"/>
    <col min="7" max="7" width="17.1796875" customWidth="1"/>
    <col min="8" max="8" width="13.26953125" customWidth="1"/>
    <col min="9" max="9" width="15.26953125" customWidth="1"/>
    <col min="10" max="10" width="26.81640625" bestFit="1" customWidth="1"/>
    <col min="11" max="11" width="18" customWidth="1"/>
    <col min="12" max="13" width="12.7265625" customWidth="1"/>
    <col min="14" max="14" width="10" bestFit="1" customWidth="1"/>
    <col min="15" max="15" width="10.54296875" customWidth="1"/>
    <col min="16" max="16" width="14.7265625" bestFit="1" customWidth="1"/>
    <col min="17" max="17" width="10.81640625" customWidth="1"/>
    <col min="19" max="19" width="11.26953125" customWidth="1"/>
    <col min="21" max="21" width="13.26953125" customWidth="1"/>
    <col min="26" max="26" width="13.1796875" customWidth="1"/>
    <col min="32" max="32" width="9.1796875" customWidth="1"/>
  </cols>
  <sheetData>
    <row r="1" spans="1:35" x14ac:dyDescent="0.35">
      <c r="A1" s="1799" t="s">
        <v>1031</v>
      </c>
    </row>
    <row r="2" spans="1:35" x14ac:dyDescent="0.35">
      <c r="A2" s="1428" t="s">
        <v>457</v>
      </c>
      <c r="B2" s="993" t="s">
        <v>2401</v>
      </c>
      <c r="C2" s="997"/>
      <c r="D2" s="997"/>
      <c r="E2" s="948"/>
      <c r="F2" s="998"/>
      <c r="G2" s="998"/>
      <c r="H2" s="998"/>
      <c r="I2" s="998"/>
      <c r="J2" s="998"/>
      <c r="K2" s="998"/>
      <c r="L2" s="998"/>
      <c r="M2" s="998"/>
      <c r="N2" s="998"/>
      <c r="O2" s="998"/>
      <c r="P2" s="3067" t="s">
        <v>1032</v>
      </c>
      <c r="Q2" s="3067"/>
      <c r="R2" s="3067"/>
      <c r="S2" s="3067" t="s">
        <v>1033</v>
      </c>
      <c r="T2" s="3067"/>
      <c r="U2" s="3010"/>
      <c r="V2" s="3163" t="s">
        <v>1158</v>
      </c>
      <c r="W2" s="3163"/>
      <c r="X2" s="3163"/>
      <c r="Y2" s="3163"/>
      <c r="Z2" s="3163"/>
      <c r="AA2" s="3163"/>
      <c r="AB2" s="3163"/>
      <c r="AC2" s="3163"/>
      <c r="AD2" s="3163"/>
      <c r="AE2" s="3163"/>
      <c r="AF2" s="3163"/>
    </row>
    <row r="3" spans="1:35" ht="43.5" x14ac:dyDescent="0.35">
      <c r="A3" s="969" t="s">
        <v>1035</v>
      </c>
      <c r="B3" s="953" t="s">
        <v>155</v>
      </c>
      <c r="C3" s="953" t="s">
        <v>1036</v>
      </c>
      <c r="D3" s="953" t="s">
        <v>1037</v>
      </c>
      <c r="E3" s="998" t="s">
        <v>1038</v>
      </c>
      <c r="F3" s="998" t="s">
        <v>1039</v>
      </c>
      <c r="G3" s="998" t="s">
        <v>2402</v>
      </c>
      <c r="H3" s="998" t="s">
        <v>2403</v>
      </c>
      <c r="I3" s="998" t="s">
        <v>2285</v>
      </c>
      <c r="J3" s="998" t="s">
        <v>1360</v>
      </c>
      <c r="K3" s="998" t="s">
        <v>1703</v>
      </c>
      <c r="L3" s="998" t="s">
        <v>2404</v>
      </c>
      <c r="M3" s="998" t="s">
        <v>1043</v>
      </c>
      <c r="N3" s="998" t="s">
        <v>1041</v>
      </c>
      <c r="O3" s="998" t="s">
        <v>2405</v>
      </c>
      <c r="P3" s="998" t="s">
        <v>1044</v>
      </c>
      <c r="Q3" s="998" t="s">
        <v>1045</v>
      </c>
      <c r="R3" s="998" t="s">
        <v>1046</v>
      </c>
      <c r="S3" s="998" t="s">
        <v>1044</v>
      </c>
      <c r="T3" s="998" t="s">
        <v>1045</v>
      </c>
      <c r="U3" s="998" t="s">
        <v>1046</v>
      </c>
      <c r="V3" s="685" t="s">
        <v>2406</v>
      </c>
      <c r="W3" s="685" t="s">
        <v>2407</v>
      </c>
      <c r="X3" s="685" t="s">
        <v>2408</v>
      </c>
      <c r="Y3" s="686" t="s">
        <v>2409</v>
      </c>
      <c r="Z3" s="687" t="s">
        <v>2410</v>
      </c>
      <c r="AA3" s="687" t="s">
        <v>2411</v>
      </c>
      <c r="AB3" s="685" t="s">
        <v>1179</v>
      </c>
      <c r="AC3" s="685" t="s">
        <v>2155</v>
      </c>
      <c r="AD3" s="685" t="s">
        <v>2190</v>
      </c>
      <c r="AE3" s="685" t="s">
        <v>2412</v>
      </c>
      <c r="AF3" s="685" t="s">
        <v>2413</v>
      </c>
      <c r="AH3" s="688"/>
      <c r="AI3" s="688"/>
    </row>
    <row r="4" spans="1:35" ht="15.75" customHeight="1" x14ac:dyDescent="0.35">
      <c r="A4" s="955" t="s">
        <v>456</v>
      </c>
      <c r="B4" s="955" t="str">
        <f>$B$2&amp;"- "&amp;FIXED(I4*100,1)&amp;"%, Install Yr. "&amp;G4&amp;", Building Type: "&amp;J4</f>
        <v>High Efficiency Furnace- 92.0%, Install Yr. 2012, Building Type: Unknown</v>
      </c>
      <c r="C4" s="69" t="s">
        <v>455</v>
      </c>
      <c r="D4" s="957" t="s">
        <v>2414</v>
      </c>
      <c r="E4" s="69" t="s">
        <v>1072</v>
      </c>
      <c r="F4" s="1000">
        <f>+$B$39</f>
        <v>16.5</v>
      </c>
      <c r="G4" s="1021">
        <v>2012</v>
      </c>
      <c r="H4" s="973" t="s">
        <v>1185</v>
      </c>
      <c r="I4" s="1022">
        <v>0.92</v>
      </c>
      <c r="J4" s="972" t="s">
        <v>1185</v>
      </c>
      <c r="K4" s="972" t="s">
        <v>1696</v>
      </c>
      <c r="L4" s="994">
        <v>87419</v>
      </c>
      <c r="M4" s="69"/>
      <c r="N4" s="1000" t="s">
        <v>1284</v>
      </c>
      <c r="O4" s="1018"/>
      <c r="P4" s="1003"/>
      <c r="Q4" s="1004"/>
      <c r="R4" s="2631">
        <f t="shared" ref="R4:R9" si="0">(AC4*AD4*(AF4-AE4)/AE4)/100000</f>
        <v>246.40192524374996</v>
      </c>
      <c r="S4" s="1003"/>
      <c r="T4" s="1003"/>
      <c r="U4" s="2631">
        <f t="shared" ref="U4:U9" si="1">R4*F4</f>
        <v>4065.6317665218744</v>
      </c>
      <c r="V4" s="49">
        <f>VLOOKUP(K4, List!$J$14:$K$19, 2, FALSE)</f>
        <v>7</v>
      </c>
      <c r="W4" s="49">
        <f t="shared" ref="W4:W9" si="2">+$B$20</f>
        <v>418</v>
      </c>
      <c r="X4" s="49">
        <f t="shared" ref="X4:X9" si="3">VLOOKUP(H4,$B$55:$C$57,2,FALSE)</f>
        <v>241</v>
      </c>
      <c r="Y4" s="49">
        <f t="shared" ref="Y4:Y9" si="4">+$B$24</f>
        <v>51</v>
      </c>
      <c r="Z4" s="49">
        <f>VLOOKUP(J4,$B$160:$C$191,2,FALSE)</f>
        <v>2987</v>
      </c>
      <c r="AA4" s="49">
        <f t="shared" ref="AA4:AA9" si="5">+$B$28</f>
        <v>365.25</v>
      </c>
      <c r="AB4" s="49">
        <f>VLOOKUP(J4,$B$160:$D$191,3,FALSE)</f>
        <v>0.42399999999999999</v>
      </c>
      <c r="AC4" s="2649">
        <f>VLOOKUP(J4,$A$115:$G$152,V4,FALSE)</f>
        <v>1670.3</v>
      </c>
      <c r="AD4" s="302">
        <f t="shared" ref="AD4:AD9" si="6">L4</f>
        <v>87419</v>
      </c>
      <c r="AE4" s="49">
        <f t="shared" ref="AE4:AE9" si="7">IF(G4&lt;=$B$79,$C$79,$C$80)</f>
        <v>0.8</v>
      </c>
      <c r="AF4" s="303">
        <f t="shared" ref="AF4:AF9" si="8">IF(I4=B$65,$C$65,$C$66)</f>
        <v>0.93500000000000005</v>
      </c>
    </row>
    <row r="5" spans="1:35" ht="15.75" customHeight="1" x14ac:dyDescent="0.35">
      <c r="A5" s="955" t="s">
        <v>460</v>
      </c>
      <c r="B5" s="955" t="str">
        <f>$B$2&amp;"- "&amp;FIXED(I5*100,1)&amp;"%, Install Yr. "&amp;G5&amp;", Building Type: "&amp;J5</f>
        <v>High Efficiency Furnace- 95.0%, Install Yr. 2012, Building Type: Unknown</v>
      </c>
      <c r="C5" s="69" t="s">
        <v>459</v>
      </c>
      <c r="D5" s="957" t="s">
        <v>2414</v>
      </c>
      <c r="E5" s="69" t="s">
        <v>1072</v>
      </c>
      <c r="F5" s="1000">
        <f>+$B$39</f>
        <v>16.5</v>
      </c>
      <c r="G5" s="1021">
        <v>2012</v>
      </c>
      <c r="H5" s="973" t="s">
        <v>1185</v>
      </c>
      <c r="I5" s="1022">
        <v>0.95</v>
      </c>
      <c r="J5" s="972" t="s">
        <v>1185</v>
      </c>
      <c r="K5" s="972" t="s">
        <v>1696</v>
      </c>
      <c r="L5" s="994">
        <v>92723</v>
      </c>
      <c r="M5" s="69"/>
      <c r="N5" s="1000" t="s">
        <v>1284</v>
      </c>
      <c r="O5" s="1018"/>
      <c r="P5" s="1003"/>
      <c r="Q5" s="1004"/>
      <c r="R5" s="2631">
        <f t="shared" si="0"/>
        <v>309.75045379999989</v>
      </c>
      <c r="S5" s="1003"/>
      <c r="T5" s="1003"/>
      <c r="U5" s="2631">
        <f t="shared" si="1"/>
        <v>5110.8824876999979</v>
      </c>
      <c r="V5" s="49">
        <f>VLOOKUP(K5, List!$J$14:$K$19, 2, FALSE)</f>
        <v>7</v>
      </c>
      <c r="W5" s="49">
        <f t="shared" si="2"/>
        <v>418</v>
      </c>
      <c r="X5" s="49">
        <f t="shared" si="3"/>
        <v>241</v>
      </c>
      <c r="Y5" s="49">
        <f t="shared" si="4"/>
        <v>51</v>
      </c>
      <c r="Z5" s="49">
        <f>VLOOKUP(J5,$B$160:$C$191,2,FALSE)</f>
        <v>2987</v>
      </c>
      <c r="AA5" s="49">
        <f t="shared" si="5"/>
        <v>365.25</v>
      </c>
      <c r="AB5" s="49">
        <f>VLOOKUP(J5,$B$160:$D$191,3,FALSE)</f>
        <v>0.42399999999999999</v>
      </c>
      <c r="AC5" s="2649">
        <f>VLOOKUP(J5,$A$115:$G$152,V5,FALSE)</f>
        <v>1670.3</v>
      </c>
      <c r="AD5" s="302">
        <f t="shared" si="6"/>
        <v>92723</v>
      </c>
      <c r="AE5" s="49">
        <f t="shared" si="7"/>
        <v>0.8</v>
      </c>
      <c r="AF5" s="303">
        <f t="shared" si="8"/>
        <v>0.96</v>
      </c>
    </row>
    <row r="6" spans="1:35" ht="15.75" customHeight="1" x14ac:dyDescent="0.35">
      <c r="A6" s="955" t="s">
        <v>462</v>
      </c>
      <c r="B6" s="955" t="str">
        <f>$B$2&amp;"- "&amp;FIXED(I6*100,1)&amp;"%, Install Yr. "&amp;G6&amp;", Building Type: "&amp;J6</f>
        <v>High Efficiency Furnace- 92.0%, Install Yr. 2012, Building Type: MF - Mid Rise</v>
      </c>
      <c r="C6" s="69" t="s">
        <v>461</v>
      </c>
      <c r="D6" s="957" t="s">
        <v>2414</v>
      </c>
      <c r="E6" s="69" t="s">
        <v>1072</v>
      </c>
      <c r="F6" s="1000">
        <v>16.5</v>
      </c>
      <c r="G6" s="1021">
        <v>2012</v>
      </c>
      <c r="H6" s="973" t="s">
        <v>1185</v>
      </c>
      <c r="I6" s="1022">
        <v>0.92</v>
      </c>
      <c r="J6" s="972" t="s">
        <v>2415</v>
      </c>
      <c r="K6" s="972" t="s">
        <v>1696</v>
      </c>
      <c r="L6" s="994">
        <v>98875</v>
      </c>
      <c r="M6" s="69"/>
      <c r="N6" s="1000" t="s">
        <v>1284</v>
      </c>
      <c r="O6" s="1018"/>
      <c r="P6" s="1003"/>
      <c r="Q6" s="1004"/>
      <c r="R6" s="2631">
        <f t="shared" si="0"/>
        <v>291.50636484375002</v>
      </c>
      <c r="S6" s="1003"/>
      <c r="T6" s="1003"/>
      <c r="U6" s="2631">
        <f t="shared" si="1"/>
        <v>4809.8550199218753</v>
      </c>
      <c r="V6" s="49">
        <f>VLOOKUP(K6, List!$J$14:$K$19, 2, FALSE)</f>
        <v>7</v>
      </c>
      <c r="W6" s="49">
        <f t="shared" si="2"/>
        <v>418</v>
      </c>
      <c r="X6" s="49">
        <f t="shared" si="3"/>
        <v>241</v>
      </c>
      <c r="Y6" s="49">
        <f t="shared" si="4"/>
        <v>51</v>
      </c>
      <c r="Z6" s="49">
        <f>VLOOKUP(J6,$B$160:$C$191,2,FALSE)</f>
        <v>4996</v>
      </c>
      <c r="AA6" s="49">
        <f t="shared" si="5"/>
        <v>365.25</v>
      </c>
      <c r="AB6" s="49">
        <f>VLOOKUP(J6,$B$160:$D$191,3,FALSE)</f>
        <v>0.24299999999999999</v>
      </c>
      <c r="AC6" s="2649">
        <f>VLOOKUP(J6,$A$115:$G$152,V6,FALSE)</f>
        <v>1747.1000000000001</v>
      </c>
      <c r="AD6" s="302">
        <f t="shared" si="6"/>
        <v>98875</v>
      </c>
      <c r="AE6" s="49">
        <f t="shared" si="7"/>
        <v>0.8</v>
      </c>
      <c r="AF6" s="303">
        <f t="shared" si="8"/>
        <v>0.93500000000000005</v>
      </c>
    </row>
    <row r="7" spans="1:35" ht="15.75" customHeight="1" x14ac:dyDescent="0.35">
      <c r="A7" s="955" t="s">
        <v>464</v>
      </c>
      <c r="B7" s="955" t="str">
        <f>$B$2&amp;"- "&amp;FIXED(I7*100,1)&amp;"%, Install Yr. "&amp;G7&amp;", Building Type: "&amp;J7</f>
        <v>High Efficiency Furnace- 95.0%, Install Yr. 2012, Building Type: MF - Mid Rise</v>
      </c>
      <c r="C7" s="69" t="s">
        <v>463</v>
      </c>
      <c r="D7" s="957" t="s">
        <v>2414</v>
      </c>
      <c r="E7" s="69" t="s">
        <v>1072</v>
      </c>
      <c r="F7" s="1000">
        <v>16.5</v>
      </c>
      <c r="G7" s="1021">
        <v>2012</v>
      </c>
      <c r="H7" s="973" t="s">
        <v>1185</v>
      </c>
      <c r="I7" s="1022">
        <v>0.95</v>
      </c>
      <c r="J7" s="972" t="s">
        <v>2415</v>
      </c>
      <c r="K7" s="972" t="s">
        <v>1696</v>
      </c>
      <c r="L7" s="994">
        <v>98875</v>
      </c>
      <c r="M7" s="69"/>
      <c r="N7" s="1000" t="s">
        <v>1284</v>
      </c>
      <c r="O7" s="1018"/>
      <c r="P7" s="1003"/>
      <c r="Q7" s="1004"/>
      <c r="R7" s="2631">
        <f t="shared" si="0"/>
        <v>345.4890249999998</v>
      </c>
      <c r="S7" s="1003"/>
      <c r="T7" s="1003"/>
      <c r="U7" s="2631">
        <f t="shared" si="1"/>
        <v>5700.5689124999963</v>
      </c>
      <c r="V7" s="49">
        <f>VLOOKUP(K7, List!$J$14:$K$19, 2, FALSE)</f>
        <v>7</v>
      </c>
      <c r="W7" s="49">
        <f t="shared" si="2"/>
        <v>418</v>
      </c>
      <c r="X7" s="49">
        <f t="shared" si="3"/>
        <v>241</v>
      </c>
      <c r="Y7" s="49">
        <f t="shared" si="4"/>
        <v>51</v>
      </c>
      <c r="Z7" s="49">
        <f>VLOOKUP(J7,$B$160:$C$191,2,FALSE)</f>
        <v>4996</v>
      </c>
      <c r="AA7" s="49">
        <f t="shared" si="5"/>
        <v>365.25</v>
      </c>
      <c r="AB7" s="49">
        <f>VLOOKUP(J7,$B$160:$D$191,3,FALSE)</f>
        <v>0.24299999999999999</v>
      </c>
      <c r="AC7" s="2649">
        <f>VLOOKUP(J7,$A$115:$G$152,V7,FALSE)</f>
        <v>1747.1000000000001</v>
      </c>
      <c r="AD7" s="302">
        <f t="shared" si="6"/>
        <v>98875</v>
      </c>
      <c r="AE7" s="49">
        <f t="shared" si="7"/>
        <v>0.8</v>
      </c>
      <c r="AF7" s="303">
        <f t="shared" si="8"/>
        <v>0.96</v>
      </c>
    </row>
    <row r="8" spans="1:35" ht="30.75" customHeight="1" x14ac:dyDescent="0.35">
      <c r="A8" s="955" t="s">
        <v>2416</v>
      </c>
      <c r="B8" s="955" t="s">
        <v>2417</v>
      </c>
      <c r="C8" s="69" t="s">
        <v>2418</v>
      </c>
      <c r="D8" s="957" t="s">
        <v>2414</v>
      </c>
      <c r="E8" s="69" t="s">
        <v>1072</v>
      </c>
      <c r="F8" s="1000">
        <f>+$B$39</f>
        <v>16.5</v>
      </c>
      <c r="G8" s="1021">
        <v>2012</v>
      </c>
      <c r="H8" s="973" t="s">
        <v>1185</v>
      </c>
      <c r="I8" s="1022">
        <v>0.92</v>
      </c>
      <c r="J8" s="972" t="s">
        <v>2249</v>
      </c>
      <c r="K8" s="972" t="s">
        <v>1696</v>
      </c>
      <c r="L8" s="994">
        <v>87419</v>
      </c>
      <c r="M8" s="69"/>
      <c r="N8" s="1000" t="s">
        <v>1284</v>
      </c>
      <c r="O8" s="1018"/>
      <c r="P8" s="1003"/>
      <c r="Q8" s="1004"/>
      <c r="R8" s="2631">
        <f t="shared" si="0"/>
        <v>225.44677139062497</v>
      </c>
      <c r="S8" s="1003"/>
      <c r="T8" s="1003"/>
      <c r="U8" s="2631">
        <f t="shared" si="1"/>
        <v>3719.8717279453122</v>
      </c>
      <c r="V8" s="49">
        <f>VLOOKUP(K8, List!$J$14:$K$19, 2, FALSE)</f>
        <v>7</v>
      </c>
      <c r="W8" s="49">
        <f t="shared" si="2"/>
        <v>418</v>
      </c>
      <c r="X8" s="49">
        <f t="shared" si="3"/>
        <v>241</v>
      </c>
      <c r="Y8" s="49">
        <f t="shared" si="4"/>
        <v>51</v>
      </c>
      <c r="Z8" s="49">
        <v>2718</v>
      </c>
      <c r="AA8" s="49">
        <f t="shared" si="5"/>
        <v>365.25</v>
      </c>
      <c r="AB8" s="49">
        <v>0.42399999999999999</v>
      </c>
      <c r="AC8" s="2649">
        <f>VLOOKUP(J8,List!$J$25:$P$35,V8,FALSE)</f>
        <v>1528.25</v>
      </c>
      <c r="AD8" s="302">
        <f t="shared" si="6"/>
        <v>87419</v>
      </c>
      <c r="AE8" s="49">
        <f t="shared" si="7"/>
        <v>0.8</v>
      </c>
      <c r="AF8" s="303">
        <f t="shared" si="8"/>
        <v>0.93500000000000005</v>
      </c>
    </row>
    <row r="9" spans="1:35" ht="30.75" customHeight="1" x14ac:dyDescent="0.35">
      <c r="A9" s="955" t="s">
        <v>2419</v>
      </c>
      <c r="B9" s="955" t="s">
        <v>2420</v>
      </c>
      <c r="C9" s="69" t="s">
        <v>2421</v>
      </c>
      <c r="D9" s="957" t="s">
        <v>2414</v>
      </c>
      <c r="E9" s="69" t="s">
        <v>1072</v>
      </c>
      <c r="F9" s="1000">
        <f>+$B$39</f>
        <v>16.5</v>
      </c>
      <c r="G9" s="1021">
        <v>2012</v>
      </c>
      <c r="H9" s="973" t="s">
        <v>1185</v>
      </c>
      <c r="I9" s="1022">
        <v>0.95</v>
      </c>
      <c r="J9" s="972" t="s">
        <v>2249</v>
      </c>
      <c r="K9" s="972" t="s">
        <v>1696</v>
      </c>
      <c r="L9" s="994">
        <v>92723</v>
      </c>
      <c r="M9" s="69"/>
      <c r="N9" s="1000" t="s">
        <v>1284</v>
      </c>
      <c r="O9" s="1018"/>
      <c r="P9" s="1003"/>
      <c r="Q9" s="1004"/>
      <c r="R9" s="2631">
        <f t="shared" si="0"/>
        <v>283.40784949999983</v>
      </c>
      <c r="S9" s="1003"/>
      <c r="T9" s="1003"/>
      <c r="U9" s="2631">
        <f t="shared" si="1"/>
        <v>4676.2295167499969</v>
      </c>
      <c r="V9" s="49">
        <f>VLOOKUP(K9, List!$J$14:$K$19, 2, FALSE)</f>
        <v>7</v>
      </c>
      <c r="W9" s="49">
        <f t="shared" si="2"/>
        <v>418</v>
      </c>
      <c r="X9" s="49">
        <f t="shared" si="3"/>
        <v>241</v>
      </c>
      <c r="Y9" s="49">
        <f t="shared" si="4"/>
        <v>51</v>
      </c>
      <c r="Z9" s="49">
        <v>2718</v>
      </c>
      <c r="AA9" s="49">
        <f t="shared" si="5"/>
        <v>365.25</v>
      </c>
      <c r="AB9" s="49">
        <v>0.42399999999999999</v>
      </c>
      <c r="AC9" s="2649">
        <f>VLOOKUP(J9,List!$J$25:$P$35,V9,FALSE)</f>
        <v>1528.25</v>
      </c>
      <c r="AD9" s="302">
        <f t="shared" si="6"/>
        <v>92723</v>
      </c>
      <c r="AE9" s="49">
        <f t="shared" si="7"/>
        <v>0.8</v>
      </c>
      <c r="AF9" s="303">
        <f t="shared" si="8"/>
        <v>0.96</v>
      </c>
    </row>
    <row r="10" spans="1:35" x14ac:dyDescent="0.35">
      <c r="A10" s="961"/>
      <c r="B10" s="961"/>
      <c r="C10" s="961"/>
      <c r="D10" s="961"/>
      <c r="E10" s="961"/>
      <c r="F10" s="961"/>
      <c r="G10" s="961"/>
      <c r="H10" s="961"/>
      <c r="I10" s="961"/>
      <c r="J10" s="961"/>
      <c r="K10" s="961"/>
      <c r="L10" s="961"/>
      <c r="M10" s="961"/>
      <c r="N10" s="961"/>
      <c r="O10" s="961"/>
      <c r="P10" s="961"/>
      <c r="Q10" s="961"/>
      <c r="R10" s="961"/>
      <c r="S10" s="961"/>
      <c r="T10" s="961"/>
      <c r="U10" s="961"/>
    </row>
    <row r="11" spans="1:35" ht="15" thickBot="1" x14ac:dyDescent="0.4"/>
    <row r="12" spans="1:35" ht="15" thickBot="1" x14ac:dyDescent="0.4">
      <c r="A12" s="74" t="s">
        <v>1188</v>
      </c>
      <c r="B12" s="64"/>
      <c r="C12" s="64"/>
      <c r="D12" s="64"/>
      <c r="E12" s="64"/>
      <c r="F12" s="65"/>
    </row>
    <row r="13" spans="1:35" x14ac:dyDescent="0.35">
      <c r="A13" s="67" t="s">
        <v>2422</v>
      </c>
      <c r="B13" s="69"/>
      <c r="C13" s="69"/>
      <c r="D13" s="69"/>
      <c r="E13" s="69"/>
      <c r="F13" s="70"/>
    </row>
    <row r="14" spans="1:35" ht="15.75" customHeight="1" x14ac:dyDescent="0.55000000000000004">
      <c r="A14" s="67" t="s">
        <v>2423</v>
      </c>
      <c r="B14" s="69"/>
      <c r="C14" s="69"/>
      <c r="D14" s="69"/>
      <c r="E14" s="69"/>
      <c r="F14" s="70"/>
      <c r="H14" s="689"/>
    </row>
    <row r="15" spans="1:35" ht="15" thickBot="1" x14ac:dyDescent="0.4">
      <c r="A15" s="71" t="s">
        <v>2424</v>
      </c>
      <c r="B15" s="249"/>
      <c r="C15" s="72"/>
      <c r="D15" s="72"/>
      <c r="E15" s="72"/>
      <c r="F15" s="73"/>
    </row>
    <row r="16" spans="1:35" ht="15" thickBot="1" x14ac:dyDescent="0.4">
      <c r="A16" s="154" t="s">
        <v>1078</v>
      </c>
      <c r="B16" s="1142">
        <f>'Measure-Level Adjustments'!A2</f>
        <v>44592</v>
      </c>
      <c r="K16" s="54"/>
    </row>
    <row r="17" spans="1:11" ht="15" thickBot="1" x14ac:dyDescent="0.4">
      <c r="A17" s="154" t="s">
        <v>1079</v>
      </c>
      <c r="B17" s="577" t="s">
        <v>2425</v>
      </c>
      <c r="K17" s="54"/>
    </row>
    <row r="18" spans="1:11" ht="15" thickBot="1" x14ac:dyDescent="0.4">
      <c r="A18" s="55"/>
      <c r="K18" s="54"/>
    </row>
    <row r="19" spans="1:11" ht="15" thickBot="1" x14ac:dyDescent="0.4">
      <c r="A19" s="74" t="s">
        <v>1285</v>
      </c>
      <c r="B19" s="75" t="s">
        <v>1199</v>
      </c>
      <c r="C19" s="76" t="s">
        <v>1082</v>
      </c>
      <c r="D19" s="64"/>
      <c r="E19" s="64"/>
      <c r="F19" s="64"/>
      <c r="G19" s="65"/>
    </row>
    <row r="20" spans="1:11" x14ac:dyDescent="0.35">
      <c r="A20" s="690" t="s">
        <v>2407</v>
      </c>
      <c r="B20" s="80">
        <v>418</v>
      </c>
      <c r="C20" s="79" t="s">
        <v>2426</v>
      </c>
      <c r="D20" s="80"/>
      <c r="E20" s="80"/>
      <c r="F20" s="80"/>
      <c r="G20" s="81"/>
    </row>
    <row r="21" spans="1:11" ht="15" thickBot="1" x14ac:dyDescent="0.4">
      <c r="A21" s="88"/>
      <c r="B21" s="85"/>
      <c r="C21" s="85" t="s">
        <v>1084</v>
      </c>
      <c r="D21" s="85"/>
      <c r="E21" s="85"/>
      <c r="F21" s="85"/>
      <c r="G21" s="86"/>
    </row>
    <row r="22" spans="1:11" x14ac:dyDescent="0.35">
      <c r="A22" s="690" t="s">
        <v>2408</v>
      </c>
      <c r="B22" s="386" t="s">
        <v>2427</v>
      </c>
      <c r="C22" s="79" t="s">
        <v>2428</v>
      </c>
      <c r="D22" s="80"/>
      <c r="E22" s="80"/>
      <c r="F22" s="80"/>
      <c r="G22" s="81"/>
    </row>
    <row r="23" spans="1:11" ht="15" thickBot="1" x14ac:dyDescent="0.4">
      <c r="A23" s="88"/>
      <c r="B23" s="85"/>
      <c r="C23" s="85" t="s">
        <v>2429</v>
      </c>
      <c r="D23" s="85"/>
      <c r="E23" s="85"/>
      <c r="F23" s="85"/>
      <c r="G23" s="86"/>
    </row>
    <row r="24" spans="1:11" ht="26.5" x14ac:dyDescent="0.35">
      <c r="A24" s="691" t="s">
        <v>2409</v>
      </c>
      <c r="B24" s="80">
        <v>51</v>
      </c>
      <c r="C24" s="79" t="s">
        <v>2430</v>
      </c>
      <c r="D24" s="80"/>
      <c r="E24" s="80"/>
      <c r="F24" s="80"/>
      <c r="G24" s="81"/>
    </row>
    <row r="25" spans="1:11" ht="15" thickBot="1" x14ac:dyDescent="0.4">
      <c r="A25" s="88"/>
      <c r="B25" s="85"/>
      <c r="C25" s="85" t="s">
        <v>1084</v>
      </c>
      <c r="D25" s="85"/>
      <c r="E25" s="85"/>
      <c r="F25" s="85"/>
      <c r="G25" s="86"/>
    </row>
    <row r="26" spans="1:11" x14ac:dyDescent="0.35">
      <c r="A26" s="690" t="s">
        <v>2410</v>
      </c>
      <c r="B26" s="386" t="s">
        <v>2427</v>
      </c>
      <c r="C26" s="79" t="s">
        <v>2431</v>
      </c>
      <c r="D26" s="80"/>
      <c r="E26" s="80"/>
      <c r="F26" s="80"/>
      <c r="G26" s="81"/>
    </row>
    <row r="27" spans="1:11" ht="15" thickBot="1" x14ac:dyDescent="0.4">
      <c r="A27" s="88"/>
      <c r="B27" s="85"/>
      <c r="C27" s="85" t="s">
        <v>2432</v>
      </c>
      <c r="D27" s="85"/>
      <c r="E27" s="85"/>
      <c r="F27" s="85"/>
      <c r="G27" s="86"/>
    </row>
    <row r="28" spans="1:11" ht="15" thickBot="1" x14ac:dyDescent="0.4">
      <c r="A28" s="692" t="s">
        <v>2411</v>
      </c>
      <c r="B28" s="364">
        <v>365.25</v>
      </c>
      <c r="C28" s="364"/>
      <c r="D28" s="364"/>
      <c r="E28" s="364"/>
      <c r="F28" s="364"/>
      <c r="G28" s="96"/>
    </row>
    <row r="29" spans="1:11" x14ac:dyDescent="0.35">
      <c r="A29" s="690" t="s">
        <v>1179</v>
      </c>
      <c r="B29" s="386" t="s">
        <v>2427</v>
      </c>
      <c r="C29" s="79" t="s">
        <v>2433</v>
      </c>
      <c r="D29" s="80"/>
      <c r="E29" s="80"/>
      <c r="F29" s="80"/>
      <c r="G29" s="81"/>
    </row>
    <row r="30" spans="1:11" ht="15" thickBot="1" x14ac:dyDescent="0.4">
      <c r="A30" s="88"/>
      <c r="B30" s="85"/>
      <c r="C30" s="85" t="s">
        <v>2434</v>
      </c>
      <c r="D30" s="85"/>
      <c r="E30" s="85"/>
      <c r="F30" s="85"/>
      <c r="G30" s="86"/>
    </row>
    <row r="31" spans="1:11" x14ac:dyDescent="0.35">
      <c r="A31" s="690" t="s">
        <v>2435</v>
      </c>
      <c r="B31" s="386" t="s">
        <v>2427</v>
      </c>
      <c r="C31" s="79" t="s">
        <v>2194</v>
      </c>
      <c r="D31" s="80"/>
      <c r="E31" s="80"/>
      <c r="F31" s="80"/>
      <c r="G31" s="81"/>
    </row>
    <row r="32" spans="1:11" ht="15" thickBot="1" x14ac:dyDescent="0.4">
      <c r="A32" s="88"/>
      <c r="B32" s="85"/>
      <c r="C32" s="85" t="s">
        <v>2434</v>
      </c>
      <c r="D32" s="85"/>
      <c r="E32" s="85"/>
      <c r="F32" s="85"/>
      <c r="G32" s="86"/>
    </row>
    <row r="33" spans="1:7" x14ac:dyDescent="0.35">
      <c r="A33" s="690" t="s">
        <v>2190</v>
      </c>
      <c r="B33" s="363" t="s">
        <v>105</v>
      </c>
      <c r="C33" s="79" t="s">
        <v>2436</v>
      </c>
      <c r="D33" s="80"/>
      <c r="E33" s="80"/>
      <c r="F33" s="80"/>
      <c r="G33" s="81"/>
    </row>
    <row r="34" spans="1:7" ht="15" thickBot="1" x14ac:dyDescent="0.4">
      <c r="A34" s="88"/>
      <c r="B34" s="85"/>
      <c r="C34" s="85" t="s">
        <v>2437</v>
      </c>
      <c r="D34" s="85"/>
      <c r="E34" s="85"/>
      <c r="F34" s="85"/>
      <c r="G34" s="86"/>
    </row>
    <row r="35" spans="1:7" x14ac:dyDescent="0.35">
      <c r="A35" s="690" t="s">
        <v>2412</v>
      </c>
      <c r="B35" s="386" t="s">
        <v>2427</v>
      </c>
      <c r="C35" s="79" t="s">
        <v>2438</v>
      </c>
      <c r="D35" s="80"/>
      <c r="E35" s="80"/>
      <c r="F35" s="80"/>
      <c r="G35" s="81"/>
    </row>
    <row r="36" spans="1:7" ht="15" thickBot="1" x14ac:dyDescent="0.4">
      <c r="A36" s="88"/>
      <c r="B36" s="85"/>
      <c r="C36" s="85" t="s">
        <v>2434</v>
      </c>
      <c r="D36" s="85"/>
      <c r="E36" s="85"/>
      <c r="F36" s="85"/>
      <c r="G36" s="86"/>
    </row>
    <row r="37" spans="1:7" x14ac:dyDescent="0.35">
      <c r="A37" s="690" t="s">
        <v>2413</v>
      </c>
      <c r="B37" s="89"/>
      <c r="C37" s="79" t="s">
        <v>2439</v>
      </c>
      <c r="D37" s="80"/>
      <c r="E37" s="80"/>
      <c r="F37" s="80"/>
      <c r="G37" s="81"/>
    </row>
    <row r="38" spans="1:7" ht="15" thickBot="1" x14ac:dyDescent="0.4">
      <c r="A38" s="88"/>
      <c r="B38" s="85"/>
      <c r="C38" s="85" t="s">
        <v>2440</v>
      </c>
      <c r="D38" s="85"/>
      <c r="E38" s="85"/>
      <c r="F38" s="85"/>
      <c r="G38" s="86"/>
    </row>
    <row r="39" spans="1:7" x14ac:dyDescent="0.35">
      <c r="A39" s="93" t="s">
        <v>1083</v>
      </c>
      <c r="B39" s="80">
        <v>16.5</v>
      </c>
      <c r="C39" s="80" t="s">
        <v>2441</v>
      </c>
      <c r="D39" s="80"/>
      <c r="E39" s="80"/>
      <c r="F39" s="80"/>
      <c r="G39" s="81"/>
    </row>
    <row r="40" spans="1:7" x14ac:dyDescent="0.35">
      <c r="A40" s="254"/>
      <c r="B40">
        <v>5.5</v>
      </c>
      <c r="C40" t="s">
        <v>2442</v>
      </c>
      <c r="G40" s="253"/>
    </row>
    <row r="41" spans="1:7" ht="15" thickBot="1" x14ac:dyDescent="0.4">
      <c r="A41" s="88"/>
      <c r="B41" s="85"/>
      <c r="C41" s="85" t="s">
        <v>2443</v>
      </c>
      <c r="D41" s="85"/>
      <c r="E41" s="85"/>
      <c r="F41" s="85"/>
      <c r="G41" s="86"/>
    </row>
    <row r="42" spans="1:7" x14ac:dyDescent="0.35">
      <c r="A42" s="93" t="s">
        <v>1040</v>
      </c>
      <c r="B42" s="386"/>
      <c r="C42" s="80"/>
      <c r="D42" s="80"/>
      <c r="E42" s="80"/>
      <c r="F42" s="80"/>
      <c r="G42" s="81"/>
    </row>
    <row r="43" spans="1:7" x14ac:dyDescent="0.35">
      <c r="A43" s="254"/>
      <c r="C43" s="3164"/>
      <c r="D43" s="3164"/>
      <c r="E43" s="3164"/>
      <c r="F43" s="3164"/>
      <c r="G43" s="3165"/>
    </row>
    <row r="44" spans="1:7" ht="36" customHeight="1" x14ac:dyDescent="0.35">
      <c r="A44" s="254"/>
      <c r="C44" s="3164"/>
      <c r="D44" s="3164"/>
      <c r="E44" s="3164"/>
      <c r="F44" s="3164"/>
      <c r="G44" s="3165"/>
    </row>
    <row r="45" spans="1:7" ht="15" thickBot="1" x14ac:dyDescent="0.4">
      <c r="A45" s="88"/>
      <c r="B45" s="85"/>
      <c r="C45" s="693"/>
      <c r="D45" s="694"/>
      <c r="E45" s="694"/>
      <c r="F45" s="694"/>
      <c r="G45" s="695"/>
    </row>
    <row r="46" spans="1:7" x14ac:dyDescent="0.35">
      <c r="A46" s="93" t="s">
        <v>2444</v>
      </c>
      <c r="B46" s="80"/>
      <c r="C46" s="696" t="s">
        <v>2445</v>
      </c>
      <c r="D46" s="697"/>
      <c r="E46" s="697"/>
      <c r="F46" s="697"/>
      <c r="G46" s="698"/>
    </row>
    <row r="47" spans="1:7" ht="15" thickBot="1" x14ac:dyDescent="0.4">
      <c r="A47" s="88" t="s">
        <v>2446</v>
      </c>
      <c r="B47" s="85"/>
      <c r="C47" s="693" t="s">
        <v>2447</v>
      </c>
      <c r="D47" s="694"/>
      <c r="E47" s="694"/>
      <c r="F47" s="694"/>
      <c r="G47" s="695"/>
    </row>
    <row r="48" spans="1:7" x14ac:dyDescent="0.35">
      <c r="C48" s="615"/>
      <c r="D48" s="699"/>
      <c r="E48" s="699"/>
      <c r="F48" s="699"/>
      <c r="G48" s="699"/>
    </row>
    <row r="49" spans="1:14" x14ac:dyDescent="0.35">
      <c r="C49" s="615"/>
      <c r="D49" s="699"/>
      <c r="E49" s="699"/>
      <c r="F49" s="699"/>
      <c r="G49" s="699"/>
    </row>
    <row r="50" spans="1:14" x14ac:dyDescent="0.35">
      <c r="C50" s="615"/>
      <c r="D50" s="699"/>
      <c r="E50" s="699"/>
      <c r="F50" s="699"/>
      <c r="G50" s="699"/>
    </row>
    <row r="51" spans="1:14" x14ac:dyDescent="0.35">
      <c r="C51" s="615"/>
      <c r="D51" s="699"/>
      <c r="E51" s="699"/>
      <c r="F51" s="699"/>
      <c r="G51" s="699"/>
    </row>
    <row r="52" spans="1:14" ht="15" thickBot="1" x14ac:dyDescent="0.4">
      <c r="C52" s="615"/>
      <c r="D52" s="699"/>
      <c r="E52" s="699"/>
      <c r="F52" s="699"/>
      <c r="G52" s="699"/>
    </row>
    <row r="53" spans="1:14" ht="36" customHeight="1" x14ac:dyDescent="0.35">
      <c r="A53" s="616" t="s">
        <v>1257</v>
      </c>
      <c r="B53" s="383"/>
      <c r="C53" s="700"/>
      <c r="D53" s="700"/>
      <c r="E53" s="700"/>
      <c r="F53" s="700"/>
      <c r="G53" s="700"/>
      <c r="H53" s="383"/>
      <c r="I53" s="383"/>
      <c r="J53" s="383"/>
      <c r="K53" s="383"/>
      <c r="L53" s="384"/>
    </row>
    <row r="54" spans="1:14" ht="25.5" customHeight="1" x14ac:dyDescent="0.35">
      <c r="A54" s="99"/>
      <c r="B54" s="56"/>
      <c r="C54" s="56" t="s">
        <v>2408</v>
      </c>
      <c r="D54" s="69"/>
      <c r="E54" s="3073" t="s">
        <v>2448</v>
      </c>
      <c r="F54" s="3074"/>
      <c r="G54" s="69"/>
      <c r="H54" s="3169" t="s">
        <v>2449</v>
      </c>
      <c r="I54" s="3169"/>
      <c r="J54" s="3169"/>
      <c r="K54" s="69"/>
      <c r="L54" s="100"/>
      <c r="N54" s="30"/>
    </row>
    <row r="55" spans="1:14" x14ac:dyDescent="0.35">
      <c r="A55" s="99"/>
      <c r="B55" s="687" t="s">
        <v>2450</v>
      </c>
      <c r="C55" s="49">
        <v>263</v>
      </c>
      <c r="D55" s="69"/>
      <c r="E55" s="260" t="str">
        <f>B90</f>
        <v>1 (Rockford)</v>
      </c>
      <c r="F55" s="49">
        <v>2</v>
      </c>
      <c r="G55" s="69"/>
      <c r="H55" s="56" t="s">
        <v>2369</v>
      </c>
      <c r="I55" s="56" t="s">
        <v>2451</v>
      </c>
      <c r="J55" s="56" t="s">
        <v>1040</v>
      </c>
      <c r="K55" s="69"/>
      <c r="L55" s="100"/>
      <c r="N55" s="30"/>
    </row>
    <row r="56" spans="1:14" x14ac:dyDescent="0.35">
      <c r="A56" s="99"/>
      <c r="B56" s="687" t="s">
        <v>2452</v>
      </c>
      <c r="C56" s="49">
        <v>175</v>
      </c>
      <c r="D56" s="69"/>
      <c r="E56" s="260" t="str">
        <f>C90</f>
        <v>2 (Chicago)</v>
      </c>
      <c r="F56" s="49">
        <v>3</v>
      </c>
      <c r="G56" s="69"/>
      <c r="H56" s="291">
        <v>0.8</v>
      </c>
      <c r="I56" s="701">
        <v>2011</v>
      </c>
      <c r="J56" s="49" t="s">
        <v>2453</v>
      </c>
      <c r="K56" s="69"/>
      <c r="L56" s="100"/>
      <c r="N56" s="30"/>
    </row>
    <row r="57" spans="1:14" x14ac:dyDescent="0.35">
      <c r="A57" s="99"/>
      <c r="B57" s="687" t="s">
        <v>1185</v>
      </c>
      <c r="C57" s="49">
        <v>241</v>
      </c>
      <c r="D57" s="69"/>
      <c r="E57" s="260" t="str">
        <f>D90</f>
        <v>3 (Springfield)</v>
      </c>
      <c r="F57" s="49">
        <v>4</v>
      </c>
      <c r="G57" s="69"/>
      <c r="H57" s="291">
        <v>0.9</v>
      </c>
      <c r="I57" s="239">
        <v>2641</v>
      </c>
      <c r="J57" s="239">
        <v>630</v>
      </c>
      <c r="K57" s="69"/>
      <c r="L57" s="100"/>
      <c r="N57" s="30"/>
    </row>
    <row r="58" spans="1:14" x14ac:dyDescent="0.35">
      <c r="A58" s="99"/>
      <c r="B58" s="687" t="s">
        <v>2454</v>
      </c>
      <c r="C58" s="49"/>
      <c r="D58" s="69"/>
      <c r="E58" s="260" t="str">
        <f>E90</f>
        <v>4 (Belleville)</v>
      </c>
      <c r="F58" s="49">
        <v>5</v>
      </c>
      <c r="G58" s="69"/>
      <c r="H58" s="291">
        <v>0.91</v>
      </c>
      <c r="I58" s="239">
        <v>2727</v>
      </c>
      <c r="J58" s="239">
        <v>716</v>
      </c>
      <c r="K58" s="69"/>
      <c r="L58" s="100"/>
      <c r="N58" s="30"/>
    </row>
    <row r="59" spans="1:14" x14ac:dyDescent="0.35">
      <c r="A59" s="99"/>
      <c r="B59" s="69"/>
      <c r="C59" s="69"/>
      <c r="D59" s="69"/>
      <c r="E59" s="260" t="str">
        <f>F90</f>
        <v>5 (Marion)</v>
      </c>
      <c r="F59" s="49">
        <v>6</v>
      </c>
      <c r="G59" s="69"/>
      <c r="H59" s="291">
        <v>0.92</v>
      </c>
      <c r="I59" s="239">
        <v>2813</v>
      </c>
      <c r="J59" s="239">
        <v>802</v>
      </c>
      <c r="K59" s="69"/>
      <c r="L59" s="100"/>
      <c r="N59" s="30"/>
    </row>
    <row r="60" spans="1:14" x14ac:dyDescent="0.35">
      <c r="A60" s="99"/>
      <c r="B60" s="3169" t="s">
        <v>1038</v>
      </c>
      <c r="C60" s="3169"/>
      <c r="D60" s="69"/>
      <c r="E60" s="49" t="s">
        <v>1696</v>
      </c>
      <c r="F60" s="49">
        <v>7</v>
      </c>
      <c r="G60" s="69"/>
      <c r="H60" s="291">
        <v>0.93</v>
      </c>
      <c r="I60" s="2864">
        <v>3025</v>
      </c>
      <c r="J60" s="2864">
        <v>1014</v>
      </c>
      <c r="K60" s="69"/>
      <c r="L60" s="100"/>
      <c r="N60" s="30"/>
    </row>
    <row r="61" spans="1:14" x14ac:dyDescent="0.35">
      <c r="A61" s="99"/>
      <c r="B61" s="49" t="s">
        <v>1072</v>
      </c>
      <c r="C61" s="49" t="s">
        <v>2455</v>
      </c>
      <c r="D61" s="69"/>
      <c r="E61" s="69"/>
      <c r="F61" s="69"/>
      <c r="G61" s="69"/>
      <c r="H61" s="291">
        <v>0.94</v>
      </c>
      <c r="I61" s="2864">
        <v>3237</v>
      </c>
      <c r="J61" s="2864">
        <v>1226</v>
      </c>
      <c r="K61" s="69"/>
      <c r="L61" s="100"/>
      <c r="N61" s="30"/>
    </row>
    <row r="62" spans="1:14" x14ac:dyDescent="0.35">
      <c r="A62" s="99"/>
      <c r="B62" s="49" t="s">
        <v>1632</v>
      </c>
      <c r="C62" s="49" t="s">
        <v>2456</v>
      </c>
      <c r="D62" s="69"/>
      <c r="E62" s="69"/>
      <c r="F62" s="69"/>
      <c r="G62" s="69"/>
      <c r="H62" s="291">
        <v>0.95</v>
      </c>
      <c r="I62" s="2864">
        <v>3449</v>
      </c>
      <c r="J62" s="2864">
        <v>1438</v>
      </c>
      <c r="K62" s="69"/>
      <c r="L62" s="100"/>
      <c r="N62" s="30"/>
    </row>
    <row r="63" spans="1:14" x14ac:dyDescent="0.35">
      <c r="A63" s="99"/>
      <c r="B63" s="69"/>
      <c r="C63" s="69"/>
      <c r="D63" s="69"/>
      <c r="E63" s="69"/>
      <c r="F63" s="69"/>
      <c r="G63" s="69"/>
      <c r="H63" s="291">
        <v>0.96</v>
      </c>
      <c r="I63" s="2864">
        <v>3661</v>
      </c>
      <c r="J63" s="2864">
        <v>1650</v>
      </c>
      <c r="K63" s="69"/>
      <c r="L63" s="100"/>
      <c r="N63" s="30"/>
    </row>
    <row r="64" spans="1:14" x14ac:dyDescent="0.35">
      <c r="A64" s="99"/>
      <c r="B64" s="3073" t="s">
        <v>2457</v>
      </c>
      <c r="C64" s="3074"/>
      <c r="D64" s="69"/>
      <c r="E64" s="69"/>
      <c r="F64" s="69"/>
      <c r="G64" s="69"/>
      <c r="H64" s="671">
        <v>0.97</v>
      </c>
      <c r="I64" s="2864">
        <v>3873</v>
      </c>
      <c r="J64" s="2864">
        <v>1862</v>
      </c>
      <c r="K64" s="69"/>
      <c r="L64" s="100"/>
      <c r="N64" s="30"/>
    </row>
    <row r="65" spans="1:14" x14ac:dyDescent="0.35">
      <c r="A65" s="99"/>
      <c r="B65" s="61">
        <v>0.92</v>
      </c>
      <c r="C65" s="125">
        <v>0.93500000000000005</v>
      </c>
      <c r="D65" s="69"/>
      <c r="E65" s="69"/>
      <c r="F65" s="69"/>
      <c r="G65" s="69"/>
      <c r="H65" s="159"/>
      <c r="I65" s="69"/>
      <c r="J65" s="69"/>
      <c r="K65" s="69"/>
      <c r="L65" s="100"/>
      <c r="N65" s="30"/>
    </row>
    <row r="66" spans="1:14" x14ac:dyDescent="0.35">
      <c r="A66" s="99"/>
      <c r="B66" s="61">
        <v>0.95</v>
      </c>
      <c r="C66" s="125">
        <v>0.96</v>
      </c>
      <c r="D66" s="69"/>
      <c r="E66" s="69"/>
      <c r="F66" s="69"/>
      <c r="G66" s="69"/>
      <c r="H66" s="702" t="s">
        <v>2458</v>
      </c>
      <c r="I66" s="49"/>
      <c r="J66" s="49"/>
      <c r="K66" s="49"/>
      <c r="L66" s="100"/>
      <c r="N66" s="30"/>
    </row>
    <row r="67" spans="1:14" x14ac:dyDescent="0.35">
      <c r="A67" s="99"/>
      <c r="B67" s="69"/>
      <c r="C67" s="69"/>
      <c r="D67" s="69"/>
      <c r="E67" s="69"/>
      <c r="F67" s="69"/>
      <c r="G67" s="69"/>
      <c r="H67" s="677" t="s">
        <v>2459</v>
      </c>
      <c r="I67" s="49"/>
      <c r="J67" s="49"/>
      <c r="K67" s="49"/>
      <c r="L67" s="100"/>
      <c r="N67" s="30"/>
    </row>
    <row r="68" spans="1:14" x14ac:dyDescent="0.35">
      <c r="A68" s="69"/>
      <c r="B68" s="69"/>
      <c r="C68" s="69"/>
      <c r="D68" s="69"/>
      <c r="E68" s="69"/>
      <c r="F68" s="69"/>
      <c r="G68" s="69"/>
      <c r="H68" s="677" t="s">
        <v>2459</v>
      </c>
      <c r="I68" s="49"/>
      <c r="J68" s="49"/>
      <c r="K68" s="49"/>
      <c r="L68" s="100"/>
      <c r="N68" s="30"/>
    </row>
    <row r="69" spans="1:14" x14ac:dyDescent="0.35">
      <c r="A69" s="69"/>
      <c r="B69" s="69"/>
      <c r="C69" s="69"/>
      <c r="D69" s="69"/>
      <c r="E69" s="69"/>
      <c r="F69" s="69"/>
      <c r="G69" s="69"/>
      <c r="H69" s="677" t="s">
        <v>2459</v>
      </c>
      <c r="I69" s="49"/>
      <c r="J69" s="49"/>
      <c r="K69" s="49"/>
      <c r="L69" s="100"/>
      <c r="N69" s="30"/>
    </row>
    <row r="70" spans="1:14" x14ac:dyDescent="0.35">
      <c r="A70" s="69"/>
      <c r="B70" s="56" t="s">
        <v>2460</v>
      </c>
      <c r="C70" s="56" t="s">
        <v>2461</v>
      </c>
      <c r="D70" s="56" t="s">
        <v>2357</v>
      </c>
      <c r="E70" s="69"/>
      <c r="F70" s="69"/>
      <c r="G70" s="69"/>
      <c r="H70" s="677" t="s">
        <v>2459</v>
      </c>
      <c r="I70" s="49"/>
      <c r="J70" s="49"/>
      <c r="K70" s="49"/>
      <c r="L70" s="100"/>
      <c r="N70" s="30"/>
    </row>
    <row r="71" spans="1:14" x14ac:dyDescent="0.35">
      <c r="A71" s="69"/>
      <c r="B71" s="255" t="s">
        <v>2462</v>
      </c>
      <c r="C71" s="681">
        <v>802</v>
      </c>
      <c r="D71" s="713">
        <v>0.93500000000000005</v>
      </c>
      <c r="E71" s="69"/>
      <c r="F71" s="69"/>
      <c r="G71" s="69"/>
      <c r="H71" s="677" t="s">
        <v>2459</v>
      </c>
      <c r="I71" s="49"/>
      <c r="J71" s="49"/>
      <c r="K71" s="49"/>
      <c r="L71" s="100"/>
    </row>
    <row r="72" spans="1:14" x14ac:dyDescent="0.35">
      <c r="A72" s="69"/>
      <c r="B72" s="255" t="s">
        <v>2463</v>
      </c>
      <c r="C72" s="681">
        <v>1038</v>
      </c>
      <c r="D72" s="713">
        <v>0.93500000000000005</v>
      </c>
      <c r="E72" s="69"/>
      <c r="F72" s="69"/>
      <c r="G72" s="69"/>
      <c r="H72" s="69"/>
      <c r="I72" s="69"/>
      <c r="J72" s="69"/>
      <c r="K72" s="69"/>
      <c r="L72" s="100"/>
    </row>
    <row r="73" spans="1:14" x14ac:dyDescent="0.35">
      <c r="A73" s="69"/>
      <c r="B73" s="255" t="s">
        <v>2464</v>
      </c>
      <c r="C73" s="681">
        <v>1275</v>
      </c>
      <c r="D73" s="713">
        <v>0.93500000000000005</v>
      </c>
      <c r="E73" s="69"/>
      <c r="F73" s="69"/>
      <c r="G73" s="69"/>
      <c r="H73" s="69"/>
      <c r="I73" s="69"/>
      <c r="J73" s="69"/>
      <c r="K73" s="69"/>
      <c r="L73" s="100"/>
    </row>
    <row r="74" spans="1:14" x14ac:dyDescent="0.35">
      <c r="A74" s="69"/>
      <c r="B74" s="255" t="s">
        <v>2465</v>
      </c>
      <c r="C74" s="681">
        <v>1511</v>
      </c>
      <c r="D74" s="713">
        <v>0.96</v>
      </c>
      <c r="E74" s="69"/>
      <c r="F74" s="69"/>
      <c r="G74" s="69"/>
      <c r="H74" s="703"/>
      <c r="I74" s="704"/>
      <c r="J74" s="705" t="s">
        <v>2466</v>
      </c>
      <c r="K74" s="704"/>
      <c r="L74" s="706"/>
    </row>
    <row r="75" spans="1:14" x14ac:dyDescent="0.35">
      <c r="A75" s="69"/>
      <c r="B75" s="255" t="s">
        <v>2467</v>
      </c>
      <c r="C75" s="681">
        <v>1747</v>
      </c>
      <c r="D75" s="713">
        <v>0.96</v>
      </c>
      <c r="E75" s="69"/>
      <c r="F75" s="69"/>
      <c r="G75" s="69"/>
      <c r="H75" s="707"/>
      <c r="I75" s="69"/>
      <c r="J75" s="69"/>
      <c r="K75" s="610" t="s">
        <v>2190</v>
      </c>
      <c r="L75" s="100"/>
    </row>
    <row r="76" spans="1:14" x14ac:dyDescent="0.35">
      <c r="A76" s="69"/>
      <c r="B76" s="69"/>
      <c r="C76" s="69"/>
      <c r="D76" s="69"/>
      <c r="E76" s="69"/>
      <c r="F76" s="69"/>
      <c r="G76" s="69"/>
      <c r="H76" s="707"/>
      <c r="I76" s="69"/>
      <c r="J76" s="708" t="s">
        <v>2468</v>
      </c>
      <c r="K76" s="709">
        <v>66000</v>
      </c>
      <c r="L76" s="100" t="s">
        <v>2469</v>
      </c>
    </row>
    <row r="77" spans="1:14" x14ac:dyDescent="0.35">
      <c r="A77" s="69"/>
      <c r="B77" s="56" t="s">
        <v>2470</v>
      </c>
      <c r="C77" s="56"/>
      <c r="D77" s="69"/>
      <c r="E77" s="69"/>
      <c r="F77" s="69"/>
      <c r="G77" s="69"/>
      <c r="H77" s="707"/>
      <c r="I77" s="69"/>
      <c r="J77" s="708" t="s">
        <v>2471</v>
      </c>
      <c r="K77" s="709">
        <v>154000</v>
      </c>
      <c r="L77" s="100" t="s">
        <v>2469</v>
      </c>
    </row>
    <row r="78" spans="1:14" x14ac:dyDescent="0.35">
      <c r="A78" s="69"/>
      <c r="B78" s="56" t="s">
        <v>2364</v>
      </c>
      <c r="C78" s="56" t="s">
        <v>2369</v>
      </c>
      <c r="D78" s="69"/>
      <c r="E78" s="69"/>
      <c r="F78" s="69"/>
      <c r="G78" s="69"/>
      <c r="H78" s="710"/>
      <c r="I78" s="72"/>
      <c r="J78" s="711" t="s">
        <v>2472</v>
      </c>
      <c r="K78" s="712">
        <v>225000</v>
      </c>
      <c r="L78" s="441" t="s">
        <v>2469</v>
      </c>
    </row>
    <row r="79" spans="1:14" x14ac:dyDescent="0.35">
      <c r="A79" s="69"/>
      <c r="B79" s="2828" t="s">
        <v>2473</v>
      </c>
      <c r="C79" s="2827">
        <v>0.8</v>
      </c>
      <c r="D79" s="69"/>
      <c r="E79" s="69"/>
      <c r="F79" s="69"/>
      <c r="G79" s="69"/>
      <c r="H79" s="69"/>
      <c r="I79" s="69"/>
      <c r="J79" s="69"/>
      <c r="K79" s="69"/>
      <c r="L79" s="100"/>
    </row>
    <row r="80" spans="1:14" x14ac:dyDescent="0.35">
      <c r="A80" s="69"/>
      <c r="B80" s="2828" t="s">
        <v>2474</v>
      </c>
      <c r="C80" s="2827">
        <v>0.81</v>
      </c>
      <c r="D80" s="69"/>
      <c r="E80" s="69"/>
      <c r="F80" s="69"/>
      <c r="G80" s="69"/>
      <c r="H80" s="69"/>
      <c r="I80" s="69"/>
      <c r="J80" s="69"/>
      <c r="K80" s="69"/>
      <c r="L80" s="100"/>
    </row>
    <row r="81" spans="1:12" x14ac:dyDescent="0.35">
      <c r="A81" s="69"/>
      <c r="B81" s="69"/>
      <c r="C81" s="69"/>
      <c r="D81" s="69"/>
      <c r="E81" s="69"/>
      <c r="F81" s="69"/>
      <c r="G81" s="69"/>
      <c r="H81" s="69"/>
      <c r="I81" s="69"/>
      <c r="J81" s="69"/>
      <c r="K81" s="69"/>
      <c r="L81" s="100"/>
    </row>
    <row r="82" spans="1:12" x14ac:dyDescent="0.35">
      <c r="A82" s="69"/>
      <c r="B82" s="69"/>
      <c r="C82" s="69"/>
      <c r="D82" s="69"/>
      <c r="E82" s="69"/>
      <c r="F82" s="69"/>
      <c r="G82" s="69"/>
      <c r="H82" s="69"/>
      <c r="I82" s="69"/>
      <c r="J82" s="69"/>
      <c r="K82" s="69"/>
      <c r="L82" s="100"/>
    </row>
    <row r="83" spans="1:12" x14ac:dyDescent="0.35">
      <c r="A83" s="69"/>
      <c r="B83" s="69"/>
      <c r="C83" s="69"/>
      <c r="D83" s="69"/>
      <c r="E83" s="69"/>
      <c r="F83" s="69"/>
      <c r="G83" s="69"/>
      <c r="H83" s="69"/>
      <c r="I83" s="69"/>
      <c r="J83" s="69"/>
      <c r="K83" s="69"/>
      <c r="L83" s="100"/>
    </row>
    <row r="84" spans="1:12" x14ac:dyDescent="0.35">
      <c r="A84" s="69"/>
      <c r="B84" s="69"/>
      <c r="C84" s="69"/>
      <c r="D84" s="69"/>
      <c r="E84" s="69"/>
      <c r="F84" s="69"/>
      <c r="G84" s="69"/>
      <c r="H84" s="69"/>
      <c r="I84" s="69"/>
      <c r="J84" s="69"/>
      <c r="K84" s="69"/>
      <c r="L84" s="100"/>
    </row>
    <row r="85" spans="1:12" x14ac:dyDescent="0.35">
      <c r="A85" s="99"/>
      <c r="B85" s="69"/>
      <c r="C85" s="69"/>
      <c r="D85" s="69"/>
      <c r="E85" s="69"/>
      <c r="F85" s="69"/>
      <c r="G85" s="69"/>
      <c r="H85" s="69"/>
      <c r="I85" s="69"/>
      <c r="J85" s="69"/>
      <c r="K85" s="69"/>
      <c r="L85" s="100"/>
    </row>
    <row r="86" spans="1:12" x14ac:dyDescent="0.35">
      <c r="A86" s="99"/>
      <c r="B86" s="69"/>
      <c r="C86" s="69"/>
      <c r="D86" s="69"/>
      <c r="E86" s="69"/>
      <c r="F86" s="69"/>
      <c r="G86" s="69"/>
      <c r="H86" s="69"/>
      <c r="I86" s="69"/>
      <c r="J86" s="69"/>
      <c r="K86" s="69"/>
      <c r="L86" s="100"/>
    </row>
    <row r="87" spans="1:12" x14ac:dyDescent="0.35">
      <c r="A87" s="99"/>
      <c r="B87" s="69"/>
      <c r="C87" s="69"/>
      <c r="D87" s="69"/>
      <c r="E87" s="69"/>
      <c r="F87" s="69"/>
      <c r="G87" s="69"/>
      <c r="H87" s="69"/>
      <c r="I87" s="69"/>
      <c r="J87" s="69"/>
      <c r="K87" s="69"/>
      <c r="L87" s="100"/>
    </row>
    <row r="88" spans="1:12" x14ac:dyDescent="0.35">
      <c r="A88" s="99"/>
      <c r="B88" s="69"/>
      <c r="C88" s="69"/>
      <c r="D88" s="69"/>
      <c r="E88" s="69"/>
      <c r="F88" s="69"/>
      <c r="G88" s="69"/>
      <c r="H88" s="69"/>
      <c r="I88" s="69"/>
      <c r="J88" s="69"/>
      <c r="K88" s="69"/>
      <c r="L88" s="100"/>
    </row>
    <row r="89" spans="1:12" x14ac:dyDescent="0.35">
      <c r="A89" s="3159" t="s">
        <v>1360</v>
      </c>
      <c r="B89" s="3160" t="s">
        <v>2155</v>
      </c>
      <c r="C89" s="3161"/>
      <c r="D89" s="3161"/>
      <c r="E89" s="3161"/>
      <c r="F89" s="3161"/>
      <c r="G89" s="3162"/>
      <c r="H89" s="69"/>
      <c r="I89" s="69"/>
      <c r="J89" s="69"/>
      <c r="K89" s="69"/>
      <c r="L89" s="100"/>
    </row>
    <row r="90" spans="1:12" x14ac:dyDescent="0.35">
      <c r="A90" s="3159"/>
      <c r="B90" s="56" t="s">
        <v>1705</v>
      </c>
      <c r="C90" s="56" t="s">
        <v>1691</v>
      </c>
      <c r="D90" s="56" t="s">
        <v>1706</v>
      </c>
      <c r="E90" s="56" t="s">
        <v>1707</v>
      </c>
      <c r="F90" s="56" t="s">
        <v>1708</v>
      </c>
      <c r="G90" s="56" t="s">
        <v>1696</v>
      </c>
      <c r="H90" s="69"/>
      <c r="I90" s="69"/>
      <c r="J90" s="69"/>
      <c r="K90" s="69"/>
      <c r="L90" s="100"/>
    </row>
    <row r="91" spans="1:12" x14ac:dyDescent="0.35">
      <c r="A91" s="626" t="s">
        <v>2384</v>
      </c>
      <c r="B91" s="627">
        <v>2746</v>
      </c>
      <c r="C91" s="627">
        <v>2768</v>
      </c>
      <c r="D91" s="627">
        <v>2656</v>
      </c>
      <c r="E91" s="627">
        <v>2155</v>
      </c>
      <c r="F91" s="627">
        <v>2420</v>
      </c>
      <c r="G91" s="49">
        <f t="shared" ref="G91:G107" si="9">B91*$I$94+C91*$I$95+D91*$I$96</f>
        <v>2750.2</v>
      </c>
      <c r="H91" s="69"/>
      <c r="I91" s="69"/>
      <c r="J91" s="69"/>
      <c r="K91" s="69"/>
      <c r="L91" s="100"/>
    </row>
    <row r="92" spans="1:12" x14ac:dyDescent="0.35">
      <c r="A92" s="626" t="s">
        <v>2386</v>
      </c>
      <c r="B92" s="628">
        <v>996</v>
      </c>
      <c r="C92" s="628">
        <v>879</v>
      </c>
      <c r="D92" s="628">
        <v>824</v>
      </c>
      <c r="E92" s="628">
        <v>519</v>
      </c>
      <c r="F92" s="628">
        <v>544</v>
      </c>
      <c r="G92" s="49">
        <f t="shared" si="9"/>
        <v>908.6</v>
      </c>
      <c r="H92" s="69"/>
      <c r="I92" s="69"/>
      <c r="J92" s="69"/>
      <c r="K92" s="69"/>
      <c r="L92" s="100"/>
    </row>
    <row r="93" spans="1:12" x14ac:dyDescent="0.35">
      <c r="A93" s="626" t="s">
        <v>2388</v>
      </c>
      <c r="B93" s="628">
        <v>797</v>
      </c>
      <c r="C93" s="628">
        <v>666</v>
      </c>
      <c r="D93" s="628">
        <v>647</v>
      </c>
      <c r="E93" s="628">
        <v>343</v>
      </c>
      <c r="F93" s="628">
        <v>329</v>
      </c>
      <c r="G93" s="49">
        <f t="shared" si="9"/>
        <v>703.4</v>
      </c>
      <c r="H93" s="3141" t="s">
        <v>2475</v>
      </c>
      <c r="I93" s="3143"/>
      <c r="J93" s="69"/>
      <c r="K93" s="69"/>
      <c r="L93" s="100"/>
    </row>
    <row r="94" spans="1:12" x14ac:dyDescent="0.35">
      <c r="A94" s="626" t="s">
        <v>1850</v>
      </c>
      <c r="B94" s="628">
        <v>696</v>
      </c>
      <c r="C94" s="628">
        <v>550</v>
      </c>
      <c r="D94" s="628">
        <v>585</v>
      </c>
      <c r="E94" s="628">
        <v>272</v>
      </c>
      <c r="F94" s="628">
        <v>297</v>
      </c>
      <c r="G94" s="49">
        <f t="shared" si="9"/>
        <v>597.29999999999995</v>
      </c>
      <c r="H94" s="49" t="s">
        <v>2387</v>
      </c>
      <c r="I94" s="291">
        <v>0.3</v>
      </c>
      <c r="J94" s="69"/>
      <c r="K94" s="69"/>
      <c r="L94" s="100"/>
    </row>
    <row r="95" spans="1:12" x14ac:dyDescent="0.35">
      <c r="A95" s="626" t="s">
        <v>2391</v>
      </c>
      <c r="B95" s="627">
        <v>1118</v>
      </c>
      <c r="C95" s="627">
        <v>1036</v>
      </c>
      <c r="D95" s="627">
        <v>1029</v>
      </c>
      <c r="E95" s="628">
        <v>694</v>
      </c>
      <c r="F95" s="628">
        <v>737</v>
      </c>
      <c r="G95" s="49">
        <f t="shared" si="9"/>
        <v>1059.9000000000001</v>
      </c>
      <c r="H95" s="49" t="s">
        <v>2389</v>
      </c>
      <c r="I95" s="291">
        <v>0.6</v>
      </c>
      <c r="J95" s="69"/>
      <c r="K95" s="69"/>
      <c r="L95" s="100"/>
    </row>
    <row r="96" spans="1:12" x14ac:dyDescent="0.35">
      <c r="A96" s="626" t="s">
        <v>2392</v>
      </c>
      <c r="B96" s="627">
        <v>1116</v>
      </c>
      <c r="C96" s="627">
        <v>1123</v>
      </c>
      <c r="D96" s="628">
        <v>904</v>
      </c>
      <c r="E96" s="628">
        <v>771</v>
      </c>
      <c r="F96" s="628">
        <v>857</v>
      </c>
      <c r="G96" s="49">
        <f t="shared" si="9"/>
        <v>1099</v>
      </c>
      <c r="H96" s="49" t="s">
        <v>2390</v>
      </c>
      <c r="I96" s="291">
        <v>0.1</v>
      </c>
      <c r="J96" s="69"/>
      <c r="K96" s="69"/>
      <c r="L96" s="100"/>
    </row>
    <row r="97" spans="1:12" x14ac:dyDescent="0.35">
      <c r="A97" s="626" t="s">
        <v>2476</v>
      </c>
      <c r="B97" s="627">
        <v>2098</v>
      </c>
      <c r="C97" s="627">
        <v>2050</v>
      </c>
      <c r="D97" s="627">
        <v>1780</v>
      </c>
      <c r="E97" s="627">
        <v>1365</v>
      </c>
      <c r="F97" s="627">
        <v>1666</v>
      </c>
      <c r="G97" s="49">
        <f t="shared" si="9"/>
        <v>2037.4</v>
      </c>
      <c r="H97" s="69"/>
      <c r="I97" s="69"/>
      <c r="J97" s="69"/>
      <c r="K97" s="69"/>
      <c r="L97" s="100"/>
    </row>
    <row r="98" spans="1:12" x14ac:dyDescent="0.35">
      <c r="A98" s="626" t="s">
        <v>2394</v>
      </c>
      <c r="B98" s="628">
        <v>969</v>
      </c>
      <c r="C98" s="628">
        <v>807</v>
      </c>
      <c r="D98" s="628">
        <v>999</v>
      </c>
      <c r="E98" s="628">
        <v>569</v>
      </c>
      <c r="F98" s="628">
        <v>674</v>
      </c>
      <c r="G98" s="49">
        <f t="shared" si="9"/>
        <v>874.8</v>
      </c>
      <c r="H98" s="69"/>
      <c r="I98" s="69"/>
      <c r="J98" s="69"/>
      <c r="K98" s="69"/>
      <c r="L98" s="100"/>
    </row>
    <row r="99" spans="1:12" x14ac:dyDescent="0.35">
      <c r="A99" s="626" t="s">
        <v>2477</v>
      </c>
      <c r="B99" s="627">
        <v>2031</v>
      </c>
      <c r="C99" s="627">
        <v>1929</v>
      </c>
      <c r="D99" s="627">
        <v>1863</v>
      </c>
      <c r="E99" s="627">
        <v>1497</v>
      </c>
      <c r="F99" s="627">
        <v>1800</v>
      </c>
      <c r="G99" s="49">
        <f t="shared" si="9"/>
        <v>1952.9999999999998</v>
      </c>
      <c r="H99" s="69"/>
      <c r="I99" s="69"/>
      <c r="J99" s="69"/>
      <c r="K99" s="69"/>
      <c r="L99" s="100"/>
    </row>
    <row r="100" spans="1:12" x14ac:dyDescent="0.35">
      <c r="A100" s="626" t="s">
        <v>2396</v>
      </c>
      <c r="B100" s="628">
        <v>970</v>
      </c>
      <c r="C100" s="628">
        <v>840</v>
      </c>
      <c r="D100" s="628">
        <v>927</v>
      </c>
      <c r="E100" s="628">
        <v>524</v>
      </c>
      <c r="F100" s="628">
        <v>637</v>
      </c>
      <c r="G100" s="49">
        <f t="shared" si="9"/>
        <v>887.7</v>
      </c>
      <c r="H100" s="69"/>
      <c r="I100" s="69"/>
      <c r="J100" s="69"/>
      <c r="K100" s="69"/>
      <c r="L100" s="100"/>
    </row>
    <row r="101" spans="1:12" x14ac:dyDescent="0.35">
      <c r="A101" s="626" t="s">
        <v>2397</v>
      </c>
      <c r="B101" s="627">
        <v>1830</v>
      </c>
      <c r="C101" s="627">
        <v>1657</v>
      </c>
      <c r="D101" s="627">
        <v>1730</v>
      </c>
      <c r="E101" s="627">
        <v>1276</v>
      </c>
      <c r="F101" s="627">
        <v>1484</v>
      </c>
      <c r="G101" s="49">
        <f t="shared" si="9"/>
        <v>1716.1999999999998</v>
      </c>
      <c r="H101" s="69"/>
      <c r="I101" s="69"/>
      <c r="J101" s="69"/>
      <c r="K101" s="69"/>
      <c r="L101" s="100"/>
    </row>
    <row r="102" spans="1:12" x14ac:dyDescent="0.35">
      <c r="A102" s="626" t="s">
        <v>1859</v>
      </c>
      <c r="B102" s="627">
        <v>1496</v>
      </c>
      <c r="C102" s="627">
        <v>1379</v>
      </c>
      <c r="D102" s="627">
        <v>1291</v>
      </c>
      <c r="E102" s="628">
        <v>872</v>
      </c>
      <c r="F102" s="627">
        <v>1185</v>
      </c>
      <c r="G102" s="49">
        <f t="shared" si="9"/>
        <v>1405.3</v>
      </c>
      <c r="H102" s="69"/>
      <c r="I102" s="69"/>
      <c r="J102" s="69"/>
      <c r="K102" s="69"/>
      <c r="L102" s="100"/>
    </row>
    <row r="103" spans="1:12" x14ac:dyDescent="0.35">
      <c r="A103" s="626" t="s">
        <v>2398</v>
      </c>
      <c r="B103" s="627">
        <v>1266</v>
      </c>
      <c r="C103" s="627">
        <v>1147</v>
      </c>
      <c r="D103" s="627">
        <v>1151</v>
      </c>
      <c r="E103" s="628">
        <v>732</v>
      </c>
      <c r="F103" s="628">
        <v>863</v>
      </c>
      <c r="G103" s="49">
        <f t="shared" si="9"/>
        <v>1183.0999999999999</v>
      </c>
      <c r="H103" s="69"/>
      <c r="I103" s="69"/>
      <c r="J103" s="69"/>
      <c r="K103" s="69"/>
      <c r="L103" s="100"/>
    </row>
    <row r="104" spans="1:12" x14ac:dyDescent="0.35">
      <c r="A104" s="626" t="s">
        <v>2399</v>
      </c>
      <c r="B104" s="627">
        <v>1065</v>
      </c>
      <c r="C104" s="628">
        <v>927</v>
      </c>
      <c r="D104" s="628">
        <v>900</v>
      </c>
      <c r="E104" s="628">
        <v>578</v>
      </c>
      <c r="F104" s="628">
        <v>646</v>
      </c>
      <c r="G104" s="49">
        <f t="shared" si="9"/>
        <v>965.69999999999993</v>
      </c>
      <c r="H104" s="69"/>
      <c r="I104" s="69"/>
      <c r="J104" s="69"/>
      <c r="K104" s="69"/>
      <c r="L104" s="100"/>
    </row>
    <row r="105" spans="1:12" x14ac:dyDescent="0.35">
      <c r="A105" s="626" t="s">
        <v>2478</v>
      </c>
      <c r="B105" s="628">
        <v>373</v>
      </c>
      <c r="C105" s="628">
        <v>404</v>
      </c>
      <c r="D105" s="628">
        <v>376</v>
      </c>
      <c r="E105" s="628">
        <v>187</v>
      </c>
      <c r="F105" s="628">
        <v>187</v>
      </c>
      <c r="G105" s="49">
        <f t="shared" si="9"/>
        <v>391.9</v>
      </c>
      <c r="H105" s="69"/>
      <c r="I105" s="69"/>
      <c r="J105" s="69"/>
      <c r="K105" s="69"/>
      <c r="L105" s="100"/>
    </row>
    <row r="106" spans="1:12" x14ac:dyDescent="0.35">
      <c r="A106" s="626" t="s">
        <v>1862</v>
      </c>
      <c r="B106" s="628">
        <v>416</v>
      </c>
      <c r="C106" s="628">
        <v>443</v>
      </c>
      <c r="D106" s="628">
        <v>427</v>
      </c>
      <c r="E106" s="628">
        <v>226</v>
      </c>
      <c r="F106" s="628">
        <v>232</v>
      </c>
      <c r="G106" s="49">
        <f t="shared" si="9"/>
        <v>433.3</v>
      </c>
      <c r="H106" s="69"/>
      <c r="I106" s="69"/>
      <c r="J106" s="69"/>
      <c r="K106" s="69"/>
      <c r="L106" s="100"/>
    </row>
    <row r="107" spans="1:12" x14ac:dyDescent="0.35">
      <c r="A107" s="626" t="s">
        <v>1185</v>
      </c>
      <c r="B107" s="627">
        <f>AVERAGE(B91:B106)</f>
        <v>1248.9375</v>
      </c>
      <c r="C107" s="627">
        <f>AVERAGE(C91:C106)</f>
        <v>1162.8125</v>
      </c>
      <c r="D107" s="627">
        <f>AVERAGE(D91:D106)</f>
        <v>1130.5625</v>
      </c>
      <c r="E107" s="627">
        <f>AVERAGE(E91:E106)</f>
        <v>786.25</v>
      </c>
      <c r="F107" s="627">
        <f>AVERAGE(F91:F106)</f>
        <v>909.875</v>
      </c>
      <c r="G107" s="49">
        <f t="shared" si="9"/>
        <v>1185.4250000000002</v>
      </c>
      <c r="H107" s="69"/>
      <c r="I107" s="69"/>
      <c r="J107" s="69"/>
      <c r="K107" s="69"/>
      <c r="L107" s="100"/>
    </row>
    <row r="108" spans="1:12" x14ac:dyDescent="0.35">
      <c r="A108" s="99"/>
      <c r="B108" s="69"/>
      <c r="C108" s="69"/>
      <c r="D108" s="69"/>
      <c r="E108" s="69"/>
      <c r="F108" s="69"/>
      <c r="G108" s="69"/>
      <c r="H108" s="69"/>
      <c r="I108" s="69"/>
      <c r="J108" s="69"/>
      <c r="K108" s="69"/>
      <c r="L108" s="100"/>
    </row>
    <row r="109" spans="1:12" x14ac:dyDescent="0.35">
      <c r="A109" s="99"/>
      <c r="B109" s="69"/>
      <c r="C109" s="69"/>
      <c r="D109" s="69"/>
      <c r="E109" s="69"/>
      <c r="F109" s="69"/>
      <c r="G109" s="69"/>
      <c r="H109" s="69"/>
      <c r="I109" s="69"/>
      <c r="J109" s="69"/>
      <c r="K109" s="69"/>
      <c r="L109" s="100"/>
    </row>
    <row r="110" spans="1:12" x14ac:dyDescent="0.35">
      <c r="A110" s="99"/>
      <c r="B110" s="69"/>
      <c r="C110" s="69"/>
      <c r="D110" s="69"/>
      <c r="E110" s="69"/>
      <c r="F110" s="69"/>
      <c r="G110" s="69"/>
      <c r="H110" s="69"/>
      <c r="I110" s="69"/>
      <c r="J110" s="69"/>
      <c r="K110" s="69"/>
      <c r="L110" s="100"/>
    </row>
    <row r="111" spans="1:12" x14ac:dyDescent="0.35">
      <c r="A111" s="99"/>
      <c r="B111" s="69"/>
      <c r="C111" s="69"/>
      <c r="D111" s="69"/>
      <c r="E111" s="69"/>
      <c r="F111" s="69"/>
      <c r="G111" s="69"/>
      <c r="H111" s="69"/>
      <c r="I111" s="69"/>
      <c r="J111" s="69"/>
      <c r="K111" s="69"/>
      <c r="L111" s="100"/>
    </row>
    <row r="112" spans="1:12" x14ac:dyDescent="0.35">
      <c r="A112" s="99"/>
      <c r="B112" s="714">
        <v>0.3</v>
      </c>
      <c r="C112" s="714">
        <v>0.6</v>
      </c>
      <c r="D112" s="714">
        <v>0.1</v>
      </c>
      <c r="E112" s="69"/>
      <c r="F112" s="69"/>
      <c r="G112" s="69"/>
      <c r="H112" s="69"/>
      <c r="I112" s="69"/>
      <c r="J112" s="69"/>
      <c r="K112" s="69"/>
      <c r="L112" s="100"/>
    </row>
    <row r="113" spans="1:12" x14ac:dyDescent="0.35">
      <c r="A113" s="3159" t="s">
        <v>1360</v>
      </c>
      <c r="B113" s="56" t="s">
        <v>2155</v>
      </c>
      <c r="C113" s="56" t="s">
        <v>2155</v>
      </c>
      <c r="D113" s="56" t="s">
        <v>2155</v>
      </c>
      <c r="E113" s="56" t="s">
        <v>2155</v>
      </c>
      <c r="F113" s="56" t="s">
        <v>2155</v>
      </c>
      <c r="G113" s="69"/>
      <c r="H113" s="69"/>
      <c r="I113" s="69"/>
      <c r="J113" s="69"/>
      <c r="K113" s="69"/>
      <c r="L113" s="100"/>
    </row>
    <row r="114" spans="1:12" x14ac:dyDescent="0.35">
      <c r="A114" s="3159"/>
      <c r="B114" s="56" t="s">
        <v>2479</v>
      </c>
      <c r="C114" s="56" t="s">
        <v>2480</v>
      </c>
      <c r="D114" s="1668" t="s">
        <v>2481</v>
      </c>
      <c r="E114" s="1668" t="s">
        <v>2482</v>
      </c>
      <c r="F114" s="56" t="s">
        <v>2483</v>
      </c>
      <c r="G114" s="1027" t="s">
        <v>1696</v>
      </c>
      <c r="H114" s="69"/>
      <c r="I114" s="69"/>
      <c r="J114" s="69"/>
      <c r="K114" s="69"/>
      <c r="L114" s="100"/>
    </row>
    <row r="115" spans="1:12" ht="15" thickBot="1" x14ac:dyDescent="0.4">
      <c r="A115" s="1121" t="s">
        <v>2484</v>
      </c>
      <c r="B115" s="715">
        <f>VLOOKUP(A115, List!B6:H44, 2, FALSE)</f>
        <v>1787</v>
      </c>
      <c r="C115" s="715">
        <f>VLOOKUP(A115, List!B6:H44, 3, FALSE)</f>
        <v>1831</v>
      </c>
      <c r="D115" s="715">
        <f>VLOOKUP(A115, List!B6:H44, 4, FALSE)</f>
        <v>1635</v>
      </c>
      <c r="E115" s="715">
        <f>VLOOKUP(A115, List!B6:H44, 5, FALSE)</f>
        <v>1089</v>
      </c>
      <c r="F115" s="715">
        <f>VLOOKUP(A115, List!B6:H44, 6, FALSE)</f>
        <v>1669</v>
      </c>
      <c r="G115" s="49">
        <f>B115*$B$112+C115*$C$112+D115*$D$112</f>
        <v>1798.1999999999998</v>
      </c>
      <c r="H115" s="69"/>
      <c r="I115" s="69"/>
      <c r="J115" s="69"/>
      <c r="K115" s="69"/>
      <c r="L115" s="100"/>
    </row>
    <row r="116" spans="1:12" ht="15" thickBot="1" x14ac:dyDescent="0.4">
      <c r="A116" s="1121" t="s">
        <v>2103</v>
      </c>
      <c r="B116" s="715">
        <f>VLOOKUP(A116, List!B7:H45, 2, FALSE)</f>
        <v>1683</v>
      </c>
      <c r="C116" s="715">
        <f>VLOOKUP(A116, List!B7:H45, 3, FALSE)</f>
        <v>1646</v>
      </c>
      <c r="D116" s="715">
        <f>VLOOKUP(A116, List!B7:H45, 4, FALSE)</f>
        <v>1446</v>
      </c>
      <c r="E116" s="715">
        <f>VLOOKUP(A116, List!B7:H45, 5, FALSE)</f>
        <v>1063</v>
      </c>
      <c r="F116" s="715">
        <f>VLOOKUP(A116, List!B7:H45, 6, FALSE)</f>
        <v>1277</v>
      </c>
      <c r="G116" s="49">
        <f t="shared" ref="G116:G152" si="10">B116*$B$112+C116*$C$112+D116*$D$112</f>
        <v>1637.1</v>
      </c>
      <c r="H116" s="69"/>
      <c r="I116" s="69"/>
      <c r="J116" s="69"/>
      <c r="K116" s="69"/>
      <c r="L116" s="100"/>
    </row>
    <row r="117" spans="1:12" ht="15" thickBot="1" x14ac:dyDescent="0.4">
      <c r="A117" s="1666" t="s">
        <v>2485</v>
      </c>
      <c r="B117" s="1667">
        <f>VLOOKUP(A117, List!B8:H46, 2, FALSE)</f>
        <v>2981</v>
      </c>
      <c r="C117" s="1667">
        <f>VLOOKUP(A117, List!B8:H46, 3, FALSE)</f>
        <v>2950</v>
      </c>
      <c r="D117" s="1667">
        <f>VLOOKUP(A117, List!B8:H46, 4, FALSE)</f>
        <v>2694</v>
      </c>
      <c r="E117" s="1667">
        <f>VLOOKUP(A117, List!B8:H46, 5, FALSE)</f>
        <v>2368</v>
      </c>
      <c r="F117" s="1667">
        <f>VLOOKUP(A117, List!B8:H46, 6, FALSE)</f>
        <v>2437</v>
      </c>
      <c r="G117" s="1655">
        <f t="shared" si="10"/>
        <v>2933.7000000000003</v>
      </c>
      <c r="H117" s="69"/>
      <c r="I117" s="69"/>
      <c r="J117" s="69"/>
      <c r="K117" s="69"/>
      <c r="L117" s="100"/>
    </row>
    <row r="118" spans="1:12" ht="15" thickBot="1" x14ac:dyDescent="0.4">
      <c r="A118" s="1121" t="s">
        <v>2486</v>
      </c>
      <c r="B118" s="1667">
        <f>VLOOKUP(A118, List!B9:H47, 2, FALSE)</f>
        <v>1256</v>
      </c>
      <c r="C118" s="1667">
        <f>VLOOKUP(A118, List!B9:H47, 3, FALSE)</f>
        <v>1293</v>
      </c>
      <c r="D118" s="1667">
        <f>VLOOKUP(A118, List!B9:H47, 4, FALSE)</f>
        <v>1138</v>
      </c>
      <c r="E118" s="1667">
        <f>VLOOKUP(A118, List!B9:H47, 5, FALSE)</f>
        <v>1116</v>
      </c>
      <c r="F118" s="1667">
        <f>VLOOKUP(A118, List!B9:H47, 6, FALSE)</f>
        <v>1131</v>
      </c>
      <c r="G118" s="1655">
        <f t="shared" si="10"/>
        <v>1266.3999999999999</v>
      </c>
      <c r="H118" s="69"/>
      <c r="I118" s="69"/>
      <c r="J118" s="69"/>
      <c r="K118" s="69"/>
      <c r="L118" s="100"/>
    </row>
    <row r="119" spans="1:12" ht="15" thickBot="1" x14ac:dyDescent="0.4">
      <c r="A119" s="1121" t="s">
        <v>2487</v>
      </c>
      <c r="B119" s="715">
        <f>VLOOKUP(A119, List!B10:H48, 2, FALSE)</f>
        <v>1481</v>
      </c>
      <c r="C119" s="715">
        <f>VLOOKUP(A119, List!B10:H48, 3, FALSE)</f>
        <v>1368</v>
      </c>
      <c r="D119" s="715">
        <f>VLOOKUP(A119, List!B10:H48, 4, FALSE)</f>
        <v>1214</v>
      </c>
      <c r="E119" s="715">
        <f>VLOOKUP(A119, List!B10:H48, 5, FALSE)</f>
        <v>871</v>
      </c>
      <c r="F119" s="715">
        <f>VLOOKUP(A119, List!B10:H48, 6, FALSE)</f>
        <v>973</v>
      </c>
      <c r="G119" s="49">
        <f t="shared" si="10"/>
        <v>1386.5</v>
      </c>
      <c r="H119" s="69"/>
      <c r="I119" s="69"/>
      <c r="J119" s="69"/>
      <c r="K119" s="69"/>
      <c r="L119" s="100"/>
    </row>
    <row r="120" spans="1:12" ht="15" thickBot="1" x14ac:dyDescent="0.4">
      <c r="A120" s="1666" t="s">
        <v>2488</v>
      </c>
      <c r="B120" s="1667">
        <f>VLOOKUP(A120, List!B11:H49, 2, FALSE)</f>
        <v>2848</v>
      </c>
      <c r="C120" s="1667">
        <f>VLOOKUP(A120, List!B11:H49, 3, FALSE)</f>
        <v>2947</v>
      </c>
      <c r="D120" s="1667">
        <f>VLOOKUP(A120, List!B11:H49, 4, FALSE)</f>
        <v>2568</v>
      </c>
      <c r="E120" s="1667">
        <f>VLOOKUP(A120, List!B11:H49, 5, FALSE)</f>
        <v>2362</v>
      </c>
      <c r="F120" s="1667">
        <f>VLOOKUP(A120, List!B11:H49, 6, FALSE)</f>
        <v>2516</v>
      </c>
      <c r="G120" s="1655">
        <f t="shared" si="10"/>
        <v>2879.4</v>
      </c>
      <c r="H120" s="69"/>
      <c r="I120" s="69"/>
      <c r="J120" s="69"/>
      <c r="K120" s="69"/>
      <c r="L120" s="100"/>
    </row>
    <row r="121" spans="1:12" ht="15" thickBot="1" x14ac:dyDescent="0.4">
      <c r="A121" s="1121" t="s">
        <v>1964</v>
      </c>
      <c r="B121" s="1667">
        <f>VLOOKUP(A121, List!B12:H50, 2, FALSE)</f>
        <v>1614</v>
      </c>
      <c r="C121" s="1667">
        <f>VLOOKUP(A121, List!B12:H50, 3, FALSE)</f>
        <v>1603</v>
      </c>
      <c r="D121" s="1667">
        <f>VLOOKUP(A121, List!B12:H50, 4, FALSE)</f>
        <v>1409</v>
      </c>
      <c r="E121" s="1667">
        <f>VLOOKUP(A121, List!B12:H50, 5, FALSE)</f>
        <v>1209</v>
      </c>
      <c r="F121" s="1667">
        <f>VLOOKUP(A121, List!B12:H50, 6, FALSE)</f>
        <v>1269</v>
      </c>
      <c r="G121" s="1655">
        <f t="shared" si="10"/>
        <v>1586.9</v>
      </c>
      <c r="H121" s="69"/>
      <c r="I121" s="69"/>
      <c r="J121" s="69"/>
      <c r="K121" s="69"/>
      <c r="L121" s="100"/>
    </row>
    <row r="122" spans="1:12" ht="15" thickBot="1" x14ac:dyDescent="0.4">
      <c r="A122" s="1121" t="s">
        <v>2489</v>
      </c>
      <c r="B122" s="715">
        <f>VLOOKUP(A122, List!B13:H51, 2, FALSE)</f>
        <v>985</v>
      </c>
      <c r="C122" s="715">
        <f>VLOOKUP(A122, List!B13:H51, 3, FALSE)</f>
        <v>969</v>
      </c>
      <c r="D122" s="715">
        <f>VLOOKUP(A122, List!B13:H51, 4, FALSE)</f>
        <v>852</v>
      </c>
      <c r="E122" s="715">
        <f>VLOOKUP(A122, List!B13:H51, 5, FALSE)</f>
        <v>680</v>
      </c>
      <c r="F122" s="715">
        <f>VLOOKUP(A122, List!B13:H51, 6, FALSE)</f>
        <v>752</v>
      </c>
      <c r="G122" s="49">
        <f t="shared" si="10"/>
        <v>962.1</v>
      </c>
      <c r="H122" s="69"/>
      <c r="I122" s="69"/>
      <c r="J122" s="69"/>
      <c r="K122" s="69"/>
      <c r="L122" s="100"/>
    </row>
    <row r="123" spans="1:12" ht="15" thickBot="1" x14ac:dyDescent="0.4">
      <c r="A123" s="1121" t="s">
        <v>1853</v>
      </c>
      <c r="B123" s="1667">
        <f>VLOOKUP(A123, List!B14:H52, 2, FALSE)</f>
        <v>1467</v>
      </c>
      <c r="C123" s="1667">
        <f>VLOOKUP(A123, List!B14:H52, 3, FALSE)</f>
        <v>1551</v>
      </c>
      <c r="D123" s="1667">
        <f>VLOOKUP(A123, List!B14:H52, 4, FALSE)</f>
        <v>1364</v>
      </c>
      <c r="E123" s="1667">
        <f>VLOOKUP(A123, List!B14:H52, 5, FALSE)</f>
        <v>1367</v>
      </c>
      <c r="F123" s="1667">
        <f>VLOOKUP(A123, List!B14:H52, 6, FALSE)</f>
        <v>1375</v>
      </c>
      <c r="G123" s="1655">
        <f t="shared" si="10"/>
        <v>1507.1</v>
      </c>
      <c r="H123" s="69"/>
      <c r="I123" s="69"/>
      <c r="J123" s="69"/>
      <c r="K123" s="69"/>
      <c r="L123" s="100"/>
    </row>
    <row r="124" spans="1:12" ht="15" thickBot="1" x14ac:dyDescent="0.4">
      <c r="A124" s="1121" t="s">
        <v>2391</v>
      </c>
      <c r="B124" s="1667">
        <f>VLOOKUP(A124, List!B15:H53, 2, FALSE)</f>
        <v>1446</v>
      </c>
      <c r="C124" s="1667">
        <f>VLOOKUP(A124, List!B15:H53, 3, FALSE)</f>
        <v>1526</v>
      </c>
      <c r="D124" s="1667">
        <f>VLOOKUP(A124, List!B15:H53, 4, FALSE)</f>
        <v>1452</v>
      </c>
      <c r="E124" s="1667">
        <f>VLOOKUP(A124, List!B15:H53, 5, FALSE)</f>
        <v>1553</v>
      </c>
      <c r="F124" s="1667">
        <f>VLOOKUP(A124, List!B15:H53, 6, FALSE)</f>
        <v>1574</v>
      </c>
      <c r="G124" s="1655">
        <f t="shared" si="10"/>
        <v>1494.6000000000001</v>
      </c>
      <c r="H124" s="69"/>
      <c r="I124" s="69"/>
      <c r="J124" s="69"/>
      <c r="K124" s="69"/>
      <c r="L124" s="100"/>
    </row>
    <row r="125" spans="1:12" ht="15" thickBot="1" x14ac:dyDescent="0.4">
      <c r="A125" s="1121" t="s">
        <v>2394</v>
      </c>
      <c r="B125" s="1667">
        <f>VLOOKUP(A125, List!B16:H54, 2, FALSE)</f>
        <v>1807</v>
      </c>
      <c r="C125" s="1667">
        <f>VLOOKUP(A125, List!B16:H54, 3, FALSE)</f>
        <v>1855</v>
      </c>
      <c r="D125" s="1667">
        <f>VLOOKUP(A125, List!B16:H54, 4, FALSE)</f>
        <v>1649</v>
      </c>
      <c r="E125" s="1667">
        <f>VLOOKUP(A125, List!B16:H54, 5, FALSE)</f>
        <v>1591</v>
      </c>
      <c r="F125" s="1667">
        <f>VLOOKUP(A125, List!B16:H54, 6, FALSE)</f>
        <v>1622</v>
      </c>
      <c r="G125" s="1655">
        <f t="shared" si="10"/>
        <v>1820</v>
      </c>
      <c r="H125" s="69"/>
      <c r="I125" s="69"/>
      <c r="J125" s="69"/>
      <c r="K125" s="69"/>
      <c r="L125" s="100"/>
    </row>
    <row r="126" spans="1:12" ht="15" thickBot="1" x14ac:dyDescent="0.4">
      <c r="A126" s="1121" t="s">
        <v>2490</v>
      </c>
      <c r="B126" s="1667">
        <f>VLOOKUP(A126, List!B17:H55, 2, FALSE)</f>
        <v>1216</v>
      </c>
      <c r="C126" s="1667">
        <f>VLOOKUP(A126, List!B17:H55, 3, FALSE)</f>
        <v>1220</v>
      </c>
      <c r="D126" s="1667">
        <f>VLOOKUP(A126, List!B17:H55, 4, FALSE)</f>
        <v>1072</v>
      </c>
      <c r="E126" s="1667">
        <f>VLOOKUP(A126, List!B17:H55, 5, FALSE)</f>
        <v>1001</v>
      </c>
      <c r="F126" s="1667">
        <f>VLOOKUP(A126, List!B17:H55, 6, FALSE)</f>
        <v>1028</v>
      </c>
      <c r="G126" s="1655">
        <f t="shared" si="10"/>
        <v>1204</v>
      </c>
      <c r="H126" s="69"/>
      <c r="I126" s="69"/>
      <c r="J126" s="69"/>
      <c r="K126" s="69"/>
      <c r="L126" s="100"/>
    </row>
    <row r="127" spans="1:12" ht="15" thickBot="1" x14ac:dyDescent="0.4">
      <c r="A127" s="1121" t="s">
        <v>2491</v>
      </c>
      <c r="B127" s="1667">
        <f>VLOOKUP(A127, List!B18:H56, 2, FALSE)</f>
        <v>1387</v>
      </c>
      <c r="C127" s="1667">
        <f>VLOOKUP(A127, List!B18:H56, 3, FALSE)</f>
        <v>1398</v>
      </c>
      <c r="D127" s="1667">
        <f>VLOOKUP(A127, List!B18:H56, 4, FALSE)</f>
        <v>1252</v>
      </c>
      <c r="E127" s="1667">
        <f>VLOOKUP(A127, List!B18:H56, 5, FALSE)</f>
        <v>1222</v>
      </c>
      <c r="F127" s="1667">
        <f>VLOOKUP(A127, List!B18:H56, 6, FALSE)</f>
        <v>1269</v>
      </c>
      <c r="G127" s="1655">
        <f t="shared" si="10"/>
        <v>1380.1</v>
      </c>
      <c r="H127" s="69"/>
      <c r="I127" s="69"/>
      <c r="J127" s="69"/>
      <c r="K127" s="69"/>
      <c r="L127" s="100"/>
    </row>
    <row r="128" spans="1:12" ht="15" thickBot="1" x14ac:dyDescent="0.4">
      <c r="A128" s="1121" t="s">
        <v>2492</v>
      </c>
      <c r="B128" s="1667">
        <f>VLOOKUP(A128, List!B19:H57, 2, FALSE)</f>
        <v>665</v>
      </c>
      <c r="C128" s="1667">
        <f>VLOOKUP(A128, List!B19:H57, 3, FALSE)</f>
        <v>697</v>
      </c>
      <c r="D128" s="1667">
        <f>VLOOKUP(A128, List!B19:H57, 4, FALSE)</f>
        <v>628</v>
      </c>
      <c r="E128" s="1667">
        <f>VLOOKUP(A128, List!B19:H57, 5, FALSE)</f>
        <v>646</v>
      </c>
      <c r="F128" s="1667">
        <f>VLOOKUP(A128, List!B19:H57, 6, FALSE)</f>
        <v>615</v>
      </c>
      <c r="G128" s="1655">
        <f t="shared" si="10"/>
        <v>680.5</v>
      </c>
      <c r="H128" s="69"/>
      <c r="I128" s="69"/>
      <c r="J128" s="69"/>
      <c r="K128" s="69"/>
      <c r="L128" s="100"/>
    </row>
    <row r="129" spans="1:12" ht="15" thickBot="1" x14ac:dyDescent="0.4">
      <c r="A129" s="1121" t="s">
        <v>2493</v>
      </c>
      <c r="B129" s="1667">
        <f>VLOOKUP(A129, List!B20:H58, 2, FALSE)</f>
        <v>1622</v>
      </c>
      <c r="C129" s="1667">
        <f>VLOOKUP(A129, List!B20:H58, 3, FALSE)</f>
        <v>1571</v>
      </c>
      <c r="D129" s="1667">
        <f>VLOOKUP(A129, List!B20:H58, 4, FALSE)</f>
        <v>1374</v>
      </c>
      <c r="E129" s="1667">
        <f>VLOOKUP(A129, List!B20:H58, 5, FALSE)</f>
        <v>1220</v>
      </c>
      <c r="F129" s="1667">
        <f>VLOOKUP(A129, List!B20:H58, 6, FALSE)</f>
        <v>1281</v>
      </c>
      <c r="G129" s="1655">
        <f t="shared" si="10"/>
        <v>1566.6</v>
      </c>
      <c r="H129" s="69"/>
      <c r="I129" s="69"/>
      <c r="J129" s="69"/>
      <c r="K129" s="69"/>
      <c r="L129" s="100"/>
    </row>
    <row r="130" spans="1:12" ht="15" thickBot="1" x14ac:dyDescent="0.4">
      <c r="A130" s="1121" t="s">
        <v>2099</v>
      </c>
      <c r="B130" s="1667">
        <f>VLOOKUP(A130, List!B21:H59, 2, FALSE)</f>
        <v>1597</v>
      </c>
      <c r="C130" s="1667">
        <f>VLOOKUP(A130, List!B21:H59, 3, FALSE)</f>
        <v>1634</v>
      </c>
      <c r="D130" s="1667">
        <f>VLOOKUP(A130, List!B21:H59, 4, FALSE)</f>
        <v>1468</v>
      </c>
      <c r="E130" s="1667">
        <f>VLOOKUP(A130, List!B21:H59, 5, FALSE)</f>
        <v>1376</v>
      </c>
      <c r="F130" s="1667">
        <f>VLOOKUP(A130, List!B21:H59, 6, FALSE)</f>
        <v>1451</v>
      </c>
      <c r="G130" s="1655">
        <f t="shared" si="10"/>
        <v>1606.3</v>
      </c>
      <c r="H130" s="69"/>
      <c r="I130" s="69"/>
      <c r="J130" s="69"/>
      <c r="K130" s="69"/>
      <c r="L130" s="100"/>
    </row>
    <row r="131" spans="1:12" ht="15" thickBot="1" x14ac:dyDescent="0.4">
      <c r="A131" s="1121" t="s">
        <v>2494</v>
      </c>
      <c r="B131" s="1667">
        <f>VLOOKUP(A131, List!B22:H60, 2, FALSE)</f>
        <v>1670</v>
      </c>
      <c r="C131" s="1667">
        <f>VLOOKUP(A131, List!B22:H60, 3, FALSE)</f>
        <v>1733</v>
      </c>
      <c r="D131" s="1667">
        <f>VLOOKUP(A131, List!B22:H60, 4, FALSE)</f>
        <v>1549</v>
      </c>
      <c r="E131" s="1667">
        <f>VLOOKUP(A131, List!B22:H60, 5, FALSE)</f>
        <v>1496</v>
      </c>
      <c r="F131" s="1667">
        <f>VLOOKUP(A131, List!B22:H60, 6, FALSE)</f>
        <v>1557</v>
      </c>
      <c r="G131" s="1655">
        <f t="shared" si="10"/>
        <v>1695.7</v>
      </c>
      <c r="H131" s="69"/>
      <c r="I131" s="69"/>
      <c r="J131" s="69"/>
      <c r="K131" s="69"/>
      <c r="L131" s="100"/>
    </row>
    <row r="132" spans="1:12" ht="15" thickBot="1" x14ac:dyDescent="0.4">
      <c r="A132" s="1121" t="s">
        <v>2495</v>
      </c>
      <c r="B132" s="1667">
        <f>VLOOKUP(A132, List!B23:H61, 2, FALSE)</f>
        <v>1555</v>
      </c>
      <c r="C132" s="1667">
        <f>VLOOKUP(A132, List!B23:H61, 3, FALSE)</f>
        <v>1597</v>
      </c>
      <c r="D132" s="1667">
        <f>VLOOKUP(A132, List!B23:H61, 4, FALSE)</f>
        <v>1433</v>
      </c>
      <c r="E132" s="1667">
        <f>VLOOKUP(A132, List!B23:H61, 5, FALSE)</f>
        <v>1316</v>
      </c>
      <c r="F132" s="1667">
        <f>VLOOKUP(A132, List!B23:H61, 6, FALSE)</f>
        <v>1400</v>
      </c>
      <c r="G132" s="1655">
        <f t="shared" si="10"/>
        <v>1567.9999999999998</v>
      </c>
      <c r="H132" s="69"/>
      <c r="I132" s="69"/>
      <c r="J132" s="69"/>
      <c r="K132" s="69"/>
      <c r="L132" s="100"/>
    </row>
    <row r="133" spans="1:12" ht="15" thickBot="1" x14ac:dyDescent="0.4">
      <c r="A133" s="1121" t="s">
        <v>2392</v>
      </c>
      <c r="B133" s="715">
        <f>VLOOKUP(A133, List!B24:H62, 2, FALSE)</f>
        <v>1048</v>
      </c>
      <c r="C133" s="715">
        <f>VLOOKUP(A133, List!B24:H62, 3, FALSE)</f>
        <v>1013</v>
      </c>
      <c r="D133" s="715">
        <f>VLOOKUP(A133, List!B24:H62, 4, FALSE)</f>
        <v>939</v>
      </c>
      <c r="E133" s="715">
        <f>VLOOKUP(A133, List!B24:H62, 5, FALSE)</f>
        <v>567</v>
      </c>
      <c r="F133" s="715">
        <f>VLOOKUP(A133, List!B24:H62, 6, FALSE)</f>
        <v>634</v>
      </c>
      <c r="G133" s="49">
        <f t="shared" si="10"/>
        <v>1016.0999999999999</v>
      </c>
      <c r="H133" s="69"/>
      <c r="I133" s="69"/>
      <c r="J133" s="69"/>
      <c r="K133" s="69"/>
      <c r="L133" s="100"/>
    </row>
    <row r="134" spans="1:12" ht="15" thickBot="1" x14ac:dyDescent="0.4">
      <c r="A134" s="1121" t="s">
        <v>2496</v>
      </c>
      <c r="B134" s="1667">
        <f>VLOOKUP(A134, List!B25:H63, 2, FALSE)</f>
        <v>1565</v>
      </c>
      <c r="C134" s="1667">
        <f>VLOOKUP(A134, List!B25:H63, 3, FALSE)</f>
        <v>1540</v>
      </c>
      <c r="D134" s="1667">
        <f>VLOOKUP(A134, List!B25:H63, 4, FALSE)</f>
        <v>1448</v>
      </c>
      <c r="E134" s="1667">
        <f>VLOOKUP(A134, List!B25:H63, 5, FALSE)</f>
        <v>1089</v>
      </c>
      <c r="F134" s="1667">
        <f>VLOOKUP(A134, List!B25:H63, 6, FALSE)</f>
        <v>1125</v>
      </c>
      <c r="G134" s="1655">
        <f t="shared" si="10"/>
        <v>1538.3</v>
      </c>
      <c r="H134" s="69"/>
      <c r="I134" s="69"/>
      <c r="J134" s="69"/>
      <c r="K134" s="69"/>
      <c r="L134" s="100"/>
    </row>
    <row r="135" spans="1:12" ht="15" thickBot="1" x14ac:dyDescent="0.4">
      <c r="A135" s="1121" t="s">
        <v>2497</v>
      </c>
      <c r="B135" s="1667">
        <f>VLOOKUP(A135, List!B26:H64, 2, FALSE)</f>
        <v>537</v>
      </c>
      <c r="C135" s="1667">
        <f>VLOOKUP(A135, List!B26:H64, 3, FALSE)</f>
        <v>558</v>
      </c>
      <c r="D135" s="1667">
        <f>VLOOKUP(A135, List!B26:H64, 4, FALSE)</f>
        <v>501</v>
      </c>
      <c r="E135" s="1667">
        <f>VLOOKUP(A135, List!B26:H64, 5, FALSE)</f>
        <v>480</v>
      </c>
      <c r="F135" s="1667">
        <f>VLOOKUP(A135, List!B26:H64, 6, FALSE)</f>
        <v>499</v>
      </c>
      <c r="G135" s="1655">
        <f t="shared" si="10"/>
        <v>546</v>
      </c>
      <c r="H135" s="69"/>
      <c r="I135" s="69"/>
      <c r="J135" s="69"/>
      <c r="K135" s="69"/>
      <c r="L135" s="100"/>
    </row>
    <row r="136" spans="1:12" ht="15" thickBot="1" x14ac:dyDescent="0.4">
      <c r="A136" s="1121" t="s">
        <v>2498</v>
      </c>
      <c r="B136" s="1667">
        <f>VLOOKUP(A136, List!B27:H65, 2, FALSE)</f>
        <v>1665</v>
      </c>
      <c r="C136" s="1667">
        <f>VLOOKUP(A136, List!B27:H65, 3, FALSE)</f>
        <v>1666</v>
      </c>
      <c r="D136" s="1667">
        <f>VLOOKUP(A136, List!B27:H65, 4, FALSE)</f>
        <v>1512</v>
      </c>
      <c r="E136" s="1667">
        <f>VLOOKUP(A136, List!B27:H65, 5, FALSE)</f>
        <v>1145</v>
      </c>
      <c r="F136" s="1667">
        <f>VLOOKUP(A136, List!B27:H65, 6, FALSE)</f>
        <v>1207</v>
      </c>
      <c r="G136" s="1655">
        <f t="shared" si="10"/>
        <v>1650.3</v>
      </c>
      <c r="H136" s="69"/>
      <c r="I136" s="69"/>
      <c r="J136" s="69"/>
      <c r="K136" s="69"/>
      <c r="L136" s="100"/>
    </row>
    <row r="137" spans="1:12" ht="15" thickBot="1" x14ac:dyDescent="0.4">
      <c r="A137" s="1121" t="s">
        <v>2415</v>
      </c>
      <c r="B137" s="1667">
        <f>VLOOKUP(A137, List!B28:H66, 2, FALSE)</f>
        <v>1730</v>
      </c>
      <c r="C137" s="1667">
        <f>VLOOKUP(A137, List!B28:H66, 3, FALSE)</f>
        <v>1782</v>
      </c>
      <c r="D137" s="1667">
        <f>VLOOKUP(A137, List!B28:H66, 4, FALSE)</f>
        <v>1589</v>
      </c>
      <c r="E137" s="1667">
        <f>VLOOKUP(A137, List!B28:H66, 5, FALSE)</f>
        <v>1538</v>
      </c>
      <c r="F137" s="1667">
        <f>VLOOKUP(A137, List!B28:H66, 6, FALSE)</f>
        <v>1560</v>
      </c>
      <c r="G137" s="1655">
        <f t="shared" si="10"/>
        <v>1747.1000000000001</v>
      </c>
      <c r="H137" s="69"/>
      <c r="I137" s="69"/>
      <c r="J137" s="69"/>
      <c r="K137" s="69"/>
      <c r="L137" s="100"/>
    </row>
    <row r="138" spans="1:12" ht="15" thickBot="1" x14ac:dyDescent="0.4">
      <c r="A138" s="1121" t="s">
        <v>2499</v>
      </c>
      <c r="B138" s="715">
        <f>VLOOKUP(A138, List!B29:H67, 2, FALSE)</f>
        <v>1916</v>
      </c>
      <c r="C138" s="715">
        <f>VLOOKUP(A138, List!B29:H67, 3, FALSE)</f>
        <v>1905</v>
      </c>
      <c r="D138" s="715">
        <f>VLOOKUP(A138, List!B29:H67, 4, FALSE)</f>
        <v>1718</v>
      </c>
      <c r="E138" s="715">
        <f>VLOOKUP(A138, List!B29:H67, 5, FALSE)</f>
        <v>1288</v>
      </c>
      <c r="F138" s="715">
        <f>VLOOKUP(A138, List!B29:H67, 6, FALSE)</f>
        <v>1538</v>
      </c>
      <c r="G138" s="49">
        <f t="shared" si="10"/>
        <v>1889.6</v>
      </c>
      <c r="H138" s="69"/>
      <c r="I138" s="69"/>
      <c r="J138" s="69"/>
      <c r="K138" s="69"/>
      <c r="L138" s="100"/>
    </row>
    <row r="139" spans="1:12" ht="15" thickBot="1" x14ac:dyDescent="0.4">
      <c r="A139" s="1121" t="s">
        <v>2500</v>
      </c>
      <c r="B139" s="1667">
        <f>VLOOKUP(A139, List!B30:H68, 2, FALSE)</f>
        <v>995</v>
      </c>
      <c r="C139" s="1667">
        <f>VLOOKUP(A139, List!B30:H68, 3, FALSE)</f>
        <v>1036</v>
      </c>
      <c r="D139" s="1667">
        <f>VLOOKUP(A139, List!B30:H68, 4, FALSE)</f>
        <v>933</v>
      </c>
      <c r="E139" s="1667">
        <f>VLOOKUP(A139, List!B30:H68, 5, FALSE)</f>
        <v>786</v>
      </c>
      <c r="F139" s="1667">
        <f>VLOOKUP(A139, List!B30:H68, 6, FALSE)</f>
        <v>832</v>
      </c>
      <c r="G139" s="1655">
        <f t="shared" si="10"/>
        <v>1013.4000000000001</v>
      </c>
      <c r="H139" s="69"/>
      <c r="I139" s="69"/>
      <c r="J139" s="69"/>
      <c r="K139" s="69"/>
      <c r="L139" s="100"/>
    </row>
    <row r="140" spans="1:12" ht="15" thickBot="1" x14ac:dyDescent="0.4">
      <c r="A140" s="1121" t="s">
        <v>2501</v>
      </c>
      <c r="B140" s="1667">
        <f>VLOOKUP(A140, List!B31:H69, 2, FALSE)</f>
        <v>1001</v>
      </c>
      <c r="C140" s="1667">
        <f>VLOOKUP(A140, List!B31:H69, 3, FALSE)</f>
        <v>1051</v>
      </c>
      <c r="D140" s="1667">
        <f>VLOOKUP(A140, List!B31:H69, 4, FALSE)</f>
        <v>929</v>
      </c>
      <c r="E140" s="1667">
        <f>VLOOKUP(A140, List!B31:H69, 5, FALSE)</f>
        <v>803</v>
      </c>
      <c r="F140" s="1667">
        <f>VLOOKUP(A140, List!B31:H69, 6, FALSE)</f>
        <v>851</v>
      </c>
      <c r="G140" s="1655">
        <f t="shared" si="10"/>
        <v>1023.8000000000001</v>
      </c>
      <c r="H140" s="69"/>
      <c r="I140" s="69"/>
      <c r="J140" s="69"/>
      <c r="K140" s="69"/>
      <c r="L140" s="100"/>
    </row>
    <row r="141" spans="1:12" ht="15" thickBot="1" x14ac:dyDescent="0.4">
      <c r="A141" s="1121" t="s">
        <v>2502</v>
      </c>
      <c r="B141" s="1667">
        <f>VLOOKUP(A141, List!B32:H70, 2, FALSE)</f>
        <v>1552</v>
      </c>
      <c r="C141" s="1667">
        <f>VLOOKUP(A141, List!B32:H70, 3, FALSE)</f>
        <v>1432</v>
      </c>
      <c r="D141" s="1667">
        <f>VLOOKUP(A141, List!B32:H70, 4, FALSE)</f>
        <v>1239</v>
      </c>
      <c r="E141" s="1667">
        <f>VLOOKUP(A141, List!B32:H70, 5, FALSE)</f>
        <v>1077</v>
      </c>
      <c r="F141" s="1667">
        <f>VLOOKUP(A141, List!B32:H70, 6, FALSE)</f>
        <v>1098</v>
      </c>
      <c r="G141" s="1655">
        <f t="shared" si="10"/>
        <v>1448.7</v>
      </c>
      <c r="H141" s="69"/>
      <c r="I141" s="69"/>
      <c r="J141" s="69"/>
      <c r="K141" s="69"/>
      <c r="L141" s="100"/>
    </row>
    <row r="142" spans="1:12" ht="15" thickBot="1" x14ac:dyDescent="0.4">
      <c r="A142" s="1121" t="s">
        <v>2503</v>
      </c>
      <c r="B142" s="1667">
        <f>VLOOKUP(A142, List!B33:H71, 2, FALSE)</f>
        <v>1015</v>
      </c>
      <c r="C142" s="1667">
        <f>VLOOKUP(A142, List!B33:H71, 3, FALSE)</f>
        <v>993</v>
      </c>
      <c r="D142" s="1667">
        <f>VLOOKUP(A142, List!B33:H71, 4, FALSE)</f>
        <v>899</v>
      </c>
      <c r="E142" s="1667">
        <f>VLOOKUP(A142, List!B33:H71, 5, FALSE)</f>
        <v>773</v>
      </c>
      <c r="F142" s="1667">
        <f>VLOOKUP(A142, List!B33:H71, 6, FALSE)</f>
        <v>809</v>
      </c>
      <c r="G142" s="1655">
        <f t="shared" si="10"/>
        <v>990.19999999999993</v>
      </c>
      <c r="H142" s="69"/>
      <c r="I142" s="69"/>
      <c r="J142" s="69"/>
      <c r="K142" s="69"/>
      <c r="L142" s="100"/>
    </row>
    <row r="143" spans="1:12" ht="15" thickBot="1" x14ac:dyDescent="0.4">
      <c r="A143" s="1121" t="s">
        <v>2388</v>
      </c>
      <c r="B143" s="1667">
        <f>VLOOKUP(A143, List!B34:H72, 2, FALSE)</f>
        <v>2825</v>
      </c>
      <c r="C143" s="1667">
        <f>VLOOKUP(A143, List!B34:H72, 3, FALSE)</f>
        <v>2625</v>
      </c>
      <c r="D143" s="1667">
        <f>VLOOKUP(A143, List!B34:H72, 4, FALSE)</f>
        <v>2365</v>
      </c>
      <c r="E143" s="1667">
        <f>VLOOKUP(A143, List!B34:H72, 5, FALSE)</f>
        <v>2007</v>
      </c>
      <c r="F143" s="1667">
        <f>VLOOKUP(A143, List!B34:H72, 6, FALSE)</f>
        <v>2040</v>
      </c>
      <c r="G143" s="1655">
        <f t="shared" si="10"/>
        <v>2659</v>
      </c>
      <c r="H143" s="69"/>
      <c r="I143" s="69"/>
      <c r="J143" s="69"/>
      <c r="K143" s="69"/>
      <c r="L143" s="100"/>
    </row>
    <row r="144" spans="1:12" ht="15" thickBot="1" x14ac:dyDescent="0.4">
      <c r="A144" s="1121" t="s">
        <v>2386</v>
      </c>
      <c r="B144" s="1667">
        <f>VLOOKUP(A144, List!B35:H73, 2, FALSE)</f>
        <v>1672</v>
      </c>
      <c r="C144" s="1667">
        <f>VLOOKUP(A144, List!B35:H73, 3, FALSE)</f>
        <v>1629</v>
      </c>
      <c r="D144" s="1667">
        <f>VLOOKUP(A144, List!B35:H73, 4, FALSE)</f>
        <v>1454</v>
      </c>
      <c r="E144" s="1667">
        <f>VLOOKUP(A144, List!B35:H73, 5, FALSE)</f>
        <v>1356</v>
      </c>
      <c r="F144" s="1667">
        <f>VLOOKUP(A144, List!B35:H73, 6, FALSE)</f>
        <v>1399</v>
      </c>
      <c r="G144" s="1655">
        <f t="shared" si="10"/>
        <v>1624.4</v>
      </c>
      <c r="H144" s="69"/>
      <c r="I144" s="69"/>
      <c r="J144" s="69"/>
      <c r="K144" s="69"/>
      <c r="L144" s="100"/>
    </row>
    <row r="145" spans="1:12" ht="15" thickBot="1" x14ac:dyDescent="0.4">
      <c r="A145" s="1666" t="s">
        <v>1598</v>
      </c>
      <c r="B145" s="1667">
        <f>VLOOKUP(A145, List!B36:H74, 2, FALSE)</f>
        <v>2757</v>
      </c>
      <c r="C145" s="1667">
        <f>VLOOKUP(A145, List!B36:H74, 3, FALSE)</f>
        <v>2670</v>
      </c>
      <c r="D145" s="1667">
        <f>VLOOKUP(A145, List!B36:H74, 4, FALSE)</f>
        <v>2383</v>
      </c>
      <c r="E145" s="1667">
        <f>VLOOKUP(A145, List!B36:H74, 5, FALSE)</f>
        <v>2149</v>
      </c>
      <c r="F145" s="1667">
        <f>VLOOKUP(A145, List!B36:H74, 6, FALSE)</f>
        <v>2186</v>
      </c>
      <c r="G145" s="1655">
        <f t="shared" si="10"/>
        <v>2667.4</v>
      </c>
      <c r="H145" s="69"/>
      <c r="I145" s="69"/>
      <c r="J145" s="69"/>
      <c r="K145" s="69"/>
      <c r="L145" s="100"/>
    </row>
    <row r="146" spans="1:12" ht="15" thickBot="1" x14ac:dyDescent="0.4">
      <c r="A146" s="1121" t="s">
        <v>2504</v>
      </c>
      <c r="B146" s="1667">
        <f>VLOOKUP(A146, List!B37:H75, 2, FALSE)</f>
        <v>1603</v>
      </c>
      <c r="C146" s="1667">
        <f>VLOOKUP(A146, List!B37:H75, 3, FALSE)</f>
        <v>1504</v>
      </c>
      <c r="D146" s="1667">
        <f>VLOOKUP(A146, List!B37:H75, 4, FALSE)</f>
        <v>1440</v>
      </c>
      <c r="E146" s="1667">
        <f>VLOOKUP(A146, List!B37:H75, 5, FALSE)</f>
        <v>1054</v>
      </c>
      <c r="F146" s="1667">
        <f>VLOOKUP(A146, List!B37:H75, 6, FALSE)</f>
        <v>1205</v>
      </c>
      <c r="G146" s="1655">
        <f t="shared" si="10"/>
        <v>1527.3</v>
      </c>
      <c r="H146" s="69"/>
      <c r="I146" s="69"/>
      <c r="J146" s="69"/>
      <c r="K146" s="69"/>
      <c r="L146" s="100"/>
    </row>
    <row r="147" spans="1:12" ht="15" thickBot="1" x14ac:dyDescent="0.4">
      <c r="A147" s="1121" t="s">
        <v>1859</v>
      </c>
      <c r="B147" s="1667">
        <f>VLOOKUP(A147, List!B38:H76, 2, FALSE)</f>
        <v>1326</v>
      </c>
      <c r="C147" s="1667">
        <f>VLOOKUP(A147, List!B38:H76, 3, FALSE)</f>
        <v>1328</v>
      </c>
      <c r="D147" s="1667">
        <f>VLOOKUP(A147, List!B38:H76, 4, FALSE)</f>
        <v>1179</v>
      </c>
      <c r="E147" s="1667">
        <f>VLOOKUP(A147, List!B38:H76, 5, FALSE)</f>
        <v>1091</v>
      </c>
      <c r="F147" s="1667">
        <f>VLOOKUP(A147, List!B38:H76, 6, FALSE)</f>
        <v>1122</v>
      </c>
      <c r="G147" s="1655">
        <f t="shared" si="10"/>
        <v>1312.5</v>
      </c>
      <c r="H147" s="69"/>
      <c r="I147" s="69"/>
      <c r="J147" s="69"/>
      <c r="K147" s="69"/>
      <c r="L147" s="100"/>
    </row>
    <row r="148" spans="1:12" ht="15" thickBot="1" x14ac:dyDescent="0.4">
      <c r="A148" s="1121" t="s">
        <v>2399</v>
      </c>
      <c r="B148" s="1667">
        <f>VLOOKUP(A148, List!B39:H77, 2, FALSE)</f>
        <v>1365</v>
      </c>
      <c r="C148" s="1667">
        <f>VLOOKUP(A148, List!B39:H77, 3, FALSE)</f>
        <v>1322</v>
      </c>
      <c r="D148" s="1667">
        <f>VLOOKUP(A148, List!B39:H77, 4, FALSE)</f>
        <v>1193</v>
      </c>
      <c r="E148" s="1667">
        <f>VLOOKUP(A148, List!B39:H77, 5, FALSE)</f>
        <v>1034</v>
      </c>
      <c r="F148" s="1667">
        <f>VLOOKUP(A148, List!B39:H77, 6, FALSE)</f>
        <v>1088</v>
      </c>
      <c r="G148" s="1655">
        <f t="shared" si="10"/>
        <v>1321.9999999999998</v>
      </c>
      <c r="H148" s="69"/>
      <c r="I148" s="69"/>
      <c r="J148" s="69"/>
      <c r="K148" s="69"/>
      <c r="L148" s="100"/>
    </row>
    <row r="149" spans="1:12" ht="15" thickBot="1" x14ac:dyDescent="0.4">
      <c r="A149" s="1121" t="s">
        <v>2398</v>
      </c>
      <c r="B149" s="1667">
        <f>VLOOKUP(A149, List!B40:H78, 2, FALSE)</f>
        <v>1347</v>
      </c>
      <c r="C149" s="1667">
        <f>VLOOKUP(A149, List!B40:H78, 3, FALSE)</f>
        <v>1325</v>
      </c>
      <c r="D149" s="1667">
        <f>VLOOKUP(A149, List!B40:H78, 4, FALSE)</f>
        <v>1183</v>
      </c>
      <c r="E149" s="1667">
        <f>VLOOKUP(A149, List!B40:H78, 5, FALSE)</f>
        <v>1064</v>
      </c>
      <c r="F149" s="1667">
        <f>VLOOKUP(A149, List!B40:H78, 6, FALSE)</f>
        <v>1096</v>
      </c>
      <c r="G149" s="1655">
        <f t="shared" si="10"/>
        <v>1317.3999999999999</v>
      </c>
      <c r="H149" s="69"/>
      <c r="I149" s="69"/>
      <c r="J149" s="69"/>
      <c r="K149" s="69"/>
      <c r="L149" s="100"/>
    </row>
    <row r="150" spans="1:12" ht="15" thickBot="1" x14ac:dyDescent="0.4">
      <c r="A150" s="1121" t="s">
        <v>1862</v>
      </c>
      <c r="B150" s="1667">
        <f>VLOOKUP(A150, List!B41:H79, 2, FALSE)</f>
        <v>1285</v>
      </c>
      <c r="C150" s="1667">
        <f>VLOOKUP(A150, List!B41:H79, 3, FALSE)</f>
        <v>1286</v>
      </c>
      <c r="D150" s="1667">
        <f>VLOOKUP(A150, List!B41:H79, 4, FALSE)</f>
        <v>1180</v>
      </c>
      <c r="E150" s="1667">
        <f>VLOOKUP(A150, List!B41:H79, 5, FALSE)</f>
        <v>1147</v>
      </c>
      <c r="F150" s="1667">
        <f>VLOOKUP(A150, List!B41:H79, 6, FALSE)</f>
        <v>1224</v>
      </c>
      <c r="G150" s="1655">
        <f t="shared" si="10"/>
        <v>1275.0999999999999</v>
      </c>
      <c r="H150" s="69"/>
      <c r="I150" s="69"/>
      <c r="J150" s="69"/>
      <c r="K150" s="69"/>
      <c r="L150" s="100"/>
    </row>
    <row r="151" spans="1:12" ht="15" thickBot="1" x14ac:dyDescent="0.4">
      <c r="A151" s="1121" t="s">
        <v>1185</v>
      </c>
      <c r="B151" s="1667">
        <f>VLOOKUP(A151, List!B42:H80, 2, FALSE)</f>
        <v>1709</v>
      </c>
      <c r="C151" s="1667">
        <f>VLOOKUP(A151, List!B42:H80, 3, FALSE)</f>
        <v>1678</v>
      </c>
      <c r="D151" s="1667">
        <f>VLOOKUP(A151, List!B42:H80, 4, FALSE)</f>
        <v>1508</v>
      </c>
      <c r="E151" s="1667">
        <f>VLOOKUP(A151, List!B42:H80, 5, FALSE)</f>
        <v>1287</v>
      </c>
      <c r="F151" s="1667">
        <f>VLOOKUP(A151, List!B42:H80, 6, FALSE)</f>
        <v>1411</v>
      </c>
      <c r="G151" s="1655">
        <f t="shared" si="10"/>
        <v>1670.3</v>
      </c>
      <c r="H151" s="69"/>
      <c r="I151" s="69"/>
      <c r="J151" s="69"/>
      <c r="K151" s="69"/>
      <c r="L151" s="100"/>
    </row>
    <row r="152" spans="1:12" ht="15" thickBot="1" x14ac:dyDescent="0.4">
      <c r="A152" s="1121" t="s">
        <v>1363</v>
      </c>
      <c r="B152" s="1667">
        <f>VLOOKUP(A152, List!B43:H81, 2, FALSE)</f>
        <v>1567.0270270270271</v>
      </c>
      <c r="C152" s="1667">
        <f>VLOOKUP(A152, List!B43:H81, 3, FALSE)</f>
        <v>1560.3243243243244</v>
      </c>
      <c r="D152" s="1667">
        <f>VLOOKUP(A152, List!B43:H81, 4, FALSE)</f>
        <v>1399.7027027027027</v>
      </c>
      <c r="E152" s="1667">
        <f>VLOOKUP(A152, List!B43:H81, 5, FALSE)</f>
        <v>1223.8108108108108</v>
      </c>
      <c r="F152" s="1667">
        <f>VLOOKUP(A152, List!B43:H81, 6, FALSE)</f>
        <v>1300.5405405405406</v>
      </c>
      <c r="G152" s="1655">
        <f t="shared" si="10"/>
        <v>1546.2729729729731</v>
      </c>
      <c r="H152" s="69"/>
      <c r="I152" s="69"/>
      <c r="J152" s="69"/>
      <c r="K152" s="69"/>
      <c r="L152" s="100"/>
    </row>
    <row r="153" spans="1:12" x14ac:dyDescent="0.35">
      <c r="A153" s="99"/>
      <c r="B153" s="69"/>
      <c r="C153" s="69"/>
      <c r="D153" s="69"/>
      <c r="E153" s="69"/>
      <c r="F153" s="69"/>
      <c r="G153" s="69"/>
      <c r="H153" s="69"/>
      <c r="I153" s="69"/>
      <c r="J153" s="69"/>
      <c r="K153" s="69"/>
      <c r="L153" s="100"/>
    </row>
    <row r="154" spans="1:12" x14ac:dyDescent="0.35">
      <c r="A154" s="99"/>
      <c r="B154" s="69"/>
      <c r="C154" s="69"/>
      <c r="D154" s="69"/>
      <c r="E154" s="69"/>
      <c r="F154" s="69"/>
      <c r="G154" s="69"/>
      <c r="H154" s="69"/>
      <c r="I154" s="69"/>
      <c r="J154" s="69"/>
      <c r="K154" s="69"/>
      <c r="L154" s="100"/>
    </row>
    <row r="155" spans="1:12" x14ac:dyDescent="0.35">
      <c r="A155" s="99"/>
      <c r="B155" s="69"/>
      <c r="C155" s="69"/>
      <c r="D155" s="69"/>
      <c r="E155" s="69"/>
      <c r="F155" s="69"/>
      <c r="G155" s="69"/>
      <c r="H155" s="69"/>
      <c r="I155" s="69"/>
      <c r="J155" s="69"/>
      <c r="K155" s="69"/>
      <c r="L155" s="100"/>
    </row>
    <row r="156" spans="1:12" x14ac:dyDescent="0.35">
      <c r="A156" s="99"/>
      <c r="B156" s="69"/>
      <c r="C156" s="69"/>
      <c r="D156" s="69"/>
      <c r="E156" s="69"/>
      <c r="F156" s="69"/>
      <c r="G156" s="69"/>
      <c r="H156" s="69"/>
      <c r="I156" s="69"/>
      <c r="J156" s="69"/>
      <c r="K156" s="69"/>
      <c r="L156" s="100"/>
    </row>
    <row r="157" spans="1:12" x14ac:dyDescent="0.35">
      <c r="A157" s="99"/>
      <c r="B157" s="69"/>
      <c r="C157" s="69"/>
      <c r="D157" s="69"/>
      <c r="E157" s="69"/>
      <c r="F157" s="69"/>
      <c r="G157" s="69"/>
      <c r="H157" s="69"/>
      <c r="I157" s="69"/>
      <c r="J157" s="69"/>
      <c r="K157" s="69"/>
      <c r="L157" s="100"/>
    </row>
    <row r="158" spans="1:12" ht="15" thickBot="1" x14ac:dyDescent="0.4">
      <c r="A158" s="99"/>
      <c r="B158" s="3166" t="s">
        <v>2505</v>
      </c>
      <c r="C158" s="3167"/>
      <c r="D158" s="3168"/>
      <c r="E158" s="69"/>
      <c r="F158" s="69"/>
      <c r="G158" s="69"/>
      <c r="H158" s="69"/>
      <c r="I158" s="69"/>
      <c r="J158" s="69"/>
      <c r="K158" s="69"/>
      <c r="L158" s="100"/>
    </row>
    <row r="159" spans="1:12" ht="15" thickBot="1" x14ac:dyDescent="0.4">
      <c r="A159" s="99"/>
      <c r="B159" s="1023" t="s">
        <v>1360</v>
      </c>
      <c r="C159" s="1024" t="s">
        <v>2506</v>
      </c>
      <c r="D159" s="1025" t="s">
        <v>1179</v>
      </c>
      <c r="E159" s="69"/>
      <c r="F159" s="69"/>
      <c r="G159" s="69"/>
      <c r="H159" s="69"/>
      <c r="I159" s="69"/>
      <c r="J159" s="69"/>
      <c r="K159" s="69"/>
      <c r="L159" s="100"/>
    </row>
    <row r="160" spans="1:12" x14ac:dyDescent="0.35">
      <c r="A160" s="99"/>
      <c r="B160" s="99" t="s">
        <v>2484</v>
      </c>
      <c r="C160" s="1669">
        <v>2150</v>
      </c>
      <c r="D160" s="1026">
        <v>0.48299999999999998</v>
      </c>
      <c r="E160" s="69"/>
      <c r="F160" s="69"/>
      <c r="G160" s="69"/>
      <c r="H160" s="69"/>
      <c r="I160" s="69"/>
      <c r="J160" s="69"/>
      <c r="K160" s="69"/>
      <c r="L160" s="100"/>
    </row>
    <row r="161" spans="1:12" x14ac:dyDescent="0.35">
      <c r="A161" s="99"/>
      <c r="B161" s="99" t="s">
        <v>2103</v>
      </c>
      <c r="C161" s="1669">
        <v>4373</v>
      </c>
      <c r="D161" s="1026">
        <v>0.52900000000000003</v>
      </c>
      <c r="E161" s="69"/>
      <c r="F161" s="69"/>
      <c r="G161" s="69"/>
      <c r="H161" s="69"/>
      <c r="I161" s="69"/>
      <c r="J161" s="69"/>
      <c r="K161" s="69"/>
      <c r="L161" s="100"/>
    </row>
    <row r="162" spans="1:12" x14ac:dyDescent="0.35">
      <c r="A162" s="99"/>
      <c r="B162" s="99" t="s">
        <v>2486</v>
      </c>
      <c r="C162" s="1659">
        <v>4065</v>
      </c>
      <c r="D162" s="1026">
        <v>0.14199999999999999</v>
      </c>
      <c r="E162" s="69"/>
      <c r="F162" s="69"/>
      <c r="G162" s="69"/>
      <c r="H162" s="69"/>
      <c r="I162" s="69"/>
      <c r="J162" s="69"/>
      <c r="K162" s="69"/>
      <c r="L162" s="100"/>
    </row>
    <row r="163" spans="1:12" x14ac:dyDescent="0.35">
      <c r="A163" s="99"/>
      <c r="B163" s="99" t="s">
        <v>2487</v>
      </c>
      <c r="C163" s="1669">
        <v>2084</v>
      </c>
      <c r="D163" s="1026">
        <v>0.57099999999999995</v>
      </c>
      <c r="E163" s="69"/>
      <c r="F163" s="69"/>
      <c r="G163" s="69"/>
      <c r="H163" s="69"/>
      <c r="I163" s="69"/>
      <c r="J163" s="69"/>
      <c r="K163" s="69"/>
      <c r="L163" s="100"/>
    </row>
    <row r="164" spans="1:12" x14ac:dyDescent="0.35">
      <c r="A164" s="99"/>
      <c r="B164" s="99" t="s">
        <v>1964</v>
      </c>
      <c r="C164" s="1659">
        <v>2649</v>
      </c>
      <c r="D164" s="1026">
        <v>0.33300000000000002</v>
      </c>
      <c r="E164" s="69"/>
      <c r="F164" s="69"/>
      <c r="G164" s="69"/>
      <c r="H164" s="69"/>
      <c r="I164" s="69"/>
      <c r="J164" s="69"/>
      <c r="K164" s="69"/>
      <c r="L164" s="100"/>
    </row>
    <row r="165" spans="1:12" x14ac:dyDescent="0.35">
      <c r="A165" s="99"/>
      <c r="B165" s="99" t="s">
        <v>2489</v>
      </c>
      <c r="C165" s="1669">
        <v>2102</v>
      </c>
      <c r="D165" s="1026">
        <v>0.61899999999999999</v>
      </c>
      <c r="E165" s="69"/>
      <c r="F165" s="69"/>
      <c r="G165" s="69"/>
      <c r="H165" s="69"/>
      <c r="I165" s="69"/>
      <c r="J165" s="69"/>
      <c r="K165" s="69"/>
      <c r="L165" s="100"/>
    </row>
    <row r="166" spans="1:12" x14ac:dyDescent="0.35">
      <c r="A166" s="99"/>
      <c r="B166" s="99" t="s">
        <v>1853</v>
      </c>
      <c r="C166" s="1659">
        <v>5470</v>
      </c>
      <c r="D166" s="1026">
        <v>0.47499999999999998</v>
      </c>
      <c r="E166" s="69"/>
      <c r="F166" s="69"/>
      <c r="G166" s="69"/>
      <c r="H166" s="69"/>
      <c r="I166" s="69"/>
      <c r="J166" s="69"/>
      <c r="K166" s="69"/>
      <c r="L166" s="100"/>
    </row>
    <row r="167" spans="1:12" x14ac:dyDescent="0.35">
      <c r="A167" s="99"/>
      <c r="B167" s="99" t="s">
        <v>2391</v>
      </c>
      <c r="C167" s="1659">
        <v>6364</v>
      </c>
      <c r="D167" s="1026">
        <v>0.61899999999999999</v>
      </c>
      <c r="E167" s="69"/>
      <c r="F167" s="69"/>
      <c r="G167" s="69"/>
      <c r="H167" s="69"/>
      <c r="I167" s="69"/>
      <c r="J167" s="69"/>
      <c r="K167" s="69"/>
      <c r="L167" s="100"/>
    </row>
    <row r="168" spans="1:12" x14ac:dyDescent="0.35">
      <c r="A168" s="99"/>
      <c r="B168" s="99" t="s">
        <v>2394</v>
      </c>
      <c r="C168" s="1669">
        <v>3141</v>
      </c>
      <c r="D168" s="1026">
        <v>0.28799999999999998</v>
      </c>
      <c r="E168" s="69"/>
      <c r="F168" s="69"/>
      <c r="G168" s="69"/>
      <c r="H168" s="69"/>
      <c r="I168" s="69"/>
      <c r="J168" s="69"/>
      <c r="K168" s="69"/>
      <c r="L168" s="100"/>
    </row>
    <row r="169" spans="1:12" x14ac:dyDescent="0.35">
      <c r="A169" s="99"/>
      <c r="B169" s="99" t="s">
        <v>2492</v>
      </c>
      <c r="C169" s="1659">
        <v>8707</v>
      </c>
      <c r="D169" s="1026">
        <v>0.57599999999999996</v>
      </c>
      <c r="E169" s="69"/>
      <c r="F169" s="69"/>
      <c r="G169" s="69"/>
      <c r="H169" s="69"/>
      <c r="I169" s="69"/>
      <c r="J169" s="69"/>
      <c r="K169" s="69"/>
      <c r="L169" s="100"/>
    </row>
    <row r="170" spans="1:12" x14ac:dyDescent="0.35">
      <c r="A170" s="99"/>
      <c r="B170" s="99" t="s">
        <v>2491</v>
      </c>
      <c r="C170" s="1659">
        <v>2336</v>
      </c>
      <c r="D170" s="1026">
        <v>0.61499999999999999</v>
      </c>
      <c r="E170" s="69"/>
      <c r="F170" s="69"/>
      <c r="G170" s="69"/>
      <c r="H170" s="69"/>
      <c r="I170" s="69"/>
      <c r="J170" s="69"/>
      <c r="K170" s="69"/>
      <c r="L170" s="100"/>
    </row>
    <row r="171" spans="1:12" x14ac:dyDescent="0.35">
      <c r="A171" s="99"/>
      <c r="B171" s="99" t="s">
        <v>2490</v>
      </c>
      <c r="C171" s="1659">
        <v>4948</v>
      </c>
      <c r="D171" s="1026">
        <v>0.64800000000000002</v>
      </c>
      <c r="E171" s="69"/>
      <c r="F171" s="69"/>
      <c r="G171" s="69"/>
      <c r="H171" s="69"/>
      <c r="I171" s="69"/>
      <c r="J171" s="69"/>
      <c r="K171" s="69"/>
      <c r="L171" s="100"/>
    </row>
    <row r="172" spans="1:12" x14ac:dyDescent="0.35">
      <c r="A172" s="99"/>
      <c r="B172" s="99" t="s">
        <v>2493</v>
      </c>
      <c r="C172" s="1659">
        <v>8760</v>
      </c>
      <c r="D172" s="1026">
        <v>0.60899999999999999</v>
      </c>
      <c r="E172" s="69"/>
      <c r="F172" s="69"/>
      <c r="G172" s="69"/>
      <c r="H172" s="69"/>
      <c r="I172" s="69"/>
      <c r="J172" s="69"/>
      <c r="K172" s="69"/>
      <c r="L172" s="100"/>
    </row>
    <row r="173" spans="1:12" x14ac:dyDescent="0.35">
      <c r="A173" s="99"/>
      <c r="B173" s="99" t="s">
        <v>2392</v>
      </c>
      <c r="C173" s="1669">
        <v>2805</v>
      </c>
      <c r="D173" s="1026">
        <v>0.433</v>
      </c>
      <c r="E173" s="69"/>
      <c r="F173" s="69"/>
      <c r="G173" s="69"/>
      <c r="H173" s="69"/>
      <c r="I173" s="69"/>
      <c r="J173" s="69"/>
      <c r="K173" s="69"/>
      <c r="L173" s="100"/>
    </row>
    <row r="174" spans="1:12" x14ac:dyDescent="0.35">
      <c r="A174" s="99"/>
      <c r="B174" s="99" t="s">
        <v>2496</v>
      </c>
      <c r="C174" s="1659">
        <v>6823</v>
      </c>
      <c r="D174" s="1026">
        <v>0.437</v>
      </c>
      <c r="E174" s="69"/>
      <c r="F174" s="69"/>
      <c r="G174" s="69"/>
      <c r="H174" s="69"/>
      <c r="I174" s="69"/>
      <c r="J174" s="69"/>
      <c r="K174" s="69"/>
      <c r="L174" s="100"/>
    </row>
    <row r="175" spans="1:12" x14ac:dyDescent="0.35">
      <c r="A175" s="99"/>
      <c r="B175" s="99" t="s">
        <v>2415</v>
      </c>
      <c r="C175" s="1659">
        <v>4996</v>
      </c>
      <c r="D175" s="1026">
        <v>0.24299999999999999</v>
      </c>
      <c r="E175" s="69"/>
      <c r="F175" s="69"/>
      <c r="G175" s="69"/>
      <c r="H175" s="69"/>
      <c r="I175" s="69"/>
      <c r="J175" s="69"/>
      <c r="K175" s="69"/>
      <c r="L175" s="100"/>
    </row>
    <row r="176" spans="1:12" x14ac:dyDescent="0.35">
      <c r="A176" s="99"/>
      <c r="B176" s="99" t="s">
        <v>2495</v>
      </c>
      <c r="C176" s="1659">
        <v>4155</v>
      </c>
      <c r="D176" s="1026">
        <v>0.629</v>
      </c>
      <c r="E176" s="69"/>
      <c r="F176" s="69"/>
      <c r="G176" s="69"/>
      <c r="H176" s="69"/>
      <c r="I176" s="69"/>
      <c r="J176" s="69"/>
      <c r="K176" s="69"/>
      <c r="L176" s="100"/>
    </row>
    <row r="177" spans="1:12" x14ac:dyDescent="0.35">
      <c r="A177" s="99"/>
      <c r="B177" s="99" t="s">
        <v>2494</v>
      </c>
      <c r="C177" s="1659">
        <v>6227</v>
      </c>
      <c r="D177" s="1026">
        <v>0.64600000000000002</v>
      </c>
      <c r="E177" s="69"/>
      <c r="F177" s="69"/>
      <c r="G177" s="69"/>
      <c r="H177" s="69"/>
      <c r="I177" s="69"/>
      <c r="J177" s="69"/>
      <c r="K177" s="69"/>
      <c r="L177" s="100"/>
    </row>
    <row r="178" spans="1:12" x14ac:dyDescent="0.35">
      <c r="A178" s="99"/>
      <c r="B178" s="99" t="s">
        <v>2499</v>
      </c>
      <c r="C178" s="1669">
        <v>2120</v>
      </c>
      <c r="D178" s="1026">
        <v>0.41899999999999998</v>
      </c>
      <c r="E178" s="69"/>
      <c r="F178" s="69"/>
      <c r="G178" s="69"/>
      <c r="H178" s="69"/>
      <c r="I178" s="69"/>
      <c r="J178" s="69"/>
      <c r="K178" s="69"/>
      <c r="L178" s="100"/>
    </row>
    <row r="179" spans="1:12" x14ac:dyDescent="0.35">
      <c r="A179" s="99"/>
      <c r="B179" s="99" t="s">
        <v>2507</v>
      </c>
      <c r="C179" s="1659">
        <v>3414</v>
      </c>
      <c r="D179" s="1026">
        <v>0.432</v>
      </c>
      <c r="E179" s="69"/>
      <c r="F179" s="69"/>
      <c r="G179" s="69"/>
      <c r="H179" s="69"/>
      <c r="I179" s="69"/>
      <c r="J179" s="69"/>
      <c r="K179" s="69"/>
      <c r="L179" s="100"/>
    </row>
    <row r="180" spans="1:12" x14ac:dyDescent="0.35">
      <c r="A180" s="99"/>
      <c r="B180" s="99" t="s">
        <v>2508</v>
      </c>
      <c r="C180" s="1669">
        <v>4849</v>
      </c>
      <c r="D180" s="1026">
        <v>0.48299999999999998</v>
      </c>
      <c r="E180" s="69"/>
      <c r="F180" s="69"/>
      <c r="G180" s="69"/>
      <c r="H180" s="69"/>
      <c r="I180" s="69"/>
      <c r="J180" s="69"/>
      <c r="K180" s="69"/>
      <c r="L180" s="100"/>
    </row>
    <row r="181" spans="1:12" x14ac:dyDescent="0.35">
      <c r="A181" s="99"/>
      <c r="B181" s="99" t="s">
        <v>2509</v>
      </c>
      <c r="C181" s="1659">
        <v>6049</v>
      </c>
      <c r="D181" s="1026">
        <v>0.503</v>
      </c>
      <c r="E181" s="69"/>
      <c r="F181" s="69"/>
      <c r="G181" s="69"/>
      <c r="H181" s="69"/>
      <c r="I181" s="69"/>
      <c r="J181" s="69"/>
      <c r="K181" s="69"/>
      <c r="L181" s="100"/>
    </row>
    <row r="182" spans="1:12" x14ac:dyDescent="0.35">
      <c r="A182" s="99"/>
      <c r="B182" s="99" t="s">
        <v>2503</v>
      </c>
      <c r="C182" s="1659">
        <v>5341</v>
      </c>
      <c r="D182" s="1026">
        <v>0.46200000000000002</v>
      </c>
      <c r="E182" s="69"/>
      <c r="F182" s="69"/>
      <c r="G182" s="69"/>
      <c r="H182" s="69"/>
      <c r="I182" s="69"/>
      <c r="J182" s="69"/>
      <c r="K182" s="69"/>
      <c r="L182" s="100"/>
    </row>
    <row r="183" spans="1:12" x14ac:dyDescent="0.35">
      <c r="A183" s="99"/>
      <c r="B183" s="99" t="s">
        <v>2388</v>
      </c>
      <c r="C183" s="1659">
        <v>3835</v>
      </c>
      <c r="D183" s="1026">
        <v>0.47399999999999998</v>
      </c>
      <c r="E183" s="69"/>
      <c r="F183" s="69"/>
      <c r="G183" s="69"/>
      <c r="H183" s="69"/>
      <c r="I183" s="69"/>
      <c r="J183" s="69"/>
      <c r="K183" s="69"/>
      <c r="L183" s="100"/>
    </row>
    <row r="184" spans="1:12" x14ac:dyDescent="0.35">
      <c r="A184" s="99"/>
      <c r="B184" s="99" t="s">
        <v>2386</v>
      </c>
      <c r="C184" s="1659">
        <v>3040</v>
      </c>
      <c r="D184" s="1026">
        <v>0.42799999999999999</v>
      </c>
      <c r="E184" s="69"/>
      <c r="F184" s="69"/>
      <c r="G184" s="69"/>
      <c r="H184" s="69"/>
      <c r="I184" s="69"/>
      <c r="J184" s="69"/>
      <c r="K184" s="69"/>
      <c r="L184" s="100"/>
    </row>
    <row r="185" spans="1:12" x14ac:dyDescent="0.35">
      <c r="A185" s="99"/>
      <c r="B185" s="99" t="s">
        <v>2504</v>
      </c>
      <c r="C185" s="1669">
        <v>2830</v>
      </c>
      <c r="D185" s="1026">
        <v>0.433</v>
      </c>
      <c r="E185" s="69"/>
      <c r="F185" s="69"/>
      <c r="G185" s="69"/>
      <c r="H185" s="69"/>
      <c r="I185" s="69"/>
      <c r="J185" s="69"/>
      <c r="K185" s="69"/>
      <c r="L185" s="100"/>
    </row>
    <row r="186" spans="1:12" x14ac:dyDescent="0.35">
      <c r="A186" s="99"/>
      <c r="B186" s="99" t="s">
        <v>1859</v>
      </c>
      <c r="C186" s="1659">
        <v>2305</v>
      </c>
      <c r="D186" s="1026">
        <v>0.48799999999999999</v>
      </c>
      <c r="E186" s="69"/>
      <c r="F186" s="69"/>
      <c r="G186" s="69"/>
      <c r="H186" s="69"/>
      <c r="I186" s="69"/>
      <c r="J186" s="69"/>
      <c r="K186" s="69"/>
      <c r="L186" s="100"/>
    </row>
    <row r="187" spans="1:12" x14ac:dyDescent="0.35">
      <c r="A187" s="99"/>
      <c r="B187" s="99" t="s">
        <v>2399</v>
      </c>
      <c r="C187" s="1669">
        <v>2528</v>
      </c>
      <c r="D187" s="1026">
        <v>0.505</v>
      </c>
      <c r="E187" s="69"/>
      <c r="F187" s="69"/>
      <c r="G187" s="69"/>
      <c r="H187" s="69"/>
      <c r="I187" s="69"/>
      <c r="J187" s="69"/>
      <c r="K187" s="69"/>
      <c r="L187" s="100"/>
    </row>
    <row r="188" spans="1:12" x14ac:dyDescent="0.35">
      <c r="A188" s="99"/>
      <c r="B188" s="99" t="s">
        <v>2398</v>
      </c>
      <c r="C188" s="1669">
        <v>2266</v>
      </c>
      <c r="D188" s="1026">
        <v>0.52800000000000002</v>
      </c>
      <c r="E188" s="69"/>
      <c r="F188" s="69"/>
      <c r="G188" s="69"/>
      <c r="H188" s="69"/>
      <c r="I188" s="69"/>
      <c r="J188" s="69"/>
      <c r="K188" s="69"/>
      <c r="L188" s="100"/>
    </row>
    <row r="189" spans="1:12" x14ac:dyDescent="0.35">
      <c r="A189" s="99"/>
      <c r="B189" s="99" t="s">
        <v>1862</v>
      </c>
      <c r="C189" s="1669">
        <v>770</v>
      </c>
      <c r="D189" s="1026">
        <v>0.22500000000000001</v>
      </c>
      <c r="E189" s="69"/>
      <c r="F189" s="69"/>
      <c r="G189" s="69"/>
      <c r="H189" s="69"/>
      <c r="I189" s="69"/>
      <c r="J189" s="69"/>
      <c r="K189" s="69"/>
      <c r="L189" s="100"/>
    </row>
    <row r="190" spans="1:12" ht="15" thickBot="1" x14ac:dyDescent="0.4">
      <c r="A190" s="99"/>
      <c r="B190" s="99" t="s">
        <v>1185</v>
      </c>
      <c r="C190" s="1659">
        <v>2987</v>
      </c>
      <c r="D190" s="1026">
        <v>0.42399999999999999</v>
      </c>
      <c r="E190" s="69"/>
      <c r="F190" s="69"/>
      <c r="G190" s="69"/>
      <c r="H190" s="69"/>
      <c r="I190" s="69"/>
      <c r="J190" s="69"/>
      <c r="K190" s="69"/>
      <c r="L190" s="100"/>
    </row>
    <row r="191" spans="1:12" ht="15" thickBot="1" x14ac:dyDescent="0.4">
      <c r="A191" s="662" t="s">
        <v>2510</v>
      </c>
      <c r="B191" s="662" t="s">
        <v>114</v>
      </c>
      <c r="C191" s="606">
        <f>+C190</f>
        <v>2987</v>
      </c>
      <c r="D191" s="607">
        <f>+D190</f>
        <v>0.42399999999999999</v>
      </c>
      <c r="E191" s="69"/>
      <c r="F191" s="69"/>
      <c r="G191" s="69"/>
      <c r="H191" s="69"/>
      <c r="I191" s="69"/>
      <c r="J191" s="69"/>
      <c r="K191" s="69"/>
      <c r="L191" s="100"/>
    </row>
    <row r="192" spans="1:12" x14ac:dyDescent="0.35">
      <c r="A192" s="99"/>
      <c r="B192" s="69"/>
      <c r="C192" s="69"/>
      <c r="D192" s="69"/>
      <c r="E192" s="69"/>
      <c r="F192" s="69"/>
      <c r="G192" s="69"/>
      <c r="H192" s="69"/>
      <c r="I192" s="69"/>
      <c r="J192" s="69"/>
      <c r="K192" s="69"/>
      <c r="L192" s="100"/>
    </row>
    <row r="193" spans="1:12" x14ac:dyDescent="0.35">
      <c r="A193" s="99"/>
      <c r="B193" s="69"/>
      <c r="C193" s="69"/>
      <c r="D193" s="69"/>
      <c r="E193" s="69"/>
      <c r="F193" s="69"/>
      <c r="G193" s="69"/>
      <c r="H193" s="69"/>
      <c r="I193" s="69"/>
      <c r="J193" s="69"/>
      <c r="K193" s="69"/>
      <c r="L193" s="100"/>
    </row>
    <row r="194" spans="1:12" ht="15" thickBot="1" x14ac:dyDescent="0.4">
      <c r="A194" s="261"/>
      <c r="B194" s="161"/>
      <c r="C194" s="161"/>
      <c r="D194" s="161"/>
      <c r="E194" s="161"/>
      <c r="F194" s="161"/>
      <c r="G194" s="161"/>
      <c r="H194" s="161"/>
      <c r="I194" s="161"/>
      <c r="J194" s="161"/>
      <c r="K194" s="161"/>
      <c r="L194" s="163"/>
    </row>
  </sheetData>
  <customSheetViews>
    <customSheetView guid="{ECD6FE6A-9548-414E-B8AA-6998703C57E0}" scale="85" showPageBreaks="1" fitToPage="1" view="pageBreakPreview">
      <pageMargins left="0" right="0" top="0" bottom="0" header="0" footer="0"/>
      <pageSetup scale="17" orientation="portrait" r:id="rId1"/>
    </customSheetView>
    <customSheetView guid="{11DE45F5-F478-4ED6-8DFF-12002C22A637}" scale="85" showPageBreaks="1" fitToPage="1" view="pageBreakPreview">
      <pageMargins left="0" right="0" top="0" bottom="0" header="0" footer="0"/>
      <pageSetup scale="17" orientation="portrait" r:id="rId2"/>
    </customSheetView>
  </customSheetViews>
  <mergeCells count="13">
    <mergeCell ref="B158:D158"/>
    <mergeCell ref="B60:C60"/>
    <mergeCell ref="B64:C64"/>
    <mergeCell ref="E54:F54"/>
    <mergeCell ref="H54:J54"/>
    <mergeCell ref="H93:I93"/>
    <mergeCell ref="A89:A90"/>
    <mergeCell ref="B89:G89"/>
    <mergeCell ref="A113:A114"/>
    <mergeCell ref="V2:AF2"/>
    <mergeCell ref="C43:G44"/>
    <mergeCell ref="P2:R2"/>
    <mergeCell ref="S2:U2"/>
  </mergeCells>
  <phoneticPr fontId="152" type="noConversion"/>
  <dataValidations count="6">
    <dataValidation type="list" allowBlank="1" showInputMessage="1" showErrorMessage="1" sqref="J4:J7" xr:uid="{00000000-0002-0000-1A00-000000000000}">
      <formula1>$A$115:$A$150</formula1>
    </dataValidation>
    <dataValidation type="list" allowBlank="1" showInputMessage="1" showErrorMessage="1" sqref="I4:I9" xr:uid="{00000000-0002-0000-1A00-000001000000}">
      <formula1>$H$56:$H$63</formula1>
    </dataValidation>
    <dataValidation type="list" allowBlank="1" showInputMessage="1" showErrorMessage="1" sqref="D4:D9" xr:uid="{00000000-0002-0000-1A00-000002000000}">
      <formula1>MeasureType</formula1>
    </dataValidation>
    <dataValidation type="list" allowBlank="1" showInputMessage="1" showErrorMessage="1" sqref="H4:H9" xr:uid="{00000000-0002-0000-1A00-000003000000}">
      <formula1>HEFr2</formula1>
    </dataValidation>
    <dataValidation type="list" allowBlank="1" showInputMessage="1" showErrorMessage="1" sqref="G4:G9" xr:uid="{00000000-0002-0000-1A00-000004000000}">
      <formula1>HEFr1</formula1>
    </dataValidation>
    <dataValidation type="list" allowBlank="1" showInputMessage="1" showErrorMessage="1" sqref="E4:E9" xr:uid="{00000000-0002-0000-1A00-000005000000}">
      <formula1>HEBr1</formula1>
    </dataValidation>
  </dataValidations>
  <hyperlinks>
    <hyperlink ref="A1" location="'Measure-Level Adjustments'!Print_Titles" display="Measure Level Tab" xr:uid="{247FCCFC-9D5B-4BAC-A868-6AA4178A3417}"/>
  </hyperlinks>
  <pageMargins left="0.7" right="0.7" top="0.75" bottom="0.75" header="0.3" footer="0.3"/>
  <pageSetup scale="18" orientation="portrait"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A00-000006000000}">
          <x14:formula1>
            <xm:f>List!$J$25:$J$35</xm:f>
          </x14:formula1>
          <xm:sqref>J8:J9</xm:sqref>
        </x14:dataValidation>
        <x14:dataValidation type="list" allowBlank="1" showInputMessage="1" showErrorMessage="1" xr:uid="{00000000-0002-0000-1A00-000007000000}">
          <x14:formula1>
            <xm:f>'T:\EEP Planning Models\Planning Tools\Measure_Data\Custom TRM EEP 3\[HIM_CI_TRMv5 0.xlsx]List'!#REF!</xm:f>
          </x14:formula1>
          <xm:sqref>K4:K9</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A1:Q22"/>
  <sheetViews>
    <sheetView zoomScaleNormal="100" zoomScaleSheetLayoutView="100" workbookViewId="0">
      <selection activeCell="H36" sqref="H36"/>
    </sheetView>
  </sheetViews>
  <sheetFormatPr defaultRowHeight="14.5" x14ac:dyDescent="0.35"/>
  <cols>
    <col min="1" max="1" width="22.26953125" bestFit="1" customWidth="1"/>
    <col min="2" max="2" width="37.7265625" bestFit="1" customWidth="1"/>
    <col min="3" max="4" width="20" bestFit="1" customWidth="1"/>
    <col min="5" max="5" width="11.1796875" customWidth="1"/>
    <col min="6" max="6" width="11.81640625" customWidth="1"/>
    <col min="7" max="7" width="9.26953125" customWidth="1"/>
    <col min="8" max="8" width="12.1796875" customWidth="1"/>
    <col min="9" max="9" width="15.81640625" customWidth="1"/>
    <col min="10" max="10" width="12.7265625" customWidth="1"/>
    <col min="11" max="11" width="16.1796875" bestFit="1" customWidth="1"/>
    <col min="14" max="14" width="12" bestFit="1" customWidth="1"/>
    <col min="15" max="15" width="11.54296875" bestFit="1" customWidth="1"/>
  </cols>
  <sheetData>
    <row r="1" spans="1:17" x14ac:dyDescent="0.35">
      <c r="A1" s="1799" t="s">
        <v>1031</v>
      </c>
    </row>
    <row r="2" spans="1:17" x14ac:dyDescent="0.35">
      <c r="A2" s="947" t="s">
        <v>469</v>
      </c>
      <c r="B2" s="948"/>
      <c r="C2" s="948"/>
      <c r="D2" s="948"/>
      <c r="E2" s="948"/>
      <c r="F2" s="998"/>
      <c r="G2" s="998"/>
      <c r="H2" s="998"/>
      <c r="I2" s="3067" t="s">
        <v>1032</v>
      </c>
      <c r="J2" s="3067"/>
      <c r="K2" s="3067"/>
      <c r="L2" s="3067" t="s">
        <v>1033</v>
      </c>
      <c r="M2" s="3067"/>
      <c r="N2" s="3067"/>
    </row>
    <row r="3" spans="1:17" ht="29" x14ac:dyDescent="0.35">
      <c r="A3" s="969" t="s">
        <v>1035</v>
      </c>
      <c r="B3" s="953" t="s">
        <v>155</v>
      </c>
      <c r="C3" s="953" t="s">
        <v>1036</v>
      </c>
      <c r="D3" s="953" t="s">
        <v>1037</v>
      </c>
      <c r="E3" s="998" t="s">
        <v>1038</v>
      </c>
      <c r="F3" s="998" t="s">
        <v>1039</v>
      </c>
      <c r="G3" s="998" t="s">
        <v>1041</v>
      </c>
      <c r="H3" s="998" t="s">
        <v>1040</v>
      </c>
      <c r="I3" s="998" t="s">
        <v>1044</v>
      </c>
      <c r="J3" s="998" t="s">
        <v>1045</v>
      </c>
      <c r="K3" s="998" t="s">
        <v>1046</v>
      </c>
      <c r="L3" s="998" t="s">
        <v>1044</v>
      </c>
      <c r="M3" s="998" t="s">
        <v>1045</v>
      </c>
      <c r="N3" s="999" t="s">
        <v>1046</v>
      </c>
      <c r="O3" s="802" t="s">
        <v>2190</v>
      </c>
      <c r="P3" s="802" t="s">
        <v>2511</v>
      </c>
      <c r="Q3" s="802" t="s">
        <v>2155</v>
      </c>
    </row>
    <row r="4" spans="1:17" x14ac:dyDescent="0.35">
      <c r="A4" s="955" t="s">
        <v>469</v>
      </c>
      <c r="B4" s="955" t="s">
        <v>2512</v>
      </c>
      <c r="C4" s="956" t="s">
        <v>468</v>
      </c>
      <c r="D4" s="957" t="s">
        <v>2261</v>
      </c>
      <c r="E4" s="610" t="s">
        <v>1072</v>
      </c>
      <c r="F4" s="1000">
        <f>+$B$10</f>
        <v>15</v>
      </c>
      <c r="G4" s="1000" t="s">
        <v>1284</v>
      </c>
      <c r="H4" s="1018"/>
      <c r="I4" s="1003"/>
      <c r="J4" s="1003"/>
      <c r="K4" s="1003">
        <f>(O4/P4*Q4/100000)-(O4*Q4/100000)</f>
        <v>281.27205882352951</v>
      </c>
      <c r="L4" s="1003"/>
      <c r="M4" s="1003"/>
      <c r="N4" s="1019">
        <f>K4*F4</f>
        <v>4219.0808823529424</v>
      </c>
      <c r="O4" s="271">
        <v>125000</v>
      </c>
      <c r="P4" s="1">
        <v>0.85</v>
      </c>
      <c r="Q4" s="25">
        <f>List!H42</f>
        <v>1275.0999999999999</v>
      </c>
    </row>
    <row r="5" spans="1:17" ht="29" x14ac:dyDescent="0.35">
      <c r="A5" s="955" t="s">
        <v>2513</v>
      </c>
      <c r="B5" s="955" t="s">
        <v>2514</v>
      </c>
      <c r="C5" s="956" t="s">
        <v>2515</v>
      </c>
      <c r="D5" s="957" t="s">
        <v>2261</v>
      </c>
      <c r="E5" s="610" t="s">
        <v>1072</v>
      </c>
      <c r="F5" s="1000">
        <f>+$B$10</f>
        <v>15</v>
      </c>
      <c r="G5" s="1000" t="s">
        <v>1284</v>
      </c>
      <c r="H5" s="1018"/>
      <c r="I5" s="1003"/>
      <c r="J5" s="1003"/>
      <c r="K5" s="1003">
        <f>(O5/P5*Q5/100000)-(O5*Q5/100000)</f>
        <v>281.27205882352951</v>
      </c>
      <c r="L5" s="1003"/>
      <c r="M5" s="1003"/>
      <c r="N5" s="1019">
        <f>K5*F5</f>
        <v>4219.0808823529424</v>
      </c>
      <c r="O5" s="271">
        <v>125000</v>
      </c>
      <c r="P5" s="1">
        <v>0.85</v>
      </c>
      <c r="Q5" s="25">
        <f>List!H42</f>
        <v>1275.0999999999999</v>
      </c>
    </row>
    <row r="8" spans="1:17" ht="15" thickBot="1" x14ac:dyDescent="0.4"/>
    <row r="9" spans="1:17" ht="15" thickBot="1" x14ac:dyDescent="0.4">
      <c r="A9" s="74" t="s">
        <v>1285</v>
      </c>
      <c r="B9" s="75" t="s">
        <v>1199</v>
      </c>
      <c r="C9" s="154" t="s">
        <v>1082</v>
      </c>
      <c r="D9" s="64"/>
      <c r="E9" s="64"/>
      <c r="F9" s="64"/>
      <c r="G9" s="64"/>
      <c r="H9" s="64"/>
      <c r="I9" s="65"/>
    </row>
    <row r="10" spans="1:17" x14ac:dyDescent="0.35">
      <c r="A10" s="379" t="s">
        <v>1083</v>
      </c>
      <c r="B10" s="380">
        <v>15</v>
      </c>
      <c r="C10" s="380" t="s">
        <v>1787</v>
      </c>
      <c r="D10" s="380"/>
      <c r="E10" s="380"/>
      <c r="F10" s="380"/>
      <c r="G10" s="380"/>
      <c r="H10" s="380"/>
      <c r="I10" s="381"/>
    </row>
    <row r="11" spans="1:17" ht="15" thickBot="1" x14ac:dyDescent="0.4">
      <c r="A11" s="261"/>
      <c r="B11" s="161"/>
      <c r="C11" s="161" t="s">
        <v>1287</v>
      </c>
      <c r="D11" s="161"/>
      <c r="E11" s="161"/>
      <c r="F11" s="161"/>
      <c r="G11" s="161"/>
      <c r="H11" s="161"/>
      <c r="I11" s="163"/>
    </row>
    <row r="12" spans="1:17" x14ac:dyDescent="0.35">
      <c r="A12" s="379" t="s">
        <v>1040</v>
      </c>
      <c r="B12" s="2344">
        <v>2.7</v>
      </c>
      <c r="C12" s="380" t="s">
        <v>2516</v>
      </c>
      <c r="D12" s="380"/>
      <c r="E12" s="380"/>
      <c r="F12" s="380"/>
      <c r="G12" s="380"/>
      <c r="H12" s="380"/>
      <c r="I12" s="381"/>
    </row>
    <row r="13" spans="1:17" ht="15" thickBot="1" x14ac:dyDescent="0.4">
      <c r="A13" s="261"/>
      <c r="B13" s="161"/>
      <c r="C13" s="161"/>
      <c r="D13" s="161"/>
      <c r="E13" s="161"/>
      <c r="F13" s="161"/>
      <c r="G13" s="161"/>
      <c r="H13" s="161"/>
      <c r="I13" s="163"/>
    </row>
    <row r="14" spans="1:17" x14ac:dyDescent="0.35">
      <c r="A14" s="1179" t="s">
        <v>1730</v>
      </c>
      <c r="B14" s="1164"/>
      <c r="C14" s="1164"/>
      <c r="D14" s="1164"/>
      <c r="E14" s="1164"/>
      <c r="F14" s="1164"/>
      <c r="G14" s="1164"/>
      <c r="H14" s="1164"/>
      <c r="I14" s="1183"/>
    </row>
    <row r="15" spans="1:17" ht="15" thickBot="1" x14ac:dyDescent="0.4">
      <c r="A15" s="261"/>
      <c r="B15" s="161"/>
      <c r="C15" s="161"/>
      <c r="D15" s="161"/>
      <c r="E15" s="161"/>
      <c r="F15" s="161"/>
      <c r="G15" s="161"/>
      <c r="H15" s="161"/>
      <c r="I15" s="163"/>
    </row>
    <row r="16" spans="1:17" ht="15" thickBot="1" x14ac:dyDescent="0.4">
      <c r="A16" s="154" t="s">
        <v>1078</v>
      </c>
      <c r="B16" s="1142">
        <f>'Measure-Level Adjustments'!A2</f>
        <v>44592</v>
      </c>
    </row>
    <row r="17" spans="1:5" ht="15" thickBot="1" x14ac:dyDescent="0.4">
      <c r="A17" s="154" t="s">
        <v>1079</v>
      </c>
      <c r="B17" s="577" t="s">
        <v>2517</v>
      </c>
    </row>
    <row r="20" spans="1:5" x14ac:dyDescent="0.35">
      <c r="A20" s="945" t="s">
        <v>2277</v>
      </c>
      <c r="B20" s="945"/>
      <c r="D20" s="945" t="s">
        <v>2518</v>
      </c>
      <c r="E20" s="945" t="s">
        <v>2511</v>
      </c>
    </row>
    <row r="21" spans="1:5" x14ac:dyDescent="0.35">
      <c r="A21" s="49" t="s">
        <v>1072</v>
      </c>
      <c r="B21" s="49" t="s">
        <v>2278</v>
      </c>
      <c r="D21" s="1" t="s">
        <v>2519</v>
      </c>
      <c r="E21" s="1">
        <v>0.85</v>
      </c>
    </row>
    <row r="22" spans="1:5" x14ac:dyDescent="0.35">
      <c r="A22" s="49" t="s">
        <v>2279</v>
      </c>
      <c r="B22" s="49" t="s">
        <v>2280</v>
      </c>
      <c r="D22" s="1" t="s">
        <v>2520</v>
      </c>
      <c r="E22" s="1">
        <v>0.7</v>
      </c>
    </row>
  </sheetData>
  <customSheetViews>
    <customSheetView guid="{ECD6FE6A-9548-414E-B8AA-6998703C57E0}" scale="60" showPageBreaks="1" fitToPage="1" view="pageBreakPreview">
      <pageMargins left="0" right="0" top="0" bottom="0" header="0" footer="0"/>
      <pageSetup scale="60" orientation="landscape" horizontalDpi="1200" verticalDpi="1200" r:id="rId1"/>
    </customSheetView>
    <customSheetView guid="{11DE45F5-F478-4ED6-8DFF-12002C22A637}" scale="60" showPageBreaks="1" fitToPage="1" view="pageBreakPreview">
      <pageMargins left="0" right="0" top="0" bottom="0" header="0" footer="0"/>
      <pageSetup scale="60" orientation="landscape" horizontalDpi="1200" verticalDpi="1200" r:id="rId2"/>
    </customSheetView>
  </customSheetViews>
  <mergeCells count="2">
    <mergeCell ref="I2:K2"/>
    <mergeCell ref="L2:N2"/>
  </mergeCells>
  <dataValidations disablePrompts="1" count="2">
    <dataValidation type="list" allowBlank="1" showInputMessage="1" showErrorMessage="1" sqref="D4:D5" xr:uid="{00000000-0002-0000-1B00-000000000000}">
      <formula1>MeasureType</formula1>
    </dataValidation>
    <dataValidation type="list" allowBlank="1" showInputMessage="1" showErrorMessage="1" sqref="E4:E5" xr:uid="{00000000-0002-0000-1B00-000001000000}">
      <formula1>CSGDRF1</formula1>
    </dataValidation>
  </dataValidations>
  <hyperlinks>
    <hyperlink ref="A1" location="'Measure-Level Adjustments'!Print_Titles" display="Measure Level Tab" xr:uid="{5D47B0EB-E268-4AD5-9119-56D98AC3D2E1}"/>
  </hyperlinks>
  <pageMargins left="0.7" right="0.7" top="0.75" bottom="0.75" header="0.3" footer="0.3"/>
  <pageSetup scale="39" orientation="landscape" horizontalDpi="1200" verticalDpi="1200" r:id="rId3"/>
  <legacyDrawing r:id="rId4"/>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AC194"/>
  <sheetViews>
    <sheetView zoomScaleNormal="100" zoomScaleSheetLayoutView="70" workbookViewId="0">
      <pane xSplit="2" ySplit="3" topLeftCell="C18" activePane="bottomRight" state="frozen"/>
      <selection pane="topRight" activeCell="C1" sqref="C1"/>
      <selection pane="bottomLeft" activeCell="A4" sqref="A4"/>
      <selection pane="bottomRight"/>
    </sheetView>
  </sheetViews>
  <sheetFormatPr defaultRowHeight="14.5" x14ac:dyDescent="0.35"/>
  <cols>
    <col min="1" max="1" width="22.1796875" bestFit="1" customWidth="1"/>
    <col min="2" max="2" width="54.1796875" customWidth="1"/>
    <col min="3" max="3" width="22.7265625" bestFit="1" customWidth="1"/>
    <col min="4" max="4" width="21.453125" bestFit="1" customWidth="1"/>
    <col min="5" max="5" width="20.7265625" bestFit="1" customWidth="1"/>
    <col min="6" max="6" width="19.81640625" bestFit="1" customWidth="1"/>
    <col min="7" max="8" width="21.453125" bestFit="1" customWidth="1"/>
    <col min="9" max="9" width="26.54296875" customWidth="1"/>
    <col min="10" max="10" width="23.453125" bestFit="1" customWidth="1"/>
    <col min="11" max="11" width="31.26953125" bestFit="1" customWidth="1"/>
    <col min="12" max="12" width="31.26953125" customWidth="1"/>
    <col min="13" max="13" width="12.7265625" customWidth="1"/>
    <col min="14" max="14" width="18.7265625" customWidth="1"/>
    <col min="15" max="15" width="10.7265625" customWidth="1"/>
    <col min="16" max="16" width="13.453125" customWidth="1"/>
    <col min="17" max="17" width="10" customWidth="1"/>
    <col min="18" max="18" width="11.54296875" customWidth="1"/>
    <col min="19" max="19" width="19.81640625" customWidth="1"/>
    <col min="20" max="20" width="11.26953125" customWidth="1"/>
    <col min="22" max="22" width="12" bestFit="1" customWidth="1"/>
    <col min="23" max="23" width="13" bestFit="1" customWidth="1"/>
    <col min="25" max="25" width="11.7265625" bestFit="1" customWidth="1"/>
    <col min="27" max="27" width="17" bestFit="1" customWidth="1"/>
  </cols>
  <sheetData>
    <row r="1" spans="1:29" x14ac:dyDescent="0.35">
      <c r="A1" s="1799" t="s">
        <v>1031</v>
      </c>
    </row>
    <row r="2" spans="1:29" x14ac:dyDescent="0.35">
      <c r="A2" s="1428" t="s">
        <v>336</v>
      </c>
      <c r="B2" s="993" t="s">
        <v>2521</v>
      </c>
      <c r="C2" s="997"/>
      <c r="D2" s="997"/>
      <c r="E2" s="948"/>
      <c r="F2" s="998"/>
      <c r="G2" s="998"/>
      <c r="H2" s="998"/>
      <c r="I2" s="998"/>
      <c r="J2" s="998"/>
      <c r="K2" s="998"/>
      <c r="L2" s="998"/>
      <c r="M2" s="998"/>
      <c r="N2" s="998"/>
      <c r="O2" s="998"/>
      <c r="P2" s="998"/>
      <c r="Q2" s="998"/>
      <c r="R2" s="3067" t="s">
        <v>1032</v>
      </c>
      <c r="S2" s="3067"/>
      <c r="T2" s="3067"/>
      <c r="U2" s="3067" t="s">
        <v>1033</v>
      </c>
      <c r="V2" s="3067"/>
      <c r="W2" s="3010"/>
      <c r="X2" s="3163" t="s">
        <v>1158</v>
      </c>
      <c r="Y2" s="3163"/>
      <c r="Z2" s="3163"/>
      <c r="AA2" s="3163"/>
      <c r="AB2" s="3163"/>
      <c r="AC2" s="3163"/>
    </row>
    <row r="3" spans="1:29" ht="43.5" x14ac:dyDescent="0.35">
      <c r="A3" s="969"/>
      <c r="B3" s="953" t="s">
        <v>2522</v>
      </c>
      <c r="C3" s="953" t="s">
        <v>1036</v>
      </c>
      <c r="D3" s="953" t="s">
        <v>1037</v>
      </c>
      <c r="E3" s="998" t="s">
        <v>1038</v>
      </c>
      <c r="F3" s="998" t="s">
        <v>2523</v>
      </c>
      <c r="G3" s="998" t="s">
        <v>2524</v>
      </c>
      <c r="H3" s="998" t="s">
        <v>1480</v>
      </c>
      <c r="I3" s="998" t="s">
        <v>2525</v>
      </c>
      <c r="J3" s="998" t="s">
        <v>2526</v>
      </c>
      <c r="K3" s="998" t="s">
        <v>2527</v>
      </c>
      <c r="L3" s="998" t="s">
        <v>2528</v>
      </c>
      <c r="M3" s="998" t="s">
        <v>1360</v>
      </c>
      <c r="N3" s="998" t="s">
        <v>2529</v>
      </c>
      <c r="O3" s="998" t="s">
        <v>2530</v>
      </c>
      <c r="P3" s="998" t="s">
        <v>2531</v>
      </c>
      <c r="Q3" s="998" t="s">
        <v>1630</v>
      </c>
      <c r="R3" s="998" t="s">
        <v>1044</v>
      </c>
      <c r="S3" s="998" t="s">
        <v>1045</v>
      </c>
      <c r="T3" s="998" t="s">
        <v>1046</v>
      </c>
      <c r="U3" s="998" t="s">
        <v>1044</v>
      </c>
      <c r="V3" s="998" t="s">
        <v>1045</v>
      </c>
      <c r="W3" s="999" t="s">
        <v>1046</v>
      </c>
      <c r="X3" s="716" t="s">
        <v>2532</v>
      </c>
      <c r="Y3" s="716" t="s">
        <v>2533</v>
      </c>
      <c r="Z3" s="716" t="s">
        <v>2155</v>
      </c>
      <c r="AA3" s="716" t="s">
        <v>2534</v>
      </c>
      <c r="AB3" s="716" t="s">
        <v>2535</v>
      </c>
      <c r="AC3" s="716" t="s">
        <v>2153</v>
      </c>
    </row>
    <row r="4" spans="1:29" ht="50.15" customHeight="1" x14ac:dyDescent="0.35">
      <c r="A4" s="955" t="s">
        <v>534</v>
      </c>
      <c r="B4" s="955" t="str">
        <f t="shared" ref="B4:B18" si="0">"Pipe Insulation, "&amp;H4&amp;", "&amp;I4&amp;", "&amp;J4&amp;", "&amp;L4</f>
        <v>Pipe Insulation, Outdoor, Space Heating, High pressure steam, Recirculation - Heating Season only</v>
      </c>
      <c r="C4" s="972" t="s">
        <v>533</v>
      </c>
      <c r="D4" s="1028" t="s">
        <v>2536</v>
      </c>
      <c r="E4" s="69" t="s">
        <v>1583</v>
      </c>
      <c r="F4" s="1000">
        <f t="shared" ref="F4:F26" si="1">+$B$57</f>
        <v>15</v>
      </c>
      <c r="G4" s="1021" t="str">
        <f t="shared" ref="G4:G26" si="2">IF(H4=$B$148,$C$125,$D$125)</f>
        <v>2 INCHES</v>
      </c>
      <c r="H4" s="1029" t="s">
        <v>2026</v>
      </c>
      <c r="I4" s="972" t="s">
        <v>2537</v>
      </c>
      <c r="J4" s="973" t="s">
        <v>2538</v>
      </c>
      <c r="K4" s="972" t="str">
        <f t="shared" ref="K4:K18" si="3">IF(J4=$B$86,$B$156,$B$157)</f>
        <v>NA</v>
      </c>
      <c r="L4" s="972" t="s">
        <v>2539</v>
      </c>
      <c r="M4" s="972" t="s">
        <v>1185</v>
      </c>
      <c r="N4" s="972" t="s">
        <v>1696</v>
      </c>
      <c r="O4" s="994">
        <v>1</v>
      </c>
      <c r="P4" s="994"/>
      <c r="Q4" s="1030"/>
      <c r="R4" s="1003"/>
      <c r="S4" s="1004"/>
      <c r="T4" s="1003">
        <f t="shared" ref="T4:T18" si="4">((((X4-Y4)*Z4)/(100000*AA4))*AB4)*O4</f>
        <v>64.200879801734814</v>
      </c>
      <c r="U4" s="1003"/>
      <c r="V4" s="1003"/>
      <c r="W4" s="1019">
        <f t="shared" ref="W4:W21" si="5">T4*F4</f>
        <v>963.01319702602223</v>
      </c>
      <c r="X4" s="49">
        <f t="shared" ref="X4:X18" si="6">VLOOKUP(L4, $B$71:$N$74, VLOOKUP(H4&amp;J4&amp;K4,$P$69:$Q$80, 2, FALSE), FALSE)</f>
        <v>1101</v>
      </c>
      <c r="Y4" s="49">
        <f t="shared" ref="Y4:Y18" si="7">VLOOKUP(L4, $B$80:$N$83, VLOOKUP(H4&amp;J4&amp;K4,$P$69:$Q$80, 2, FALSE), FALSE)</f>
        <v>52</v>
      </c>
      <c r="Z4" s="49">
        <f>IF(I4=$C$154,$J$166,IF(OR(L4=$B$154,L4=$B$155),8766,IF(L4=$B$153,VLOOKUP(N4,$I$168:$J$173,2),VLOOKUP(M4,List!$B$7:$H$44,AC4))))</f>
        <v>4939</v>
      </c>
      <c r="AA4" s="49">
        <f t="shared" ref="AA4:AA18" si="8">IF(I4=$C$152,$C$90,VLOOKUP(J4,$B$86:$C$91,2,FALSE))</f>
        <v>0.80700000000000005</v>
      </c>
      <c r="AB4" s="49">
        <f t="shared" ref="AB4:AB18" si="9">IF(H4=$B$95,$D$95,VLOOKUP(I4,$B$109:$C$111, 2, FALSE))</f>
        <v>1</v>
      </c>
      <c r="AC4" s="49">
        <f>VLOOKUP(N4, List!$J$14:$K$19, 2, FALSE)</f>
        <v>7</v>
      </c>
    </row>
    <row r="5" spans="1:29" ht="50.15" customHeight="1" x14ac:dyDescent="0.35">
      <c r="A5" s="955" t="s">
        <v>530</v>
      </c>
      <c r="B5" s="955" t="str">
        <f t="shared" si="0"/>
        <v>Pipe Insulation, Outdoor, Space Heating, Low pressure steam, Recirculation - Heating Season only</v>
      </c>
      <c r="C5" s="972" t="s">
        <v>529</v>
      </c>
      <c r="D5" s="1028" t="s">
        <v>2536</v>
      </c>
      <c r="E5" s="69" t="s">
        <v>1583</v>
      </c>
      <c r="F5" s="1000">
        <f t="shared" si="1"/>
        <v>15</v>
      </c>
      <c r="G5" s="1021" t="str">
        <f t="shared" si="2"/>
        <v>2 INCHES</v>
      </c>
      <c r="H5" s="1029" t="s">
        <v>2026</v>
      </c>
      <c r="I5" s="972" t="s">
        <v>2537</v>
      </c>
      <c r="J5" s="973" t="s">
        <v>2540</v>
      </c>
      <c r="K5" s="972" t="str">
        <f t="shared" si="3"/>
        <v>NA</v>
      </c>
      <c r="L5" s="972" t="s">
        <v>2539</v>
      </c>
      <c r="M5" s="972" t="s">
        <v>1185</v>
      </c>
      <c r="N5" s="972" t="s">
        <v>1696</v>
      </c>
      <c r="O5" s="994">
        <v>1</v>
      </c>
      <c r="P5" s="994"/>
      <c r="Q5" s="1030"/>
      <c r="R5" s="1003"/>
      <c r="S5" s="1004"/>
      <c r="T5" s="1003">
        <f t="shared" si="4"/>
        <v>41.494944237918219</v>
      </c>
      <c r="U5" s="1003"/>
      <c r="V5" s="1003"/>
      <c r="W5" s="1019">
        <f t="shared" si="5"/>
        <v>622.42416356877334</v>
      </c>
      <c r="X5" s="49">
        <f t="shared" si="6"/>
        <v>710</v>
      </c>
      <c r="Y5" s="49">
        <f t="shared" si="7"/>
        <v>32</v>
      </c>
      <c r="Z5" s="49">
        <f>IF(I5=$C$154,$J$166,IF(OR(L5=$B$154,L5=$B$155),8766,IF(L5=$B$153,VLOOKUP(N5,$I$168:$J$173,2),VLOOKUP(M5,List!$B$7:$H$44,AC5))))</f>
        <v>4939</v>
      </c>
      <c r="AA5" s="49">
        <f t="shared" si="8"/>
        <v>0.80700000000000005</v>
      </c>
      <c r="AB5" s="49">
        <f t="shared" si="9"/>
        <v>1</v>
      </c>
      <c r="AC5" s="49">
        <f>VLOOKUP(N5, List!$J$14:$K$19, 2, FALSE)</f>
        <v>7</v>
      </c>
    </row>
    <row r="6" spans="1:29" ht="50.15" customHeight="1" x14ac:dyDescent="0.35">
      <c r="A6" s="955" t="s">
        <v>344</v>
      </c>
      <c r="B6" s="955" t="str">
        <f t="shared" si="0"/>
        <v>Pipe Insulation, Indoor, Space Heating, High pressure steam, Recirculation - Heating Season only</v>
      </c>
      <c r="C6" s="972" t="s">
        <v>343</v>
      </c>
      <c r="D6" s="1028" t="s">
        <v>2536</v>
      </c>
      <c r="E6" s="69" t="s">
        <v>1583</v>
      </c>
      <c r="F6" s="1000">
        <f t="shared" si="1"/>
        <v>15</v>
      </c>
      <c r="G6" s="1021" t="str">
        <f t="shared" si="2"/>
        <v>1 INCH</v>
      </c>
      <c r="H6" s="1029" t="s">
        <v>2025</v>
      </c>
      <c r="I6" s="972" t="s">
        <v>2537</v>
      </c>
      <c r="J6" s="973" t="s">
        <v>2538</v>
      </c>
      <c r="K6" s="972" t="str">
        <f t="shared" si="3"/>
        <v>NA</v>
      </c>
      <c r="L6" s="972" t="s">
        <v>2539</v>
      </c>
      <c r="M6" s="972" t="s">
        <v>1185</v>
      </c>
      <c r="N6" s="972" t="s">
        <v>1696</v>
      </c>
      <c r="O6" s="994">
        <v>1</v>
      </c>
      <c r="P6" s="994"/>
      <c r="Q6" s="1030"/>
      <c r="R6" s="1003"/>
      <c r="S6" s="1004"/>
      <c r="T6" s="1003">
        <f t="shared" si="4"/>
        <v>8.1973935563816607</v>
      </c>
      <c r="U6" s="1003"/>
      <c r="V6" s="1003"/>
      <c r="W6" s="1019">
        <f t="shared" si="5"/>
        <v>122.96090334572492</v>
      </c>
      <c r="X6" s="49">
        <f t="shared" si="6"/>
        <v>432</v>
      </c>
      <c r="Y6" s="49">
        <f t="shared" si="7"/>
        <v>70</v>
      </c>
      <c r="Z6" s="49">
        <f>IF(I6=$C$154,$J$166,IF(OR(L6=$B$154,L6=$B$155),8766,IF(L6=$B$153,VLOOKUP(N6,$I$168:$J$173,2),VLOOKUP(M6,List!$B$7:$H$44,AC6))))</f>
        <v>4939</v>
      </c>
      <c r="AA6" s="49">
        <f t="shared" si="8"/>
        <v>0.80700000000000005</v>
      </c>
      <c r="AB6" s="49">
        <f t="shared" si="9"/>
        <v>0.37</v>
      </c>
      <c r="AC6" s="49">
        <f>VLOOKUP(N6, List!$J$14:$K$19, 2, FALSE)</f>
        <v>7</v>
      </c>
    </row>
    <row r="7" spans="1:29" ht="50.15" customHeight="1" x14ac:dyDescent="0.35">
      <c r="A7" s="955" t="s">
        <v>340</v>
      </c>
      <c r="B7" s="955" t="str">
        <f t="shared" si="0"/>
        <v>Pipe Insulation, Indoor, Space Heating, Low pressure steam, Recirculation - Heating Season only</v>
      </c>
      <c r="C7" s="972" t="s">
        <v>339</v>
      </c>
      <c r="D7" s="1028" t="s">
        <v>2536</v>
      </c>
      <c r="E7" s="69" t="s">
        <v>1583</v>
      </c>
      <c r="F7" s="1000">
        <f t="shared" si="1"/>
        <v>15</v>
      </c>
      <c r="G7" s="1021" t="str">
        <f t="shared" si="2"/>
        <v>1 INCH</v>
      </c>
      <c r="H7" s="1029" t="s">
        <v>2025</v>
      </c>
      <c r="I7" s="972" t="s">
        <v>2537</v>
      </c>
      <c r="J7" s="973" t="s">
        <v>2540</v>
      </c>
      <c r="K7" s="972" t="str">
        <f t="shared" si="3"/>
        <v>NA</v>
      </c>
      <c r="L7" s="972" t="s">
        <v>2539</v>
      </c>
      <c r="M7" s="972" t="s">
        <v>1185</v>
      </c>
      <c r="N7" s="972" t="s">
        <v>1696</v>
      </c>
      <c r="O7" s="994">
        <v>1</v>
      </c>
      <c r="P7" s="994"/>
      <c r="Q7" s="1030"/>
      <c r="R7" s="1003"/>
      <c r="S7" s="1004"/>
      <c r="T7" s="1003">
        <f t="shared" si="4"/>
        <v>4.3477888475836428</v>
      </c>
      <c r="U7" s="1003"/>
      <c r="V7" s="1003"/>
      <c r="W7" s="1019">
        <f t="shared" si="5"/>
        <v>65.216832713754641</v>
      </c>
      <c r="X7" s="49">
        <f t="shared" si="6"/>
        <v>232</v>
      </c>
      <c r="Y7" s="49">
        <f t="shared" si="7"/>
        <v>40</v>
      </c>
      <c r="Z7" s="49">
        <f>IF(I7=$C$154,$J$166,IF(OR(L7=$B$154,L7=$B$155),8766,IF(L7=$B$153,VLOOKUP(N7,$I$168:$J$173,2),VLOOKUP(M7,List!$B$7:$H$44,AC7))))</f>
        <v>4939</v>
      </c>
      <c r="AA7" s="49">
        <f t="shared" si="8"/>
        <v>0.80700000000000005</v>
      </c>
      <c r="AB7" s="49">
        <f t="shared" si="9"/>
        <v>0.37</v>
      </c>
      <c r="AC7" s="49">
        <f>VLOOKUP(N7, List!$J$14:$K$19, 2, FALSE)</f>
        <v>7</v>
      </c>
    </row>
    <row r="8" spans="1:29" ht="50.15" customHeight="1" x14ac:dyDescent="0.35">
      <c r="A8" s="955" t="s">
        <v>528</v>
      </c>
      <c r="B8" s="955" t="str">
        <f t="shared" si="0"/>
        <v>Pipe Insulation, Outdoor, Space Heating, Hot water, Recirculation - Heating Season only</v>
      </c>
      <c r="C8" s="972" t="s">
        <v>527</v>
      </c>
      <c r="D8" s="1028" t="s">
        <v>2536</v>
      </c>
      <c r="E8" s="69" t="s">
        <v>1583</v>
      </c>
      <c r="F8" s="1000">
        <f t="shared" si="1"/>
        <v>15</v>
      </c>
      <c r="G8" s="1021" t="str">
        <f t="shared" si="2"/>
        <v>2 INCHES</v>
      </c>
      <c r="H8" s="1029" t="s">
        <v>2026</v>
      </c>
      <c r="I8" s="972" t="s">
        <v>2537</v>
      </c>
      <c r="J8" s="973" t="s">
        <v>2541</v>
      </c>
      <c r="K8" s="972" t="str">
        <f t="shared" si="3"/>
        <v>Average reset</v>
      </c>
      <c r="L8" s="972" t="s">
        <v>2539</v>
      </c>
      <c r="M8" s="972" t="s">
        <v>1185</v>
      </c>
      <c r="N8" s="972" t="s">
        <v>1696</v>
      </c>
      <c r="O8" s="994">
        <v>1</v>
      </c>
      <c r="P8" s="994"/>
      <c r="Q8" s="1030"/>
      <c r="R8" s="1003"/>
      <c r="S8" s="1004"/>
      <c r="T8" s="1003">
        <f t="shared" si="4"/>
        <v>23.69996336996337</v>
      </c>
      <c r="U8" s="1003"/>
      <c r="V8" s="1003"/>
      <c r="W8" s="1019">
        <f t="shared" si="5"/>
        <v>355.49945054945056</v>
      </c>
      <c r="X8" s="49">
        <f t="shared" si="6"/>
        <v>411.5</v>
      </c>
      <c r="Y8" s="49">
        <f t="shared" si="7"/>
        <v>18.5</v>
      </c>
      <c r="Z8" s="49">
        <f>IF(I8=$C$154,$J$166,IF(OR(L8=$B$154,L8=$B$155),8766,IF(L8=$B$153,VLOOKUP(N8,$I$168:$J$173,2),VLOOKUP(M8,List!$B$7:$H$44,AC8))))</f>
        <v>4939</v>
      </c>
      <c r="AA8" s="49">
        <f t="shared" si="8"/>
        <v>0.81899999999999995</v>
      </c>
      <c r="AB8" s="49">
        <f t="shared" si="9"/>
        <v>1</v>
      </c>
      <c r="AC8" s="49">
        <f>VLOOKUP(N8, List!$J$14:$K$19, 2, FALSE)</f>
        <v>7</v>
      </c>
    </row>
    <row r="9" spans="1:29" ht="50.15" customHeight="1" x14ac:dyDescent="0.35">
      <c r="A9" s="955" t="s">
        <v>346</v>
      </c>
      <c r="B9" s="955" t="str">
        <f t="shared" si="0"/>
        <v>Pipe Insulation, Indoor, Domestic Hot Water, Hot water, DHW Circulation Loop</v>
      </c>
      <c r="C9" s="972" t="s">
        <v>345</v>
      </c>
      <c r="D9" s="1028" t="s">
        <v>2536</v>
      </c>
      <c r="E9" s="69" t="s">
        <v>1583</v>
      </c>
      <c r="F9" s="1000">
        <f t="shared" si="1"/>
        <v>15</v>
      </c>
      <c r="G9" s="1021" t="str">
        <f t="shared" si="2"/>
        <v>1 INCH</v>
      </c>
      <c r="H9" s="1029" t="s">
        <v>2025</v>
      </c>
      <c r="I9" s="972" t="s">
        <v>2542</v>
      </c>
      <c r="J9" s="973" t="s">
        <v>2541</v>
      </c>
      <c r="K9" s="972" t="str">
        <f t="shared" si="3"/>
        <v>Average reset</v>
      </c>
      <c r="L9" s="972" t="s">
        <v>2543</v>
      </c>
      <c r="M9" s="972" t="s">
        <v>1185</v>
      </c>
      <c r="N9" s="972" t="s">
        <v>1696</v>
      </c>
      <c r="O9" s="994">
        <v>1</v>
      </c>
      <c r="P9" s="994"/>
      <c r="Q9" s="1030"/>
      <c r="R9" s="1003"/>
      <c r="S9" s="1004"/>
      <c r="T9" s="1003">
        <f t="shared" si="4"/>
        <v>2.0533046641791044</v>
      </c>
      <c r="U9" s="1003"/>
      <c r="V9" s="1003"/>
      <c r="W9" s="1019">
        <f t="shared" si="5"/>
        <v>30.799569962686565</v>
      </c>
      <c r="X9" s="49">
        <f t="shared" si="6"/>
        <v>52</v>
      </c>
      <c r="Y9" s="49">
        <f t="shared" si="7"/>
        <v>13.25</v>
      </c>
      <c r="Z9" s="49">
        <f>IF(I9=$C$154,$J$166,IF(OR(L9=$B$154,L9=$B$155),8766,IF(L9=$B$153,VLOOKUP(N9,$I$168:$J$173,2),VLOOKUP(M9,List!$B$7:$H$44,AC9))))</f>
        <v>8766</v>
      </c>
      <c r="AA9" s="49">
        <f t="shared" si="8"/>
        <v>0.67</v>
      </c>
      <c r="AB9" s="49">
        <f t="shared" si="9"/>
        <v>0.40499999999999997</v>
      </c>
      <c r="AC9" s="49">
        <f>VLOOKUP(N9, List!$J$14:$K$19, 2, FALSE)</f>
        <v>7</v>
      </c>
    </row>
    <row r="10" spans="1:29" ht="50.15" customHeight="1" x14ac:dyDescent="0.35">
      <c r="A10" s="955" t="s">
        <v>335</v>
      </c>
      <c r="B10" s="955" t="str">
        <f t="shared" si="0"/>
        <v>Pipe Insulation, Indoor, Space Heating, Hot water, Recirculation - Heating Season only</v>
      </c>
      <c r="C10" s="972" t="s">
        <v>334</v>
      </c>
      <c r="D10" s="957" t="s">
        <v>2536</v>
      </c>
      <c r="E10" s="69" t="s">
        <v>1583</v>
      </c>
      <c r="F10" s="1000">
        <f t="shared" si="1"/>
        <v>15</v>
      </c>
      <c r="G10" s="1021" t="str">
        <f t="shared" si="2"/>
        <v>1 INCH</v>
      </c>
      <c r="H10" s="1029" t="s">
        <v>2025</v>
      </c>
      <c r="I10" s="972" t="s">
        <v>2537</v>
      </c>
      <c r="J10" s="973" t="s">
        <v>2541</v>
      </c>
      <c r="K10" s="972" t="str">
        <f t="shared" si="3"/>
        <v>Average reset</v>
      </c>
      <c r="L10" s="972" t="s">
        <v>2539</v>
      </c>
      <c r="M10" s="972" t="s">
        <v>1185</v>
      </c>
      <c r="N10" s="972" t="s">
        <v>1696</v>
      </c>
      <c r="O10" s="994">
        <v>1</v>
      </c>
      <c r="P10" s="994"/>
      <c r="Q10" s="1030"/>
      <c r="R10" s="1003"/>
      <c r="S10" s="1004"/>
      <c r="T10" s="1003">
        <f t="shared" si="4"/>
        <v>1.6846271672771671</v>
      </c>
      <c r="U10" s="1003"/>
      <c r="V10" s="1003"/>
      <c r="W10" s="1019">
        <f t="shared" si="5"/>
        <v>25.269407509157507</v>
      </c>
      <c r="X10" s="123">
        <f t="shared" si="6"/>
        <v>96</v>
      </c>
      <c r="Y10" s="49">
        <f t="shared" si="7"/>
        <v>20.5</v>
      </c>
      <c r="Z10" s="49">
        <f>IF(I10=$C$154,$J$166,IF(OR(L10=$B$154,L10=$B$155),8766,IF(L10=$B$153,VLOOKUP(N10,$I$168:$J$173,2),VLOOKUP(M10,List!$B$7:$H$44,AC10))))</f>
        <v>4939</v>
      </c>
      <c r="AA10" s="49">
        <f t="shared" si="8"/>
        <v>0.81899999999999995</v>
      </c>
      <c r="AB10" s="49">
        <f t="shared" si="9"/>
        <v>0.37</v>
      </c>
      <c r="AC10" s="49">
        <f>VLOOKUP(N10, List!$J$14:$K$19, 2, FALSE)</f>
        <v>7</v>
      </c>
    </row>
    <row r="11" spans="1:29" ht="50.15" customHeight="1" x14ac:dyDescent="0.35">
      <c r="A11" s="955" t="s">
        <v>532</v>
      </c>
      <c r="B11" s="955" t="str">
        <f t="shared" si="0"/>
        <v>Pipe Insulation, Outdoor, Space Heating, Medium pressure steam, Recirculation - Heating Season only</v>
      </c>
      <c r="C11" s="972" t="s">
        <v>531</v>
      </c>
      <c r="D11" s="1028" t="s">
        <v>2536</v>
      </c>
      <c r="E11" s="69" t="s">
        <v>1583</v>
      </c>
      <c r="F11" s="1000">
        <f t="shared" si="1"/>
        <v>15</v>
      </c>
      <c r="G11" s="1021" t="str">
        <f t="shared" si="2"/>
        <v>2 INCHES</v>
      </c>
      <c r="H11" s="1029" t="s">
        <v>2026</v>
      </c>
      <c r="I11" s="972" t="s">
        <v>2537</v>
      </c>
      <c r="J11" s="973" t="s">
        <v>2544</v>
      </c>
      <c r="K11" s="972" t="str">
        <f t="shared" si="3"/>
        <v>NA</v>
      </c>
      <c r="L11" s="972" t="s">
        <v>2539</v>
      </c>
      <c r="M11" s="972" t="s">
        <v>1185</v>
      </c>
      <c r="N11" s="972" t="s">
        <v>1696</v>
      </c>
      <c r="O11" s="994">
        <v>1</v>
      </c>
      <c r="P11" s="994"/>
      <c r="Q11" s="1030"/>
      <c r="R11" s="1003"/>
      <c r="S11" s="1004"/>
      <c r="T11" s="1003">
        <f>((((X11-Y11)*Z11)/(100000*AA11))*AB11)*O11</f>
        <v>52.847912019826516</v>
      </c>
      <c r="U11" s="1003"/>
      <c r="V11" s="1003"/>
      <c r="W11" s="1019">
        <f t="shared" si="5"/>
        <v>792.71868029739778</v>
      </c>
      <c r="X11" s="123">
        <f>VLOOKUP(L11, $B$71:$N$74, VLOOKUP(H11&amp;J11&amp;K11,$P$69:$Q$80, 2, FALSE), FALSE)</f>
        <v>905.5</v>
      </c>
      <c r="Y11" s="49">
        <f>VLOOKUP(L11, $B$80:$N$83, VLOOKUP(H11&amp;J11&amp;K11,$P$69:$Q$80, 2, FALSE), FALSE)</f>
        <v>42</v>
      </c>
      <c r="Z11" s="49">
        <f>IF(I11=$C$154,$J$166,IF(OR(L11=$B$154,L11=$B$155),8766,IF(L11=$B$153,VLOOKUP(N11,$I$168:$J$173,2),VLOOKUP(M11,List!$B$7:$H$44,AC11))))</f>
        <v>4939</v>
      </c>
      <c r="AA11" s="49">
        <f t="shared" si="8"/>
        <v>0.80700000000000005</v>
      </c>
      <c r="AB11" s="49">
        <f t="shared" si="9"/>
        <v>1</v>
      </c>
      <c r="AC11" s="49">
        <f>VLOOKUP(N11, List!$J$14:$K$19, 2, FALSE)</f>
        <v>7</v>
      </c>
    </row>
    <row r="12" spans="1:29" ht="50.15" customHeight="1" x14ac:dyDescent="0.35">
      <c r="A12" s="955" t="s">
        <v>342</v>
      </c>
      <c r="B12" s="955" t="str">
        <f t="shared" si="0"/>
        <v>Pipe Insulation, Indoor, Space Heating, Medium pressure steam, Recirculation - Heating Season only</v>
      </c>
      <c r="C12" s="972" t="s">
        <v>341</v>
      </c>
      <c r="D12" s="957" t="s">
        <v>2536</v>
      </c>
      <c r="E12" s="69" t="s">
        <v>1583</v>
      </c>
      <c r="F12" s="1000">
        <f t="shared" si="1"/>
        <v>15</v>
      </c>
      <c r="G12" s="1021" t="str">
        <f t="shared" si="2"/>
        <v>1 INCH</v>
      </c>
      <c r="H12" s="1029" t="s">
        <v>2025</v>
      </c>
      <c r="I12" s="972" t="s">
        <v>2537</v>
      </c>
      <c r="J12" s="973" t="s">
        <v>2544</v>
      </c>
      <c r="K12" s="972" t="str">
        <f t="shared" si="3"/>
        <v>NA</v>
      </c>
      <c r="L12" s="972" t="s">
        <v>2539</v>
      </c>
      <c r="M12" s="972" t="s">
        <v>1185</v>
      </c>
      <c r="N12" s="972" t="s">
        <v>1696</v>
      </c>
      <c r="O12" s="994">
        <v>1</v>
      </c>
      <c r="P12" s="994"/>
      <c r="Q12" s="1030"/>
      <c r="R12" s="1003"/>
      <c r="S12" s="1004"/>
      <c r="T12" s="1003">
        <f t="shared" si="4"/>
        <v>6.2725912019826513</v>
      </c>
      <c r="U12" s="1003"/>
      <c r="V12" s="1003"/>
      <c r="W12" s="1019">
        <f t="shared" si="5"/>
        <v>94.088868029739771</v>
      </c>
      <c r="X12" s="49">
        <f t="shared" si="6"/>
        <v>332</v>
      </c>
      <c r="Y12" s="49">
        <f t="shared" si="7"/>
        <v>55</v>
      </c>
      <c r="Z12" s="49">
        <f>IF(I12=$C$154,$J$166,IF(OR(L12=$B$154,L12=$B$155),8766,IF(L12=$B$153,VLOOKUP(N12,$I$168:$J$173,2),VLOOKUP(M12,List!$B$7:$H$44,AC12))))</f>
        <v>4939</v>
      </c>
      <c r="AA12" s="49">
        <f t="shared" si="8"/>
        <v>0.80700000000000005</v>
      </c>
      <c r="AB12" s="49">
        <f t="shared" si="9"/>
        <v>0.37</v>
      </c>
      <c r="AC12" s="49">
        <f>VLOOKUP(N12, List!$J$14:$K$19, 2, FALSE)</f>
        <v>7</v>
      </c>
    </row>
    <row r="13" spans="1:29" ht="50.15" customHeight="1" x14ac:dyDescent="0.35">
      <c r="A13" s="955" t="s">
        <v>540</v>
      </c>
      <c r="B13" s="955" t="str">
        <f t="shared" si="0"/>
        <v>Pipe Insulation, Outdoor, Process Heating, High pressure steam, Recirculation - Heating Season only</v>
      </c>
      <c r="C13" s="972" t="s">
        <v>539</v>
      </c>
      <c r="D13" s="1028" t="s">
        <v>2536</v>
      </c>
      <c r="E13" s="69" t="s">
        <v>1583</v>
      </c>
      <c r="F13" s="1000">
        <f t="shared" si="1"/>
        <v>15</v>
      </c>
      <c r="G13" s="1021" t="str">
        <f t="shared" si="2"/>
        <v>2 INCHES</v>
      </c>
      <c r="H13" s="1029" t="s">
        <v>2026</v>
      </c>
      <c r="I13" s="972" t="s">
        <v>2545</v>
      </c>
      <c r="J13" s="973" t="s">
        <v>2538</v>
      </c>
      <c r="K13" s="972" t="str">
        <f t="shared" si="3"/>
        <v>NA</v>
      </c>
      <c r="L13" s="972" t="s">
        <v>2539</v>
      </c>
      <c r="M13" s="972" t="s">
        <v>1185</v>
      </c>
      <c r="N13" s="972" t="s">
        <v>1696</v>
      </c>
      <c r="O13" s="994">
        <v>1</v>
      </c>
      <c r="P13" s="994"/>
      <c r="Q13" s="1030"/>
      <c r="R13" s="1003"/>
      <c r="S13" s="1004"/>
      <c r="T13" s="1003">
        <f t="shared" si="4"/>
        <v>100.7663940520446</v>
      </c>
      <c r="U13" s="1003"/>
      <c r="V13" s="1003"/>
      <c r="W13" s="1019">
        <f t="shared" si="5"/>
        <v>1511.495910780669</v>
      </c>
      <c r="X13" s="49">
        <f t="shared" si="6"/>
        <v>1101</v>
      </c>
      <c r="Y13" s="49">
        <f t="shared" si="7"/>
        <v>52</v>
      </c>
      <c r="Z13" s="49">
        <f>IF(I13=$C$154,$J$166,IF(OR(L13=$B$154,L13=$B$155),8766,IF(L13=$B$153,VLOOKUP(N13,$I$168:$J$173,2),VLOOKUP(M13,List!$B$7:$H$44,AC13))))</f>
        <v>7752</v>
      </c>
      <c r="AA13" s="49">
        <f t="shared" si="8"/>
        <v>0.80700000000000005</v>
      </c>
      <c r="AB13" s="49">
        <f t="shared" si="9"/>
        <v>1</v>
      </c>
      <c r="AC13" s="49">
        <f>VLOOKUP(N13, List!$J$14:$K$19, 2, FALSE)</f>
        <v>7</v>
      </c>
    </row>
    <row r="14" spans="1:29" ht="50.15" customHeight="1" x14ac:dyDescent="0.35">
      <c r="A14" s="955" t="s">
        <v>538</v>
      </c>
      <c r="B14" s="955" t="str">
        <f t="shared" si="0"/>
        <v>Pipe Insulation, Outdoor, Process Heating, Medium pressure steam, Recirculation - Heating Season only</v>
      </c>
      <c r="C14" s="972" t="s">
        <v>537</v>
      </c>
      <c r="D14" s="1028" t="s">
        <v>2536</v>
      </c>
      <c r="E14" s="69" t="s">
        <v>1583</v>
      </c>
      <c r="F14" s="1000">
        <f t="shared" si="1"/>
        <v>15</v>
      </c>
      <c r="G14" s="1021" t="str">
        <f t="shared" si="2"/>
        <v>2 INCHES</v>
      </c>
      <c r="H14" s="1029" t="s">
        <v>2026</v>
      </c>
      <c r="I14" s="972" t="s">
        <v>2545</v>
      </c>
      <c r="J14" s="973" t="s">
        <v>2544</v>
      </c>
      <c r="K14" s="972" t="str">
        <f t="shared" si="3"/>
        <v>NA</v>
      </c>
      <c r="L14" s="972" t="s">
        <v>2539</v>
      </c>
      <c r="M14" s="972" t="s">
        <v>1185</v>
      </c>
      <c r="N14" s="972" t="s">
        <v>1696</v>
      </c>
      <c r="O14" s="994">
        <v>1</v>
      </c>
      <c r="P14" s="994"/>
      <c r="Q14" s="1030"/>
      <c r="R14" s="1003"/>
      <c r="S14" s="1004"/>
      <c r="T14" s="1003">
        <f t="shared" si="4"/>
        <v>82.947360594795541</v>
      </c>
      <c r="U14" s="1003"/>
      <c r="V14" s="1003"/>
      <c r="W14" s="1019">
        <f t="shared" si="5"/>
        <v>1244.2104089219331</v>
      </c>
      <c r="X14" s="49">
        <f t="shared" si="6"/>
        <v>905.5</v>
      </c>
      <c r="Y14" s="49">
        <f t="shared" si="7"/>
        <v>42</v>
      </c>
      <c r="Z14" s="49">
        <f>IF(I14=$C$154,$J$166,IF(OR(L14=$B$154,L14=$B$155),8766,IF(L14=$B$153,VLOOKUP(N14,$I$168:$J$173,2),VLOOKUP(M14,List!$B$7:$H$44,AC14))))</f>
        <v>7752</v>
      </c>
      <c r="AA14" s="49">
        <f t="shared" si="8"/>
        <v>0.80700000000000005</v>
      </c>
      <c r="AB14" s="49">
        <f t="shared" si="9"/>
        <v>1</v>
      </c>
      <c r="AC14" s="49">
        <f>VLOOKUP(N14, List!$J$14:$K$19, 2, FALSE)</f>
        <v>7</v>
      </c>
    </row>
    <row r="15" spans="1:29" ht="50.15" customHeight="1" x14ac:dyDescent="0.35">
      <c r="A15" s="955" t="s">
        <v>536</v>
      </c>
      <c r="B15" s="955" t="str">
        <f t="shared" si="0"/>
        <v>Pipe Insulation, Outdoor, Process Heating, Low pressure steam, Recirculation - Heating Season only</v>
      </c>
      <c r="C15" s="972" t="s">
        <v>535</v>
      </c>
      <c r="D15" s="957" t="s">
        <v>2536</v>
      </c>
      <c r="E15" s="69" t="s">
        <v>1583</v>
      </c>
      <c r="F15" s="1000">
        <f t="shared" si="1"/>
        <v>15</v>
      </c>
      <c r="G15" s="1021" t="str">
        <f t="shared" si="2"/>
        <v>2 INCHES</v>
      </c>
      <c r="H15" s="1029" t="s">
        <v>2026</v>
      </c>
      <c r="I15" s="972" t="s">
        <v>2545</v>
      </c>
      <c r="J15" s="973" t="s">
        <v>2540</v>
      </c>
      <c r="K15" s="972" t="str">
        <f t="shared" si="3"/>
        <v>NA</v>
      </c>
      <c r="L15" s="972" t="s">
        <v>2539</v>
      </c>
      <c r="M15" s="972" t="s">
        <v>1185</v>
      </c>
      <c r="N15" s="972" t="s">
        <v>1696</v>
      </c>
      <c r="O15" s="994">
        <v>1</v>
      </c>
      <c r="P15" s="994"/>
      <c r="Q15" s="1030"/>
      <c r="R15" s="1003"/>
      <c r="S15" s="1004"/>
      <c r="T15" s="1003">
        <f t="shared" si="4"/>
        <v>65.128327137546464</v>
      </c>
      <c r="U15" s="1003"/>
      <c r="V15" s="1003"/>
      <c r="W15" s="1019">
        <f t="shared" si="5"/>
        <v>976.924907063197</v>
      </c>
      <c r="X15" s="49">
        <f t="shared" si="6"/>
        <v>710</v>
      </c>
      <c r="Y15" s="49">
        <f t="shared" si="7"/>
        <v>32</v>
      </c>
      <c r="Z15" s="49">
        <f>IF(I15=$C$154,$J$166,IF(OR(L15=$B$154,L15=$B$155),8766,IF(L15=$B$153,VLOOKUP(N15,$I$168:$J$173,2),VLOOKUP(M15,List!$B$7:$H$44,AC15))))</f>
        <v>7752</v>
      </c>
      <c r="AA15" s="49">
        <f t="shared" si="8"/>
        <v>0.80700000000000005</v>
      </c>
      <c r="AB15" s="49">
        <f t="shared" si="9"/>
        <v>1</v>
      </c>
      <c r="AC15" s="49">
        <f>VLOOKUP(N15, List!$J$14:$K$19, 2, FALSE)</f>
        <v>7</v>
      </c>
    </row>
    <row r="16" spans="1:29" ht="50.15" customHeight="1" x14ac:dyDescent="0.35">
      <c r="A16" s="955" t="s">
        <v>352</v>
      </c>
      <c r="B16" s="955" t="str">
        <f t="shared" si="0"/>
        <v>Pipe Insulation, Indoor, Process Heating, High pressure steam, Recirculation- year round</v>
      </c>
      <c r="C16" s="972" t="s">
        <v>351</v>
      </c>
      <c r="D16" s="957" t="s">
        <v>2536</v>
      </c>
      <c r="E16" s="69" t="s">
        <v>1583</v>
      </c>
      <c r="F16" s="1000">
        <f t="shared" si="1"/>
        <v>15</v>
      </c>
      <c r="G16" s="1021" t="str">
        <f t="shared" si="2"/>
        <v>1 INCH</v>
      </c>
      <c r="H16" s="1029" t="s">
        <v>2025</v>
      </c>
      <c r="I16" s="972" t="s">
        <v>2545</v>
      </c>
      <c r="J16" s="973" t="s">
        <v>2538</v>
      </c>
      <c r="K16" s="972" t="str">
        <f t="shared" si="3"/>
        <v>NA</v>
      </c>
      <c r="L16" s="972" t="s">
        <v>2546</v>
      </c>
      <c r="M16" s="972" t="s">
        <v>1185</v>
      </c>
      <c r="N16" s="972" t="s">
        <v>1696</v>
      </c>
      <c r="O16" s="994">
        <v>1</v>
      </c>
      <c r="P16" s="994"/>
      <c r="Q16" s="1030"/>
      <c r="R16" s="1003"/>
      <c r="S16" s="1004"/>
      <c r="T16" s="1003">
        <f t="shared" si="4"/>
        <v>14.083280297397769</v>
      </c>
      <c r="U16" s="1003"/>
      <c r="V16" s="1003"/>
      <c r="W16" s="1019">
        <f t="shared" si="5"/>
        <v>211.24920446096652</v>
      </c>
      <c r="X16" s="49">
        <f t="shared" si="6"/>
        <v>432</v>
      </c>
      <c r="Y16" s="49">
        <f t="shared" si="7"/>
        <v>70</v>
      </c>
      <c r="Z16" s="49">
        <f>IF(I16=$C$154,$J$166,IF(OR(L16=$B$154,L16=$B$155),8766,IF(L16=$B$153,VLOOKUP(N16,$I$168:$J$173,2),VLOOKUP(M16,List!$B$7:$H$44,AC16))))</f>
        <v>7752</v>
      </c>
      <c r="AA16" s="49">
        <f t="shared" si="8"/>
        <v>0.80700000000000005</v>
      </c>
      <c r="AB16" s="49">
        <f t="shared" si="9"/>
        <v>0.40499999999999997</v>
      </c>
      <c r="AC16" s="49">
        <f>VLOOKUP(N16, List!$J$14:$K$19, 2, FALSE)</f>
        <v>7</v>
      </c>
    </row>
    <row r="17" spans="1:29" ht="50.15" customHeight="1" x14ac:dyDescent="0.35">
      <c r="A17" s="955" t="s">
        <v>350</v>
      </c>
      <c r="B17" s="955" t="str">
        <f t="shared" si="0"/>
        <v>Pipe Insulation, Indoor, Process Heating, Medium pressure steam, Recirculation - Heating Season only</v>
      </c>
      <c r="C17" s="972" t="s">
        <v>349</v>
      </c>
      <c r="D17" s="957" t="s">
        <v>2536</v>
      </c>
      <c r="E17" s="69" t="s">
        <v>1583</v>
      </c>
      <c r="F17" s="1000">
        <f t="shared" si="1"/>
        <v>15</v>
      </c>
      <c r="G17" s="1021" t="str">
        <f t="shared" si="2"/>
        <v>1 INCH</v>
      </c>
      <c r="H17" s="1029" t="s">
        <v>2025</v>
      </c>
      <c r="I17" s="972" t="s">
        <v>2545</v>
      </c>
      <c r="J17" s="973" t="s">
        <v>2544</v>
      </c>
      <c r="K17" s="972" t="str">
        <f t="shared" si="3"/>
        <v>NA</v>
      </c>
      <c r="L17" s="972" t="s">
        <v>2539</v>
      </c>
      <c r="M17" s="972" t="s">
        <v>1185</v>
      </c>
      <c r="N17" s="972" t="s">
        <v>1696</v>
      </c>
      <c r="O17" s="994">
        <v>1</v>
      </c>
      <c r="P17" s="994"/>
      <c r="Q17" s="1030"/>
      <c r="R17" s="1003"/>
      <c r="S17" s="1004"/>
      <c r="T17" s="1003">
        <f t="shared" si="4"/>
        <v>10.776432713754645</v>
      </c>
      <c r="U17" s="1003"/>
      <c r="V17" s="1003"/>
      <c r="W17" s="1019">
        <f t="shared" si="5"/>
        <v>161.64649070631967</v>
      </c>
      <c r="X17" s="49">
        <f t="shared" si="6"/>
        <v>332</v>
      </c>
      <c r="Y17" s="49">
        <f t="shared" si="7"/>
        <v>55</v>
      </c>
      <c r="Z17" s="49">
        <f>IF(I17=$C$154,$J$166,IF(OR(L17=$B$154,L17=$B$155),8766,IF(L17=$B$153,VLOOKUP(N17,$I$168:$J$173,2),VLOOKUP(M17,List!$B$7:$H$44,AC17))))</f>
        <v>7752</v>
      </c>
      <c r="AA17" s="49">
        <f t="shared" si="8"/>
        <v>0.80700000000000005</v>
      </c>
      <c r="AB17" s="49">
        <f t="shared" si="9"/>
        <v>0.40499999999999997</v>
      </c>
      <c r="AC17" s="49">
        <f>VLOOKUP(N17, List!$J$14:$K$19, 2, FALSE)</f>
        <v>7</v>
      </c>
    </row>
    <row r="18" spans="1:29" ht="50.15" customHeight="1" x14ac:dyDescent="0.35">
      <c r="A18" s="955" t="s">
        <v>348</v>
      </c>
      <c r="B18" s="955" t="str">
        <f t="shared" si="0"/>
        <v>Pipe Insulation, Indoor, Process Heating, Low pressure steam, Recirculation - Heating Season only</v>
      </c>
      <c r="C18" s="972" t="s">
        <v>347</v>
      </c>
      <c r="D18" s="957" t="s">
        <v>2536</v>
      </c>
      <c r="E18" s="69" t="s">
        <v>1583</v>
      </c>
      <c r="F18" s="1000">
        <f t="shared" si="1"/>
        <v>15</v>
      </c>
      <c r="G18" s="1021" t="str">
        <f t="shared" si="2"/>
        <v>1 INCH</v>
      </c>
      <c r="H18" s="1029" t="s">
        <v>2025</v>
      </c>
      <c r="I18" s="972" t="s">
        <v>2545</v>
      </c>
      <c r="J18" s="973" t="s">
        <v>2540</v>
      </c>
      <c r="K18" s="972" t="str">
        <f t="shared" si="3"/>
        <v>NA</v>
      </c>
      <c r="L18" s="972" t="s">
        <v>2539</v>
      </c>
      <c r="M18" s="972" t="s">
        <v>1185</v>
      </c>
      <c r="N18" s="972" t="s">
        <v>1696</v>
      </c>
      <c r="O18" s="994">
        <v>1</v>
      </c>
      <c r="P18" s="994"/>
      <c r="Q18" s="1030"/>
      <c r="R18" s="1003"/>
      <c r="S18" s="1004"/>
      <c r="T18" s="1003">
        <f t="shared" si="4"/>
        <v>7.4695851301115246</v>
      </c>
      <c r="U18" s="1003"/>
      <c r="V18" s="1003"/>
      <c r="W18" s="1019">
        <f t="shared" si="5"/>
        <v>112.04377695167287</v>
      </c>
      <c r="X18" s="49">
        <f t="shared" si="6"/>
        <v>232</v>
      </c>
      <c r="Y18" s="49">
        <f t="shared" si="7"/>
        <v>40</v>
      </c>
      <c r="Z18" s="49">
        <f>IF(I18=$C$154,$J$166,IF(OR(L18=$B$154,L18=$B$155),8766,IF(L18=$B$153,VLOOKUP(N18,$I$168:$J$173,2),VLOOKUP(M18,List!$B$7:$H$44,AC18))))</f>
        <v>7752</v>
      </c>
      <c r="AA18" s="49">
        <f t="shared" si="8"/>
        <v>0.80700000000000005</v>
      </c>
      <c r="AB18" s="49">
        <f t="shared" si="9"/>
        <v>0.40499999999999997</v>
      </c>
      <c r="AC18" s="49">
        <f>VLOOKUP(N18, List!$J$14:$K$19, 2, FALSE)</f>
        <v>7</v>
      </c>
    </row>
    <row r="19" spans="1:29" ht="50.15" customHeight="1" x14ac:dyDescent="0.35">
      <c r="A19" s="955" t="s">
        <v>2547</v>
      </c>
      <c r="B19" s="955" t="s">
        <v>2548</v>
      </c>
      <c r="C19" s="972" t="s">
        <v>2548</v>
      </c>
      <c r="D19" s="957" t="s">
        <v>2536</v>
      </c>
      <c r="E19" s="69" t="s">
        <v>1583</v>
      </c>
      <c r="F19" s="1000">
        <f t="shared" si="1"/>
        <v>15</v>
      </c>
      <c r="G19" s="1021" t="str">
        <f t="shared" si="2"/>
        <v>1 INCH</v>
      </c>
      <c r="H19" s="1029" t="s">
        <v>2025</v>
      </c>
      <c r="I19" s="972" t="s">
        <v>2545</v>
      </c>
      <c r="J19" s="973"/>
      <c r="K19" s="972"/>
      <c r="L19" s="972"/>
      <c r="M19" s="972" t="s">
        <v>1185</v>
      </c>
      <c r="N19" s="972" t="s">
        <v>1696</v>
      </c>
      <c r="O19" s="994">
        <v>1</v>
      </c>
      <c r="P19" s="994"/>
      <c r="Q19" s="1030"/>
      <c r="R19" s="1003"/>
      <c r="S19" s="1004"/>
      <c r="T19" s="1003">
        <f>+AVERAGEIFS(T$4:T$18,$I$4:$I$18,$I19)</f>
        <v>46.861896654275093</v>
      </c>
      <c r="U19" s="1003"/>
      <c r="V19" s="1003"/>
      <c r="W19" s="1019">
        <f t="shared" si="5"/>
        <v>702.92844981412634</v>
      </c>
      <c r="X19" t="s">
        <v>2549</v>
      </c>
    </row>
    <row r="20" spans="1:29" ht="50.15" customHeight="1" x14ac:dyDescent="0.35">
      <c r="A20" s="955" t="s">
        <v>2550</v>
      </c>
      <c r="B20" s="955" t="s">
        <v>2551</v>
      </c>
      <c r="C20" s="972" t="s">
        <v>2551</v>
      </c>
      <c r="D20" s="957" t="s">
        <v>2536</v>
      </c>
      <c r="E20" s="69" t="s">
        <v>1583</v>
      </c>
      <c r="F20" s="1000">
        <f t="shared" si="1"/>
        <v>15</v>
      </c>
      <c r="G20" s="1021" t="str">
        <f t="shared" si="2"/>
        <v>1 INCH</v>
      </c>
      <c r="H20" s="1029" t="s">
        <v>2025</v>
      </c>
      <c r="I20" s="972" t="s">
        <v>2537</v>
      </c>
      <c r="J20" s="973"/>
      <c r="K20" s="972"/>
      <c r="L20" s="972"/>
      <c r="M20" s="972" t="s">
        <v>1185</v>
      </c>
      <c r="N20" s="972" t="s">
        <v>1696</v>
      </c>
      <c r="O20" s="994">
        <v>1</v>
      </c>
      <c r="P20" s="994"/>
      <c r="Q20" s="1030"/>
      <c r="R20" s="1003"/>
      <c r="S20" s="1004"/>
      <c r="T20" s="1003">
        <f>+AVERAGEIFS(T$4:T$18,$I$4:$I$18,$I20)</f>
        <v>25.343262525333508</v>
      </c>
      <c r="U20" s="1003"/>
      <c r="V20" s="1003"/>
      <c r="W20" s="1019">
        <f t="shared" si="5"/>
        <v>380.14893788000262</v>
      </c>
      <c r="X20" t="s">
        <v>2549</v>
      </c>
    </row>
    <row r="21" spans="1:29" ht="50.15" customHeight="1" x14ac:dyDescent="0.35">
      <c r="A21" s="955" t="s">
        <v>2552</v>
      </c>
      <c r="B21" s="955" t="s">
        <v>2553</v>
      </c>
      <c r="C21" s="972" t="s">
        <v>2553</v>
      </c>
      <c r="D21" s="957" t="s">
        <v>2536</v>
      </c>
      <c r="E21" s="69" t="s">
        <v>1583</v>
      </c>
      <c r="F21" s="1000">
        <f t="shared" si="1"/>
        <v>15</v>
      </c>
      <c r="G21" s="1021" t="str">
        <f t="shared" si="2"/>
        <v>2 INCHES</v>
      </c>
      <c r="H21" s="1029" t="s">
        <v>1598</v>
      </c>
      <c r="I21" s="972" t="s">
        <v>2542</v>
      </c>
      <c r="J21" s="973"/>
      <c r="K21" s="972"/>
      <c r="L21" s="972"/>
      <c r="M21" s="972" t="s">
        <v>1185</v>
      </c>
      <c r="N21" s="972" t="s">
        <v>1696</v>
      </c>
      <c r="O21" s="994">
        <v>1</v>
      </c>
      <c r="P21" s="994"/>
      <c r="Q21" s="1030"/>
      <c r="R21" s="1003"/>
      <c r="S21" s="1004"/>
      <c r="T21" s="1003">
        <f>+AVERAGEIFS(T$4:T$18,$I$4:$I$18,$I21)</f>
        <v>2.0533046641791044</v>
      </c>
      <c r="U21" s="1003"/>
      <c r="V21" s="1003"/>
      <c r="W21" s="1019">
        <f t="shared" si="5"/>
        <v>30.799569962686565</v>
      </c>
      <c r="X21" t="s">
        <v>2549</v>
      </c>
    </row>
    <row r="22" spans="1:29" ht="50.15" customHeight="1" x14ac:dyDescent="0.35">
      <c r="A22" s="955" t="s">
        <v>752</v>
      </c>
      <c r="B22" s="955" t="s">
        <v>751</v>
      </c>
      <c r="C22" s="972" t="s">
        <v>751</v>
      </c>
      <c r="D22" s="957" t="s">
        <v>2536</v>
      </c>
      <c r="E22" s="69" t="s">
        <v>1583</v>
      </c>
      <c r="F22" s="1000">
        <f t="shared" si="1"/>
        <v>15</v>
      </c>
      <c r="G22" s="1021" t="str">
        <f t="shared" si="2"/>
        <v>2 INCHES</v>
      </c>
      <c r="H22" s="1029" t="s">
        <v>2554</v>
      </c>
      <c r="I22" s="972" t="s">
        <v>2537</v>
      </c>
      <c r="J22" s="973" t="s">
        <v>2555</v>
      </c>
      <c r="K22" s="972" t="s">
        <v>1460</v>
      </c>
      <c r="L22" s="972" t="s">
        <v>2539</v>
      </c>
      <c r="M22" s="972" t="s">
        <v>2556</v>
      </c>
      <c r="N22" s="972" t="s">
        <v>1696</v>
      </c>
      <c r="O22" s="994">
        <v>1</v>
      </c>
      <c r="P22" s="994"/>
      <c r="Q22" s="1030"/>
      <c r="R22" s="1003"/>
      <c r="S22" s="1004"/>
      <c r="T22" s="1003">
        <f>((((X22-Y22)*Z22)/(100000*AA22))*AB22)*O22</f>
        <v>3.9669999999999996</v>
      </c>
      <c r="U22" s="1003"/>
      <c r="V22" s="1003"/>
      <c r="W22" s="1019">
        <v>59.51</v>
      </c>
      <c r="X22" s="2413">
        <v>93.877991968232692</v>
      </c>
      <c r="Y22" s="2413">
        <v>19.524710505819833</v>
      </c>
      <c r="Z22" s="49">
        <f>IF(I22=$C$154,$J$166,IF(OR(L22=$B$154,L22=$B$155),8766,IF(L22=$B$153,VLOOKUP(N22,$I$168:$J$173,2),VLOOKUP(M22,List!$B$7:$H$44,AC22))))</f>
        <v>4939</v>
      </c>
      <c r="AA22" s="49">
        <f>IF(I22=$C$152,$C$90,VLOOKUP(J22,$B$86:$C$91,2,FALSE))</f>
        <v>0.64800000000000002</v>
      </c>
      <c r="AB22" s="49">
        <f>IF(H22=$B$99,$D$99,VLOOKUP(I22,$B$109:$C$111, 2, FALSE))</f>
        <v>0.7</v>
      </c>
      <c r="AC22" s="49">
        <f>VLOOKUP(N22, List!$J$14:$K$19, 2, FALSE)</f>
        <v>7</v>
      </c>
    </row>
    <row r="23" spans="1:29" ht="50.15" customHeight="1" x14ac:dyDescent="0.35">
      <c r="A23" s="955" t="s">
        <v>754</v>
      </c>
      <c r="B23" s="955" t="s">
        <v>753</v>
      </c>
      <c r="C23" s="972" t="s">
        <v>753</v>
      </c>
      <c r="D23" s="957" t="s">
        <v>2536</v>
      </c>
      <c r="E23" s="69" t="s">
        <v>1583</v>
      </c>
      <c r="F23" s="1000">
        <f t="shared" si="1"/>
        <v>15</v>
      </c>
      <c r="G23" s="1021" t="str">
        <f t="shared" si="2"/>
        <v>2 INCHES</v>
      </c>
      <c r="H23" s="1029" t="s">
        <v>2554</v>
      </c>
      <c r="I23" s="972" t="s">
        <v>2537</v>
      </c>
      <c r="J23" s="973" t="s">
        <v>2541</v>
      </c>
      <c r="K23" s="972" t="s">
        <v>1460</v>
      </c>
      <c r="L23" s="972" t="s">
        <v>2539</v>
      </c>
      <c r="M23" s="972" t="s">
        <v>2556</v>
      </c>
      <c r="N23" s="972" t="s">
        <v>1696</v>
      </c>
      <c r="O23" s="994">
        <v>1</v>
      </c>
      <c r="P23" s="994"/>
      <c r="Q23" s="1030"/>
      <c r="R23" s="1003"/>
      <c r="S23" s="1004"/>
      <c r="T23" s="1003">
        <f>((((X23-Y23)*Z23)/(100000*AA23))*AB23)*O23</f>
        <v>3.1360000000000015</v>
      </c>
      <c r="U23" s="1003"/>
      <c r="V23" s="1003"/>
      <c r="W23" s="1019">
        <v>47.04</v>
      </c>
      <c r="X23" s="2413">
        <v>94.129979485515136</v>
      </c>
      <c r="Y23" s="2413">
        <v>19.841257072071087</v>
      </c>
      <c r="Z23" s="49">
        <f>IF(I23=$C$154,$J$166,IF(OR(L23=$B$154,L23=$B$155),8766,IF(L23=$B$153,VLOOKUP(N23,$I$168:$J$173,2),VLOOKUP(M23,List!$B$7:$H$44,AC23))))</f>
        <v>4939</v>
      </c>
      <c r="AA23" s="49">
        <f>IF(I23=$C$152,$C$90,VLOOKUP(J23,$B$86:$C$91,2,FALSE))</f>
        <v>0.81899999999999995</v>
      </c>
      <c r="AB23" s="49">
        <f>IF(H23=$B$99,$D$99,VLOOKUP(I23,$B$109:$C$111, 2, FALSE))</f>
        <v>0.7</v>
      </c>
      <c r="AC23" s="49">
        <f>VLOOKUP(N23, List!$J$14:$K$19, 2, FALSE)</f>
        <v>7</v>
      </c>
    </row>
    <row r="24" spans="1:29" ht="50.15" customHeight="1" x14ac:dyDescent="0.35">
      <c r="A24" s="955" t="s">
        <v>756</v>
      </c>
      <c r="B24" s="955" t="s">
        <v>755</v>
      </c>
      <c r="C24" s="972" t="s">
        <v>755</v>
      </c>
      <c r="D24" s="957" t="s">
        <v>2536</v>
      </c>
      <c r="E24" s="69" t="s">
        <v>1583</v>
      </c>
      <c r="F24" s="1000">
        <f t="shared" si="1"/>
        <v>15</v>
      </c>
      <c r="G24" s="1021" t="str">
        <f t="shared" si="2"/>
        <v>2 INCHES</v>
      </c>
      <c r="H24" s="1029" t="s">
        <v>2557</v>
      </c>
      <c r="I24" s="972" t="s">
        <v>2557</v>
      </c>
      <c r="J24" s="973" t="s">
        <v>2541</v>
      </c>
      <c r="K24" s="972" t="s">
        <v>1460</v>
      </c>
      <c r="L24" s="972" t="s">
        <v>2543</v>
      </c>
      <c r="M24" s="972" t="s">
        <v>2556</v>
      </c>
      <c r="N24" s="972" t="s">
        <v>1696</v>
      </c>
      <c r="O24" s="994">
        <v>1</v>
      </c>
      <c r="P24" s="994"/>
      <c r="Q24" s="1030"/>
      <c r="R24" s="1003"/>
      <c r="S24" s="1004"/>
      <c r="T24" s="1003">
        <f>((((X24-Y24)*Z24)/(100000*AA24))*AB24)*O24</f>
        <v>4.2520000000000007</v>
      </c>
      <c r="U24" s="1003"/>
      <c r="V24" s="1003"/>
      <c r="W24" s="1019">
        <v>63.78</v>
      </c>
      <c r="X24" s="2414">
        <v>60.165351438868441</v>
      </c>
      <c r="Y24" s="2414">
        <v>12.358588949679353</v>
      </c>
      <c r="Z24" s="123">
        <f>IF(I24=$C$154,$J$166,IF(OR(L24=$B$154,L24=$B$155),8766,IF(L24=$B$153,VLOOKUP(N24,$I$168:$J$173,2),VLOOKUP(M24,List!$B$7:$H$44,AC24))))</f>
        <v>8766</v>
      </c>
      <c r="AA24" s="125">
        <f>IF(I24=$C$152,$C$90,VLOOKUP(J24,$B$86:$C$91,2,FALSE))</f>
        <v>0.81899999999999995</v>
      </c>
      <c r="AB24" s="124">
        <f>IF(H24=$B$99,$D$99,VLOOKUP(I24,$B$109:$C$112, 2, FALSE))</f>
        <v>0.83097193702943184</v>
      </c>
      <c r="AC24" s="123">
        <f>VLOOKUP(N24, List!$J$14:$K$19, 2, FALSE)</f>
        <v>7</v>
      </c>
    </row>
    <row r="25" spans="1:29" ht="50.15" customHeight="1" x14ac:dyDescent="0.35">
      <c r="A25" s="955" t="s">
        <v>758</v>
      </c>
      <c r="B25" s="955" t="s">
        <v>757</v>
      </c>
      <c r="C25" s="972" t="s">
        <v>757</v>
      </c>
      <c r="D25" s="957" t="s">
        <v>2536</v>
      </c>
      <c r="E25" s="69" t="s">
        <v>1583</v>
      </c>
      <c r="F25" s="1000">
        <f t="shared" si="1"/>
        <v>15</v>
      </c>
      <c r="G25" s="1021" t="str">
        <f t="shared" si="2"/>
        <v>2 INCHES</v>
      </c>
      <c r="H25" s="1029" t="s">
        <v>2557</v>
      </c>
      <c r="I25" s="972" t="s">
        <v>2557</v>
      </c>
      <c r="J25" s="973" t="s">
        <v>2541</v>
      </c>
      <c r="K25" s="972" t="s">
        <v>1460</v>
      </c>
      <c r="L25" s="972" t="s">
        <v>2543</v>
      </c>
      <c r="M25" s="972" t="s">
        <v>2556</v>
      </c>
      <c r="N25" s="972" t="s">
        <v>1696</v>
      </c>
      <c r="O25" s="2490">
        <v>0</v>
      </c>
      <c r="P25" s="2491">
        <v>0.85</v>
      </c>
      <c r="Q25" s="1030"/>
      <c r="R25" s="1003"/>
      <c r="S25" s="1004"/>
      <c r="T25" s="1003">
        <f>IF(O25=0,((((X25-Y25)*Z25)/(100000*AA25))*AB25)*P25,((((X25-Y25)*Z25)/(100000*AA25))*AB25)*O25)</f>
        <v>5.3550000000000022</v>
      </c>
      <c r="U25" s="1003"/>
      <c r="V25" s="1003"/>
      <c r="W25" s="1019">
        <v>64.78</v>
      </c>
      <c r="X25" s="2414">
        <v>98.103811452078034</v>
      </c>
      <c r="Y25" s="2414">
        <v>27.270649720683085</v>
      </c>
      <c r="Z25" s="123">
        <f>IF(I25=$C$154,$J$166,IF(OR(L25=$B$154,L25=$B$155),8766,IF(L25=$B$153,VLOOKUP(N25,$I$168:$J$173,2),VLOOKUP(M25,List!$B$7:$H$44,AC25))))</f>
        <v>8766</v>
      </c>
      <c r="AA25" s="125">
        <f>IF(I25=$C$152,$C$90,VLOOKUP(J25,$B$86:$C$91,2,FALSE))</f>
        <v>0.81899999999999995</v>
      </c>
      <c r="AB25" s="124">
        <f>IF(H25=$B$99,$D$99,VLOOKUP(I25,$B$109:$C$112, 2, FALSE))</f>
        <v>0.83097193702943184</v>
      </c>
      <c r="AC25" s="123">
        <f>VLOOKUP(N25, List!$J$14:$K$19, 2, FALSE)</f>
        <v>7</v>
      </c>
    </row>
    <row r="26" spans="1:29" ht="50.15" customHeight="1" x14ac:dyDescent="0.35">
      <c r="A26" s="955" t="s">
        <v>761</v>
      </c>
      <c r="B26" s="955" t="s">
        <v>760</v>
      </c>
      <c r="C26" s="955" t="s">
        <v>760</v>
      </c>
      <c r="D26" s="957" t="s">
        <v>2536</v>
      </c>
      <c r="E26" s="69" t="s">
        <v>1583</v>
      </c>
      <c r="F26" s="1000">
        <f t="shared" si="1"/>
        <v>15</v>
      </c>
      <c r="G26" s="1021" t="str">
        <f t="shared" si="2"/>
        <v>2 INCHES</v>
      </c>
      <c r="H26" s="1029" t="s">
        <v>2554</v>
      </c>
      <c r="I26" s="972" t="s">
        <v>2537</v>
      </c>
      <c r="J26" s="973" t="s">
        <v>2540</v>
      </c>
      <c r="K26" s="972" t="s">
        <v>1460</v>
      </c>
      <c r="L26" s="972" t="s">
        <v>2539</v>
      </c>
      <c r="M26" s="972" t="s">
        <v>2556</v>
      </c>
      <c r="N26" s="972" t="s">
        <v>1696</v>
      </c>
      <c r="O26" s="2490">
        <v>0</v>
      </c>
      <c r="P26" s="2491">
        <v>0.85</v>
      </c>
      <c r="Q26" s="1030"/>
      <c r="R26" s="1003"/>
      <c r="S26" s="1004"/>
      <c r="T26" s="1003">
        <f>IF(O26=0,((((X26-Y26)*Z26)/(100000*AA26))*AB26)*P26,((((X26-Y26)*Z26)/(100000*AA26))*AB26)*O26)</f>
        <v>7.7009999999999987</v>
      </c>
      <c r="U26" s="1003"/>
      <c r="V26" s="1003"/>
      <c r="W26" s="1019">
        <v>65.78</v>
      </c>
      <c r="X26" s="2414">
        <v>230.13643938230476</v>
      </c>
      <c r="Y26" s="2414">
        <v>18.6586966350743</v>
      </c>
      <c r="Z26" s="123">
        <f>IF(I26=$C$154,$J$166,IF(OR(L26=$B$154,L26=$B$155),8766,IF(L26=$B$153,VLOOKUP(N26,$I$168:$J$173,2),VLOOKUP(M26,List!$B$7:$H$44,AC26))))</f>
        <v>4939</v>
      </c>
      <c r="AA26" s="125">
        <f>IF(I26=$C$152,$C$90,VLOOKUP(J26,$B$86:$C$91,2,FALSE))</f>
        <v>0.80700000000000005</v>
      </c>
      <c r="AB26" s="49">
        <f>IF(H26=$B$99,$D$99,VLOOKUP(I26,$B$109:$C$111, 2, FALSE))</f>
        <v>0.7</v>
      </c>
      <c r="AC26" s="123">
        <f>VLOOKUP(N26, List!$J$14:$K$19, 2, FALSE)</f>
        <v>7</v>
      </c>
    </row>
    <row r="27" spans="1:29" ht="50.15" customHeight="1" x14ac:dyDescent="0.35">
      <c r="A27" s="955"/>
      <c r="B27" s="955"/>
      <c r="C27" s="972"/>
      <c r="D27" s="957"/>
      <c r="E27" s="69"/>
      <c r="F27" s="1000"/>
      <c r="G27" s="1021"/>
      <c r="H27" s="1029"/>
      <c r="I27" s="972"/>
      <c r="J27" s="973"/>
      <c r="K27" s="972"/>
      <c r="L27" s="972"/>
      <c r="M27" s="972"/>
      <c r="N27" s="972"/>
      <c r="O27" s="994"/>
      <c r="P27" s="994"/>
      <c r="Q27" s="1030"/>
      <c r="R27" s="1003"/>
      <c r="S27" s="1004"/>
      <c r="T27" s="1003"/>
      <c r="U27" s="1003"/>
      <c r="V27" s="1003"/>
      <c r="W27" s="1019"/>
      <c r="X27" s="2492"/>
      <c r="Y27" s="2492"/>
    </row>
    <row r="28" spans="1:29" ht="17.25" customHeight="1" x14ac:dyDescent="0.35">
      <c r="A28" s="961"/>
      <c r="B28" s="1031"/>
      <c r="C28" s="961"/>
      <c r="D28" s="961"/>
      <c r="E28" s="961"/>
      <c r="F28" s="961"/>
      <c r="G28" s="961"/>
      <c r="H28" s="961"/>
      <c r="I28" s="961"/>
      <c r="J28" s="961"/>
      <c r="K28" s="961"/>
      <c r="L28" s="961"/>
      <c r="M28" s="961"/>
      <c r="N28" s="961"/>
      <c r="O28" s="961"/>
      <c r="P28" s="961"/>
      <c r="Q28" s="961"/>
      <c r="R28" s="961"/>
      <c r="S28" s="961"/>
      <c r="T28" s="961"/>
      <c r="U28" s="961"/>
      <c r="V28" s="961"/>
      <c r="W28" s="1006"/>
      <c r="X28" s="2492"/>
      <c r="Y28" s="2492"/>
      <c r="Z28" s="2412"/>
    </row>
    <row r="29" spans="1:29" ht="15" thickBot="1" x14ac:dyDescent="0.4"/>
    <row r="30" spans="1:29" ht="15" thickBot="1" x14ac:dyDescent="0.4">
      <c r="A30" s="637" t="s">
        <v>1188</v>
      </c>
      <c r="B30" s="378"/>
      <c r="W30" s="2411"/>
      <c r="X30" s="2411"/>
    </row>
    <row r="31" spans="1:29" x14ac:dyDescent="0.35">
      <c r="A31" s="379" t="s">
        <v>2558</v>
      </c>
      <c r="B31" s="381"/>
    </row>
    <row r="32" spans="1:29" ht="15" thickBot="1" x14ac:dyDescent="0.4">
      <c r="A32" s="261" t="s">
        <v>2559</v>
      </c>
      <c r="B32" s="163"/>
    </row>
    <row r="33" spans="1:10" ht="15" thickBot="1" x14ac:dyDescent="0.4">
      <c r="A33" s="154" t="s">
        <v>1078</v>
      </c>
      <c r="B33" s="1142">
        <f>'Measure-Level Adjustments'!A2</f>
        <v>44592</v>
      </c>
    </row>
    <row r="34" spans="1:10" ht="15" thickBot="1" x14ac:dyDescent="0.4">
      <c r="A34" s="154" t="s">
        <v>1079</v>
      </c>
      <c r="B34" s="577" t="s">
        <v>2560</v>
      </c>
    </row>
    <row r="35" spans="1:10" ht="15" thickBot="1" x14ac:dyDescent="0.4"/>
    <row r="36" spans="1:10" ht="15" thickBot="1" x14ac:dyDescent="0.4">
      <c r="A36" s="74" t="s">
        <v>1285</v>
      </c>
      <c r="B36" s="75" t="s">
        <v>1199</v>
      </c>
      <c r="C36" s="76" t="s">
        <v>1082</v>
      </c>
      <c r="D36" s="64"/>
      <c r="E36" s="64"/>
      <c r="F36" s="64"/>
      <c r="G36" s="64"/>
      <c r="H36" s="64"/>
      <c r="I36" s="64"/>
      <c r="J36" s="65"/>
    </row>
    <row r="37" spans="1:10" x14ac:dyDescent="0.35">
      <c r="A37" s="93" t="s">
        <v>2532</v>
      </c>
      <c r="B37" s="386" t="s">
        <v>2427</v>
      </c>
      <c r="C37" s="80" t="s">
        <v>2561</v>
      </c>
      <c r="D37" s="80"/>
      <c r="E37" s="80"/>
      <c r="F37" s="80"/>
      <c r="G37" s="80"/>
      <c r="H37" s="80"/>
      <c r="I37" s="80"/>
      <c r="J37" s="81"/>
    </row>
    <row r="38" spans="1:10" ht="15" thickBot="1" x14ac:dyDescent="0.4">
      <c r="A38" s="88"/>
      <c r="B38" s="85"/>
      <c r="C38" s="85" t="s">
        <v>2562</v>
      </c>
      <c r="D38" s="85"/>
      <c r="E38" s="85"/>
      <c r="F38" s="85"/>
      <c r="G38" s="85"/>
      <c r="H38" s="85"/>
      <c r="I38" s="85"/>
      <c r="J38" s="86"/>
    </row>
    <row r="39" spans="1:10" x14ac:dyDescent="0.35">
      <c r="A39" s="93" t="s">
        <v>2533</v>
      </c>
      <c r="B39" s="386" t="s">
        <v>2427</v>
      </c>
      <c r="C39" s="80" t="s">
        <v>2563</v>
      </c>
      <c r="D39" s="80"/>
      <c r="E39" s="80"/>
      <c r="F39" s="80"/>
      <c r="G39" s="80"/>
      <c r="H39" s="80"/>
      <c r="I39" s="80"/>
      <c r="J39" s="81"/>
    </row>
    <row r="40" spans="1:10" ht="15" thickBot="1" x14ac:dyDescent="0.4">
      <c r="A40" s="88"/>
      <c r="B40" s="85"/>
      <c r="C40" s="85" t="s">
        <v>2562</v>
      </c>
      <c r="D40" s="85"/>
      <c r="E40" s="85"/>
      <c r="F40" s="85"/>
      <c r="G40" s="85"/>
      <c r="H40" s="85"/>
      <c r="I40" s="85"/>
      <c r="J40" s="86"/>
    </row>
    <row r="41" spans="1:10" ht="15" customHeight="1" x14ac:dyDescent="0.35">
      <c r="A41" s="93">
        <v>100000</v>
      </c>
      <c r="B41" s="80"/>
      <c r="C41" s="80" t="s">
        <v>2564</v>
      </c>
      <c r="D41" s="80"/>
      <c r="E41" s="80"/>
      <c r="F41" s="80"/>
      <c r="G41" s="80"/>
      <c r="H41" s="80"/>
      <c r="I41" s="80"/>
      <c r="J41" s="81"/>
    </row>
    <row r="42" spans="1:10" ht="15" thickBot="1" x14ac:dyDescent="0.4">
      <c r="A42" s="88"/>
      <c r="B42" s="85"/>
      <c r="C42" s="85" t="s">
        <v>1084</v>
      </c>
      <c r="D42" s="85"/>
      <c r="E42" s="85"/>
      <c r="F42" s="85"/>
      <c r="G42" s="85"/>
      <c r="H42" s="85"/>
      <c r="I42" s="717"/>
      <c r="J42" s="86"/>
    </row>
    <row r="43" spans="1:10" x14ac:dyDescent="0.35">
      <c r="A43" s="93" t="s">
        <v>2155</v>
      </c>
      <c r="B43" s="386" t="s">
        <v>2565</v>
      </c>
      <c r="C43" s="80" t="s">
        <v>2566</v>
      </c>
      <c r="D43" s="80"/>
      <c r="E43" s="718"/>
      <c r="F43" s="718"/>
      <c r="G43" s="718"/>
      <c r="H43" s="80"/>
      <c r="I43" s="719"/>
      <c r="J43" s="81"/>
    </row>
    <row r="44" spans="1:10" x14ac:dyDescent="0.35">
      <c r="A44" s="254"/>
      <c r="C44" t="s">
        <v>2567</v>
      </c>
      <c r="E44" s="720"/>
      <c r="F44" s="720"/>
      <c r="G44" s="720"/>
      <c r="I44" s="721"/>
      <c r="J44" s="253"/>
    </row>
    <row r="45" spans="1:10" ht="15" thickBot="1" x14ac:dyDescent="0.4">
      <c r="A45" s="88"/>
      <c r="B45" s="85"/>
      <c r="C45" s="85" t="s">
        <v>2568</v>
      </c>
      <c r="D45" s="85"/>
      <c r="E45" s="722"/>
      <c r="F45" s="722"/>
      <c r="G45" s="722"/>
      <c r="H45" s="85"/>
      <c r="I45" s="723"/>
      <c r="J45" s="86"/>
    </row>
    <row r="46" spans="1:10" x14ac:dyDescent="0.35">
      <c r="A46" s="93" t="s">
        <v>2534</v>
      </c>
      <c r="B46" s="386" t="s">
        <v>2427</v>
      </c>
      <c r="C46" s="80" t="s">
        <v>2569</v>
      </c>
      <c r="D46" s="80"/>
      <c r="E46" s="724"/>
      <c r="F46" s="725"/>
      <c r="G46" s="724"/>
      <c r="H46" s="80"/>
      <c r="I46" s="726"/>
      <c r="J46" s="81"/>
    </row>
    <row r="47" spans="1:10" x14ac:dyDescent="0.35">
      <c r="A47" s="254"/>
      <c r="C47" t="s">
        <v>2570</v>
      </c>
      <c r="G47" s="186"/>
      <c r="J47" s="253"/>
    </row>
    <row r="48" spans="1:10" x14ac:dyDescent="0.35">
      <c r="A48" s="254"/>
      <c r="C48" t="s">
        <v>2571</v>
      </c>
      <c r="G48" s="186"/>
      <c r="J48" s="253"/>
    </row>
    <row r="49" spans="1:13" x14ac:dyDescent="0.35">
      <c r="A49" s="254"/>
      <c r="C49" t="s">
        <v>2572</v>
      </c>
      <c r="J49" s="253"/>
    </row>
    <row r="50" spans="1:13" x14ac:dyDescent="0.35">
      <c r="A50" s="254"/>
      <c r="C50" t="s">
        <v>2573</v>
      </c>
      <c r="J50" s="253"/>
    </row>
    <row r="51" spans="1:13" ht="15" thickBot="1" x14ac:dyDescent="0.4">
      <c r="A51" s="88"/>
      <c r="B51" s="85"/>
      <c r="C51" s="85" t="s">
        <v>2574</v>
      </c>
      <c r="D51" s="85"/>
      <c r="E51" s="85"/>
      <c r="F51" s="85"/>
      <c r="G51" s="85"/>
      <c r="H51" s="85"/>
      <c r="I51" s="85"/>
      <c r="J51" s="86"/>
    </row>
    <row r="52" spans="1:13" x14ac:dyDescent="0.35">
      <c r="A52" s="93" t="s">
        <v>2535</v>
      </c>
      <c r="B52" s="386" t="s">
        <v>2427</v>
      </c>
      <c r="C52" s="80" t="s">
        <v>2575</v>
      </c>
      <c r="D52" s="80"/>
      <c r="E52" s="80"/>
      <c r="F52" s="80"/>
      <c r="G52" s="80"/>
      <c r="H52" s="80"/>
      <c r="I52" s="80"/>
      <c r="J52" s="81"/>
    </row>
    <row r="53" spans="1:13" x14ac:dyDescent="0.35">
      <c r="A53" s="254"/>
      <c r="C53" t="s">
        <v>2576</v>
      </c>
      <c r="E53" s="186"/>
      <c r="J53" s="253"/>
    </row>
    <row r="54" spans="1:13" ht="33.75" customHeight="1" x14ac:dyDescent="0.35">
      <c r="A54" s="254"/>
      <c r="B54" s="119"/>
      <c r="C54" s="3186" t="s">
        <v>2577</v>
      </c>
      <c r="D54" s="3186"/>
      <c r="E54" s="3186"/>
      <c r="F54" s="3186"/>
      <c r="G54" s="3186"/>
      <c r="H54" s="3186"/>
      <c r="I54" s="3186"/>
      <c r="J54" s="253"/>
    </row>
    <row r="55" spans="1:13" x14ac:dyDescent="0.35">
      <c r="A55" s="254"/>
      <c r="C55" t="s">
        <v>2578</v>
      </c>
      <c r="E55" s="727"/>
      <c r="J55" s="253"/>
    </row>
    <row r="56" spans="1:13" ht="15" thickBot="1" x14ac:dyDescent="0.4">
      <c r="A56" s="88"/>
      <c r="B56" s="728"/>
      <c r="C56" s="85" t="s">
        <v>2579</v>
      </c>
      <c r="D56" s="85"/>
      <c r="E56" s="85"/>
      <c r="F56" s="729"/>
      <c r="G56" s="85"/>
      <c r="H56" s="85"/>
      <c r="I56" s="85"/>
      <c r="J56" s="86"/>
      <c r="M56" t="s">
        <v>2556</v>
      </c>
    </row>
    <row r="57" spans="1:13" x14ac:dyDescent="0.35">
      <c r="A57" s="93" t="s">
        <v>1083</v>
      </c>
      <c r="B57" s="362">
        <v>15</v>
      </c>
      <c r="C57" s="80" t="s">
        <v>2580</v>
      </c>
      <c r="D57" s="80"/>
      <c r="E57" s="80"/>
      <c r="F57" s="730"/>
      <c r="G57" s="80"/>
      <c r="H57" s="80"/>
      <c r="I57" s="80"/>
      <c r="J57" s="81"/>
    </row>
    <row r="58" spans="1:13" ht="15" thickBot="1" x14ac:dyDescent="0.4">
      <c r="A58" s="88"/>
      <c r="B58" s="728"/>
      <c r="C58" s="85" t="s">
        <v>1287</v>
      </c>
      <c r="D58" s="85"/>
      <c r="E58" s="85"/>
      <c r="F58" s="729"/>
      <c r="G58" s="85"/>
      <c r="H58" s="85"/>
      <c r="I58" s="85"/>
      <c r="J58" s="86"/>
    </row>
    <row r="59" spans="1:13" x14ac:dyDescent="0.35">
      <c r="A59" s="93" t="s">
        <v>1040</v>
      </c>
      <c r="B59" s="386"/>
      <c r="C59" s="80"/>
      <c r="D59" s="80"/>
      <c r="E59" s="80"/>
      <c r="F59" s="730"/>
      <c r="G59" s="80"/>
      <c r="H59" s="80"/>
      <c r="I59" s="80"/>
      <c r="J59" s="81"/>
    </row>
    <row r="60" spans="1:13" ht="15" thickBot="1" x14ac:dyDescent="0.4">
      <c r="A60" s="88"/>
      <c r="B60" s="728"/>
      <c r="C60" s="85"/>
      <c r="D60" s="85"/>
      <c r="E60" s="85"/>
      <c r="F60" s="729"/>
      <c r="G60" s="85"/>
      <c r="H60" s="85"/>
      <c r="I60" s="85"/>
      <c r="J60" s="86"/>
    </row>
    <row r="61" spans="1:13" x14ac:dyDescent="0.35">
      <c r="B61" s="731"/>
      <c r="F61" s="727"/>
    </row>
    <row r="62" spans="1:13" x14ac:dyDescent="0.35">
      <c r="B62" s="731"/>
      <c r="F62" s="727"/>
    </row>
    <row r="63" spans="1:13" x14ac:dyDescent="0.35">
      <c r="B63" s="731"/>
      <c r="F63" s="727"/>
    </row>
    <row r="64" spans="1:13" x14ac:dyDescent="0.35">
      <c r="B64" s="731"/>
      <c r="F64" s="727"/>
    </row>
    <row r="65" spans="1:19" ht="15" thickBot="1" x14ac:dyDescent="0.4">
      <c r="B65" s="731"/>
      <c r="F65" s="727"/>
    </row>
    <row r="66" spans="1:19" ht="15" thickBot="1" x14ac:dyDescent="0.4">
      <c r="A66" s="97" t="s">
        <v>1257</v>
      </c>
      <c r="B66" s="64"/>
      <c r="C66" s="64"/>
      <c r="D66" s="64"/>
      <c r="E66" s="64"/>
      <c r="F66" s="732"/>
      <c r="G66" s="64"/>
      <c r="H66" s="64"/>
      <c r="I66" s="64"/>
      <c r="J66" s="64"/>
      <c r="K66" s="64"/>
      <c r="L66" s="64"/>
      <c r="M66" s="64"/>
      <c r="N66" s="64"/>
      <c r="O66" s="64"/>
      <c r="P66" s="64"/>
      <c r="Q66" s="64"/>
      <c r="R66" s="64"/>
      <c r="S66" s="65"/>
    </row>
    <row r="67" spans="1:19" x14ac:dyDescent="0.35">
      <c r="A67" s="99"/>
      <c r="B67" s="3187" t="s">
        <v>2581</v>
      </c>
      <c r="C67" s="3187"/>
      <c r="D67" s="3187"/>
      <c r="E67" s="3187"/>
      <c r="F67" s="3187"/>
      <c r="G67" s="3187"/>
      <c r="H67" s="3187"/>
      <c r="I67" s="3187"/>
      <c r="J67" s="3187"/>
      <c r="K67" s="3187"/>
      <c r="L67" s="3187"/>
      <c r="M67" s="3187"/>
      <c r="N67" s="3187"/>
      <c r="O67" s="733"/>
      <c r="P67" s="69"/>
      <c r="Q67" s="69"/>
      <c r="R67" s="69"/>
      <c r="S67" s="100"/>
    </row>
    <row r="68" spans="1:19" x14ac:dyDescent="0.35">
      <c r="A68" s="99"/>
      <c r="B68" s="734"/>
      <c r="C68" s="3170" t="s">
        <v>2025</v>
      </c>
      <c r="D68" s="3171"/>
      <c r="E68" s="3171"/>
      <c r="F68" s="3171"/>
      <c r="G68" s="3171"/>
      <c r="H68" s="3172"/>
      <c r="I68" s="3188" t="s">
        <v>2026</v>
      </c>
      <c r="J68" s="3189"/>
      <c r="K68" s="3189"/>
      <c r="L68" s="3189"/>
      <c r="M68" s="3189"/>
      <c r="N68" s="3189"/>
      <c r="O68" s="735"/>
      <c r="P68" s="3163"/>
      <c r="Q68" s="3163"/>
      <c r="R68" s="69"/>
      <c r="S68" s="100"/>
    </row>
    <row r="69" spans="1:19" ht="43.5" x14ac:dyDescent="0.35">
      <c r="A69" s="99"/>
      <c r="B69" s="736"/>
      <c r="C69" s="3170" t="s">
        <v>2541</v>
      </c>
      <c r="D69" s="3171"/>
      <c r="E69" s="3172"/>
      <c r="F69" s="737" t="s">
        <v>2540</v>
      </c>
      <c r="G69" s="738" t="s">
        <v>2544</v>
      </c>
      <c r="H69" s="739" t="s">
        <v>2538</v>
      </c>
      <c r="I69" s="740" t="s">
        <v>2541</v>
      </c>
      <c r="J69" s="741"/>
      <c r="K69" s="742"/>
      <c r="L69" s="737" t="s">
        <v>2540</v>
      </c>
      <c r="M69" s="738" t="s">
        <v>2544</v>
      </c>
      <c r="N69" s="739" t="s">
        <v>2538</v>
      </c>
      <c r="O69" s="743"/>
      <c r="P69" s="106" t="str">
        <f>C68&amp;C69&amp;C70</f>
        <v>IndoorHot waterWith outdoor reset</v>
      </c>
      <c r="Q69" s="744">
        <v>2</v>
      </c>
      <c r="R69" s="69"/>
      <c r="S69" s="100"/>
    </row>
    <row r="70" spans="1:19" x14ac:dyDescent="0.35">
      <c r="A70" s="99"/>
      <c r="B70" s="745"/>
      <c r="C70" s="737" t="s">
        <v>2582</v>
      </c>
      <c r="D70" s="737" t="s">
        <v>2583</v>
      </c>
      <c r="E70" s="739" t="s">
        <v>2584</v>
      </c>
      <c r="F70" s="737" t="s">
        <v>1460</v>
      </c>
      <c r="G70" s="737" t="s">
        <v>1460</v>
      </c>
      <c r="H70" s="737" t="s">
        <v>1460</v>
      </c>
      <c r="I70" s="737" t="s">
        <v>2582</v>
      </c>
      <c r="J70" s="737" t="s">
        <v>2583</v>
      </c>
      <c r="K70" s="739" t="s">
        <v>2584</v>
      </c>
      <c r="L70" s="737" t="s">
        <v>1460</v>
      </c>
      <c r="M70" s="737" t="s">
        <v>1460</v>
      </c>
      <c r="N70" s="737" t="s">
        <v>1460</v>
      </c>
      <c r="O70" s="746"/>
      <c r="P70" s="106" t="str">
        <f>C68&amp;C69&amp;D70</f>
        <v>IndoorHot waterAverage reset</v>
      </c>
      <c r="Q70" s="744">
        <v>3</v>
      </c>
      <c r="R70" s="69"/>
      <c r="S70" s="100"/>
    </row>
    <row r="71" spans="1:19" ht="27" customHeight="1" x14ac:dyDescent="0.35">
      <c r="A71" s="99"/>
      <c r="B71" s="748" t="s">
        <v>2585</v>
      </c>
      <c r="C71" s="683">
        <v>78</v>
      </c>
      <c r="D71" s="683">
        <f>AVERAGE(C71,E71)</f>
        <v>96</v>
      </c>
      <c r="E71" s="683">
        <v>114</v>
      </c>
      <c r="F71" s="683">
        <v>232</v>
      </c>
      <c r="G71" s="683">
        <f>AVERAGE(F71,H71)</f>
        <v>332</v>
      </c>
      <c r="H71" s="683">
        <v>432</v>
      </c>
      <c r="I71" s="747">
        <v>363</v>
      </c>
      <c r="J71" s="683">
        <f>AVERAGE(I71,K71)</f>
        <v>411.5</v>
      </c>
      <c r="K71" s="747">
        <v>460</v>
      </c>
      <c r="L71" s="747">
        <v>710</v>
      </c>
      <c r="M71" s="683">
        <f>AVERAGE(L71,N71)</f>
        <v>905.5</v>
      </c>
      <c r="N71" s="747">
        <v>1101</v>
      </c>
      <c r="O71" s="746"/>
      <c r="P71" s="106" t="str">
        <f>C68&amp;C69&amp;E70</f>
        <v>IndoorHot waterWithout outdoor reset</v>
      </c>
      <c r="Q71" s="744">
        <v>4</v>
      </c>
      <c r="R71" s="69"/>
      <c r="S71" s="100"/>
    </row>
    <row r="72" spans="1:19" ht="33" customHeight="1" x14ac:dyDescent="0.35">
      <c r="A72" s="99"/>
      <c r="B72" s="748" t="s">
        <v>2539</v>
      </c>
      <c r="C72" s="683">
        <v>78</v>
      </c>
      <c r="D72" s="683">
        <f>AVERAGE(C72,E72)</f>
        <v>96</v>
      </c>
      <c r="E72" s="683">
        <v>114</v>
      </c>
      <c r="F72" s="749">
        <v>232</v>
      </c>
      <c r="G72" s="683">
        <f>AVERAGE(F72,H72)</f>
        <v>332</v>
      </c>
      <c r="H72" s="749">
        <v>432</v>
      </c>
      <c r="I72" s="747">
        <v>363</v>
      </c>
      <c r="J72" s="683">
        <f>AVERAGE(I72,K72)</f>
        <v>411.5</v>
      </c>
      <c r="K72" s="747">
        <v>460</v>
      </c>
      <c r="L72" s="747">
        <v>710</v>
      </c>
      <c r="M72" s="683">
        <f>AVERAGE(L72,N72)</f>
        <v>905.5</v>
      </c>
      <c r="N72" s="747">
        <v>1101</v>
      </c>
      <c r="O72" s="746"/>
      <c r="P72" s="106" t="str">
        <f>C68&amp;F69&amp;F70</f>
        <v>IndoorLow pressure steamNA</v>
      </c>
      <c r="Q72" s="744">
        <v>5</v>
      </c>
      <c r="R72" s="69"/>
      <c r="S72" s="100"/>
    </row>
    <row r="73" spans="1:19" x14ac:dyDescent="0.35">
      <c r="A73" s="99"/>
      <c r="B73" s="683" t="s">
        <v>2546</v>
      </c>
      <c r="C73" s="683">
        <v>58</v>
      </c>
      <c r="D73" s="683">
        <f>AVERAGE(C73,E73)</f>
        <v>86</v>
      </c>
      <c r="E73" s="683">
        <v>114</v>
      </c>
      <c r="F73" s="749">
        <v>232</v>
      </c>
      <c r="G73" s="683">
        <f>AVERAGE(F73,H73)</f>
        <v>332</v>
      </c>
      <c r="H73" s="749">
        <v>432</v>
      </c>
      <c r="I73" s="747">
        <v>306</v>
      </c>
      <c r="J73" s="683">
        <f>AVERAGE(I73,K73)</f>
        <v>383</v>
      </c>
      <c r="K73" s="747">
        <v>460</v>
      </c>
      <c r="L73" s="747">
        <v>710</v>
      </c>
      <c r="M73" s="683">
        <f>AVERAGE(L73,N73)</f>
        <v>905.5</v>
      </c>
      <c r="N73" s="747">
        <v>1101</v>
      </c>
      <c r="O73" s="69"/>
      <c r="P73" s="106" t="str">
        <f>C68&amp;G69&amp;G70</f>
        <v>IndoorMedium pressure steamNA</v>
      </c>
      <c r="Q73" s="744">
        <v>6</v>
      </c>
      <c r="R73" s="69"/>
      <c r="S73" s="100"/>
    </row>
    <row r="74" spans="1:19" x14ac:dyDescent="0.35">
      <c r="A74" s="99"/>
      <c r="B74" s="683" t="s">
        <v>2543</v>
      </c>
      <c r="C74" s="683">
        <v>52</v>
      </c>
      <c r="D74" s="683">
        <f>AVERAGE(C74,E74)</f>
        <v>52</v>
      </c>
      <c r="E74" s="683">
        <v>52</v>
      </c>
      <c r="F74" s="747" t="s">
        <v>2586</v>
      </c>
      <c r="G74" s="747" t="s">
        <v>2586</v>
      </c>
      <c r="H74" s="747" t="s">
        <v>2586</v>
      </c>
      <c r="I74" s="747" t="s">
        <v>2586</v>
      </c>
      <c r="J74" s="747" t="s">
        <v>2586</v>
      </c>
      <c r="K74" s="747" t="s">
        <v>2586</v>
      </c>
      <c r="L74" s="747" t="s">
        <v>2586</v>
      </c>
      <c r="M74" s="747" t="s">
        <v>2586</v>
      </c>
      <c r="N74" s="747" t="s">
        <v>2586</v>
      </c>
      <c r="O74" s="69"/>
      <c r="P74" s="106" t="str">
        <f>C68&amp;H69&amp;H70</f>
        <v>IndoorHigh pressure steamNA</v>
      </c>
      <c r="Q74" s="744">
        <v>7</v>
      </c>
      <c r="R74" s="69"/>
      <c r="S74" s="100"/>
    </row>
    <row r="75" spans="1:19" ht="15" thickBot="1" x14ac:dyDescent="0.4">
      <c r="A75" s="99"/>
      <c r="B75" s="69"/>
      <c r="C75" s="69"/>
      <c r="D75" s="69"/>
      <c r="E75" s="750"/>
      <c r="F75" s="750"/>
      <c r="G75" s="750"/>
      <c r="H75" s="751"/>
      <c r="I75" s="751"/>
      <c r="J75" s="751"/>
      <c r="K75" s="69"/>
      <c r="L75" s="69"/>
      <c r="M75" s="69"/>
      <c r="N75" s="69"/>
      <c r="O75" s="69"/>
      <c r="P75" s="106" t="str">
        <f>I68&amp;I69&amp;I70</f>
        <v>OutdoorHot waterWith outdoor reset</v>
      </c>
      <c r="Q75" s="744">
        <v>8</v>
      </c>
      <c r="R75" s="69"/>
      <c r="S75" s="100"/>
    </row>
    <row r="76" spans="1:19" x14ac:dyDescent="0.35">
      <c r="A76" s="99"/>
      <c r="B76" s="3187" t="s">
        <v>2587</v>
      </c>
      <c r="C76" s="3187"/>
      <c r="D76" s="3187"/>
      <c r="E76" s="3187"/>
      <c r="F76" s="3187"/>
      <c r="G76" s="3187"/>
      <c r="H76" s="3187"/>
      <c r="I76" s="3187"/>
      <c r="J76" s="3187"/>
      <c r="K76" s="3187"/>
      <c r="L76" s="3187"/>
      <c r="M76" s="3187"/>
      <c r="N76" s="3187"/>
      <c r="O76" s="735"/>
      <c r="P76" s="106" t="str">
        <f>I68&amp;I69&amp;J70</f>
        <v>OutdoorHot waterAverage reset</v>
      </c>
      <c r="Q76" s="744">
        <v>9</v>
      </c>
      <c r="R76" s="69"/>
      <c r="S76" s="100"/>
    </row>
    <row r="77" spans="1:19" x14ac:dyDescent="0.35">
      <c r="A77" s="99"/>
      <c r="B77" s="734"/>
      <c r="C77" s="3188" t="s">
        <v>2025</v>
      </c>
      <c r="D77" s="3189"/>
      <c r="E77" s="3189"/>
      <c r="F77" s="3189"/>
      <c r="G77" s="3189"/>
      <c r="H77" s="3190"/>
      <c r="I77" s="3188" t="s">
        <v>2026</v>
      </c>
      <c r="J77" s="3189"/>
      <c r="K77" s="3189"/>
      <c r="L77" s="3189"/>
      <c r="M77" s="3189"/>
      <c r="N77" s="3189"/>
      <c r="O77" s="743"/>
      <c r="P77" s="106" t="str">
        <f>I68&amp;I69&amp;K70</f>
        <v>OutdoorHot waterWithout outdoor reset</v>
      </c>
      <c r="Q77" s="744">
        <v>10</v>
      </c>
      <c r="R77" s="69"/>
      <c r="S77" s="100"/>
    </row>
    <row r="78" spans="1:19" ht="43.5" x14ac:dyDescent="0.35">
      <c r="A78" s="99"/>
      <c r="B78" s="736"/>
      <c r="C78" s="3170" t="s">
        <v>2541</v>
      </c>
      <c r="D78" s="3171"/>
      <c r="E78" s="3172"/>
      <c r="F78" s="737" t="s">
        <v>2540</v>
      </c>
      <c r="G78" s="738" t="s">
        <v>2544</v>
      </c>
      <c r="H78" s="739" t="s">
        <v>2538</v>
      </c>
      <c r="I78" s="740" t="s">
        <v>2541</v>
      </c>
      <c r="J78" s="741"/>
      <c r="K78" s="742"/>
      <c r="L78" s="737" t="s">
        <v>2540</v>
      </c>
      <c r="M78" s="738" t="s">
        <v>2544</v>
      </c>
      <c r="N78" s="739" t="s">
        <v>2538</v>
      </c>
      <c r="O78" s="746"/>
      <c r="P78" s="106" t="str">
        <f>I68&amp;L69&amp;L70</f>
        <v>OutdoorLow pressure steamNA</v>
      </c>
      <c r="Q78" s="744">
        <v>11</v>
      </c>
      <c r="R78" s="69"/>
      <c r="S78" s="100"/>
    </row>
    <row r="79" spans="1:19" x14ac:dyDescent="0.35">
      <c r="A79" s="99"/>
      <c r="B79" s="745"/>
      <c r="C79" s="737" t="s">
        <v>2582</v>
      </c>
      <c r="D79" s="737" t="s">
        <v>2583</v>
      </c>
      <c r="E79" s="739" t="s">
        <v>2584</v>
      </c>
      <c r="F79" s="752" t="s">
        <v>1460</v>
      </c>
      <c r="G79" s="752"/>
      <c r="H79" s="753" t="s">
        <v>1460</v>
      </c>
      <c r="I79" s="737" t="s">
        <v>2582</v>
      </c>
      <c r="J79" s="737" t="s">
        <v>2583</v>
      </c>
      <c r="K79" s="739" t="s">
        <v>2584</v>
      </c>
      <c r="L79" s="752" t="s">
        <v>1460</v>
      </c>
      <c r="M79" s="752"/>
      <c r="N79" s="753" t="s">
        <v>1460</v>
      </c>
      <c r="O79" s="746"/>
      <c r="P79" s="106" t="str">
        <f>I68&amp;M69&amp;M70</f>
        <v>OutdoorMedium pressure steamNA</v>
      </c>
      <c r="Q79" s="744">
        <v>12</v>
      </c>
      <c r="R79" s="69"/>
      <c r="S79" s="100"/>
    </row>
    <row r="80" spans="1:19" x14ac:dyDescent="0.35">
      <c r="A80" s="99"/>
      <c r="B80" s="748" t="s">
        <v>2585</v>
      </c>
      <c r="C80" s="683">
        <v>17</v>
      </c>
      <c r="D80" s="683">
        <f>AVERAGE(C80,E80)</f>
        <v>20.5</v>
      </c>
      <c r="E80" s="683">
        <v>24</v>
      </c>
      <c r="F80" s="683">
        <v>40</v>
      </c>
      <c r="G80" s="683">
        <f>AVERAGE(F80,H80)</f>
        <v>55</v>
      </c>
      <c r="H80" s="683">
        <v>70</v>
      </c>
      <c r="I80" s="747">
        <v>16</v>
      </c>
      <c r="J80" s="683">
        <f>AVERAGE(I80,K80)</f>
        <v>18.5</v>
      </c>
      <c r="K80" s="747">
        <v>21</v>
      </c>
      <c r="L80" s="747">
        <v>32</v>
      </c>
      <c r="M80" s="683">
        <f>AVERAGE(L80,N80)</f>
        <v>42</v>
      </c>
      <c r="N80" s="747">
        <v>52</v>
      </c>
      <c r="O80" s="746"/>
      <c r="P80" s="375" t="str">
        <f>I68&amp;N69&amp;N70</f>
        <v>OutdoorHigh pressure steamNA</v>
      </c>
      <c r="Q80" s="744">
        <v>13</v>
      </c>
      <c r="R80" s="69"/>
      <c r="S80" s="100"/>
    </row>
    <row r="81" spans="1:19" x14ac:dyDescent="0.35">
      <c r="A81" s="99"/>
      <c r="B81" s="748" t="s">
        <v>2539</v>
      </c>
      <c r="C81" s="683">
        <v>17</v>
      </c>
      <c r="D81" s="683">
        <f>AVERAGE(C81,E81)</f>
        <v>20.5</v>
      </c>
      <c r="E81" s="683">
        <v>24</v>
      </c>
      <c r="F81" s="749">
        <v>40</v>
      </c>
      <c r="G81" s="683">
        <f>AVERAGE(F81,H81)</f>
        <v>55</v>
      </c>
      <c r="H81" s="749">
        <v>70</v>
      </c>
      <c r="I81" s="747">
        <v>16</v>
      </c>
      <c r="J81" s="683">
        <f>AVERAGE(I81,K81)</f>
        <v>18.5</v>
      </c>
      <c r="K81" s="747">
        <v>21</v>
      </c>
      <c r="L81" s="747">
        <v>32</v>
      </c>
      <c r="M81" s="683">
        <f>AVERAGE(L81,N81)</f>
        <v>42</v>
      </c>
      <c r="N81" s="747">
        <v>52</v>
      </c>
      <c r="O81" s="69"/>
      <c r="P81" s="69"/>
      <c r="Q81" s="69"/>
      <c r="R81" s="69"/>
      <c r="S81" s="100"/>
    </row>
    <row r="82" spans="1:19" x14ac:dyDescent="0.35">
      <c r="A82" s="99"/>
      <c r="B82" s="683" t="s">
        <v>2546</v>
      </c>
      <c r="C82" s="683">
        <v>13</v>
      </c>
      <c r="D82" s="683">
        <f>AVERAGE(C82,E82)</f>
        <v>18.5</v>
      </c>
      <c r="E82" s="683">
        <v>24</v>
      </c>
      <c r="F82" s="749">
        <v>40</v>
      </c>
      <c r="G82" s="683">
        <f>AVERAGE(F82,H82)</f>
        <v>55</v>
      </c>
      <c r="H82" s="749">
        <v>70</v>
      </c>
      <c r="I82" s="747">
        <v>13</v>
      </c>
      <c r="J82" s="683">
        <f>AVERAGE(I82,K82)</f>
        <v>17</v>
      </c>
      <c r="K82" s="747">
        <v>21</v>
      </c>
      <c r="L82" s="747">
        <v>32</v>
      </c>
      <c r="M82" s="683">
        <f>AVERAGE(L82,N82)</f>
        <v>42</v>
      </c>
      <c r="N82" s="747">
        <v>52</v>
      </c>
      <c r="O82" s="69"/>
      <c r="P82" s="69"/>
      <c r="Q82" s="69"/>
      <c r="R82" s="69"/>
      <c r="S82" s="100"/>
    </row>
    <row r="83" spans="1:19" x14ac:dyDescent="0.35">
      <c r="A83" s="99"/>
      <c r="B83" s="683" t="s">
        <v>2543</v>
      </c>
      <c r="C83" s="683">
        <v>13.25</v>
      </c>
      <c r="D83" s="683">
        <f>AVERAGE(C83,E83)</f>
        <v>13.25</v>
      </c>
      <c r="E83" s="683">
        <v>13.25</v>
      </c>
      <c r="F83" s="683" t="s">
        <v>2586</v>
      </c>
      <c r="G83" s="683" t="s">
        <v>2586</v>
      </c>
      <c r="H83" s="683" t="s">
        <v>2586</v>
      </c>
      <c r="I83" s="683" t="s">
        <v>2586</v>
      </c>
      <c r="J83" s="683" t="s">
        <v>2586</v>
      </c>
      <c r="K83" s="683" t="s">
        <v>2586</v>
      </c>
      <c r="L83" s="683" t="s">
        <v>2586</v>
      </c>
      <c r="M83" s="683" t="s">
        <v>2586</v>
      </c>
      <c r="N83" s="683" t="s">
        <v>2586</v>
      </c>
      <c r="O83" s="69"/>
      <c r="P83" s="69"/>
      <c r="Q83" s="69"/>
      <c r="R83" s="69"/>
      <c r="S83" s="100"/>
    </row>
    <row r="84" spans="1:19" x14ac:dyDescent="0.35">
      <c r="A84" s="99"/>
      <c r="B84" s="69"/>
      <c r="C84" s="69"/>
      <c r="D84" s="69"/>
      <c r="E84" s="69"/>
      <c r="F84" s="69"/>
      <c r="G84" s="69"/>
      <c r="H84" s="69"/>
      <c r="I84" s="69"/>
      <c r="J84" s="69"/>
      <c r="K84" s="69"/>
      <c r="L84" s="69"/>
      <c r="M84" s="69"/>
      <c r="N84" s="69"/>
      <c r="O84" s="69"/>
      <c r="P84" s="69"/>
      <c r="Q84" s="69"/>
      <c r="R84" s="69"/>
      <c r="S84" s="100"/>
    </row>
    <row r="85" spans="1:19" x14ac:dyDescent="0.35">
      <c r="A85" s="99"/>
      <c r="B85" s="754" t="s">
        <v>2588</v>
      </c>
      <c r="C85" s="755"/>
      <c r="D85" s="756" t="s">
        <v>2589</v>
      </c>
      <c r="E85" s="69"/>
      <c r="F85" s="69"/>
      <c r="G85" s="69"/>
      <c r="H85" s="69"/>
      <c r="I85" s="69"/>
      <c r="J85" s="69"/>
      <c r="K85" s="69"/>
      <c r="L85" s="69"/>
      <c r="M85" s="69"/>
      <c r="N85" s="69"/>
      <c r="O85" s="69"/>
      <c r="P85" s="69"/>
      <c r="Q85" s="69"/>
      <c r="R85" s="69"/>
      <c r="S85" s="100"/>
    </row>
    <row r="86" spans="1:19" ht="87" customHeight="1" x14ac:dyDescent="0.35">
      <c r="A86" s="99"/>
      <c r="B86" s="756" t="s">
        <v>2541</v>
      </c>
      <c r="C86" s="247">
        <v>0.81899999999999995</v>
      </c>
      <c r="D86" s="247" t="s">
        <v>2590</v>
      </c>
      <c r="E86" s="69"/>
      <c r="F86" s="69"/>
      <c r="G86" s="69"/>
      <c r="H86" s="69"/>
      <c r="I86" s="69"/>
      <c r="J86" s="69"/>
      <c r="K86" s="69"/>
      <c r="L86" s="69"/>
      <c r="M86" s="69"/>
      <c r="N86" s="69"/>
      <c r="O86" s="69"/>
      <c r="P86" s="69"/>
      <c r="Q86" s="69"/>
      <c r="R86" s="69"/>
      <c r="S86" s="100"/>
    </row>
    <row r="87" spans="1:19" ht="67.5" customHeight="1" x14ac:dyDescent="0.35">
      <c r="A87" s="99"/>
      <c r="B87" s="739" t="s">
        <v>2540</v>
      </c>
      <c r="C87" s="247">
        <v>0.80700000000000005</v>
      </c>
      <c r="D87" s="247" t="s">
        <v>2591</v>
      </c>
      <c r="E87" s="69"/>
      <c r="F87" s="69"/>
      <c r="G87" s="69"/>
      <c r="H87" s="69"/>
      <c r="I87" s="69"/>
      <c r="J87" s="69"/>
      <c r="K87" s="69"/>
      <c r="L87" s="69"/>
      <c r="M87" s="69"/>
      <c r="N87" s="69"/>
      <c r="O87" s="69"/>
      <c r="P87" s="69"/>
      <c r="Q87" s="69"/>
      <c r="R87" s="69"/>
      <c r="S87" s="100"/>
    </row>
    <row r="88" spans="1:19" x14ac:dyDescent="0.35">
      <c r="A88" s="99"/>
      <c r="B88" s="739" t="s">
        <v>2544</v>
      </c>
      <c r="C88" s="247">
        <v>0.80700000000000005</v>
      </c>
      <c r="D88" s="247" t="s">
        <v>2591</v>
      </c>
      <c r="E88" s="69"/>
      <c r="F88" s="69"/>
      <c r="G88" s="69"/>
      <c r="H88" s="69"/>
      <c r="I88" s="69"/>
      <c r="J88" s="69" t="s">
        <v>2592</v>
      </c>
      <c r="K88" s="69"/>
      <c r="L88" s="69"/>
      <c r="M88" s="69"/>
      <c r="N88" s="69"/>
      <c r="O88" s="69"/>
      <c r="P88" s="69"/>
      <c r="Q88" s="69"/>
      <c r="R88" s="69"/>
      <c r="S88" s="100"/>
    </row>
    <row r="89" spans="1:19" x14ac:dyDescent="0.35">
      <c r="A89" s="99"/>
      <c r="B89" s="739" t="s">
        <v>2538</v>
      </c>
      <c r="C89" s="247">
        <v>0.80700000000000005</v>
      </c>
      <c r="D89" s="247" t="s">
        <v>2591</v>
      </c>
      <c r="E89" s="69"/>
      <c r="F89" s="69"/>
      <c r="G89" s="69"/>
      <c r="H89" s="69"/>
      <c r="I89" s="69"/>
      <c r="J89" s="69"/>
      <c r="K89" s="69"/>
      <c r="L89" s="69"/>
      <c r="M89" s="69"/>
      <c r="N89" s="69"/>
      <c r="O89" s="69"/>
      <c r="P89" s="69"/>
      <c r="Q89" s="69"/>
      <c r="R89" s="69"/>
      <c r="S89" s="100"/>
    </row>
    <row r="90" spans="1:19" x14ac:dyDescent="0.35">
      <c r="A90" s="99"/>
      <c r="B90" s="739" t="s">
        <v>2542</v>
      </c>
      <c r="C90" s="2206">
        <v>0.67</v>
      </c>
      <c r="D90" s="247" t="s">
        <v>2593</v>
      </c>
      <c r="J90" s="69"/>
      <c r="K90" s="69"/>
      <c r="L90" s="69"/>
      <c r="M90" s="69"/>
      <c r="N90" s="69"/>
      <c r="O90" s="69"/>
      <c r="P90" s="69"/>
      <c r="Q90" s="69"/>
      <c r="R90" s="69"/>
      <c r="S90" s="100"/>
    </row>
    <row r="91" spans="1:19" x14ac:dyDescent="0.35">
      <c r="A91" s="99"/>
      <c r="B91" s="739" t="s">
        <v>2555</v>
      </c>
      <c r="C91" s="2206">
        <v>0.64800000000000002</v>
      </c>
      <c r="D91" s="247" t="s">
        <v>2591</v>
      </c>
      <c r="J91" s="69"/>
      <c r="K91" s="69"/>
      <c r="L91" s="69"/>
      <c r="M91" s="69"/>
      <c r="N91" s="69"/>
      <c r="O91" s="69"/>
      <c r="P91" s="69"/>
      <c r="Q91" s="69"/>
      <c r="R91" s="69"/>
      <c r="S91" s="100"/>
    </row>
    <row r="92" spans="1:19" x14ac:dyDescent="0.35">
      <c r="A92" s="99"/>
      <c r="B92" s="69"/>
      <c r="C92" s="69"/>
      <c r="D92" s="69"/>
      <c r="E92" s="69"/>
      <c r="F92" s="69"/>
      <c r="G92" s="69"/>
      <c r="H92" s="69"/>
      <c r="I92" s="69"/>
      <c r="J92" s="69"/>
      <c r="K92" s="69"/>
      <c r="L92" s="69"/>
      <c r="M92" s="69"/>
      <c r="N92" s="69"/>
      <c r="O92" s="69"/>
      <c r="P92" s="69"/>
      <c r="Q92" s="69"/>
      <c r="R92" s="69"/>
      <c r="S92" s="100"/>
    </row>
    <row r="93" spans="1:19" ht="26.25" customHeight="1" thickBot="1" x14ac:dyDescent="0.4">
      <c r="A93" s="3173" t="s">
        <v>2594</v>
      </c>
      <c r="B93" s="3174"/>
      <c r="C93" s="3174"/>
      <c r="D93" s="3174"/>
      <c r="E93" s="3174"/>
      <c r="F93" s="3174"/>
      <c r="G93" s="3174"/>
      <c r="H93" s="69"/>
      <c r="I93" s="69"/>
      <c r="J93" s="69"/>
      <c r="K93" s="69"/>
      <c r="L93" s="69"/>
      <c r="M93" s="69"/>
      <c r="N93" s="69"/>
      <c r="O93" s="69"/>
      <c r="P93" s="69"/>
      <c r="Q93" s="69"/>
      <c r="R93" s="69"/>
      <c r="S93" s="100"/>
    </row>
    <row r="94" spans="1:19" ht="26.5" thickBot="1" x14ac:dyDescent="0.4">
      <c r="A94" s="368"/>
      <c r="B94" s="368" t="s">
        <v>2595</v>
      </c>
      <c r="C94" s="369" t="s">
        <v>2596</v>
      </c>
      <c r="D94" s="369" t="s">
        <v>2597</v>
      </c>
      <c r="E94" s="368" t="s">
        <v>2598</v>
      </c>
      <c r="F94" s="369" t="s">
        <v>2537</v>
      </c>
      <c r="G94" s="369" t="s">
        <v>2545</v>
      </c>
      <c r="H94" s="69"/>
      <c r="I94" s="69"/>
      <c r="J94" s="69"/>
      <c r="K94" s="69"/>
      <c r="L94" s="69"/>
      <c r="M94" s="69"/>
      <c r="N94" s="69"/>
      <c r="O94" s="69"/>
      <c r="P94" s="69"/>
      <c r="Q94" s="69"/>
      <c r="R94" s="69"/>
      <c r="S94" s="100"/>
    </row>
    <row r="95" spans="1:19" ht="15" thickBot="1" x14ac:dyDescent="0.4">
      <c r="A95" s="757"/>
      <c r="B95" s="757" t="s">
        <v>2026</v>
      </c>
      <c r="C95" s="758">
        <v>0</v>
      </c>
      <c r="D95" s="2664">
        <v>1</v>
      </c>
      <c r="E95" s="2659" t="s">
        <v>2026</v>
      </c>
      <c r="F95" s="760">
        <v>0</v>
      </c>
      <c r="G95" s="760">
        <v>0</v>
      </c>
      <c r="H95" s="69"/>
      <c r="I95" s="69"/>
      <c r="J95" s="69"/>
      <c r="K95" s="69"/>
      <c r="L95" s="69"/>
      <c r="M95" s="69"/>
      <c r="N95" s="69"/>
      <c r="O95" s="69"/>
      <c r="P95" s="69"/>
      <c r="Q95" s="69"/>
      <c r="R95" s="69"/>
      <c r="S95" s="100"/>
    </row>
    <row r="96" spans="1:19" ht="20.5" customHeight="1" thickBot="1" x14ac:dyDescent="0.4">
      <c r="A96" s="757"/>
      <c r="B96" s="757" t="s">
        <v>2599</v>
      </c>
      <c r="C96" s="758">
        <v>0.85</v>
      </c>
      <c r="D96" s="2664">
        <v>0.15</v>
      </c>
      <c r="E96" s="2659" t="s">
        <v>2025</v>
      </c>
      <c r="F96" s="760">
        <v>0.6</v>
      </c>
      <c r="G96" s="760">
        <v>0.7</v>
      </c>
      <c r="H96" s="69"/>
      <c r="I96" s="69"/>
      <c r="J96" s="69"/>
      <c r="K96" s="69"/>
      <c r="L96" s="69"/>
      <c r="M96" s="69"/>
      <c r="N96" s="69"/>
      <c r="O96" s="69"/>
      <c r="P96" s="69"/>
      <c r="Q96" s="69"/>
      <c r="R96" s="69"/>
      <c r="S96" s="100"/>
    </row>
    <row r="97" spans="1:19" ht="20.5" customHeight="1" thickBot="1" x14ac:dyDescent="0.4">
      <c r="A97" s="2665"/>
      <c r="B97" s="2665" t="s">
        <v>2600</v>
      </c>
      <c r="C97" s="2666">
        <v>0</v>
      </c>
      <c r="D97" s="2667">
        <v>1</v>
      </c>
      <c r="E97" s="2668" t="s">
        <v>2025</v>
      </c>
      <c r="F97" s="2669">
        <v>0</v>
      </c>
      <c r="G97" s="2669">
        <v>0</v>
      </c>
      <c r="H97" s="69"/>
      <c r="I97" s="69"/>
      <c r="J97" s="69"/>
      <c r="K97" s="69"/>
      <c r="L97" s="69"/>
      <c r="M97" s="69"/>
      <c r="N97" s="69"/>
      <c r="O97" s="69"/>
      <c r="P97" s="69"/>
      <c r="Q97" s="69"/>
      <c r="R97" s="69"/>
      <c r="S97" s="100"/>
    </row>
    <row r="98" spans="1:19" ht="25" customHeight="1" thickBot="1" x14ac:dyDescent="0.4">
      <c r="A98" s="2665"/>
      <c r="B98" s="2665" t="s">
        <v>2601</v>
      </c>
      <c r="C98" s="2666">
        <v>0.45</v>
      </c>
      <c r="D98" s="2667">
        <v>0.55000000000000004</v>
      </c>
      <c r="E98" s="2668" t="s">
        <v>2025</v>
      </c>
      <c r="F98" s="2669">
        <v>0</v>
      </c>
      <c r="G98" s="2669">
        <v>0</v>
      </c>
      <c r="H98" s="69"/>
      <c r="I98" s="69"/>
      <c r="J98" s="69"/>
      <c r="K98" s="69"/>
      <c r="L98" s="69"/>
      <c r="M98" s="69"/>
      <c r="N98" s="69"/>
      <c r="O98" s="69"/>
      <c r="P98" s="69"/>
      <c r="Q98" s="69"/>
      <c r="R98" s="69"/>
      <c r="S98" s="100"/>
    </row>
    <row r="99" spans="1:19" ht="130.5" thickBot="1" x14ac:dyDescent="0.4">
      <c r="A99" s="757" t="s">
        <v>2602</v>
      </c>
      <c r="B99" s="757" t="s">
        <v>2554</v>
      </c>
      <c r="C99" s="758">
        <v>0.3</v>
      </c>
      <c r="D99" s="2664">
        <v>0.7</v>
      </c>
      <c r="E99" s="2659" t="s">
        <v>2025</v>
      </c>
      <c r="F99" s="760">
        <v>0.4</v>
      </c>
      <c r="G99" s="760">
        <v>0</v>
      </c>
      <c r="H99" s="69"/>
      <c r="I99" s="69"/>
      <c r="J99" s="69"/>
      <c r="K99" s="69"/>
      <c r="L99" s="69"/>
      <c r="M99" s="69"/>
      <c r="N99" s="69"/>
      <c r="O99" s="69"/>
      <c r="P99" s="69"/>
      <c r="Q99" s="69"/>
      <c r="R99" s="69"/>
      <c r="S99" s="100"/>
    </row>
    <row r="100" spans="1:19" ht="15" thickBot="1" x14ac:dyDescent="0.4">
      <c r="A100" s="2665"/>
      <c r="B100" s="2665" t="s">
        <v>2603</v>
      </c>
      <c r="C100" s="2666">
        <v>0</v>
      </c>
      <c r="D100" s="2667">
        <v>1</v>
      </c>
      <c r="E100" s="2668" t="s">
        <v>2025</v>
      </c>
      <c r="F100" s="2669">
        <v>0</v>
      </c>
      <c r="G100" s="2669">
        <v>0</v>
      </c>
      <c r="H100" s="69"/>
      <c r="I100" s="69"/>
      <c r="J100" s="69"/>
      <c r="K100" s="69"/>
      <c r="L100" s="69"/>
      <c r="M100" s="69"/>
      <c r="N100" s="69"/>
      <c r="O100" s="69"/>
      <c r="P100" s="69"/>
      <c r="Q100" s="69"/>
      <c r="R100" s="69"/>
      <c r="S100" s="100"/>
    </row>
    <row r="101" spans="1:19" ht="15" thickBot="1" x14ac:dyDescent="0.4">
      <c r="A101" s="2665"/>
      <c r="B101" s="2665" t="s">
        <v>2604</v>
      </c>
      <c r="C101" s="2666">
        <v>0.16</v>
      </c>
      <c r="D101" s="2667">
        <v>0.84</v>
      </c>
      <c r="E101" s="2668" t="s">
        <v>2025</v>
      </c>
      <c r="F101" s="2669">
        <v>0</v>
      </c>
      <c r="G101" s="2669">
        <v>0</v>
      </c>
      <c r="H101" s="69"/>
      <c r="I101" s="69"/>
      <c r="J101" s="69"/>
      <c r="K101" s="69"/>
      <c r="L101" s="69"/>
      <c r="M101" s="69"/>
      <c r="N101" s="69"/>
      <c r="O101" s="69"/>
      <c r="P101" s="69"/>
      <c r="Q101" s="69"/>
      <c r="R101" s="69"/>
      <c r="S101" s="100"/>
    </row>
    <row r="102" spans="1:19" ht="36" customHeight="1" thickBot="1" x14ac:dyDescent="0.4">
      <c r="A102" s="757" t="s">
        <v>2605</v>
      </c>
      <c r="B102" s="757" t="s">
        <v>2606</v>
      </c>
      <c r="C102" s="758">
        <v>0</v>
      </c>
      <c r="D102" s="2664">
        <v>1</v>
      </c>
      <c r="E102" s="2659" t="s">
        <v>2025</v>
      </c>
      <c r="F102" s="760">
        <v>0</v>
      </c>
      <c r="G102" s="760">
        <v>0.3</v>
      </c>
      <c r="H102" s="69"/>
      <c r="I102" s="69"/>
      <c r="J102" s="69"/>
      <c r="K102" s="69"/>
      <c r="L102" s="69"/>
      <c r="M102" s="69"/>
      <c r="N102" s="69"/>
      <c r="O102" s="69"/>
      <c r="P102" s="69"/>
      <c r="Q102" s="69"/>
      <c r="R102" s="69"/>
      <c r="S102" s="100"/>
    </row>
    <row r="103" spans="1:19" ht="36" customHeight="1" thickBot="1" x14ac:dyDescent="0.4">
      <c r="A103" s="2665"/>
      <c r="B103" s="2665" t="s">
        <v>2607</v>
      </c>
      <c r="C103" s="2666">
        <v>0.23</v>
      </c>
      <c r="D103" s="2667">
        <v>0.77</v>
      </c>
      <c r="E103" s="2668" t="s">
        <v>2608</v>
      </c>
      <c r="F103" s="2669">
        <v>0</v>
      </c>
      <c r="G103" s="2669">
        <v>0</v>
      </c>
      <c r="H103" s="69"/>
      <c r="I103" s="69"/>
      <c r="J103" s="69"/>
      <c r="K103" s="69"/>
      <c r="L103" s="69"/>
      <c r="M103" s="69"/>
      <c r="N103" s="69"/>
      <c r="O103" s="69"/>
      <c r="P103" s="69"/>
      <c r="Q103" s="69"/>
      <c r="R103" s="69"/>
      <c r="S103" s="100"/>
    </row>
    <row r="104" spans="1:19" ht="36" customHeight="1" thickBot="1" x14ac:dyDescent="0.4">
      <c r="A104" s="2665"/>
      <c r="B104" s="2665" t="s">
        <v>2609</v>
      </c>
      <c r="C104" s="2666">
        <v>0.16</v>
      </c>
      <c r="D104" s="2667">
        <v>0.84</v>
      </c>
      <c r="E104" s="2668" t="s">
        <v>2610</v>
      </c>
      <c r="F104" s="2669">
        <v>0</v>
      </c>
      <c r="G104" s="2669">
        <v>0</v>
      </c>
      <c r="H104" s="69"/>
      <c r="I104" s="69"/>
      <c r="J104" s="69"/>
      <c r="K104" s="69"/>
      <c r="L104" s="69"/>
      <c r="M104" s="69"/>
      <c r="N104" s="69"/>
      <c r="O104" s="69"/>
      <c r="P104" s="69"/>
      <c r="Q104" s="69"/>
      <c r="R104" s="69"/>
      <c r="S104" s="100"/>
    </row>
    <row r="105" spans="1:19" ht="32.5" customHeight="1" thickBot="1" x14ac:dyDescent="0.4">
      <c r="A105" s="757"/>
      <c r="B105" s="757" t="s">
        <v>105</v>
      </c>
      <c r="C105" s="371" t="s">
        <v>105</v>
      </c>
      <c r="D105" s="2664">
        <v>1</v>
      </c>
      <c r="E105" s="2659" t="s">
        <v>105</v>
      </c>
      <c r="F105" s="760">
        <v>0</v>
      </c>
      <c r="G105" s="760">
        <v>0</v>
      </c>
      <c r="H105" s="69"/>
      <c r="I105" s="69"/>
      <c r="J105" s="69"/>
      <c r="K105" s="69"/>
      <c r="L105" s="69"/>
      <c r="M105" s="69"/>
      <c r="N105" s="69"/>
      <c r="O105" s="69"/>
      <c r="P105" s="69"/>
      <c r="Q105" s="69"/>
      <c r="R105" s="69"/>
      <c r="S105" s="100"/>
    </row>
    <row r="106" spans="1:19" ht="13.5" customHeight="1" thickBot="1" x14ac:dyDescent="0.4">
      <c r="A106" s="2660"/>
      <c r="B106" s="2661"/>
      <c r="C106" s="2662"/>
      <c r="D106" s="331"/>
      <c r="E106" s="790"/>
      <c r="F106" s="2663"/>
      <c r="G106" s="2663"/>
      <c r="H106" s="69"/>
      <c r="I106" s="69"/>
      <c r="J106" s="69"/>
      <c r="K106" s="69"/>
      <c r="L106" s="69"/>
      <c r="M106" s="69"/>
      <c r="N106" s="69"/>
      <c r="O106" s="69"/>
      <c r="P106" s="69"/>
      <c r="Q106" s="69"/>
      <c r="R106" s="69"/>
      <c r="S106" s="100"/>
    </row>
    <row r="107" spans="1:19" ht="15" thickBot="1" x14ac:dyDescent="0.4">
      <c r="A107" s="99"/>
      <c r="B107" s="3175" t="s">
        <v>2611</v>
      </c>
      <c r="C107" s="3176"/>
      <c r="D107" s="69"/>
      <c r="E107" s="69"/>
      <c r="F107" s="69"/>
      <c r="G107" s="69"/>
      <c r="H107" s="69"/>
      <c r="I107" s="69"/>
      <c r="J107" s="69"/>
      <c r="K107" s="69"/>
      <c r="L107" s="69"/>
      <c r="M107" s="69"/>
      <c r="N107" s="69"/>
      <c r="O107" s="69"/>
      <c r="P107" s="69"/>
      <c r="Q107" s="69"/>
      <c r="R107" s="69"/>
      <c r="S107" s="100"/>
    </row>
    <row r="108" spans="1:19" ht="15" thickBot="1" x14ac:dyDescent="0.4">
      <c r="A108" s="99"/>
      <c r="B108" s="368" t="s">
        <v>2595</v>
      </c>
      <c r="C108" s="369" t="s">
        <v>2535</v>
      </c>
      <c r="D108" s="69"/>
      <c r="E108" s="69"/>
      <c r="F108" s="69"/>
      <c r="G108" s="69"/>
      <c r="H108" s="69"/>
      <c r="I108" s="69"/>
      <c r="J108" s="69"/>
      <c r="K108" s="69"/>
      <c r="L108" s="69"/>
      <c r="M108" s="69"/>
      <c r="N108" s="69"/>
      <c r="O108" s="69"/>
      <c r="P108" s="69"/>
      <c r="Q108" s="69"/>
      <c r="R108" s="69"/>
      <c r="S108" s="100"/>
    </row>
    <row r="109" spans="1:19" ht="15" thickBot="1" x14ac:dyDescent="0.4">
      <c r="A109" s="99"/>
      <c r="B109" s="757" t="s">
        <v>2537</v>
      </c>
      <c r="C109" s="2472">
        <f>SUMPRODUCT($D$96:$D$102,$F$96:$F$102)</f>
        <v>0.37</v>
      </c>
      <c r="D109" s="69"/>
      <c r="E109" s="69"/>
      <c r="F109" s="69"/>
      <c r="G109" s="69"/>
      <c r="H109" s="69"/>
      <c r="I109" s="69"/>
      <c r="J109" s="69"/>
      <c r="K109" s="69"/>
      <c r="L109" s="69"/>
      <c r="M109" s="69"/>
      <c r="N109" s="69"/>
      <c r="O109" s="69"/>
      <c r="P109" s="69"/>
      <c r="Q109" s="69"/>
      <c r="R109" s="69"/>
      <c r="S109" s="100"/>
    </row>
    <row r="110" spans="1:19" ht="15" thickBot="1" x14ac:dyDescent="0.4">
      <c r="A110" s="99"/>
      <c r="B110" s="757" t="s">
        <v>2545</v>
      </c>
      <c r="C110" s="2472">
        <f>SUMPRODUCT($D$96:$D$102,$G$96:$G$102)</f>
        <v>0.40499999999999997</v>
      </c>
      <c r="D110" s="69"/>
      <c r="E110" s="69"/>
      <c r="F110" s="69"/>
      <c r="G110" s="69"/>
      <c r="H110" s="69"/>
      <c r="I110" s="69"/>
      <c r="J110" s="69"/>
      <c r="K110" s="69"/>
      <c r="L110" s="69"/>
      <c r="M110" s="69"/>
      <c r="N110" s="69"/>
      <c r="O110" s="69"/>
      <c r="P110" s="69"/>
      <c r="Q110" s="69"/>
      <c r="R110" s="69"/>
      <c r="S110" s="100"/>
    </row>
    <row r="111" spans="1:19" ht="15" thickBot="1" x14ac:dyDescent="0.4">
      <c r="A111" s="99"/>
      <c r="B111" s="757" t="s">
        <v>2542</v>
      </c>
      <c r="C111" s="2472">
        <f>SUMPRODUCT($D$96:$D$102,$G$96:$G$102)</f>
        <v>0.40499999999999997</v>
      </c>
      <c r="D111" s="69"/>
      <c r="E111" s="69"/>
      <c r="F111" s="69"/>
      <c r="G111" s="69"/>
      <c r="H111" s="69"/>
      <c r="I111" s="69"/>
      <c r="J111" s="69"/>
      <c r="K111" s="69"/>
      <c r="L111" s="69"/>
      <c r="M111" s="69"/>
      <c r="N111" s="69"/>
      <c r="O111" s="69"/>
      <c r="P111" s="69"/>
      <c r="Q111" s="69"/>
      <c r="R111" s="69"/>
      <c r="S111" s="100"/>
    </row>
    <row r="112" spans="1:19" ht="15" thickBot="1" x14ac:dyDescent="0.4">
      <c r="A112" s="99"/>
      <c r="B112" s="757" t="s">
        <v>2557</v>
      </c>
      <c r="C112" s="2472">
        <f>(J163*D99+(J164-J163)*D102)/J164</f>
        <v>0.83097193702943184</v>
      </c>
      <c r="D112" s="69" t="s">
        <v>2612</v>
      </c>
      <c r="E112" s="69"/>
      <c r="F112" s="69"/>
      <c r="G112" s="69"/>
      <c r="H112" s="69"/>
      <c r="I112" s="69"/>
      <c r="J112" s="69"/>
      <c r="K112" s="69"/>
      <c r="L112" s="69"/>
      <c r="M112" s="69"/>
      <c r="N112" s="69"/>
      <c r="O112" s="69"/>
      <c r="P112" s="69"/>
      <c r="Q112" s="69"/>
      <c r="R112" s="69"/>
      <c r="S112" s="100"/>
    </row>
    <row r="113" spans="1:19" ht="15" thickBot="1" x14ac:dyDescent="0.4">
      <c r="A113" s="99"/>
      <c r="B113" s="69"/>
      <c r="C113" s="69"/>
      <c r="D113" s="69"/>
      <c r="E113" s="69"/>
      <c r="F113" s="69"/>
      <c r="G113" s="69"/>
      <c r="H113" s="69"/>
      <c r="I113" s="69"/>
      <c r="J113" s="69"/>
      <c r="K113" s="69"/>
      <c r="L113" s="69"/>
      <c r="M113" s="69"/>
      <c r="N113" s="69"/>
      <c r="O113" s="69"/>
      <c r="P113" s="69"/>
      <c r="Q113" s="69"/>
      <c r="R113" s="69"/>
      <c r="S113" s="100"/>
    </row>
    <row r="114" spans="1:19" ht="15" thickBot="1" x14ac:dyDescent="0.4">
      <c r="A114" s="99"/>
      <c r="B114" s="3177" t="s">
        <v>2613</v>
      </c>
      <c r="C114" s="761" t="s">
        <v>2614</v>
      </c>
      <c r="D114" s="762"/>
      <c r="E114" s="763"/>
      <c r="F114" s="69"/>
      <c r="G114" s="69"/>
      <c r="H114" s="69"/>
      <c r="I114" s="69"/>
      <c r="J114" s="69"/>
      <c r="K114" s="69"/>
      <c r="L114" s="69"/>
      <c r="M114" s="69"/>
      <c r="N114" s="69"/>
      <c r="O114" s="69"/>
      <c r="P114" s="69"/>
      <c r="Q114" s="69"/>
      <c r="R114" s="69"/>
      <c r="S114" s="100"/>
    </row>
    <row r="115" spans="1:19" x14ac:dyDescent="0.35">
      <c r="A115" s="99"/>
      <c r="B115" s="3178"/>
      <c r="C115" s="3177" t="s">
        <v>2615</v>
      </c>
      <c r="D115" s="3177" t="s">
        <v>2616</v>
      </c>
      <c r="E115" s="763"/>
      <c r="F115" s="69"/>
      <c r="G115" s="69"/>
      <c r="H115" s="69"/>
      <c r="I115" s="69"/>
      <c r="J115" s="69"/>
      <c r="K115" s="69"/>
      <c r="L115" s="69"/>
      <c r="M115" s="69"/>
      <c r="N115" s="69"/>
      <c r="O115" s="69"/>
      <c r="P115" s="69"/>
      <c r="Q115" s="69"/>
      <c r="R115" s="69"/>
      <c r="S115" s="100"/>
    </row>
    <row r="116" spans="1:19" ht="15" thickBot="1" x14ac:dyDescent="0.4">
      <c r="A116" s="99"/>
      <c r="B116" s="3179"/>
      <c r="C116" s="3179"/>
      <c r="D116" s="3179"/>
      <c r="E116" s="763"/>
      <c r="F116" s="69"/>
      <c r="G116" s="69"/>
      <c r="H116" s="69"/>
      <c r="I116" s="69"/>
      <c r="J116" s="69"/>
      <c r="K116" s="69"/>
      <c r="L116" s="69"/>
      <c r="M116" s="69"/>
      <c r="N116" s="69"/>
      <c r="O116" s="69"/>
      <c r="P116" s="69"/>
      <c r="Q116" s="69"/>
      <c r="R116" s="69"/>
      <c r="S116" s="100"/>
    </row>
    <row r="117" spans="1:19" ht="15" thickBot="1" x14ac:dyDescent="0.4">
      <c r="A117" s="99"/>
      <c r="B117" s="764" t="s">
        <v>2617</v>
      </c>
      <c r="C117" s="765">
        <v>0.04</v>
      </c>
      <c r="D117" s="765">
        <v>0.03</v>
      </c>
      <c r="E117" s="763"/>
      <c r="F117" s="69"/>
      <c r="G117" s="69"/>
      <c r="H117" s="69"/>
      <c r="I117" s="69"/>
      <c r="J117" s="69"/>
      <c r="K117" s="69"/>
      <c r="L117" s="69"/>
      <c r="M117" s="69"/>
      <c r="N117" s="69"/>
      <c r="O117" s="69"/>
      <c r="P117" s="69"/>
      <c r="Q117" s="69"/>
      <c r="R117" s="69"/>
      <c r="S117" s="100"/>
    </row>
    <row r="118" spans="1:19" ht="15" thickBot="1" x14ac:dyDescent="0.4">
      <c r="A118" s="99"/>
      <c r="B118" s="764" t="s">
        <v>2618</v>
      </c>
      <c r="C118" s="765">
        <v>0.06</v>
      </c>
      <c r="D118" s="765">
        <v>0.05</v>
      </c>
      <c r="E118" s="763"/>
      <c r="F118" s="69"/>
      <c r="G118" s="69"/>
      <c r="H118" s="69"/>
      <c r="I118" s="69"/>
      <c r="J118" s="69"/>
      <c r="K118" s="69"/>
      <c r="L118" s="69"/>
      <c r="M118" s="69"/>
      <c r="N118" s="69"/>
      <c r="O118" s="69"/>
      <c r="P118" s="69"/>
      <c r="Q118" s="69"/>
      <c r="R118" s="69"/>
      <c r="S118" s="100"/>
    </row>
    <row r="119" spans="1:19" x14ac:dyDescent="0.35">
      <c r="A119" s="99"/>
      <c r="B119" s="69"/>
      <c r="C119" s="69"/>
      <c r="D119" s="69"/>
      <c r="E119" s="69"/>
      <c r="F119" s="69"/>
      <c r="G119" s="69"/>
      <c r="H119" s="69"/>
      <c r="I119" s="69"/>
      <c r="J119" s="69"/>
      <c r="K119" s="69"/>
      <c r="L119" s="69"/>
      <c r="M119" s="69"/>
      <c r="N119" s="69"/>
      <c r="O119" s="69"/>
      <c r="P119" s="69"/>
      <c r="Q119" s="69"/>
      <c r="R119" s="69"/>
      <c r="S119" s="100"/>
    </row>
    <row r="120" spans="1:19" x14ac:dyDescent="0.35">
      <c r="A120" s="99"/>
      <c r="B120" s="69"/>
      <c r="C120" s="69"/>
      <c r="D120" s="69"/>
      <c r="E120" s="69"/>
      <c r="F120" s="69"/>
      <c r="G120" s="69"/>
      <c r="H120" s="69"/>
      <c r="I120" s="69"/>
      <c r="J120" s="69"/>
      <c r="K120" s="69"/>
      <c r="L120" s="69"/>
      <c r="M120" s="69"/>
      <c r="N120" s="69"/>
      <c r="O120" s="69"/>
      <c r="P120" s="69"/>
      <c r="Q120" s="69"/>
      <c r="R120" s="69"/>
      <c r="S120" s="100"/>
    </row>
    <row r="121" spans="1:19" x14ac:dyDescent="0.35">
      <c r="A121" s="99"/>
      <c r="B121" s="69"/>
      <c r="C121" s="69"/>
      <c r="D121" s="69"/>
      <c r="E121" s="69"/>
      <c r="F121" s="69"/>
      <c r="G121" s="69"/>
      <c r="H121" s="69"/>
      <c r="I121" s="69"/>
      <c r="J121" s="69"/>
      <c r="K121" s="69"/>
      <c r="L121" s="69"/>
      <c r="M121" s="69"/>
      <c r="N121" s="69"/>
      <c r="O121" s="69"/>
      <c r="P121" s="69"/>
      <c r="Q121" s="69"/>
      <c r="R121" s="69"/>
      <c r="S121" s="100"/>
    </row>
    <row r="122" spans="1:19" x14ac:dyDescent="0.35">
      <c r="A122" s="99"/>
      <c r="B122" s="69"/>
      <c r="C122" s="69"/>
      <c r="D122" s="69"/>
      <c r="E122" s="69"/>
      <c r="F122" s="69"/>
      <c r="G122" s="69"/>
      <c r="H122" s="69"/>
      <c r="I122" s="69"/>
      <c r="J122" s="69"/>
      <c r="K122" s="69"/>
      <c r="L122" s="69"/>
      <c r="M122" s="69"/>
      <c r="N122" s="69"/>
      <c r="O122" s="69"/>
      <c r="P122" s="69"/>
      <c r="Q122" s="69"/>
      <c r="R122" s="69"/>
      <c r="S122" s="100"/>
    </row>
    <row r="123" spans="1:19" x14ac:dyDescent="0.35">
      <c r="A123" s="99"/>
      <c r="B123" s="766" t="s">
        <v>2619</v>
      </c>
      <c r="C123" s="3172" t="s">
        <v>2620</v>
      </c>
      <c r="D123" s="3180"/>
      <c r="E123" s="69"/>
      <c r="F123" s="69"/>
      <c r="G123" s="69"/>
      <c r="H123" s="69"/>
      <c r="I123" s="69"/>
      <c r="J123" s="69"/>
      <c r="K123" s="69"/>
      <c r="L123" s="69"/>
      <c r="M123" s="69"/>
      <c r="N123" s="69"/>
      <c r="O123" s="69"/>
      <c r="P123" s="69"/>
      <c r="Q123" s="69"/>
      <c r="R123" s="69"/>
      <c r="S123" s="100"/>
    </row>
    <row r="124" spans="1:19" x14ac:dyDescent="0.35">
      <c r="A124" s="99"/>
      <c r="B124" s="736"/>
      <c r="C124" s="767" t="s">
        <v>2025</v>
      </c>
      <c r="D124" s="756" t="s">
        <v>2026</v>
      </c>
      <c r="E124" s="69"/>
      <c r="F124" s="69"/>
      <c r="G124" s="69"/>
      <c r="H124" s="69"/>
      <c r="I124" s="69"/>
      <c r="J124" s="69"/>
      <c r="K124" s="69"/>
      <c r="L124" s="69"/>
      <c r="M124" s="69"/>
      <c r="N124" s="69"/>
      <c r="O124" s="69"/>
      <c r="P124" s="69"/>
      <c r="Q124" s="69"/>
      <c r="R124" s="69"/>
      <c r="S124" s="100"/>
    </row>
    <row r="125" spans="1:19" x14ac:dyDescent="0.35">
      <c r="A125" s="99"/>
      <c r="B125" s="745"/>
      <c r="C125" s="739" t="s">
        <v>2621</v>
      </c>
      <c r="D125" s="739" t="s">
        <v>2622</v>
      </c>
      <c r="E125" s="69"/>
      <c r="F125" s="69"/>
      <c r="G125" s="69"/>
      <c r="H125" s="69"/>
      <c r="I125" s="69"/>
      <c r="J125" s="69"/>
      <c r="K125" s="69"/>
      <c r="L125" s="69"/>
      <c r="M125" s="69"/>
      <c r="N125" s="69"/>
      <c r="O125" s="69"/>
      <c r="P125" s="69"/>
      <c r="Q125" s="69"/>
      <c r="R125" s="69"/>
      <c r="S125" s="100"/>
    </row>
    <row r="126" spans="1:19" x14ac:dyDescent="0.35">
      <c r="A126" s="99"/>
      <c r="B126" s="351"/>
      <c r="C126" s="49"/>
      <c r="D126" s="49"/>
      <c r="E126" s="69"/>
      <c r="F126" s="69"/>
      <c r="G126" s="69"/>
      <c r="H126" s="69"/>
      <c r="I126" s="69"/>
      <c r="J126" s="69"/>
      <c r="K126" s="69"/>
      <c r="L126" s="69"/>
      <c r="M126" s="69"/>
      <c r="N126" s="69"/>
      <c r="O126" s="69"/>
      <c r="P126" s="69"/>
      <c r="Q126" s="69"/>
      <c r="R126" s="69"/>
      <c r="S126" s="100"/>
    </row>
    <row r="127" spans="1:19" x14ac:dyDescent="0.35">
      <c r="A127" s="99"/>
      <c r="B127" s="49"/>
      <c r="C127" s="49"/>
      <c r="D127" s="49"/>
      <c r="E127" s="69"/>
      <c r="F127" s="69"/>
      <c r="G127" s="69"/>
      <c r="H127" s="69"/>
      <c r="I127" s="69"/>
      <c r="J127" s="69"/>
      <c r="K127" s="69"/>
      <c r="L127" s="69"/>
      <c r="M127" s="69"/>
      <c r="N127" s="69"/>
      <c r="O127" s="69"/>
      <c r="P127" s="69"/>
      <c r="Q127" s="69"/>
      <c r="R127" s="69"/>
      <c r="S127" s="100"/>
    </row>
    <row r="128" spans="1:19" x14ac:dyDescent="0.35">
      <c r="A128" s="99"/>
      <c r="B128" s="49"/>
      <c r="C128" s="49"/>
      <c r="D128" s="49"/>
      <c r="E128" s="69"/>
      <c r="F128" s="69"/>
      <c r="G128" s="69"/>
      <c r="H128" s="69"/>
      <c r="I128" s="69"/>
      <c r="J128" s="69"/>
      <c r="K128" s="69"/>
      <c r="L128" s="69"/>
      <c r="M128" s="69"/>
      <c r="N128" s="69"/>
      <c r="O128" s="69"/>
      <c r="P128" s="69"/>
      <c r="Q128" s="69"/>
      <c r="R128" s="69"/>
      <c r="S128" s="100"/>
    </row>
    <row r="129" spans="1:19" x14ac:dyDescent="0.35">
      <c r="A129" s="99"/>
      <c r="B129" s="49"/>
      <c r="C129" s="768"/>
      <c r="D129" s="768"/>
      <c r="E129" s="69"/>
      <c r="F129" s="69"/>
      <c r="G129" s="69"/>
      <c r="H129" s="69"/>
      <c r="I129" s="69"/>
      <c r="J129" s="69"/>
      <c r="K129" s="69"/>
      <c r="L129" s="69"/>
      <c r="M129" s="69"/>
      <c r="N129" s="69"/>
      <c r="O129" s="69"/>
      <c r="P129" s="69"/>
      <c r="Q129" s="69"/>
      <c r="R129" s="69"/>
      <c r="S129" s="100"/>
    </row>
    <row r="130" spans="1:19" x14ac:dyDescent="0.35">
      <c r="A130" s="99"/>
      <c r="B130" s="49"/>
      <c r="C130" s="768"/>
      <c r="D130" s="768"/>
      <c r="E130" s="69"/>
      <c r="F130" s="69"/>
      <c r="G130" s="69"/>
      <c r="H130" s="69"/>
      <c r="I130" s="69"/>
      <c r="J130" s="69"/>
      <c r="K130" s="69"/>
      <c r="L130" s="69"/>
      <c r="M130" s="69"/>
      <c r="N130" s="69"/>
      <c r="O130" s="69"/>
      <c r="P130" s="69"/>
      <c r="Q130" s="69"/>
      <c r="R130" s="69"/>
      <c r="S130" s="100"/>
    </row>
    <row r="131" spans="1:19" x14ac:dyDescent="0.35">
      <c r="A131" s="99"/>
      <c r="B131" s="49"/>
      <c r="C131" s="768"/>
      <c r="D131" s="768"/>
      <c r="E131" s="69"/>
      <c r="F131" s="69"/>
      <c r="G131" s="69"/>
      <c r="H131" s="69"/>
      <c r="I131" s="69"/>
      <c r="J131" s="69"/>
      <c r="K131" s="69"/>
      <c r="L131" s="69"/>
      <c r="M131" s="69"/>
      <c r="N131" s="69"/>
      <c r="O131" s="69"/>
      <c r="P131" s="69"/>
      <c r="Q131" s="69"/>
      <c r="R131" s="69"/>
      <c r="S131" s="100"/>
    </row>
    <row r="132" spans="1:19" x14ac:dyDescent="0.35">
      <c r="A132" s="99"/>
      <c r="B132" s="69"/>
      <c r="C132" s="69"/>
      <c r="D132" s="69"/>
      <c r="E132" s="69"/>
      <c r="F132" s="69"/>
      <c r="G132" s="69"/>
      <c r="H132" s="69"/>
      <c r="I132" s="69"/>
      <c r="J132" s="69"/>
      <c r="K132" s="69"/>
      <c r="L132" s="69"/>
      <c r="M132" s="69"/>
      <c r="N132" s="69"/>
      <c r="O132" s="69"/>
      <c r="P132" s="69"/>
      <c r="Q132" s="69"/>
      <c r="R132" s="69"/>
      <c r="S132" s="100"/>
    </row>
    <row r="133" spans="1:19" x14ac:dyDescent="0.35">
      <c r="A133" s="99"/>
      <c r="B133" s="49" t="s">
        <v>2621</v>
      </c>
      <c r="C133" s="768"/>
      <c r="D133" s="69"/>
      <c r="E133" s="69"/>
      <c r="F133" s="69"/>
      <c r="G133" s="69"/>
      <c r="H133" s="69"/>
      <c r="I133" s="69"/>
      <c r="J133" s="69"/>
      <c r="K133" s="69"/>
      <c r="L133" s="69"/>
      <c r="M133" s="69"/>
      <c r="N133" s="69"/>
      <c r="O133" s="69"/>
      <c r="P133" s="69"/>
      <c r="Q133" s="69"/>
      <c r="R133" s="69"/>
      <c r="S133" s="100"/>
    </row>
    <row r="134" spans="1:19" x14ac:dyDescent="0.35">
      <c r="A134" s="99"/>
      <c r="B134" s="49" t="s">
        <v>2622</v>
      </c>
      <c r="C134" s="768"/>
      <c r="D134" s="69"/>
      <c r="E134" s="69"/>
      <c r="F134" s="69"/>
      <c r="G134" s="69"/>
      <c r="H134" s="69"/>
      <c r="I134" s="69"/>
      <c r="J134" s="69"/>
      <c r="K134" s="69"/>
      <c r="L134" s="69"/>
      <c r="M134" s="69"/>
      <c r="N134" s="69"/>
      <c r="O134" s="69"/>
      <c r="P134" s="69"/>
      <c r="Q134" s="69"/>
      <c r="R134" s="69"/>
      <c r="S134" s="100"/>
    </row>
    <row r="135" spans="1:19" x14ac:dyDescent="0.35">
      <c r="A135" s="99"/>
      <c r="B135" s="69"/>
      <c r="C135" s="69"/>
      <c r="D135" s="69"/>
      <c r="E135" s="69"/>
      <c r="F135" s="69"/>
      <c r="G135" s="69"/>
      <c r="H135" s="69"/>
      <c r="I135" s="69"/>
      <c r="J135" s="69"/>
      <c r="K135" s="69"/>
      <c r="L135" s="69"/>
      <c r="M135" s="69"/>
      <c r="N135" s="69"/>
      <c r="O135" s="69"/>
      <c r="P135" s="69"/>
      <c r="Q135" s="69"/>
      <c r="R135" s="69"/>
      <c r="S135" s="100"/>
    </row>
    <row r="136" spans="1:19" x14ac:dyDescent="0.35">
      <c r="A136" s="99"/>
      <c r="B136" s="769" t="s">
        <v>2479</v>
      </c>
      <c r="C136" s="49">
        <v>2</v>
      </c>
      <c r="D136" s="69"/>
      <c r="E136" s="69"/>
      <c r="F136" s="69"/>
      <c r="G136" s="69"/>
      <c r="H136" s="69"/>
      <c r="I136" s="69"/>
      <c r="J136" s="69"/>
      <c r="K136" s="69"/>
      <c r="L136" s="69"/>
      <c r="M136" s="69"/>
      <c r="N136" s="69"/>
      <c r="O136" s="69"/>
      <c r="P136" s="69"/>
      <c r="Q136" s="69"/>
      <c r="R136" s="69"/>
      <c r="S136" s="100"/>
    </row>
    <row r="137" spans="1:19" x14ac:dyDescent="0.35">
      <c r="A137" s="99"/>
      <c r="B137" s="769" t="s">
        <v>2480</v>
      </c>
      <c r="C137" s="49">
        <v>3</v>
      </c>
      <c r="D137" s="69"/>
      <c r="E137" s="69"/>
      <c r="F137" s="69"/>
      <c r="G137" s="69"/>
      <c r="H137" s="69"/>
      <c r="I137" s="69"/>
      <c r="J137" s="69"/>
      <c r="K137" s="69"/>
      <c r="L137" s="69"/>
      <c r="M137" s="69"/>
      <c r="N137" s="69"/>
      <c r="O137" s="69"/>
      <c r="P137" s="69"/>
      <c r="Q137" s="69"/>
      <c r="R137" s="69"/>
      <c r="S137" s="100"/>
    </row>
    <row r="138" spans="1:19" x14ac:dyDescent="0.35">
      <c r="A138" s="99"/>
      <c r="B138" s="769" t="s">
        <v>2481</v>
      </c>
      <c r="C138" s="49">
        <v>4</v>
      </c>
      <c r="D138" s="69"/>
      <c r="E138" s="69"/>
      <c r="F138" s="69"/>
      <c r="G138" s="69"/>
      <c r="H138" s="69"/>
      <c r="I138" s="69"/>
      <c r="J138" s="69"/>
      <c r="K138" s="69"/>
      <c r="L138" s="69"/>
      <c r="M138" s="69"/>
      <c r="N138" s="69"/>
      <c r="O138" s="69"/>
      <c r="P138" s="69"/>
      <c r="Q138" s="69"/>
      <c r="R138" s="69"/>
      <c r="S138" s="100"/>
    </row>
    <row r="139" spans="1:19" x14ac:dyDescent="0.35">
      <c r="A139" s="99"/>
      <c r="B139" s="769" t="s">
        <v>2482</v>
      </c>
      <c r="C139" s="49">
        <v>5</v>
      </c>
      <c r="D139" s="69"/>
      <c r="E139" s="69"/>
      <c r="F139" s="69"/>
      <c r="G139" s="69"/>
      <c r="H139" s="69"/>
      <c r="I139" s="69"/>
      <c r="J139" s="69"/>
      <c r="K139" s="69"/>
      <c r="L139" s="69"/>
      <c r="M139" s="69"/>
      <c r="N139" s="69"/>
      <c r="O139" s="69"/>
      <c r="P139" s="69"/>
      <c r="Q139" s="69"/>
      <c r="R139" s="69"/>
      <c r="S139" s="100"/>
    </row>
    <row r="140" spans="1:19" x14ac:dyDescent="0.35">
      <c r="A140" s="99"/>
      <c r="B140" s="769" t="s">
        <v>2483</v>
      </c>
      <c r="C140" s="49">
        <v>6</v>
      </c>
      <c r="D140" s="69"/>
      <c r="E140" s="69"/>
      <c r="F140" s="69"/>
      <c r="G140" s="69"/>
      <c r="H140" s="69"/>
      <c r="I140" s="69"/>
      <c r="J140" s="69"/>
      <c r="K140" s="69"/>
      <c r="L140" s="69"/>
      <c r="M140" s="69"/>
      <c r="N140" s="69"/>
      <c r="O140" s="69"/>
      <c r="P140" s="69"/>
      <c r="Q140" s="69"/>
      <c r="R140" s="69"/>
      <c r="S140" s="100"/>
    </row>
    <row r="141" spans="1:19" x14ac:dyDescent="0.35">
      <c r="A141" s="99"/>
      <c r="B141" s="49" t="s">
        <v>2623</v>
      </c>
      <c r="C141" s="49">
        <v>7</v>
      </c>
      <c r="D141" s="69"/>
      <c r="E141" s="69"/>
      <c r="F141" s="69"/>
      <c r="G141" s="69"/>
      <c r="H141" s="69"/>
      <c r="I141" s="69"/>
      <c r="J141" s="69"/>
      <c r="K141" s="69"/>
      <c r="L141" s="69"/>
      <c r="M141" s="69"/>
      <c r="N141" s="69"/>
      <c r="O141" s="69"/>
      <c r="P141" s="69"/>
      <c r="Q141" s="69"/>
      <c r="R141" s="69"/>
      <c r="S141" s="100"/>
    </row>
    <row r="142" spans="1:19" x14ac:dyDescent="0.35">
      <c r="A142" s="99"/>
      <c r="B142" s="69"/>
      <c r="C142" s="69"/>
      <c r="D142" s="69"/>
      <c r="E142" s="69"/>
      <c r="F142" s="69"/>
      <c r="G142" s="69"/>
      <c r="H142" s="69"/>
      <c r="I142" s="69"/>
      <c r="J142" s="69"/>
      <c r="K142" s="69"/>
      <c r="L142" s="69"/>
      <c r="M142" s="69"/>
      <c r="N142" s="69"/>
      <c r="O142" s="69"/>
      <c r="P142" s="69"/>
      <c r="Q142" s="69"/>
      <c r="R142" s="69"/>
      <c r="S142" s="100"/>
    </row>
    <row r="143" spans="1:19" x14ac:dyDescent="0.35">
      <c r="A143" s="99"/>
      <c r="B143" s="69"/>
      <c r="C143" s="69"/>
      <c r="D143" s="69"/>
      <c r="E143" s="69"/>
      <c r="F143" s="69"/>
      <c r="G143" s="69"/>
      <c r="H143" s="69"/>
      <c r="I143" s="69"/>
      <c r="J143" s="69"/>
      <c r="K143" s="69"/>
      <c r="L143" s="69"/>
      <c r="M143" s="69"/>
      <c r="N143" s="69"/>
      <c r="O143" s="69"/>
      <c r="P143" s="69"/>
      <c r="Q143" s="69"/>
      <c r="R143" s="69"/>
      <c r="S143" s="100"/>
    </row>
    <row r="144" spans="1:19" x14ac:dyDescent="0.35">
      <c r="A144" s="99"/>
      <c r="B144" s="767" t="s">
        <v>1038</v>
      </c>
      <c r="C144" s="69"/>
      <c r="D144" s="69"/>
      <c r="E144" s="69"/>
      <c r="F144" s="69"/>
      <c r="G144" s="69"/>
      <c r="H144" s="69"/>
      <c r="I144" s="69"/>
      <c r="J144" s="69"/>
      <c r="K144" s="69"/>
      <c r="L144" s="69"/>
      <c r="M144" s="69"/>
      <c r="N144" s="69"/>
      <c r="O144" s="69"/>
      <c r="P144" s="69"/>
      <c r="Q144" s="69"/>
      <c r="R144" s="69"/>
      <c r="S144" s="100"/>
    </row>
    <row r="145" spans="1:19" x14ac:dyDescent="0.35">
      <c r="A145" s="99"/>
      <c r="B145" s="49" t="s">
        <v>1632</v>
      </c>
      <c r="C145" s="69"/>
      <c r="D145" s="69"/>
      <c r="E145" s="69"/>
      <c r="F145" s="69"/>
      <c r="G145" s="69"/>
      <c r="H145" s="69"/>
      <c r="I145" s="69"/>
      <c r="J145" s="69"/>
      <c r="K145" s="69"/>
      <c r="L145" s="69"/>
      <c r="M145" s="69"/>
      <c r="N145" s="69"/>
      <c r="O145" s="69"/>
      <c r="P145" s="69"/>
      <c r="Q145" s="69"/>
      <c r="R145" s="69"/>
      <c r="S145" s="100"/>
    </row>
    <row r="146" spans="1:19" x14ac:dyDescent="0.35">
      <c r="A146" s="99"/>
      <c r="B146" s="49" t="s">
        <v>1583</v>
      </c>
      <c r="C146" s="69"/>
      <c r="D146" s="69"/>
      <c r="E146" s="69"/>
      <c r="F146" s="69"/>
      <c r="G146" s="69"/>
      <c r="H146" s="69"/>
      <c r="I146" s="69"/>
      <c r="J146" s="69"/>
      <c r="K146" s="69"/>
      <c r="L146" s="69"/>
      <c r="M146" s="69"/>
      <c r="N146" s="69"/>
      <c r="O146" s="69"/>
      <c r="P146" s="69"/>
      <c r="Q146" s="69"/>
      <c r="R146" s="69"/>
      <c r="S146" s="100"/>
    </row>
    <row r="147" spans="1:19" x14ac:dyDescent="0.35">
      <c r="A147" s="99"/>
      <c r="B147" s="767" t="s">
        <v>1480</v>
      </c>
      <c r="C147" s="69"/>
      <c r="D147" s="69"/>
      <c r="E147" s="69"/>
      <c r="F147" s="69"/>
      <c r="G147" s="69"/>
      <c r="H147" s="69"/>
      <c r="I147" s="69"/>
      <c r="J147" s="69"/>
      <c r="K147" s="69"/>
      <c r="L147" s="69"/>
      <c r="M147" s="69"/>
      <c r="N147" s="69"/>
      <c r="O147" s="69"/>
      <c r="P147" s="69"/>
      <c r="Q147" s="69"/>
      <c r="R147" s="69"/>
      <c r="S147" s="100"/>
    </row>
    <row r="148" spans="1:19" x14ac:dyDescent="0.35">
      <c r="A148" s="99"/>
      <c r="B148" s="49" t="s">
        <v>2025</v>
      </c>
      <c r="C148" s="69"/>
      <c r="D148" s="69"/>
      <c r="E148" s="69"/>
      <c r="F148" s="69"/>
      <c r="G148" s="69"/>
      <c r="H148" s="69"/>
      <c r="I148" s="69"/>
      <c r="J148" s="69"/>
      <c r="K148" s="69"/>
      <c r="L148" s="69"/>
      <c r="M148" s="69"/>
      <c r="N148" s="69"/>
      <c r="O148" s="69"/>
      <c r="P148" s="69"/>
      <c r="Q148" s="69"/>
      <c r="R148" s="69"/>
      <c r="S148" s="100"/>
    </row>
    <row r="149" spans="1:19" x14ac:dyDescent="0.35">
      <c r="A149" s="99"/>
      <c r="B149" s="49" t="s">
        <v>2026</v>
      </c>
      <c r="C149" s="69"/>
      <c r="D149" s="69"/>
      <c r="E149" s="69"/>
      <c r="F149" s="69"/>
      <c r="G149" s="69"/>
      <c r="H149" s="69"/>
      <c r="I149" s="69"/>
      <c r="J149" s="69"/>
      <c r="K149" s="69"/>
      <c r="L149" s="69"/>
      <c r="M149" s="69"/>
      <c r="N149" s="69"/>
      <c r="O149" s="69"/>
      <c r="P149" s="69"/>
      <c r="Q149" s="69"/>
      <c r="R149" s="69"/>
      <c r="S149" s="100"/>
    </row>
    <row r="150" spans="1:19" x14ac:dyDescent="0.35">
      <c r="A150" s="99"/>
      <c r="B150" s="69"/>
      <c r="C150" s="69"/>
      <c r="D150" s="69"/>
      <c r="E150" s="69"/>
      <c r="F150" s="69"/>
      <c r="G150" s="69"/>
      <c r="H150" s="69"/>
      <c r="I150" s="69"/>
      <c r="J150" s="69"/>
      <c r="K150" s="69"/>
      <c r="L150" s="69"/>
      <c r="M150" s="69"/>
      <c r="N150" s="69"/>
      <c r="O150" s="69"/>
      <c r="P150" s="69"/>
      <c r="Q150" s="69"/>
      <c r="R150" s="69"/>
      <c r="S150" s="100"/>
    </row>
    <row r="151" spans="1:19" x14ac:dyDescent="0.35">
      <c r="A151" s="99"/>
      <c r="B151" s="3180" t="s">
        <v>2624</v>
      </c>
      <c r="C151" s="3180"/>
      <c r="D151" s="69"/>
      <c r="E151" s="69"/>
      <c r="F151" s="69"/>
      <c r="G151" s="69"/>
      <c r="H151" s="69"/>
      <c r="I151" s="69"/>
      <c r="J151" s="69"/>
      <c r="K151" s="69"/>
      <c r="L151" s="69"/>
      <c r="M151" s="69"/>
      <c r="N151" s="69"/>
      <c r="O151" s="69"/>
      <c r="P151" s="69"/>
      <c r="Q151" s="69"/>
      <c r="R151" s="69"/>
      <c r="S151" s="100"/>
    </row>
    <row r="152" spans="1:19" x14ac:dyDescent="0.35">
      <c r="A152" s="99"/>
      <c r="B152" s="49" t="s">
        <v>2585</v>
      </c>
      <c r="C152" s="49" t="s">
        <v>2542</v>
      </c>
      <c r="D152" s="69"/>
      <c r="E152" s="69"/>
      <c r="F152" s="69"/>
      <c r="G152" s="69"/>
      <c r="H152" s="69"/>
      <c r="I152" s="69"/>
      <c r="J152" s="69"/>
      <c r="K152" s="69"/>
      <c r="L152" s="69"/>
      <c r="M152" s="69"/>
      <c r="N152" s="69"/>
      <c r="O152" s="69"/>
      <c r="P152" s="69"/>
      <c r="Q152" s="69"/>
      <c r="R152" s="69"/>
      <c r="S152" s="100"/>
    </row>
    <row r="153" spans="1:19" x14ac:dyDescent="0.35">
      <c r="A153" s="99"/>
      <c r="B153" s="49" t="s">
        <v>2539</v>
      </c>
      <c r="C153" s="49" t="s">
        <v>2537</v>
      </c>
      <c r="D153" s="69"/>
      <c r="E153" s="69"/>
      <c r="F153" s="69"/>
      <c r="G153" s="69"/>
      <c r="H153" s="69"/>
      <c r="I153" s="69"/>
      <c r="J153" s="69"/>
      <c r="K153" s="69"/>
      <c r="L153" s="69"/>
      <c r="M153" s="69"/>
      <c r="N153" s="69"/>
      <c r="O153" s="69"/>
      <c r="P153" s="69"/>
      <c r="Q153" s="69"/>
      <c r="R153" s="69"/>
      <c r="S153" s="100"/>
    </row>
    <row r="154" spans="1:19" x14ac:dyDescent="0.35">
      <c r="A154" s="99"/>
      <c r="B154" s="49" t="s">
        <v>2546</v>
      </c>
      <c r="C154" s="49" t="s">
        <v>2545</v>
      </c>
      <c r="D154" s="69"/>
      <c r="E154" s="69"/>
      <c r="F154" s="69"/>
      <c r="G154" s="69"/>
      <c r="H154" s="69"/>
      <c r="I154" s="69"/>
      <c r="J154" s="69"/>
      <c r="K154" s="69"/>
      <c r="L154" s="69"/>
      <c r="M154" s="69"/>
      <c r="N154" s="69"/>
      <c r="O154" s="69"/>
      <c r="P154" s="69"/>
      <c r="Q154" s="69"/>
      <c r="R154" s="69"/>
      <c r="S154" s="100"/>
    </row>
    <row r="155" spans="1:19" x14ac:dyDescent="0.35">
      <c r="A155" s="99"/>
      <c r="B155" s="49" t="s">
        <v>2543</v>
      </c>
      <c r="C155" s="49"/>
      <c r="D155" s="69"/>
      <c r="E155" s="69"/>
      <c r="F155" s="69"/>
      <c r="G155" s="69"/>
      <c r="H155" s="69"/>
      <c r="I155" s="69"/>
      <c r="J155" s="69"/>
      <c r="K155" s="69"/>
      <c r="L155" s="69"/>
      <c r="M155" s="69"/>
      <c r="N155" s="69"/>
      <c r="O155" s="69"/>
      <c r="P155" s="69"/>
      <c r="Q155" s="69"/>
      <c r="R155" s="69"/>
      <c r="S155" s="100"/>
    </row>
    <row r="156" spans="1:19" x14ac:dyDescent="0.35">
      <c r="A156" s="99"/>
      <c r="B156" s="49" t="s">
        <v>2583</v>
      </c>
      <c r="C156" s="49"/>
      <c r="D156" s="69"/>
      <c r="E156" s="69"/>
      <c r="F156" s="69"/>
      <c r="G156" s="69"/>
      <c r="H156" s="69"/>
      <c r="I156" s="69"/>
      <c r="J156" s="69"/>
      <c r="K156" s="69"/>
      <c r="L156" s="69"/>
      <c r="M156" s="69"/>
      <c r="N156" s="69"/>
      <c r="O156" s="69"/>
      <c r="P156" s="69"/>
      <c r="Q156" s="69"/>
      <c r="R156" s="69"/>
      <c r="S156" s="100"/>
    </row>
    <row r="157" spans="1:19" x14ac:dyDescent="0.35">
      <c r="A157" s="99"/>
      <c r="B157" s="49" t="s">
        <v>1460</v>
      </c>
      <c r="C157" s="49"/>
      <c r="D157" s="69"/>
      <c r="E157" s="69"/>
      <c r="F157" s="69"/>
      <c r="G157" s="69"/>
      <c r="H157" s="69"/>
      <c r="I157" s="69"/>
      <c r="J157" s="69"/>
      <c r="K157" s="69"/>
      <c r="L157" s="69"/>
      <c r="M157" s="69"/>
      <c r="N157" s="69"/>
      <c r="O157" s="69"/>
      <c r="P157" s="69"/>
      <c r="Q157" s="69"/>
      <c r="R157" s="69"/>
      <c r="S157" s="100"/>
    </row>
    <row r="158" spans="1:19" x14ac:dyDescent="0.35">
      <c r="A158" s="99"/>
      <c r="B158" s="69"/>
      <c r="C158" s="69"/>
      <c r="D158" s="69"/>
      <c r="E158" s="69"/>
      <c r="F158" s="69"/>
      <c r="G158" s="69"/>
      <c r="H158" s="69"/>
      <c r="I158" s="69"/>
      <c r="J158" s="69"/>
      <c r="K158" s="69"/>
      <c r="L158" s="69"/>
      <c r="M158" s="69"/>
      <c r="N158" s="69"/>
      <c r="O158" s="69"/>
      <c r="P158" s="69"/>
      <c r="Q158" s="69"/>
      <c r="R158" s="69"/>
      <c r="S158" s="100"/>
    </row>
    <row r="159" spans="1:19" x14ac:dyDescent="0.35">
      <c r="A159" s="99"/>
      <c r="B159" s="69"/>
      <c r="C159" s="69"/>
      <c r="D159" s="69"/>
      <c r="E159" s="69"/>
      <c r="F159" s="69"/>
      <c r="G159" s="69"/>
      <c r="H159" s="69"/>
      <c r="I159" s="69"/>
      <c r="J159" s="69"/>
      <c r="K159" s="69"/>
      <c r="L159" s="69"/>
      <c r="M159" s="69"/>
      <c r="N159" s="69"/>
      <c r="O159" s="69"/>
      <c r="P159" s="69"/>
      <c r="Q159" s="69"/>
      <c r="R159" s="69"/>
      <c r="S159" s="100"/>
    </row>
    <row r="160" spans="1:19" x14ac:dyDescent="0.35">
      <c r="A160" s="99"/>
      <c r="B160" s="3181" t="s">
        <v>2625</v>
      </c>
      <c r="C160" s="3181"/>
      <c r="D160" s="3181"/>
      <c r="E160" s="3181"/>
      <c r="F160" s="3181"/>
      <c r="G160" s="3181"/>
      <c r="H160" s="3181"/>
      <c r="I160" s="3181"/>
      <c r="J160" s="3181"/>
      <c r="K160" s="69"/>
      <c r="L160" s="69"/>
      <c r="M160" s="69"/>
      <c r="N160" s="69"/>
      <c r="O160" s="69"/>
      <c r="P160" s="69"/>
      <c r="Q160" s="69"/>
      <c r="R160" s="69"/>
      <c r="S160" s="100"/>
    </row>
    <row r="161" spans="1:19" ht="15" thickBot="1" x14ac:dyDescent="0.4">
      <c r="A161" s="99"/>
      <c r="B161" s="770" t="s">
        <v>2626</v>
      </c>
      <c r="C161" s="770" t="s">
        <v>1360</v>
      </c>
      <c r="D161" s="771"/>
      <c r="E161" s="3182" t="s">
        <v>2155</v>
      </c>
      <c r="F161" s="3183"/>
      <c r="G161" s="3183"/>
      <c r="H161" s="3183"/>
      <c r="I161" s="3183"/>
      <c r="J161" s="3184"/>
      <c r="K161" s="69"/>
      <c r="L161" s="69"/>
      <c r="M161" s="69"/>
      <c r="N161" s="69"/>
      <c r="O161" s="69"/>
      <c r="P161" s="69"/>
      <c r="Q161" s="69"/>
      <c r="R161" s="69"/>
      <c r="S161" s="100"/>
    </row>
    <row r="162" spans="1:19" ht="31.5" customHeight="1" thickBot="1" x14ac:dyDescent="0.4">
      <c r="A162" s="99"/>
      <c r="B162" s="772"/>
      <c r="C162" s="772"/>
      <c r="D162" s="773"/>
      <c r="E162" s="773" t="s">
        <v>2479</v>
      </c>
      <c r="F162" s="773" t="s">
        <v>2480</v>
      </c>
      <c r="G162" s="773" t="s">
        <v>2481</v>
      </c>
      <c r="H162" s="773" t="s">
        <v>2627</v>
      </c>
      <c r="I162" s="773" t="s">
        <v>2483</v>
      </c>
      <c r="J162" s="774" t="s">
        <v>2623</v>
      </c>
      <c r="K162" s="69"/>
      <c r="L162" s="69"/>
      <c r="M162" s="69"/>
      <c r="N162" s="69"/>
      <c r="O162" s="69"/>
      <c r="P162" s="69"/>
      <c r="Q162" s="69"/>
      <c r="R162" s="69"/>
      <c r="S162" s="100"/>
    </row>
    <row r="163" spans="1:19" ht="39.5" thickBot="1" x14ac:dyDescent="0.4">
      <c r="A163" s="99"/>
      <c r="B163" s="775" t="s">
        <v>2628</v>
      </c>
      <c r="C163" s="776" t="s">
        <v>1460</v>
      </c>
      <c r="D163" s="776" t="str">
        <f>B163&amp;C163</f>
        <v>Space Heating - Recirculation - Heating Season onlyNA</v>
      </c>
      <c r="E163" s="777">
        <v>5039</v>
      </c>
      <c r="F163" s="777">
        <v>4963</v>
      </c>
      <c r="G163" s="777">
        <v>4495</v>
      </c>
      <c r="H163" s="777">
        <v>4021</v>
      </c>
      <c r="I163" s="777">
        <v>4150</v>
      </c>
      <c r="J163" s="777">
        <f>E163*$J$177+F163*$J$178+G163*$J$179</f>
        <v>4939</v>
      </c>
      <c r="K163" s="69"/>
      <c r="L163" s="69"/>
      <c r="M163" s="69"/>
      <c r="N163" s="69"/>
      <c r="O163" s="69"/>
      <c r="P163" s="69"/>
      <c r="Q163" s="69"/>
      <c r="R163" s="69"/>
      <c r="S163" s="100"/>
    </row>
    <row r="164" spans="1:19" ht="39.5" thickBot="1" x14ac:dyDescent="0.4">
      <c r="A164" s="99"/>
      <c r="B164" s="775" t="s">
        <v>2629</v>
      </c>
      <c r="C164" s="776" t="s">
        <v>1460</v>
      </c>
      <c r="D164" s="776" t="str">
        <f>B164&amp;C164</f>
        <v>Space Heating - Recirculation Year RoundNA</v>
      </c>
      <c r="E164" s="777">
        <v>8766</v>
      </c>
      <c r="F164" s="777">
        <v>8766</v>
      </c>
      <c r="G164" s="777">
        <v>8766</v>
      </c>
      <c r="H164" s="777">
        <v>8766</v>
      </c>
      <c r="I164" s="777">
        <v>8766</v>
      </c>
      <c r="J164" s="777">
        <f>E164*$J$177+F164*$J$178+G164*$J$179</f>
        <v>8766</v>
      </c>
      <c r="K164" s="69"/>
      <c r="L164" s="69"/>
      <c r="M164" s="69"/>
      <c r="N164" s="69"/>
      <c r="O164" s="69"/>
      <c r="P164" s="69"/>
      <c r="Q164" s="69"/>
      <c r="R164" s="69"/>
      <c r="S164" s="100"/>
    </row>
    <row r="165" spans="1:19" ht="15" thickBot="1" x14ac:dyDescent="0.4">
      <c r="A165" s="99"/>
      <c r="B165" s="775" t="s">
        <v>2542</v>
      </c>
      <c r="C165" s="776" t="s">
        <v>1460</v>
      </c>
      <c r="D165" s="776" t="str">
        <f>B165&amp;C165</f>
        <v>Domestic Hot WaterNA</v>
      </c>
      <c r="E165" s="777">
        <v>8766</v>
      </c>
      <c r="F165" s="777">
        <v>8766</v>
      </c>
      <c r="G165" s="777">
        <v>8766</v>
      </c>
      <c r="H165" s="777">
        <v>8766</v>
      </c>
      <c r="I165" s="777">
        <v>8766</v>
      </c>
      <c r="J165" s="777">
        <f>E165*$J$177+F165*$J$178+G165*$J$179</f>
        <v>8766</v>
      </c>
      <c r="K165" s="69"/>
      <c r="L165" s="69"/>
      <c r="M165" s="69"/>
      <c r="N165" s="69"/>
      <c r="O165" s="69"/>
      <c r="P165" s="69"/>
      <c r="Q165" s="69"/>
      <c r="R165" s="69"/>
      <c r="S165" s="100"/>
    </row>
    <row r="166" spans="1:19" ht="15" thickBot="1" x14ac:dyDescent="0.4">
      <c r="A166" s="99"/>
      <c r="B166" s="778" t="s">
        <v>2545</v>
      </c>
      <c r="C166" s="69"/>
      <c r="D166" s="69"/>
      <c r="E166" s="69"/>
      <c r="F166" s="69"/>
      <c r="G166" s="69"/>
      <c r="H166" s="69"/>
      <c r="I166" s="69"/>
      <c r="J166" s="779">
        <v>7752</v>
      </c>
      <c r="K166" s="69"/>
      <c r="L166" s="69"/>
      <c r="M166" s="69"/>
      <c r="N166" s="69"/>
      <c r="O166" s="69"/>
      <c r="P166" s="69"/>
      <c r="Q166" s="69"/>
      <c r="R166" s="69"/>
      <c r="S166" s="100"/>
    </row>
    <row r="167" spans="1:19" x14ac:dyDescent="0.35">
      <c r="A167" s="99"/>
      <c r="B167" s="69"/>
      <c r="C167" s="69"/>
      <c r="D167" s="69"/>
      <c r="E167" s="69"/>
      <c r="F167" s="69"/>
      <c r="G167" s="69"/>
      <c r="H167" s="69"/>
      <c r="I167" s="3185" t="s">
        <v>2630</v>
      </c>
      <c r="J167" s="3185"/>
      <c r="K167" s="69"/>
      <c r="L167" s="69"/>
      <c r="M167" s="69"/>
      <c r="N167" s="69"/>
      <c r="O167" s="69"/>
      <c r="P167" s="69"/>
      <c r="Q167" s="69"/>
      <c r="R167" s="69"/>
      <c r="S167" s="100"/>
    </row>
    <row r="168" spans="1:19" x14ac:dyDescent="0.35">
      <c r="A168" s="99"/>
      <c r="B168" s="69"/>
      <c r="C168" s="69"/>
      <c r="D168" s="69"/>
      <c r="E168" s="69"/>
      <c r="F168" s="69"/>
      <c r="G168" s="69"/>
      <c r="H168" s="69"/>
      <c r="I168" s="49" t="s">
        <v>1705</v>
      </c>
      <c r="J168" s="780">
        <v>5039</v>
      </c>
      <c r="K168" s="69"/>
      <c r="L168" s="69"/>
      <c r="M168" s="69"/>
      <c r="N168" s="69"/>
      <c r="O168" s="69"/>
      <c r="P168" s="69"/>
      <c r="Q168" s="69"/>
      <c r="R168" s="69"/>
      <c r="S168" s="100"/>
    </row>
    <row r="169" spans="1:19" x14ac:dyDescent="0.35">
      <c r="A169" s="99"/>
      <c r="B169" s="69"/>
      <c r="C169" s="69"/>
      <c r="D169" s="69"/>
      <c r="E169" s="69"/>
      <c r="F169" s="69"/>
      <c r="G169" s="69"/>
      <c r="H169" s="69"/>
      <c r="I169" s="49" t="s">
        <v>1691</v>
      </c>
      <c r="J169" s="780">
        <v>4963</v>
      </c>
      <c r="K169" s="69"/>
      <c r="L169" s="69"/>
      <c r="M169" s="69"/>
      <c r="N169" s="69"/>
      <c r="O169" s="69"/>
      <c r="P169" s="69"/>
      <c r="Q169" s="69"/>
      <c r="R169" s="69"/>
      <c r="S169" s="100"/>
    </row>
    <row r="170" spans="1:19" x14ac:dyDescent="0.35">
      <c r="A170" s="99"/>
      <c r="B170" s="69"/>
      <c r="C170" s="69"/>
      <c r="D170" s="69"/>
      <c r="E170" s="69"/>
      <c r="F170" s="69"/>
      <c r="G170" s="69"/>
      <c r="H170" s="69"/>
      <c r="I170" s="49" t="s">
        <v>1706</v>
      </c>
      <c r="J170" s="780">
        <v>4495</v>
      </c>
      <c r="K170" s="69"/>
      <c r="L170" s="69"/>
      <c r="M170" s="69"/>
      <c r="N170" s="69"/>
      <c r="O170" s="69"/>
      <c r="P170" s="69"/>
      <c r="Q170" s="69"/>
      <c r="R170" s="69"/>
      <c r="S170" s="100"/>
    </row>
    <row r="171" spans="1:19" x14ac:dyDescent="0.35">
      <c r="A171" s="99"/>
      <c r="B171" s="69"/>
      <c r="C171" s="69"/>
      <c r="D171" s="69"/>
      <c r="E171" s="69"/>
      <c r="F171" s="69"/>
      <c r="G171" s="69"/>
      <c r="H171" s="69"/>
      <c r="I171" s="49" t="s">
        <v>1707</v>
      </c>
      <c r="J171" s="780">
        <v>4021</v>
      </c>
      <c r="K171" s="69"/>
      <c r="L171" s="69"/>
      <c r="M171" s="69"/>
      <c r="N171" s="69"/>
      <c r="O171" s="69"/>
      <c r="P171" s="69"/>
      <c r="Q171" s="69"/>
      <c r="R171" s="69"/>
      <c r="S171" s="100"/>
    </row>
    <row r="172" spans="1:19" x14ac:dyDescent="0.35">
      <c r="A172" s="99"/>
      <c r="B172" s="69"/>
      <c r="C172" s="69"/>
      <c r="D172" s="69"/>
      <c r="E172" s="69"/>
      <c r="F172" s="69"/>
      <c r="G172" s="69"/>
      <c r="H172" s="69"/>
      <c r="I172" s="49" t="s">
        <v>1708</v>
      </c>
      <c r="J172" s="780">
        <v>4150</v>
      </c>
      <c r="K172" s="69"/>
      <c r="L172" s="69"/>
      <c r="M172" s="69"/>
      <c r="N172" s="69"/>
      <c r="O172" s="69"/>
      <c r="P172" s="69"/>
      <c r="Q172" s="69"/>
      <c r="R172" s="69"/>
      <c r="S172" s="100"/>
    </row>
    <row r="173" spans="1:19" x14ac:dyDescent="0.35">
      <c r="A173" s="99"/>
      <c r="B173" s="69"/>
      <c r="C173" s="69"/>
      <c r="D173" s="69"/>
      <c r="E173" s="69"/>
      <c r="F173" s="69"/>
      <c r="G173" s="69"/>
      <c r="H173" s="69"/>
      <c r="I173" s="49" t="s">
        <v>1696</v>
      </c>
      <c r="J173" s="780">
        <f>J168*$J$177+J169*$J$178+J170*$J$179</f>
        <v>4939</v>
      </c>
      <c r="K173" s="69"/>
      <c r="L173" s="69"/>
      <c r="M173" s="69"/>
      <c r="N173" s="69"/>
      <c r="O173" s="69"/>
      <c r="P173" s="69"/>
      <c r="Q173" s="69"/>
      <c r="R173" s="69"/>
      <c r="S173" s="100"/>
    </row>
    <row r="174" spans="1:19" x14ac:dyDescent="0.35">
      <c r="A174" s="99"/>
      <c r="B174" s="767" t="s">
        <v>1360</v>
      </c>
      <c r="C174" s="69"/>
      <c r="D174" s="69"/>
      <c r="E174" s="69"/>
      <c r="F174" s="69"/>
      <c r="G174" s="69"/>
      <c r="H174" s="69"/>
      <c r="I174" s="69"/>
      <c r="J174" s="69"/>
      <c r="K174" s="69"/>
      <c r="L174" s="69"/>
      <c r="M174" s="69"/>
      <c r="N174" s="69"/>
      <c r="O174" s="69"/>
      <c r="P174" s="69"/>
      <c r="Q174" s="69"/>
      <c r="R174" s="69"/>
      <c r="S174" s="100"/>
    </row>
    <row r="175" spans="1:19" x14ac:dyDescent="0.35">
      <c r="A175" s="99"/>
      <c r="B175" s="49" t="s">
        <v>2384</v>
      </c>
      <c r="C175" s="69"/>
      <c r="D175" s="69"/>
      <c r="E175" s="69"/>
      <c r="F175" s="69"/>
      <c r="G175" s="69"/>
      <c r="H175" s="69"/>
      <c r="I175" s="69"/>
      <c r="J175" s="69"/>
      <c r="K175" s="69"/>
      <c r="L175" s="69"/>
      <c r="M175" s="69"/>
      <c r="N175" s="69"/>
      <c r="O175" s="69"/>
      <c r="P175" s="69"/>
      <c r="Q175" s="69"/>
      <c r="R175" s="69"/>
      <c r="S175" s="100"/>
    </row>
    <row r="176" spans="1:19" x14ac:dyDescent="0.35">
      <c r="A176" s="99"/>
      <c r="B176" s="49" t="s">
        <v>2386</v>
      </c>
      <c r="C176" s="69"/>
      <c r="D176" s="69"/>
      <c r="E176" s="69"/>
      <c r="F176" s="69"/>
      <c r="G176" s="69"/>
      <c r="H176" s="3141" t="s">
        <v>2631</v>
      </c>
      <c r="I176" s="3142"/>
      <c r="J176" s="3143"/>
      <c r="K176" s="69"/>
      <c r="L176" s="69"/>
      <c r="M176" s="69"/>
      <c r="N176" s="69"/>
      <c r="O176" s="69"/>
      <c r="P176" s="69"/>
      <c r="Q176" s="69"/>
      <c r="R176" s="69"/>
      <c r="S176" s="100"/>
    </row>
    <row r="177" spans="1:19" x14ac:dyDescent="0.35">
      <c r="A177" s="99"/>
      <c r="B177" s="49" t="s">
        <v>2388</v>
      </c>
      <c r="C177" s="69"/>
      <c r="D177" s="69"/>
      <c r="E177" s="69"/>
      <c r="F177" s="69"/>
      <c r="G177" s="69"/>
      <c r="H177" s="49" t="s">
        <v>1705</v>
      </c>
      <c r="I177" s="49" t="s">
        <v>2632</v>
      </c>
      <c r="J177" s="291">
        <v>0.3</v>
      </c>
      <c r="K177" s="69"/>
      <c r="L177" s="69"/>
      <c r="M177" s="69"/>
      <c r="N177" s="69"/>
      <c r="O177" s="69"/>
      <c r="P177" s="69"/>
      <c r="Q177" s="69"/>
      <c r="R177" s="69"/>
      <c r="S177" s="100"/>
    </row>
    <row r="178" spans="1:19" x14ac:dyDescent="0.35">
      <c r="A178" s="99"/>
      <c r="B178" s="49" t="s">
        <v>1850</v>
      </c>
      <c r="C178" s="69"/>
      <c r="D178" s="69"/>
      <c r="E178" s="69"/>
      <c r="F178" s="69"/>
      <c r="G178" s="69"/>
      <c r="H178" s="49" t="s">
        <v>1691</v>
      </c>
      <c r="I178" s="49" t="s">
        <v>2633</v>
      </c>
      <c r="J178" s="291">
        <v>0.6</v>
      </c>
      <c r="K178" s="69"/>
      <c r="L178" s="69"/>
      <c r="M178" s="69"/>
      <c r="N178" s="69"/>
      <c r="O178" s="69"/>
      <c r="P178" s="69"/>
      <c r="Q178" s="69"/>
      <c r="R178" s="69"/>
      <c r="S178" s="100"/>
    </row>
    <row r="179" spans="1:19" x14ac:dyDescent="0.35">
      <c r="A179" s="99"/>
      <c r="B179" s="49" t="s">
        <v>2391</v>
      </c>
      <c r="C179" s="69"/>
      <c r="D179" s="69"/>
      <c r="E179" s="69"/>
      <c r="F179" s="69"/>
      <c r="G179" s="69"/>
      <c r="H179" s="49" t="s">
        <v>1706</v>
      </c>
      <c r="I179" s="49" t="s">
        <v>2634</v>
      </c>
      <c r="J179" s="291">
        <v>0.1</v>
      </c>
      <c r="K179" s="69"/>
      <c r="L179" s="69"/>
      <c r="M179" s="69"/>
      <c r="N179" s="69"/>
      <c r="O179" s="69"/>
      <c r="P179" s="69"/>
      <c r="Q179" s="69"/>
      <c r="R179" s="69"/>
      <c r="S179" s="100"/>
    </row>
    <row r="180" spans="1:19" x14ac:dyDescent="0.35">
      <c r="A180" s="99"/>
      <c r="B180" s="49" t="s">
        <v>2392</v>
      </c>
      <c r="C180" s="69"/>
      <c r="D180" s="69"/>
      <c r="E180" s="69"/>
      <c r="F180" s="69"/>
      <c r="G180" s="69"/>
      <c r="H180" s="69"/>
      <c r="I180" s="69"/>
      <c r="J180" s="69"/>
      <c r="K180" s="69"/>
      <c r="L180" s="69"/>
      <c r="M180" s="69"/>
      <c r="N180" s="69"/>
      <c r="O180" s="69"/>
      <c r="P180" s="69"/>
      <c r="Q180" s="69"/>
      <c r="R180" s="69"/>
      <c r="S180" s="100"/>
    </row>
    <row r="181" spans="1:19" x14ac:dyDescent="0.35">
      <c r="A181" s="99"/>
      <c r="B181" s="49" t="s">
        <v>2635</v>
      </c>
      <c r="C181" s="69"/>
      <c r="D181" s="69"/>
      <c r="E181" s="69"/>
      <c r="F181" s="69"/>
      <c r="G181" s="69"/>
      <c r="H181" s="69"/>
      <c r="I181" s="69"/>
      <c r="J181" s="69"/>
      <c r="K181" s="69"/>
      <c r="L181" s="69"/>
      <c r="M181" s="69"/>
      <c r="N181" s="69"/>
      <c r="O181" s="69"/>
      <c r="P181" s="69"/>
      <c r="Q181" s="69"/>
      <c r="R181" s="69"/>
      <c r="S181" s="100"/>
    </row>
    <row r="182" spans="1:19" x14ac:dyDescent="0.35">
      <c r="A182" s="99"/>
      <c r="B182" s="49" t="s">
        <v>2394</v>
      </c>
      <c r="C182" s="69"/>
      <c r="D182" s="69"/>
      <c r="E182" s="69"/>
      <c r="F182" s="69"/>
      <c r="G182" s="69"/>
      <c r="H182" s="69"/>
      <c r="I182" s="69"/>
      <c r="J182" s="69"/>
      <c r="K182" s="69"/>
      <c r="L182" s="69"/>
      <c r="M182" s="69"/>
      <c r="N182" s="69"/>
      <c r="O182" s="69"/>
      <c r="P182" s="69"/>
      <c r="Q182" s="69"/>
      <c r="R182" s="69"/>
      <c r="S182" s="100"/>
    </row>
    <row r="183" spans="1:19" x14ac:dyDescent="0.35">
      <c r="A183" s="99"/>
      <c r="B183" s="49" t="s">
        <v>2395</v>
      </c>
      <c r="C183" s="69"/>
      <c r="D183" s="69"/>
      <c r="E183" s="69"/>
      <c r="F183" s="69"/>
      <c r="G183" s="69"/>
      <c r="H183" s="69"/>
      <c r="I183" s="69"/>
      <c r="J183" s="69"/>
      <c r="K183" s="69"/>
      <c r="L183" s="69"/>
      <c r="M183" s="69"/>
      <c r="N183" s="69"/>
      <c r="O183" s="69"/>
      <c r="P183" s="69"/>
      <c r="Q183" s="69"/>
      <c r="R183" s="69"/>
      <c r="S183" s="100"/>
    </row>
    <row r="184" spans="1:19" x14ac:dyDescent="0.35">
      <c r="A184" s="99"/>
      <c r="B184" s="49" t="s">
        <v>2396</v>
      </c>
      <c r="C184" s="69"/>
      <c r="D184" s="69"/>
      <c r="E184" s="69"/>
      <c r="F184" s="69"/>
      <c r="G184" s="69"/>
      <c r="H184" s="69"/>
      <c r="I184" s="69"/>
      <c r="J184" s="69"/>
      <c r="K184" s="69"/>
      <c r="L184" s="69"/>
      <c r="M184" s="69"/>
      <c r="N184" s="69"/>
      <c r="O184" s="69"/>
      <c r="P184" s="69"/>
      <c r="Q184" s="69"/>
      <c r="R184" s="69"/>
      <c r="S184" s="100"/>
    </row>
    <row r="185" spans="1:19" x14ac:dyDescent="0.35">
      <c r="A185" s="99"/>
      <c r="B185" s="49" t="s">
        <v>2397</v>
      </c>
      <c r="C185" s="69"/>
      <c r="D185" s="69"/>
      <c r="E185" s="69"/>
      <c r="F185" s="69"/>
      <c r="G185" s="69"/>
      <c r="H185" s="69"/>
      <c r="I185" s="69"/>
      <c r="J185" s="69"/>
      <c r="K185" s="69"/>
      <c r="L185" s="69"/>
      <c r="M185" s="69"/>
      <c r="N185" s="69"/>
      <c r="O185" s="69"/>
      <c r="P185" s="69"/>
      <c r="Q185" s="69"/>
      <c r="R185" s="69"/>
      <c r="S185" s="100"/>
    </row>
    <row r="186" spans="1:19" x14ac:dyDescent="0.35">
      <c r="A186" s="99"/>
      <c r="B186" s="49" t="s">
        <v>1859</v>
      </c>
      <c r="C186" s="69"/>
      <c r="D186" s="69"/>
      <c r="E186" s="69"/>
      <c r="F186" s="69"/>
      <c r="G186" s="69"/>
      <c r="H186" s="69"/>
      <c r="I186" s="69"/>
      <c r="J186" s="69"/>
      <c r="K186" s="69"/>
      <c r="L186" s="69"/>
      <c r="M186" s="69"/>
      <c r="N186" s="69"/>
      <c r="O186" s="69"/>
      <c r="P186" s="69"/>
      <c r="Q186" s="69"/>
      <c r="R186" s="69"/>
      <c r="S186" s="100"/>
    </row>
    <row r="187" spans="1:19" x14ac:dyDescent="0.35">
      <c r="A187" s="99"/>
      <c r="B187" s="49" t="s">
        <v>2398</v>
      </c>
      <c r="C187" s="69"/>
      <c r="D187" s="69"/>
      <c r="E187" s="69"/>
      <c r="F187" s="69"/>
      <c r="G187" s="69"/>
      <c r="H187" s="69"/>
      <c r="I187" s="69"/>
      <c r="J187" s="69"/>
      <c r="K187" s="69"/>
      <c r="L187" s="69"/>
      <c r="M187" s="69"/>
      <c r="N187" s="69"/>
      <c r="O187" s="69"/>
      <c r="P187" s="69"/>
      <c r="Q187" s="69"/>
      <c r="R187" s="69"/>
      <c r="S187" s="100"/>
    </row>
    <row r="188" spans="1:19" x14ac:dyDescent="0.35">
      <c r="A188" s="99"/>
      <c r="B188" s="49" t="s">
        <v>2399</v>
      </c>
      <c r="C188" s="69"/>
      <c r="D188" s="69"/>
      <c r="E188" s="69"/>
      <c r="F188" s="69"/>
      <c r="G188" s="69"/>
      <c r="H188" s="69"/>
      <c r="I188" s="69"/>
      <c r="J188" s="69"/>
      <c r="K188" s="69"/>
      <c r="L188" s="69"/>
      <c r="M188" s="69"/>
      <c r="N188" s="69"/>
      <c r="O188" s="69"/>
      <c r="P188" s="69"/>
      <c r="Q188" s="69"/>
      <c r="R188" s="69"/>
      <c r="S188" s="100"/>
    </row>
    <row r="189" spans="1:19" x14ac:dyDescent="0.35">
      <c r="A189" s="99"/>
      <c r="B189" s="49" t="s">
        <v>2400</v>
      </c>
      <c r="C189" s="69"/>
      <c r="D189" s="69"/>
      <c r="E189" s="69"/>
      <c r="F189" s="69"/>
      <c r="G189" s="69"/>
      <c r="H189" s="69"/>
      <c r="I189" s="69"/>
      <c r="J189" s="69"/>
      <c r="K189" s="69"/>
      <c r="L189" s="69"/>
      <c r="M189" s="69"/>
      <c r="N189" s="69"/>
      <c r="O189" s="69"/>
      <c r="P189" s="69"/>
      <c r="Q189" s="69"/>
      <c r="R189" s="69"/>
      <c r="S189" s="100"/>
    </row>
    <row r="190" spans="1:19" x14ac:dyDescent="0.35">
      <c r="A190" s="99"/>
      <c r="B190" s="49" t="s">
        <v>1862</v>
      </c>
      <c r="C190" s="69"/>
      <c r="D190" s="69"/>
      <c r="E190" s="69"/>
      <c r="F190" s="69"/>
      <c r="G190" s="69"/>
      <c r="H190" s="69"/>
      <c r="I190" s="69"/>
      <c r="J190" s="69"/>
      <c r="K190" s="69"/>
      <c r="L190" s="69"/>
      <c r="M190" s="69"/>
      <c r="N190" s="69"/>
      <c r="O190" s="69"/>
      <c r="P190" s="69"/>
      <c r="Q190" s="69"/>
      <c r="R190" s="69"/>
      <c r="S190" s="100"/>
    </row>
    <row r="191" spans="1:19" ht="15" thickBot="1" x14ac:dyDescent="0.4">
      <c r="A191" s="99"/>
      <c r="B191" s="781" t="s">
        <v>1185</v>
      </c>
      <c r="C191" s="69"/>
      <c r="D191" s="69"/>
      <c r="E191" s="69"/>
      <c r="F191" s="69"/>
      <c r="G191" s="69"/>
      <c r="H191" s="69"/>
      <c r="I191" s="69"/>
      <c r="J191" s="69"/>
      <c r="K191" s="69"/>
      <c r="L191" s="69"/>
      <c r="M191" s="69"/>
      <c r="N191" s="69"/>
      <c r="O191" s="69"/>
      <c r="P191" s="69"/>
      <c r="Q191" s="69"/>
      <c r="R191" s="69"/>
      <c r="S191" s="100"/>
    </row>
    <row r="192" spans="1:19" ht="15" thickTop="1" x14ac:dyDescent="0.35">
      <c r="A192" s="99"/>
      <c r="B192" s="782" t="s">
        <v>1460</v>
      </c>
      <c r="C192" s="69"/>
      <c r="D192" s="69"/>
      <c r="E192" s="69"/>
      <c r="F192" s="69"/>
      <c r="G192" s="69"/>
      <c r="H192" s="69"/>
      <c r="I192" s="69"/>
      <c r="J192" s="69"/>
      <c r="K192" s="69"/>
      <c r="L192" s="69"/>
      <c r="M192" s="69"/>
      <c r="N192" s="69"/>
      <c r="O192" s="69"/>
      <c r="P192" s="69"/>
      <c r="Q192" s="69"/>
      <c r="R192" s="69"/>
      <c r="S192" s="100"/>
    </row>
    <row r="193" spans="1:19" x14ac:dyDescent="0.35">
      <c r="A193" s="99"/>
      <c r="B193" s="69"/>
      <c r="C193" s="69"/>
      <c r="D193" s="69"/>
      <c r="E193" s="69"/>
      <c r="F193" s="69"/>
      <c r="G193" s="69"/>
      <c r="H193" s="69"/>
      <c r="I193" s="69"/>
      <c r="J193" s="69"/>
      <c r="K193" s="69"/>
      <c r="L193" s="69"/>
      <c r="M193" s="69"/>
      <c r="N193" s="69"/>
      <c r="O193" s="69"/>
      <c r="P193" s="69"/>
      <c r="Q193" s="69"/>
      <c r="R193" s="69"/>
      <c r="S193" s="100"/>
    </row>
    <row r="194" spans="1:19" ht="15" thickBot="1" x14ac:dyDescent="0.4">
      <c r="A194" s="261"/>
      <c r="B194" s="161"/>
      <c r="C194" s="161"/>
      <c r="D194" s="161"/>
      <c r="E194" s="161"/>
      <c r="F194" s="161"/>
      <c r="G194" s="161"/>
      <c r="H194" s="161"/>
      <c r="I194" s="161"/>
      <c r="J194" s="161"/>
      <c r="K194" s="161"/>
      <c r="L194" s="161"/>
      <c r="M194" s="161"/>
      <c r="N194" s="161"/>
      <c r="O194" s="161"/>
      <c r="P194" s="161"/>
      <c r="Q194" s="161"/>
      <c r="R194" s="161"/>
      <c r="S194" s="163"/>
    </row>
  </sheetData>
  <dataConsolidate link="1"/>
  <customSheetViews>
    <customSheetView guid="{ECD6FE6A-9548-414E-B8AA-6998703C57E0}" scale="85" showPageBreaks="1" fitToPage="1" view="pageBreakPreview">
      <pageMargins left="0" right="0" top="0" bottom="0" header="0" footer="0"/>
      <pageSetup scale="16" orientation="portrait" r:id="rId1"/>
    </customSheetView>
    <customSheetView guid="{11DE45F5-F478-4ED6-8DFF-12002C22A637}" scale="85" showPageBreaks="1" fitToPage="1" view="pageBreakPreview">
      <pageMargins left="0" right="0" top="0" bottom="0" header="0" footer="0"/>
      <pageSetup scale="16" orientation="portrait" r:id="rId2"/>
    </customSheetView>
  </customSheetViews>
  <mergeCells count="24">
    <mergeCell ref="X2:AC2"/>
    <mergeCell ref="C54:I54"/>
    <mergeCell ref="B67:N67"/>
    <mergeCell ref="C77:H77"/>
    <mergeCell ref="I77:N77"/>
    <mergeCell ref="R2:T2"/>
    <mergeCell ref="U2:W2"/>
    <mergeCell ref="C68:H68"/>
    <mergeCell ref="I68:N68"/>
    <mergeCell ref="P68:Q68"/>
    <mergeCell ref="C69:E69"/>
    <mergeCell ref="B76:N76"/>
    <mergeCell ref="H176:J176"/>
    <mergeCell ref="C78:E78"/>
    <mergeCell ref="A93:G93"/>
    <mergeCell ref="B107:C107"/>
    <mergeCell ref="B114:B116"/>
    <mergeCell ref="C115:C116"/>
    <mergeCell ref="D115:D116"/>
    <mergeCell ref="C123:D123"/>
    <mergeCell ref="B151:C151"/>
    <mergeCell ref="B160:J160"/>
    <mergeCell ref="E161:J161"/>
    <mergeCell ref="I167:J167"/>
  </mergeCells>
  <phoneticPr fontId="152" type="noConversion"/>
  <dataValidations count="10">
    <dataValidation type="list" allowBlank="1" showInputMessage="1" showErrorMessage="1" sqref="K28:L28 I28" xr:uid="{00000000-0002-0000-1C00-000000000000}">
      <formula1>$G$144:$G$149</formula1>
    </dataValidation>
    <dataValidation type="list" allowBlank="1" showInputMessage="1" showErrorMessage="1" sqref="J28 H4:H20 H22:H26" xr:uid="{00000000-0002-0000-1C00-000002000000}">
      <formula1>$B$148:$B$149</formula1>
    </dataValidation>
    <dataValidation type="list" allowBlank="1" showInputMessage="1" showErrorMessage="1" sqref="N28" xr:uid="{00000000-0002-0000-1C00-000003000000}">
      <formula1>$B$136:$B$140</formula1>
    </dataValidation>
    <dataValidation type="list" allowBlank="1" showInputMessage="1" showErrorMessage="1" sqref="G28:H28" xr:uid="{00000000-0002-0000-1C00-000004000000}">
      <formula1>$B$133:$B$134</formula1>
    </dataValidation>
    <dataValidation type="list" allowBlank="1" showInputMessage="1" showErrorMessage="1" sqref="M28" xr:uid="{00000000-0002-0000-1C00-000006000000}">
      <formula1>IF(COUNTIF(System1, K28) = 1, INDIRECT($H$41), INDIRECT($H$42))</formula1>
    </dataValidation>
    <dataValidation type="list" allowBlank="1" showInputMessage="1" showErrorMessage="1" sqref="I4:I27" xr:uid="{00000000-0002-0000-1C00-000001000000}">
      <formula1>$C$152:$C$154</formula1>
    </dataValidation>
    <dataValidation type="list" allowBlank="1" showInputMessage="1" showErrorMessage="1" sqref="D4:D27" xr:uid="{00000000-0002-0000-1C00-000005000000}">
      <formula1>MeasureType</formula1>
    </dataValidation>
    <dataValidation type="list" allowBlank="1" showInputMessage="1" showErrorMessage="1" sqref="E4:E28" xr:uid="{00000000-0002-0000-1C00-000009000000}">
      <formula1>$B$145:$B$146</formula1>
    </dataValidation>
    <dataValidation type="list" allowBlank="1" showInputMessage="1" showErrorMessage="1" sqref="J4:J27" xr:uid="{00000000-0002-0000-1C00-000007000000}">
      <formula1>IF(I4=$C$152,$B$86,$B$86:$B$89)</formula1>
    </dataValidation>
    <dataValidation type="list" allowBlank="1" showInputMessage="1" showErrorMessage="1" sqref="L4:L27" xr:uid="{00000000-0002-0000-1C00-000008000000}">
      <formula1>IF(I4=$C$152,$B$74,$B$152:$B$154)</formula1>
    </dataValidation>
  </dataValidations>
  <hyperlinks>
    <hyperlink ref="A1" location="'Measure-Level Adjustments'!Print_Titles" display="Measure Level Tab" xr:uid="{BC2CF109-1B82-402F-99D3-48387463317D}"/>
  </hyperlinks>
  <pageMargins left="0.7" right="0.7" top="0.75" bottom="0.75" header="0.3" footer="0.3"/>
  <pageSetup scale="17" orientation="portrait"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A000000}">
          <x14:formula1>
            <xm:f>'T:\EEP Planning Models\Planning Tools\Measure_Data\Custom TRM EEP 3\[HIM_CI_TRMv5 0.xlsx]List'!#REF!</xm:f>
          </x14:formula1>
          <xm:sqref>M4:N27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X175"/>
  <sheetViews>
    <sheetView view="pageBreakPreview" topLeftCell="A49" zoomScale="85" zoomScaleNormal="100" zoomScaleSheetLayoutView="85" workbookViewId="0">
      <selection activeCell="B63" sqref="B63:B73"/>
    </sheetView>
  </sheetViews>
  <sheetFormatPr defaultRowHeight="14.5" x14ac:dyDescent="0.35"/>
  <cols>
    <col min="1" max="1" width="10.7265625" customWidth="1"/>
    <col min="2" max="2" width="50.54296875" bestFit="1" customWidth="1"/>
    <col min="3" max="3" width="22.7265625" bestFit="1" customWidth="1"/>
    <col min="4" max="4" width="21.453125" bestFit="1" customWidth="1"/>
    <col min="5" max="5" width="8.7265625" customWidth="1"/>
    <col min="6" max="6" width="19.81640625" bestFit="1" customWidth="1"/>
    <col min="7" max="7" width="15.7265625" customWidth="1"/>
    <col min="8" max="8" width="9.453125" customWidth="1"/>
    <col min="9" max="9" width="25.54296875" customWidth="1"/>
    <col min="10" max="10" width="23.453125" bestFit="1" customWidth="1"/>
    <col min="11" max="11" width="31.26953125" bestFit="1" customWidth="1"/>
    <col min="12" max="12" width="31.26953125" customWidth="1"/>
    <col min="13" max="13" width="10.453125" bestFit="1" customWidth="1"/>
    <col min="14" max="14" width="18.7265625" customWidth="1"/>
    <col min="15" max="15" width="10.7265625" customWidth="1"/>
    <col min="16" max="16" width="14.7265625" customWidth="1"/>
    <col min="17" max="17" width="13.453125" customWidth="1"/>
    <col min="18" max="18" width="10" customWidth="1"/>
    <col min="20" max="20" width="19.81640625" customWidth="1"/>
    <col min="21" max="21" width="11.26953125" customWidth="1"/>
    <col min="23" max="23" width="12" bestFit="1" customWidth="1"/>
    <col min="27" max="27" width="15" customWidth="1"/>
  </cols>
  <sheetData>
    <row r="1" spans="1:24" x14ac:dyDescent="0.35">
      <c r="A1" s="1799" t="s">
        <v>1031</v>
      </c>
    </row>
    <row r="2" spans="1:24" x14ac:dyDescent="0.35">
      <c r="A2" s="1428" t="s">
        <v>519</v>
      </c>
      <c r="B2" s="993" t="s">
        <v>2636</v>
      </c>
      <c r="C2" s="997"/>
      <c r="D2" s="997"/>
      <c r="E2" s="948"/>
      <c r="F2" s="998"/>
      <c r="G2" s="998"/>
      <c r="H2" s="998"/>
      <c r="I2" s="998"/>
      <c r="J2" s="998"/>
      <c r="K2" s="998"/>
      <c r="L2" s="998"/>
      <c r="M2" s="998"/>
      <c r="N2" s="998"/>
      <c r="O2" s="998"/>
      <c r="P2" s="3067" t="s">
        <v>1032</v>
      </c>
      <c r="Q2" s="3067"/>
      <c r="R2" s="3067"/>
      <c r="S2" s="3067" t="s">
        <v>1033</v>
      </c>
      <c r="T2" s="3067"/>
      <c r="U2" s="3010"/>
      <c r="V2" s="3163" t="s">
        <v>1158</v>
      </c>
      <c r="W2" s="3163"/>
      <c r="X2" s="3163"/>
    </row>
    <row r="3" spans="1:24" ht="43.5" x14ac:dyDescent="0.35">
      <c r="A3" s="969"/>
      <c r="B3" s="953" t="s">
        <v>2522</v>
      </c>
      <c r="C3" s="953" t="s">
        <v>1036</v>
      </c>
      <c r="D3" s="953" t="s">
        <v>1037</v>
      </c>
      <c r="E3" s="998" t="s">
        <v>1038</v>
      </c>
      <c r="F3" s="998" t="s">
        <v>2523</v>
      </c>
      <c r="G3" s="998" t="s">
        <v>2637</v>
      </c>
      <c r="H3" s="998" t="s">
        <v>1480</v>
      </c>
      <c r="I3" s="998" t="s">
        <v>2525</v>
      </c>
      <c r="J3" s="998" t="s">
        <v>2638</v>
      </c>
      <c r="K3" s="998" t="s">
        <v>1360</v>
      </c>
      <c r="L3" s="998" t="s">
        <v>2529</v>
      </c>
      <c r="M3" s="998" t="s">
        <v>2530</v>
      </c>
      <c r="N3" s="998" t="s">
        <v>1041</v>
      </c>
      <c r="O3" s="998" t="s">
        <v>1630</v>
      </c>
      <c r="P3" s="998" t="s">
        <v>1044</v>
      </c>
      <c r="Q3" s="998" t="s">
        <v>1045</v>
      </c>
      <c r="R3" s="998" t="s">
        <v>1046</v>
      </c>
      <c r="S3" s="998" t="s">
        <v>1044</v>
      </c>
      <c r="T3" s="998" t="s">
        <v>1045</v>
      </c>
      <c r="U3" s="999" t="s">
        <v>1046</v>
      </c>
      <c r="V3" s="716" t="s">
        <v>2155</v>
      </c>
      <c r="W3" s="716" t="s">
        <v>2535</v>
      </c>
      <c r="X3" s="716" t="s">
        <v>2153</v>
      </c>
    </row>
    <row r="4" spans="1:24" ht="29" x14ac:dyDescent="0.35">
      <c r="A4" s="955" t="s">
        <v>518</v>
      </c>
      <c r="B4" s="955" t="str">
        <f>$B$2&amp;", "&amp;G4&amp;", "&amp;H4&amp;" "&amp;I4&amp;", "&amp;J4</f>
        <v>Small Pipe Insulation, 1/2", Indoor Space Heating, Recirculation - Heating Season only</v>
      </c>
      <c r="C4" s="972" t="s">
        <v>517</v>
      </c>
      <c r="D4" s="957" t="s">
        <v>2536</v>
      </c>
      <c r="E4" s="69" t="s">
        <v>1583</v>
      </c>
      <c r="F4" s="1000">
        <f>+$B$28</f>
        <v>15</v>
      </c>
      <c r="G4" s="1021" t="s">
        <v>2617</v>
      </c>
      <c r="H4" s="973" t="s">
        <v>2025</v>
      </c>
      <c r="I4" s="972" t="s">
        <v>2537</v>
      </c>
      <c r="J4" s="972" t="s">
        <v>2539</v>
      </c>
      <c r="K4" s="69" t="s">
        <v>2639</v>
      </c>
      <c r="L4" s="69" t="s">
        <v>1696</v>
      </c>
      <c r="M4" s="994">
        <v>1</v>
      </c>
      <c r="N4" s="1000" t="s">
        <v>1284</v>
      </c>
      <c r="O4" s="1030"/>
      <c r="P4" s="1003"/>
      <c r="Q4" s="1004"/>
      <c r="R4" s="1003">
        <f>W4*(IF(G4=$H$56,VLOOKUP(K4,$C$84:$I$120,X4,FALSE),IF(G4=$H$57,VLOOKUP(K4,$C$128:$I$164,X4,FALSE))))</f>
        <v>0.11928799999999999</v>
      </c>
      <c r="S4" s="1003"/>
      <c r="T4" s="1003"/>
      <c r="U4" s="1019">
        <f>R4*F4</f>
        <v>1.7893199999999998</v>
      </c>
      <c r="V4" s="49">
        <f>IF(OR(J4=$H$53,J4=$H$54),8766,IF(J4=$H$52,VLOOKUP(L4,$E$38:$F$43,2),IF(J4=$H$51,VLOOKUP(K4,List!$B$7:$H$44,X4))))</f>
        <v>4939</v>
      </c>
      <c r="W4" s="49">
        <f>IF(H4=$B$63,$D$63,VLOOKUP(I4,$B$77:$C$79, 2, FALSE))</f>
        <v>0.37</v>
      </c>
      <c r="X4" s="49">
        <f>VLOOKUP(L4,$J$83:$K$88,2)</f>
        <v>7</v>
      </c>
    </row>
    <row r="5" spans="1:24" ht="29" x14ac:dyDescent="0.35">
      <c r="A5" s="955" t="s">
        <v>522</v>
      </c>
      <c r="B5" s="955" t="str">
        <f>$B$2&amp;", "&amp;G5&amp;", "&amp;H5&amp;" "&amp;I5&amp;", "&amp;J5</f>
        <v>Small Pipe Insulation, 3/4", Indoor Space Heating, Recirculation - Heating Season only</v>
      </c>
      <c r="C5" s="972" t="s">
        <v>521</v>
      </c>
      <c r="D5" s="957" t="s">
        <v>2536</v>
      </c>
      <c r="E5" s="69" t="s">
        <v>1583</v>
      </c>
      <c r="F5" s="1000">
        <f>+$B$28</f>
        <v>15</v>
      </c>
      <c r="G5" s="1021" t="s">
        <v>2618</v>
      </c>
      <c r="H5" s="973" t="s">
        <v>2025</v>
      </c>
      <c r="I5" s="972" t="s">
        <v>2537</v>
      </c>
      <c r="J5" s="972" t="s">
        <v>2539</v>
      </c>
      <c r="K5" s="69" t="s">
        <v>2639</v>
      </c>
      <c r="L5" s="69" t="s">
        <v>1696</v>
      </c>
      <c r="M5" s="994">
        <v>1</v>
      </c>
      <c r="N5" s="1000" t="s">
        <v>1284</v>
      </c>
      <c r="O5" s="1030"/>
      <c r="P5" s="1003"/>
      <c r="Q5" s="1004"/>
      <c r="R5" s="1003">
        <f>W5*(IF(G5=$H$56,VLOOKUP(K5,$C$84:$I$120,X5,FALSE),IF(G5=$H$57,VLOOKUP(K5,$C$128:$I$164,X5,FALSE))))</f>
        <v>0.14470700000000003</v>
      </c>
      <c r="S5" s="1003"/>
      <c r="T5" s="1003"/>
      <c r="U5" s="1019">
        <f>R5*F5</f>
        <v>2.1706050000000006</v>
      </c>
      <c r="V5" s="49">
        <f>IF(OR(J5=$H$53,J5=$H$54),8766,IF(J5=$H$52,VLOOKUP(L5,$E$38:$F$43,2),IF(J5=$H$51,VLOOKUP(K5,List!$B$7:$H$44,X5))))</f>
        <v>4939</v>
      </c>
      <c r="W5" s="49">
        <f>IF(H5=$B$63,$D$63,VLOOKUP(I5,$B$77:$C$79, 2, FALSE))</f>
        <v>0.37</v>
      </c>
      <c r="X5" s="49">
        <f>VLOOKUP(L5,$J$83:$K$88,2)</f>
        <v>7</v>
      </c>
    </row>
    <row r="6" spans="1:24" ht="29" x14ac:dyDescent="0.35">
      <c r="A6" s="955" t="s">
        <v>524</v>
      </c>
      <c r="B6" s="955" t="str">
        <f>$B$2&amp;", "&amp;G6&amp;", "&amp;H6&amp;" "&amp;I6&amp;", "&amp;J6</f>
        <v>Small Pipe Insulation, 1/2", Indoor Domestic Hot Water, DHW Circulation Loop</v>
      </c>
      <c r="C6" s="972" t="s">
        <v>523</v>
      </c>
      <c r="D6" s="957" t="s">
        <v>2536</v>
      </c>
      <c r="E6" s="69" t="s">
        <v>1583</v>
      </c>
      <c r="F6" s="1000">
        <f>+$B$28</f>
        <v>15</v>
      </c>
      <c r="G6" s="1021" t="s">
        <v>2617</v>
      </c>
      <c r="H6" s="973" t="s">
        <v>2025</v>
      </c>
      <c r="I6" s="972" t="s">
        <v>2542</v>
      </c>
      <c r="J6" s="972" t="s">
        <v>2543</v>
      </c>
      <c r="K6" s="69" t="s">
        <v>2640</v>
      </c>
      <c r="L6" s="69" t="s">
        <v>1696</v>
      </c>
      <c r="M6" s="994">
        <v>1</v>
      </c>
      <c r="N6" s="1000" t="s">
        <v>1284</v>
      </c>
      <c r="O6" s="1030"/>
      <c r="P6" s="1003"/>
      <c r="Q6" s="1004"/>
      <c r="R6" s="1003">
        <f>W6*(IF(G6=$H$56,VLOOKUP(K6,$C$84:$I$120,X6,FALSE),IF(G6=$H$57,VLOOKUP(K6,$C$128:$I$164,X6,FALSE))))</f>
        <v>0.23165999999999998</v>
      </c>
      <c r="S6" s="1003"/>
      <c r="T6" s="1003"/>
      <c r="U6" s="1019">
        <f>R6*F6</f>
        <v>3.4748999999999999</v>
      </c>
      <c r="V6" s="49">
        <f>IF(OR(J6=$H$53,J6=$H$54),8766,IF(J6=$H$52,VLOOKUP(L6,$E$38:$F$43,2),IF(J6=$H$51,VLOOKUP(K6,List!$B$7:$H$44,X6))))</f>
        <v>8766</v>
      </c>
      <c r="W6" s="49">
        <f>IF(H6=$B$63,$D$63,VLOOKUP(I6,$B$77:$C$79, 2, FALSE))</f>
        <v>0.40499999999999997</v>
      </c>
      <c r="X6" s="49">
        <f>VLOOKUP(L6,$J$83:$K$88,2)</f>
        <v>7</v>
      </c>
    </row>
    <row r="7" spans="1:24" ht="29" x14ac:dyDescent="0.35">
      <c r="A7" s="955" t="s">
        <v>526</v>
      </c>
      <c r="B7" s="955" t="str">
        <f>$B$2&amp;", "&amp;G7&amp;", "&amp;H7&amp;" "&amp;I7&amp;", "&amp;J7</f>
        <v>Small Pipe Insulation, 3/4", Indoor Domestic Hot Water, DHW Circulation Loop</v>
      </c>
      <c r="C7" s="972" t="s">
        <v>525</v>
      </c>
      <c r="D7" s="957" t="s">
        <v>2536</v>
      </c>
      <c r="E7" s="69" t="s">
        <v>1583</v>
      </c>
      <c r="F7" s="1000">
        <f>+$B$28</f>
        <v>15</v>
      </c>
      <c r="G7" s="1021" t="s">
        <v>2618</v>
      </c>
      <c r="H7" s="973" t="s">
        <v>2025</v>
      </c>
      <c r="I7" s="972" t="s">
        <v>2542</v>
      </c>
      <c r="J7" s="972" t="s">
        <v>2543</v>
      </c>
      <c r="K7" s="69" t="s">
        <v>2640</v>
      </c>
      <c r="L7" s="69" t="s">
        <v>1696</v>
      </c>
      <c r="M7" s="994">
        <v>1</v>
      </c>
      <c r="N7" s="1000" t="s">
        <v>1284</v>
      </c>
      <c r="O7" s="1030"/>
      <c r="P7" s="1003"/>
      <c r="Q7" s="1004"/>
      <c r="R7" s="1003">
        <f>W7*(IF(G7=$H$56,VLOOKUP(K7,$C$84:$I$120,X7,FALSE),IF(G7=$H$57,VLOOKUP(K7,$C$128:$I$164,X7,FALSE))))</f>
        <v>0.28106999999999999</v>
      </c>
      <c r="S7" s="1003"/>
      <c r="T7" s="1003"/>
      <c r="U7" s="1019">
        <f>R7*F7</f>
        <v>4.2160500000000001</v>
      </c>
      <c r="V7" s="49">
        <f>IF(OR(J7=$H$53,J7=$H$54),8766,IF(J7=$H$52,VLOOKUP(L7,$E$38:$F$43,2),IF(J7=$H$51,VLOOKUP(K7,List!$B$7:$H$44,X7))))</f>
        <v>8766</v>
      </c>
      <c r="W7" s="49">
        <f>IF(H7=$B$63,$D$63,VLOOKUP(I7,$B$77:$C$79, 2, FALSE))</f>
        <v>0.40499999999999997</v>
      </c>
      <c r="X7" s="49">
        <f>VLOOKUP(L7,$J$83:$K$88,2)</f>
        <v>7</v>
      </c>
    </row>
    <row r="8" spans="1:24" ht="29" x14ac:dyDescent="0.35">
      <c r="A8" s="955" t="s">
        <v>2641</v>
      </c>
      <c r="B8" s="955" t="s">
        <v>2642</v>
      </c>
      <c r="C8" s="972" t="s">
        <v>2643</v>
      </c>
      <c r="D8" s="957" t="s">
        <v>2536</v>
      </c>
      <c r="E8" s="69" t="s">
        <v>1583</v>
      </c>
      <c r="F8" s="1000">
        <f>+$B$28</f>
        <v>15</v>
      </c>
      <c r="G8" s="1021" t="s">
        <v>1598</v>
      </c>
      <c r="H8" s="973"/>
      <c r="I8" s="972"/>
      <c r="J8" s="972"/>
      <c r="K8" s="69"/>
      <c r="L8" s="69" t="s">
        <v>1696</v>
      </c>
      <c r="M8" s="994">
        <v>1</v>
      </c>
      <c r="N8" s="1000" t="s">
        <v>1284</v>
      </c>
      <c r="O8" s="1030"/>
      <c r="P8" s="1003"/>
      <c r="Q8" s="1004"/>
      <c r="R8" s="1003">
        <f>+AVERAGE(R4:R7)</f>
        <v>0.19418125</v>
      </c>
      <c r="S8" s="1003"/>
      <c r="T8" s="1003"/>
      <c r="U8" s="1019">
        <f>R8*F8</f>
        <v>2.9127187499999998</v>
      </c>
      <c r="V8" t="s">
        <v>2644</v>
      </c>
    </row>
    <row r="10" spans="1:24" ht="15" thickBot="1" x14ac:dyDescent="0.4"/>
    <row r="11" spans="1:24" ht="15" thickBot="1" x14ac:dyDescent="0.4">
      <c r="A11" s="74" t="s">
        <v>1188</v>
      </c>
      <c r="B11" s="335"/>
    </row>
    <row r="12" spans="1:24" x14ac:dyDescent="0.35">
      <c r="A12" s="379" t="s">
        <v>2645</v>
      </c>
      <c r="B12" s="381" t="s">
        <v>2646</v>
      </c>
    </row>
    <row r="13" spans="1:24" ht="15" thickBot="1" x14ac:dyDescent="0.4">
      <c r="A13" s="261" t="s">
        <v>2647</v>
      </c>
      <c r="B13" s="163" t="s">
        <v>2648</v>
      </c>
    </row>
    <row r="14" spans="1:24" ht="15" thickBot="1" x14ac:dyDescent="0.4">
      <c r="A14" s="154" t="s">
        <v>1078</v>
      </c>
      <c r="B14" s="1142">
        <f>'Measure-Level Adjustments'!A2</f>
        <v>44592</v>
      </c>
    </row>
    <row r="15" spans="1:24" ht="15" thickBot="1" x14ac:dyDescent="0.4">
      <c r="A15" s="154" t="s">
        <v>1079</v>
      </c>
      <c r="B15" s="577" t="s">
        <v>520</v>
      </c>
    </row>
    <row r="17" spans="1:9" ht="15" thickBot="1" x14ac:dyDescent="0.4"/>
    <row r="18" spans="1:9" ht="15" thickBot="1" x14ac:dyDescent="0.4">
      <c r="A18" s="74" t="s">
        <v>1285</v>
      </c>
      <c r="B18" s="75" t="s">
        <v>1199</v>
      </c>
      <c r="C18" s="76" t="s">
        <v>1082</v>
      </c>
      <c r="D18" s="64"/>
      <c r="E18" s="64"/>
      <c r="F18" s="64"/>
      <c r="G18" s="64"/>
      <c r="H18" s="64"/>
      <c r="I18" s="65"/>
    </row>
    <row r="19" spans="1:9" x14ac:dyDescent="0.35">
      <c r="A19" s="93" t="s">
        <v>2155</v>
      </c>
      <c r="B19" s="609" t="s">
        <v>2193</v>
      </c>
      <c r="C19" s="80" t="s">
        <v>2566</v>
      </c>
      <c r="D19" s="80"/>
      <c r="E19" s="80"/>
      <c r="F19" s="80"/>
      <c r="G19" s="80"/>
      <c r="H19" s="80"/>
      <c r="I19" s="81"/>
    </row>
    <row r="20" spans="1:9" x14ac:dyDescent="0.35">
      <c r="A20" s="254"/>
      <c r="C20" t="s">
        <v>2649</v>
      </c>
      <c r="I20" s="253"/>
    </row>
    <row r="21" spans="1:9" x14ac:dyDescent="0.35">
      <c r="A21" s="254"/>
      <c r="C21" t="s">
        <v>2650</v>
      </c>
      <c r="I21" s="253"/>
    </row>
    <row r="22" spans="1:9" ht="15" thickBot="1" x14ac:dyDescent="0.4">
      <c r="A22" s="88"/>
      <c r="B22" s="85"/>
      <c r="C22" s="85" t="s">
        <v>2651</v>
      </c>
      <c r="D22" s="85"/>
      <c r="E22" s="85"/>
      <c r="F22" s="85"/>
      <c r="G22" s="85"/>
      <c r="H22" s="85"/>
      <c r="I22" s="86"/>
    </row>
    <row r="23" spans="1:9" x14ac:dyDescent="0.35">
      <c r="A23" s="93" t="s">
        <v>2535</v>
      </c>
      <c r="B23" s="386" t="s">
        <v>2427</v>
      </c>
      <c r="C23" s="80" t="s">
        <v>2575</v>
      </c>
      <c r="D23" s="80"/>
      <c r="E23" s="80"/>
      <c r="F23" s="80"/>
      <c r="G23" s="80"/>
      <c r="H23" s="80"/>
      <c r="I23" s="81"/>
    </row>
    <row r="24" spans="1:9" x14ac:dyDescent="0.35">
      <c r="A24" s="254"/>
      <c r="C24" t="s">
        <v>2576</v>
      </c>
      <c r="E24" s="186"/>
      <c r="I24" s="253"/>
    </row>
    <row r="25" spans="1:9" ht="48" customHeight="1" x14ac:dyDescent="0.35">
      <c r="A25" s="254"/>
      <c r="C25" s="3186" t="s">
        <v>2577</v>
      </c>
      <c r="D25" s="3186"/>
      <c r="E25" s="3186"/>
      <c r="F25" s="3186"/>
      <c r="G25" s="3186"/>
      <c r="H25" s="3186"/>
      <c r="I25" s="3206"/>
    </row>
    <row r="26" spans="1:9" x14ac:dyDescent="0.35">
      <c r="A26" s="254"/>
      <c r="C26" t="s">
        <v>2578</v>
      </c>
      <c r="E26" s="727"/>
      <c r="I26" s="253"/>
    </row>
    <row r="27" spans="1:9" ht="15" thickBot="1" x14ac:dyDescent="0.4">
      <c r="A27" s="88"/>
      <c r="B27" s="85"/>
      <c r="C27" s="85" t="s">
        <v>2579</v>
      </c>
      <c r="D27" s="85"/>
      <c r="E27" s="85"/>
      <c r="F27" s="729"/>
      <c r="G27" s="85"/>
      <c r="H27" s="85"/>
      <c r="I27" s="86"/>
    </row>
    <row r="28" spans="1:9" x14ac:dyDescent="0.35">
      <c r="A28" s="93" t="s">
        <v>1083</v>
      </c>
      <c r="B28" s="80">
        <v>15</v>
      </c>
      <c r="C28" s="80" t="s">
        <v>2580</v>
      </c>
      <c r="D28" s="80"/>
      <c r="E28" s="80"/>
      <c r="F28" s="80"/>
      <c r="G28" s="80"/>
      <c r="H28" s="80"/>
      <c r="I28" s="81"/>
    </row>
    <row r="29" spans="1:9" ht="15" thickBot="1" x14ac:dyDescent="0.4">
      <c r="A29" s="88"/>
      <c r="B29" s="85"/>
      <c r="C29" s="85" t="s">
        <v>1287</v>
      </c>
      <c r="D29" s="85"/>
      <c r="E29" s="85"/>
      <c r="F29" s="85"/>
      <c r="G29" s="85"/>
      <c r="H29" s="85"/>
      <c r="I29" s="86"/>
    </row>
    <row r="30" spans="1:9" x14ac:dyDescent="0.35">
      <c r="A30" s="93" t="s">
        <v>1040</v>
      </c>
      <c r="B30" s="386"/>
      <c r="C30" s="80"/>
      <c r="D30" s="80"/>
      <c r="E30" s="80"/>
      <c r="F30" s="80"/>
      <c r="G30" s="80"/>
      <c r="H30" s="80"/>
      <c r="I30" s="81"/>
    </row>
    <row r="31" spans="1:9" ht="15" thickBot="1" x14ac:dyDescent="0.4">
      <c r="A31" s="88"/>
      <c r="B31" s="85"/>
      <c r="C31" s="85"/>
      <c r="D31" s="85"/>
      <c r="E31" s="85"/>
      <c r="F31" s="85"/>
      <c r="G31" s="85"/>
      <c r="H31" s="85"/>
      <c r="I31" s="86"/>
    </row>
    <row r="33" spans="1:14" ht="15" thickBot="1" x14ac:dyDescent="0.4"/>
    <row r="34" spans="1:14" ht="15" thickBot="1" x14ac:dyDescent="0.4">
      <c r="A34" s="97" t="s">
        <v>1257</v>
      </c>
      <c r="B34" s="64"/>
      <c r="C34" s="383"/>
      <c r="D34" s="383"/>
      <c r="E34" s="383"/>
      <c r="F34" s="383"/>
      <c r="G34" s="383"/>
      <c r="H34" s="383"/>
      <c r="I34" s="383"/>
      <c r="J34" s="383"/>
      <c r="K34" s="383"/>
      <c r="L34" s="383"/>
      <c r="M34" s="383"/>
      <c r="N34" s="384"/>
    </row>
    <row r="35" spans="1:14" x14ac:dyDescent="0.35">
      <c r="A35" s="99"/>
      <c r="B35" s="69"/>
      <c r="C35" s="69"/>
      <c r="D35" s="69"/>
      <c r="E35" s="69"/>
      <c r="F35" s="69"/>
      <c r="G35" s="69"/>
      <c r="H35" s="69"/>
      <c r="I35" s="69"/>
      <c r="J35" s="69"/>
      <c r="K35" s="69"/>
      <c r="L35" s="69"/>
      <c r="M35" s="69"/>
      <c r="N35" s="100"/>
    </row>
    <row r="36" spans="1:14" x14ac:dyDescent="0.35">
      <c r="A36" s="99"/>
      <c r="B36" s="69"/>
      <c r="C36" s="69"/>
      <c r="D36" s="69"/>
      <c r="E36" s="69"/>
      <c r="F36" s="69"/>
      <c r="G36" s="69"/>
      <c r="H36" s="69"/>
      <c r="I36" s="69"/>
      <c r="J36" s="69"/>
      <c r="K36" s="69"/>
      <c r="L36" s="69"/>
      <c r="M36" s="69"/>
      <c r="N36" s="100"/>
    </row>
    <row r="37" spans="1:14" x14ac:dyDescent="0.35">
      <c r="A37" s="784" t="s">
        <v>2652</v>
      </c>
      <c r="B37" s="3170" t="s">
        <v>2620</v>
      </c>
      <c r="C37" s="3172"/>
      <c r="D37" s="69"/>
      <c r="E37" s="3185" t="s">
        <v>2630</v>
      </c>
      <c r="F37" s="3185"/>
      <c r="G37" s="69"/>
      <c r="H37" s="69"/>
      <c r="I37" s="69"/>
      <c r="J37" s="69"/>
      <c r="K37" s="69"/>
      <c r="L37" s="69"/>
      <c r="M37" s="69"/>
      <c r="N37" s="100"/>
    </row>
    <row r="38" spans="1:14" ht="43.5" x14ac:dyDescent="0.35">
      <c r="A38" s="785"/>
      <c r="B38" s="786" t="s">
        <v>2653</v>
      </c>
      <c r="C38" s="786" t="s">
        <v>2654</v>
      </c>
      <c r="D38" s="69"/>
      <c r="E38" s="257" t="s">
        <v>1705</v>
      </c>
      <c r="F38" s="780">
        <v>5039</v>
      </c>
      <c r="G38" s="69"/>
      <c r="H38" s="787" t="s">
        <v>1038</v>
      </c>
      <c r="I38" s="69"/>
      <c r="J38" s="69"/>
      <c r="K38" s="69"/>
      <c r="L38" s="69"/>
      <c r="M38" s="69"/>
      <c r="N38" s="100"/>
    </row>
    <row r="39" spans="1:14" ht="15" customHeight="1" x14ac:dyDescent="0.35">
      <c r="A39" s="788" t="s">
        <v>2655</v>
      </c>
      <c r="B39" s="49" t="s">
        <v>2656</v>
      </c>
      <c r="C39" s="49" t="s">
        <v>2657</v>
      </c>
      <c r="D39" s="69"/>
      <c r="E39" s="257" t="s">
        <v>1691</v>
      </c>
      <c r="F39" s="780">
        <v>4963</v>
      </c>
      <c r="G39" s="69"/>
      <c r="H39" s="49" t="s">
        <v>1632</v>
      </c>
      <c r="I39" s="69"/>
      <c r="J39" s="69"/>
      <c r="K39" s="69"/>
      <c r="L39" s="69"/>
      <c r="M39" s="69"/>
      <c r="N39" s="100"/>
    </row>
    <row r="40" spans="1:14" ht="43.5" x14ac:dyDescent="0.35">
      <c r="A40" s="290" t="s">
        <v>2658</v>
      </c>
      <c r="B40" s="49" t="s">
        <v>2659</v>
      </c>
      <c r="C40" s="49" t="s">
        <v>2660</v>
      </c>
      <c r="D40" s="69"/>
      <c r="E40" s="257" t="s">
        <v>1706</v>
      </c>
      <c r="F40" s="780">
        <v>4495</v>
      </c>
      <c r="G40" s="69"/>
      <c r="H40" s="49" t="s">
        <v>1583</v>
      </c>
      <c r="I40" s="69"/>
      <c r="J40" s="69"/>
      <c r="K40" s="69"/>
      <c r="L40" s="69"/>
      <c r="M40" s="69"/>
      <c r="N40" s="100"/>
    </row>
    <row r="41" spans="1:14" ht="43.5" x14ac:dyDescent="0.35">
      <c r="A41" s="290" t="s">
        <v>2661</v>
      </c>
      <c r="B41" s="49" t="s">
        <v>2662</v>
      </c>
      <c r="C41" s="49" t="s">
        <v>2663</v>
      </c>
      <c r="D41" s="69"/>
      <c r="E41" s="257" t="s">
        <v>1707</v>
      </c>
      <c r="F41" s="780">
        <v>4021</v>
      </c>
      <c r="G41" s="69"/>
      <c r="H41" s="69"/>
      <c r="I41" s="69"/>
      <c r="J41" s="69"/>
      <c r="K41" s="69"/>
      <c r="L41" s="69"/>
      <c r="M41" s="69"/>
      <c r="N41" s="100"/>
    </row>
    <row r="42" spans="1:14" ht="29" x14ac:dyDescent="0.35">
      <c r="A42" s="290" t="s">
        <v>2664</v>
      </c>
      <c r="B42" s="768">
        <v>9.4</v>
      </c>
      <c r="C42" s="768">
        <v>13.9</v>
      </c>
      <c r="D42" s="69"/>
      <c r="E42" s="257" t="s">
        <v>1708</v>
      </c>
      <c r="F42" s="780">
        <v>4150</v>
      </c>
      <c r="G42" s="69"/>
      <c r="H42" s="69"/>
      <c r="I42" s="69"/>
      <c r="J42" s="69"/>
      <c r="K42" s="69"/>
      <c r="L42" s="69"/>
      <c r="M42" s="69"/>
      <c r="N42" s="100"/>
    </row>
    <row r="43" spans="1:14" ht="29" x14ac:dyDescent="0.35">
      <c r="A43" s="290" t="s">
        <v>2665</v>
      </c>
      <c r="B43" s="768">
        <v>4.57</v>
      </c>
      <c r="C43" s="768">
        <v>7.3</v>
      </c>
      <c r="D43" s="69"/>
      <c r="E43" s="257" t="s">
        <v>1696</v>
      </c>
      <c r="F43" s="780">
        <f>F38*$I$44+F39*$I$45+F40*$I$46</f>
        <v>4939</v>
      </c>
      <c r="G43" s="69"/>
      <c r="H43" s="3204" t="s">
        <v>2666</v>
      </c>
      <c r="I43" s="3204"/>
      <c r="J43" s="69"/>
      <c r="K43" s="69"/>
      <c r="L43" s="69"/>
      <c r="M43" s="69"/>
      <c r="N43" s="100"/>
    </row>
    <row r="44" spans="1:14" x14ac:dyDescent="0.35">
      <c r="A44" s="290" t="s">
        <v>2667</v>
      </c>
      <c r="B44" s="768">
        <v>13.97</v>
      </c>
      <c r="C44" s="768">
        <v>21.2</v>
      </c>
      <c r="D44" s="69"/>
      <c r="E44" s="69"/>
      <c r="F44" s="69"/>
      <c r="G44" s="69"/>
      <c r="H44" s="49" t="s">
        <v>2632</v>
      </c>
      <c r="I44" s="291">
        <v>0.3</v>
      </c>
      <c r="J44" s="69"/>
      <c r="K44" s="69"/>
      <c r="L44" s="69"/>
      <c r="M44" s="69"/>
      <c r="N44" s="100"/>
    </row>
    <row r="45" spans="1:14" x14ac:dyDescent="0.35">
      <c r="A45" s="1684" t="s">
        <v>2618</v>
      </c>
      <c r="B45" s="1685">
        <v>4.45</v>
      </c>
      <c r="C45" s="1552" t="s">
        <v>2668</v>
      </c>
      <c r="D45" s="69"/>
      <c r="E45" s="69"/>
      <c r="F45" s="69"/>
      <c r="G45" s="69"/>
      <c r="H45" s="49" t="s">
        <v>2633</v>
      </c>
      <c r="I45" s="291">
        <v>0.6</v>
      </c>
      <c r="J45" s="69"/>
      <c r="K45" s="69"/>
      <c r="L45" s="69"/>
      <c r="M45" s="69"/>
      <c r="N45" s="100"/>
    </row>
    <row r="46" spans="1:14" x14ac:dyDescent="0.35">
      <c r="A46" s="1684" t="s">
        <v>2617</v>
      </c>
      <c r="B46" s="1686">
        <v>4.1500000000000004</v>
      </c>
      <c r="C46" s="1552" t="s">
        <v>2668</v>
      </c>
      <c r="D46" s="69"/>
      <c r="E46" s="69"/>
      <c r="F46" s="69"/>
      <c r="G46" s="69"/>
      <c r="H46" s="49" t="s">
        <v>2634</v>
      </c>
      <c r="I46" s="291">
        <v>0.1</v>
      </c>
      <c r="J46" s="69"/>
      <c r="K46" s="69"/>
      <c r="L46" s="69"/>
      <c r="M46" s="69"/>
      <c r="N46" s="100"/>
    </row>
    <row r="47" spans="1:14" x14ac:dyDescent="0.35">
      <c r="A47" s="99"/>
      <c r="B47" s="69"/>
      <c r="C47" s="69"/>
      <c r="D47" s="69"/>
      <c r="E47" s="69"/>
      <c r="F47" s="69"/>
      <c r="G47" s="69"/>
      <c r="H47" s="69"/>
      <c r="I47" s="69"/>
      <c r="J47" s="69"/>
      <c r="K47" s="69"/>
      <c r="L47" s="69"/>
      <c r="M47" s="69"/>
      <c r="N47" s="100"/>
    </row>
    <row r="48" spans="1:14" x14ac:dyDescent="0.35">
      <c r="A48" s="99"/>
      <c r="B48" s="69"/>
      <c r="C48" s="69"/>
      <c r="D48" s="69"/>
      <c r="E48" s="69"/>
      <c r="F48" s="69"/>
      <c r="G48" s="69"/>
      <c r="H48" s="789"/>
      <c r="I48" s="69"/>
      <c r="J48" s="69"/>
      <c r="K48" s="69"/>
      <c r="L48" s="69"/>
      <c r="M48" s="69"/>
      <c r="N48" s="100"/>
    </row>
    <row r="49" spans="1:14" x14ac:dyDescent="0.35">
      <c r="A49" s="3205" t="s">
        <v>2588</v>
      </c>
      <c r="B49" s="3189"/>
      <c r="C49" s="69"/>
      <c r="D49" s="69"/>
      <c r="E49" s="69"/>
      <c r="F49" s="69"/>
      <c r="G49" s="69"/>
      <c r="H49" s="790"/>
      <c r="I49" s="69"/>
      <c r="J49" s="69"/>
      <c r="K49" s="69"/>
      <c r="L49" s="69"/>
      <c r="M49" s="69"/>
      <c r="N49" s="100"/>
    </row>
    <row r="50" spans="1:14" x14ac:dyDescent="0.35">
      <c r="A50" s="791" t="s">
        <v>2541</v>
      </c>
      <c r="B50" s="247">
        <v>0.81899999999999995</v>
      </c>
      <c r="C50" s="69"/>
      <c r="D50" s="69"/>
      <c r="E50" s="69"/>
      <c r="F50" s="69"/>
      <c r="G50" s="69"/>
      <c r="H50" s="3180" t="s">
        <v>2624</v>
      </c>
      <c r="I50" s="3180"/>
      <c r="J50" s="69"/>
      <c r="K50" s="69"/>
      <c r="L50" s="69"/>
      <c r="M50" s="69"/>
      <c r="N50" s="100"/>
    </row>
    <row r="51" spans="1:14" x14ac:dyDescent="0.35">
      <c r="A51" s="792" t="s">
        <v>2540</v>
      </c>
      <c r="B51" s="247">
        <v>0.80700000000000005</v>
      </c>
      <c r="C51" s="69"/>
      <c r="D51" s="69"/>
      <c r="E51" s="69"/>
      <c r="F51" s="69"/>
      <c r="G51" s="69"/>
      <c r="H51" s="49" t="s">
        <v>2585</v>
      </c>
      <c r="I51" s="49" t="s">
        <v>2542</v>
      </c>
      <c r="J51" s="69"/>
      <c r="K51" s="69"/>
      <c r="L51" s="69"/>
      <c r="M51" s="69"/>
      <c r="N51" s="100"/>
    </row>
    <row r="52" spans="1:14" x14ac:dyDescent="0.35">
      <c r="A52" s="792" t="s">
        <v>2538</v>
      </c>
      <c r="B52" s="247">
        <v>0.80700000000000005</v>
      </c>
      <c r="C52" s="69"/>
      <c r="D52" s="69"/>
      <c r="E52" s="69"/>
      <c r="F52" s="69"/>
      <c r="G52" s="69"/>
      <c r="H52" s="49" t="s">
        <v>2539</v>
      </c>
      <c r="I52" s="49" t="s">
        <v>2537</v>
      </c>
      <c r="J52" s="69"/>
      <c r="K52" s="69"/>
      <c r="L52" s="69"/>
      <c r="M52" s="69"/>
      <c r="N52" s="100"/>
    </row>
    <row r="53" spans="1:14" x14ac:dyDescent="0.35">
      <c r="A53" s="792" t="s">
        <v>2669</v>
      </c>
      <c r="B53" s="247">
        <v>0.64800000000000002</v>
      </c>
      <c r="C53" s="69"/>
      <c r="D53" s="69"/>
      <c r="E53" s="69"/>
      <c r="F53" s="69"/>
      <c r="G53" s="69"/>
      <c r="H53" s="49" t="s">
        <v>2546</v>
      </c>
      <c r="I53" s="49"/>
      <c r="J53" s="69"/>
      <c r="K53" s="69"/>
      <c r="L53" s="69"/>
      <c r="M53" s="69"/>
      <c r="N53" s="100"/>
    </row>
    <row r="54" spans="1:14" x14ac:dyDescent="0.35">
      <c r="A54" s="99"/>
      <c r="B54" s="69"/>
      <c r="C54" s="69"/>
      <c r="D54" s="69"/>
      <c r="E54" s="69"/>
      <c r="F54" s="69"/>
      <c r="G54" s="69"/>
      <c r="H54" s="49" t="s">
        <v>2543</v>
      </c>
      <c r="I54" s="49"/>
      <c r="J54" s="69"/>
      <c r="K54" s="69"/>
      <c r="L54" s="69"/>
      <c r="M54" s="69"/>
      <c r="N54" s="100"/>
    </row>
    <row r="55" spans="1:14" x14ac:dyDescent="0.35">
      <c r="A55" s="99"/>
      <c r="B55" s="69"/>
      <c r="C55" s="69"/>
      <c r="D55" s="69"/>
      <c r="E55" s="69"/>
      <c r="F55" s="69"/>
      <c r="G55" s="69"/>
      <c r="H55" s="69"/>
      <c r="I55" s="69"/>
      <c r="J55" s="69"/>
      <c r="K55" s="69"/>
      <c r="L55" s="69"/>
      <c r="M55" s="69"/>
      <c r="N55" s="100"/>
    </row>
    <row r="56" spans="1:14" x14ac:dyDescent="0.35">
      <c r="A56" s="99"/>
      <c r="B56" s="69"/>
      <c r="C56" s="69"/>
      <c r="D56" s="69"/>
      <c r="E56" s="789"/>
      <c r="F56" s="69"/>
      <c r="G56" s="69"/>
      <c r="H56" s="49" t="s">
        <v>2617</v>
      </c>
      <c r="I56" s="49" t="s">
        <v>2025</v>
      </c>
      <c r="J56" s="69"/>
      <c r="K56" s="69"/>
      <c r="L56" s="69"/>
      <c r="M56" s="69"/>
      <c r="N56" s="100"/>
    </row>
    <row r="57" spans="1:14" x14ac:dyDescent="0.35">
      <c r="A57" s="99"/>
      <c r="B57" s="69"/>
      <c r="C57" s="69"/>
      <c r="D57" s="69"/>
      <c r="E57" s="790"/>
      <c r="F57" s="69"/>
      <c r="G57" s="69"/>
      <c r="H57" s="49" t="s">
        <v>2618</v>
      </c>
      <c r="I57" s="49" t="s">
        <v>2026</v>
      </c>
      <c r="J57" s="69"/>
      <c r="K57" s="69"/>
      <c r="L57" s="69"/>
      <c r="M57" s="69"/>
      <c r="N57" s="100"/>
    </row>
    <row r="58" spans="1:14" x14ac:dyDescent="0.35">
      <c r="A58" s="99"/>
      <c r="B58" s="69"/>
      <c r="C58" s="69"/>
      <c r="D58" s="69"/>
      <c r="E58" s="790"/>
      <c r="F58" s="69"/>
      <c r="G58" s="69"/>
      <c r="H58" s="69"/>
      <c r="I58" s="69"/>
      <c r="J58" s="69"/>
      <c r="K58" s="69"/>
      <c r="L58" s="69"/>
      <c r="M58" s="69"/>
      <c r="N58" s="100"/>
    </row>
    <row r="59" spans="1:14" ht="27" customHeight="1" x14ac:dyDescent="0.35">
      <c r="A59" s="99"/>
      <c r="B59" s="69"/>
      <c r="C59" s="69"/>
      <c r="D59" s="69"/>
      <c r="E59" s="69"/>
      <c r="F59" s="69"/>
      <c r="G59" s="69"/>
      <c r="H59" s="69"/>
      <c r="I59" s="69"/>
      <c r="J59" s="69"/>
      <c r="K59" s="69"/>
      <c r="L59" s="69"/>
      <c r="M59" s="69"/>
      <c r="N59" s="100"/>
    </row>
    <row r="60" spans="1:14" ht="33" customHeight="1" x14ac:dyDescent="0.35">
      <c r="A60" s="99"/>
      <c r="B60" s="69"/>
      <c r="C60" s="69"/>
      <c r="D60" s="69"/>
      <c r="E60" s="69"/>
      <c r="F60" s="69"/>
      <c r="G60" s="69"/>
      <c r="H60" s="69"/>
      <c r="I60" s="69"/>
      <c r="J60" s="69"/>
      <c r="K60" s="69"/>
      <c r="L60" s="69"/>
      <c r="M60" s="69"/>
      <c r="N60" s="100"/>
    </row>
    <row r="61" spans="1:14" ht="15" thickBot="1" x14ac:dyDescent="0.4">
      <c r="A61" s="99"/>
      <c r="B61" s="3173" t="s">
        <v>2594</v>
      </c>
      <c r="C61" s="3174"/>
      <c r="D61" s="3174"/>
      <c r="E61" s="3174"/>
      <c r="F61" s="3174"/>
      <c r="G61" s="69"/>
      <c r="H61" s="69"/>
      <c r="I61" s="69"/>
      <c r="J61" s="793"/>
      <c r="K61" s="69"/>
      <c r="L61" s="69"/>
      <c r="M61" s="69"/>
      <c r="N61" s="100"/>
    </row>
    <row r="62" spans="1:14" ht="26.5" thickBot="1" x14ac:dyDescent="0.4">
      <c r="A62" s="99"/>
      <c r="B62" s="368" t="s">
        <v>2595</v>
      </c>
      <c r="C62" s="369" t="s">
        <v>2596</v>
      </c>
      <c r="D62" s="369" t="s">
        <v>2597</v>
      </c>
      <c r="E62" s="369" t="s">
        <v>2537</v>
      </c>
      <c r="F62" s="369" t="s">
        <v>2545</v>
      </c>
      <c r="G62" s="69"/>
      <c r="H62" s="69"/>
      <c r="I62" s="69"/>
      <c r="J62" s="69"/>
      <c r="K62" s="69"/>
      <c r="L62" s="69"/>
      <c r="M62" s="69"/>
      <c r="N62" s="100"/>
    </row>
    <row r="63" spans="1:14" ht="15" thickBot="1" x14ac:dyDescent="0.4">
      <c r="A63" s="99"/>
      <c r="B63" s="757" t="s">
        <v>2026</v>
      </c>
      <c r="C63" s="758">
        <v>0</v>
      </c>
      <c r="D63" s="371">
        <v>1</v>
      </c>
      <c r="E63" s="760">
        <v>0</v>
      </c>
      <c r="F63" s="760">
        <v>0</v>
      </c>
      <c r="G63" s="69"/>
      <c r="H63" s="69"/>
      <c r="I63" s="69"/>
      <c r="J63" s="69"/>
      <c r="K63" s="69"/>
      <c r="L63" s="69"/>
      <c r="M63" s="69"/>
      <c r="N63" s="100"/>
    </row>
    <row r="64" spans="1:14" ht="15" thickBot="1" x14ac:dyDescent="0.4">
      <c r="A64" s="99"/>
      <c r="B64" s="757" t="s">
        <v>2599</v>
      </c>
      <c r="C64" s="758">
        <v>0.85</v>
      </c>
      <c r="D64" s="371">
        <v>0.15</v>
      </c>
      <c r="E64" s="760">
        <v>0.6</v>
      </c>
      <c r="F64" s="760">
        <v>0.7</v>
      </c>
      <c r="G64" s="69"/>
      <c r="H64" s="69"/>
      <c r="I64" s="69"/>
      <c r="J64" s="69"/>
      <c r="K64" s="69"/>
      <c r="L64" s="69"/>
      <c r="M64" s="69"/>
      <c r="N64" s="100"/>
    </row>
    <row r="65" spans="1:14" ht="26.5" thickBot="1" x14ac:dyDescent="0.4">
      <c r="A65" s="99"/>
      <c r="B65" s="2665" t="s">
        <v>2600</v>
      </c>
      <c r="C65" s="2666">
        <v>0</v>
      </c>
      <c r="D65" s="2681">
        <v>1</v>
      </c>
      <c r="E65" s="2669">
        <v>0</v>
      </c>
      <c r="F65" s="2669">
        <v>0</v>
      </c>
      <c r="G65" s="69"/>
      <c r="H65" s="69"/>
      <c r="I65" s="69"/>
      <c r="J65" s="69"/>
      <c r="K65" s="69"/>
      <c r="L65" s="69"/>
      <c r="M65" s="69"/>
      <c r="N65" s="100"/>
    </row>
    <row r="66" spans="1:14" ht="26.5" thickBot="1" x14ac:dyDescent="0.4">
      <c r="A66" s="99"/>
      <c r="B66" s="2665" t="s">
        <v>2601</v>
      </c>
      <c r="C66" s="2666">
        <v>0.45</v>
      </c>
      <c r="D66" s="2681">
        <v>0.55000000000000004</v>
      </c>
      <c r="E66" s="2669">
        <v>0</v>
      </c>
      <c r="F66" s="2669">
        <v>0</v>
      </c>
      <c r="G66" s="69"/>
      <c r="H66" s="69"/>
      <c r="I66" s="69"/>
      <c r="J66" s="69"/>
      <c r="K66" s="69"/>
      <c r="L66" s="69"/>
      <c r="M66" s="69"/>
      <c r="N66" s="100"/>
    </row>
    <row r="67" spans="1:14" ht="26.5" thickBot="1" x14ac:dyDescent="0.4">
      <c r="A67" s="304" t="s">
        <v>2670</v>
      </c>
      <c r="B67" s="757" t="s">
        <v>2671</v>
      </c>
      <c r="C67" s="758">
        <v>0.3</v>
      </c>
      <c r="D67" s="371">
        <v>0.7</v>
      </c>
      <c r="E67" s="760">
        <v>0.4</v>
      </c>
      <c r="F67" s="760">
        <v>0</v>
      </c>
      <c r="G67" s="69"/>
      <c r="H67" s="69"/>
      <c r="I67" s="69"/>
      <c r="J67" s="69"/>
      <c r="K67" s="69"/>
      <c r="L67" s="69"/>
      <c r="M67" s="69"/>
      <c r="N67" s="100"/>
    </row>
    <row r="68" spans="1:14" ht="26.5" thickBot="1" x14ac:dyDescent="0.4">
      <c r="A68" s="304"/>
      <c r="B68" s="2665" t="s">
        <v>2603</v>
      </c>
      <c r="C68" s="2666">
        <v>0</v>
      </c>
      <c r="D68" s="2681">
        <v>1</v>
      </c>
      <c r="E68" s="2669">
        <v>0</v>
      </c>
      <c r="F68" s="2669">
        <v>0</v>
      </c>
      <c r="G68" s="69"/>
      <c r="H68" s="69"/>
      <c r="I68" s="69"/>
      <c r="J68" s="69"/>
      <c r="K68" s="69"/>
      <c r="L68" s="69"/>
      <c r="M68" s="69"/>
      <c r="N68" s="100"/>
    </row>
    <row r="69" spans="1:14" ht="15" thickBot="1" x14ac:dyDescent="0.4">
      <c r="A69" s="304"/>
      <c r="B69" s="2665" t="s">
        <v>2604</v>
      </c>
      <c r="C69" s="2666">
        <v>0.16</v>
      </c>
      <c r="D69" s="2681">
        <v>0.84</v>
      </c>
      <c r="E69" s="2669">
        <v>0</v>
      </c>
      <c r="F69" s="2669">
        <v>0</v>
      </c>
      <c r="G69" s="69"/>
      <c r="H69" s="69"/>
      <c r="I69" s="69"/>
      <c r="J69" s="69"/>
      <c r="K69" s="69"/>
      <c r="L69" s="69"/>
      <c r="M69" s="69"/>
      <c r="N69" s="100"/>
    </row>
    <row r="70" spans="1:14" ht="15" thickBot="1" x14ac:dyDescent="0.4">
      <c r="A70" s="304" t="s">
        <v>2672</v>
      </c>
      <c r="B70" s="757" t="s">
        <v>2606</v>
      </c>
      <c r="C70" s="758">
        <v>0</v>
      </c>
      <c r="D70" s="371">
        <v>1</v>
      </c>
      <c r="E70" s="760">
        <v>0</v>
      </c>
      <c r="F70" s="760">
        <v>0.3</v>
      </c>
      <c r="G70" s="69"/>
      <c r="H70" s="69"/>
      <c r="I70" s="69"/>
      <c r="J70" s="69"/>
      <c r="K70" s="69"/>
      <c r="L70" s="69"/>
      <c r="M70" s="69"/>
      <c r="N70" s="100"/>
    </row>
    <row r="71" spans="1:14" ht="15" thickBot="1" x14ac:dyDescent="0.4">
      <c r="A71" s="304"/>
      <c r="B71" s="2665" t="s">
        <v>2607</v>
      </c>
      <c r="C71" s="2666">
        <v>0.23</v>
      </c>
      <c r="D71" s="2681">
        <v>0.77</v>
      </c>
      <c r="E71" s="2669">
        <v>0</v>
      </c>
      <c r="F71" s="2669">
        <v>0</v>
      </c>
      <c r="G71" s="69"/>
      <c r="H71" s="69"/>
      <c r="I71" s="69"/>
      <c r="J71" s="69"/>
      <c r="K71" s="69"/>
      <c r="L71" s="69"/>
      <c r="M71" s="69"/>
      <c r="N71" s="100"/>
    </row>
    <row r="72" spans="1:14" ht="15" thickBot="1" x14ac:dyDescent="0.4">
      <c r="A72" s="99"/>
      <c r="B72" s="2665" t="s">
        <v>2609</v>
      </c>
      <c r="C72" s="2666">
        <v>0.16</v>
      </c>
      <c r="D72" s="2681">
        <v>0.84</v>
      </c>
      <c r="E72" s="2669">
        <v>0</v>
      </c>
      <c r="F72" s="2669">
        <v>0</v>
      </c>
      <c r="G72" s="69"/>
      <c r="H72" s="69"/>
      <c r="I72" s="69"/>
      <c r="J72" s="69"/>
      <c r="K72" s="69"/>
      <c r="L72" s="69"/>
      <c r="M72" s="69"/>
      <c r="N72" s="100"/>
    </row>
    <row r="73" spans="1:14" ht="15" thickBot="1" x14ac:dyDescent="0.4">
      <c r="A73" s="99"/>
      <c r="B73" s="757" t="s">
        <v>105</v>
      </c>
      <c r="C73" s="371" t="s">
        <v>105</v>
      </c>
      <c r="D73" s="371">
        <v>1</v>
      </c>
      <c r="E73" s="760">
        <v>0</v>
      </c>
      <c r="F73" s="760">
        <v>0</v>
      </c>
      <c r="G73" s="69"/>
      <c r="H73" s="69"/>
      <c r="I73" s="69"/>
      <c r="J73" s="69"/>
      <c r="K73" s="69"/>
      <c r="L73" s="69"/>
      <c r="M73" s="69"/>
      <c r="N73" s="100"/>
    </row>
    <row r="74" spans="1:14" ht="15" thickBot="1" x14ac:dyDescent="0.4">
      <c r="A74" s="99"/>
      <c r="B74" s="69"/>
      <c r="C74" s="69"/>
      <c r="D74" s="69"/>
      <c r="E74" s="69"/>
      <c r="F74" s="69"/>
      <c r="G74" s="69"/>
      <c r="H74" s="69"/>
      <c r="I74" s="69"/>
      <c r="J74" s="69"/>
      <c r="K74" s="69"/>
      <c r="L74" s="69"/>
      <c r="M74" s="69"/>
      <c r="N74" s="100"/>
    </row>
    <row r="75" spans="1:14" ht="15" thickBot="1" x14ac:dyDescent="0.4">
      <c r="A75" s="99"/>
      <c r="B75" s="3175" t="s">
        <v>2611</v>
      </c>
      <c r="C75" s="3176"/>
      <c r="D75" s="69"/>
      <c r="E75" s="69"/>
      <c r="F75" s="69"/>
      <c r="G75" s="69"/>
      <c r="H75" s="69"/>
      <c r="I75" s="69"/>
      <c r="J75" s="69"/>
      <c r="K75" s="69"/>
      <c r="L75" s="69"/>
      <c r="M75" s="69"/>
      <c r="N75" s="100"/>
    </row>
    <row r="76" spans="1:14" ht="15" thickBot="1" x14ac:dyDescent="0.4">
      <c r="A76" s="99"/>
      <c r="B76" s="368" t="s">
        <v>2595</v>
      </c>
      <c r="C76" s="369" t="s">
        <v>2535</v>
      </c>
      <c r="D76" s="69"/>
      <c r="E76" s="69"/>
      <c r="F76" s="69"/>
      <c r="G76" s="69"/>
      <c r="H76" s="69"/>
      <c r="I76" s="69"/>
      <c r="J76" s="69"/>
      <c r="K76" s="69"/>
      <c r="L76" s="69"/>
      <c r="M76" s="69"/>
      <c r="N76" s="100"/>
    </row>
    <row r="77" spans="1:14" ht="15" thickBot="1" x14ac:dyDescent="0.4">
      <c r="A77" s="99"/>
      <c r="B77" s="757" t="s">
        <v>2537</v>
      </c>
      <c r="C77" s="371">
        <f>SUMPRODUCT($D$63:$D$73,$E$63:$E$73)</f>
        <v>0.37</v>
      </c>
      <c r="D77" s="69"/>
      <c r="E77" s="69"/>
      <c r="F77" s="69"/>
      <c r="G77" s="69"/>
      <c r="H77" s="69"/>
      <c r="I77" s="69"/>
      <c r="J77" s="69"/>
      <c r="K77" s="69"/>
      <c r="L77" s="69"/>
      <c r="M77" s="69"/>
      <c r="N77" s="100"/>
    </row>
    <row r="78" spans="1:14" ht="15" thickBot="1" x14ac:dyDescent="0.4">
      <c r="A78" s="99"/>
      <c r="B78" s="757" t="s">
        <v>2545</v>
      </c>
      <c r="C78" s="371">
        <f>SUMPRODUCT($D$63:$D$73,$F$63:$F$73)</f>
        <v>0.40499999999999997</v>
      </c>
      <c r="D78" s="69"/>
      <c r="E78" s="69"/>
      <c r="F78" s="69"/>
      <c r="G78" s="69"/>
      <c r="H78" s="69"/>
      <c r="I78" s="69"/>
      <c r="J78" s="69"/>
      <c r="K78" s="69"/>
      <c r="L78" s="69"/>
      <c r="M78" s="69"/>
      <c r="N78" s="100"/>
    </row>
    <row r="79" spans="1:14" ht="15" thickBot="1" x14ac:dyDescent="0.4">
      <c r="A79" s="99"/>
      <c r="B79" s="757" t="s">
        <v>2542</v>
      </c>
      <c r="C79" s="371">
        <f>SUMPRODUCT($D$63:$D$73,$F$63:$F$73)</f>
        <v>0.40499999999999997</v>
      </c>
      <c r="D79" s="69"/>
      <c r="E79" s="69"/>
      <c r="F79" s="69"/>
      <c r="G79" s="69"/>
      <c r="H79" s="69"/>
      <c r="I79" s="69"/>
      <c r="J79" s="69"/>
      <c r="K79" s="69"/>
      <c r="L79" s="69"/>
      <c r="M79" s="69"/>
      <c r="N79" s="100"/>
    </row>
    <row r="80" spans="1:14" x14ac:dyDescent="0.35">
      <c r="A80" s="99"/>
      <c r="B80" s="69"/>
      <c r="C80" s="69"/>
      <c r="D80" s="69"/>
      <c r="E80" s="69"/>
      <c r="F80" s="69"/>
      <c r="G80" s="69"/>
      <c r="H80" s="69"/>
      <c r="I80" s="69"/>
      <c r="J80" s="69"/>
      <c r="K80" s="69"/>
      <c r="L80" s="69"/>
      <c r="M80" s="69"/>
      <c r="N80" s="100"/>
    </row>
    <row r="81" spans="1:14" ht="15" thickBot="1" x14ac:dyDescent="0.4">
      <c r="A81" s="99"/>
      <c r="B81" s="69" t="s">
        <v>2673</v>
      </c>
      <c r="C81" s="69"/>
      <c r="D81" s="69"/>
      <c r="E81" s="69"/>
      <c r="F81" s="69"/>
      <c r="G81" s="69"/>
      <c r="H81" s="69"/>
      <c r="I81" s="69"/>
      <c r="J81" s="69"/>
      <c r="K81" s="69"/>
      <c r="L81" s="69"/>
      <c r="M81" s="69"/>
      <c r="N81" s="100"/>
    </row>
    <row r="82" spans="1:14" ht="15" thickBot="1" x14ac:dyDescent="0.4">
      <c r="A82" s="99"/>
      <c r="B82" s="3177" t="s">
        <v>2626</v>
      </c>
      <c r="C82" s="3199" t="s">
        <v>1360</v>
      </c>
      <c r="D82" s="3201" t="s">
        <v>2674</v>
      </c>
      <c r="E82" s="3202"/>
      <c r="F82" s="3202"/>
      <c r="G82" s="3202"/>
      <c r="H82" s="3202"/>
      <c r="I82" s="3203"/>
      <c r="J82" s="3197" t="s">
        <v>2153</v>
      </c>
      <c r="K82" s="3198"/>
      <c r="L82" s="69"/>
      <c r="M82" s="69"/>
      <c r="N82" s="100"/>
    </row>
    <row r="83" spans="1:14" ht="15" thickBot="1" x14ac:dyDescent="0.4">
      <c r="A83" s="99"/>
      <c r="B83" s="3179"/>
      <c r="C83" s="3200"/>
      <c r="D83" s="794" t="s">
        <v>2479</v>
      </c>
      <c r="E83" s="794" t="s">
        <v>2480</v>
      </c>
      <c r="F83" s="794" t="s">
        <v>2481</v>
      </c>
      <c r="G83" s="794" t="s">
        <v>2482</v>
      </c>
      <c r="H83" s="794" t="s">
        <v>2483</v>
      </c>
      <c r="I83" s="794" t="s">
        <v>2623</v>
      </c>
      <c r="J83" s="49" t="s">
        <v>1705</v>
      </c>
      <c r="K83" s="260">
        <v>2</v>
      </c>
      <c r="L83" s="69"/>
      <c r="M83" s="69"/>
      <c r="N83" s="100"/>
    </row>
    <row r="84" spans="1:14" ht="15" thickBot="1" x14ac:dyDescent="0.4">
      <c r="A84" s="99"/>
      <c r="B84" s="3191" t="str">
        <f>$I$52&amp;" "&amp;$H$51</f>
        <v>Space Heating Non-recirculation</v>
      </c>
      <c r="C84" s="795" t="s">
        <v>2484</v>
      </c>
      <c r="D84" s="765">
        <v>0.11700000000000001</v>
      </c>
      <c r="E84" s="765">
        <v>0.12</v>
      </c>
      <c r="F84" s="765">
        <v>0.107</v>
      </c>
      <c r="G84" s="796">
        <v>7.0999999999999994E-2</v>
      </c>
      <c r="H84" s="796">
        <v>0.109</v>
      </c>
      <c r="I84" s="797">
        <f t="shared" ref="I84:I120" si="0">$D84*$I$44+$E84*$I$45+$F84*$I$46</f>
        <v>0.1178</v>
      </c>
      <c r="J84" s="351" t="s">
        <v>1691</v>
      </c>
      <c r="K84" s="798">
        <v>3</v>
      </c>
      <c r="L84" s="69"/>
      <c r="M84" s="69"/>
      <c r="N84" s="100"/>
    </row>
    <row r="85" spans="1:14" ht="15" thickBot="1" x14ac:dyDescent="0.4">
      <c r="A85" s="99"/>
      <c r="B85" s="3192"/>
      <c r="C85" s="795" t="s">
        <v>2103</v>
      </c>
      <c r="D85" s="765">
        <v>0.11</v>
      </c>
      <c r="E85" s="765">
        <v>0.107</v>
      </c>
      <c r="F85" s="765">
        <v>9.4E-2</v>
      </c>
      <c r="G85" s="796">
        <v>6.9000000000000006E-2</v>
      </c>
      <c r="H85" s="796">
        <v>8.3000000000000004E-2</v>
      </c>
      <c r="I85" s="797">
        <f t="shared" si="0"/>
        <v>0.1066</v>
      </c>
      <c r="J85" s="351" t="s">
        <v>1706</v>
      </c>
      <c r="K85" s="798">
        <v>4</v>
      </c>
      <c r="L85" s="69"/>
      <c r="M85" s="69"/>
      <c r="N85" s="100"/>
    </row>
    <row r="86" spans="1:14" ht="15" thickBot="1" x14ac:dyDescent="0.4">
      <c r="A86" s="99"/>
      <c r="B86" s="3192"/>
      <c r="C86" s="795" t="s">
        <v>2486</v>
      </c>
      <c r="D86" s="765">
        <v>0.1</v>
      </c>
      <c r="E86" s="765">
        <v>9.2999999999999999E-2</v>
      </c>
      <c r="F86" s="765">
        <v>8.3000000000000004E-2</v>
      </c>
      <c r="G86" s="796">
        <v>4.5999999999999999E-2</v>
      </c>
      <c r="H86" s="796">
        <v>5.5E-2</v>
      </c>
      <c r="I86" s="797">
        <f t="shared" si="0"/>
        <v>9.4099999999999989E-2</v>
      </c>
      <c r="J86" s="351" t="s">
        <v>1707</v>
      </c>
      <c r="K86" s="798">
        <v>5</v>
      </c>
      <c r="L86" s="69"/>
      <c r="M86" s="69"/>
      <c r="N86" s="100"/>
    </row>
    <row r="87" spans="1:14" ht="15" thickBot="1" x14ac:dyDescent="0.4">
      <c r="A87" s="99"/>
      <c r="B87" s="3192"/>
      <c r="C87" s="795" t="s">
        <v>2487</v>
      </c>
      <c r="D87" s="765">
        <v>9.7000000000000003E-2</v>
      </c>
      <c r="E87" s="765">
        <v>8.8999999999999996E-2</v>
      </c>
      <c r="F87" s="765">
        <v>7.9000000000000001E-2</v>
      </c>
      <c r="G87" s="796">
        <v>5.7000000000000002E-2</v>
      </c>
      <c r="H87" s="796">
        <v>6.4000000000000001E-2</v>
      </c>
      <c r="I87" s="797">
        <f t="shared" si="0"/>
        <v>9.0399999999999994E-2</v>
      </c>
      <c r="J87" s="351" t="s">
        <v>1708</v>
      </c>
      <c r="K87" s="798">
        <v>6</v>
      </c>
      <c r="L87" s="69"/>
      <c r="M87" s="69"/>
      <c r="N87" s="100"/>
    </row>
    <row r="88" spans="1:14" ht="15" thickBot="1" x14ac:dyDescent="0.4">
      <c r="A88" s="99"/>
      <c r="B88" s="3192"/>
      <c r="C88" s="795" t="s">
        <v>1964</v>
      </c>
      <c r="D88" s="765">
        <v>0.11600000000000001</v>
      </c>
      <c r="E88" s="765">
        <v>0.113</v>
      </c>
      <c r="F88" s="765">
        <v>0.1</v>
      </c>
      <c r="G88" s="796">
        <v>6.9000000000000006E-2</v>
      </c>
      <c r="H88" s="796">
        <v>8.4000000000000005E-2</v>
      </c>
      <c r="I88" s="797">
        <f t="shared" si="0"/>
        <v>0.11260000000000001</v>
      </c>
      <c r="J88" s="351" t="s">
        <v>1696</v>
      </c>
      <c r="K88" s="798">
        <v>7</v>
      </c>
      <c r="L88" s="69"/>
      <c r="M88" s="69"/>
      <c r="N88" s="100"/>
    </row>
    <row r="89" spans="1:14" ht="15" thickBot="1" x14ac:dyDescent="0.4">
      <c r="A89" s="99"/>
      <c r="B89" s="3192"/>
      <c r="C89" s="795" t="s">
        <v>2489</v>
      </c>
      <c r="D89" s="765">
        <v>6.4000000000000001E-2</v>
      </c>
      <c r="E89" s="765">
        <v>6.3E-2</v>
      </c>
      <c r="F89" s="765">
        <v>5.6000000000000001E-2</v>
      </c>
      <c r="G89" s="796">
        <v>4.3999999999999997E-2</v>
      </c>
      <c r="H89" s="796">
        <v>4.9000000000000002E-2</v>
      </c>
      <c r="I89" s="797">
        <f t="shared" si="0"/>
        <v>6.2599999999999989E-2</v>
      </c>
      <c r="J89" s="69"/>
      <c r="K89" s="69"/>
      <c r="L89" s="69"/>
      <c r="M89" s="69"/>
      <c r="N89" s="100"/>
    </row>
    <row r="90" spans="1:14" ht="15" thickBot="1" x14ac:dyDescent="0.4">
      <c r="A90" s="99"/>
      <c r="B90" s="3192"/>
      <c r="C90" s="795" t="s">
        <v>1853</v>
      </c>
      <c r="D90" s="765">
        <v>0.105</v>
      </c>
      <c r="E90" s="765">
        <v>0.105</v>
      </c>
      <c r="F90" s="765">
        <v>9.1999999999999998E-2</v>
      </c>
      <c r="G90" s="796">
        <v>5.7000000000000002E-2</v>
      </c>
      <c r="H90" s="796">
        <v>6.8000000000000005E-2</v>
      </c>
      <c r="I90" s="797">
        <f t="shared" si="0"/>
        <v>0.1037</v>
      </c>
      <c r="J90" s="69"/>
      <c r="K90" s="69"/>
      <c r="L90" s="69"/>
      <c r="M90" s="69"/>
      <c r="N90" s="100"/>
    </row>
    <row r="91" spans="1:14" ht="15" thickBot="1" x14ac:dyDescent="0.4">
      <c r="A91" s="99"/>
      <c r="B91" s="3192"/>
      <c r="C91" s="795" t="s">
        <v>2391</v>
      </c>
      <c r="D91" s="765">
        <v>0.10299999999999999</v>
      </c>
      <c r="E91" s="765">
        <v>0.106</v>
      </c>
      <c r="F91" s="765">
        <v>9.1999999999999998E-2</v>
      </c>
      <c r="G91" s="796">
        <v>6.3E-2</v>
      </c>
      <c r="H91" s="796">
        <v>6.6000000000000003E-2</v>
      </c>
      <c r="I91" s="797">
        <f t="shared" si="0"/>
        <v>0.10369999999999999</v>
      </c>
      <c r="J91" s="69"/>
      <c r="K91" s="69"/>
      <c r="L91" s="69"/>
      <c r="M91" s="69"/>
      <c r="N91" s="100"/>
    </row>
    <row r="92" spans="1:14" ht="15" thickBot="1" x14ac:dyDescent="0.4">
      <c r="A92" s="99"/>
      <c r="B92" s="3192"/>
      <c r="C92" s="795" t="s">
        <v>2394</v>
      </c>
      <c r="D92" s="765">
        <v>0.12</v>
      </c>
      <c r="E92" s="765">
        <v>0.121</v>
      </c>
      <c r="F92" s="765">
        <v>0.109</v>
      </c>
      <c r="G92" s="796">
        <v>7.6999999999999999E-2</v>
      </c>
      <c r="H92" s="796">
        <v>9.0999999999999998E-2</v>
      </c>
      <c r="I92" s="797">
        <f t="shared" si="0"/>
        <v>0.1195</v>
      </c>
      <c r="J92" s="69"/>
      <c r="K92" s="69"/>
      <c r="L92" s="69"/>
      <c r="M92" s="69"/>
      <c r="N92" s="100"/>
    </row>
    <row r="93" spans="1:14" ht="15" thickBot="1" x14ac:dyDescent="0.4">
      <c r="A93" s="99"/>
      <c r="B93" s="3192"/>
      <c r="C93" s="795" t="s">
        <v>2490</v>
      </c>
      <c r="D93" s="765">
        <v>0.115</v>
      </c>
      <c r="E93" s="765">
        <v>0.11899999999999999</v>
      </c>
      <c r="F93" s="765">
        <v>0.10100000000000001</v>
      </c>
      <c r="G93" s="796">
        <v>8.6999999999999994E-2</v>
      </c>
      <c r="H93" s="796">
        <v>9.9000000000000005E-2</v>
      </c>
      <c r="I93" s="797">
        <f t="shared" si="0"/>
        <v>0.11599999999999999</v>
      </c>
      <c r="J93" s="69"/>
      <c r="K93" s="69"/>
      <c r="L93" s="69"/>
      <c r="M93" s="69"/>
      <c r="N93" s="100"/>
    </row>
    <row r="94" spans="1:14" ht="15" thickBot="1" x14ac:dyDescent="0.4">
      <c r="A94" s="99"/>
      <c r="B94" s="3192"/>
      <c r="C94" s="795" t="s">
        <v>2491</v>
      </c>
      <c r="D94" s="765">
        <v>0.11700000000000001</v>
      </c>
      <c r="E94" s="765">
        <v>0.121</v>
      </c>
      <c r="F94" s="765">
        <v>0.10299999999999999</v>
      </c>
      <c r="G94" s="796">
        <v>8.8999999999999996E-2</v>
      </c>
      <c r="H94" s="796">
        <v>0.10100000000000001</v>
      </c>
      <c r="I94" s="797">
        <f t="shared" si="0"/>
        <v>0.11799999999999999</v>
      </c>
      <c r="J94" s="69"/>
      <c r="K94" s="69"/>
      <c r="L94" s="69"/>
      <c r="M94" s="69"/>
      <c r="N94" s="100"/>
    </row>
    <row r="95" spans="1:14" ht="15" thickBot="1" x14ac:dyDescent="0.4">
      <c r="A95" s="99"/>
      <c r="B95" s="3192"/>
      <c r="C95" s="795" t="s">
        <v>2492</v>
      </c>
      <c r="D95" s="765">
        <v>4.8000000000000001E-2</v>
      </c>
      <c r="E95" s="765">
        <v>4.4999999999999998E-2</v>
      </c>
      <c r="F95" s="765">
        <v>3.4000000000000002E-2</v>
      </c>
      <c r="G95" s="796">
        <v>0.02</v>
      </c>
      <c r="H95" s="796">
        <v>2.1999999999999999E-2</v>
      </c>
      <c r="I95" s="797">
        <f t="shared" si="0"/>
        <v>4.48E-2</v>
      </c>
      <c r="J95" s="69"/>
      <c r="K95" s="69"/>
      <c r="L95" s="69"/>
      <c r="M95" s="69"/>
      <c r="N95" s="100"/>
    </row>
    <row r="96" spans="1:14" ht="15" thickBot="1" x14ac:dyDescent="0.4">
      <c r="A96" s="99"/>
      <c r="B96" s="3192"/>
      <c r="C96" s="795" t="s">
        <v>2493</v>
      </c>
      <c r="D96" s="765">
        <v>8.6999999999999994E-2</v>
      </c>
      <c r="E96" s="765">
        <v>9.9000000000000005E-2</v>
      </c>
      <c r="F96" s="765">
        <v>0.08</v>
      </c>
      <c r="G96" s="796">
        <v>9.4E-2</v>
      </c>
      <c r="H96" s="796">
        <v>0.127</v>
      </c>
      <c r="I96" s="797">
        <f t="shared" si="0"/>
        <v>9.35E-2</v>
      </c>
      <c r="J96" s="69"/>
      <c r="K96" s="69"/>
      <c r="L96" s="69"/>
      <c r="M96" s="69"/>
      <c r="N96" s="100"/>
    </row>
    <row r="97" spans="1:14" ht="15" thickBot="1" x14ac:dyDescent="0.4">
      <c r="A97" s="99"/>
      <c r="B97" s="3192"/>
      <c r="C97" s="795" t="s">
        <v>2099</v>
      </c>
      <c r="D97" s="765">
        <v>0.115</v>
      </c>
      <c r="E97" s="765">
        <v>0.112</v>
      </c>
      <c r="F97" s="765">
        <v>0.10100000000000001</v>
      </c>
      <c r="G97" s="796">
        <v>6.9000000000000006E-2</v>
      </c>
      <c r="H97" s="796">
        <v>8.4000000000000005E-2</v>
      </c>
      <c r="I97" s="797">
        <f t="shared" si="0"/>
        <v>0.1118</v>
      </c>
      <c r="J97" s="69"/>
      <c r="K97" s="69"/>
      <c r="L97" s="69"/>
      <c r="M97" s="69"/>
      <c r="N97" s="100"/>
    </row>
    <row r="98" spans="1:14" ht="15" thickBot="1" x14ac:dyDescent="0.4">
      <c r="A98" s="99"/>
      <c r="B98" s="3192"/>
      <c r="C98" s="795" t="s">
        <v>2494</v>
      </c>
      <c r="D98" s="765">
        <v>0.104</v>
      </c>
      <c r="E98" s="765">
        <v>0.106</v>
      </c>
      <c r="F98" s="765">
        <v>0.10100000000000001</v>
      </c>
      <c r="G98" s="796">
        <v>8.2000000000000003E-2</v>
      </c>
      <c r="H98" s="796">
        <v>8.5999999999999993E-2</v>
      </c>
      <c r="I98" s="797">
        <f t="shared" si="0"/>
        <v>0.10489999999999999</v>
      </c>
      <c r="J98" s="69"/>
      <c r="K98" s="69"/>
      <c r="L98" s="69"/>
      <c r="M98" s="69"/>
      <c r="N98" s="100"/>
    </row>
    <row r="99" spans="1:14" ht="15" thickBot="1" x14ac:dyDescent="0.4">
      <c r="A99" s="99"/>
      <c r="B99" s="3192"/>
      <c r="C99" s="795" t="s">
        <v>2495</v>
      </c>
      <c r="D99" s="765">
        <v>0.115</v>
      </c>
      <c r="E99" s="765">
        <v>0.111</v>
      </c>
      <c r="F99" s="765">
        <v>9.9000000000000005E-2</v>
      </c>
      <c r="G99" s="796">
        <v>6.6000000000000003E-2</v>
      </c>
      <c r="H99" s="796">
        <v>8.2000000000000003E-2</v>
      </c>
      <c r="I99" s="797">
        <f t="shared" si="0"/>
        <v>0.111</v>
      </c>
      <c r="J99" s="69"/>
      <c r="K99" s="69"/>
      <c r="L99" s="69"/>
      <c r="M99" s="69"/>
      <c r="N99" s="100"/>
    </row>
    <row r="100" spans="1:14" ht="15" thickBot="1" x14ac:dyDescent="0.4">
      <c r="A100" s="99"/>
      <c r="B100" s="3192"/>
      <c r="C100" s="795" t="s">
        <v>2392</v>
      </c>
      <c r="D100" s="765">
        <v>6.8000000000000005E-2</v>
      </c>
      <c r="E100" s="765">
        <v>6.6000000000000003E-2</v>
      </c>
      <c r="F100" s="765">
        <v>6.0999999999999999E-2</v>
      </c>
      <c r="G100" s="796">
        <v>3.6999999999999998E-2</v>
      </c>
      <c r="H100" s="796">
        <v>4.1000000000000002E-2</v>
      </c>
      <c r="I100" s="797">
        <f t="shared" si="0"/>
        <v>6.6100000000000006E-2</v>
      </c>
      <c r="J100" s="69"/>
      <c r="K100" s="69"/>
      <c r="L100" s="69"/>
      <c r="M100" s="69"/>
      <c r="N100" s="100"/>
    </row>
    <row r="101" spans="1:14" ht="15" thickBot="1" x14ac:dyDescent="0.4">
      <c r="A101" s="99"/>
      <c r="B101" s="3192"/>
      <c r="C101" s="795" t="s">
        <v>2496</v>
      </c>
      <c r="D101" s="765">
        <v>0.1</v>
      </c>
      <c r="E101" s="765">
        <v>9.8000000000000004E-2</v>
      </c>
      <c r="F101" s="765">
        <v>0.09</v>
      </c>
      <c r="G101" s="796">
        <v>7.5999999999999998E-2</v>
      </c>
      <c r="H101" s="796">
        <v>7.5999999999999998E-2</v>
      </c>
      <c r="I101" s="797">
        <f t="shared" si="0"/>
        <v>9.7799999999999984E-2</v>
      </c>
      <c r="J101" s="69"/>
      <c r="K101" s="69"/>
      <c r="L101" s="69"/>
      <c r="M101" s="69"/>
      <c r="N101" s="100"/>
    </row>
    <row r="102" spans="1:14" ht="15" thickBot="1" x14ac:dyDescent="0.4">
      <c r="A102" s="99"/>
      <c r="B102" s="3192"/>
      <c r="C102" s="795" t="s">
        <v>2497</v>
      </c>
      <c r="D102" s="765">
        <v>0.11799999999999999</v>
      </c>
      <c r="E102" s="765">
        <v>0.115</v>
      </c>
      <c r="F102" s="765">
        <v>0.10299999999999999</v>
      </c>
      <c r="G102" s="796">
        <v>7.0999999999999994E-2</v>
      </c>
      <c r="H102" s="796">
        <v>9.1999999999999998E-2</v>
      </c>
      <c r="I102" s="797">
        <f t="shared" si="0"/>
        <v>0.1147</v>
      </c>
      <c r="J102" s="69"/>
      <c r="K102" s="69"/>
      <c r="L102" s="69"/>
      <c r="M102" s="69"/>
      <c r="N102" s="100"/>
    </row>
    <row r="103" spans="1:14" ht="15" thickBot="1" x14ac:dyDescent="0.4">
      <c r="A103" s="99"/>
      <c r="B103" s="3192"/>
      <c r="C103" s="795" t="s">
        <v>2498</v>
      </c>
      <c r="D103" s="765">
        <v>9.6000000000000002E-2</v>
      </c>
      <c r="E103" s="765">
        <v>9.6000000000000002E-2</v>
      </c>
      <c r="F103" s="765">
        <v>8.6999999999999994E-2</v>
      </c>
      <c r="G103" s="796">
        <v>7.4999999999999997E-2</v>
      </c>
      <c r="H103" s="796">
        <v>7.2999999999999995E-2</v>
      </c>
      <c r="I103" s="797">
        <f t="shared" si="0"/>
        <v>9.5100000000000004E-2</v>
      </c>
      <c r="J103" s="69"/>
      <c r="K103" s="69"/>
      <c r="L103" s="69"/>
      <c r="M103" s="69"/>
      <c r="N103" s="100"/>
    </row>
    <row r="104" spans="1:14" ht="15" thickBot="1" x14ac:dyDescent="0.4">
      <c r="A104" s="99"/>
      <c r="B104" s="3192"/>
      <c r="C104" s="795" t="s">
        <v>2415</v>
      </c>
      <c r="D104" s="765">
        <v>0.109</v>
      </c>
      <c r="E104" s="765">
        <v>0.11</v>
      </c>
      <c r="F104" s="765">
        <v>9.5000000000000001E-2</v>
      </c>
      <c r="G104" s="796">
        <v>7.0000000000000007E-2</v>
      </c>
      <c r="H104" s="796">
        <v>7.9000000000000001E-2</v>
      </c>
      <c r="I104" s="797">
        <f t="shared" si="0"/>
        <v>0.10820000000000002</v>
      </c>
      <c r="J104" s="69"/>
      <c r="K104" s="69"/>
      <c r="L104" s="69"/>
      <c r="M104" s="69"/>
      <c r="N104" s="100"/>
    </row>
    <row r="105" spans="1:14" ht="15" thickBot="1" x14ac:dyDescent="0.4">
      <c r="A105" s="99"/>
      <c r="B105" s="3192"/>
      <c r="C105" s="795" t="s">
        <v>2499</v>
      </c>
      <c r="D105" s="765">
        <v>0.11899999999999999</v>
      </c>
      <c r="E105" s="765">
        <v>0.11700000000000001</v>
      </c>
      <c r="F105" s="765">
        <v>0.109</v>
      </c>
      <c r="G105" s="796">
        <v>8.3000000000000004E-2</v>
      </c>
      <c r="H105" s="796">
        <v>9.9000000000000005E-2</v>
      </c>
      <c r="I105" s="797">
        <f t="shared" si="0"/>
        <v>0.11679999999999999</v>
      </c>
      <c r="J105" s="69"/>
      <c r="K105" s="69"/>
      <c r="L105" s="69"/>
      <c r="M105" s="69"/>
      <c r="N105" s="100"/>
    </row>
    <row r="106" spans="1:14" ht="15" thickBot="1" x14ac:dyDescent="0.4">
      <c r="A106" s="99"/>
      <c r="B106" s="3192"/>
      <c r="C106" s="795" t="s">
        <v>2500</v>
      </c>
      <c r="D106" s="765">
        <v>0.13200000000000001</v>
      </c>
      <c r="E106" s="765">
        <v>0.13400000000000001</v>
      </c>
      <c r="F106" s="765">
        <v>0.122</v>
      </c>
      <c r="G106" s="796">
        <v>8.2000000000000003E-2</v>
      </c>
      <c r="H106" s="796">
        <v>8.8999999999999996E-2</v>
      </c>
      <c r="I106" s="797">
        <f t="shared" si="0"/>
        <v>0.13219999999999998</v>
      </c>
      <c r="J106" s="69"/>
      <c r="K106" s="69"/>
      <c r="L106" s="69"/>
      <c r="M106" s="69"/>
      <c r="N106" s="100"/>
    </row>
    <row r="107" spans="1:14" ht="15" thickBot="1" x14ac:dyDescent="0.4">
      <c r="A107" s="99"/>
      <c r="B107" s="3192"/>
      <c r="C107" s="795" t="s">
        <v>2501</v>
      </c>
      <c r="D107" s="765">
        <v>0.13600000000000001</v>
      </c>
      <c r="E107" s="765">
        <v>0.13900000000000001</v>
      </c>
      <c r="F107" s="765">
        <v>0.128</v>
      </c>
      <c r="G107" s="796">
        <v>8.7999999999999995E-2</v>
      </c>
      <c r="H107" s="796">
        <v>9.7000000000000003E-2</v>
      </c>
      <c r="I107" s="797">
        <f t="shared" si="0"/>
        <v>0.13700000000000001</v>
      </c>
      <c r="J107" s="69"/>
      <c r="K107" s="69"/>
      <c r="L107" s="69"/>
      <c r="M107" s="69"/>
      <c r="N107" s="100"/>
    </row>
    <row r="108" spans="1:14" ht="15" thickBot="1" x14ac:dyDescent="0.4">
      <c r="A108" s="99"/>
      <c r="B108" s="3192"/>
      <c r="C108" s="795" t="s">
        <v>2502</v>
      </c>
      <c r="D108" s="765">
        <v>0.1</v>
      </c>
      <c r="E108" s="765">
        <v>0.10199999999999999</v>
      </c>
      <c r="F108" s="765">
        <v>8.4000000000000005E-2</v>
      </c>
      <c r="G108" s="796">
        <v>0.05</v>
      </c>
      <c r="H108" s="796">
        <v>5.5E-2</v>
      </c>
      <c r="I108" s="797">
        <f t="shared" si="0"/>
        <v>9.9599999999999994E-2</v>
      </c>
      <c r="J108" s="69"/>
      <c r="K108" s="69"/>
      <c r="L108" s="69"/>
      <c r="M108" s="69"/>
      <c r="N108" s="100"/>
    </row>
    <row r="109" spans="1:14" ht="15" thickBot="1" x14ac:dyDescent="0.4">
      <c r="A109" s="99"/>
      <c r="B109" s="3192"/>
      <c r="C109" s="795" t="s">
        <v>2503</v>
      </c>
      <c r="D109" s="765">
        <v>7.2999999999999995E-2</v>
      </c>
      <c r="E109" s="765">
        <v>7.1999999999999995E-2</v>
      </c>
      <c r="F109" s="765">
        <v>6.2E-2</v>
      </c>
      <c r="G109" s="796">
        <v>3.3000000000000002E-2</v>
      </c>
      <c r="H109" s="796">
        <v>3.5000000000000003E-2</v>
      </c>
      <c r="I109" s="797">
        <f t="shared" si="0"/>
        <v>7.1299999999999988E-2</v>
      </c>
      <c r="J109" s="69"/>
      <c r="K109" s="69"/>
      <c r="L109" s="69"/>
      <c r="M109" s="69"/>
      <c r="N109" s="100"/>
    </row>
    <row r="110" spans="1:14" ht="15" thickBot="1" x14ac:dyDescent="0.4">
      <c r="A110" s="99"/>
      <c r="B110" s="3192"/>
      <c r="C110" s="795" t="s">
        <v>2388</v>
      </c>
      <c r="D110" s="765">
        <v>9.2999999999999999E-2</v>
      </c>
      <c r="E110" s="765">
        <v>9.2999999999999999E-2</v>
      </c>
      <c r="F110" s="765">
        <v>7.3999999999999996E-2</v>
      </c>
      <c r="G110" s="796">
        <v>4.4999999999999998E-2</v>
      </c>
      <c r="H110" s="796">
        <v>5.1999999999999998E-2</v>
      </c>
      <c r="I110" s="797">
        <f t="shared" si="0"/>
        <v>9.11E-2</v>
      </c>
      <c r="J110" s="69"/>
      <c r="K110" s="69"/>
      <c r="L110" s="69"/>
      <c r="M110" s="69"/>
      <c r="N110" s="100"/>
    </row>
    <row r="111" spans="1:14" ht="15" thickBot="1" x14ac:dyDescent="0.4">
      <c r="A111" s="99"/>
      <c r="B111" s="3192"/>
      <c r="C111" s="795" t="s">
        <v>2386</v>
      </c>
      <c r="D111" s="765">
        <v>0.10299999999999999</v>
      </c>
      <c r="E111" s="765">
        <v>0.104</v>
      </c>
      <c r="F111" s="765">
        <v>8.7999999999999995E-2</v>
      </c>
      <c r="G111" s="796">
        <v>5.6000000000000001E-2</v>
      </c>
      <c r="H111" s="796">
        <v>6.2E-2</v>
      </c>
      <c r="I111" s="797">
        <f t="shared" si="0"/>
        <v>0.1021</v>
      </c>
      <c r="J111" s="69"/>
      <c r="K111" s="69"/>
      <c r="L111" s="69"/>
      <c r="M111" s="69"/>
      <c r="N111" s="100"/>
    </row>
    <row r="112" spans="1:14" ht="15" thickBot="1" x14ac:dyDescent="0.4">
      <c r="A112" s="99"/>
      <c r="B112" s="3192"/>
      <c r="C112" s="795" t="s">
        <v>2504</v>
      </c>
      <c r="D112" s="765">
        <v>0.105</v>
      </c>
      <c r="E112" s="765">
        <v>9.8000000000000004E-2</v>
      </c>
      <c r="F112" s="765">
        <v>9.4E-2</v>
      </c>
      <c r="G112" s="796">
        <v>6.9000000000000006E-2</v>
      </c>
      <c r="H112" s="796">
        <v>7.9000000000000001E-2</v>
      </c>
      <c r="I112" s="797">
        <f t="shared" si="0"/>
        <v>9.9699999999999997E-2</v>
      </c>
      <c r="J112" s="69"/>
      <c r="K112" s="69"/>
      <c r="L112" s="69"/>
      <c r="M112" s="69"/>
      <c r="N112" s="100"/>
    </row>
    <row r="113" spans="1:14" ht="15" thickBot="1" x14ac:dyDescent="0.4">
      <c r="A113" s="99"/>
      <c r="B113" s="3192"/>
      <c r="C113" s="795" t="s">
        <v>1859</v>
      </c>
      <c r="D113" s="765">
        <v>8.7999999999999995E-2</v>
      </c>
      <c r="E113" s="765">
        <v>8.7999999999999995E-2</v>
      </c>
      <c r="F113" s="765">
        <v>7.9000000000000001E-2</v>
      </c>
      <c r="G113" s="796">
        <v>0.06</v>
      </c>
      <c r="H113" s="796">
        <v>7.0999999999999994E-2</v>
      </c>
      <c r="I113" s="797">
        <f t="shared" si="0"/>
        <v>8.7099999999999997E-2</v>
      </c>
      <c r="J113" s="69"/>
      <c r="K113" s="69"/>
      <c r="L113" s="69"/>
      <c r="M113" s="69"/>
      <c r="N113" s="100"/>
    </row>
    <row r="114" spans="1:14" ht="15" thickBot="1" x14ac:dyDescent="0.4">
      <c r="A114" s="99"/>
      <c r="B114" s="3192"/>
      <c r="C114" s="795" t="s">
        <v>2399</v>
      </c>
      <c r="D114" s="765">
        <v>9.0999999999999998E-2</v>
      </c>
      <c r="E114" s="765">
        <v>8.3000000000000004E-2</v>
      </c>
      <c r="F114" s="765">
        <v>7.8E-2</v>
      </c>
      <c r="G114" s="796">
        <v>5.0999999999999997E-2</v>
      </c>
      <c r="H114" s="796">
        <v>5.8000000000000003E-2</v>
      </c>
      <c r="I114" s="797">
        <f t="shared" si="0"/>
        <v>8.4900000000000003E-2</v>
      </c>
      <c r="J114" s="69"/>
      <c r="K114" s="69"/>
      <c r="L114" s="69"/>
      <c r="M114" s="69"/>
      <c r="N114" s="100"/>
    </row>
    <row r="115" spans="1:14" ht="15" thickBot="1" x14ac:dyDescent="0.4">
      <c r="A115" s="99"/>
      <c r="B115" s="3192"/>
      <c r="C115" s="795" t="s">
        <v>2398</v>
      </c>
      <c r="D115" s="765">
        <v>8.6999999999999994E-2</v>
      </c>
      <c r="E115" s="765">
        <v>8.1000000000000003E-2</v>
      </c>
      <c r="F115" s="765">
        <v>7.0999999999999994E-2</v>
      </c>
      <c r="G115" s="796">
        <v>4.9000000000000002E-2</v>
      </c>
      <c r="H115" s="796">
        <v>5.2999999999999999E-2</v>
      </c>
      <c r="I115" s="797">
        <f t="shared" si="0"/>
        <v>8.1799999999999984E-2</v>
      </c>
      <c r="J115" s="69"/>
      <c r="K115" s="69"/>
      <c r="L115" s="69"/>
      <c r="M115" s="69"/>
      <c r="N115" s="100"/>
    </row>
    <row r="116" spans="1:14" ht="15" thickBot="1" x14ac:dyDescent="0.4">
      <c r="A116" s="99"/>
      <c r="B116" s="3192"/>
      <c r="C116" s="795" t="s">
        <v>1862</v>
      </c>
      <c r="D116" s="765">
        <v>9.5000000000000001E-2</v>
      </c>
      <c r="E116" s="765">
        <v>8.8999999999999996E-2</v>
      </c>
      <c r="F116" s="765">
        <v>9.0999999999999998E-2</v>
      </c>
      <c r="G116" s="796">
        <v>5.7000000000000002E-2</v>
      </c>
      <c r="H116" s="796">
        <v>7.0000000000000007E-2</v>
      </c>
      <c r="I116" s="797">
        <f t="shared" si="0"/>
        <v>9.0999999999999998E-2</v>
      </c>
      <c r="J116" s="69"/>
      <c r="K116" s="69"/>
      <c r="L116" s="69"/>
      <c r="M116" s="69"/>
      <c r="N116" s="100"/>
    </row>
    <row r="117" spans="1:14" ht="15" thickBot="1" x14ac:dyDescent="0.4">
      <c r="A117" s="99"/>
      <c r="B117" s="3193"/>
      <c r="C117" s="795" t="s">
        <v>1185</v>
      </c>
      <c r="D117" s="765">
        <v>0.10100000000000001</v>
      </c>
      <c r="E117" s="765">
        <v>0.1</v>
      </c>
      <c r="F117" s="765">
        <v>8.8999999999999996E-2</v>
      </c>
      <c r="G117" s="796">
        <v>6.4000000000000001E-2</v>
      </c>
      <c r="H117" s="796">
        <v>7.3999999999999996E-2</v>
      </c>
      <c r="I117" s="797">
        <f t="shared" si="0"/>
        <v>9.9199999999999997E-2</v>
      </c>
      <c r="J117" s="69"/>
      <c r="K117" s="69"/>
      <c r="L117" s="69"/>
      <c r="M117" s="69"/>
      <c r="N117" s="100"/>
    </row>
    <row r="118" spans="1:14" ht="28" thickBot="1" x14ac:dyDescent="0.4">
      <c r="A118" s="99"/>
      <c r="B118" s="799" t="str">
        <f>$I$52&amp;" "&amp;$H$52</f>
        <v>Space Heating Recirculation - Heating Season only</v>
      </c>
      <c r="C118" s="800" t="s">
        <v>2639</v>
      </c>
      <c r="D118" s="765">
        <v>0.32900000000000001</v>
      </c>
      <c r="E118" s="765">
        <v>0.32400000000000001</v>
      </c>
      <c r="F118" s="765">
        <v>0.29299999999999998</v>
      </c>
      <c r="G118" s="796">
        <v>0.26200000000000001</v>
      </c>
      <c r="H118" s="796">
        <v>0.27100000000000002</v>
      </c>
      <c r="I118" s="797">
        <f t="shared" si="0"/>
        <v>0.32239999999999996</v>
      </c>
      <c r="J118" s="69"/>
      <c r="K118" s="69"/>
      <c r="L118" s="69"/>
      <c r="M118" s="69"/>
      <c r="N118" s="100"/>
    </row>
    <row r="119" spans="1:14" ht="17" thickBot="1" x14ac:dyDescent="0.4">
      <c r="A119" s="99"/>
      <c r="B119" s="799" t="str">
        <f>$I$52&amp;" "&amp;$H$53</f>
        <v>Space Heating Recirculation- year round</v>
      </c>
      <c r="C119" s="800" t="s">
        <v>2675</v>
      </c>
      <c r="D119" s="765">
        <v>0.57199999999999995</v>
      </c>
      <c r="E119" s="765">
        <v>0.57199999999999995</v>
      </c>
      <c r="F119" s="765">
        <v>0.57199999999999995</v>
      </c>
      <c r="G119" s="796">
        <v>0.57199999999999995</v>
      </c>
      <c r="H119" s="796">
        <v>0.57199999999999995</v>
      </c>
      <c r="I119" s="797">
        <f t="shared" si="0"/>
        <v>0.57199999999999995</v>
      </c>
      <c r="J119" s="69"/>
      <c r="K119" s="69"/>
      <c r="L119" s="69"/>
      <c r="M119" s="69"/>
      <c r="N119" s="100"/>
    </row>
    <row r="120" spans="1:14" ht="15" thickBot="1" x14ac:dyDescent="0.4">
      <c r="A120" s="99"/>
      <c r="B120" s="801" t="str">
        <f>$I$51</f>
        <v>Domestic Hot Water</v>
      </c>
      <c r="C120" s="795" t="s">
        <v>2640</v>
      </c>
      <c r="D120" s="765">
        <v>0.57199999999999995</v>
      </c>
      <c r="E120" s="765">
        <v>0.57199999999999995</v>
      </c>
      <c r="F120" s="765">
        <v>0.57199999999999995</v>
      </c>
      <c r="G120" s="796">
        <v>0.57199999999999995</v>
      </c>
      <c r="H120" s="796">
        <v>0.57199999999999995</v>
      </c>
      <c r="I120" s="797">
        <f t="shared" si="0"/>
        <v>0.57199999999999995</v>
      </c>
      <c r="J120" s="69"/>
      <c r="K120" s="69"/>
      <c r="L120" s="69"/>
      <c r="M120" s="69"/>
      <c r="N120" s="100"/>
    </row>
    <row r="121" spans="1:14" ht="15" thickBot="1" x14ac:dyDescent="0.4">
      <c r="A121" s="99"/>
      <c r="B121" s="801" t="s">
        <v>2676</v>
      </c>
      <c r="C121" s="795" t="s">
        <v>105</v>
      </c>
      <c r="D121" s="3194" t="s">
        <v>105</v>
      </c>
      <c r="E121" s="3195"/>
      <c r="F121" s="3195"/>
      <c r="G121" s="3195"/>
      <c r="H121" s="3195"/>
      <c r="I121" s="3196"/>
      <c r="J121" s="69"/>
      <c r="K121" s="69"/>
      <c r="L121" s="69"/>
      <c r="M121" s="69"/>
      <c r="N121" s="100"/>
    </row>
    <row r="122" spans="1:14" x14ac:dyDescent="0.35">
      <c r="A122" s="99"/>
      <c r="B122" s="69"/>
      <c r="C122" s="69"/>
      <c r="D122" s="69"/>
      <c r="E122" s="69"/>
      <c r="F122" s="69"/>
      <c r="G122" s="69"/>
      <c r="H122" s="69"/>
      <c r="I122" s="69"/>
      <c r="J122" s="69"/>
      <c r="K122" s="69"/>
      <c r="L122" s="69"/>
      <c r="M122" s="69"/>
      <c r="N122" s="100"/>
    </row>
    <row r="123" spans="1:14" x14ac:dyDescent="0.35">
      <c r="A123" s="99"/>
      <c r="B123" s="69"/>
      <c r="C123" s="69"/>
      <c r="D123" s="69"/>
      <c r="E123" s="69"/>
      <c r="F123" s="69"/>
      <c r="G123" s="69"/>
      <c r="H123" s="69"/>
      <c r="I123" s="69"/>
      <c r="J123" s="69"/>
      <c r="K123" s="69"/>
      <c r="L123" s="69"/>
      <c r="M123" s="69"/>
      <c r="N123" s="100"/>
    </row>
    <row r="124" spans="1:14" x14ac:dyDescent="0.35">
      <c r="A124" s="99"/>
      <c r="B124" s="69"/>
      <c r="C124" s="69"/>
      <c r="D124" s="69"/>
      <c r="E124" s="69"/>
      <c r="F124" s="69"/>
      <c r="G124" s="69"/>
      <c r="H124" s="69"/>
      <c r="I124" s="69"/>
      <c r="J124" s="69"/>
      <c r="K124" s="69"/>
      <c r="L124" s="69"/>
      <c r="M124" s="69"/>
      <c r="N124" s="100"/>
    </row>
    <row r="125" spans="1:14" ht="15" thickBot="1" x14ac:dyDescent="0.4">
      <c r="A125" s="99"/>
      <c r="B125" s="69" t="s">
        <v>2677</v>
      </c>
      <c r="C125" s="69"/>
      <c r="D125" s="69"/>
      <c r="E125" s="69"/>
      <c r="F125" s="69"/>
      <c r="G125" s="69"/>
      <c r="H125" s="69"/>
      <c r="I125" s="69"/>
      <c r="J125" s="69"/>
      <c r="K125" s="69"/>
      <c r="L125" s="69"/>
      <c r="M125" s="69"/>
      <c r="N125" s="100"/>
    </row>
    <row r="126" spans="1:14" ht="15" thickBot="1" x14ac:dyDescent="0.4">
      <c r="A126" s="99"/>
      <c r="B126" s="3177" t="s">
        <v>2626</v>
      </c>
      <c r="C126" s="3199" t="s">
        <v>1360</v>
      </c>
      <c r="D126" s="3201" t="s">
        <v>2674</v>
      </c>
      <c r="E126" s="3202"/>
      <c r="F126" s="3202"/>
      <c r="G126" s="3202"/>
      <c r="H126" s="3202"/>
      <c r="I126" s="3203"/>
      <c r="J126" s="3197" t="s">
        <v>2153</v>
      </c>
      <c r="K126" s="3198"/>
      <c r="L126" s="69"/>
      <c r="M126" s="69"/>
      <c r="N126" s="100"/>
    </row>
    <row r="127" spans="1:14" ht="15" thickBot="1" x14ac:dyDescent="0.4">
      <c r="A127" s="99"/>
      <c r="B127" s="3179"/>
      <c r="C127" s="3200"/>
      <c r="D127" s="794" t="s">
        <v>2479</v>
      </c>
      <c r="E127" s="794" t="s">
        <v>2480</v>
      </c>
      <c r="F127" s="794" t="s">
        <v>2481</v>
      </c>
      <c r="G127" s="794" t="s">
        <v>2482</v>
      </c>
      <c r="H127" s="794" t="s">
        <v>2483</v>
      </c>
      <c r="I127" s="794" t="s">
        <v>2623</v>
      </c>
      <c r="J127" s="769" t="s">
        <v>2479</v>
      </c>
      <c r="K127" s="49">
        <v>2</v>
      </c>
      <c r="L127" s="69"/>
      <c r="M127" s="69"/>
      <c r="N127" s="100"/>
    </row>
    <row r="128" spans="1:14" ht="15" thickBot="1" x14ac:dyDescent="0.4">
      <c r="A128" s="99"/>
      <c r="B128" s="3191" t="s">
        <v>2678</v>
      </c>
      <c r="C128" s="795" t="s">
        <v>2484</v>
      </c>
      <c r="D128" s="765">
        <v>0.14199999999999999</v>
      </c>
      <c r="E128" s="765">
        <v>0.14499999999999999</v>
      </c>
      <c r="F128" s="765">
        <v>0.129</v>
      </c>
      <c r="G128" s="796">
        <v>8.5999999999999993E-2</v>
      </c>
      <c r="H128" s="796">
        <v>0.13200000000000001</v>
      </c>
      <c r="I128" s="797">
        <f t="shared" ref="I128:I164" si="1">$D128*$I$44+$E128*$I$45+$F128*$I$46</f>
        <v>0.14249999999999999</v>
      </c>
      <c r="J128" s="769" t="s">
        <v>2480</v>
      </c>
      <c r="K128" s="49">
        <v>3</v>
      </c>
      <c r="L128" s="69"/>
      <c r="M128" s="69"/>
      <c r="N128" s="100"/>
    </row>
    <row r="129" spans="1:14" ht="15" thickBot="1" x14ac:dyDescent="0.4">
      <c r="A129" s="99"/>
      <c r="B129" s="3192"/>
      <c r="C129" s="795" t="s">
        <v>2103</v>
      </c>
      <c r="D129" s="765">
        <v>0.13300000000000001</v>
      </c>
      <c r="E129" s="765">
        <v>0.13</v>
      </c>
      <c r="F129" s="765">
        <v>0.115</v>
      </c>
      <c r="G129" s="796">
        <v>8.4000000000000005E-2</v>
      </c>
      <c r="H129" s="796">
        <v>0.10100000000000001</v>
      </c>
      <c r="I129" s="797">
        <f t="shared" si="1"/>
        <v>0.12940000000000002</v>
      </c>
      <c r="J129" s="769" t="s">
        <v>2481</v>
      </c>
      <c r="K129" s="49">
        <v>4</v>
      </c>
      <c r="L129" s="69"/>
      <c r="M129" s="69"/>
      <c r="N129" s="100"/>
    </row>
    <row r="130" spans="1:14" ht="15" thickBot="1" x14ac:dyDescent="0.4">
      <c r="A130" s="99"/>
      <c r="B130" s="3192"/>
      <c r="C130" s="795" t="s">
        <v>2486</v>
      </c>
      <c r="D130" s="765">
        <v>0.121</v>
      </c>
      <c r="E130" s="765">
        <v>0.113</v>
      </c>
      <c r="F130" s="765">
        <v>0.10100000000000001</v>
      </c>
      <c r="G130" s="796">
        <v>5.6000000000000001E-2</v>
      </c>
      <c r="H130" s="796">
        <v>6.7000000000000004E-2</v>
      </c>
      <c r="I130" s="797">
        <f t="shared" si="1"/>
        <v>0.1142</v>
      </c>
      <c r="J130" s="769" t="s">
        <v>2482</v>
      </c>
      <c r="K130" s="49">
        <v>5</v>
      </c>
      <c r="L130" s="69"/>
      <c r="M130" s="69"/>
      <c r="N130" s="100"/>
    </row>
    <row r="131" spans="1:14" ht="15" thickBot="1" x14ac:dyDescent="0.4">
      <c r="A131" s="99"/>
      <c r="B131" s="3192"/>
      <c r="C131" s="795" t="s">
        <v>2487</v>
      </c>
      <c r="D131" s="765">
        <v>0.11700000000000001</v>
      </c>
      <c r="E131" s="765">
        <v>0.108</v>
      </c>
      <c r="F131" s="765">
        <v>9.6000000000000002E-2</v>
      </c>
      <c r="G131" s="796">
        <v>6.9000000000000006E-2</v>
      </c>
      <c r="H131" s="796">
        <v>7.6999999999999999E-2</v>
      </c>
      <c r="I131" s="797">
        <f t="shared" si="1"/>
        <v>0.10949999999999999</v>
      </c>
      <c r="J131" s="769" t="s">
        <v>2483</v>
      </c>
      <c r="K131" s="49">
        <v>6</v>
      </c>
      <c r="L131" s="69"/>
      <c r="M131" s="69"/>
      <c r="N131" s="100"/>
    </row>
    <row r="132" spans="1:14" ht="15" thickBot="1" x14ac:dyDescent="0.4">
      <c r="A132" s="99"/>
      <c r="B132" s="3192"/>
      <c r="C132" s="795" t="s">
        <v>1964</v>
      </c>
      <c r="D132" s="765">
        <v>0.14099999999999999</v>
      </c>
      <c r="E132" s="765">
        <v>0.13700000000000001</v>
      </c>
      <c r="F132" s="765">
        <v>0.121</v>
      </c>
      <c r="G132" s="796">
        <v>8.4000000000000005E-2</v>
      </c>
      <c r="H132" s="796">
        <v>0.10199999999999999</v>
      </c>
      <c r="I132" s="797">
        <f t="shared" si="1"/>
        <v>0.1366</v>
      </c>
      <c r="J132" s="49" t="s">
        <v>2623</v>
      </c>
      <c r="K132" s="49">
        <v>7</v>
      </c>
      <c r="L132" s="69"/>
      <c r="M132" s="69"/>
      <c r="N132" s="100"/>
    </row>
    <row r="133" spans="1:14" ht="15" thickBot="1" x14ac:dyDescent="0.4">
      <c r="A133" s="99"/>
      <c r="B133" s="3192"/>
      <c r="C133" s="795" t="s">
        <v>2489</v>
      </c>
      <c r="D133" s="765">
        <v>7.8E-2</v>
      </c>
      <c r="E133" s="765">
        <v>7.6999999999999999E-2</v>
      </c>
      <c r="F133" s="765">
        <v>6.7000000000000004E-2</v>
      </c>
      <c r="G133" s="796">
        <v>5.3999999999999999E-2</v>
      </c>
      <c r="H133" s="796">
        <v>0.06</v>
      </c>
      <c r="I133" s="797">
        <f t="shared" si="1"/>
        <v>7.6299999999999993E-2</v>
      </c>
      <c r="J133" s="69"/>
      <c r="K133" s="69"/>
      <c r="L133" s="69"/>
      <c r="M133" s="69"/>
      <c r="N133" s="100"/>
    </row>
    <row r="134" spans="1:14" ht="15" thickBot="1" x14ac:dyDescent="0.4">
      <c r="A134" s="99"/>
      <c r="B134" s="3192"/>
      <c r="C134" s="795" t="s">
        <v>1853</v>
      </c>
      <c r="D134" s="765">
        <v>0.127</v>
      </c>
      <c r="E134" s="765">
        <v>0.127</v>
      </c>
      <c r="F134" s="765">
        <v>0.111</v>
      </c>
      <c r="G134" s="796">
        <v>6.9000000000000006E-2</v>
      </c>
      <c r="H134" s="796">
        <v>8.3000000000000004E-2</v>
      </c>
      <c r="I134" s="797">
        <f t="shared" si="1"/>
        <v>0.12540000000000001</v>
      </c>
      <c r="J134" s="69"/>
      <c r="K134" s="69"/>
      <c r="L134" s="69"/>
      <c r="M134" s="69"/>
      <c r="N134" s="100"/>
    </row>
    <row r="135" spans="1:14" ht="15" thickBot="1" x14ac:dyDescent="0.4">
      <c r="A135" s="99"/>
      <c r="B135" s="3192"/>
      <c r="C135" s="795" t="s">
        <v>2391</v>
      </c>
      <c r="D135" s="765">
        <v>0.125</v>
      </c>
      <c r="E135" s="765">
        <v>0.128</v>
      </c>
      <c r="F135" s="765">
        <v>0.112</v>
      </c>
      <c r="G135" s="796">
        <v>7.5999999999999998E-2</v>
      </c>
      <c r="H135" s="796">
        <v>8.1000000000000003E-2</v>
      </c>
      <c r="I135" s="797">
        <f t="shared" si="1"/>
        <v>0.1255</v>
      </c>
      <c r="J135" s="69"/>
      <c r="K135" s="69"/>
      <c r="L135" s="69"/>
      <c r="M135" s="69"/>
      <c r="N135" s="100"/>
    </row>
    <row r="136" spans="1:14" ht="15" thickBot="1" x14ac:dyDescent="0.4">
      <c r="A136" s="99"/>
      <c r="B136" s="3192"/>
      <c r="C136" s="795" t="s">
        <v>2394</v>
      </c>
      <c r="D136" s="765">
        <v>0.14599999999999999</v>
      </c>
      <c r="E136" s="765">
        <v>0.14699999999999999</v>
      </c>
      <c r="F136" s="765">
        <v>0.13200000000000001</v>
      </c>
      <c r="G136" s="796">
        <v>9.4E-2</v>
      </c>
      <c r="H136" s="796">
        <v>0.11</v>
      </c>
      <c r="I136" s="797">
        <f t="shared" si="1"/>
        <v>0.14519999999999997</v>
      </c>
      <c r="J136" s="69"/>
      <c r="K136" s="69"/>
      <c r="L136" s="69"/>
      <c r="M136" s="69"/>
      <c r="N136" s="100"/>
    </row>
    <row r="137" spans="1:14" ht="15" thickBot="1" x14ac:dyDescent="0.4">
      <c r="A137" s="99"/>
      <c r="B137" s="3192"/>
      <c r="C137" s="795" t="s">
        <v>2490</v>
      </c>
      <c r="D137" s="765">
        <v>0.14000000000000001</v>
      </c>
      <c r="E137" s="765">
        <v>0.14399999999999999</v>
      </c>
      <c r="F137" s="765">
        <v>0.123</v>
      </c>
      <c r="G137" s="796">
        <v>0.105</v>
      </c>
      <c r="H137" s="796">
        <v>0.12</v>
      </c>
      <c r="I137" s="797">
        <f t="shared" si="1"/>
        <v>0.14069999999999999</v>
      </c>
      <c r="J137" s="69"/>
      <c r="K137" s="69"/>
      <c r="L137" s="69"/>
      <c r="M137" s="69"/>
      <c r="N137" s="100"/>
    </row>
    <row r="138" spans="1:14" ht="15" thickBot="1" x14ac:dyDescent="0.4">
      <c r="A138" s="99"/>
      <c r="B138" s="3192"/>
      <c r="C138" s="795" t="s">
        <v>2491</v>
      </c>
      <c r="D138" s="765">
        <v>0.14199999999999999</v>
      </c>
      <c r="E138" s="765">
        <v>0.14699999999999999</v>
      </c>
      <c r="F138" s="765">
        <v>0.125</v>
      </c>
      <c r="G138" s="796">
        <v>0.108</v>
      </c>
      <c r="H138" s="796">
        <v>0.123</v>
      </c>
      <c r="I138" s="797">
        <f t="shared" si="1"/>
        <v>0.14329999999999998</v>
      </c>
      <c r="J138" s="69"/>
      <c r="K138" s="69"/>
      <c r="L138" s="69"/>
      <c r="M138" s="69"/>
      <c r="N138" s="100"/>
    </row>
    <row r="139" spans="1:14" ht="15" thickBot="1" x14ac:dyDescent="0.4">
      <c r="A139" s="99"/>
      <c r="B139" s="3192"/>
      <c r="C139" s="795" t="s">
        <v>2492</v>
      </c>
      <c r="D139" s="765">
        <v>5.8000000000000003E-2</v>
      </c>
      <c r="E139" s="765">
        <v>5.5E-2</v>
      </c>
      <c r="F139" s="765">
        <v>4.1000000000000002E-2</v>
      </c>
      <c r="G139" s="796">
        <v>2.5000000000000001E-2</v>
      </c>
      <c r="H139" s="796">
        <v>2.7E-2</v>
      </c>
      <c r="I139" s="797">
        <f t="shared" si="1"/>
        <v>5.45E-2</v>
      </c>
      <c r="J139" s="69"/>
      <c r="K139" s="69"/>
      <c r="L139" s="69"/>
      <c r="M139" s="69"/>
      <c r="N139" s="100"/>
    </row>
    <row r="140" spans="1:14" ht="15" thickBot="1" x14ac:dyDescent="0.4">
      <c r="A140" s="99"/>
      <c r="B140" s="3192"/>
      <c r="C140" s="795" t="s">
        <v>2493</v>
      </c>
      <c r="D140" s="765">
        <v>0.105</v>
      </c>
      <c r="E140" s="765">
        <v>0.12</v>
      </c>
      <c r="F140" s="765">
        <v>9.8000000000000004E-2</v>
      </c>
      <c r="G140" s="796">
        <v>0.115</v>
      </c>
      <c r="H140" s="796">
        <v>0.154</v>
      </c>
      <c r="I140" s="797">
        <f t="shared" si="1"/>
        <v>0.1133</v>
      </c>
      <c r="J140" s="69"/>
      <c r="K140" s="69"/>
      <c r="L140" s="69"/>
      <c r="M140" s="69"/>
      <c r="N140" s="100"/>
    </row>
    <row r="141" spans="1:14" ht="15" thickBot="1" x14ac:dyDescent="0.4">
      <c r="A141" s="99"/>
      <c r="B141" s="3192"/>
      <c r="C141" s="795" t="s">
        <v>2099</v>
      </c>
      <c r="D141" s="765">
        <v>0.14000000000000001</v>
      </c>
      <c r="E141" s="765">
        <v>0.13600000000000001</v>
      </c>
      <c r="F141" s="765">
        <v>0.122</v>
      </c>
      <c r="G141" s="796">
        <v>8.4000000000000005E-2</v>
      </c>
      <c r="H141" s="796">
        <v>0.10199999999999999</v>
      </c>
      <c r="I141" s="797">
        <f t="shared" si="1"/>
        <v>0.1358</v>
      </c>
      <c r="J141" s="69"/>
      <c r="K141" s="69"/>
      <c r="L141" s="69"/>
      <c r="M141" s="69"/>
      <c r="N141" s="100"/>
    </row>
    <row r="142" spans="1:14" ht="15" thickBot="1" x14ac:dyDescent="0.4">
      <c r="A142" s="99"/>
      <c r="B142" s="3192"/>
      <c r="C142" s="795" t="s">
        <v>2494</v>
      </c>
      <c r="D142" s="765">
        <v>0.127</v>
      </c>
      <c r="E142" s="765">
        <v>0.129</v>
      </c>
      <c r="F142" s="765">
        <v>0.123</v>
      </c>
      <c r="G142" s="796">
        <v>0.1</v>
      </c>
      <c r="H142" s="796">
        <v>0.105</v>
      </c>
      <c r="I142" s="797">
        <f t="shared" si="1"/>
        <v>0.1278</v>
      </c>
      <c r="J142" s="69"/>
      <c r="K142" s="69"/>
      <c r="L142" s="69"/>
      <c r="M142" s="69"/>
      <c r="N142" s="100"/>
    </row>
    <row r="143" spans="1:14" ht="15" thickBot="1" x14ac:dyDescent="0.4">
      <c r="A143" s="99"/>
      <c r="B143" s="3192"/>
      <c r="C143" s="795" t="s">
        <v>2495</v>
      </c>
      <c r="D143" s="765">
        <v>0.13900000000000001</v>
      </c>
      <c r="E143" s="765">
        <v>0.13500000000000001</v>
      </c>
      <c r="F143" s="765">
        <v>0.12</v>
      </c>
      <c r="G143" s="796">
        <v>8.1000000000000003E-2</v>
      </c>
      <c r="H143" s="796">
        <v>9.9000000000000005E-2</v>
      </c>
      <c r="I143" s="797">
        <f t="shared" si="1"/>
        <v>0.13470000000000001</v>
      </c>
      <c r="J143" s="69"/>
      <c r="K143" s="69"/>
      <c r="L143" s="69"/>
      <c r="M143" s="69"/>
      <c r="N143" s="100"/>
    </row>
    <row r="144" spans="1:14" ht="15" thickBot="1" x14ac:dyDescent="0.4">
      <c r="A144" s="99"/>
      <c r="B144" s="3192"/>
      <c r="C144" s="795" t="s">
        <v>2392</v>
      </c>
      <c r="D144" s="765">
        <v>8.3000000000000004E-2</v>
      </c>
      <c r="E144" s="765">
        <v>0.08</v>
      </c>
      <c r="F144" s="765">
        <v>7.3999999999999996E-2</v>
      </c>
      <c r="G144" s="796">
        <v>4.4999999999999998E-2</v>
      </c>
      <c r="H144" s="796">
        <v>0.05</v>
      </c>
      <c r="I144" s="797">
        <f t="shared" si="1"/>
        <v>8.030000000000001E-2</v>
      </c>
      <c r="J144" s="69"/>
      <c r="K144" s="69"/>
      <c r="L144" s="69"/>
      <c r="M144" s="69"/>
      <c r="N144" s="100"/>
    </row>
    <row r="145" spans="1:14" ht="15" thickBot="1" x14ac:dyDescent="0.4">
      <c r="A145" s="99"/>
      <c r="B145" s="3192"/>
      <c r="C145" s="795" t="s">
        <v>2496</v>
      </c>
      <c r="D145" s="765">
        <v>0.121</v>
      </c>
      <c r="E145" s="765">
        <v>0.11899999999999999</v>
      </c>
      <c r="F145" s="765">
        <v>0.109</v>
      </c>
      <c r="G145" s="796">
        <v>9.2999999999999999E-2</v>
      </c>
      <c r="H145" s="796">
        <v>9.2999999999999999E-2</v>
      </c>
      <c r="I145" s="797">
        <f t="shared" si="1"/>
        <v>0.11859999999999998</v>
      </c>
      <c r="J145" s="69"/>
      <c r="K145" s="69"/>
      <c r="L145" s="69"/>
      <c r="M145" s="69"/>
      <c r="N145" s="100"/>
    </row>
    <row r="146" spans="1:14" ht="15" thickBot="1" x14ac:dyDescent="0.4">
      <c r="A146" s="99"/>
      <c r="B146" s="3192"/>
      <c r="C146" s="795" t="s">
        <v>2497</v>
      </c>
      <c r="D146" s="765">
        <v>0.14399999999999999</v>
      </c>
      <c r="E146" s="765">
        <v>0.14000000000000001</v>
      </c>
      <c r="F146" s="765">
        <v>0.125</v>
      </c>
      <c r="G146" s="796">
        <v>8.5999999999999993E-2</v>
      </c>
      <c r="H146" s="796">
        <v>0.111</v>
      </c>
      <c r="I146" s="797">
        <f t="shared" si="1"/>
        <v>0.13970000000000002</v>
      </c>
      <c r="J146" s="69"/>
      <c r="K146" s="69"/>
      <c r="L146" s="69"/>
      <c r="M146" s="69"/>
      <c r="N146" s="100"/>
    </row>
    <row r="147" spans="1:14" ht="15" thickBot="1" x14ac:dyDescent="0.4">
      <c r="A147" s="99"/>
      <c r="B147" s="3192"/>
      <c r="C147" s="795" t="s">
        <v>2498</v>
      </c>
      <c r="D147" s="765">
        <v>0.11700000000000001</v>
      </c>
      <c r="E147" s="765">
        <v>0.11600000000000001</v>
      </c>
      <c r="F147" s="765">
        <v>0.105</v>
      </c>
      <c r="G147" s="796">
        <v>9.0999999999999998E-2</v>
      </c>
      <c r="H147" s="796">
        <v>8.8999999999999996E-2</v>
      </c>
      <c r="I147" s="797">
        <f t="shared" si="1"/>
        <v>0.11519999999999998</v>
      </c>
      <c r="J147" s="69"/>
      <c r="K147" s="69"/>
      <c r="L147" s="69"/>
      <c r="M147" s="69"/>
      <c r="N147" s="100"/>
    </row>
    <row r="148" spans="1:14" ht="15" thickBot="1" x14ac:dyDescent="0.4">
      <c r="A148" s="99"/>
      <c r="B148" s="3192"/>
      <c r="C148" s="795" t="s">
        <v>2415</v>
      </c>
      <c r="D148" s="765">
        <v>0.13200000000000001</v>
      </c>
      <c r="E148" s="765">
        <v>0.13400000000000001</v>
      </c>
      <c r="F148" s="765">
        <v>0.115</v>
      </c>
      <c r="G148" s="796">
        <v>8.5000000000000006E-2</v>
      </c>
      <c r="H148" s="796">
        <v>9.6000000000000002E-2</v>
      </c>
      <c r="I148" s="797">
        <f t="shared" si="1"/>
        <v>0.13150000000000001</v>
      </c>
      <c r="J148" s="69"/>
      <c r="K148" s="69"/>
      <c r="L148" s="69"/>
      <c r="M148" s="69"/>
      <c r="N148" s="100"/>
    </row>
    <row r="149" spans="1:14" ht="15" thickBot="1" x14ac:dyDescent="0.4">
      <c r="A149" s="99"/>
      <c r="B149" s="3192"/>
      <c r="C149" s="795" t="s">
        <v>2499</v>
      </c>
      <c r="D149" s="765">
        <v>0.14399999999999999</v>
      </c>
      <c r="E149" s="765">
        <v>0.14199999999999999</v>
      </c>
      <c r="F149" s="765">
        <v>0.13300000000000001</v>
      </c>
      <c r="G149" s="796">
        <v>0.10100000000000001</v>
      </c>
      <c r="H149" s="796">
        <v>0.12</v>
      </c>
      <c r="I149" s="797">
        <f t="shared" si="1"/>
        <v>0.14169999999999999</v>
      </c>
      <c r="J149" s="69"/>
      <c r="K149" s="69"/>
      <c r="L149" s="69"/>
      <c r="M149" s="69"/>
      <c r="N149" s="100"/>
    </row>
    <row r="150" spans="1:14" ht="15" thickBot="1" x14ac:dyDescent="0.4">
      <c r="A150" s="99"/>
      <c r="B150" s="3192"/>
      <c r="C150" s="795" t="s">
        <v>2500</v>
      </c>
      <c r="D150" s="765">
        <v>0.16</v>
      </c>
      <c r="E150" s="765">
        <v>0.16200000000000001</v>
      </c>
      <c r="F150" s="765">
        <v>0.14799999999999999</v>
      </c>
      <c r="G150" s="796">
        <v>9.9000000000000005E-2</v>
      </c>
      <c r="H150" s="796">
        <v>0.108</v>
      </c>
      <c r="I150" s="797">
        <f t="shared" si="1"/>
        <v>0.16</v>
      </c>
      <c r="J150" s="69"/>
      <c r="K150" s="69"/>
      <c r="L150" s="69"/>
      <c r="M150" s="69"/>
      <c r="N150" s="100"/>
    </row>
    <row r="151" spans="1:14" ht="15" thickBot="1" x14ac:dyDescent="0.4">
      <c r="A151" s="99"/>
      <c r="B151" s="3192"/>
      <c r="C151" s="795" t="s">
        <v>2501</v>
      </c>
      <c r="D151" s="765">
        <v>0.16500000000000001</v>
      </c>
      <c r="E151" s="765">
        <v>0.16900000000000001</v>
      </c>
      <c r="F151" s="765">
        <v>0.155</v>
      </c>
      <c r="G151" s="796">
        <v>0.107</v>
      </c>
      <c r="H151" s="796">
        <v>0.11799999999999999</v>
      </c>
      <c r="I151" s="797">
        <f t="shared" si="1"/>
        <v>0.16639999999999999</v>
      </c>
      <c r="J151" s="69"/>
      <c r="K151" s="69"/>
      <c r="L151" s="69"/>
      <c r="M151" s="69"/>
      <c r="N151" s="100"/>
    </row>
    <row r="152" spans="1:14" ht="15" thickBot="1" x14ac:dyDescent="0.4">
      <c r="A152" s="99"/>
      <c r="B152" s="3192"/>
      <c r="C152" s="795" t="s">
        <v>2502</v>
      </c>
      <c r="D152" s="765">
        <v>0.121</v>
      </c>
      <c r="E152" s="765">
        <v>0.123</v>
      </c>
      <c r="F152" s="765">
        <v>0.10199999999999999</v>
      </c>
      <c r="G152" s="796">
        <v>0.06</v>
      </c>
      <c r="H152" s="796">
        <v>6.7000000000000004E-2</v>
      </c>
      <c r="I152" s="797">
        <f t="shared" si="1"/>
        <v>0.12029999999999999</v>
      </c>
      <c r="J152" s="69"/>
      <c r="K152" s="69"/>
      <c r="L152" s="69"/>
      <c r="M152" s="69"/>
      <c r="N152" s="100"/>
    </row>
    <row r="153" spans="1:14" ht="15" thickBot="1" x14ac:dyDescent="0.4">
      <c r="A153" s="99"/>
      <c r="B153" s="3192"/>
      <c r="C153" s="795" t="s">
        <v>2503</v>
      </c>
      <c r="D153" s="765">
        <v>8.8999999999999996E-2</v>
      </c>
      <c r="E153" s="765">
        <v>8.6999999999999994E-2</v>
      </c>
      <c r="F153" s="765">
        <v>7.4999999999999997E-2</v>
      </c>
      <c r="G153" s="796">
        <v>0.04</v>
      </c>
      <c r="H153" s="796">
        <v>4.2000000000000003E-2</v>
      </c>
      <c r="I153" s="797">
        <f t="shared" si="1"/>
        <v>8.6400000000000005E-2</v>
      </c>
      <c r="J153" s="69"/>
      <c r="K153" s="69"/>
      <c r="L153" s="69"/>
      <c r="M153" s="69"/>
      <c r="N153" s="100"/>
    </row>
    <row r="154" spans="1:14" ht="15" thickBot="1" x14ac:dyDescent="0.4">
      <c r="A154" s="99"/>
      <c r="B154" s="3192"/>
      <c r="C154" s="795" t="s">
        <v>2388</v>
      </c>
      <c r="D154" s="765">
        <v>0.113</v>
      </c>
      <c r="E154" s="765">
        <v>0.113</v>
      </c>
      <c r="F154" s="765">
        <v>0.09</v>
      </c>
      <c r="G154" s="796">
        <v>5.5E-2</v>
      </c>
      <c r="H154" s="796">
        <v>6.3E-2</v>
      </c>
      <c r="I154" s="797">
        <f t="shared" si="1"/>
        <v>0.11069999999999999</v>
      </c>
      <c r="J154" s="69"/>
      <c r="K154" s="69"/>
      <c r="L154" s="69"/>
      <c r="M154" s="69"/>
      <c r="N154" s="100"/>
    </row>
    <row r="155" spans="1:14" ht="15" thickBot="1" x14ac:dyDescent="0.4">
      <c r="A155" s="99"/>
      <c r="B155" s="3192"/>
      <c r="C155" s="795" t="s">
        <v>2386</v>
      </c>
      <c r="D155" s="765">
        <v>0.126</v>
      </c>
      <c r="E155" s="765">
        <v>0.126</v>
      </c>
      <c r="F155" s="765">
        <v>0.106</v>
      </c>
      <c r="G155" s="796">
        <v>6.8000000000000005E-2</v>
      </c>
      <c r="H155" s="796">
        <v>7.4999999999999997E-2</v>
      </c>
      <c r="I155" s="797">
        <f t="shared" si="1"/>
        <v>0.124</v>
      </c>
      <c r="J155" s="69"/>
      <c r="K155" s="69"/>
      <c r="L155" s="69"/>
      <c r="M155" s="69"/>
      <c r="N155" s="100"/>
    </row>
    <row r="156" spans="1:14" ht="15" thickBot="1" x14ac:dyDescent="0.4">
      <c r="A156" s="99"/>
      <c r="B156" s="3192"/>
      <c r="C156" s="795" t="s">
        <v>2504</v>
      </c>
      <c r="D156" s="765">
        <v>0.127</v>
      </c>
      <c r="E156" s="765">
        <v>0.11899999999999999</v>
      </c>
      <c r="F156" s="765">
        <v>0.114</v>
      </c>
      <c r="G156" s="796">
        <v>8.4000000000000005E-2</v>
      </c>
      <c r="H156" s="796">
        <v>9.5000000000000001E-2</v>
      </c>
      <c r="I156" s="797">
        <f t="shared" si="1"/>
        <v>0.12089999999999998</v>
      </c>
      <c r="J156" s="69"/>
      <c r="K156" s="69"/>
      <c r="L156" s="69"/>
      <c r="M156" s="69"/>
      <c r="N156" s="100"/>
    </row>
    <row r="157" spans="1:14" ht="15" thickBot="1" x14ac:dyDescent="0.4">
      <c r="A157" s="99"/>
      <c r="B157" s="3192"/>
      <c r="C157" s="795" t="s">
        <v>1859</v>
      </c>
      <c r="D157" s="765">
        <v>0.107</v>
      </c>
      <c r="E157" s="765">
        <v>0.107</v>
      </c>
      <c r="F157" s="765">
        <v>9.6000000000000002E-2</v>
      </c>
      <c r="G157" s="796">
        <v>7.2999999999999995E-2</v>
      </c>
      <c r="H157" s="796">
        <v>8.5999999999999993E-2</v>
      </c>
      <c r="I157" s="797">
        <f t="shared" si="1"/>
        <v>0.10589999999999999</v>
      </c>
      <c r="J157" s="69"/>
      <c r="K157" s="69"/>
      <c r="L157" s="69"/>
      <c r="M157" s="69"/>
      <c r="N157" s="100"/>
    </row>
    <row r="158" spans="1:14" ht="15" thickBot="1" x14ac:dyDescent="0.4">
      <c r="A158" s="99"/>
      <c r="B158" s="3192"/>
      <c r="C158" s="795" t="s">
        <v>2399</v>
      </c>
      <c r="D158" s="765">
        <v>0.11</v>
      </c>
      <c r="E158" s="765">
        <v>0.10100000000000001</v>
      </c>
      <c r="F158" s="765">
        <v>9.5000000000000001E-2</v>
      </c>
      <c r="G158" s="796">
        <v>6.2E-2</v>
      </c>
      <c r="H158" s="796">
        <v>7.0999999999999994E-2</v>
      </c>
      <c r="I158" s="797">
        <f t="shared" si="1"/>
        <v>0.1031</v>
      </c>
      <c r="J158" s="69"/>
      <c r="K158" s="69"/>
      <c r="L158" s="69"/>
      <c r="M158" s="69"/>
      <c r="N158" s="100"/>
    </row>
    <row r="159" spans="1:14" ht="15" thickBot="1" x14ac:dyDescent="0.4">
      <c r="A159" s="99"/>
      <c r="B159" s="3192"/>
      <c r="C159" s="795" t="s">
        <v>2398</v>
      </c>
      <c r="D159" s="765">
        <v>0.106</v>
      </c>
      <c r="E159" s="765">
        <v>9.8000000000000004E-2</v>
      </c>
      <c r="F159" s="765">
        <v>8.5999999999999993E-2</v>
      </c>
      <c r="G159" s="796">
        <v>5.8999999999999997E-2</v>
      </c>
      <c r="H159" s="796">
        <v>6.4000000000000001E-2</v>
      </c>
      <c r="I159" s="797">
        <f t="shared" si="1"/>
        <v>9.9199999999999983E-2</v>
      </c>
      <c r="J159" s="69"/>
      <c r="K159" s="69"/>
      <c r="L159" s="69"/>
      <c r="M159" s="69"/>
      <c r="N159" s="100"/>
    </row>
    <row r="160" spans="1:14" ht="15" thickBot="1" x14ac:dyDescent="0.4">
      <c r="A160" s="99"/>
      <c r="B160" s="3192"/>
      <c r="C160" s="795" t="s">
        <v>1862</v>
      </c>
      <c r="D160" s="765">
        <v>0.115</v>
      </c>
      <c r="E160" s="765">
        <v>0.108</v>
      </c>
      <c r="F160" s="765">
        <v>0.111</v>
      </c>
      <c r="G160" s="796">
        <v>6.9000000000000006E-2</v>
      </c>
      <c r="H160" s="796">
        <v>8.5000000000000006E-2</v>
      </c>
      <c r="I160" s="797">
        <f t="shared" si="1"/>
        <v>0.1104</v>
      </c>
      <c r="J160" s="69"/>
      <c r="K160" s="69"/>
      <c r="L160" s="69"/>
      <c r="M160" s="69"/>
      <c r="N160" s="100"/>
    </row>
    <row r="161" spans="1:14" ht="15" thickBot="1" x14ac:dyDescent="0.4">
      <c r="A161" s="99"/>
      <c r="B161" s="3193"/>
      <c r="C161" s="795" t="s">
        <v>1185</v>
      </c>
      <c r="D161" s="765">
        <v>0.123</v>
      </c>
      <c r="E161" s="765">
        <v>0.122</v>
      </c>
      <c r="F161" s="765">
        <v>0.108</v>
      </c>
      <c r="G161" s="796">
        <v>7.8E-2</v>
      </c>
      <c r="H161" s="796">
        <v>0.09</v>
      </c>
      <c r="I161" s="797">
        <f t="shared" si="1"/>
        <v>0.12090000000000001</v>
      </c>
      <c r="J161" s="69"/>
      <c r="K161" s="69"/>
      <c r="L161" s="69"/>
      <c r="M161" s="69"/>
      <c r="N161" s="100"/>
    </row>
    <row r="162" spans="1:14" ht="27.5" thickBot="1" x14ac:dyDescent="0.4">
      <c r="A162" s="99"/>
      <c r="B162" s="799" t="s">
        <v>2679</v>
      </c>
      <c r="C162" s="800" t="s">
        <v>2639</v>
      </c>
      <c r="D162" s="765">
        <v>0.39900000000000002</v>
      </c>
      <c r="E162" s="765">
        <v>0.39300000000000002</v>
      </c>
      <c r="F162" s="765">
        <v>0.35599999999999998</v>
      </c>
      <c r="G162" s="796">
        <v>0.31900000000000001</v>
      </c>
      <c r="H162" s="796">
        <v>0.32900000000000001</v>
      </c>
      <c r="I162" s="797">
        <f t="shared" si="1"/>
        <v>0.39110000000000006</v>
      </c>
      <c r="J162" s="69"/>
      <c r="K162" s="69"/>
      <c r="L162" s="69"/>
      <c r="M162" s="69"/>
      <c r="N162" s="100"/>
    </row>
    <row r="163" spans="1:14" ht="25.5" thickBot="1" x14ac:dyDescent="0.4">
      <c r="A163" s="99"/>
      <c r="B163" s="799" t="s">
        <v>2680</v>
      </c>
      <c r="C163" s="800" t="s">
        <v>2675</v>
      </c>
      <c r="D163" s="765">
        <v>0.69399999999999995</v>
      </c>
      <c r="E163" s="765">
        <v>0.69399999999999995</v>
      </c>
      <c r="F163" s="765">
        <v>0.69399999999999995</v>
      </c>
      <c r="G163" s="796">
        <v>0.69399999999999995</v>
      </c>
      <c r="H163" s="796">
        <v>0.69399999999999995</v>
      </c>
      <c r="I163" s="797">
        <f t="shared" si="1"/>
        <v>0.69399999999999995</v>
      </c>
      <c r="J163" s="69"/>
      <c r="K163" s="69"/>
      <c r="L163" s="69"/>
      <c r="M163" s="69"/>
      <c r="N163" s="100"/>
    </row>
    <row r="164" spans="1:14" ht="15" thickBot="1" x14ac:dyDescent="0.4">
      <c r="A164" s="99"/>
      <c r="B164" s="801" t="str">
        <f>I51</f>
        <v>Domestic Hot Water</v>
      </c>
      <c r="C164" s="795" t="s">
        <v>2640</v>
      </c>
      <c r="D164" s="765">
        <v>0.69399999999999995</v>
      </c>
      <c r="E164" s="765">
        <v>0.69399999999999995</v>
      </c>
      <c r="F164" s="765">
        <v>0.69399999999999995</v>
      </c>
      <c r="G164" s="796">
        <v>0.69399999999999995</v>
      </c>
      <c r="H164" s="796">
        <v>0.69399999999999995</v>
      </c>
      <c r="I164" s="797">
        <f t="shared" si="1"/>
        <v>0.69399999999999995</v>
      </c>
      <c r="J164" s="69"/>
      <c r="K164" s="69"/>
      <c r="L164" s="69"/>
      <c r="M164" s="69"/>
      <c r="N164" s="100"/>
    </row>
    <row r="165" spans="1:14" ht="15" thickBot="1" x14ac:dyDescent="0.4">
      <c r="A165" s="99"/>
      <c r="B165" s="801" t="s">
        <v>2676</v>
      </c>
      <c r="C165" s="795" t="s">
        <v>105</v>
      </c>
      <c r="D165" s="3194" t="s">
        <v>105</v>
      </c>
      <c r="E165" s="3195"/>
      <c r="F165" s="3195"/>
      <c r="G165" s="3195"/>
      <c r="H165" s="3195"/>
      <c r="I165" s="3196"/>
      <c r="J165" s="69"/>
      <c r="K165" s="69"/>
      <c r="L165" s="69"/>
      <c r="M165" s="69"/>
      <c r="N165" s="100"/>
    </row>
    <row r="166" spans="1:14" x14ac:dyDescent="0.35">
      <c r="A166" s="99"/>
      <c r="B166" s="69"/>
      <c r="C166" s="69"/>
      <c r="D166" s="69"/>
      <c r="E166" s="69"/>
      <c r="F166" s="69"/>
      <c r="G166" s="69"/>
      <c r="H166" s="69"/>
      <c r="I166" s="69"/>
      <c r="J166" s="69"/>
      <c r="K166" s="69"/>
      <c r="L166" s="69"/>
      <c r="M166" s="69"/>
      <c r="N166" s="100"/>
    </row>
    <row r="167" spans="1:14" x14ac:dyDescent="0.35">
      <c r="A167" s="99"/>
      <c r="B167" s="69"/>
      <c r="C167" s="69"/>
      <c r="D167" s="69"/>
      <c r="E167" s="69"/>
      <c r="F167" s="69"/>
      <c r="G167" s="69"/>
      <c r="H167" s="69"/>
      <c r="I167" s="69"/>
      <c r="J167" s="69"/>
      <c r="K167" s="69"/>
      <c r="L167" s="69"/>
      <c r="M167" s="69"/>
      <c r="N167" s="100"/>
    </row>
    <row r="168" spans="1:14" x14ac:dyDescent="0.35">
      <c r="A168" s="99"/>
      <c r="B168" s="69"/>
      <c r="C168" s="69"/>
      <c r="D168" s="69"/>
      <c r="E168" s="69"/>
      <c r="F168" s="69"/>
      <c r="G168" s="69"/>
      <c r="H168" s="69"/>
      <c r="I168" s="69"/>
      <c r="J168" s="69"/>
      <c r="K168" s="69"/>
      <c r="L168" s="69"/>
      <c r="M168" s="69"/>
      <c r="N168" s="100"/>
    </row>
    <row r="169" spans="1:14" x14ac:dyDescent="0.35">
      <c r="A169" s="99"/>
      <c r="B169" s="69"/>
      <c r="C169" s="69"/>
      <c r="D169" s="69"/>
      <c r="E169" s="69"/>
      <c r="F169" s="69"/>
      <c r="G169" s="69"/>
      <c r="H169" s="69"/>
      <c r="I169" s="69"/>
      <c r="J169" s="69"/>
      <c r="K169" s="69"/>
      <c r="L169" s="69"/>
      <c r="M169" s="69"/>
      <c r="N169" s="100"/>
    </row>
    <row r="170" spans="1:14" x14ac:dyDescent="0.35">
      <c r="A170" s="99"/>
      <c r="B170" s="69"/>
      <c r="C170" s="69"/>
      <c r="D170" s="69"/>
      <c r="E170" s="69"/>
      <c r="F170" s="69"/>
      <c r="G170" s="69"/>
      <c r="H170" s="69"/>
      <c r="I170" s="69"/>
      <c r="J170" s="69"/>
      <c r="K170" s="69"/>
      <c r="L170" s="69"/>
      <c r="M170" s="69"/>
      <c r="N170" s="100"/>
    </row>
    <row r="171" spans="1:14" x14ac:dyDescent="0.35">
      <c r="A171" s="99"/>
      <c r="B171" s="69"/>
      <c r="C171" s="69"/>
      <c r="D171" s="69"/>
      <c r="E171" s="69"/>
      <c r="F171" s="69"/>
      <c r="G171" s="69"/>
      <c r="H171" s="69"/>
      <c r="I171" s="69"/>
      <c r="J171" s="69"/>
      <c r="K171" s="69"/>
      <c r="L171" s="69"/>
      <c r="M171" s="69"/>
      <c r="N171" s="100"/>
    </row>
    <row r="172" spans="1:14" x14ac:dyDescent="0.35">
      <c r="A172" s="99"/>
      <c r="B172" s="69"/>
      <c r="C172" s="69"/>
      <c r="D172" s="69"/>
      <c r="E172" s="69"/>
      <c r="F172" s="69"/>
      <c r="G172" s="69"/>
      <c r="H172" s="69"/>
      <c r="I172" s="69"/>
      <c r="J172" s="69"/>
      <c r="K172" s="69"/>
      <c r="L172" s="69"/>
      <c r="M172" s="69"/>
      <c r="N172" s="100"/>
    </row>
    <row r="173" spans="1:14" x14ac:dyDescent="0.35">
      <c r="A173" s="99"/>
      <c r="B173" s="69"/>
      <c r="C173" s="69"/>
      <c r="D173" s="69"/>
      <c r="E173" s="69"/>
      <c r="F173" s="69"/>
      <c r="G173" s="69"/>
      <c r="H173" s="69"/>
      <c r="I173" s="69"/>
      <c r="J173" s="69"/>
      <c r="K173" s="69"/>
      <c r="L173" s="69"/>
      <c r="M173" s="69"/>
      <c r="N173" s="100"/>
    </row>
    <row r="174" spans="1:14" x14ac:dyDescent="0.35">
      <c r="A174" s="99"/>
      <c r="B174" s="69"/>
      <c r="C174" s="69"/>
      <c r="D174" s="69"/>
      <c r="E174" s="69"/>
      <c r="F174" s="69"/>
      <c r="G174" s="69"/>
      <c r="H174" s="69"/>
      <c r="I174" s="69"/>
      <c r="J174" s="69"/>
      <c r="K174" s="69"/>
      <c r="L174" s="69"/>
      <c r="M174" s="69"/>
      <c r="N174" s="100"/>
    </row>
    <row r="175" spans="1:14" ht="15" thickBot="1" x14ac:dyDescent="0.4">
      <c r="A175" s="261"/>
      <c r="B175" s="161"/>
      <c r="C175" s="161"/>
      <c r="D175" s="161"/>
      <c r="E175" s="161"/>
      <c r="F175" s="161"/>
      <c r="G175" s="161"/>
      <c r="H175" s="161"/>
      <c r="I175" s="161"/>
      <c r="J175" s="161"/>
      <c r="K175" s="161"/>
      <c r="L175" s="161"/>
      <c r="M175" s="161"/>
      <c r="N175" s="163"/>
    </row>
  </sheetData>
  <dataConsolidate link="1"/>
  <customSheetViews>
    <customSheetView guid="{ECD6FE6A-9548-414E-B8AA-6998703C57E0}" scale="85" showPageBreaks="1" fitToPage="1" view="pageBreakPreview">
      <pageMargins left="0" right="0" top="0" bottom="0" header="0" footer="0"/>
      <pageSetup scale="21" orientation="portrait" r:id="rId1"/>
    </customSheetView>
    <customSheetView guid="{11DE45F5-F478-4ED6-8DFF-12002C22A637}" scale="85" showPageBreaks="1" fitToPage="1" view="pageBreakPreview">
      <pageMargins left="0" right="0" top="0" bottom="0" header="0" footer="0"/>
      <pageSetup scale="21" orientation="portrait" r:id="rId2"/>
    </customSheetView>
  </customSheetViews>
  <mergeCells count="23">
    <mergeCell ref="B37:C37"/>
    <mergeCell ref="E37:F37"/>
    <mergeCell ref="P2:R2"/>
    <mergeCell ref="S2:U2"/>
    <mergeCell ref="V2:X2"/>
    <mergeCell ref="C25:I25"/>
    <mergeCell ref="H43:I43"/>
    <mergeCell ref="A49:B49"/>
    <mergeCell ref="H50:I50"/>
    <mergeCell ref="B61:F61"/>
    <mergeCell ref="B75:C75"/>
    <mergeCell ref="B128:B161"/>
    <mergeCell ref="D165:I165"/>
    <mergeCell ref="J82:K82"/>
    <mergeCell ref="B84:B117"/>
    <mergeCell ref="D121:I121"/>
    <mergeCell ref="B126:B127"/>
    <mergeCell ref="C126:C127"/>
    <mergeCell ref="D126:I126"/>
    <mergeCell ref="J126:K126"/>
    <mergeCell ref="B82:B83"/>
    <mergeCell ref="C82:C83"/>
    <mergeCell ref="D82:I82"/>
  </mergeCells>
  <dataValidations disablePrompts="1" count="7">
    <dataValidation type="list" allowBlank="1" showInputMessage="1" showErrorMessage="1" sqref="K4:K8" xr:uid="{00000000-0002-0000-2000-000000000000}">
      <formula1>IF(J4=$H$51,$C$84:$C$117,IF(J4=$H$52,$C$118,IF(J4=$H$53,$C$119,$C$120)))</formula1>
    </dataValidation>
    <dataValidation type="list" allowBlank="1" showInputMessage="1" showErrorMessage="1" sqref="G4:G8" xr:uid="{00000000-0002-0000-2000-000001000000}">
      <formula1>$H$56:$H$57</formula1>
    </dataValidation>
    <dataValidation type="list" allowBlank="1" showInputMessage="1" showErrorMessage="1" sqref="H4:H8" xr:uid="{00000000-0002-0000-2000-000002000000}">
      <formula1>$I$56:$I$57</formula1>
    </dataValidation>
    <dataValidation type="list" allowBlank="1" showInputMessage="1" showErrorMessage="1" sqref="J4:J8" xr:uid="{00000000-0002-0000-2000-000003000000}">
      <formula1>IF(I4=$I$52,$H$51:$H$53,$H$54)</formula1>
    </dataValidation>
    <dataValidation type="list" allowBlank="1" showInputMessage="1" showErrorMessage="1" sqref="I4:I8" xr:uid="{00000000-0002-0000-2000-000004000000}">
      <formula1>$I$51:$I$52</formula1>
    </dataValidation>
    <dataValidation type="list" allowBlank="1" showInputMessage="1" showErrorMessage="1" sqref="E4:E8" xr:uid="{00000000-0002-0000-2000-000005000000}">
      <formula1>$H$39:$H$40</formula1>
    </dataValidation>
    <dataValidation type="list" allowBlank="1" showInputMessage="1" showErrorMessage="1" sqref="D4:D8" xr:uid="{00000000-0002-0000-2000-000006000000}">
      <formula1>MeasureType</formula1>
    </dataValidation>
  </dataValidations>
  <hyperlinks>
    <hyperlink ref="A1" location="'Measure-Level Adjustments'!Print_Titles" display="Measure Level Tab" xr:uid="{64F9684B-3EB9-4CE1-BEE6-20D510391A7D}"/>
  </hyperlinks>
  <pageMargins left="0.7" right="0.7" top="0.75" bottom="0.75" header="0.3" footer="0.3"/>
  <pageSetup scale="21" orientation="portrait"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000-000007000000}">
          <x14:formula1>
            <xm:f>'T:\EEP Planning Models\Planning Tools\Measure_Data\Custom TRM EEP 3\[HIM_CI_TRMv5 0.xlsx]List'!#REF!</xm:f>
          </x14:formula1>
          <xm:sqref>L4:L8</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79998168889431442"/>
    <pageSetUpPr fitToPage="1"/>
  </sheetPr>
  <dimension ref="A1:AL130"/>
  <sheetViews>
    <sheetView view="pageBreakPreview" zoomScaleNormal="85" zoomScaleSheetLayoutView="100" workbookViewId="0">
      <pane xSplit="1" topLeftCell="L1" activePane="topRight" state="frozen"/>
      <selection pane="topRight" activeCell="V5" sqref="V5"/>
    </sheetView>
  </sheetViews>
  <sheetFormatPr defaultRowHeight="14.5" x14ac:dyDescent="0.35"/>
  <cols>
    <col min="1" max="1" width="15.7265625" customWidth="1"/>
    <col min="2" max="2" width="113.81640625" customWidth="1"/>
    <col min="3" max="3" width="48.81640625" customWidth="1"/>
    <col min="4" max="4" width="17.453125" customWidth="1"/>
    <col min="5" max="5" width="19.453125" customWidth="1"/>
    <col min="6" max="6" width="32.26953125" customWidth="1"/>
    <col min="7" max="7" width="49" customWidth="1"/>
    <col min="8" max="8" width="21.453125" customWidth="1"/>
    <col min="9" max="21" width="12.81640625" customWidth="1"/>
  </cols>
  <sheetData>
    <row r="1" spans="1:38" x14ac:dyDescent="0.35">
      <c r="A1" s="1799" t="s">
        <v>1031</v>
      </c>
    </row>
    <row r="2" spans="1:38" x14ac:dyDescent="0.35">
      <c r="A2" s="199" t="s">
        <v>355</v>
      </c>
    </row>
    <row r="3" spans="1:38" x14ac:dyDescent="0.35">
      <c r="A3" s="947"/>
      <c r="B3" s="993" t="s">
        <v>2681</v>
      </c>
      <c r="C3" s="997"/>
      <c r="D3" s="997"/>
      <c r="E3" s="948"/>
      <c r="F3" s="948"/>
      <c r="G3" s="998"/>
      <c r="H3" s="998"/>
      <c r="I3" s="998"/>
      <c r="J3" s="998"/>
      <c r="K3" s="998"/>
      <c r="L3" s="998"/>
      <c r="M3" s="3067" t="s">
        <v>1032</v>
      </c>
      <c r="N3" s="3067"/>
      <c r="O3" s="3067"/>
      <c r="P3" s="970"/>
      <c r="Q3" s="3067" t="s">
        <v>1033</v>
      </c>
      <c r="R3" s="3067"/>
      <c r="S3" s="3010"/>
      <c r="T3" s="1648"/>
      <c r="U3" s="3094" t="s">
        <v>1158</v>
      </c>
      <c r="V3" s="3095"/>
      <c r="W3" s="3095"/>
      <c r="X3" s="3095"/>
      <c r="Y3" s="3095"/>
      <c r="Z3" s="3095"/>
      <c r="AA3" s="3095"/>
      <c r="AB3" s="3095"/>
      <c r="AC3" s="3095"/>
      <c r="AD3" s="3095"/>
      <c r="AE3" s="3095"/>
      <c r="AF3" s="3095"/>
      <c r="AG3" s="3095"/>
      <c r="AH3" s="3095"/>
      <c r="AI3" s="3095"/>
      <c r="AJ3" s="3095"/>
      <c r="AK3" s="3095"/>
      <c r="AL3" t="s">
        <v>2682</v>
      </c>
    </row>
    <row r="4" spans="1:38" x14ac:dyDescent="0.35">
      <c r="A4" s="969" t="s">
        <v>1035</v>
      </c>
      <c r="B4" s="953" t="s">
        <v>155</v>
      </c>
      <c r="C4" s="953" t="s">
        <v>1036</v>
      </c>
      <c r="D4" s="953" t="s">
        <v>1037</v>
      </c>
      <c r="E4" s="998" t="s">
        <v>1038</v>
      </c>
      <c r="F4" s="998" t="s">
        <v>2683</v>
      </c>
      <c r="G4" s="998" t="s">
        <v>1039</v>
      </c>
      <c r="H4" s="998" t="s">
        <v>2684</v>
      </c>
      <c r="I4" s="998" t="s">
        <v>1703</v>
      </c>
      <c r="J4" s="998" t="s">
        <v>1041</v>
      </c>
      <c r="K4" s="998" t="s">
        <v>1570</v>
      </c>
      <c r="L4" s="998" t="s">
        <v>1290</v>
      </c>
      <c r="M4" s="998" t="s">
        <v>1044</v>
      </c>
      <c r="N4" s="998" t="s">
        <v>1045</v>
      </c>
      <c r="O4" s="998" t="s">
        <v>1046</v>
      </c>
      <c r="P4" s="998" t="s">
        <v>1164</v>
      </c>
      <c r="Q4" s="998" t="s">
        <v>1044</v>
      </c>
      <c r="R4" s="998" t="s">
        <v>1045</v>
      </c>
      <c r="S4" s="998" t="s">
        <v>1046</v>
      </c>
      <c r="T4" s="952" t="s">
        <v>1164</v>
      </c>
      <c r="U4" s="1683" t="s">
        <v>2685</v>
      </c>
      <c r="V4" s="349" t="s">
        <v>2686</v>
      </c>
      <c r="W4" s="49" t="s">
        <v>2687</v>
      </c>
      <c r="X4" s="49" t="s">
        <v>2688</v>
      </c>
      <c r="Y4" s="49" t="s">
        <v>2689</v>
      </c>
      <c r="Z4" s="49" t="s">
        <v>2690</v>
      </c>
      <c r="AA4" s="49" t="s">
        <v>2691</v>
      </c>
      <c r="AB4" s="49" t="s">
        <v>2692</v>
      </c>
      <c r="AC4" s="49" t="s">
        <v>2693</v>
      </c>
      <c r="AD4" s="1764" t="s">
        <v>2694</v>
      </c>
      <c r="AE4" s="1764" t="s">
        <v>2695</v>
      </c>
      <c r="AF4" s="1764" t="s">
        <v>2696</v>
      </c>
      <c r="AG4" s="49" t="s">
        <v>2697</v>
      </c>
      <c r="AH4" s="49" t="s">
        <v>1641</v>
      </c>
      <c r="AI4" s="49" t="s">
        <v>2698</v>
      </c>
      <c r="AJ4" s="349" t="s">
        <v>2699</v>
      </c>
      <c r="AK4" s="49" t="s">
        <v>2700</v>
      </c>
      <c r="AL4" s="254" t="s">
        <v>2701</v>
      </c>
    </row>
    <row r="5" spans="1:38" ht="43.5" x14ac:dyDescent="0.35">
      <c r="A5" s="955" t="s">
        <v>359</v>
      </c>
      <c r="B5" s="955" t="str">
        <f>$B$3&amp;" - "&amp;H5&amp;", "&amp;F5</f>
        <v>Steam Trap Replacement or Repair  - Industrial Medium Pressure &gt;15 psig &lt; 30 psig, Custom Survey</v>
      </c>
      <c r="C5" s="956" t="s">
        <v>358</v>
      </c>
      <c r="D5" s="957" t="s">
        <v>2702</v>
      </c>
      <c r="E5" s="69" t="s">
        <v>1072</v>
      </c>
      <c r="F5" s="972" t="s">
        <v>2703</v>
      </c>
      <c r="G5" s="1000">
        <f t="shared" ref="G5:G14" si="0">+$B$68</f>
        <v>6</v>
      </c>
      <c r="H5" s="972" t="s">
        <v>2704</v>
      </c>
      <c r="I5" s="972" t="s">
        <v>105</v>
      </c>
      <c r="J5" s="1000" t="s">
        <v>1284</v>
      </c>
      <c r="K5" s="1018"/>
      <c r="L5" s="1003"/>
      <c r="M5" s="2014"/>
      <c r="N5" s="2015"/>
      <c r="O5" s="2014">
        <f>V5*(AC5+AD5*(AE5-AF5))*AH5*AJ5/(100000*AG5)</f>
        <v>762.90491998307095</v>
      </c>
      <c r="P5" s="2014"/>
      <c r="Q5" s="2014"/>
      <c r="R5" s="2014"/>
      <c r="S5" s="2016">
        <f t="shared" ref="S5:S10" si="1">O5*G5</f>
        <v>4577.4295198984255</v>
      </c>
      <c r="T5" s="1909">
        <f>P5*G5</f>
        <v>0</v>
      </c>
      <c r="U5" s="49">
        <f t="shared" ref="U5:U24" si="2">VLOOKUP(I5, $C$74:$D$79, 2, FALSE)</f>
        <v>13</v>
      </c>
      <c r="V5" s="126">
        <f t="shared" ref="V5:V10" si="3">+($B$66*$W5*($Z5^2)*$AA5*$AB5)</f>
        <v>6.5405390624999988</v>
      </c>
      <c r="W5" s="376">
        <f t="shared" ref="W5:W13" si="4">+X5+Y5</f>
        <v>30.7</v>
      </c>
      <c r="X5" s="376">
        <f t="shared" ref="X5:X24" si="5">VLOOKUP($H5,$B$117:$G$126,2,FALSE)</f>
        <v>16</v>
      </c>
      <c r="Y5" s="376">
        <f t="shared" ref="Y5:Y24" si="6">+$B$58</f>
        <v>14.7</v>
      </c>
      <c r="Z5" s="49">
        <f t="shared" ref="Z5:Z24" si="7">VLOOKUP($H5,$B$117:$G$126,3,FALSE)</f>
        <v>0.1875</v>
      </c>
      <c r="AA5" s="49">
        <f t="shared" ref="AA5:AA24" si="8">VLOOKUP($H5,$B$117:$G$126,4,FALSE)</f>
        <v>0.5</v>
      </c>
      <c r="AB5" s="49">
        <f t="shared" ref="AB5:AB24" si="9">VLOOKUP($H5,$B$117:$G$126,5,FALSE)</f>
        <v>0.5</v>
      </c>
      <c r="AC5" s="49">
        <f t="shared" ref="AC5:AC24" si="10">VLOOKUP(H5,$B$88:$F$96,5,FALSE)</f>
        <v>944</v>
      </c>
      <c r="AD5" s="1764">
        <v>1.0009999999999999</v>
      </c>
      <c r="AE5" s="1765">
        <f>507.89*(X5+Y5)^0.0962</f>
        <v>706.0449867484856</v>
      </c>
      <c r="AF5" s="1764">
        <v>513.66999999999996</v>
      </c>
      <c r="AG5" s="263">
        <f t="shared" ref="AG5:AG24" si="11">VLOOKUP(H5,$B$88:$G$96,6,FALSE)</f>
        <v>0.80700000000000005</v>
      </c>
      <c r="AH5" s="49">
        <f t="shared" ref="AH5:AH24" si="12">VLOOKUP(H5,$B$88:$N$96,U5,FALSE)</f>
        <v>8282</v>
      </c>
      <c r="AI5" s="61">
        <f t="shared" ref="AI5:AI24" si="13">+$B$62</f>
        <v>0.5</v>
      </c>
      <c r="AJ5" s="49">
        <f t="shared" ref="AJ5:AJ24" si="14">VLOOKUP(F5,$B$101:$K$103,AK5,FALSE)</f>
        <v>1</v>
      </c>
      <c r="AK5" s="49">
        <f t="shared" ref="AK5:AK24" si="15">VLOOKUP(H5,$B$106:$C$114,2,FALSE)</f>
        <v>5</v>
      </c>
      <c r="AL5" t="s">
        <v>2705</v>
      </c>
    </row>
    <row r="6" spans="1:38" ht="29" x14ac:dyDescent="0.35">
      <c r="A6" s="955" t="s">
        <v>361</v>
      </c>
      <c r="B6" s="955" t="str">
        <f t="shared" ref="B6:B11" si="16">$B$3&amp;" - "&amp;H6&amp;", "&amp;F6</f>
        <v>Steam Trap Replacement or Repair  - Industrial Medium Pressure ≥30 &lt;75 psig, Custom Survey</v>
      </c>
      <c r="C6" s="956" t="s">
        <v>360</v>
      </c>
      <c r="D6" s="957" t="s">
        <v>2702</v>
      </c>
      <c r="E6" s="69" t="s">
        <v>1072</v>
      </c>
      <c r="F6" s="972" t="s">
        <v>2703</v>
      </c>
      <c r="G6" s="1000">
        <f t="shared" si="0"/>
        <v>6</v>
      </c>
      <c r="H6" s="972" t="s">
        <v>2706</v>
      </c>
      <c r="I6" s="972" t="s">
        <v>105</v>
      </c>
      <c r="J6" s="1000" t="s">
        <v>1284</v>
      </c>
      <c r="K6" s="1018"/>
      <c r="L6" s="1003"/>
      <c r="M6" s="2014"/>
      <c r="N6" s="2015"/>
      <c r="O6" s="2014">
        <f t="shared" ref="O6:O13" si="17">V6*(AC6+AD6*(AE6-AF6))*AH6*AJ6/(100000*AG6)</f>
        <v>2773.9803407924196</v>
      </c>
      <c r="P6" s="2014"/>
      <c r="Q6" s="2014"/>
      <c r="R6" s="2014"/>
      <c r="S6" s="2016">
        <f t="shared" si="1"/>
        <v>16643.882044754519</v>
      </c>
      <c r="T6" s="1909">
        <f t="shared" ref="T6:T13" si="18">P6*G6</f>
        <v>0</v>
      </c>
      <c r="U6" s="49">
        <f t="shared" si="2"/>
        <v>13</v>
      </c>
      <c r="V6" s="126">
        <f t="shared" si="3"/>
        <v>23.368874999999999</v>
      </c>
      <c r="W6" s="49">
        <f t="shared" si="4"/>
        <v>61.7</v>
      </c>
      <c r="X6" s="49">
        <f t="shared" si="5"/>
        <v>47</v>
      </c>
      <c r="Y6" s="49">
        <f t="shared" si="6"/>
        <v>14.7</v>
      </c>
      <c r="Z6" s="49">
        <f t="shared" si="7"/>
        <v>0.25</v>
      </c>
      <c r="AA6" s="49">
        <f t="shared" si="8"/>
        <v>0.5</v>
      </c>
      <c r="AB6" s="49">
        <f t="shared" si="9"/>
        <v>0.5</v>
      </c>
      <c r="AC6" s="49">
        <f t="shared" si="10"/>
        <v>915</v>
      </c>
      <c r="AD6" s="1764">
        <v>1.0009999999999999</v>
      </c>
      <c r="AE6" s="1765">
        <f t="shared" ref="AE6:AE13" si="19">507.89*(X6+Y6)^0.0962</f>
        <v>755.08369910925933</v>
      </c>
      <c r="AF6" s="1764">
        <v>513.66999999999996</v>
      </c>
      <c r="AG6" s="263">
        <f t="shared" si="11"/>
        <v>0.80700000000000005</v>
      </c>
      <c r="AH6" s="49">
        <f t="shared" si="12"/>
        <v>8282</v>
      </c>
      <c r="AI6" s="61">
        <f t="shared" si="13"/>
        <v>0.5</v>
      </c>
      <c r="AJ6" s="49">
        <f t="shared" si="14"/>
        <v>1</v>
      </c>
      <c r="AK6" s="49">
        <f t="shared" si="15"/>
        <v>6</v>
      </c>
    </row>
    <row r="7" spans="1:38" ht="29" x14ac:dyDescent="0.35">
      <c r="A7" s="955" t="s">
        <v>363</v>
      </c>
      <c r="B7" s="955" t="str">
        <f t="shared" si="16"/>
        <v>Steam Trap Replacement or Repair  - Industrial High Pressure ≥75 &lt;125 psig, Custom Survey</v>
      </c>
      <c r="C7" s="956" t="s">
        <v>362</v>
      </c>
      <c r="D7" s="957" t="s">
        <v>2702</v>
      </c>
      <c r="E7" s="69" t="s">
        <v>1072</v>
      </c>
      <c r="F7" s="972" t="s">
        <v>2703</v>
      </c>
      <c r="G7" s="1000">
        <f t="shared" si="0"/>
        <v>6</v>
      </c>
      <c r="H7" s="972" t="s">
        <v>2707</v>
      </c>
      <c r="I7" s="972" t="s">
        <v>105</v>
      </c>
      <c r="J7" s="1000" t="s">
        <v>1284</v>
      </c>
      <c r="K7" s="1018"/>
      <c r="L7" s="1003"/>
      <c r="M7" s="2014"/>
      <c r="N7" s="2015"/>
      <c r="O7" s="2014">
        <f t="shared" si="17"/>
        <v>5256.3081214778895</v>
      </c>
      <c r="P7" s="2014"/>
      <c r="Q7" s="2014"/>
      <c r="R7" s="2014"/>
      <c r="S7" s="2016">
        <f t="shared" si="1"/>
        <v>31537.848728867335</v>
      </c>
      <c r="T7" s="1909">
        <f t="shared" si="18"/>
        <v>0</v>
      </c>
      <c r="U7" s="49">
        <f t="shared" si="2"/>
        <v>13</v>
      </c>
      <c r="V7" s="126">
        <f t="shared" si="3"/>
        <v>43.821374999999996</v>
      </c>
      <c r="W7" s="49">
        <f t="shared" si="4"/>
        <v>115.7</v>
      </c>
      <c r="X7" s="49">
        <f t="shared" si="5"/>
        <v>101</v>
      </c>
      <c r="Y7" s="49">
        <f t="shared" si="6"/>
        <v>14.7</v>
      </c>
      <c r="Z7" s="49">
        <f t="shared" si="7"/>
        <v>0.25</v>
      </c>
      <c r="AA7" s="49">
        <f t="shared" si="8"/>
        <v>0.5</v>
      </c>
      <c r="AB7" s="49">
        <f t="shared" si="9"/>
        <v>0.5</v>
      </c>
      <c r="AC7" s="49">
        <f t="shared" si="10"/>
        <v>880</v>
      </c>
      <c r="AD7" s="1764">
        <v>1.0009999999999999</v>
      </c>
      <c r="AE7" s="1765">
        <f t="shared" si="19"/>
        <v>802.16245500847185</v>
      </c>
      <c r="AF7" s="1764">
        <v>513.66999999999996</v>
      </c>
      <c r="AG7" s="263">
        <f t="shared" si="11"/>
        <v>0.80700000000000005</v>
      </c>
      <c r="AH7" s="49">
        <f t="shared" si="12"/>
        <v>8282</v>
      </c>
      <c r="AI7" s="61">
        <f t="shared" si="13"/>
        <v>0.5</v>
      </c>
      <c r="AJ7" s="49">
        <f t="shared" si="14"/>
        <v>1</v>
      </c>
      <c r="AK7" s="49">
        <f t="shared" si="15"/>
        <v>7</v>
      </c>
    </row>
    <row r="8" spans="1:38" ht="29" x14ac:dyDescent="0.35">
      <c r="A8" s="955" t="s">
        <v>365</v>
      </c>
      <c r="B8" s="955" t="str">
        <f t="shared" si="16"/>
        <v>Steam Trap Replacement or Repair  - Industrial High Pressure ≥125 &lt;175 psig, Custom Survey</v>
      </c>
      <c r="C8" s="956" t="s">
        <v>364</v>
      </c>
      <c r="D8" s="957" t="s">
        <v>2702</v>
      </c>
      <c r="E8" s="69" t="s">
        <v>1072</v>
      </c>
      <c r="F8" s="972" t="s">
        <v>2703</v>
      </c>
      <c r="G8" s="1000">
        <f t="shared" si="0"/>
        <v>6</v>
      </c>
      <c r="H8" s="972" t="s">
        <v>2708</v>
      </c>
      <c r="I8" s="972" t="s">
        <v>105</v>
      </c>
      <c r="J8" s="1000" t="s">
        <v>1284</v>
      </c>
      <c r="K8" s="1018"/>
      <c r="L8" s="1003"/>
      <c r="M8" s="2014"/>
      <c r="N8" s="2015"/>
      <c r="O8" s="2014">
        <f t="shared" si="17"/>
        <v>7330.5589709869309</v>
      </c>
      <c r="P8" s="2014"/>
      <c r="Q8" s="2014"/>
      <c r="R8" s="2014"/>
      <c r="S8" s="2016">
        <f t="shared" si="1"/>
        <v>43983.353825921586</v>
      </c>
      <c r="T8" s="1909">
        <f t="shared" si="18"/>
        <v>0</v>
      </c>
      <c r="U8" s="49">
        <f t="shared" si="2"/>
        <v>13</v>
      </c>
      <c r="V8" s="126">
        <f t="shared" si="3"/>
        <v>60.865124999999992</v>
      </c>
      <c r="W8" s="49">
        <f t="shared" si="4"/>
        <v>160.69999999999999</v>
      </c>
      <c r="X8" s="49">
        <f t="shared" si="5"/>
        <v>146</v>
      </c>
      <c r="Y8" s="49">
        <f t="shared" si="6"/>
        <v>14.7</v>
      </c>
      <c r="Z8" s="49">
        <f t="shared" si="7"/>
        <v>0.25</v>
      </c>
      <c r="AA8" s="49">
        <f t="shared" si="8"/>
        <v>0.5</v>
      </c>
      <c r="AB8" s="49">
        <f t="shared" si="9"/>
        <v>0.5</v>
      </c>
      <c r="AC8" s="49">
        <f t="shared" si="10"/>
        <v>859</v>
      </c>
      <c r="AD8" s="1764">
        <v>1.0009999999999999</v>
      </c>
      <c r="AE8" s="1765">
        <f t="shared" si="19"/>
        <v>827.92002928869147</v>
      </c>
      <c r="AF8" s="1764">
        <v>513.66999999999996</v>
      </c>
      <c r="AG8" s="263">
        <f t="shared" si="11"/>
        <v>0.80700000000000005</v>
      </c>
      <c r="AH8" s="49">
        <f t="shared" si="12"/>
        <v>8282</v>
      </c>
      <c r="AI8" s="61">
        <f t="shared" si="13"/>
        <v>0.5</v>
      </c>
      <c r="AJ8" s="49">
        <f t="shared" si="14"/>
        <v>1</v>
      </c>
      <c r="AK8" s="49">
        <f t="shared" si="15"/>
        <v>8</v>
      </c>
    </row>
    <row r="9" spans="1:38" ht="29" x14ac:dyDescent="0.35">
      <c r="A9" s="955" t="s">
        <v>367</v>
      </c>
      <c r="B9" s="955" t="str">
        <f t="shared" si="16"/>
        <v>Steam Trap Replacement or Repair  - Industrial High Pressure ≥175 &lt;250 psig, Custom Survey</v>
      </c>
      <c r="C9" s="956" t="s">
        <v>366</v>
      </c>
      <c r="D9" s="957" t="s">
        <v>2702</v>
      </c>
      <c r="E9" s="69" t="s">
        <v>1072</v>
      </c>
      <c r="F9" s="972" t="s">
        <v>2703</v>
      </c>
      <c r="G9" s="1000">
        <f t="shared" si="0"/>
        <v>6</v>
      </c>
      <c r="H9" s="972" t="s">
        <v>2709</v>
      </c>
      <c r="I9" s="972" t="s">
        <v>105</v>
      </c>
      <c r="J9" s="1000" t="s">
        <v>1284</v>
      </c>
      <c r="K9" s="1018"/>
      <c r="L9" s="1003"/>
      <c r="M9" s="2014"/>
      <c r="N9" s="2015"/>
      <c r="O9" s="2014">
        <f t="shared" si="17"/>
        <v>9903.4578866889951</v>
      </c>
      <c r="P9" s="2014"/>
      <c r="Q9" s="2014"/>
      <c r="R9" s="2014"/>
      <c r="S9" s="2016">
        <f t="shared" si="1"/>
        <v>59420.747320133974</v>
      </c>
      <c r="T9" s="1909">
        <f t="shared" si="18"/>
        <v>0</v>
      </c>
      <c r="U9" s="49">
        <f t="shared" si="2"/>
        <v>13</v>
      </c>
      <c r="V9" s="126">
        <f t="shared" si="3"/>
        <v>82.075124999999986</v>
      </c>
      <c r="W9" s="49">
        <f t="shared" si="4"/>
        <v>216.7</v>
      </c>
      <c r="X9" s="49">
        <f t="shared" si="5"/>
        <v>202</v>
      </c>
      <c r="Y9" s="49">
        <f t="shared" si="6"/>
        <v>14.7</v>
      </c>
      <c r="Z9" s="49">
        <f t="shared" si="7"/>
        <v>0.25</v>
      </c>
      <c r="AA9" s="49">
        <f t="shared" si="8"/>
        <v>0.5</v>
      </c>
      <c r="AB9" s="49">
        <f t="shared" si="9"/>
        <v>0.5</v>
      </c>
      <c r="AC9" s="49">
        <f t="shared" si="10"/>
        <v>837</v>
      </c>
      <c r="AD9" s="1764">
        <v>1.0009999999999999</v>
      </c>
      <c r="AE9" s="1765">
        <f t="shared" si="19"/>
        <v>852.07787624870821</v>
      </c>
      <c r="AF9" s="1764">
        <v>513.66999999999996</v>
      </c>
      <c r="AG9" s="263">
        <f t="shared" si="11"/>
        <v>0.80700000000000005</v>
      </c>
      <c r="AH9" s="49">
        <f t="shared" si="12"/>
        <v>8282</v>
      </c>
      <c r="AI9" s="61">
        <f t="shared" si="13"/>
        <v>0.5</v>
      </c>
      <c r="AJ9" s="49">
        <f t="shared" si="14"/>
        <v>1</v>
      </c>
      <c r="AK9" s="49">
        <f t="shared" si="15"/>
        <v>9</v>
      </c>
    </row>
    <row r="10" spans="1:38" ht="29" x14ac:dyDescent="0.35">
      <c r="A10" s="955" t="s">
        <v>369</v>
      </c>
      <c r="B10" s="955" t="str">
        <f t="shared" si="16"/>
        <v>Steam Trap Replacement or Repair  - Industrial High Pressure ≥250 psig, Custom Survey</v>
      </c>
      <c r="C10" s="956" t="s">
        <v>368</v>
      </c>
      <c r="D10" s="957" t="s">
        <v>2702</v>
      </c>
      <c r="E10" s="69" t="s">
        <v>1072</v>
      </c>
      <c r="F10" s="972" t="s">
        <v>2703</v>
      </c>
      <c r="G10" s="1000">
        <f t="shared" si="0"/>
        <v>6</v>
      </c>
      <c r="H10" s="972" t="s">
        <v>2710</v>
      </c>
      <c r="I10" s="972" t="s">
        <v>105</v>
      </c>
      <c r="J10" s="1000" t="s">
        <v>1284</v>
      </c>
      <c r="K10" s="1018"/>
      <c r="L10" s="1003"/>
      <c r="M10" s="2014"/>
      <c r="N10" s="2015"/>
      <c r="O10" s="2014">
        <f t="shared" si="17"/>
        <v>12686.870831068883</v>
      </c>
      <c r="P10" s="2014"/>
      <c r="Q10" s="2014"/>
      <c r="R10" s="2014"/>
      <c r="S10" s="2016">
        <f t="shared" si="1"/>
        <v>76121.224986413305</v>
      </c>
      <c r="T10" s="1909">
        <f t="shared" si="18"/>
        <v>0</v>
      </c>
      <c r="U10" s="49">
        <f t="shared" si="2"/>
        <v>13</v>
      </c>
      <c r="V10" s="126">
        <f t="shared" si="3"/>
        <v>105.17887499999999</v>
      </c>
      <c r="W10" s="49">
        <f t="shared" si="4"/>
        <v>277.7</v>
      </c>
      <c r="X10" s="49">
        <f t="shared" si="5"/>
        <v>263</v>
      </c>
      <c r="Y10" s="49">
        <f t="shared" si="6"/>
        <v>14.7</v>
      </c>
      <c r="Z10" s="49">
        <f t="shared" si="7"/>
        <v>0.25</v>
      </c>
      <c r="AA10" s="49">
        <f t="shared" si="8"/>
        <v>0.5</v>
      </c>
      <c r="AB10" s="49">
        <f t="shared" si="9"/>
        <v>0.5</v>
      </c>
      <c r="AC10" s="49">
        <f t="shared" si="10"/>
        <v>816</v>
      </c>
      <c r="AD10" s="1764">
        <v>1.0009999999999999</v>
      </c>
      <c r="AE10" s="1765">
        <f t="shared" si="19"/>
        <v>872.65315180829191</v>
      </c>
      <c r="AF10" s="1764">
        <v>513.66999999999996</v>
      </c>
      <c r="AG10" s="263">
        <f t="shared" si="11"/>
        <v>0.80700000000000005</v>
      </c>
      <c r="AH10" s="49">
        <f t="shared" si="12"/>
        <v>8282</v>
      </c>
      <c r="AI10" s="61">
        <f t="shared" si="13"/>
        <v>0.5</v>
      </c>
      <c r="AJ10" s="49">
        <f t="shared" si="14"/>
        <v>1</v>
      </c>
      <c r="AK10" s="49">
        <f t="shared" si="15"/>
        <v>10</v>
      </c>
    </row>
    <row r="11" spans="1:38" ht="15" customHeight="1" x14ac:dyDescent="0.35">
      <c r="A11" s="955" t="s">
        <v>354</v>
      </c>
      <c r="B11" s="955" t="str">
        <f t="shared" si="16"/>
        <v>Steam Trap Replacement or Repair  - Commercial Heating , (including Multifamily) low pressure steam, all replaced</v>
      </c>
      <c r="C11" s="956" t="s">
        <v>353</v>
      </c>
      <c r="D11" s="957" t="s">
        <v>2702</v>
      </c>
      <c r="E11" s="69" t="s">
        <v>1072</v>
      </c>
      <c r="F11" s="972" t="s">
        <v>2711</v>
      </c>
      <c r="G11" s="1000">
        <f t="shared" si="0"/>
        <v>6</v>
      </c>
      <c r="H11" s="972" t="s">
        <v>2712</v>
      </c>
      <c r="I11" s="972" t="s">
        <v>105</v>
      </c>
      <c r="J11" s="1000" t="s">
        <v>1284</v>
      </c>
      <c r="K11" s="1018"/>
      <c r="L11" s="1003"/>
      <c r="M11" s="2014"/>
      <c r="N11" s="2015"/>
      <c r="O11" s="2014">
        <f t="shared" si="17"/>
        <v>102.13709764839483</v>
      </c>
      <c r="P11" s="2014"/>
      <c r="Q11" s="2014"/>
      <c r="R11" s="2014"/>
      <c r="S11" s="2016">
        <f t="shared" ref="S11:S21" si="20">O11*G11</f>
        <v>612.82258589036894</v>
      </c>
      <c r="T11" s="1909">
        <f t="shared" si="18"/>
        <v>0</v>
      </c>
      <c r="U11" s="49">
        <f t="shared" si="2"/>
        <v>13</v>
      </c>
      <c r="V11" s="126">
        <f>+$G$118</f>
        <v>6.9</v>
      </c>
      <c r="W11" s="49">
        <f t="shared" si="4"/>
        <v>14.7</v>
      </c>
      <c r="X11" s="376">
        <f t="shared" si="5"/>
        <v>0</v>
      </c>
      <c r="Y11" s="49">
        <f t="shared" si="6"/>
        <v>14.7</v>
      </c>
      <c r="Z11" s="376">
        <f t="shared" si="7"/>
        <v>0</v>
      </c>
      <c r="AA11" s="49">
        <f t="shared" si="8"/>
        <v>0.5</v>
      </c>
      <c r="AB11" s="49">
        <f t="shared" si="9"/>
        <v>1</v>
      </c>
      <c r="AC11" s="49">
        <f t="shared" si="10"/>
        <v>951</v>
      </c>
      <c r="AD11" s="1764">
        <v>1.0009999999999999</v>
      </c>
      <c r="AE11" s="1765">
        <f t="shared" si="19"/>
        <v>657.7571679880208</v>
      </c>
      <c r="AF11" s="1764">
        <v>513.66999999999996</v>
      </c>
      <c r="AG11" s="263">
        <f t="shared" si="11"/>
        <v>0.80700000000000005</v>
      </c>
      <c r="AH11" s="49">
        <f t="shared" si="12"/>
        <v>4039.6</v>
      </c>
      <c r="AI11" s="61">
        <f t="shared" si="13"/>
        <v>0.5</v>
      </c>
      <c r="AJ11" s="49">
        <f t="shared" si="14"/>
        <v>0.27</v>
      </c>
      <c r="AK11" s="49">
        <f t="shared" si="15"/>
        <v>3</v>
      </c>
    </row>
    <row r="12" spans="1:38" ht="29" x14ac:dyDescent="0.35">
      <c r="A12" s="955" t="s">
        <v>2713</v>
      </c>
      <c r="B12" s="955" t="s">
        <v>2714</v>
      </c>
      <c r="C12" s="956" t="s">
        <v>2715</v>
      </c>
      <c r="D12" s="957" t="s">
        <v>2702</v>
      </c>
      <c r="E12" s="69" t="s">
        <v>1072</v>
      </c>
      <c r="F12" s="972" t="s">
        <v>2716</v>
      </c>
      <c r="G12" s="1000">
        <f t="shared" si="0"/>
        <v>6</v>
      </c>
      <c r="H12" s="972" t="s">
        <v>2717</v>
      </c>
      <c r="I12" s="972" t="s">
        <v>105</v>
      </c>
      <c r="J12" s="1000" t="s">
        <v>1284</v>
      </c>
      <c r="K12" s="1018"/>
      <c r="L12" s="1003"/>
      <c r="M12" s="2014"/>
      <c r="N12" s="2015"/>
      <c r="O12" s="2014">
        <f t="shared" si="17"/>
        <v>573.91599793137232</v>
      </c>
      <c r="P12" s="2014"/>
      <c r="Q12" s="2014"/>
      <c r="R12" s="2014"/>
      <c r="S12" s="2016">
        <f t="shared" si="20"/>
        <v>3443.4959875882341</v>
      </c>
      <c r="T12" s="1909">
        <f t="shared" si="18"/>
        <v>0</v>
      </c>
      <c r="U12" s="49">
        <f t="shared" si="2"/>
        <v>13</v>
      </c>
      <c r="V12" s="126">
        <f>+$G$118</f>
        <v>6.9</v>
      </c>
      <c r="W12" s="49">
        <f t="shared" si="4"/>
        <v>14.7</v>
      </c>
      <c r="X12" s="376">
        <f t="shared" si="5"/>
        <v>0</v>
      </c>
      <c r="Y12" s="49">
        <f t="shared" si="6"/>
        <v>14.7</v>
      </c>
      <c r="Z12" s="376">
        <f t="shared" si="7"/>
        <v>0</v>
      </c>
      <c r="AA12" s="49">
        <f t="shared" si="8"/>
        <v>0.5</v>
      </c>
      <c r="AB12" s="49">
        <f t="shared" si="9"/>
        <v>1</v>
      </c>
      <c r="AC12" s="49">
        <f t="shared" si="10"/>
        <v>951</v>
      </c>
      <c r="AD12" s="1764">
        <v>1.0009999999999999</v>
      </c>
      <c r="AE12" s="1765">
        <f t="shared" si="19"/>
        <v>657.7571679880208</v>
      </c>
      <c r="AF12" s="1764">
        <v>513.66999999999996</v>
      </c>
      <c r="AG12" s="263">
        <f t="shared" si="11"/>
        <v>0.80700000000000005</v>
      </c>
      <c r="AH12" s="49">
        <f t="shared" si="12"/>
        <v>8282</v>
      </c>
      <c r="AI12" s="61">
        <f t="shared" si="13"/>
        <v>0.5</v>
      </c>
      <c r="AJ12" s="124">
        <f t="shared" si="14"/>
        <v>0.74</v>
      </c>
      <c r="AK12" s="49">
        <f t="shared" si="15"/>
        <v>4</v>
      </c>
    </row>
    <row r="13" spans="1:38" ht="29" x14ac:dyDescent="0.35">
      <c r="A13" s="955" t="s">
        <v>542</v>
      </c>
      <c r="B13" s="955" t="str">
        <f>$B$3&amp;" - "&amp;H13&amp;", "&amp;F13</f>
        <v>Steam Trap Replacement or Repair  - Commercial Dry Cleaners, Custom Survey</v>
      </c>
      <c r="C13" s="956" t="s">
        <v>541</v>
      </c>
      <c r="D13" s="957" t="s">
        <v>2702</v>
      </c>
      <c r="E13" s="69" t="s">
        <v>1072</v>
      </c>
      <c r="F13" s="972" t="s">
        <v>2703</v>
      </c>
      <c r="G13" s="1000">
        <f t="shared" si="0"/>
        <v>6</v>
      </c>
      <c r="H13" s="972" t="s">
        <v>2718</v>
      </c>
      <c r="I13" s="972" t="s">
        <v>105</v>
      </c>
      <c r="J13" s="1000" t="s">
        <v>1284</v>
      </c>
      <c r="K13" s="1018"/>
      <c r="L13" s="1003"/>
      <c r="M13" s="2014"/>
      <c r="N13" s="2015"/>
      <c r="O13" s="2014">
        <f t="shared" si="17"/>
        <v>648.01507774707386</v>
      </c>
      <c r="P13" s="2014"/>
      <c r="Q13" s="2014"/>
      <c r="R13" s="2014"/>
      <c r="S13" s="2016">
        <f t="shared" si="20"/>
        <v>3888.0904664824429</v>
      </c>
      <c r="T13" s="1909">
        <f t="shared" si="18"/>
        <v>0</v>
      </c>
      <c r="U13" s="49">
        <f t="shared" si="2"/>
        <v>13</v>
      </c>
      <c r="V13" s="126">
        <f>+$G$117</f>
        <v>18.5</v>
      </c>
      <c r="W13" s="49">
        <f t="shared" si="4"/>
        <v>97.5</v>
      </c>
      <c r="X13" s="49">
        <f t="shared" si="5"/>
        <v>82.8</v>
      </c>
      <c r="Y13" s="49">
        <f t="shared" si="6"/>
        <v>14.7</v>
      </c>
      <c r="Z13" s="49">
        <f t="shared" si="7"/>
        <v>0.125</v>
      </c>
      <c r="AA13" s="49">
        <f t="shared" si="8"/>
        <v>0.5</v>
      </c>
      <c r="AB13" s="49">
        <f t="shared" si="9"/>
        <v>1</v>
      </c>
      <c r="AC13" s="49">
        <f t="shared" si="10"/>
        <v>890</v>
      </c>
      <c r="AD13" s="1764">
        <v>1.0009999999999999</v>
      </c>
      <c r="AE13" s="1765">
        <f t="shared" si="19"/>
        <v>789.0634118083392</v>
      </c>
      <c r="AF13" s="1764">
        <v>513.66999999999996</v>
      </c>
      <c r="AG13" s="263">
        <f t="shared" si="11"/>
        <v>0.80700000000000005</v>
      </c>
      <c r="AH13" s="49">
        <f t="shared" si="12"/>
        <v>2425</v>
      </c>
      <c r="AI13" s="61">
        <f t="shared" si="13"/>
        <v>0.5</v>
      </c>
      <c r="AJ13" s="49">
        <f t="shared" si="14"/>
        <v>1</v>
      </c>
      <c r="AK13" s="49">
        <f t="shared" si="15"/>
        <v>2</v>
      </c>
    </row>
    <row r="14" spans="1:38" ht="43.5" x14ac:dyDescent="0.35">
      <c r="A14" s="955" t="s">
        <v>748</v>
      </c>
      <c r="B14" s="1901" t="s">
        <v>2719</v>
      </c>
      <c r="C14" s="143" t="s">
        <v>747</v>
      </c>
      <c r="D14" s="957" t="s">
        <v>2702</v>
      </c>
      <c r="E14" s="69" t="s">
        <v>1072</v>
      </c>
      <c r="F14" s="60" t="s">
        <v>2711</v>
      </c>
      <c r="G14" s="1000">
        <f t="shared" si="0"/>
        <v>6</v>
      </c>
      <c r="H14" s="972" t="s">
        <v>2712</v>
      </c>
      <c r="I14" s="972" t="s">
        <v>105</v>
      </c>
      <c r="J14" s="1000" t="s">
        <v>1284</v>
      </c>
      <c r="K14" s="1795"/>
      <c r="L14" s="972"/>
      <c r="M14" s="2014"/>
      <c r="N14" s="2090"/>
      <c r="O14" s="2014">
        <f t="shared" ref="O14:O24" si="21">V14*(AC14+AD14*(AE14-AF14))*AH14*AJ14/(100000*AG14)</f>
        <v>102.13709764839483</v>
      </c>
      <c r="P14" s="2014"/>
      <c r="Q14" s="2014"/>
      <c r="R14" s="1909"/>
      <c r="S14" s="2016">
        <f t="shared" si="20"/>
        <v>612.82258589036894</v>
      </c>
      <c r="T14" s="1909"/>
      <c r="U14" s="49">
        <f t="shared" si="2"/>
        <v>13</v>
      </c>
      <c r="V14" s="126">
        <f>G118</f>
        <v>6.9</v>
      </c>
      <c r="W14" s="376">
        <f>+X14+Y14</f>
        <v>14.7</v>
      </c>
      <c r="X14" s="376">
        <f t="shared" si="5"/>
        <v>0</v>
      </c>
      <c r="Y14" s="376">
        <f t="shared" si="6"/>
        <v>14.7</v>
      </c>
      <c r="Z14" s="49">
        <f t="shared" si="7"/>
        <v>0</v>
      </c>
      <c r="AA14" s="49">
        <f t="shared" si="8"/>
        <v>0.5</v>
      </c>
      <c r="AB14" s="49">
        <f t="shared" si="9"/>
        <v>1</v>
      </c>
      <c r="AC14" s="49">
        <f t="shared" si="10"/>
        <v>951</v>
      </c>
      <c r="AD14" s="1764">
        <v>1.0009999999999999</v>
      </c>
      <c r="AE14" s="1765">
        <f>507.89*(X14+Y14)^0.0962</f>
        <v>657.7571679880208</v>
      </c>
      <c r="AF14" s="1764">
        <v>513.66999999999996</v>
      </c>
      <c r="AG14" s="263">
        <f t="shared" si="11"/>
        <v>0.80700000000000005</v>
      </c>
      <c r="AH14" s="49">
        <f t="shared" si="12"/>
        <v>4039.6</v>
      </c>
      <c r="AI14" s="61">
        <f t="shared" si="13"/>
        <v>0.5</v>
      </c>
      <c r="AJ14" s="49">
        <f t="shared" si="14"/>
        <v>0.27</v>
      </c>
      <c r="AK14" s="49">
        <f t="shared" si="15"/>
        <v>3</v>
      </c>
    </row>
    <row r="15" spans="1:38" ht="43.5" x14ac:dyDescent="0.35">
      <c r="A15" s="955" t="s">
        <v>588</v>
      </c>
      <c r="B15" s="143" t="s">
        <v>2720</v>
      </c>
      <c r="C15" s="143" t="s">
        <v>587</v>
      </c>
      <c r="D15" s="957" t="s">
        <v>2702</v>
      </c>
      <c r="E15" s="69" t="s">
        <v>1072</v>
      </c>
      <c r="F15" s="60" t="s">
        <v>2703</v>
      </c>
      <c r="G15" s="1973">
        <v>20</v>
      </c>
      <c r="H15" s="972" t="s">
        <v>2704</v>
      </c>
      <c r="I15" s="972" t="s">
        <v>105</v>
      </c>
      <c r="J15" s="1000" t="s">
        <v>1284</v>
      </c>
      <c r="K15" s="1795"/>
      <c r="L15" s="972"/>
      <c r="M15" s="2014"/>
      <c r="N15" s="2090"/>
      <c r="O15" s="2014">
        <f t="shared" si="21"/>
        <v>762.90491998307095</v>
      </c>
      <c r="P15" s="2014"/>
      <c r="Q15" s="2014"/>
      <c r="R15" s="1909"/>
      <c r="S15" s="2016">
        <f t="shared" si="20"/>
        <v>15258.09839966142</v>
      </c>
      <c r="T15" s="1909"/>
      <c r="U15" s="49">
        <f t="shared" si="2"/>
        <v>13</v>
      </c>
      <c r="V15" s="126">
        <f t="shared" ref="V15:V20" si="22">+($B$66*$W15*($Z15^2)*$AA15*$AB15)</f>
        <v>6.5405390624999988</v>
      </c>
      <c r="W15" s="376">
        <f t="shared" ref="W15:W22" si="23">+X15+Y15</f>
        <v>30.7</v>
      </c>
      <c r="X15" s="376">
        <f t="shared" si="5"/>
        <v>16</v>
      </c>
      <c r="Y15" s="376">
        <f t="shared" si="6"/>
        <v>14.7</v>
      </c>
      <c r="Z15" s="49">
        <f t="shared" si="7"/>
        <v>0.1875</v>
      </c>
      <c r="AA15" s="49">
        <f t="shared" si="8"/>
        <v>0.5</v>
      </c>
      <c r="AB15" s="49">
        <f t="shared" si="9"/>
        <v>0.5</v>
      </c>
      <c r="AC15" s="49">
        <f t="shared" si="10"/>
        <v>944</v>
      </c>
      <c r="AD15" s="1764">
        <v>1.0009999999999999</v>
      </c>
      <c r="AE15" s="1765">
        <f>507.89*(X15+Y15)^0.0962</f>
        <v>706.0449867484856</v>
      </c>
      <c r="AF15" s="1764">
        <v>513.66999999999996</v>
      </c>
      <c r="AG15" s="263">
        <f t="shared" si="11"/>
        <v>0.80700000000000005</v>
      </c>
      <c r="AH15" s="49">
        <f t="shared" si="12"/>
        <v>8282</v>
      </c>
      <c r="AI15" s="61">
        <f t="shared" si="13"/>
        <v>0.5</v>
      </c>
      <c r="AJ15" s="49">
        <f t="shared" si="14"/>
        <v>1</v>
      </c>
      <c r="AK15" s="49">
        <f t="shared" si="15"/>
        <v>5</v>
      </c>
    </row>
    <row r="16" spans="1:38" ht="29" x14ac:dyDescent="0.35">
      <c r="A16" s="955" t="s">
        <v>590</v>
      </c>
      <c r="B16" s="143" t="s">
        <v>2721</v>
      </c>
      <c r="C16" s="143" t="s">
        <v>589</v>
      </c>
      <c r="D16" s="957" t="s">
        <v>2702</v>
      </c>
      <c r="E16" s="69" t="s">
        <v>1072</v>
      </c>
      <c r="F16" s="60" t="s">
        <v>2703</v>
      </c>
      <c r="G16" s="1973">
        <v>20</v>
      </c>
      <c r="H16" s="972" t="s">
        <v>2706</v>
      </c>
      <c r="I16" s="972" t="s">
        <v>105</v>
      </c>
      <c r="J16" s="1000" t="s">
        <v>1284</v>
      </c>
      <c r="K16" s="1795"/>
      <c r="L16" s="972"/>
      <c r="M16" s="2014"/>
      <c r="N16" s="2090"/>
      <c r="O16" s="2014">
        <f t="shared" si="21"/>
        <v>2773.9803407924196</v>
      </c>
      <c r="P16" s="2014"/>
      <c r="Q16" s="2014"/>
      <c r="R16" s="1909"/>
      <c r="S16" s="2016">
        <f t="shared" si="20"/>
        <v>55479.60681584839</v>
      </c>
      <c r="T16" s="1909"/>
      <c r="U16" s="49">
        <f t="shared" si="2"/>
        <v>13</v>
      </c>
      <c r="V16" s="126">
        <f t="shared" si="22"/>
        <v>23.368874999999999</v>
      </c>
      <c r="W16" s="49">
        <f t="shared" si="23"/>
        <v>61.7</v>
      </c>
      <c r="X16" s="49">
        <f t="shared" si="5"/>
        <v>47</v>
      </c>
      <c r="Y16" s="49">
        <f t="shared" si="6"/>
        <v>14.7</v>
      </c>
      <c r="Z16" s="49">
        <f t="shared" si="7"/>
        <v>0.25</v>
      </c>
      <c r="AA16" s="49">
        <f t="shared" si="8"/>
        <v>0.5</v>
      </c>
      <c r="AB16" s="49">
        <f t="shared" si="9"/>
        <v>0.5</v>
      </c>
      <c r="AC16" s="49">
        <f t="shared" si="10"/>
        <v>915</v>
      </c>
      <c r="AD16" s="1764">
        <v>1.0009999999999999</v>
      </c>
      <c r="AE16" s="1765">
        <f t="shared" ref="AE16:AE22" si="24">507.89*(X16+Y16)^0.0962</f>
        <v>755.08369910925933</v>
      </c>
      <c r="AF16" s="1764">
        <v>513.66999999999996</v>
      </c>
      <c r="AG16" s="263">
        <f t="shared" si="11"/>
        <v>0.80700000000000005</v>
      </c>
      <c r="AH16" s="49">
        <f t="shared" si="12"/>
        <v>8282</v>
      </c>
      <c r="AI16" s="61">
        <f t="shared" si="13"/>
        <v>0.5</v>
      </c>
      <c r="AJ16" s="49">
        <f t="shared" si="14"/>
        <v>1</v>
      </c>
      <c r="AK16" s="49">
        <f t="shared" si="15"/>
        <v>6</v>
      </c>
    </row>
    <row r="17" spans="1:37" ht="29" x14ac:dyDescent="0.35">
      <c r="A17" s="955" t="s">
        <v>592</v>
      </c>
      <c r="B17" s="143" t="s">
        <v>2722</v>
      </c>
      <c r="C17" s="143" t="s">
        <v>591</v>
      </c>
      <c r="D17" s="957" t="s">
        <v>2702</v>
      </c>
      <c r="E17" s="69" t="s">
        <v>1072</v>
      </c>
      <c r="F17" s="60" t="s">
        <v>2703</v>
      </c>
      <c r="G17" s="1973">
        <v>20</v>
      </c>
      <c r="H17" s="972" t="s">
        <v>2707</v>
      </c>
      <c r="I17" s="972" t="s">
        <v>105</v>
      </c>
      <c r="J17" s="1000" t="s">
        <v>1284</v>
      </c>
      <c r="K17" s="1795"/>
      <c r="L17" s="972"/>
      <c r="M17" s="2014"/>
      <c r="N17" s="2090"/>
      <c r="O17" s="2014">
        <f t="shared" si="21"/>
        <v>5256.3081214778895</v>
      </c>
      <c r="P17" s="2014"/>
      <c r="Q17" s="2014"/>
      <c r="R17" s="1909"/>
      <c r="S17" s="2016">
        <f t="shared" si="20"/>
        <v>105126.16242955779</v>
      </c>
      <c r="T17" s="1909"/>
      <c r="U17" s="49">
        <f t="shared" si="2"/>
        <v>13</v>
      </c>
      <c r="V17" s="126">
        <f t="shared" si="22"/>
        <v>43.821374999999996</v>
      </c>
      <c r="W17" s="49">
        <f t="shared" si="23"/>
        <v>115.7</v>
      </c>
      <c r="X17" s="49">
        <f t="shared" si="5"/>
        <v>101</v>
      </c>
      <c r="Y17" s="49">
        <f t="shared" si="6"/>
        <v>14.7</v>
      </c>
      <c r="Z17" s="49">
        <f t="shared" si="7"/>
        <v>0.25</v>
      </c>
      <c r="AA17" s="49">
        <f t="shared" si="8"/>
        <v>0.5</v>
      </c>
      <c r="AB17" s="49">
        <f t="shared" si="9"/>
        <v>0.5</v>
      </c>
      <c r="AC17" s="49">
        <f t="shared" si="10"/>
        <v>880</v>
      </c>
      <c r="AD17" s="1764">
        <v>1.0009999999999999</v>
      </c>
      <c r="AE17" s="1765">
        <f t="shared" si="24"/>
        <v>802.16245500847185</v>
      </c>
      <c r="AF17" s="1764">
        <v>513.66999999999996</v>
      </c>
      <c r="AG17" s="263">
        <f t="shared" si="11"/>
        <v>0.80700000000000005</v>
      </c>
      <c r="AH17" s="49">
        <f t="shared" si="12"/>
        <v>8282</v>
      </c>
      <c r="AI17" s="61">
        <f t="shared" si="13"/>
        <v>0.5</v>
      </c>
      <c r="AJ17" s="49">
        <f t="shared" si="14"/>
        <v>1</v>
      </c>
      <c r="AK17" s="49">
        <f t="shared" si="15"/>
        <v>7</v>
      </c>
    </row>
    <row r="18" spans="1:37" ht="29" x14ac:dyDescent="0.35">
      <c r="A18" s="955" t="s">
        <v>594</v>
      </c>
      <c r="B18" s="143" t="s">
        <v>2723</v>
      </c>
      <c r="C18" s="143" t="s">
        <v>593</v>
      </c>
      <c r="D18" s="957" t="s">
        <v>2702</v>
      </c>
      <c r="E18" s="69" t="s">
        <v>1072</v>
      </c>
      <c r="F18" s="60" t="s">
        <v>2703</v>
      </c>
      <c r="G18" s="1973">
        <v>20</v>
      </c>
      <c r="H18" s="972" t="s">
        <v>2708</v>
      </c>
      <c r="I18" s="972" t="s">
        <v>105</v>
      </c>
      <c r="J18" s="1000" t="s">
        <v>1284</v>
      </c>
      <c r="K18" s="1795"/>
      <c r="L18" s="972"/>
      <c r="M18" s="2014"/>
      <c r="N18" s="2090"/>
      <c r="O18" s="2014">
        <f t="shared" si="21"/>
        <v>7330.5589709869309</v>
      </c>
      <c r="P18" s="2014"/>
      <c r="Q18" s="2014"/>
      <c r="R18" s="1909"/>
      <c r="S18" s="2016">
        <f t="shared" si="20"/>
        <v>146611.17941973862</v>
      </c>
      <c r="T18" s="1909"/>
      <c r="U18" s="49">
        <f t="shared" si="2"/>
        <v>13</v>
      </c>
      <c r="V18" s="126">
        <f t="shared" si="22"/>
        <v>60.865124999999992</v>
      </c>
      <c r="W18" s="49">
        <f t="shared" si="23"/>
        <v>160.69999999999999</v>
      </c>
      <c r="X18" s="49">
        <f t="shared" si="5"/>
        <v>146</v>
      </c>
      <c r="Y18" s="49">
        <f t="shared" si="6"/>
        <v>14.7</v>
      </c>
      <c r="Z18" s="49">
        <f t="shared" si="7"/>
        <v>0.25</v>
      </c>
      <c r="AA18" s="49">
        <f t="shared" si="8"/>
        <v>0.5</v>
      </c>
      <c r="AB18" s="49">
        <f t="shared" si="9"/>
        <v>0.5</v>
      </c>
      <c r="AC18" s="49">
        <f t="shared" si="10"/>
        <v>859</v>
      </c>
      <c r="AD18" s="1764">
        <v>1.0009999999999999</v>
      </c>
      <c r="AE18" s="1765">
        <f t="shared" si="24"/>
        <v>827.92002928869147</v>
      </c>
      <c r="AF18" s="1764">
        <v>513.66999999999996</v>
      </c>
      <c r="AG18" s="263">
        <f t="shared" si="11"/>
        <v>0.80700000000000005</v>
      </c>
      <c r="AH18" s="49">
        <f t="shared" si="12"/>
        <v>8282</v>
      </c>
      <c r="AI18" s="61">
        <f t="shared" si="13"/>
        <v>0.5</v>
      </c>
      <c r="AJ18" s="49">
        <f t="shared" si="14"/>
        <v>1</v>
      </c>
      <c r="AK18" s="49">
        <f t="shared" si="15"/>
        <v>8</v>
      </c>
    </row>
    <row r="19" spans="1:37" ht="29" x14ac:dyDescent="0.35">
      <c r="A19" s="955" t="s">
        <v>596</v>
      </c>
      <c r="B19" s="143" t="s">
        <v>2724</v>
      </c>
      <c r="C19" s="143" t="s">
        <v>595</v>
      </c>
      <c r="D19" s="957" t="s">
        <v>2702</v>
      </c>
      <c r="E19" s="69" t="s">
        <v>1072</v>
      </c>
      <c r="F19" s="60" t="s">
        <v>2703</v>
      </c>
      <c r="G19" s="1973">
        <v>20</v>
      </c>
      <c r="H19" s="972" t="s">
        <v>2709</v>
      </c>
      <c r="I19" s="972" t="s">
        <v>105</v>
      </c>
      <c r="J19" s="1000" t="s">
        <v>1284</v>
      </c>
      <c r="K19" s="1795"/>
      <c r="L19" s="972"/>
      <c r="M19" s="2014"/>
      <c r="N19" s="2090"/>
      <c r="O19" s="2014">
        <f t="shared" si="21"/>
        <v>9903.4578866889951</v>
      </c>
      <c r="P19" s="2014"/>
      <c r="Q19" s="2014"/>
      <c r="R19" s="1909"/>
      <c r="S19" s="2016">
        <f t="shared" si="20"/>
        <v>198069.1577337799</v>
      </c>
      <c r="T19" s="1909"/>
      <c r="U19" s="49">
        <f t="shared" si="2"/>
        <v>13</v>
      </c>
      <c r="V19" s="126">
        <f t="shared" si="22"/>
        <v>82.075124999999986</v>
      </c>
      <c r="W19" s="49">
        <f t="shared" si="23"/>
        <v>216.7</v>
      </c>
      <c r="X19" s="49">
        <f t="shared" si="5"/>
        <v>202</v>
      </c>
      <c r="Y19" s="49">
        <f t="shared" si="6"/>
        <v>14.7</v>
      </c>
      <c r="Z19" s="49">
        <f t="shared" si="7"/>
        <v>0.25</v>
      </c>
      <c r="AA19" s="49">
        <f t="shared" si="8"/>
        <v>0.5</v>
      </c>
      <c r="AB19" s="49">
        <f t="shared" si="9"/>
        <v>0.5</v>
      </c>
      <c r="AC19" s="49">
        <f t="shared" si="10"/>
        <v>837</v>
      </c>
      <c r="AD19" s="1764">
        <v>1.0009999999999999</v>
      </c>
      <c r="AE19" s="1765">
        <f t="shared" si="24"/>
        <v>852.07787624870821</v>
      </c>
      <c r="AF19" s="1764">
        <v>513.66999999999996</v>
      </c>
      <c r="AG19" s="263">
        <f t="shared" si="11"/>
        <v>0.80700000000000005</v>
      </c>
      <c r="AH19" s="49">
        <f t="shared" si="12"/>
        <v>8282</v>
      </c>
      <c r="AI19" s="61">
        <f t="shared" si="13"/>
        <v>0.5</v>
      </c>
      <c r="AJ19" s="49">
        <f t="shared" si="14"/>
        <v>1</v>
      </c>
      <c r="AK19" s="49">
        <f t="shared" si="15"/>
        <v>9</v>
      </c>
    </row>
    <row r="20" spans="1:37" ht="29" x14ac:dyDescent="0.35">
      <c r="A20" s="955" t="s">
        <v>598</v>
      </c>
      <c r="B20" s="143" t="s">
        <v>2725</v>
      </c>
      <c r="C20" s="143" t="s">
        <v>597</v>
      </c>
      <c r="D20" s="957" t="s">
        <v>2702</v>
      </c>
      <c r="E20" s="69" t="s">
        <v>1072</v>
      </c>
      <c r="F20" s="60" t="s">
        <v>2703</v>
      </c>
      <c r="G20" s="1973">
        <v>20</v>
      </c>
      <c r="H20" s="972" t="s">
        <v>2710</v>
      </c>
      <c r="I20" s="972" t="s">
        <v>105</v>
      </c>
      <c r="J20" s="1000" t="s">
        <v>1284</v>
      </c>
      <c r="K20" s="1795"/>
      <c r="L20" s="972"/>
      <c r="M20" s="2014"/>
      <c r="N20" s="2090"/>
      <c r="O20" s="2014">
        <f t="shared" si="21"/>
        <v>12686.870831068883</v>
      </c>
      <c r="P20" s="2014"/>
      <c r="Q20" s="2014"/>
      <c r="R20" s="1909"/>
      <c r="S20" s="2016">
        <f t="shared" si="20"/>
        <v>253737.41662137766</v>
      </c>
      <c r="T20" s="1909"/>
      <c r="U20" s="49">
        <f t="shared" si="2"/>
        <v>13</v>
      </c>
      <c r="V20" s="126">
        <f t="shared" si="22"/>
        <v>105.17887499999999</v>
      </c>
      <c r="W20" s="49">
        <f t="shared" si="23"/>
        <v>277.7</v>
      </c>
      <c r="X20" s="49">
        <f t="shared" si="5"/>
        <v>263</v>
      </c>
      <c r="Y20" s="49">
        <f t="shared" si="6"/>
        <v>14.7</v>
      </c>
      <c r="Z20" s="49">
        <f t="shared" si="7"/>
        <v>0.25</v>
      </c>
      <c r="AA20" s="49">
        <f t="shared" si="8"/>
        <v>0.5</v>
      </c>
      <c r="AB20" s="49">
        <f t="shared" si="9"/>
        <v>0.5</v>
      </c>
      <c r="AC20" s="49">
        <f t="shared" si="10"/>
        <v>816</v>
      </c>
      <c r="AD20" s="1764">
        <v>1.0009999999999999</v>
      </c>
      <c r="AE20" s="1765">
        <f t="shared" si="24"/>
        <v>872.65315180829191</v>
      </c>
      <c r="AF20" s="1764">
        <v>513.66999999999996</v>
      </c>
      <c r="AG20" s="263">
        <f t="shared" si="11"/>
        <v>0.80700000000000005</v>
      </c>
      <c r="AH20" s="49">
        <f t="shared" si="12"/>
        <v>8282</v>
      </c>
      <c r="AI20" s="61">
        <f t="shared" si="13"/>
        <v>0.5</v>
      </c>
      <c r="AJ20" s="49">
        <f t="shared" si="14"/>
        <v>1</v>
      </c>
      <c r="AK20" s="49">
        <f t="shared" si="15"/>
        <v>10</v>
      </c>
    </row>
    <row r="21" spans="1:37" ht="43.5" x14ac:dyDescent="0.35">
      <c r="A21" s="955" t="s">
        <v>586</v>
      </c>
      <c r="B21" s="143" t="s">
        <v>2726</v>
      </c>
      <c r="C21" s="143" t="s">
        <v>585</v>
      </c>
      <c r="D21" s="957" t="s">
        <v>2702</v>
      </c>
      <c r="E21" s="69" t="s">
        <v>1072</v>
      </c>
      <c r="F21" s="60" t="s">
        <v>2711</v>
      </c>
      <c r="G21" s="1973">
        <v>20</v>
      </c>
      <c r="H21" s="972" t="s">
        <v>2712</v>
      </c>
      <c r="I21" s="972" t="s">
        <v>105</v>
      </c>
      <c r="J21" s="1000" t="s">
        <v>1284</v>
      </c>
      <c r="K21" s="1795"/>
      <c r="L21" s="972"/>
      <c r="M21" s="2014"/>
      <c r="N21" s="2090"/>
      <c r="O21" s="2014">
        <f t="shared" si="21"/>
        <v>102.13709764839483</v>
      </c>
      <c r="P21" s="2014"/>
      <c r="Q21" s="2014"/>
      <c r="R21" s="1909"/>
      <c r="S21" s="2016">
        <f t="shared" si="20"/>
        <v>2042.7419529678966</v>
      </c>
      <c r="T21" s="1909"/>
      <c r="U21" s="49">
        <f t="shared" si="2"/>
        <v>13</v>
      </c>
      <c r="V21" s="126">
        <f>+$G$118</f>
        <v>6.9</v>
      </c>
      <c r="W21" s="49">
        <f t="shared" si="23"/>
        <v>14.7</v>
      </c>
      <c r="X21" s="376">
        <f t="shared" si="5"/>
        <v>0</v>
      </c>
      <c r="Y21" s="49">
        <f t="shared" si="6"/>
        <v>14.7</v>
      </c>
      <c r="Z21" s="376">
        <f t="shared" si="7"/>
        <v>0</v>
      </c>
      <c r="AA21" s="49">
        <f t="shared" si="8"/>
        <v>0.5</v>
      </c>
      <c r="AB21" s="49">
        <f t="shared" si="9"/>
        <v>1</v>
      </c>
      <c r="AC21" s="49">
        <f t="shared" si="10"/>
        <v>951</v>
      </c>
      <c r="AD21" s="1764">
        <v>1.0009999999999999</v>
      </c>
      <c r="AE21" s="1765">
        <f t="shared" si="24"/>
        <v>657.7571679880208</v>
      </c>
      <c r="AF21" s="1764">
        <v>513.66999999999996</v>
      </c>
      <c r="AG21" s="263">
        <f t="shared" si="11"/>
        <v>0.80700000000000005</v>
      </c>
      <c r="AH21" s="49">
        <f t="shared" si="12"/>
        <v>4039.6</v>
      </c>
      <c r="AI21" s="61">
        <f t="shared" si="13"/>
        <v>0.5</v>
      </c>
      <c r="AJ21" s="49">
        <f t="shared" si="14"/>
        <v>0.27</v>
      </c>
      <c r="AK21" s="49">
        <f t="shared" si="15"/>
        <v>3</v>
      </c>
    </row>
    <row r="22" spans="1:37" ht="29" x14ac:dyDescent="0.35">
      <c r="A22" s="955" t="s">
        <v>2727</v>
      </c>
      <c r="B22" s="143" t="s">
        <v>2728</v>
      </c>
      <c r="C22" s="143" t="s">
        <v>2729</v>
      </c>
      <c r="D22" s="957" t="s">
        <v>2702</v>
      </c>
      <c r="E22" s="69" t="s">
        <v>1072</v>
      </c>
      <c r="F22" s="60" t="s">
        <v>2716</v>
      </c>
      <c r="G22" s="1973">
        <v>20</v>
      </c>
      <c r="H22" s="972" t="s">
        <v>2717</v>
      </c>
      <c r="I22" s="972" t="s">
        <v>105</v>
      </c>
      <c r="J22" s="1000" t="s">
        <v>1284</v>
      </c>
      <c r="K22" s="1795"/>
      <c r="L22" s="972"/>
      <c r="M22" s="2014"/>
      <c r="N22" s="2090"/>
      <c r="O22" s="2014">
        <f t="shared" si="21"/>
        <v>1540.1666530891735</v>
      </c>
      <c r="P22" s="2014"/>
      <c r="Q22" s="2014"/>
      <c r="R22" s="1909"/>
      <c r="S22" s="1909"/>
      <c r="T22" s="1909"/>
      <c r="U22" s="49">
        <f t="shared" si="2"/>
        <v>13</v>
      </c>
      <c r="V22" s="126">
        <f>+$G$117</f>
        <v>18.5</v>
      </c>
      <c r="W22" s="49">
        <f t="shared" si="23"/>
        <v>14.7</v>
      </c>
      <c r="X22" s="49">
        <f t="shared" si="5"/>
        <v>0</v>
      </c>
      <c r="Y22" s="49">
        <f t="shared" si="6"/>
        <v>14.7</v>
      </c>
      <c r="Z22" s="49">
        <f t="shared" si="7"/>
        <v>0</v>
      </c>
      <c r="AA22" s="49">
        <f t="shared" si="8"/>
        <v>0.5</v>
      </c>
      <c r="AB22" s="49">
        <f t="shared" si="9"/>
        <v>1</v>
      </c>
      <c r="AC22" s="49">
        <f t="shared" si="10"/>
        <v>951</v>
      </c>
      <c r="AD22" s="1764">
        <v>1.0009999999999999</v>
      </c>
      <c r="AE22" s="1765">
        <f t="shared" si="24"/>
        <v>657.7571679880208</v>
      </c>
      <c r="AF22" s="1764">
        <v>512.66999999999996</v>
      </c>
      <c r="AG22" s="263">
        <f t="shared" si="11"/>
        <v>0.80700000000000005</v>
      </c>
      <c r="AH22" s="49">
        <f t="shared" si="12"/>
        <v>8282</v>
      </c>
      <c r="AI22" s="61">
        <f t="shared" si="13"/>
        <v>0.5</v>
      </c>
      <c r="AJ22" s="49">
        <f t="shared" si="14"/>
        <v>0.74</v>
      </c>
      <c r="AK22" s="49">
        <f t="shared" si="15"/>
        <v>4</v>
      </c>
    </row>
    <row r="23" spans="1:37" ht="29" x14ac:dyDescent="0.35">
      <c r="A23" s="955" t="s">
        <v>600</v>
      </c>
      <c r="B23" s="143" t="s">
        <v>2730</v>
      </c>
      <c r="C23" s="143" t="s">
        <v>599</v>
      </c>
      <c r="D23" s="957" t="s">
        <v>2702</v>
      </c>
      <c r="E23" s="69" t="s">
        <v>1072</v>
      </c>
      <c r="F23" s="60" t="s">
        <v>2703</v>
      </c>
      <c r="G23" s="1973">
        <v>20</v>
      </c>
      <c r="H23" s="972" t="s">
        <v>2718</v>
      </c>
      <c r="I23" s="972" t="s">
        <v>105</v>
      </c>
      <c r="J23" s="1000" t="s">
        <v>1284</v>
      </c>
      <c r="K23" s="1795"/>
      <c r="L23" s="972"/>
      <c r="M23" s="2014"/>
      <c r="N23" s="2090"/>
      <c r="O23" s="2014">
        <f t="shared" si="21"/>
        <v>648.01507774707386</v>
      </c>
      <c r="P23" s="2014"/>
      <c r="Q23" s="2014"/>
      <c r="R23" s="1909"/>
      <c r="S23" s="1909"/>
      <c r="T23" s="1909"/>
      <c r="U23" s="49">
        <f t="shared" si="2"/>
        <v>13</v>
      </c>
      <c r="V23" s="126">
        <f>+$G$117</f>
        <v>18.5</v>
      </c>
      <c r="W23" s="49">
        <f>+X23+Y23</f>
        <v>97.5</v>
      </c>
      <c r="X23" s="49">
        <f t="shared" si="5"/>
        <v>82.8</v>
      </c>
      <c r="Y23" s="49">
        <f t="shared" si="6"/>
        <v>14.7</v>
      </c>
      <c r="Z23" s="49">
        <f t="shared" si="7"/>
        <v>0.125</v>
      </c>
      <c r="AA23" s="49">
        <f t="shared" si="8"/>
        <v>0.5</v>
      </c>
      <c r="AB23" s="49">
        <f t="shared" si="9"/>
        <v>1</v>
      </c>
      <c r="AC23" s="49">
        <f t="shared" si="10"/>
        <v>890</v>
      </c>
      <c r="AD23" s="1764">
        <v>1.0009999999999999</v>
      </c>
      <c r="AE23" s="1765">
        <f>507.89*(X23+Y23)^0.0962</f>
        <v>789.0634118083392</v>
      </c>
      <c r="AF23" s="1764">
        <v>513.66999999999996</v>
      </c>
      <c r="AG23" s="263">
        <f t="shared" si="11"/>
        <v>0.80700000000000005</v>
      </c>
      <c r="AH23" s="49">
        <f t="shared" si="12"/>
        <v>2425</v>
      </c>
      <c r="AI23" s="61">
        <f t="shared" si="13"/>
        <v>0.5</v>
      </c>
      <c r="AJ23" s="49">
        <f t="shared" si="14"/>
        <v>1</v>
      </c>
      <c r="AK23" s="49">
        <f t="shared" si="15"/>
        <v>2</v>
      </c>
    </row>
    <row r="24" spans="1:37" ht="43.5" x14ac:dyDescent="0.35">
      <c r="A24" s="955" t="s">
        <v>2731</v>
      </c>
      <c r="B24" s="143" t="s">
        <v>2732</v>
      </c>
      <c r="C24" s="143" t="s">
        <v>2733</v>
      </c>
      <c r="D24" s="957" t="s">
        <v>2702</v>
      </c>
      <c r="E24" s="69" t="s">
        <v>1072</v>
      </c>
      <c r="F24" s="60" t="s">
        <v>2711</v>
      </c>
      <c r="G24" s="1973">
        <v>20</v>
      </c>
      <c r="H24" s="972" t="s">
        <v>2712</v>
      </c>
      <c r="I24" s="972" t="s">
        <v>105</v>
      </c>
      <c r="J24" s="1000" t="s">
        <v>1284</v>
      </c>
      <c r="K24" s="1795"/>
      <c r="L24" s="972"/>
      <c r="M24" s="2014"/>
      <c r="N24" s="2090"/>
      <c r="O24" s="2014">
        <f t="shared" si="21"/>
        <v>273.59555676514776</v>
      </c>
      <c r="P24" s="2014"/>
      <c r="Q24" s="2014"/>
      <c r="R24" s="1909"/>
      <c r="S24" s="1909"/>
      <c r="T24" s="1909"/>
      <c r="U24" s="49">
        <f t="shared" si="2"/>
        <v>13</v>
      </c>
      <c r="V24" s="126">
        <f>+$G$117</f>
        <v>18.5</v>
      </c>
      <c r="W24" s="49">
        <f>+X24+Y24</f>
        <v>14.7</v>
      </c>
      <c r="X24" s="49">
        <f t="shared" si="5"/>
        <v>0</v>
      </c>
      <c r="Y24" s="49">
        <f t="shared" si="6"/>
        <v>14.7</v>
      </c>
      <c r="Z24" s="49">
        <f t="shared" si="7"/>
        <v>0</v>
      </c>
      <c r="AA24" s="49">
        <f t="shared" si="8"/>
        <v>0.5</v>
      </c>
      <c r="AB24" s="49">
        <f t="shared" si="9"/>
        <v>1</v>
      </c>
      <c r="AC24" s="49">
        <f t="shared" si="10"/>
        <v>951</v>
      </c>
      <c r="AD24" s="1764">
        <v>1.0009999999999999</v>
      </c>
      <c r="AE24" s="1765">
        <f>507.89*(X24+Y24)^0.0962</f>
        <v>657.7571679880208</v>
      </c>
      <c r="AF24" s="1764">
        <v>514.66999999999996</v>
      </c>
      <c r="AG24" s="263">
        <f t="shared" si="11"/>
        <v>0.80700000000000005</v>
      </c>
      <c r="AH24" s="49">
        <f t="shared" si="12"/>
        <v>4039.6</v>
      </c>
      <c r="AI24" s="61">
        <f t="shared" si="13"/>
        <v>0.5</v>
      </c>
      <c r="AJ24" s="49">
        <f t="shared" si="14"/>
        <v>0.27</v>
      </c>
      <c r="AK24" s="49">
        <f t="shared" si="15"/>
        <v>3</v>
      </c>
    </row>
    <row r="25" spans="1:37" x14ac:dyDescent="0.35">
      <c r="A25" s="956"/>
      <c r="B25" s="956"/>
      <c r="C25" s="956"/>
      <c r="D25" s="956"/>
      <c r="E25" s="69"/>
      <c r="F25" s="972"/>
      <c r="G25" s="1021"/>
      <c r="H25" s="972"/>
      <c r="I25" s="972"/>
      <c r="J25" s="1021"/>
      <c r="K25" s="1795"/>
      <c r="L25" s="972"/>
      <c r="M25" s="1909"/>
      <c r="N25" s="2090"/>
      <c r="O25" s="1909"/>
      <c r="P25" s="1909"/>
      <c r="Q25" s="1909"/>
      <c r="R25" s="1909"/>
      <c r="S25" s="1909"/>
      <c r="T25" s="1909"/>
    </row>
    <row r="26" spans="1:37" x14ac:dyDescent="0.35">
      <c r="A26" s="956"/>
      <c r="B26" s="956"/>
      <c r="C26" s="956"/>
      <c r="D26" s="956"/>
      <c r="E26" s="69"/>
      <c r="F26" s="972"/>
      <c r="G26" s="1021"/>
      <c r="H26" s="972"/>
      <c r="I26" s="972"/>
      <c r="J26" s="1021"/>
      <c r="K26" s="1795"/>
      <c r="L26" s="972"/>
      <c r="M26" s="1909"/>
      <c r="N26" s="2090"/>
      <c r="O26" s="1909"/>
      <c r="P26" s="1909"/>
      <c r="Q26" s="1909"/>
      <c r="R26" s="1909"/>
      <c r="S26" s="1909"/>
      <c r="T26" s="1909"/>
    </row>
    <row r="27" spans="1:37" x14ac:dyDescent="0.35">
      <c r="A27" s="956"/>
      <c r="B27" s="956"/>
      <c r="C27" s="956"/>
      <c r="D27" s="956"/>
      <c r="E27" s="69"/>
      <c r="F27" s="972"/>
      <c r="G27" s="1021"/>
      <c r="H27" s="972"/>
      <c r="I27" s="972"/>
      <c r="J27" s="1021"/>
      <c r="K27" s="1795"/>
      <c r="L27" s="972"/>
      <c r="M27" s="1909"/>
      <c r="N27" s="2090"/>
      <c r="O27" s="1909"/>
      <c r="P27" s="1909"/>
      <c r="Q27" s="1909"/>
      <c r="R27" s="1909"/>
      <c r="S27" s="1909"/>
      <c r="T27" s="1909"/>
    </row>
    <row r="28" spans="1:37" x14ac:dyDescent="0.35">
      <c r="A28" s="956"/>
      <c r="B28" s="956"/>
      <c r="C28" s="956"/>
      <c r="D28" s="956"/>
      <c r="E28" s="69"/>
      <c r="F28" s="972"/>
      <c r="G28" s="1021"/>
      <c r="H28" s="972"/>
      <c r="I28" s="972"/>
      <c r="J28" s="1021"/>
      <c r="K28" s="1795"/>
      <c r="L28" s="972"/>
      <c r="M28" s="1909"/>
      <c r="N28" s="2090"/>
      <c r="O28" s="1909"/>
      <c r="P28" s="1909"/>
      <c r="Q28" s="1909"/>
      <c r="R28" s="1909"/>
      <c r="S28" s="1909"/>
      <c r="T28" s="1909"/>
    </row>
    <row r="29" spans="1:37" x14ac:dyDescent="0.35">
      <c r="A29" s="956"/>
      <c r="B29" s="956"/>
      <c r="C29" s="956"/>
      <c r="D29" s="956"/>
      <c r="E29" s="69"/>
      <c r="F29" s="972"/>
      <c r="G29" s="1021"/>
      <c r="H29" s="972"/>
      <c r="I29" s="972"/>
      <c r="J29" s="1021"/>
      <c r="K29" s="1795"/>
      <c r="L29" s="972"/>
      <c r="M29" s="1909"/>
      <c r="N29" s="2090"/>
      <c r="O29" s="1909"/>
      <c r="P29" s="1909"/>
      <c r="Q29" s="1909"/>
      <c r="R29" s="1909"/>
      <c r="S29" s="1909"/>
      <c r="T29" s="1909"/>
    </row>
    <row r="30" spans="1:37" ht="15" thickBot="1" x14ac:dyDescent="0.4"/>
    <row r="31" spans="1:37" ht="15" thickBot="1" x14ac:dyDescent="0.4">
      <c r="A31" s="74" t="s">
        <v>1188</v>
      </c>
      <c r="B31" s="377"/>
      <c r="C31" s="378"/>
    </row>
    <row r="32" spans="1:37" x14ac:dyDescent="0.35">
      <c r="A32" s="379" t="s">
        <v>2734</v>
      </c>
      <c r="B32" s="380"/>
      <c r="C32" s="381"/>
      <c r="M32" s="54"/>
    </row>
    <row r="33" spans="1:13" x14ac:dyDescent="0.35">
      <c r="A33" s="254" t="s">
        <v>2735</v>
      </c>
      <c r="B33" s="907" t="s">
        <v>2736</v>
      </c>
      <c r="C33" s="253"/>
      <c r="M33" s="54"/>
    </row>
    <row r="34" spans="1:13" ht="15" thickBot="1" x14ac:dyDescent="0.4">
      <c r="A34" s="261" t="s">
        <v>2701</v>
      </c>
      <c r="B34" s="161"/>
      <c r="C34" s="163"/>
      <c r="M34" s="54"/>
    </row>
    <row r="35" spans="1:13" ht="15" thickBot="1" x14ac:dyDescent="0.4">
      <c r="A35" s="154" t="s">
        <v>1078</v>
      </c>
      <c r="B35" s="1142">
        <f>'Measure-Level Adjustments'!A2</f>
        <v>44592</v>
      </c>
      <c r="M35" s="54"/>
    </row>
    <row r="36" spans="1:13" ht="15" thickBot="1" x14ac:dyDescent="0.4">
      <c r="A36" s="154" t="s">
        <v>1079</v>
      </c>
      <c r="B36" s="577" t="s">
        <v>357</v>
      </c>
      <c r="M36" s="54"/>
    </row>
    <row r="37" spans="1:13" ht="15" thickBot="1" x14ac:dyDescent="0.4">
      <c r="M37" s="54"/>
    </row>
    <row r="38" spans="1:13" ht="15" thickBot="1" x14ac:dyDescent="0.4">
      <c r="A38" s="74" t="s">
        <v>1285</v>
      </c>
      <c r="B38" s="75" t="s">
        <v>1199</v>
      </c>
      <c r="C38" s="76" t="s">
        <v>1082</v>
      </c>
      <c r="D38" s="383"/>
      <c r="E38" s="384"/>
      <c r="F38" s="167"/>
      <c r="G38" s="167"/>
    </row>
    <row r="39" spans="1:13" s="167" customFormat="1" x14ac:dyDescent="0.35">
      <c r="A39" s="319" t="s">
        <v>2737</v>
      </c>
      <c r="B39" s="2670" t="s">
        <v>2427</v>
      </c>
      <c r="C39" s="312" t="s">
        <v>2738</v>
      </c>
      <c r="D39" s="152"/>
      <c r="E39" s="153"/>
    </row>
    <row r="40" spans="1:13" s="167" customFormat="1" ht="15" thickBot="1" x14ac:dyDescent="0.4">
      <c r="A40" s="155"/>
      <c r="B40" s="2671"/>
      <c r="C40" s="165" t="s">
        <v>2739</v>
      </c>
      <c r="D40" s="156"/>
      <c r="E40" s="157"/>
      <c r="G40" s="1670" t="s">
        <v>2740</v>
      </c>
      <c r="H40"/>
      <c r="I40"/>
    </row>
    <row r="41" spans="1:13" s="167" customFormat="1" x14ac:dyDescent="0.35">
      <c r="A41" s="151" t="s">
        <v>2693</v>
      </c>
      <c r="B41" s="2670" t="s">
        <v>2427</v>
      </c>
      <c r="C41" s="312" t="s">
        <v>2741</v>
      </c>
      <c r="D41" s="152"/>
      <c r="E41" s="153"/>
      <c r="G41" s="3212" t="s">
        <v>2742</v>
      </c>
      <c r="H41" s="3213"/>
      <c r="I41"/>
    </row>
    <row r="42" spans="1:13" s="167" customFormat="1" ht="15" thickBot="1" x14ac:dyDescent="0.4">
      <c r="A42" s="155"/>
      <c r="B42" s="2671"/>
      <c r="C42" s="165" t="s">
        <v>2743</v>
      </c>
      <c r="D42" s="156"/>
      <c r="E42" s="157"/>
      <c r="G42" s="1671" t="s">
        <v>2744</v>
      </c>
      <c r="H42" s="1672"/>
      <c r="I42"/>
    </row>
    <row r="43" spans="1:13" s="167" customFormat="1" x14ac:dyDescent="0.35">
      <c r="A43" s="151" t="s">
        <v>2697</v>
      </c>
      <c r="B43" s="2672">
        <v>0.8</v>
      </c>
      <c r="C43" s="385" t="s">
        <v>2745</v>
      </c>
      <c r="D43" s="152"/>
      <c r="E43" s="153"/>
      <c r="G43"/>
      <c r="H43"/>
      <c r="I43"/>
    </row>
    <row r="44" spans="1:13" s="167" customFormat="1" ht="29" x14ac:dyDescent="0.35">
      <c r="A44" s="166"/>
      <c r="B44" s="614"/>
      <c r="C44" s="278" t="s">
        <v>2746</v>
      </c>
      <c r="E44" s="168"/>
      <c r="G44"/>
      <c r="H44"/>
      <c r="I44"/>
    </row>
    <row r="45" spans="1:13" s="167" customFormat="1" ht="29.5" thickBot="1" x14ac:dyDescent="0.4">
      <c r="A45" s="155"/>
      <c r="B45" s="2671"/>
      <c r="C45" s="277" t="s">
        <v>2747</v>
      </c>
      <c r="D45" s="156"/>
      <c r="E45" s="157"/>
      <c r="G45"/>
      <c r="H45"/>
      <c r="I45"/>
    </row>
    <row r="46" spans="1:13" s="167" customFormat="1" x14ac:dyDescent="0.35">
      <c r="A46" s="151" t="s">
        <v>1641</v>
      </c>
      <c r="B46" s="2670" t="s">
        <v>2427</v>
      </c>
      <c r="C46" s="312" t="s">
        <v>2748</v>
      </c>
      <c r="D46" s="152"/>
      <c r="E46" s="153"/>
      <c r="G46"/>
      <c r="H46"/>
      <c r="I46"/>
    </row>
    <row r="47" spans="1:13" ht="15" thickBot="1" x14ac:dyDescent="0.4">
      <c r="A47" s="88"/>
      <c r="B47" s="693"/>
      <c r="C47" s="84" t="s">
        <v>2743</v>
      </c>
      <c r="D47" s="85"/>
      <c r="E47" s="86"/>
      <c r="F47" s="167"/>
    </row>
    <row r="48" spans="1:13" x14ac:dyDescent="0.35">
      <c r="A48" s="358" t="s">
        <v>2699</v>
      </c>
      <c r="B48" s="696" t="s">
        <v>2427</v>
      </c>
      <c r="C48" s="353" t="s">
        <v>2749</v>
      </c>
      <c r="D48" s="80"/>
      <c r="E48" s="81"/>
      <c r="F48" s="167"/>
    </row>
    <row r="49" spans="1:9" ht="15" thickBot="1" x14ac:dyDescent="0.4">
      <c r="A49" s="387"/>
      <c r="B49" s="2673"/>
      <c r="C49" s="50" t="s">
        <v>2743</v>
      </c>
      <c r="E49" s="253"/>
      <c r="F49" s="167"/>
    </row>
    <row r="50" spans="1:9" ht="116.5" thickBot="1" x14ac:dyDescent="0.4">
      <c r="A50" s="360"/>
      <c r="B50" s="2674"/>
      <c r="C50" s="388" t="s">
        <v>2750</v>
      </c>
      <c r="D50" s="388"/>
      <c r="E50" s="389"/>
      <c r="F50" s="167"/>
      <c r="G50" s="1673" t="s">
        <v>2751</v>
      </c>
      <c r="H50" s="1674" t="s">
        <v>2752</v>
      </c>
      <c r="I50" s="1675" t="s">
        <v>2753</v>
      </c>
    </row>
    <row r="51" spans="1:9" x14ac:dyDescent="0.35">
      <c r="A51" s="390" t="s">
        <v>2754</v>
      </c>
      <c r="B51" s="696">
        <v>24.42</v>
      </c>
      <c r="C51" s="354" t="s">
        <v>2755</v>
      </c>
      <c r="D51" s="80"/>
      <c r="E51" s="81"/>
      <c r="F51" s="167"/>
      <c r="G51" s="1676" t="s">
        <v>2718</v>
      </c>
      <c r="H51" s="1677">
        <v>18.5</v>
      </c>
      <c r="I51" s="1777">
        <f>H51/8.33</f>
        <v>2.220888355342137</v>
      </c>
    </row>
    <row r="52" spans="1:9" ht="15" customHeight="1" x14ac:dyDescent="0.35">
      <c r="A52" s="254"/>
      <c r="B52" s="615"/>
      <c r="C52" s="60" t="s">
        <v>2756</v>
      </c>
      <c r="E52" s="253"/>
      <c r="F52" s="167"/>
      <c r="G52" s="1676" t="s">
        <v>2757</v>
      </c>
      <c r="H52" s="1677">
        <v>6.9</v>
      </c>
      <c r="I52" s="1678">
        <v>0.83</v>
      </c>
    </row>
    <row r="53" spans="1:9" ht="15" thickBot="1" x14ac:dyDescent="0.4">
      <c r="A53" s="88"/>
      <c r="B53" s="693"/>
      <c r="C53" s="127" t="s">
        <v>2758</v>
      </c>
      <c r="D53" s="85"/>
      <c r="E53" s="86"/>
      <c r="F53" s="167"/>
      <c r="G53" s="1676" t="s">
        <v>2759</v>
      </c>
      <c r="H53" s="1677">
        <v>6.9</v>
      </c>
      <c r="I53" s="1678">
        <v>0.83</v>
      </c>
    </row>
    <row r="54" spans="1:9" x14ac:dyDescent="0.35">
      <c r="A54" s="391" t="s">
        <v>2760</v>
      </c>
      <c r="B54" s="2675" t="s">
        <v>2761</v>
      </c>
      <c r="C54" s="353" t="s">
        <v>2762</v>
      </c>
      <c r="D54" s="393"/>
      <c r="E54" s="394"/>
      <c r="F54" s="167"/>
      <c r="G54" s="1676" t="s">
        <v>2763</v>
      </c>
      <c r="H54" s="1677">
        <v>6.5</v>
      </c>
      <c r="I54" s="1678">
        <v>0.78</v>
      </c>
    </row>
    <row r="55" spans="1:9" ht="15" thickBot="1" x14ac:dyDescent="0.4">
      <c r="A55" s="395"/>
      <c r="B55" s="2676" t="s">
        <v>2764</v>
      </c>
      <c r="C55" s="396"/>
      <c r="D55" s="397"/>
      <c r="E55" s="398"/>
      <c r="F55" s="167"/>
      <c r="G55" s="1676" t="s">
        <v>2765</v>
      </c>
      <c r="H55" s="1677">
        <v>23.4</v>
      </c>
      <c r="I55" s="1678">
        <v>2.81</v>
      </c>
    </row>
    <row r="56" spans="1:9" x14ac:dyDescent="0.35">
      <c r="A56" s="399" t="s">
        <v>2688</v>
      </c>
      <c r="B56" s="2677" t="s">
        <v>2766</v>
      </c>
      <c r="C56" s="385" t="s">
        <v>2767</v>
      </c>
      <c r="D56" s="401"/>
      <c r="E56" s="402"/>
      <c r="F56" s="167"/>
      <c r="G56" s="1676" t="s">
        <v>2768</v>
      </c>
      <c r="H56" s="1677">
        <v>43.8</v>
      </c>
      <c r="I56" s="1678">
        <v>5.26</v>
      </c>
    </row>
    <row r="57" spans="1:9" ht="15" thickBot="1" x14ac:dyDescent="0.4">
      <c r="A57" s="403"/>
      <c r="B57" s="2676"/>
      <c r="C57" s="396"/>
      <c r="D57" s="397"/>
      <c r="E57" s="398"/>
      <c r="F57" s="167"/>
      <c r="G57" s="1676" t="s">
        <v>2769</v>
      </c>
      <c r="H57" s="1677">
        <v>60.9</v>
      </c>
      <c r="I57" s="1678">
        <v>7.31</v>
      </c>
    </row>
    <row r="58" spans="1:9" x14ac:dyDescent="0.35">
      <c r="A58" s="391" t="s">
        <v>2689</v>
      </c>
      <c r="B58" s="2675">
        <v>14.7</v>
      </c>
      <c r="C58" s="353" t="s">
        <v>2770</v>
      </c>
      <c r="D58" s="393"/>
      <c r="E58" s="394"/>
      <c r="F58" s="167"/>
      <c r="G58" s="1676" t="s">
        <v>2771</v>
      </c>
      <c r="H58" s="1677">
        <v>82.1</v>
      </c>
      <c r="I58" s="1678">
        <v>9.86</v>
      </c>
    </row>
    <row r="59" spans="1:9" ht="15" thickBot="1" x14ac:dyDescent="0.4">
      <c r="A59" s="403"/>
      <c r="B59" s="2678"/>
      <c r="C59" s="396" t="s">
        <v>2772</v>
      </c>
      <c r="D59" s="397"/>
      <c r="E59" s="398"/>
      <c r="F59" s="167"/>
      <c r="G59" s="1676" t="s">
        <v>2773</v>
      </c>
      <c r="H59" s="1677">
        <v>105.2</v>
      </c>
      <c r="I59" s="1678">
        <v>12.63</v>
      </c>
    </row>
    <row r="60" spans="1:9" ht="44" thickBot="1" x14ac:dyDescent="0.4">
      <c r="A60" s="399" t="s">
        <v>2774</v>
      </c>
      <c r="B60" s="2679" t="s">
        <v>2764</v>
      </c>
      <c r="C60" s="353" t="s">
        <v>2775</v>
      </c>
      <c r="D60" s="393"/>
      <c r="E60" s="394"/>
      <c r="F60" s="167"/>
      <c r="G60" s="1679" t="s">
        <v>2776</v>
      </c>
      <c r="H60" s="1680" t="s">
        <v>2777</v>
      </c>
      <c r="I60" s="1681" t="s">
        <v>2778</v>
      </c>
    </row>
    <row r="61" spans="1:9" ht="27" thickBot="1" x14ac:dyDescent="0.4">
      <c r="A61" s="404"/>
      <c r="B61" s="2676"/>
      <c r="C61" s="396" t="s">
        <v>2779</v>
      </c>
      <c r="D61" s="397"/>
      <c r="E61" s="398"/>
      <c r="F61" s="167"/>
      <c r="G61" s="167"/>
    </row>
    <row r="62" spans="1:9" ht="54" customHeight="1" x14ac:dyDescent="0.35">
      <c r="A62" s="391" t="s">
        <v>2698</v>
      </c>
      <c r="B62" s="2679">
        <v>0.5</v>
      </c>
      <c r="C62" s="353" t="s">
        <v>2780</v>
      </c>
      <c r="D62" s="393"/>
      <c r="E62" s="394"/>
      <c r="F62" s="167"/>
      <c r="G62" s="167"/>
    </row>
    <row r="63" spans="1:9" ht="40" thickBot="1" x14ac:dyDescent="0.4">
      <c r="A63" s="395"/>
      <c r="B63" s="2676"/>
      <c r="C63" s="396" t="s">
        <v>2781</v>
      </c>
      <c r="D63" s="397"/>
      <c r="E63" s="398"/>
      <c r="F63" s="167"/>
      <c r="G63" s="167"/>
    </row>
    <row r="64" spans="1:9" ht="65.5" x14ac:dyDescent="0.35">
      <c r="A64" s="399" t="s">
        <v>2782</v>
      </c>
      <c r="B64" s="2677">
        <v>0.5</v>
      </c>
      <c r="C64" s="353" t="s">
        <v>2783</v>
      </c>
      <c r="D64" s="405"/>
      <c r="E64" s="406"/>
      <c r="F64" s="167"/>
      <c r="G64" s="167"/>
    </row>
    <row r="65" spans="1:18" ht="15" thickBot="1" x14ac:dyDescent="0.4">
      <c r="A65" s="404"/>
      <c r="B65" s="2676"/>
      <c r="C65" s="396" t="s">
        <v>2784</v>
      </c>
      <c r="D65" s="407"/>
      <c r="E65" s="408"/>
      <c r="F65" s="167"/>
      <c r="G65" s="167"/>
    </row>
    <row r="66" spans="1:18" ht="15" thickBot="1" x14ac:dyDescent="0.4">
      <c r="A66" s="404" t="s">
        <v>1416</v>
      </c>
      <c r="B66" s="2678">
        <v>24.24</v>
      </c>
      <c r="C66" s="396" t="s">
        <v>2785</v>
      </c>
      <c r="D66" s="407"/>
      <c r="E66" s="408"/>
      <c r="F66" s="167"/>
      <c r="G66" s="167"/>
    </row>
    <row r="67" spans="1:18" ht="15" thickBot="1" x14ac:dyDescent="0.4">
      <c r="A67" s="404"/>
      <c r="B67" s="2676"/>
      <c r="C67" s="396"/>
      <c r="D67" s="407"/>
      <c r="E67" s="408"/>
      <c r="F67" s="167"/>
      <c r="G67" s="167"/>
    </row>
    <row r="68" spans="1:18" ht="15" thickBot="1" x14ac:dyDescent="0.4">
      <c r="A68" s="409" t="s">
        <v>1431</v>
      </c>
      <c r="B68" s="2680">
        <v>6</v>
      </c>
      <c r="C68" s="410" t="s">
        <v>1626</v>
      </c>
      <c r="D68" s="410"/>
      <c r="E68" s="411"/>
      <c r="F68" s="167"/>
      <c r="G68" s="167"/>
    </row>
    <row r="69" spans="1:18" x14ac:dyDescent="0.35">
      <c r="A69" s="358" t="s">
        <v>1040</v>
      </c>
      <c r="B69" s="696"/>
      <c r="C69" s="393"/>
      <c r="D69" s="393"/>
      <c r="E69" s="394"/>
      <c r="F69" s="167"/>
      <c r="G69" s="167"/>
    </row>
    <row r="70" spans="1:18" ht="15" thickBot="1" x14ac:dyDescent="0.4">
      <c r="A70" s="360"/>
      <c r="B70" s="2676"/>
      <c r="C70" s="397"/>
      <c r="D70" s="397"/>
      <c r="E70" s="398"/>
      <c r="F70" s="167"/>
      <c r="G70" s="167"/>
    </row>
    <row r="71" spans="1:18" ht="15" thickBot="1" x14ac:dyDescent="0.4">
      <c r="A71" s="55"/>
      <c r="B71" s="265"/>
      <c r="C71" s="412"/>
      <c r="D71" s="412"/>
      <c r="E71" s="412"/>
    </row>
    <row r="72" spans="1:18" ht="15" thickBot="1" x14ac:dyDescent="0.4">
      <c r="A72" s="97" t="s">
        <v>1257</v>
      </c>
      <c r="B72" s="64"/>
      <c r="C72" s="413"/>
      <c r="D72" s="383"/>
      <c r="E72" s="64"/>
      <c r="F72" s="64"/>
      <c r="G72" s="64"/>
      <c r="H72" s="64"/>
      <c r="I72" s="64"/>
      <c r="J72" s="64"/>
      <c r="K72" s="64"/>
      <c r="L72" s="64"/>
      <c r="M72" s="64"/>
      <c r="N72" s="64"/>
      <c r="O72" s="64"/>
      <c r="P72" s="64"/>
      <c r="Q72" s="64"/>
      <c r="R72" s="65"/>
    </row>
    <row r="73" spans="1:18" x14ac:dyDescent="0.35">
      <c r="A73" s="99"/>
      <c r="B73" s="69"/>
      <c r="C73" s="293" t="s">
        <v>2448</v>
      </c>
      <c r="D73" s="293"/>
      <c r="E73" s="69"/>
      <c r="F73" s="69"/>
      <c r="G73" s="69"/>
      <c r="H73" s="69"/>
      <c r="I73" s="69"/>
      <c r="J73" s="69"/>
      <c r="K73" s="69"/>
      <c r="L73" s="69"/>
      <c r="M73" s="69"/>
      <c r="N73" s="69"/>
      <c r="O73" s="69"/>
      <c r="P73" s="69"/>
      <c r="Q73" s="69"/>
      <c r="R73" s="100"/>
    </row>
    <row r="74" spans="1:18" x14ac:dyDescent="0.35">
      <c r="A74" s="99"/>
      <c r="B74" s="69"/>
      <c r="C74" s="414" t="str">
        <f>I86</f>
        <v>1 (Rockford)</v>
      </c>
      <c r="D74" s="1">
        <v>8</v>
      </c>
      <c r="E74" s="69"/>
      <c r="F74" s="69"/>
      <c r="G74" s="69"/>
      <c r="H74" s="69"/>
      <c r="I74" s="69"/>
      <c r="J74" s="69"/>
      <c r="K74" s="69"/>
      <c r="L74" s="69"/>
      <c r="M74" s="69"/>
      <c r="N74" s="69"/>
      <c r="O74" s="69"/>
      <c r="P74" s="69"/>
      <c r="Q74" s="69"/>
      <c r="R74" s="100"/>
    </row>
    <row r="75" spans="1:18" x14ac:dyDescent="0.35">
      <c r="A75" s="99"/>
      <c r="B75" s="1776"/>
      <c r="C75" s="414" t="str">
        <f>J86</f>
        <v>2 (Chicago)</v>
      </c>
      <c r="D75" s="1">
        <v>9</v>
      </c>
      <c r="E75" s="69"/>
      <c r="F75" s="69"/>
      <c r="G75" s="69"/>
      <c r="H75" s="69"/>
      <c r="I75" s="69"/>
      <c r="J75" s="69"/>
      <c r="K75" s="69"/>
      <c r="L75" s="69"/>
      <c r="M75" s="69"/>
      <c r="N75" s="69"/>
      <c r="O75" s="69"/>
      <c r="P75" s="69"/>
      <c r="Q75" s="69"/>
      <c r="R75" s="100"/>
    </row>
    <row r="76" spans="1:18" x14ac:dyDescent="0.35">
      <c r="A76" s="99"/>
      <c r="B76" s="69"/>
      <c r="C76" s="414" t="str">
        <f>K86</f>
        <v>3 (Springfield)</v>
      </c>
      <c r="D76" s="1">
        <v>10</v>
      </c>
      <c r="E76" s="69"/>
      <c r="F76" s="69"/>
      <c r="G76" s="69"/>
      <c r="H76" s="69"/>
      <c r="I76" s="69"/>
      <c r="J76" s="69"/>
      <c r="K76" s="69"/>
      <c r="L76" s="69"/>
      <c r="M76" s="69"/>
      <c r="N76" s="69"/>
      <c r="O76" s="69"/>
      <c r="P76" s="69"/>
      <c r="Q76" s="69"/>
      <c r="R76" s="100"/>
    </row>
    <row r="77" spans="1:18" x14ac:dyDescent="0.35">
      <c r="A77" s="99"/>
      <c r="B77" s="69"/>
      <c r="C77" s="414" t="str">
        <f>L86</f>
        <v>4 (Belleville)</v>
      </c>
      <c r="D77" s="1">
        <v>11</v>
      </c>
      <c r="E77" s="69"/>
      <c r="F77" s="69"/>
      <c r="G77" s="69"/>
      <c r="H77" s="69"/>
      <c r="I77" s="69"/>
      <c r="J77" s="69"/>
      <c r="K77" s="69"/>
      <c r="L77" s="69"/>
      <c r="M77" s="69"/>
      <c r="N77" s="69"/>
      <c r="O77" s="69"/>
      <c r="P77" s="69"/>
      <c r="Q77" s="69"/>
      <c r="R77" s="100"/>
    </row>
    <row r="78" spans="1:18" x14ac:dyDescent="0.35">
      <c r="A78" s="99"/>
      <c r="B78" s="69"/>
      <c r="C78" s="414" t="str">
        <f>M86</f>
        <v>5 (Marion)</v>
      </c>
      <c r="D78" s="1">
        <v>12</v>
      </c>
      <c r="E78" s="69"/>
      <c r="F78" s="69"/>
      <c r="G78" s="69"/>
      <c r="H78" s="69"/>
      <c r="I78" s="69"/>
      <c r="J78" s="69"/>
      <c r="K78" s="69"/>
      <c r="L78" s="69"/>
      <c r="M78" s="69"/>
      <c r="N78" s="69"/>
      <c r="O78" s="69"/>
      <c r="P78" s="69"/>
      <c r="Q78" s="69"/>
      <c r="R78" s="100"/>
    </row>
    <row r="79" spans="1:18" x14ac:dyDescent="0.35">
      <c r="A79" s="99"/>
      <c r="B79" s="69"/>
      <c r="C79" s="414" t="s">
        <v>105</v>
      </c>
      <c r="D79" s="1">
        <v>13</v>
      </c>
      <c r="E79" s="69"/>
      <c r="F79" s="69"/>
      <c r="G79" s="69"/>
      <c r="H79" s="69"/>
      <c r="I79" s="69"/>
      <c r="J79" s="69"/>
      <c r="K79" s="69"/>
      <c r="L79" s="69"/>
      <c r="M79" s="69"/>
      <c r="N79" s="69"/>
      <c r="O79" s="69"/>
      <c r="P79" s="69"/>
      <c r="Q79" s="69"/>
      <c r="R79" s="100"/>
    </row>
    <row r="80" spans="1:18" x14ac:dyDescent="0.35">
      <c r="A80" s="99"/>
      <c r="B80" s="69"/>
      <c r="C80" s="52"/>
      <c r="D80" s="69"/>
      <c r="E80" s="69"/>
      <c r="F80" s="69"/>
      <c r="G80" s="69"/>
      <c r="H80" s="69"/>
      <c r="I80" s="69"/>
      <c r="J80" s="69"/>
      <c r="K80" s="69"/>
      <c r="L80" s="69"/>
      <c r="M80" s="69"/>
      <c r="N80" s="69"/>
      <c r="O80" s="69"/>
      <c r="P80" s="69"/>
      <c r="Q80" s="69"/>
      <c r="R80" s="100"/>
    </row>
    <row r="81" spans="1:18" x14ac:dyDescent="0.35">
      <c r="A81" s="99"/>
      <c r="B81" s="69"/>
      <c r="C81" s="293" t="s">
        <v>1819</v>
      </c>
      <c r="D81" s="293"/>
      <c r="E81" s="69"/>
      <c r="F81" s="69"/>
      <c r="G81" s="69"/>
      <c r="H81" s="69"/>
      <c r="I81" s="69"/>
      <c r="J81" s="69"/>
      <c r="K81" s="69"/>
      <c r="L81" s="69"/>
      <c r="M81" s="69"/>
      <c r="N81" s="69"/>
      <c r="O81" s="69"/>
      <c r="P81" s="69"/>
      <c r="Q81" s="69"/>
      <c r="R81" s="100"/>
    </row>
    <row r="82" spans="1:18" x14ac:dyDescent="0.35">
      <c r="A82" s="99"/>
      <c r="B82" s="69"/>
      <c r="C82" s="1" t="s">
        <v>1072</v>
      </c>
      <c r="D82" s="1" t="s">
        <v>2703</v>
      </c>
      <c r="E82" s="69"/>
      <c r="F82" s="69"/>
      <c r="G82" s="69"/>
      <c r="H82" s="69"/>
      <c r="I82" s="69"/>
      <c r="J82" s="69"/>
      <c r="K82" s="69"/>
      <c r="L82" s="69"/>
      <c r="M82" s="69"/>
      <c r="N82" s="69"/>
      <c r="O82" s="69"/>
      <c r="P82" s="69"/>
      <c r="Q82" s="69"/>
      <c r="R82" s="100"/>
    </row>
    <row r="83" spans="1:18" x14ac:dyDescent="0.35">
      <c r="A83" s="99"/>
      <c r="B83" s="69"/>
      <c r="C83" s="1" t="s">
        <v>1632</v>
      </c>
      <c r="D83" s="1" t="s">
        <v>2711</v>
      </c>
      <c r="E83" s="69"/>
      <c r="F83" s="69"/>
      <c r="G83" s="69"/>
      <c r="H83" s="69"/>
      <c r="I83" s="69"/>
      <c r="J83" s="69"/>
      <c r="K83" s="69"/>
      <c r="L83" s="69"/>
      <c r="M83" s="69"/>
      <c r="N83" s="69"/>
      <c r="O83" s="69"/>
      <c r="P83" s="69"/>
      <c r="Q83" s="69"/>
      <c r="R83" s="100"/>
    </row>
    <row r="84" spans="1:18" x14ac:dyDescent="0.35">
      <c r="A84" s="99"/>
      <c r="B84" s="69"/>
      <c r="C84" s="1"/>
      <c r="D84" s="1" t="s">
        <v>2716</v>
      </c>
      <c r="E84" s="69"/>
      <c r="F84" s="69"/>
      <c r="G84" s="69"/>
      <c r="H84" s="69"/>
      <c r="I84" s="69"/>
      <c r="J84" s="69"/>
      <c r="K84" s="69"/>
      <c r="L84" s="69"/>
      <c r="M84" s="69"/>
      <c r="N84" s="69"/>
      <c r="O84" s="69"/>
      <c r="P84" s="69"/>
      <c r="Q84" s="69"/>
      <c r="R84" s="100"/>
    </row>
    <row r="85" spans="1:18" x14ac:dyDescent="0.35">
      <c r="A85" s="99"/>
      <c r="B85" s="69"/>
      <c r="C85" s="52"/>
      <c r="D85" s="69"/>
      <c r="E85" s="69"/>
      <c r="F85" s="69"/>
      <c r="G85" s="69"/>
      <c r="H85" s="69"/>
      <c r="I85" s="69"/>
      <c r="J85" s="69"/>
      <c r="K85" s="69"/>
      <c r="L85" s="69"/>
      <c r="M85" s="69"/>
      <c r="N85" s="69"/>
      <c r="O85" s="69"/>
      <c r="P85" s="69"/>
      <c r="Q85" s="69"/>
      <c r="R85" s="100"/>
    </row>
    <row r="86" spans="1:18" x14ac:dyDescent="0.35">
      <c r="A86" s="99"/>
      <c r="B86" s="69"/>
      <c r="C86" s="3207" t="s">
        <v>2786</v>
      </c>
      <c r="D86" s="3208"/>
      <c r="E86" s="69"/>
      <c r="F86" s="69"/>
      <c r="G86" s="69"/>
      <c r="H86" s="69"/>
      <c r="I86" s="56" t="s">
        <v>1705</v>
      </c>
      <c r="J86" s="56" t="s">
        <v>1691</v>
      </c>
      <c r="K86" s="56" t="s">
        <v>1706</v>
      </c>
      <c r="L86" s="56" t="s">
        <v>1707</v>
      </c>
      <c r="M86" s="56" t="s">
        <v>1708</v>
      </c>
      <c r="N86" s="56" t="s">
        <v>105</v>
      </c>
      <c r="O86" s="69"/>
      <c r="P86" s="69"/>
      <c r="Q86" s="69"/>
      <c r="R86" s="100"/>
    </row>
    <row r="87" spans="1:18" x14ac:dyDescent="0.35">
      <c r="A87" s="99"/>
      <c r="B87" s="293" t="s">
        <v>2684</v>
      </c>
      <c r="C87" s="293" t="s">
        <v>1939</v>
      </c>
      <c r="D87" s="328" t="s">
        <v>2787</v>
      </c>
      <c r="E87" s="295" t="s">
        <v>2788</v>
      </c>
      <c r="F87" s="56" t="s">
        <v>2789</v>
      </c>
      <c r="G87" s="295" t="s">
        <v>2697</v>
      </c>
      <c r="H87" s="295" t="s">
        <v>2699</v>
      </c>
      <c r="I87" s="3169" t="s">
        <v>2790</v>
      </c>
      <c r="J87" s="3169"/>
      <c r="K87" s="3169"/>
      <c r="L87" s="3169"/>
      <c r="M87" s="3169"/>
      <c r="N87" s="3169"/>
      <c r="O87" s="3209" t="s">
        <v>2475</v>
      </c>
      <c r="P87" s="3210"/>
      <c r="Q87" s="3211"/>
      <c r="R87" s="100"/>
    </row>
    <row r="88" spans="1:18" x14ac:dyDescent="0.35">
      <c r="A88" s="99"/>
      <c r="B88" s="415" t="s">
        <v>2718</v>
      </c>
      <c r="C88" s="416"/>
      <c r="D88" s="417"/>
      <c r="E88" s="418">
        <v>38.1</v>
      </c>
      <c r="F88" s="419">
        <v>890</v>
      </c>
      <c r="G88" s="420">
        <v>0.80700000000000005</v>
      </c>
      <c r="H88" s="421">
        <v>0.27</v>
      </c>
      <c r="I88" s="422">
        <v>2425</v>
      </c>
      <c r="J88" s="422">
        <v>2425</v>
      </c>
      <c r="K88" s="422">
        <v>2425</v>
      </c>
      <c r="L88" s="422">
        <v>2425</v>
      </c>
      <c r="M88" s="422">
        <v>2425</v>
      </c>
      <c r="N88" s="422">
        <v>2425</v>
      </c>
      <c r="O88" s="1" t="s">
        <v>2387</v>
      </c>
      <c r="P88" s="1682"/>
      <c r="Q88" s="183">
        <v>0.3</v>
      </c>
      <c r="R88" s="100"/>
    </row>
    <row r="89" spans="1:18" ht="27" customHeight="1" x14ac:dyDescent="0.35">
      <c r="A89" s="99"/>
      <c r="B89" s="415" t="s">
        <v>2712</v>
      </c>
      <c r="C89" s="416"/>
      <c r="D89" s="423"/>
      <c r="E89" s="418">
        <v>13.8</v>
      </c>
      <c r="F89" s="419">
        <v>951</v>
      </c>
      <c r="G89" s="420">
        <v>0.80700000000000005</v>
      </c>
      <c r="H89" s="421">
        <v>0.27</v>
      </c>
      <c r="I89" s="424">
        <v>4272</v>
      </c>
      <c r="J89" s="424">
        <v>4029</v>
      </c>
      <c r="K89" s="424">
        <v>3406</v>
      </c>
      <c r="L89" s="424">
        <v>2515</v>
      </c>
      <c r="M89" s="424">
        <v>2546</v>
      </c>
      <c r="N89" s="424">
        <f>((I89*Q88)+(J89*Q89)+(K89*Q90))</f>
        <v>4039.6</v>
      </c>
      <c r="O89" s="1" t="s">
        <v>2389</v>
      </c>
      <c r="P89" s="1682"/>
      <c r="Q89" s="183">
        <v>0.6</v>
      </c>
      <c r="R89" s="100"/>
    </row>
    <row r="90" spans="1:18" x14ac:dyDescent="0.35">
      <c r="A90" s="99"/>
      <c r="B90" s="415" t="s">
        <v>2717</v>
      </c>
      <c r="C90" s="425"/>
      <c r="D90" s="426"/>
      <c r="E90" s="418">
        <v>13.8</v>
      </c>
      <c r="F90" s="419">
        <v>951</v>
      </c>
      <c r="G90" s="420">
        <v>0.80700000000000005</v>
      </c>
      <c r="H90" s="427">
        <v>0.16</v>
      </c>
      <c r="I90" s="422">
        <v>8282</v>
      </c>
      <c r="J90" s="422">
        <v>8282</v>
      </c>
      <c r="K90" s="422">
        <v>8282</v>
      </c>
      <c r="L90" s="422">
        <v>8282</v>
      </c>
      <c r="M90" s="422">
        <v>8282</v>
      </c>
      <c r="N90" s="422">
        <v>8282</v>
      </c>
      <c r="O90" s="1" t="s">
        <v>2390</v>
      </c>
      <c r="P90" s="1682"/>
      <c r="Q90" s="183">
        <v>0.1</v>
      </c>
      <c r="R90" s="100"/>
    </row>
    <row r="91" spans="1:18" x14ac:dyDescent="0.35">
      <c r="A91" s="99"/>
      <c r="B91" s="415" t="s">
        <v>2704</v>
      </c>
      <c r="C91" s="425"/>
      <c r="D91" s="426"/>
      <c r="E91" s="418">
        <v>12.7</v>
      </c>
      <c r="F91" s="419">
        <v>944</v>
      </c>
      <c r="G91" s="420">
        <v>0.80700000000000005</v>
      </c>
      <c r="H91" s="427">
        <v>0.16</v>
      </c>
      <c r="I91" s="422">
        <v>8282</v>
      </c>
      <c r="J91" s="422">
        <v>8282</v>
      </c>
      <c r="K91" s="422">
        <v>8282</v>
      </c>
      <c r="L91" s="422">
        <v>8282</v>
      </c>
      <c r="M91" s="422">
        <v>8282</v>
      </c>
      <c r="N91" s="422">
        <v>8282</v>
      </c>
      <c r="O91" s="69"/>
      <c r="P91" s="69"/>
      <c r="Q91" s="69"/>
      <c r="R91" s="100"/>
    </row>
    <row r="92" spans="1:18" x14ac:dyDescent="0.35">
      <c r="A92" s="99"/>
      <c r="B92" s="415" t="s">
        <v>2706</v>
      </c>
      <c r="C92" s="425"/>
      <c r="D92" s="426"/>
      <c r="E92" s="418">
        <v>19</v>
      </c>
      <c r="F92" s="419">
        <v>915</v>
      </c>
      <c r="G92" s="420">
        <v>0.80700000000000005</v>
      </c>
      <c r="H92" s="427">
        <v>0.16</v>
      </c>
      <c r="I92" s="422">
        <v>8282</v>
      </c>
      <c r="J92" s="422">
        <v>8282</v>
      </c>
      <c r="K92" s="422">
        <v>8282</v>
      </c>
      <c r="L92" s="422">
        <v>8282</v>
      </c>
      <c r="M92" s="422">
        <v>8282</v>
      </c>
      <c r="N92" s="422">
        <v>8282</v>
      </c>
      <c r="O92" s="69"/>
      <c r="P92" s="69"/>
      <c r="Q92" s="69"/>
      <c r="R92" s="100"/>
    </row>
    <row r="93" spans="1:18" ht="25.5" customHeight="1" x14ac:dyDescent="0.35">
      <c r="A93" s="99"/>
      <c r="B93" s="415" t="s">
        <v>2707</v>
      </c>
      <c r="C93" s="425"/>
      <c r="D93" s="426"/>
      <c r="E93" s="418">
        <v>67.900000000000006</v>
      </c>
      <c r="F93" s="419">
        <v>880</v>
      </c>
      <c r="G93" s="420">
        <v>0.80700000000000005</v>
      </c>
      <c r="H93" s="427">
        <v>0.16</v>
      </c>
      <c r="I93" s="422">
        <v>8282</v>
      </c>
      <c r="J93" s="422">
        <v>8282</v>
      </c>
      <c r="K93" s="422">
        <v>8282</v>
      </c>
      <c r="L93" s="422">
        <v>8282</v>
      </c>
      <c r="M93" s="422">
        <v>8282</v>
      </c>
      <c r="N93" s="422">
        <v>8282</v>
      </c>
      <c r="O93" s="69"/>
      <c r="P93" s="69"/>
      <c r="Q93" s="69"/>
      <c r="R93" s="100"/>
    </row>
    <row r="94" spans="1:18" x14ac:dyDescent="0.35">
      <c r="A94" s="99"/>
      <c r="B94" s="415" t="s">
        <v>2708</v>
      </c>
      <c r="C94" s="425"/>
      <c r="D94" s="428"/>
      <c r="E94" s="418">
        <v>105.8</v>
      </c>
      <c r="F94" s="419">
        <v>859</v>
      </c>
      <c r="G94" s="420">
        <v>0.80700000000000005</v>
      </c>
      <c r="H94" s="427">
        <v>0.16</v>
      </c>
      <c r="I94" s="422">
        <v>8282</v>
      </c>
      <c r="J94" s="422">
        <v>8282</v>
      </c>
      <c r="K94" s="422">
        <v>8282</v>
      </c>
      <c r="L94" s="422">
        <v>8282</v>
      </c>
      <c r="M94" s="422">
        <v>8282</v>
      </c>
      <c r="N94" s="422">
        <v>8282</v>
      </c>
      <c r="O94" s="69"/>
      <c r="P94" s="69"/>
      <c r="Q94" s="69"/>
      <c r="R94" s="100"/>
    </row>
    <row r="95" spans="1:18" x14ac:dyDescent="0.35">
      <c r="A95" s="99"/>
      <c r="B95" s="415" t="s">
        <v>2709</v>
      </c>
      <c r="C95" s="425"/>
      <c r="D95" s="428"/>
      <c r="E95" s="418">
        <v>143.69999999999999</v>
      </c>
      <c r="F95" s="419">
        <v>837</v>
      </c>
      <c r="G95" s="420">
        <v>0.80700000000000005</v>
      </c>
      <c r="H95" s="427">
        <v>0.16</v>
      </c>
      <c r="I95" s="422">
        <v>8282</v>
      </c>
      <c r="J95" s="422">
        <v>8282</v>
      </c>
      <c r="K95" s="422">
        <v>8282</v>
      </c>
      <c r="L95" s="422">
        <v>8282</v>
      </c>
      <c r="M95" s="422">
        <v>8282</v>
      </c>
      <c r="N95" s="422">
        <v>8282</v>
      </c>
      <c r="O95" s="69"/>
      <c r="P95" s="69"/>
      <c r="Q95" s="69"/>
      <c r="R95" s="100"/>
    </row>
    <row r="96" spans="1:18" x14ac:dyDescent="0.35">
      <c r="A96" s="99"/>
      <c r="B96" s="415" t="s">
        <v>2710</v>
      </c>
      <c r="C96" s="425"/>
      <c r="D96" s="428"/>
      <c r="E96" s="418">
        <v>200.5</v>
      </c>
      <c r="F96" s="419">
        <v>816</v>
      </c>
      <c r="G96" s="420">
        <v>0.80700000000000005</v>
      </c>
      <c r="H96" s="427">
        <v>0.16</v>
      </c>
      <c r="I96" s="422">
        <v>8282</v>
      </c>
      <c r="J96" s="422">
        <v>8282</v>
      </c>
      <c r="K96" s="422">
        <v>8282</v>
      </c>
      <c r="L96" s="422">
        <v>8282</v>
      </c>
      <c r="M96" s="422">
        <v>8282</v>
      </c>
      <c r="N96" s="422">
        <v>8282</v>
      </c>
      <c r="O96" s="69"/>
      <c r="P96" s="69"/>
      <c r="Q96" s="69"/>
      <c r="R96" s="100"/>
    </row>
    <row r="97" spans="1:18" x14ac:dyDescent="0.35">
      <c r="A97" s="99"/>
      <c r="B97" s="415" t="s">
        <v>2791</v>
      </c>
      <c r="C97" s="425"/>
      <c r="D97" s="428"/>
      <c r="E97" s="418"/>
      <c r="F97" s="419"/>
      <c r="G97" s="420"/>
      <c r="H97" s="427"/>
      <c r="I97" s="422"/>
      <c r="J97" s="422"/>
      <c r="K97" s="422"/>
      <c r="L97" s="422"/>
      <c r="M97" s="422"/>
      <c r="N97" s="422"/>
      <c r="O97" s="69"/>
      <c r="P97" s="69"/>
      <c r="Q97" s="69"/>
      <c r="R97" s="100"/>
    </row>
    <row r="98" spans="1:18" x14ac:dyDescent="0.35">
      <c r="A98" s="99"/>
      <c r="B98" s="429"/>
      <c r="C98" s="69"/>
      <c r="D98" s="69"/>
      <c r="E98" s="69"/>
      <c r="F98" s="69"/>
      <c r="G98" s="69"/>
      <c r="H98" s="69"/>
      <c r="I98" s="69"/>
      <c r="J98" s="69"/>
      <c r="K98" s="69"/>
      <c r="L98" s="69"/>
      <c r="M98" s="69"/>
      <c r="N98" s="69"/>
      <c r="O98" s="69"/>
      <c r="P98" s="69"/>
      <c r="Q98" s="69"/>
      <c r="R98" s="100"/>
    </row>
    <row r="99" spans="1:18" x14ac:dyDescent="0.35">
      <c r="A99" s="99"/>
      <c r="B99" s="256"/>
      <c r="C99" s="69"/>
      <c r="D99" s="69"/>
      <c r="E99" s="69"/>
      <c r="F99" s="69"/>
      <c r="G99" s="69"/>
      <c r="H99" s="69"/>
      <c r="I99" s="69"/>
      <c r="J99" s="69"/>
      <c r="K99" s="69"/>
      <c r="L99" s="69"/>
      <c r="M99" s="69"/>
      <c r="N99" s="69"/>
      <c r="O99" s="69"/>
      <c r="P99" s="69"/>
      <c r="Q99" s="69"/>
      <c r="R99" s="100"/>
    </row>
    <row r="100" spans="1:18" ht="52" x14ac:dyDescent="0.35">
      <c r="A100" s="99"/>
      <c r="B100" s="430"/>
      <c r="C100" s="431" t="s">
        <v>2718</v>
      </c>
      <c r="D100" s="431" t="s">
        <v>2712</v>
      </c>
      <c r="E100" s="431" t="s">
        <v>2717</v>
      </c>
      <c r="F100" s="431" t="s">
        <v>2704</v>
      </c>
      <c r="G100" s="431" t="s">
        <v>2792</v>
      </c>
      <c r="H100" s="431" t="s">
        <v>2793</v>
      </c>
      <c r="I100" s="431" t="s">
        <v>2794</v>
      </c>
      <c r="J100" s="431" t="s">
        <v>2795</v>
      </c>
      <c r="K100" s="431" t="s">
        <v>2796</v>
      </c>
      <c r="L100" s="69"/>
      <c r="M100" s="69"/>
      <c r="N100" s="69"/>
      <c r="O100" s="69"/>
      <c r="P100" s="69"/>
      <c r="Q100" s="69"/>
      <c r="R100" s="100"/>
    </row>
    <row r="101" spans="1:18" x14ac:dyDescent="0.35">
      <c r="A101" s="99"/>
      <c r="B101" s="415" t="s">
        <v>2703</v>
      </c>
      <c r="C101" s="177">
        <v>1</v>
      </c>
      <c r="D101" s="1">
        <v>1</v>
      </c>
      <c r="E101" s="1">
        <v>1</v>
      </c>
      <c r="F101" s="1">
        <v>1</v>
      </c>
      <c r="G101" s="1">
        <v>1</v>
      </c>
      <c r="H101" s="1">
        <v>1</v>
      </c>
      <c r="I101" s="1">
        <v>1</v>
      </c>
      <c r="J101" s="1">
        <v>1</v>
      </c>
      <c r="K101" s="1">
        <v>1</v>
      </c>
      <c r="L101" s="69"/>
      <c r="M101" s="69"/>
      <c r="N101" s="69"/>
      <c r="O101" s="69"/>
      <c r="P101" s="69"/>
      <c r="Q101" s="69"/>
      <c r="R101" s="100"/>
    </row>
    <row r="102" spans="1:18" x14ac:dyDescent="0.35">
      <c r="A102" s="99"/>
      <c r="B102" s="415" t="s">
        <v>2797</v>
      </c>
      <c r="C102" s="421">
        <v>0.27</v>
      </c>
      <c r="D102" s="421">
        <v>0.27</v>
      </c>
      <c r="E102" s="421">
        <v>0.16</v>
      </c>
      <c r="F102" s="421">
        <v>0.16</v>
      </c>
      <c r="G102" s="421">
        <v>0.16</v>
      </c>
      <c r="H102" s="421">
        <v>0.16</v>
      </c>
      <c r="I102" s="421">
        <v>0.16</v>
      </c>
      <c r="J102" s="421">
        <v>0.16</v>
      </c>
      <c r="K102" s="421">
        <v>0.16</v>
      </c>
      <c r="L102" s="69"/>
      <c r="M102" s="69"/>
      <c r="N102" s="69"/>
      <c r="O102" s="69"/>
      <c r="P102" s="69"/>
      <c r="Q102" s="69"/>
      <c r="R102" s="100"/>
    </row>
    <row r="103" spans="1:18" x14ac:dyDescent="0.35">
      <c r="A103" s="99"/>
      <c r="B103" s="415" t="s">
        <v>2798</v>
      </c>
      <c r="C103" s="1">
        <v>0.74</v>
      </c>
      <c r="D103" s="1">
        <v>0.74</v>
      </c>
      <c r="E103" s="1">
        <v>0.74</v>
      </c>
      <c r="F103" s="1">
        <v>0.74</v>
      </c>
      <c r="G103" s="1">
        <v>0.74</v>
      </c>
      <c r="H103" s="1">
        <v>0.74</v>
      </c>
      <c r="I103" s="1">
        <v>0.74</v>
      </c>
      <c r="J103" s="1">
        <v>0.74</v>
      </c>
      <c r="K103" s="1">
        <v>0.74</v>
      </c>
      <c r="L103" s="69"/>
      <c r="M103" s="69"/>
      <c r="N103" s="69"/>
      <c r="O103" s="69"/>
      <c r="P103" s="69"/>
      <c r="Q103" s="69"/>
      <c r="R103" s="100"/>
    </row>
    <row r="104" spans="1:18" x14ac:dyDescent="0.35">
      <c r="A104" s="99"/>
      <c r="B104" s="69"/>
      <c r="C104" s="69"/>
      <c r="D104" s="69"/>
      <c r="E104" s="69"/>
      <c r="F104" s="69"/>
      <c r="G104" s="69"/>
      <c r="H104" s="69"/>
      <c r="I104" s="69"/>
      <c r="J104" s="69"/>
      <c r="K104" s="69"/>
      <c r="L104" s="69"/>
      <c r="M104" s="69"/>
      <c r="N104" s="69"/>
      <c r="O104" s="69"/>
      <c r="P104" s="69"/>
      <c r="Q104" s="69"/>
      <c r="R104" s="100"/>
    </row>
    <row r="105" spans="1:18" x14ac:dyDescent="0.35">
      <c r="A105" s="99"/>
      <c r="B105" s="430" t="s">
        <v>2799</v>
      </c>
      <c r="C105" s="430"/>
      <c r="D105" s="69"/>
      <c r="E105" s="69"/>
      <c r="F105" s="69"/>
      <c r="G105" s="69"/>
      <c r="H105" s="69"/>
      <c r="I105" s="69"/>
      <c r="J105" s="69"/>
      <c r="K105" s="69"/>
      <c r="L105" s="69"/>
      <c r="M105" s="69"/>
      <c r="N105" s="69"/>
      <c r="O105" s="69"/>
      <c r="P105" s="69"/>
      <c r="Q105" s="69"/>
      <c r="R105" s="100"/>
    </row>
    <row r="106" spans="1:18" x14ac:dyDescent="0.35">
      <c r="A106" s="99"/>
      <c r="B106" s="415" t="s">
        <v>2718</v>
      </c>
      <c r="C106" s="1">
        <v>2</v>
      </c>
      <c r="D106" s="69"/>
      <c r="E106" s="69"/>
      <c r="F106" s="69"/>
      <c r="G106" s="69"/>
      <c r="H106" s="69"/>
      <c r="I106" s="69"/>
      <c r="J106" s="69"/>
      <c r="K106" s="69"/>
      <c r="L106" s="69"/>
      <c r="M106" s="69"/>
      <c r="N106" s="69"/>
      <c r="O106" s="69"/>
      <c r="P106" s="69"/>
      <c r="Q106" s="69"/>
      <c r="R106" s="100"/>
    </row>
    <row r="107" spans="1:18" x14ac:dyDescent="0.35">
      <c r="A107" s="99"/>
      <c r="B107" s="415" t="s">
        <v>2712</v>
      </c>
      <c r="C107" s="1">
        <v>3</v>
      </c>
      <c r="D107" s="69"/>
      <c r="E107" s="69"/>
      <c r="F107" s="69"/>
      <c r="G107" s="69"/>
      <c r="H107" s="69"/>
      <c r="I107" s="69"/>
      <c r="J107" s="69"/>
      <c r="K107" s="69"/>
      <c r="L107" s="69"/>
      <c r="M107" s="69"/>
      <c r="N107" s="69"/>
      <c r="O107" s="69"/>
      <c r="P107" s="69"/>
      <c r="Q107" s="69"/>
      <c r="R107" s="100"/>
    </row>
    <row r="108" spans="1:18" x14ac:dyDescent="0.35">
      <c r="A108" s="99"/>
      <c r="B108" s="415" t="s">
        <v>2717</v>
      </c>
      <c r="C108" s="1">
        <v>4</v>
      </c>
      <c r="D108" s="69"/>
      <c r="E108" s="69"/>
      <c r="F108" s="69"/>
      <c r="G108" s="69"/>
      <c r="H108" s="69"/>
      <c r="I108" s="69"/>
      <c r="J108" s="69"/>
      <c r="K108" s="69"/>
      <c r="L108" s="69"/>
      <c r="M108" s="69"/>
      <c r="N108" s="69"/>
      <c r="O108" s="69"/>
      <c r="P108" s="69"/>
      <c r="Q108" s="69"/>
      <c r="R108" s="100"/>
    </row>
    <row r="109" spans="1:18" x14ac:dyDescent="0.35">
      <c r="A109" s="99"/>
      <c r="B109" s="415" t="s">
        <v>2704</v>
      </c>
      <c r="C109" s="1">
        <v>5</v>
      </c>
      <c r="D109" s="69"/>
      <c r="E109" s="69"/>
      <c r="F109" s="69"/>
      <c r="G109" s="69"/>
      <c r="H109" s="69"/>
      <c r="I109" s="69"/>
      <c r="J109" s="69"/>
      <c r="K109" s="69"/>
      <c r="L109" s="69"/>
      <c r="M109" s="69"/>
      <c r="N109" s="69"/>
      <c r="O109" s="69"/>
      <c r="P109" s="69"/>
      <c r="Q109" s="69"/>
      <c r="R109" s="100"/>
    </row>
    <row r="110" spans="1:18" x14ac:dyDescent="0.35">
      <c r="A110" s="99"/>
      <c r="B110" s="415" t="s">
        <v>2706</v>
      </c>
      <c r="C110" s="1">
        <v>6</v>
      </c>
      <c r="D110" s="69"/>
      <c r="E110" s="69"/>
      <c r="F110" s="69"/>
      <c r="G110" s="69"/>
      <c r="H110" s="69"/>
      <c r="I110" s="69"/>
      <c r="J110" s="69"/>
      <c r="K110" s="69"/>
      <c r="L110" s="69"/>
      <c r="M110" s="69"/>
      <c r="N110" s="69"/>
      <c r="O110" s="69"/>
      <c r="P110" s="69"/>
      <c r="Q110" s="69"/>
      <c r="R110" s="100"/>
    </row>
    <row r="111" spans="1:18" x14ac:dyDescent="0.35">
      <c r="A111" s="99"/>
      <c r="B111" s="415" t="s">
        <v>2707</v>
      </c>
      <c r="C111" s="1">
        <v>7</v>
      </c>
      <c r="D111" s="69"/>
      <c r="E111" s="69"/>
      <c r="F111" s="69"/>
      <c r="G111" s="69"/>
      <c r="H111" s="69"/>
      <c r="I111" s="69"/>
      <c r="J111" s="69"/>
      <c r="K111" s="69"/>
      <c r="L111" s="69"/>
      <c r="M111" s="69"/>
      <c r="N111" s="69"/>
      <c r="O111" s="69"/>
      <c r="P111" s="69"/>
      <c r="Q111" s="69"/>
      <c r="R111" s="100"/>
    </row>
    <row r="112" spans="1:18" x14ac:dyDescent="0.35">
      <c r="A112" s="99"/>
      <c r="B112" s="415" t="s">
        <v>2708</v>
      </c>
      <c r="C112" s="1">
        <v>8</v>
      </c>
      <c r="D112" s="69"/>
      <c r="E112" s="69"/>
      <c r="F112" s="69"/>
      <c r="G112" s="69"/>
      <c r="H112" s="69"/>
      <c r="I112" s="69"/>
      <c r="J112" s="69"/>
      <c r="K112" s="69"/>
      <c r="L112" s="69"/>
      <c r="M112" s="69"/>
      <c r="N112" s="69"/>
      <c r="O112" s="69"/>
      <c r="P112" s="69"/>
      <c r="Q112" s="69"/>
      <c r="R112" s="100"/>
    </row>
    <row r="113" spans="1:18" x14ac:dyDescent="0.35">
      <c r="A113" s="99"/>
      <c r="B113" s="415" t="s">
        <v>2709</v>
      </c>
      <c r="C113" s="1">
        <v>9</v>
      </c>
      <c r="D113" s="69"/>
      <c r="E113" s="69"/>
      <c r="F113" s="69"/>
      <c r="G113" s="69"/>
      <c r="H113" s="69"/>
      <c r="I113" s="69"/>
      <c r="J113" s="69"/>
      <c r="K113" s="69"/>
      <c r="L113" s="69"/>
      <c r="M113" s="69"/>
      <c r="N113" s="69"/>
      <c r="O113" s="69"/>
      <c r="P113" s="69"/>
      <c r="Q113" s="69"/>
      <c r="R113" s="100"/>
    </row>
    <row r="114" spans="1:18" x14ac:dyDescent="0.35">
      <c r="A114" s="99"/>
      <c r="B114" s="415" t="s">
        <v>2710</v>
      </c>
      <c r="C114" s="1">
        <v>10</v>
      </c>
      <c r="D114" s="69"/>
      <c r="E114" s="69"/>
      <c r="F114" s="69"/>
      <c r="G114" s="69"/>
      <c r="H114" s="69"/>
      <c r="I114" s="69"/>
      <c r="J114" s="69"/>
      <c r="K114" s="69"/>
      <c r="L114" s="69"/>
      <c r="M114" s="69"/>
      <c r="N114" s="69"/>
      <c r="O114" s="69"/>
      <c r="P114" s="69"/>
      <c r="Q114" s="69"/>
      <c r="R114" s="100"/>
    </row>
    <row r="115" spans="1:18" x14ac:dyDescent="0.35">
      <c r="A115" s="99"/>
      <c r="B115" s="69"/>
      <c r="C115" s="69"/>
      <c r="D115" s="69"/>
      <c r="E115" s="69"/>
      <c r="F115" s="69"/>
      <c r="G115" s="69"/>
      <c r="H115" s="69"/>
      <c r="I115" s="69"/>
      <c r="J115" s="69"/>
      <c r="K115" s="69"/>
      <c r="L115" s="69"/>
      <c r="M115" s="69"/>
      <c r="N115" s="69"/>
      <c r="O115" s="69"/>
      <c r="P115" s="69"/>
      <c r="Q115" s="69"/>
      <c r="R115" s="100"/>
    </row>
    <row r="116" spans="1:18" ht="29" x14ac:dyDescent="0.35">
      <c r="A116" s="99"/>
      <c r="B116" s="1774" t="s">
        <v>2684</v>
      </c>
      <c r="C116" s="1774" t="s">
        <v>2800</v>
      </c>
      <c r="D116" s="1774" t="s">
        <v>2801</v>
      </c>
      <c r="E116" s="1774" t="s">
        <v>2802</v>
      </c>
      <c r="F116" s="1774" t="s">
        <v>2803</v>
      </c>
      <c r="G116" s="1774" t="s">
        <v>2752</v>
      </c>
      <c r="H116" s="69"/>
      <c r="I116" s="69"/>
      <c r="J116" s="69"/>
      <c r="K116" s="69"/>
      <c r="L116" s="69"/>
      <c r="M116" s="69"/>
      <c r="N116" s="69"/>
      <c r="O116" s="69"/>
      <c r="P116" s="69"/>
      <c r="Q116" s="69"/>
      <c r="R116" s="100"/>
    </row>
    <row r="117" spans="1:18" x14ac:dyDescent="0.35">
      <c r="A117" s="99"/>
      <c r="B117" s="1761" t="s">
        <v>2718</v>
      </c>
      <c r="C117" s="1762">
        <v>82.8</v>
      </c>
      <c r="D117" s="1762">
        <v>0.125</v>
      </c>
      <c r="E117" s="1763">
        <v>0.5</v>
      </c>
      <c r="F117" s="1763">
        <v>1</v>
      </c>
      <c r="G117" s="1762">
        <v>18.5</v>
      </c>
      <c r="H117" s="69"/>
      <c r="I117" s="69"/>
      <c r="J117" s="69"/>
      <c r="K117" s="69"/>
      <c r="L117" s="69"/>
      <c r="M117" s="69"/>
      <c r="N117" s="69"/>
      <c r="O117" s="69"/>
      <c r="P117" s="69"/>
      <c r="Q117" s="69"/>
      <c r="R117" s="100"/>
    </row>
    <row r="118" spans="1:18" x14ac:dyDescent="0.35">
      <c r="A118" s="99"/>
      <c r="B118" s="1761" t="s">
        <v>2712</v>
      </c>
      <c r="C118" s="1773">
        <v>0</v>
      </c>
      <c r="D118" s="1762"/>
      <c r="E118" s="1763">
        <v>0.5</v>
      </c>
      <c r="F118" s="1763">
        <v>1</v>
      </c>
      <c r="G118" s="1762">
        <v>6.9</v>
      </c>
      <c r="H118" s="69"/>
      <c r="I118" s="69"/>
      <c r="J118" s="69"/>
      <c r="K118" s="69"/>
      <c r="L118" s="69"/>
      <c r="M118" s="69"/>
      <c r="N118" s="69"/>
      <c r="O118" s="69"/>
      <c r="P118" s="69"/>
      <c r="Q118" s="69"/>
      <c r="R118" s="100"/>
    </row>
    <row r="119" spans="1:18" x14ac:dyDescent="0.35">
      <c r="A119" s="99"/>
      <c r="B119" s="1761" t="s">
        <v>2717</v>
      </c>
      <c r="C119" s="1773">
        <v>0</v>
      </c>
      <c r="D119" s="1762"/>
      <c r="E119" s="1763">
        <v>0.5</v>
      </c>
      <c r="F119" s="1763">
        <v>1</v>
      </c>
      <c r="G119" s="1762">
        <v>6.9</v>
      </c>
      <c r="H119" s="69"/>
      <c r="I119" s="69"/>
      <c r="J119" s="69"/>
      <c r="K119" s="69"/>
      <c r="L119" s="69"/>
      <c r="M119" s="69"/>
      <c r="N119" s="69"/>
      <c r="O119" s="69"/>
      <c r="P119" s="69"/>
      <c r="Q119" s="69"/>
      <c r="R119" s="100"/>
    </row>
    <row r="120" spans="1:18" x14ac:dyDescent="0.35">
      <c r="A120" s="99"/>
      <c r="B120" s="415" t="s">
        <v>2704</v>
      </c>
      <c r="C120" s="24">
        <v>16</v>
      </c>
      <c r="D120" s="24">
        <v>0.1875</v>
      </c>
      <c r="E120" s="1775">
        <v>0.5</v>
      </c>
      <c r="F120" s="1775">
        <v>0.5</v>
      </c>
      <c r="G120" s="24">
        <v>6.5</v>
      </c>
      <c r="H120" s="69"/>
      <c r="I120" s="69"/>
      <c r="J120" s="69"/>
      <c r="K120" s="69"/>
      <c r="L120" s="69"/>
      <c r="M120" s="69"/>
      <c r="N120" s="69"/>
      <c r="O120" s="69"/>
      <c r="P120" s="69"/>
      <c r="Q120" s="69"/>
      <c r="R120" s="100"/>
    </row>
    <row r="121" spans="1:18" x14ac:dyDescent="0.35">
      <c r="A121" s="99"/>
      <c r="B121" s="415" t="s">
        <v>2706</v>
      </c>
      <c r="C121" s="24">
        <v>47</v>
      </c>
      <c r="D121" s="24">
        <v>0.25</v>
      </c>
      <c r="E121" s="1775">
        <v>0.5</v>
      </c>
      <c r="F121" s="1775">
        <v>0.5</v>
      </c>
      <c r="G121" s="24">
        <v>23.4</v>
      </c>
      <c r="H121" s="69"/>
      <c r="I121" s="69"/>
      <c r="J121" s="69"/>
      <c r="K121" s="69"/>
      <c r="L121" s="69"/>
      <c r="M121" s="69"/>
      <c r="N121" s="69"/>
      <c r="O121" s="69"/>
      <c r="P121" s="69"/>
      <c r="Q121" s="69"/>
      <c r="R121" s="100"/>
    </row>
    <row r="122" spans="1:18" x14ac:dyDescent="0.35">
      <c r="A122" s="99"/>
      <c r="B122" s="415" t="s">
        <v>2707</v>
      </c>
      <c r="C122" s="24">
        <v>101</v>
      </c>
      <c r="D122" s="24">
        <v>0.25</v>
      </c>
      <c r="E122" s="1775">
        <v>0.5</v>
      </c>
      <c r="F122" s="1775">
        <v>0.5</v>
      </c>
      <c r="G122" s="24">
        <v>43.8</v>
      </c>
      <c r="H122" s="69"/>
      <c r="I122" s="69"/>
      <c r="J122" s="69"/>
      <c r="K122" s="69"/>
      <c r="L122" s="69"/>
      <c r="M122" s="69"/>
      <c r="N122" s="69"/>
      <c r="O122" s="69"/>
      <c r="P122" s="69"/>
      <c r="Q122" s="69"/>
      <c r="R122" s="100"/>
    </row>
    <row r="123" spans="1:18" x14ac:dyDescent="0.35">
      <c r="A123" s="99"/>
      <c r="B123" s="415" t="s">
        <v>2708</v>
      </c>
      <c r="C123" s="24">
        <v>146</v>
      </c>
      <c r="D123" s="24">
        <v>0.25</v>
      </c>
      <c r="E123" s="1775">
        <v>0.5</v>
      </c>
      <c r="F123" s="1775">
        <v>0.5</v>
      </c>
      <c r="G123" s="24">
        <v>60.9</v>
      </c>
      <c r="H123" s="69"/>
      <c r="I123" s="69"/>
      <c r="J123" s="69"/>
      <c r="K123" s="69"/>
      <c r="L123" s="69"/>
      <c r="M123" s="69"/>
      <c r="N123" s="69"/>
      <c r="O123" s="69"/>
      <c r="P123" s="69"/>
      <c r="Q123" s="69"/>
      <c r="R123" s="100"/>
    </row>
    <row r="124" spans="1:18" x14ac:dyDescent="0.35">
      <c r="A124" s="99"/>
      <c r="B124" s="415" t="s">
        <v>2709</v>
      </c>
      <c r="C124" s="24">
        <v>202</v>
      </c>
      <c r="D124" s="24">
        <v>0.25</v>
      </c>
      <c r="E124" s="1775">
        <v>0.5</v>
      </c>
      <c r="F124" s="1775">
        <v>0.5</v>
      </c>
      <c r="G124" s="24">
        <v>82.1</v>
      </c>
      <c r="H124" s="69"/>
      <c r="I124" s="69"/>
      <c r="J124" s="69"/>
      <c r="K124" s="69"/>
      <c r="L124" s="69"/>
      <c r="M124" s="69"/>
      <c r="N124" s="69"/>
      <c r="O124" s="69"/>
      <c r="P124" s="69"/>
      <c r="Q124" s="69"/>
      <c r="R124" s="100"/>
    </row>
    <row r="125" spans="1:18" x14ac:dyDescent="0.35">
      <c r="A125" s="99"/>
      <c r="B125" s="415" t="s">
        <v>2710</v>
      </c>
      <c r="C125" s="24">
        <v>263</v>
      </c>
      <c r="D125" s="24">
        <v>0.25</v>
      </c>
      <c r="E125" s="1775">
        <v>0.5</v>
      </c>
      <c r="F125" s="1775">
        <v>0.5</v>
      </c>
      <c r="G125" s="24">
        <v>105.2</v>
      </c>
      <c r="H125" s="69"/>
      <c r="I125" s="69"/>
      <c r="J125" s="69"/>
      <c r="K125" s="69"/>
      <c r="L125" s="69"/>
      <c r="M125" s="69"/>
      <c r="N125" s="69"/>
      <c r="O125" s="69"/>
      <c r="P125" s="69"/>
      <c r="Q125" s="69"/>
      <c r="R125" s="100"/>
    </row>
    <row r="126" spans="1:18" x14ac:dyDescent="0.35">
      <c r="A126" s="99"/>
      <c r="B126" s="415" t="s">
        <v>2804</v>
      </c>
      <c r="C126" s="24" t="s">
        <v>105</v>
      </c>
      <c r="D126" s="24" t="s">
        <v>105</v>
      </c>
      <c r="E126" s="1775">
        <v>0.5</v>
      </c>
      <c r="F126" s="1775">
        <v>0.5</v>
      </c>
      <c r="G126" s="24" t="s">
        <v>2777</v>
      </c>
      <c r="H126" s="69"/>
      <c r="I126" s="69"/>
      <c r="J126" s="69"/>
      <c r="K126" s="69"/>
      <c r="L126" s="69"/>
      <c r="M126" s="69"/>
      <c r="N126" s="69"/>
      <c r="O126" s="69"/>
      <c r="P126" s="69"/>
      <c r="Q126" s="69"/>
      <c r="R126" s="100"/>
    </row>
    <row r="127" spans="1:18" x14ac:dyDescent="0.35">
      <c r="A127" s="99"/>
      <c r="B127" s="432"/>
      <c r="C127" s="69"/>
      <c r="D127" s="69"/>
      <c r="E127" s="69"/>
      <c r="F127" s="69"/>
      <c r="G127" s="69"/>
      <c r="H127" s="69"/>
      <c r="I127" s="69"/>
      <c r="J127" s="69"/>
      <c r="K127" s="69"/>
      <c r="L127" s="69"/>
      <c r="M127" s="69"/>
      <c r="N127" s="69"/>
      <c r="O127" s="69"/>
      <c r="P127" s="69"/>
      <c r="Q127" s="69"/>
      <c r="R127" s="100"/>
    </row>
    <row r="128" spans="1:18" x14ac:dyDescent="0.35">
      <c r="A128" s="99"/>
      <c r="B128" s="69"/>
      <c r="C128" s="69"/>
      <c r="D128" s="69"/>
      <c r="E128" s="69"/>
      <c r="F128" s="69"/>
      <c r="G128" s="69"/>
      <c r="H128" s="69"/>
      <c r="I128" s="69"/>
      <c r="J128" s="69"/>
      <c r="K128" s="69"/>
      <c r="L128" s="69"/>
      <c r="M128" s="69"/>
      <c r="N128" s="69"/>
      <c r="O128" s="69"/>
      <c r="P128" s="69"/>
      <c r="Q128" s="69"/>
      <c r="R128" s="100"/>
    </row>
    <row r="129" spans="1:18" x14ac:dyDescent="0.35">
      <c r="A129" s="99"/>
      <c r="B129" s="69"/>
      <c r="C129" s="69"/>
      <c r="D129" s="69"/>
      <c r="E129" s="69"/>
      <c r="F129" s="69"/>
      <c r="G129" s="69"/>
      <c r="H129" s="69"/>
      <c r="I129" s="69"/>
      <c r="J129" s="69"/>
      <c r="K129" s="69"/>
      <c r="L129" s="69"/>
      <c r="M129" s="69"/>
      <c r="N129" s="69"/>
      <c r="O129" s="69"/>
      <c r="P129" s="69"/>
      <c r="Q129" s="69"/>
      <c r="R129" s="100"/>
    </row>
    <row r="130" spans="1:18" ht="15" thickBot="1" x14ac:dyDescent="0.4">
      <c r="A130" s="261"/>
      <c r="B130" s="161"/>
      <c r="C130" s="161"/>
      <c r="D130" s="161"/>
      <c r="E130" s="161"/>
      <c r="F130" s="161"/>
      <c r="G130" s="161"/>
      <c r="H130" s="161"/>
      <c r="I130" s="161"/>
      <c r="J130" s="161"/>
      <c r="K130" s="161"/>
      <c r="L130" s="161"/>
      <c r="M130" s="161"/>
      <c r="N130" s="161"/>
      <c r="O130" s="161"/>
      <c r="P130" s="161"/>
      <c r="Q130" s="161"/>
      <c r="R130" s="163"/>
    </row>
  </sheetData>
  <customSheetViews>
    <customSheetView guid="{ECD6FE6A-9548-414E-B8AA-6998703C57E0}" scale="85" showPageBreaks="1" fitToPage="1" printArea="1" hiddenRows="1" view="pageBreakPreview">
      <pageMargins left="0" right="0" top="0" bottom="0" header="0" footer="0"/>
      <pageSetup scale="23" orientation="landscape" r:id="rId1"/>
    </customSheetView>
    <customSheetView guid="{11DE45F5-F478-4ED6-8DFF-12002C22A637}" scale="85" showPageBreaks="1" fitToPage="1" printArea="1" hiddenRows="1" view="pageBreakPreview">
      <pageMargins left="0" right="0" top="0" bottom="0" header="0" footer="0"/>
      <pageSetup scale="23" orientation="landscape" r:id="rId2"/>
    </customSheetView>
  </customSheetViews>
  <mergeCells count="7">
    <mergeCell ref="M3:O3"/>
    <mergeCell ref="Q3:S3"/>
    <mergeCell ref="U3:AK3"/>
    <mergeCell ref="C86:D86"/>
    <mergeCell ref="I87:N87"/>
    <mergeCell ref="O87:Q87"/>
    <mergeCell ref="G41:H41"/>
  </mergeCells>
  <phoneticPr fontId="152" type="noConversion"/>
  <dataValidations count="8">
    <dataValidation type="list" allowBlank="1" showInputMessage="1" showErrorMessage="1" sqref="F25:F29 F5:F13" xr:uid="{00000000-0002-0000-1D00-000005000000}">
      <formula1>$D$82:$D$84</formula1>
    </dataValidation>
    <dataValidation type="list" allowBlank="1" showInputMessage="1" showErrorMessage="1" sqref="L5:L13" xr:uid="{00000000-0002-0000-1D00-000006000000}">
      <formula1>$C$70:$C$71</formula1>
    </dataValidation>
    <dataValidation type="list" allowBlank="1" showInputMessage="1" showErrorMessage="1" sqref="F14:F24" xr:uid="{91C92F4D-D07A-4217-938B-A6F7460D224A}">
      <formula1>$D$77:$D$79</formula1>
    </dataValidation>
    <dataValidation type="list" allowBlank="1" showInputMessage="1" showErrorMessage="1" sqref="E5:E29" xr:uid="{00000000-0002-0000-1D00-000000000000}">
      <formula1>HEBr1</formula1>
    </dataValidation>
    <dataValidation type="list" allowBlank="1" showInputMessage="1" showErrorMessage="1" sqref="I5:I29" xr:uid="{00000000-0002-0000-1D00-000001000000}">
      <formula1>Climate1</formula1>
    </dataValidation>
    <dataValidation type="list" allowBlank="1" showInputMessage="1" showErrorMessage="1" sqref="H5:H29" xr:uid="{00000000-0002-0000-1D00-000002000000}">
      <formula1>STRRr2</formula1>
    </dataValidation>
    <dataValidation type="list" allowBlank="1" showInputMessage="1" showErrorMessage="1" sqref="L14:L29" xr:uid="{00000000-0002-0000-1D00-000003000000}">
      <formula1>$C$72:$D$72</formula1>
    </dataValidation>
    <dataValidation type="list" allowBlank="1" showInputMessage="1" showErrorMessage="1" sqref="D5:D29" xr:uid="{00000000-0002-0000-1D00-000004000000}">
      <formula1>MeasureType</formula1>
    </dataValidation>
  </dataValidations>
  <hyperlinks>
    <hyperlink ref="A1" location="'Measure-Level Adjustments'!Print_Titles" display="Measure Level Tab" xr:uid="{A5161169-0A4B-4F86-AF59-7D3BE68B9691}"/>
  </hyperlinks>
  <pageMargins left="0.7" right="0.7" top="0.75" bottom="0.75" header="0.3" footer="0.3"/>
  <pageSetup scale="19" orientation="landscape"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pageSetUpPr fitToPage="1"/>
  </sheetPr>
  <dimension ref="A1:AP105"/>
  <sheetViews>
    <sheetView view="pageBreakPreview" zoomScale="85" zoomScaleNormal="100" zoomScaleSheetLayoutView="85" workbookViewId="0"/>
  </sheetViews>
  <sheetFormatPr defaultRowHeight="14.5" x14ac:dyDescent="0.35"/>
  <cols>
    <col min="1" max="1" width="30.54296875" customWidth="1"/>
    <col min="2" max="2" width="26.453125" customWidth="1"/>
    <col min="3" max="3" width="30.26953125" customWidth="1"/>
    <col min="4" max="4" width="20.26953125" customWidth="1"/>
    <col min="5" max="5" width="10.81640625" customWidth="1"/>
    <col min="6" max="7" width="14.54296875" customWidth="1"/>
    <col min="8" max="9" width="13" customWidth="1"/>
    <col min="10" max="10" width="10.81640625" customWidth="1"/>
    <col min="11" max="11" width="9.54296875" customWidth="1"/>
    <col min="12" max="12" width="12.26953125" customWidth="1"/>
    <col min="13" max="13" width="17.1796875" customWidth="1"/>
    <col min="14" max="14" width="10.54296875" customWidth="1"/>
    <col min="15" max="15" width="12.1796875" customWidth="1"/>
    <col min="20" max="20" width="12.1796875" customWidth="1"/>
    <col min="21" max="26" width="11.54296875" customWidth="1"/>
    <col min="27" max="27" width="11.1796875" style="1370" customWidth="1"/>
    <col min="28" max="28" width="11.1796875" customWidth="1"/>
    <col min="31" max="31" width="13" customWidth="1"/>
    <col min="32" max="32" width="11.26953125" customWidth="1"/>
    <col min="34" max="34" width="10.1796875" customWidth="1"/>
    <col min="35" max="35" width="10.7265625" customWidth="1"/>
    <col min="36" max="36" width="11" customWidth="1"/>
    <col min="37" max="37" width="10.1796875" customWidth="1"/>
  </cols>
  <sheetData>
    <row r="1" spans="1:42" x14ac:dyDescent="0.35">
      <c r="A1" s="1799" t="s">
        <v>1031</v>
      </c>
    </row>
    <row r="2" spans="1:42" ht="30" customHeight="1" x14ac:dyDescent="0.35">
      <c r="A2" s="1394" t="s">
        <v>2805</v>
      </c>
      <c r="B2" s="1396" t="s">
        <v>2806</v>
      </c>
      <c r="C2" s="1394"/>
      <c r="D2" s="1394"/>
      <c r="E2" s="1394"/>
      <c r="F2" s="1394"/>
      <c r="G2" s="1394"/>
      <c r="H2" s="1394"/>
      <c r="I2" s="1394"/>
      <c r="J2" s="1394"/>
      <c r="K2" s="1394"/>
      <c r="L2" s="1394"/>
      <c r="M2" s="1394"/>
      <c r="N2" s="1394"/>
      <c r="O2" s="1394"/>
      <c r="P2" s="1394"/>
      <c r="Q2" s="1394"/>
      <c r="R2" s="1394"/>
      <c r="S2" s="1394"/>
      <c r="T2" s="3217" t="s">
        <v>1032</v>
      </c>
      <c r="U2" s="3218"/>
      <c r="V2" s="3219"/>
      <c r="W2" s="3217" t="s">
        <v>1033</v>
      </c>
      <c r="X2" s="3218"/>
      <c r="Y2" s="3222"/>
      <c r="Z2" s="3223" t="s">
        <v>1158</v>
      </c>
      <c r="AA2" s="3223"/>
      <c r="AB2" s="3223"/>
      <c r="AC2" s="3223"/>
      <c r="AD2" s="3223"/>
      <c r="AE2" s="3223"/>
      <c r="AF2" s="3223"/>
      <c r="AG2" s="3223"/>
      <c r="AH2" s="3223"/>
      <c r="AI2" s="3224" t="s">
        <v>1846</v>
      </c>
      <c r="AJ2" s="3225"/>
      <c r="AK2" s="3214" t="s">
        <v>2807</v>
      </c>
      <c r="AL2" s="3215"/>
    </row>
    <row r="3" spans="1:42" ht="72.5" x14ac:dyDescent="0.35">
      <c r="A3" s="1395" t="s">
        <v>1035</v>
      </c>
      <c r="B3" s="1395" t="s">
        <v>155</v>
      </c>
      <c r="C3" s="1395" t="s">
        <v>1036</v>
      </c>
      <c r="D3" s="1395" t="s">
        <v>1037</v>
      </c>
      <c r="E3" s="1395" t="s">
        <v>1038</v>
      </c>
      <c r="F3" s="1395" t="s">
        <v>1039</v>
      </c>
      <c r="G3" s="1395" t="s">
        <v>2808</v>
      </c>
      <c r="H3" s="1395" t="s">
        <v>1868</v>
      </c>
      <c r="I3" s="1395" t="s">
        <v>1041</v>
      </c>
      <c r="J3" s="1395" t="s">
        <v>2809</v>
      </c>
      <c r="K3" s="1395" t="s">
        <v>2810</v>
      </c>
      <c r="L3" s="1395" t="s">
        <v>1684</v>
      </c>
      <c r="M3" s="1395" t="s">
        <v>1360</v>
      </c>
      <c r="N3" s="1395" t="s">
        <v>2811</v>
      </c>
      <c r="O3" s="1395" t="s">
        <v>2812</v>
      </c>
      <c r="P3" s="1395" t="s">
        <v>2813</v>
      </c>
      <c r="Q3" s="1395" t="s">
        <v>2814</v>
      </c>
      <c r="R3" s="1395" t="s">
        <v>2815</v>
      </c>
      <c r="S3" s="1395" t="s">
        <v>2816</v>
      </c>
      <c r="T3" s="1395" t="s">
        <v>1044</v>
      </c>
      <c r="U3" s="1395" t="s">
        <v>1045</v>
      </c>
      <c r="V3" s="1395" t="s">
        <v>1046</v>
      </c>
      <c r="W3" s="1395" t="s">
        <v>1044</v>
      </c>
      <c r="X3" s="1395" t="s">
        <v>1045</v>
      </c>
      <c r="Y3" s="1395" t="s">
        <v>1046</v>
      </c>
      <c r="Z3" s="1369" t="s">
        <v>2153</v>
      </c>
      <c r="AA3" s="59" t="s">
        <v>2817</v>
      </c>
      <c r="AB3" s="59" t="s">
        <v>2818</v>
      </c>
      <c r="AC3" s="59" t="s">
        <v>2819</v>
      </c>
      <c r="AD3" s="59" t="s">
        <v>2820</v>
      </c>
      <c r="AE3" s="245" t="s">
        <v>2821</v>
      </c>
      <c r="AF3" s="59" t="s">
        <v>2822</v>
      </c>
      <c r="AG3" s="59" t="s">
        <v>2823</v>
      </c>
      <c r="AH3" s="59" t="s">
        <v>2824</v>
      </c>
      <c r="AI3" s="59" t="s">
        <v>2825</v>
      </c>
      <c r="AJ3" s="59" t="s">
        <v>2826</v>
      </c>
      <c r="AK3" s="59" t="s">
        <v>2825</v>
      </c>
      <c r="AL3" s="1397" t="s">
        <v>2826</v>
      </c>
    </row>
    <row r="4" spans="1:42" ht="52.5" hidden="1" x14ac:dyDescent="0.35">
      <c r="A4" s="1047" t="s">
        <v>2827</v>
      </c>
      <c r="B4" s="1047" t="str">
        <f>$B$2&amp;" - "&amp;M4</f>
        <v>Programmable Thermostats - Assembly</v>
      </c>
      <c r="C4" s="1047" t="str">
        <f>B4</f>
        <v>Programmable Thermostats - Assembly</v>
      </c>
      <c r="D4" s="1047" t="s">
        <v>2828</v>
      </c>
      <c r="E4" s="961" t="s">
        <v>1072</v>
      </c>
      <c r="F4" s="1399">
        <f>+$B$41</f>
        <v>4</v>
      </c>
      <c r="G4" s="1400" t="e">
        <f t="shared" ref="G4:G9" si="0">VLOOKUP(H4,$B$85:$C$87,2,FALSE)</f>
        <v>#N/A</v>
      </c>
      <c r="H4" s="1400" t="s">
        <v>1631</v>
      </c>
      <c r="I4" s="1404"/>
      <c r="J4" s="1405" t="s">
        <v>2829</v>
      </c>
      <c r="K4" s="1406"/>
      <c r="L4" s="1406" t="s">
        <v>1696</v>
      </c>
      <c r="M4" s="961" t="s">
        <v>2484</v>
      </c>
      <c r="N4" s="1407" t="s">
        <v>2825</v>
      </c>
      <c r="O4" s="1407" t="s">
        <v>2826</v>
      </c>
      <c r="P4" s="961">
        <f>VLOOKUP(M4,$B$63:$I$70,8,FALSE)</f>
        <v>98</v>
      </c>
      <c r="Q4" s="961">
        <f>+$B$27</f>
        <v>5</v>
      </c>
      <c r="R4" s="961">
        <f>+$B$30</f>
        <v>15</v>
      </c>
      <c r="S4" s="961">
        <v>150</v>
      </c>
      <c r="T4" s="962"/>
      <c r="U4" s="962"/>
      <c r="V4" s="962">
        <f>(AG4-AH4)*AF4</f>
        <v>56.13000000000001</v>
      </c>
      <c r="W4" s="962">
        <f t="shared" ref="W4:W9" si="1">T4*F4</f>
        <v>0</v>
      </c>
      <c r="X4" s="962">
        <f t="shared" ref="X4:X9" si="2">U4*F4</f>
        <v>0</v>
      </c>
      <c r="Y4" s="962">
        <f>V4*F4</f>
        <v>224.52000000000004</v>
      </c>
      <c r="Z4" s="49">
        <f>VLOOKUP(L4, [6]Lists!$L$9:$M$14,2,FALSE)</f>
        <v>7</v>
      </c>
      <c r="AA4" s="1014">
        <f t="shared" ref="AA4:AA11" si="3">IF(N4=$B$101,VLOOKUP(M4,$B$63:$H$70,Z4),VLOOKUP(M4,$B$74:$H$81,Z4))</f>
        <v>18.242399999999996</v>
      </c>
      <c r="AB4" s="49">
        <f t="shared" ref="AB4:AC11" si="4">Q4</f>
        <v>5</v>
      </c>
      <c r="AC4" s="1014">
        <f t="shared" si="4"/>
        <v>15</v>
      </c>
      <c r="AD4" s="1014">
        <f t="shared" ref="AD4:AD11" si="5">IF(O4=$B$101,$C$101,$C$102)</f>
        <v>1</v>
      </c>
      <c r="AE4" s="1014">
        <f t="shared" ref="AE4:AE11" si="6">P4</f>
        <v>98</v>
      </c>
      <c r="AF4" s="1014">
        <f t="shared" ref="AF4:AF11" si="7">S4</f>
        <v>150</v>
      </c>
      <c r="AG4" s="49">
        <f t="shared" ref="AG4:AG11" si="8">IF(N4=$B$101,AI4,AJ4)</f>
        <v>10.300099999999999</v>
      </c>
      <c r="AH4" s="49">
        <f t="shared" ref="AH4:AH11" si="9">IF(N4=$B$101,AK4,AL4)</f>
        <v>9.9258999999999986</v>
      </c>
      <c r="AI4" s="49">
        <f>AA4+AD4*(0.232*AB4+0.0984*AE4-18.79)+AB4*(0.00271*AE4-0.535)+0.0142*AE4</f>
        <v>10.300099999999999</v>
      </c>
      <c r="AJ4" s="49">
        <f>AA4+AD4*(0.00405*AB4+0.000519*AE4-0.11)+AB4*(0.0000689*AE4-0.0118)+0.0022*AE4</f>
        <v>18.393872999999996</v>
      </c>
      <c r="AK4" s="49">
        <f>AA4+AD4*(0.232*AC4+0.0984*AE4-18.79)+AC4*(0.00271*AE4-0.535)+0.0142*AE4</f>
        <v>9.9258999999999986</v>
      </c>
      <c r="AL4" s="1398">
        <f>AA4+AD4*(0.00405*AC4+0.000519*AE4-0.11)+AC4*(0.0000689*AE4-0.0118)+0.0022*AE4</f>
        <v>18.383894999999995</v>
      </c>
    </row>
    <row r="5" spans="1:42" ht="52.5" hidden="1" x14ac:dyDescent="0.35">
      <c r="A5" s="1047" t="s">
        <v>2830</v>
      </c>
      <c r="B5" s="1047" t="str">
        <f t="shared" ref="B5:B11" si="10">$B$2&amp;" - "&amp;M5</f>
        <v>Programmable Thermostats - Convenience Store</v>
      </c>
      <c r="C5" s="1047" t="str">
        <f t="shared" ref="C5:C12" si="11">B5</f>
        <v>Programmable Thermostats - Convenience Store</v>
      </c>
      <c r="D5" s="1047" t="s">
        <v>2828</v>
      </c>
      <c r="E5" s="961" t="s">
        <v>1072</v>
      </c>
      <c r="F5" s="1399">
        <f t="shared" ref="F5:F11" si="12">+$B$41</f>
        <v>4</v>
      </c>
      <c r="G5" s="1400" t="e">
        <f t="shared" si="0"/>
        <v>#N/A</v>
      </c>
      <c r="H5" s="1400" t="s">
        <v>1631</v>
      </c>
      <c r="I5" s="1404"/>
      <c r="J5" s="1405" t="s">
        <v>2829</v>
      </c>
      <c r="K5" s="1406"/>
      <c r="L5" s="1406" t="s">
        <v>1696</v>
      </c>
      <c r="M5" s="961" t="s">
        <v>2487</v>
      </c>
      <c r="N5" s="1407" t="s">
        <v>2825</v>
      </c>
      <c r="O5" s="1407" t="s">
        <v>2826</v>
      </c>
      <c r="P5" s="961">
        <f t="shared" ref="P5:P11" si="13">VLOOKUP(M5,$B$63:$I$70,8,FALSE)</f>
        <v>108</v>
      </c>
      <c r="Q5" s="961">
        <f t="shared" ref="Q5:Q11" si="14">+$B$27</f>
        <v>5</v>
      </c>
      <c r="R5" s="961">
        <f t="shared" ref="R5:R11" si="15">+$B$30</f>
        <v>15</v>
      </c>
      <c r="S5" s="961">
        <v>150</v>
      </c>
      <c r="T5" s="962"/>
      <c r="U5" s="962"/>
      <c r="V5" s="962">
        <f t="shared" ref="V5:V11" si="16">(AG5-AH5)*AF5</f>
        <v>2.4990000000000179</v>
      </c>
      <c r="W5" s="962">
        <f t="shared" si="1"/>
        <v>0</v>
      </c>
      <c r="X5" s="962">
        <f t="shared" si="2"/>
        <v>0</v>
      </c>
      <c r="Y5" s="962">
        <f t="shared" ref="Y5:Y12" si="17">V5*F5</f>
        <v>9.9960000000000715</v>
      </c>
      <c r="Z5" s="49">
        <f>VLOOKUP(L5, [6]Lists!$L$9:$M$14,2,FALSE)</f>
        <v>7</v>
      </c>
      <c r="AA5" s="1014">
        <f t="shared" si="3"/>
        <v>1.1747000000000001</v>
      </c>
      <c r="AB5" s="49">
        <f t="shared" si="4"/>
        <v>5</v>
      </c>
      <c r="AC5" s="1014">
        <f t="shared" si="4"/>
        <v>15</v>
      </c>
      <c r="AD5" s="1014">
        <f t="shared" si="5"/>
        <v>1</v>
      </c>
      <c r="AE5" s="1014">
        <f t="shared" si="6"/>
        <v>108</v>
      </c>
      <c r="AF5" s="1014">
        <f t="shared" si="7"/>
        <v>150</v>
      </c>
      <c r="AG5" s="49">
        <f t="shared" si="8"/>
        <v>1.5089300000000001</v>
      </c>
      <c r="AH5" s="49">
        <f t="shared" si="9"/>
        <v>1.49227</v>
      </c>
      <c r="AI5" s="49">
        <f>AA5+AD5*(0.00545*AB5-0.00251*AE5+0.416)+AB5*(0.000123*AE5-0.0204)+0.00183*AE5</f>
        <v>1.5089300000000001</v>
      </c>
      <c r="AJ5" s="49">
        <f>AA5+AD5*(0.00231*AB5-0.0349)+AB4*(0.000309*AE5-0.0494)+0.00266*AE4</f>
        <v>1.33189</v>
      </c>
      <c r="AK5" s="49">
        <f>AA5+AD5*(0.00545*AC5-0.00251*AE5+0.416)+AC5*(0.000123*AE5-0.0204)+0.00183*AE5</f>
        <v>1.49227</v>
      </c>
      <c r="AL5" s="1398">
        <f>AA5+AD5*(0.00231*AC5-0.0349)+AC5*(0.000309*AE5-0.0494)+0.00266*AE5</f>
        <v>1.2213099999999999</v>
      </c>
    </row>
    <row r="6" spans="1:42" ht="52.5" hidden="1" x14ac:dyDescent="0.35">
      <c r="A6" s="1047" t="s">
        <v>2831</v>
      </c>
      <c r="B6" s="1047" t="str">
        <f t="shared" si="10"/>
        <v>Programmable Thermostats - Office - Low Rise</v>
      </c>
      <c r="C6" s="1047" t="str">
        <f t="shared" si="11"/>
        <v>Programmable Thermostats - Office - Low Rise</v>
      </c>
      <c r="D6" s="1047" t="s">
        <v>2828</v>
      </c>
      <c r="E6" s="961" t="s">
        <v>1072</v>
      </c>
      <c r="F6" s="1399">
        <f t="shared" si="12"/>
        <v>4</v>
      </c>
      <c r="G6" s="1400" t="e">
        <f t="shared" si="0"/>
        <v>#N/A</v>
      </c>
      <c r="H6" s="1400" t="s">
        <v>1631</v>
      </c>
      <c r="I6" s="1404"/>
      <c r="J6" s="1405" t="s">
        <v>2829</v>
      </c>
      <c r="K6" s="1406"/>
      <c r="L6" s="1406" t="s">
        <v>1696</v>
      </c>
      <c r="M6" s="961" t="s">
        <v>2388</v>
      </c>
      <c r="N6" s="1407" t="s">
        <v>2825</v>
      </c>
      <c r="O6" s="1407" t="s">
        <v>2826</v>
      </c>
      <c r="P6" s="961">
        <f t="shared" si="13"/>
        <v>55</v>
      </c>
      <c r="Q6" s="961">
        <f t="shared" si="14"/>
        <v>5</v>
      </c>
      <c r="R6" s="961">
        <f t="shared" si="15"/>
        <v>15</v>
      </c>
      <c r="S6" s="961">
        <v>150</v>
      </c>
      <c r="T6" s="962"/>
      <c r="U6" s="962"/>
      <c r="V6" s="962">
        <f t="shared" si="16"/>
        <v>14.399999999999979</v>
      </c>
      <c r="W6" s="962">
        <f t="shared" si="1"/>
        <v>0</v>
      </c>
      <c r="X6" s="962">
        <f t="shared" si="2"/>
        <v>0</v>
      </c>
      <c r="Y6" s="962">
        <f t="shared" si="17"/>
        <v>57.599999999999916</v>
      </c>
      <c r="Z6" s="49">
        <f>VLOOKUP(L6, [6]Lists!$L$9:$M$14,2,FALSE)</f>
        <v>7</v>
      </c>
      <c r="AA6" s="1014">
        <f t="shared" si="3"/>
        <v>1.4026999999999998</v>
      </c>
      <c r="AB6" s="49">
        <f t="shared" si="4"/>
        <v>5</v>
      </c>
      <c r="AC6" s="1014">
        <f t="shared" si="4"/>
        <v>15</v>
      </c>
      <c r="AD6" s="1014">
        <f t="shared" si="5"/>
        <v>1</v>
      </c>
      <c r="AE6" s="1014">
        <f t="shared" si="6"/>
        <v>55</v>
      </c>
      <c r="AF6" s="1014">
        <f t="shared" si="7"/>
        <v>150</v>
      </c>
      <c r="AG6" s="49">
        <f t="shared" si="8"/>
        <v>1.8116499999999998</v>
      </c>
      <c r="AH6" s="49">
        <f t="shared" si="9"/>
        <v>1.7156499999999999</v>
      </c>
      <c r="AI6" s="49">
        <f>AA6+AD6*(0.0205*AB6+0.364)+AB6*(0.00046*AE6-0.0554)+0.00169*AE6</f>
        <v>1.8116499999999998</v>
      </c>
      <c r="AJ6" s="49">
        <f>AA6+AD6*(0.00745*AB6-0.142)+AB6*(0.00077*AE6-0.111)+0.00199*AE6</f>
        <v>1.0641499999999999</v>
      </c>
      <c r="AK6" s="49">
        <f>AA6+AD6*(0.0205*AC6+0.364)+AC6*(0.00046*AE6-0.0554)+0.00169*AE6</f>
        <v>1.7156499999999999</v>
      </c>
      <c r="AL6" s="1398">
        <f>AA6+AD6*(0.00745*AC6-0.142)+AC6*(0.00077*AE6-0.111)+0.00199*AE6</f>
        <v>0.45215</v>
      </c>
    </row>
    <row r="7" spans="1:42" ht="52.5" hidden="1" x14ac:dyDescent="0.35">
      <c r="A7" s="1047" t="s">
        <v>2832</v>
      </c>
      <c r="B7" s="1047" t="str">
        <f t="shared" si="10"/>
        <v>Programmable Thermostats - Religious Facility</v>
      </c>
      <c r="C7" s="1047" t="str">
        <f t="shared" si="11"/>
        <v>Programmable Thermostats - Religious Facility</v>
      </c>
      <c r="D7" s="1047" t="s">
        <v>2828</v>
      </c>
      <c r="E7" s="961" t="s">
        <v>1072</v>
      </c>
      <c r="F7" s="1399">
        <f t="shared" si="12"/>
        <v>4</v>
      </c>
      <c r="G7" s="1400" t="e">
        <f t="shared" si="0"/>
        <v>#N/A</v>
      </c>
      <c r="H7" s="1400" t="s">
        <v>1631</v>
      </c>
      <c r="I7" s="1404"/>
      <c r="J7" s="1405" t="s">
        <v>2829</v>
      </c>
      <c r="K7" s="1406"/>
      <c r="L7" s="1406" t="s">
        <v>1696</v>
      </c>
      <c r="M7" s="961" t="s">
        <v>2397</v>
      </c>
      <c r="N7" s="1407" t="s">
        <v>2825</v>
      </c>
      <c r="O7" s="1407" t="s">
        <v>2826</v>
      </c>
      <c r="P7" s="961">
        <f t="shared" si="13"/>
        <v>133</v>
      </c>
      <c r="Q7" s="961">
        <f t="shared" si="14"/>
        <v>5</v>
      </c>
      <c r="R7" s="961">
        <f t="shared" si="15"/>
        <v>15</v>
      </c>
      <c r="S7" s="961">
        <v>150</v>
      </c>
      <c r="T7" s="962"/>
      <c r="U7" s="962"/>
      <c r="V7" s="962">
        <f t="shared" si="16"/>
        <v>47.114999999999974</v>
      </c>
      <c r="W7" s="962">
        <f t="shared" si="1"/>
        <v>0</v>
      </c>
      <c r="X7" s="962">
        <f t="shared" si="2"/>
        <v>0</v>
      </c>
      <c r="Y7" s="962">
        <f t="shared" si="17"/>
        <v>188.45999999999989</v>
      </c>
      <c r="Z7" s="49">
        <f>VLOOKUP(L7, [6]Lists!$L$9:$M$14,2,FALSE)</f>
        <v>7</v>
      </c>
      <c r="AA7" s="1014">
        <f t="shared" si="3"/>
        <v>5.6859999999999999</v>
      </c>
      <c r="AB7" s="49">
        <f t="shared" si="4"/>
        <v>5</v>
      </c>
      <c r="AC7" s="1014">
        <f t="shared" si="4"/>
        <v>15</v>
      </c>
      <c r="AD7" s="1014">
        <f t="shared" si="5"/>
        <v>1</v>
      </c>
      <c r="AE7" s="1014">
        <f t="shared" si="6"/>
        <v>133</v>
      </c>
      <c r="AF7" s="1014">
        <f t="shared" si="7"/>
        <v>150</v>
      </c>
      <c r="AG7" s="49">
        <f t="shared" si="8"/>
        <v>5.7736700000000001</v>
      </c>
      <c r="AH7" s="49">
        <f t="shared" si="9"/>
        <v>5.4595700000000003</v>
      </c>
      <c r="AI7" s="49">
        <f>AA7+0.00791*AD7*AB7+AB7*(0.00096*AE7-0.167)+0.00184*AE7</f>
        <v>5.7736700000000001</v>
      </c>
      <c r="AJ7" s="49">
        <f>AA7+AD7*(0.00143*AB7-0.0309)+AB7*(0.0008*AE7-0.134)+0.00219*AE7</f>
        <v>5.8155200000000002</v>
      </c>
      <c r="AK7" s="49">
        <f>AA7+0.00791*AD7*AC7+AC7*(0.00096*AE7-0.167)+0.00184*AE7</f>
        <v>5.4595700000000003</v>
      </c>
      <c r="AL7" s="1398">
        <f>AA7+AD7*(0.00143*AC7-0.0309)+AC7*(0.0008*AE7-0.134)+0.00219*AE7</f>
        <v>5.55382</v>
      </c>
    </row>
    <row r="8" spans="1:42" ht="52.5" hidden="1" x14ac:dyDescent="0.35">
      <c r="A8" s="1047" t="s">
        <v>2833</v>
      </c>
      <c r="B8" s="1047" t="str">
        <f t="shared" si="10"/>
        <v>Programmable Thermostats - Restaurant – Fast Food</v>
      </c>
      <c r="C8" s="1047" t="str">
        <f t="shared" si="11"/>
        <v>Programmable Thermostats - Restaurant – Fast Food</v>
      </c>
      <c r="D8" s="1047" t="s">
        <v>2828</v>
      </c>
      <c r="E8" s="961" t="s">
        <v>1072</v>
      </c>
      <c r="F8" s="1399">
        <f t="shared" si="12"/>
        <v>4</v>
      </c>
      <c r="G8" s="1400" t="e">
        <f t="shared" si="0"/>
        <v>#N/A</v>
      </c>
      <c r="H8" s="1400" t="s">
        <v>1631</v>
      </c>
      <c r="I8" s="1404"/>
      <c r="J8" s="1405" t="s">
        <v>2829</v>
      </c>
      <c r="K8" s="1406"/>
      <c r="L8" s="1406" t="s">
        <v>1696</v>
      </c>
      <c r="M8" s="961" t="s">
        <v>2834</v>
      </c>
      <c r="N8" s="1407" t="s">
        <v>2825</v>
      </c>
      <c r="O8" s="1407" t="s">
        <v>2826</v>
      </c>
      <c r="P8" s="961">
        <f t="shared" si="13"/>
        <v>108</v>
      </c>
      <c r="Q8" s="961">
        <f t="shared" si="14"/>
        <v>5</v>
      </c>
      <c r="R8" s="961">
        <f t="shared" si="15"/>
        <v>15</v>
      </c>
      <c r="S8" s="961">
        <v>150</v>
      </c>
      <c r="T8" s="962"/>
      <c r="U8" s="962"/>
      <c r="V8" s="962">
        <f t="shared" si="16"/>
        <v>71.79000000000002</v>
      </c>
      <c r="W8" s="962">
        <f t="shared" si="1"/>
        <v>0</v>
      </c>
      <c r="X8" s="962">
        <f t="shared" si="2"/>
        <v>0</v>
      </c>
      <c r="Y8" s="962">
        <f t="shared" si="17"/>
        <v>287.16000000000008</v>
      </c>
      <c r="Z8" s="49">
        <f>VLOOKUP(L8, [6]Lists!$L$9:$M$14,2,FALSE)</f>
        <v>7</v>
      </c>
      <c r="AA8" s="1014">
        <f t="shared" si="3"/>
        <v>7.4448999999999996</v>
      </c>
      <c r="AB8" s="49">
        <f t="shared" si="4"/>
        <v>5</v>
      </c>
      <c r="AC8" s="1014">
        <f t="shared" si="4"/>
        <v>15</v>
      </c>
      <c r="AD8" s="1014">
        <f t="shared" si="5"/>
        <v>1</v>
      </c>
      <c r="AE8" s="1014">
        <f t="shared" si="6"/>
        <v>108</v>
      </c>
      <c r="AF8" s="1014">
        <f t="shared" si="7"/>
        <v>150</v>
      </c>
      <c r="AG8" s="49">
        <f t="shared" si="8"/>
        <v>5.552999999999999</v>
      </c>
      <c r="AH8" s="49">
        <f t="shared" si="9"/>
        <v>5.0743999999999989</v>
      </c>
      <c r="AI8" s="49">
        <f>AA8+AD8*(0.0431*AB8+0.0424*AE8-7.517)+AB8*(0.00113*AE8-0.213)+0.0119*AE8</f>
        <v>5.552999999999999</v>
      </c>
      <c r="AJ8" s="49">
        <f>AA8+AD8*(0.0125*AB8+0.0036*AE8-0.71)+AB8*(0.000329*AE8-0.0615)+0.00738*AE8</f>
        <v>7.8533999999999997</v>
      </c>
      <c r="AK8" s="49">
        <f>AA8+AD8*(0.0431*AC8+0.0424*AE8-7.517)+AC8*(0.00113*AE8-0.213)+0.0119*AE8</f>
        <v>5.0743999999999989</v>
      </c>
      <c r="AL8" s="1398">
        <f>AA8+AD8*(0.0125*AC8+0.0036*AE8-0.71)+AC8*(0.000329*AE8-0.0615)+0.00738*AE8</f>
        <v>7.7187199999999994</v>
      </c>
    </row>
    <row r="9" spans="1:42" ht="52.5" hidden="1" x14ac:dyDescent="0.35">
      <c r="A9" s="1047" t="s">
        <v>2835</v>
      </c>
      <c r="B9" s="1047" t="str">
        <f t="shared" si="10"/>
        <v>Programmable Thermostats - Restaurant – Full Service</v>
      </c>
      <c r="C9" s="1047" t="str">
        <f t="shared" si="11"/>
        <v>Programmable Thermostats - Restaurant – Full Service</v>
      </c>
      <c r="D9" s="1047" t="s">
        <v>2828</v>
      </c>
      <c r="E9" s="961" t="s">
        <v>1072</v>
      </c>
      <c r="F9" s="1399">
        <f t="shared" si="12"/>
        <v>4</v>
      </c>
      <c r="G9" s="1400" t="e">
        <f t="shared" si="0"/>
        <v>#N/A</v>
      </c>
      <c r="H9" s="1400" t="s">
        <v>1631</v>
      </c>
      <c r="I9" s="1404"/>
      <c r="J9" s="1405" t="s">
        <v>2829</v>
      </c>
      <c r="K9" s="1406"/>
      <c r="L9" s="1406" t="s">
        <v>1696</v>
      </c>
      <c r="M9" s="961" t="s">
        <v>2836</v>
      </c>
      <c r="N9" s="1407" t="s">
        <v>2825</v>
      </c>
      <c r="O9" s="1407" t="s">
        <v>2826</v>
      </c>
      <c r="P9" s="961">
        <f t="shared" si="13"/>
        <v>117</v>
      </c>
      <c r="Q9" s="961">
        <f t="shared" si="14"/>
        <v>5</v>
      </c>
      <c r="R9" s="961">
        <f t="shared" si="15"/>
        <v>15</v>
      </c>
      <c r="S9" s="961">
        <v>150</v>
      </c>
      <c r="T9" s="962"/>
      <c r="U9" s="962"/>
      <c r="V9" s="962">
        <f t="shared" si="16"/>
        <v>30.835499999999971</v>
      </c>
      <c r="W9" s="962">
        <f t="shared" si="1"/>
        <v>0</v>
      </c>
      <c r="X9" s="962">
        <f t="shared" si="2"/>
        <v>0</v>
      </c>
      <c r="Y9" s="962">
        <f t="shared" si="17"/>
        <v>123.34199999999989</v>
      </c>
      <c r="Z9" s="49">
        <f>VLOOKUP(L9, [6]Lists!$L$9:$M$14,2,FALSE)</f>
        <v>7</v>
      </c>
      <c r="AA9" s="1014">
        <f t="shared" si="3"/>
        <v>4.6398000000000001</v>
      </c>
      <c r="AB9" s="49">
        <f t="shared" si="4"/>
        <v>5</v>
      </c>
      <c r="AC9" s="1014">
        <f t="shared" si="4"/>
        <v>15</v>
      </c>
      <c r="AD9" s="1014">
        <f t="shared" si="5"/>
        <v>1</v>
      </c>
      <c r="AE9" s="1014">
        <f t="shared" si="6"/>
        <v>117</v>
      </c>
      <c r="AF9" s="1014">
        <f t="shared" si="7"/>
        <v>150</v>
      </c>
      <c r="AG9" s="49">
        <f t="shared" si="8"/>
        <v>4.7777250000000002</v>
      </c>
      <c r="AH9" s="49">
        <f t="shared" si="9"/>
        <v>4.5721550000000004</v>
      </c>
      <c r="AI9" s="49">
        <f>AA9+AD9*(0.00445*AE9-0.535)+AB9*(0.000679*AE9-0.1)+0.00218*AE9</f>
        <v>4.7777250000000002</v>
      </c>
      <c r="AJ9" s="49">
        <f>AA9+AD9*(0.00144*AB9+0.000262*AE9-0.0553)+AB9*(0.00018*AE9-0.0299)+0.00166*AE9</f>
        <v>4.7723740000000001</v>
      </c>
      <c r="AK9" s="49">
        <f>AA9+AD9*(0.00445*AE9-0.535)+AC9*(0.000679*AE9-0.1)+0.00218*AE9</f>
        <v>4.5721550000000004</v>
      </c>
      <c r="AL9" s="1398">
        <f>AA9+AD9*(0.00144*AC9+0.000262*AE9-0.0553)+AC9*(0.00018*AE9-0.0299)+0.00166*AE9</f>
        <v>4.6983739999999994</v>
      </c>
    </row>
    <row r="10" spans="1:42" ht="52.5" x14ac:dyDescent="0.35">
      <c r="A10" s="1047" t="s">
        <v>2837</v>
      </c>
      <c r="B10" s="1047" t="str">
        <f t="shared" si="10"/>
        <v>Programmable Thermostats - Retail – Department Store</v>
      </c>
      <c r="C10" s="1047" t="str">
        <f t="shared" si="11"/>
        <v>Programmable Thermostats - Retail – Department Store</v>
      </c>
      <c r="D10" s="1047" t="s">
        <v>2828</v>
      </c>
      <c r="E10" s="961" t="s">
        <v>1072</v>
      </c>
      <c r="F10" s="1399">
        <f t="shared" si="12"/>
        <v>4</v>
      </c>
      <c r="G10" s="1400"/>
      <c r="H10" s="1400"/>
      <c r="I10" s="1404"/>
      <c r="J10" s="1405" t="s">
        <v>2829</v>
      </c>
      <c r="K10" s="1406"/>
      <c r="L10" s="1406" t="s">
        <v>1696</v>
      </c>
      <c r="M10" s="961" t="s">
        <v>2838</v>
      </c>
      <c r="N10" s="1407" t="s">
        <v>2825</v>
      </c>
      <c r="O10" s="1407" t="s">
        <v>2826</v>
      </c>
      <c r="P10" s="961">
        <f t="shared" si="13"/>
        <v>93</v>
      </c>
      <c r="Q10" s="961">
        <f t="shared" si="14"/>
        <v>5</v>
      </c>
      <c r="R10" s="961">
        <f t="shared" si="15"/>
        <v>15</v>
      </c>
      <c r="S10" s="961">
        <v>150</v>
      </c>
      <c r="T10" s="962"/>
      <c r="U10" s="962"/>
      <c r="V10" s="962">
        <f t="shared" si="16"/>
        <v>36.310500000000005</v>
      </c>
      <c r="W10" s="962"/>
      <c r="X10" s="962"/>
      <c r="Y10" s="962">
        <f t="shared" si="17"/>
        <v>145.24200000000002</v>
      </c>
      <c r="Z10" s="49">
        <f>VLOOKUP(L10, [6]Lists!$L$9:$M$14,2,FALSE)</f>
        <v>7</v>
      </c>
      <c r="AA10" s="1014">
        <f t="shared" si="3"/>
        <v>3.9470999999999994</v>
      </c>
      <c r="AB10" s="49">
        <f t="shared" si="4"/>
        <v>5</v>
      </c>
      <c r="AC10" s="1014">
        <f t="shared" si="4"/>
        <v>15</v>
      </c>
      <c r="AD10" s="1014">
        <f t="shared" si="5"/>
        <v>1</v>
      </c>
      <c r="AE10" s="1014">
        <f t="shared" si="6"/>
        <v>93</v>
      </c>
      <c r="AF10" s="1014">
        <f t="shared" si="7"/>
        <v>150</v>
      </c>
      <c r="AG10" s="49">
        <f t="shared" si="8"/>
        <v>4.0064849999999996</v>
      </c>
      <c r="AH10" s="49">
        <f t="shared" si="9"/>
        <v>3.7644149999999996</v>
      </c>
      <c r="AI10" s="49">
        <f>AA10+0.00203*AD10*AB10+AB10*(0.000591*AE10-0.0812)+0.00194*AE10</f>
        <v>4.0064849999999996</v>
      </c>
      <c r="AJ10" s="49">
        <f>AA10+AB10*(0.000406*AE10-0.0611)+0.00228*AE10</f>
        <v>4.0424299999999995</v>
      </c>
      <c r="AK10" s="49">
        <f>AA10+0.00203*AD10*AC10+AC10*(0.000591*AE10-0.0812)+0.00194*AE10</f>
        <v>3.7644149999999996</v>
      </c>
      <c r="AL10" s="1398">
        <f>AA10+AC10*(0.000406*AE10-0.0611)+0.00228*AE10</f>
        <v>3.8090099999999993</v>
      </c>
    </row>
    <row r="11" spans="1:42" ht="52.5" hidden="1" x14ac:dyDescent="0.35">
      <c r="A11" s="1047" t="s">
        <v>2839</v>
      </c>
      <c r="B11" s="1047" t="str">
        <f t="shared" si="10"/>
        <v>Programmable Thermostats - Retail – Strip Mall</v>
      </c>
      <c r="C11" s="1047" t="str">
        <f t="shared" si="11"/>
        <v>Programmable Thermostats - Retail – Strip Mall</v>
      </c>
      <c r="D11" s="1047" t="s">
        <v>2828</v>
      </c>
      <c r="E11" s="961" t="s">
        <v>1072</v>
      </c>
      <c r="F11" s="1399">
        <f t="shared" si="12"/>
        <v>4</v>
      </c>
      <c r="G11" s="1400"/>
      <c r="H11" s="1400"/>
      <c r="I11" s="1404"/>
      <c r="J11" s="1405" t="s">
        <v>2829</v>
      </c>
      <c r="K11" s="1406"/>
      <c r="L11" s="1406" t="s">
        <v>1696</v>
      </c>
      <c r="M11" s="961" t="s">
        <v>2840</v>
      </c>
      <c r="N11" s="1407" t="s">
        <v>2825</v>
      </c>
      <c r="O11" s="1407" t="s">
        <v>2826</v>
      </c>
      <c r="P11" s="961">
        <f t="shared" si="13"/>
        <v>93</v>
      </c>
      <c r="Q11" s="961">
        <f t="shared" si="14"/>
        <v>5</v>
      </c>
      <c r="R11" s="961">
        <f t="shared" si="15"/>
        <v>15</v>
      </c>
      <c r="S11" s="961">
        <v>150</v>
      </c>
      <c r="T11" s="962"/>
      <c r="U11" s="962"/>
      <c r="V11" s="962">
        <f t="shared" si="16"/>
        <v>43.762499999999996</v>
      </c>
      <c r="W11" s="962"/>
      <c r="X11" s="962"/>
      <c r="Y11" s="962">
        <f t="shared" si="17"/>
        <v>175.04999999999998</v>
      </c>
      <c r="Z11" s="781">
        <f>VLOOKUP(L11, [6]Lists!$L$9:$M$14,2,FALSE)</f>
        <v>7</v>
      </c>
      <c r="AA11" s="1402">
        <f t="shared" si="3"/>
        <v>3.4843000000000002</v>
      </c>
      <c r="AB11" s="781">
        <f t="shared" si="4"/>
        <v>5</v>
      </c>
      <c r="AC11" s="1402">
        <f t="shared" si="4"/>
        <v>15</v>
      </c>
      <c r="AD11" s="1402">
        <f t="shared" si="5"/>
        <v>1</v>
      </c>
      <c r="AE11" s="1402">
        <f t="shared" si="6"/>
        <v>93</v>
      </c>
      <c r="AF11" s="1402">
        <f t="shared" si="7"/>
        <v>150</v>
      </c>
      <c r="AG11" s="781">
        <f t="shared" si="8"/>
        <v>3.5964950000000004</v>
      </c>
      <c r="AH11" s="781">
        <f t="shared" si="9"/>
        <v>3.3047450000000005</v>
      </c>
      <c r="AI11" s="781">
        <f>AA11+AD11*(0.00998*AB11+0.00207*AE11-0.206)+AB11*(0.000665*AE11-0.101)+0.00292*AE11</f>
        <v>3.5964950000000004</v>
      </c>
      <c r="AJ11" s="781">
        <f>AA11+AD11*(0.00383*AB11-0.0656)+AB11*(0.000575*AE11-0.0912)+0.00249*AE11</f>
        <v>3.4807950000000001</v>
      </c>
      <c r="AK11" s="781">
        <f>AA11+AD11*(0.00998*AC11+0.00207*AE11-0.206)+AC11*(0.000665*AE11-0.101)+0.00292*AE11</f>
        <v>3.3047450000000005</v>
      </c>
      <c r="AL11" s="1403">
        <f>AA11+AD11*(0.00383*AC11-0.0656)+AC11*(0.000575*AE11-0.0912)+0.00249*AE11</f>
        <v>3.141845</v>
      </c>
    </row>
    <row r="12" spans="1:42" ht="52.5" x14ac:dyDescent="0.35">
      <c r="A12" s="1047" t="s">
        <v>2841</v>
      </c>
      <c r="B12" s="1047" t="str">
        <f>$B$2&amp;" - "&amp;M12&amp;" - Public Sector"</f>
        <v>Programmable Thermostats - Average - Public Sector</v>
      </c>
      <c r="C12" s="1047" t="str">
        <f t="shared" si="11"/>
        <v>Programmable Thermostats - Average - Public Sector</v>
      </c>
      <c r="D12" s="1047" t="s">
        <v>2828</v>
      </c>
      <c r="E12" s="961" t="s">
        <v>1072</v>
      </c>
      <c r="F12" s="1399">
        <f>+AVERAGE(F4:F11)</f>
        <v>4</v>
      </c>
      <c r="G12" s="1400"/>
      <c r="H12" s="1400"/>
      <c r="I12" s="1404"/>
      <c r="J12" s="1405" t="s">
        <v>2829</v>
      </c>
      <c r="K12" s="1406"/>
      <c r="L12" s="1406" t="s">
        <v>1696</v>
      </c>
      <c r="M12" s="961" t="s">
        <v>1363</v>
      </c>
      <c r="N12" s="1407" t="s">
        <v>2825</v>
      </c>
      <c r="O12" s="1407" t="s">
        <v>2826</v>
      </c>
      <c r="P12" s="961"/>
      <c r="Q12" s="961"/>
      <c r="R12" s="961"/>
      <c r="S12" s="961"/>
      <c r="T12" s="962"/>
      <c r="U12" s="962"/>
      <c r="V12" s="962">
        <f>+AVERAGE(V4:V11)</f>
        <v>37.855312499999997</v>
      </c>
      <c r="W12" s="962"/>
      <c r="X12" s="962"/>
      <c r="Y12" s="962">
        <f t="shared" si="17"/>
        <v>151.42124999999999</v>
      </c>
      <c r="Z12" s="1408" t="s">
        <v>2842</v>
      </c>
      <c r="AA12" s="1409"/>
      <c r="AB12" s="1409"/>
      <c r="AC12" s="1409"/>
      <c r="AD12" s="1409"/>
      <c r="AE12" s="1409"/>
      <c r="AF12" s="1409"/>
      <c r="AG12" s="1409"/>
      <c r="AH12" s="1409"/>
      <c r="AI12" s="1409"/>
      <c r="AJ12" s="1409"/>
      <c r="AK12" s="1409"/>
      <c r="AL12" s="1409"/>
    </row>
    <row r="13" spans="1:42" x14ac:dyDescent="0.35">
      <c r="A13" s="1047"/>
      <c r="B13" s="1047"/>
      <c r="C13" s="1399"/>
      <c r="D13" s="1399"/>
      <c r="E13" s="1400"/>
      <c r="F13" s="1400"/>
      <c r="G13" s="1404"/>
      <c r="H13" s="1400"/>
      <c r="I13" s="1404"/>
      <c r="J13" s="1400"/>
      <c r="K13" s="1404"/>
      <c r="L13" s="1400"/>
      <c r="M13" s="1404"/>
      <c r="N13" s="1400"/>
      <c r="O13" s="1404"/>
      <c r="P13" s="1400"/>
      <c r="Q13" s="1401"/>
      <c r="R13" s="962"/>
      <c r="S13" s="962"/>
      <c r="T13" s="962"/>
      <c r="U13" s="962"/>
      <c r="V13" s="962"/>
      <c r="W13" s="962"/>
      <c r="X13" s="962"/>
      <c r="Y13" s="962"/>
      <c r="Z13" s="961"/>
      <c r="AA13" s="1409"/>
      <c r="AB13" s="1410"/>
      <c r="AC13" s="1409"/>
      <c r="AD13" s="961"/>
      <c r="AE13" s="961"/>
      <c r="AF13" s="961"/>
      <c r="AG13" s="961"/>
      <c r="AH13" s="961"/>
      <c r="AI13" s="961"/>
      <c r="AJ13" s="961"/>
      <c r="AK13" s="961"/>
      <c r="AL13" s="961"/>
    </row>
    <row r="15" spans="1:42" ht="15" thickBot="1" x14ac:dyDescent="0.4">
      <c r="AD15" s="1370"/>
      <c r="AE15" s="1370"/>
      <c r="AF15" s="1370"/>
      <c r="AG15" s="1370"/>
      <c r="AH15" s="1370"/>
      <c r="AI15" s="1370"/>
      <c r="AJ15" s="1370"/>
      <c r="AK15" s="1370"/>
      <c r="AL15" s="1370"/>
      <c r="AM15" s="1370"/>
      <c r="AN15" s="1370"/>
      <c r="AO15" s="1370"/>
      <c r="AP15" s="1370"/>
    </row>
    <row r="16" spans="1:42" ht="15" thickBot="1" x14ac:dyDescent="0.4">
      <c r="A16" s="154" t="s">
        <v>1188</v>
      </c>
      <c r="B16" s="64"/>
      <c r="C16" s="64"/>
      <c r="D16" s="64"/>
      <c r="E16" s="64"/>
      <c r="F16" s="64"/>
      <c r="G16" s="64"/>
      <c r="H16" s="65"/>
      <c r="AD16" s="1370"/>
      <c r="AE16" s="1370"/>
      <c r="AF16" s="1370"/>
      <c r="AG16" s="1370"/>
      <c r="AH16" s="1370"/>
      <c r="AI16" s="1370"/>
      <c r="AJ16" s="1370"/>
      <c r="AK16" s="1370"/>
      <c r="AL16" s="1370"/>
      <c r="AM16" s="1370"/>
      <c r="AN16" s="1370"/>
      <c r="AO16" s="1370"/>
      <c r="AP16" s="1370"/>
    </row>
    <row r="17" spans="1:42" x14ac:dyDescent="0.35">
      <c r="A17" s="67" t="s">
        <v>2843</v>
      </c>
      <c r="B17" s="68"/>
      <c r="C17" s="69"/>
      <c r="D17" s="69"/>
      <c r="E17" s="69"/>
      <c r="F17" s="69"/>
      <c r="G17" s="69"/>
      <c r="H17" s="70"/>
      <c r="AD17" s="1370"/>
      <c r="AE17" s="1370"/>
      <c r="AF17" s="1370"/>
      <c r="AG17" s="1370"/>
      <c r="AH17" s="1370"/>
      <c r="AI17" s="1370"/>
      <c r="AJ17" s="1370"/>
      <c r="AK17" s="1370"/>
      <c r="AL17" s="1370"/>
      <c r="AM17" s="1370"/>
      <c r="AN17" s="1370"/>
      <c r="AO17" s="1370"/>
      <c r="AP17" s="1370"/>
    </row>
    <row r="18" spans="1:42" ht="15" thickBot="1" x14ac:dyDescent="0.4">
      <c r="A18" s="71" t="s">
        <v>2844</v>
      </c>
      <c r="B18" s="72"/>
      <c r="C18" s="72"/>
      <c r="D18" s="72"/>
      <c r="E18" s="72"/>
      <c r="F18" s="72"/>
      <c r="G18" s="72"/>
      <c r="H18" s="73"/>
      <c r="AD18" s="1370"/>
      <c r="AE18" s="1370"/>
      <c r="AF18" s="1370"/>
      <c r="AG18" s="1370"/>
      <c r="AH18" s="1370"/>
      <c r="AI18" s="1370"/>
      <c r="AJ18" s="1370"/>
      <c r="AK18" s="1370"/>
      <c r="AL18" s="1370"/>
      <c r="AM18" s="1370"/>
      <c r="AN18" s="1370"/>
      <c r="AO18" s="1370"/>
      <c r="AP18" s="1370"/>
    </row>
    <row r="19" spans="1:42" ht="15" thickBot="1" x14ac:dyDescent="0.4">
      <c r="A19" s="154" t="s">
        <v>1078</v>
      </c>
      <c r="B19" s="1142">
        <f>'Measure-Level Adjustments'!A2</f>
        <v>44592</v>
      </c>
      <c r="AD19" s="1370"/>
      <c r="AE19" s="1370"/>
      <c r="AF19" s="1370"/>
      <c r="AG19" s="1370"/>
      <c r="AH19" s="1370"/>
      <c r="AI19" s="1370"/>
      <c r="AJ19" s="1370"/>
      <c r="AK19" s="1370"/>
      <c r="AL19" s="1370"/>
      <c r="AM19" s="1370"/>
      <c r="AN19" s="1370"/>
      <c r="AO19" s="1370"/>
      <c r="AP19" s="1370"/>
    </row>
    <row r="20" spans="1:42" ht="15" thickBot="1" x14ac:dyDescent="0.4">
      <c r="A20" s="154" t="s">
        <v>1079</v>
      </c>
      <c r="B20" s="577" t="s">
        <v>2845</v>
      </c>
      <c r="AD20" s="1370"/>
      <c r="AE20" s="1370"/>
      <c r="AF20" s="1370"/>
      <c r="AG20" s="1370"/>
      <c r="AH20" s="1370"/>
      <c r="AI20" s="1370"/>
      <c r="AJ20" s="1370"/>
      <c r="AK20" s="1370"/>
      <c r="AL20" s="1370"/>
      <c r="AM20" s="1370"/>
      <c r="AN20" s="1370"/>
      <c r="AO20" s="1370"/>
      <c r="AP20" s="1370"/>
    </row>
    <row r="21" spans="1:42" ht="15" thickBot="1" x14ac:dyDescent="0.4">
      <c r="A21" s="55"/>
      <c r="AD21" s="1370"/>
      <c r="AE21" s="1370"/>
      <c r="AF21" s="1370"/>
      <c r="AG21" s="1370"/>
      <c r="AH21" s="1370"/>
      <c r="AI21" s="1370"/>
      <c r="AJ21" s="1370"/>
      <c r="AK21" s="1370"/>
      <c r="AL21" s="1370"/>
      <c r="AM21" s="1370"/>
      <c r="AN21" s="1370"/>
      <c r="AO21" s="1370"/>
      <c r="AP21" s="1370"/>
    </row>
    <row r="22" spans="1:42" ht="15" thickBot="1" x14ac:dyDescent="0.4">
      <c r="A22" s="74" t="s">
        <v>1285</v>
      </c>
      <c r="B22" s="75" t="s">
        <v>1199</v>
      </c>
      <c r="C22" s="76" t="s">
        <v>1082</v>
      </c>
      <c r="D22" s="64"/>
      <c r="E22" s="64"/>
      <c r="F22" s="64"/>
      <c r="G22" s="64"/>
      <c r="H22" s="64"/>
      <c r="I22" s="64"/>
      <c r="J22" s="64"/>
      <c r="K22" s="64"/>
      <c r="L22" s="64"/>
      <c r="M22" s="64"/>
      <c r="N22" s="64"/>
      <c r="O22" s="64"/>
      <c r="P22" s="65"/>
      <c r="AD22" s="1370"/>
      <c r="AE22" s="1370"/>
      <c r="AF22" s="1370"/>
      <c r="AG22" s="1370"/>
      <c r="AH22" s="1370"/>
      <c r="AI22" s="1370"/>
      <c r="AJ22" s="1370"/>
      <c r="AK22" s="1370"/>
      <c r="AL22" s="1370"/>
      <c r="AM22" s="1370"/>
      <c r="AN22" s="1370"/>
      <c r="AO22" s="1370"/>
      <c r="AP22" s="1370"/>
    </row>
    <row r="23" spans="1:42" ht="15" thickBot="1" x14ac:dyDescent="0.4">
      <c r="A23" s="662" t="s">
        <v>1253</v>
      </c>
      <c r="B23" s="606"/>
      <c r="C23" s="606" t="s">
        <v>2846</v>
      </c>
      <c r="D23" s="606"/>
      <c r="E23" s="606"/>
      <c r="F23" s="606"/>
      <c r="G23" s="606"/>
      <c r="H23" s="606"/>
      <c r="I23" s="606"/>
      <c r="J23" s="606"/>
      <c r="K23" s="606"/>
      <c r="L23" s="606"/>
      <c r="M23" s="606"/>
      <c r="N23" s="606"/>
      <c r="O23" s="606"/>
      <c r="P23" s="607"/>
      <c r="AD23" s="1370"/>
      <c r="AE23" s="1370"/>
      <c r="AF23" s="1370"/>
      <c r="AG23" s="1370"/>
      <c r="AH23" s="1370"/>
      <c r="AI23" s="1370"/>
      <c r="AJ23" s="1370"/>
      <c r="AK23" s="1370"/>
      <c r="AL23" s="1370"/>
      <c r="AM23" s="1370"/>
      <c r="AN23" s="1370"/>
      <c r="AO23" s="1370"/>
      <c r="AP23" s="1370"/>
    </row>
    <row r="24" spans="1:42" ht="15" thickBot="1" x14ac:dyDescent="0.4">
      <c r="A24" s="662" t="s">
        <v>2847</v>
      </c>
      <c r="B24" s="606"/>
      <c r="C24" s="606" t="s">
        <v>2848</v>
      </c>
      <c r="D24" s="606"/>
      <c r="E24" s="606"/>
      <c r="F24" s="606"/>
      <c r="G24" s="606"/>
      <c r="H24" s="606"/>
      <c r="I24" s="606"/>
      <c r="J24" s="606"/>
      <c r="K24" s="606"/>
      <c r="L24" s="606"/>
      <c r="M24" s="606"/>
      <c r="N24" s="606"/>
      <c r="O24" s="606"/>
      <c r="P24" s="607"/>
      <c r="AD24" s="1370"/>
      <c r="AE24" s="1370"/>
      <c r="AF24" s="1370"/>
      <c r="AG24" s="1370"/>
      <c r="AH24" s="1370"/>
      <c r="AI24" s="1370"/>
      <c r="AJ24" s="1370"/>
      <c r="AK24" s="1370"/>
      <c r="AL24" s="1370"/>
      <c r="AM24" s="1370"/>
      <c r="AN24" s="1370"/>
      <c r="AO24" s="1370"/>
      <c r="AP24" s="1370"/>
    </row>
    <row r="25" spans="1:42" x14ac:dyDescent="0.35">
      <c r="A25" s="1254" t="s">
        <v>2817</v>
      </c>
      <c r="B25" s="380"/>
      <c r="C25" s="380" t="s">
        <v>2849</v>
      </c>
      <c r="D25" s="380"/>
      <c r="E25" s="380"/>
      <c r="F25" s="380"/>
      <c r="G25" s="380"/>
      <c r="H25" s="380"/>
      <c r="I25" s="380"/>
      <c r="J25" s="380"/>
      <c r="K25" s="380"/>
      <c r="L25" s="380"/>
      <c r="M25" s="380"/>
      <c r="N25" s="380"/>
      <c r="O25" s="380"/>
      <c r="P25" s="381"/>
      <c r="AD25" s="1370"/>
      <c r="AE25" s="1370"/>
      <c r="AF25" s="1370"/>
      <c r="AG25" s="1370"/>
      <c r="AH25" s="1370"/>
      <c r="AI25" s="1370"/>
      <c r="AJ25" s="1370"/>
      <c r="AK25" s="1370"/>
      <c r="AL25" s="1370"/>
      <c r="AM25" s="1370"/>
      <c r="AN25" s="1370"/>
      <c r="AO25" s="1370"/>
      <c r="AP25" s="1370"/>
    </row>
    <row r="26" spans="1:42" ht="15" thickBot="1" x14ac:dyDescent="0.4">
      <c r="A26" s="261"/>
      <c r="B26" s="161"/>
      <c r="C26" s="161" t="s">
        <v>2850</v>
      </c>
      <c r="D26" s="161"/>
      <c r="E26" s="161"/>
      <c r="F26" s="161"/>
      <c r="G26" s="161"/>
      <c r="H26" s="161"/>
      <c r="I26" s="161"/>
      <c r="J26" s="161"/>
      <c r="K26" s="161"/>
      <c r="L26" s="161"/>
      <c r="M26" s="161"/>
      <c r="N26" s="161"/>
      <c r="O26" s="161"/>
      <c r="P26" s="163"/>
      <c r="AD26" s="1370"/>
      <c r="AE26" s="1370"/>
      <c r="AF26" s="1370"/>
      <c r="AG26" s="1370"/>
      <c r="AH26" s="1370"/>
      <c r="AI26" s="1370"/>
      <c r="AJ26" s="1370"/>
      <c r="AK26" s="1370"/>
      <c r="AL26" s="1370"/>
      <c r="AM26" s="1370"/>
      <c r="AN26" s="1370"/>
      <c r="AO26" s="1370"/>
      <c r="AP26" s="1370"/>
    </row>
    <row r="27" spans="1:42" x14ac:dyDescent="0.35">
      <c r="A27" s="379" t="s">
        <v>2851</v>
      </c>
      <c r="B27" s="380">
        <v>5</v>
      </c>
      <c r="C27" s="380" t="s">
        <v>2852</v>
      </c>
      <c r="D27" s="380"/>
      <c r="E27" s="380"/>
      <c r="F27" s="380"/>
      <c r="G27" s="380"/>
      <c r="H27" s="380"/>
      <c r="I27" s="380"/>
      <c r="J27" s="380"/>
      <c r="K27" s="380"/>
      <c r="L27" s="380"/>
      <c r="M27" s="380"/>
      <c r="N27" s="380"/>
      <c r="O27" s="380"/>
      <c r="P27" s="381"/>
      <c r="AD27" s="1370"/>
      <c r="AE27" s="1370"/>
      <c r="AF27" s="1370"/>
      <c r="AG27" s="1370"/>
      <c r="AH27" s="1370"/>
      <c r="AI27" s="1370"/>
      <c r="AJ27" s="1370"/>
      <c r="AK27" s="1370"/>
      <c r="AL27" s="1370"/>
      <c r="AM27" s="1370"/>
      <c r="AN27" s="1370"/>
      <c r="AO27" s="1370"/>
      <c r="AP27" s="1370"/>
    </row>
    <row r="28" spans="1:42" x14ac:dyDescent="0.35">
      <c r="A28" s="99"/>
      <c r="B28" s="69"/>
      <c r="C28" s="69" t="s">
        <v>2853</v>
      </c>
      <c r="D28" s="69"/>
      <c r="E28" s="69"/>
      <c r="F28" s="69"/>
      <c r="G28" s="69"/>
      <c r="H28" s="69"/>
      <c r="I28" s="69"/>
      <c r="J28" s="69"/>
      <c r="K28" s="69"/>
      <c r="L28" s="69"/>
      <c r="M28" s="69"/>
      <c r="N28" s="69"/>
      <c r="O28" s="69"/>
      <c r="P28" s="100"/>
      <c r="AD28" s="1370"/>
      <c r="AE28" s="1370"/>
      <c r="AF28" s="1370"/>
      <c r="AG28" s="1370"/>
      <c r="AH28" s="1370"/>
      <c r="AI28" s="1370"/>
      <c r="AJ28" s="1370"/>
      <c r="AK28" s="1370"/>
      <c r="AL28" s="1370"/>
      <c r="AM28" s="1370"/>
      <c r="AN28" s="1370"/>
      <c r="AO28" s="1370"/>
      <c r="AP28" s="1370"/>
    </row>
    <row r="29" spans="1:42" ht="15" thickBot="1" x14ac:dyDescent="0.4">
      <c r="A29" s="261"/>
      <c r="B29" s="161"/>
      <c r="C29" s="161" t="s">
        <v>2854</v>
      </c>
      <c r="D29" s="161"/>
      <c r="E29" s="161"/>
      <c r="F29" s="161"/>
      <c r="G29" s="161"/>
      <c r="H29" s="161"/>
      <c r="I29" s="161"/>
      <c r="J29" s="161"/>
      <c r="K29" s="161"/>
      <c r="L29" s="161"/>
      <c r="M29" s="161"/>
      <c r="N29" s="161"/>
      <c r="O29" s="161"/>
      <c r="P29" s="163"/>
      <c r="AD29" s="1370"/>
      <c r="AE29" s="1370"/>
      <c r="AF29" s="1370"/>
      <c r="AG29" s="1370"/>
      <c r="AH29" s="1370"/>
      <c r="AI29" s="1370"/>
      <c r="AJ29" s="1370"/>
      <c r="AK29" s="1370"/>
      <c r="AL29" s="1370"/>
      <c r="AM29" s="1370"/>
      <c r="AN29" s="1370"/>
      <c r="AO29" s="1370"/>
      <c r="AP29" s="1370"/>
    </row>
    <row r="30" spans="1:42" x14ac:dyDescent="0.35">
      <c r="A30" s="379" t="s">
        <v>2855</v>
      </c>
      <c r="B30" s="380">
        <v>15</v>
      </c>
      <c r="C30" s="380" t="s">
        <v>2856</v>
      </c>
      <c r="D30" s="380"/>
      <c r="E30" s="380"/>
      <c r="F30" s="380"/>
      <c r="G30" s="380"/>
      <c r="H30" s="380"/>
      <c r="I30" s="380"/>
      <c r="J30" s="380"/>
      <c r="K30" s="380"/>
      <c r="L30" s="380"/>
      <c r="M30" s="380"/>
      <c r="N30" s="380"/>
      <c r="O30" s="380"/>
      <c r="P30" s="381"/>
      <c r="AD30" s="1370"/>
      <c r="AE30" s="1370"/>
      <c r="AF30" s="1370"/>
      <c r="AG30" s="1370"/>
      <c r="AH30" s="1370"/>
      <c r="AI30" s="1370"/>
      <c r="AJ30" s="1370"/>
      <c r="AK30" s="1370"/>
      <c r="AL30" s="1370"/>
      <c r="AM30" s="1370"/>
      <c r="AN30" s="1370"/>
      <c r="AO30" s="1370"/>
      <c r="AP30" s="1370"/>
    </row>
    <row r="31" spans="1:42" x14ac:dyDescent="0.35">
      <c r="A31" s="99"/>
      <c r="B31" s="69"/>
      <c r="C31" s="69" t="s">
        <v>2857</v>
      </c>
      <c r="D31" s="69"/>
      <c r="E31" s="69"/>
      <c r="F31" s="69"/>
      <c r="G31" s="69"/>
      <c r="H31" s="69"/>
      <c r="I31" s="69"/>
      <c r="J31" s="69"/>
      <c r="K31" s="69"/>
      <c r="L31" s="69"/>
      <c r="M31" s="69"/>
      <c r="N31" s="69"/>
      <c r="O31" s="69"/>
      <c r="P31" s="100"/>
      <c r="AD31" s="1370"/>
      <c r="AE31" s="1370"/>
      <c r="AF31" s="1370"/>
      <c r="AG31" s="1370"/>
      <c r="AH31" s="1370"/>
      <c r="AI31" s="1370"/>
      <c r="AJ31" s="1370"/>
      <c r="AK31" s="1370"/>
      <c r="AL31" s="1370"/>
      <c r="AM31" s="1370"/>
      <c r="AN31" s="1370"/>
      <c r="AO31" s="1370"/>
      <c r="AP31" s="1370"/>
    </row>
    <row r="32" spans="1:42" ht="15" thickBot="1" x14ac:dyDescent="0.4">
      <c r="A32" s="261"/>
      <c r="B32" s="161"/>
      <c r="C32" s="161" t="s">
        <v>2854</v>
      </c>
      <c r="D32" s="161"/>
      <c r="E32" s="161"/>
      <c r="F32" s="161"/>
      <c r="G32" s="161"/>
      <c r="H32" s="161"/>
      <c r="I32" s="161"/>
      <c r="J32" s="161"/>
      <c r="K32" s="161"/>
      <c r="L32" s="161"/>
      <c r="M32" s="161"/>
      <c r="N32" s="161"/>
      <c r="O32" s="161"/>
      <c r="P32" s="163"/>
      <c r="AD32" s="1370"/>
      <c r="AE32" s="1370"/>
      <c r="AF32" s="1370"/>
      <c r="AG32" s="1370"/>
      <c r="AH32" s="1370"/>
      <c r="AI32" s="1370"/>
      <c r="AJ32" s="1370"/>
      <c r="AK32" s="1370"/>
      <c r="AL32" s="1370"/>
      <c r="AM32" s="1370"/>
      <c r="AN32" s="1370"/>
      <c r="AO32" s="1370"/>
      <c r="AP32" s="1370"/>
    </row>
    <row r="33" spans="1:42" x14ac:dyDescent="0.35">
      <c r="A33" s="379" t="s">
        <v>2858</v>
      </c>
      <c r="B33" s="380"/>
      <c r="C33" s="380" t="s">
        <v>2859</v>
      </c>
      <c r="D33" s="380"/>
      <c r="E33" s="380"/>
      <c r="F33" s="380"/>
      <c r="G33" s="380"/>
      <c r="H33" s="380"/>
      <c r="I33" s="380"/>
      <c r="J33" s="380"/>
      <c r="K33" s="380"/>
      <c r="L33" s="380"/>
      <c r="M33" s="380"/>
      <c r="N33" s="380"/>
      <c r="O33" s="380"/>
      <c r="P33" s="381"/>
      <c r="AD33" s="1370"/>
      <c r="AE33" s="1370"/>
      <c r="AF33" s="1370"/>
      <c r="AG33" s="1370"/>
      <c r="AH33" s="1370"/>
      <c r="AI33" s="1370"/>
      <c r="AJ33" s="1370"/>
      <c r="AK33" s="1370"/>
      <c r="AL33" s="1370"/>
      <c r="AM33" s="1370"/>
      <c r="AN33" s="1370"/>
      <c r="AO33" s="1370"/>
      <c r="AP33" s="1370"/>
    </row>
    <row r="34" spans="1:42" x14ac:dyDescent="0.35">
      <c r="A34" s="99"/>
      <c r="B34" s="69"/>
      <c r="C34" s="69" t="s">
        <v>2860</v>
      </c>
      <c r="D34" s="69"/>
      <c r="E34" s="69"/>
      <c r="F34" s="69"/>
      <c r="G34" s="69"/>
      <c r="H34" s="69"/>
      <c r="I34" s="69"/>
      <c r="J34" s="69"/>
      <c r="K34" s="69"/>
      <c r="L34" s="69"/>
      <c r="M34" s="69"/>
      <c r="N34" s="69"/>
      <c r="O34" s="69"/>
      <c r="P34" s="100"/>
      <c r="AD34" s="1370"/>
      <c r="AE34" s="1370"/>
      <c r="AF34" s="1370"/>
      <c r="AG34" s="1370"/>
      <c r="AH34" s="1370"/>
      <c r="AI34" s="1370"/>
      <c r="AJ34" s="1370"/>
      <c r="AK34" s="1370"/>
      <c r="AL34" s="1370"/>
      <c r="AM34" s="1370"/>
      <c r="AN34" s="1370"/>
      <c r="AO34" s="1370"/>
      <c r="AP34" s="1370"/>
    </row>
    <row r="35" spans="1:42" ht="15" thickBot="1" x14ac:dyDescent="0.4">
      <c r="A35" s="261"/>
      <c r="B35" s="161"/>
      <c r="C35" s="161" t="s">
        <v>2861</v>
      </c>
      <c r="D35" s="161"/>
      <c r="E35" s="161"/>
      <c r="F35" s="161"/>
      <c r="G35" s="161"/>
      <c r="H35" s="161"/>
      <c r="I35" s="161"/>
      <c r="J35" s="161"/>
      <c r="K35" s="161"/>
      <c r="L35" s="161"/>
      <c r="M35" s="161"/>
      <c r="N35" s="161"/>
      <c r="O35" s="161"/>
      <c r="P35" s="163"/>
      <c r="AD35" s="1370"/>
      <c r="AE35" s="1370"/>
      <c r="AF35" s="1370"/>
      <c r="AG35" s="1370"/>
      <c r="AH35" s="1370"/>
      <c r="AI35" s="1370"/>
      <c r="AJ35" s="1370"/>
      <c r="AK35" s="1370"/>
      <c r="AL35" s="1370"/>
      <c r="AM35" s="1370"/>
      <c r="AN35" s="1370"/>
      <c r="AO35" s="1370"/>
      <c r="AP35" s="1370"/>
    </row>
    <row r="36" spans="1:42" x14ac:dyDescent="0.35">
      <c r="A36" s="379" t="s">
        <v>2820</v>
      </c>
      <c r="B36" s="380"/>
      <c r="C36" s="380" t="s">
        <v>2862</v>
      </c>
      <c r="D36" s="380"/>
      <c r="E36" s="380"/>
      <c r="F36" s="380"/>
      <c r="G36" s="380"/>
      <c r="H36" s="380"/>
      <c r="I36" s="380"/>
      <c r="J36" s="380"/>
      <c r="K36" s="380"/>
      <c r="L36" s="380"/>
      <c r="M36" s="380"/>
      <c r="N36" s="380"/>
      <c r="O36" s="380"/>
      <c r="P36" s="381"/>
      <c r="AD36" s="1370"/>
      <c r="AE36" s="1370"/>
      <c r="AF36" s="1370"/>
      <c r="AG36" s="1370"/>
      <c r="AH36" s="1370"/>
      <c r="AI36" s="1370"/>
      <c r="AJ36" s="1370"/>
      <c r="AK36" s="1370"/>
      <c r="AL36" s="1370"/>
      <c r="AM36" s="1370"/>
      <c r="AN36" s="1370"/>
      <c r="AO36" s="1370"/>
      <c r="AP36" s="1370"/>
    </row>
    <row r="37" spans="1:42" x14ac:dyDescent="0.35">
      <c r="A37" s="99"/>
      <c r="B37" s="69"/>
      <c r="C37" s="69" t="s">
        <v>2863</v>
      </c>
      <c r="D37" s="69"/>
      <c r="E37" s="69"/>
      <c r="F37" s="69"/>
      <c r="G37" s="69"/>
      <c r="H37" s="69"/>
      <c r="I37" s="69"/>
      <c r="J37" s="69"/>
      <c r="K37" s="69"/>
      <c r="L37" s="69"/>
      <c r="M37" s="69"/>
      <c r="N37" s="69"/>
      <c r="O37" s="69"/>
      <c r="P37" s="100"/>
      <c r="AD37" s="1370"/>
      <c r="AE37" s="1370"/>
      <c r="AF37" s="1370"/>
      <c r="AG37" s="1370"/>
      <c r="AH37" s="1370"/>
      <c r="AI37" s="1370"/>
      <c r="AJ37" s="1370"/>
      <c r="AK37" s="1370"/>
      <c r="AL37" s="1370"/>
      <c r="AM37" s="1370"/>
      <c r="AN37" s="1370"/>
      <c r="AO37" s="1370"/>
      <c r="AP37" s="1370"/>
    </row>
    <row r="38" spans="1:42" ht="15" thickBot="1" x14ac:dyDescent="0.4">
      <c r="A38" s="261"/>
      <c r="B38" s="161"/>
      <c r="C38" s="161" t="s">
        <v>2864</v>
      </c>
      <c r="D38" s="161"/>
      <c r="E38" s="161"/>
      <c r="F38" s="161"/>
      <c r="G38" s="161"/>
      <c r="H38" s="161"/>
      <c r="I38" s="161"/>
      <c r="J38" s="161"/>
      <c r="K38" s="161"/>
      <c r="L38" s="161"/>
      <c r="M38" s="161"/>
      <c r="N38" s="161"/>
      <c r="O38" s="161"/>
      <c r="P38" s="163"/>
      <c r="AD38" s="1370"/>
      <c r="AE38" s="1370"/>
      <c r="AF38" s="1370"/>
      <c r="AG38" s="1370"/>
      <c r="AH38" s="1370"/>
      <c r="AI38" s="1370"/>
      <c r="AJ38" s="1370"/>
      <c r="AK38" s="1370"/>
      <c r="AL38" s="1370"/>
      <c r="AM38" s="1370"/>
      <c r="AN38" s="1370"/>
      <c r="AO38" s="1370"/>
      <c r="AP38" s="1370"/>
    </row>
    <row r="39" spans="1:42" x14ac:dyDescent="0.35">
      <c r="A39" s="379" t="s">
        <v>2821</v>
      </c>
      <c r="B39" s="380"/>
      <c r="C39" s="380" t="s">
        <v>2865</v>
      </c>
      <c r="D39" s="380"/>
      <c r="E39" s="380"/>
      <c r="F39" s="380"/>
      <c r="G39" s="380"/>
      <c r="H39" s="380"/>
      <c r="I39" s="380"/>
      <c r="J39" s="380"/>
      <c r="K39" s="380"/>
      <c r="L39" s="380"/>
      <c r="M39" s="380"/>
      <c r="N39" s="380"/>
      <c r="O39" s="380"/>
      <c r="P39" s="381"/>
      <c r="AD39" s="1370"/>
      <c r="AE39" s="1370"/>
      <c r="AF39" s="1370"/>
      <c r="AG39" s="1370"/>
      <c r="AH39" s="1370"/>
      <c r="AI39" s="1370"/>
      <c r="AJ39" s="1370"/>
      <c r="AK39" s="1370"/>
      <c r="AL39" s="1370"/>
      <c r="AM39" s="1370"/>
      <c r="AN39" s="1370"/>
      <c r="AO39" s="1370"/>
      <c r="AP39" s="1370"/>
    </row>
    <row r="40" spans="1:42" ht="15" thickBot="1" x14ac:dyDescent="0.4">
      <c r="A40" s="261"/>
      <c r="B40" s="161"/>
      <c r="C40" s="161" t="s">
        <v>2866</v>
      </c>
      <c r="D40" s="161"/>
      <c r="E40" s="161"/>
      <c r="F40" s="161"/>
      <c r="G40" s="161"/>
      <c r="H40" s="161"/>
      <c r="I40" s="161"/>
      <c r="J40" s="161"/>
      <c r="K40" s="161"/>
      <c r="L40" s="161"/>
      <c r="M40" s="161"/>
      <c r="N40" s="161"/>
      <c r="O40" s="161"/>
      <c r="P40" s="163"/>
      <c r="AD40" s="1370"/>
      <c r="AE40" s="1370"/>
      <c r="AF40" s="1370"/>
      <c r="AG40" s="1370"/>
      <c r="AH40" s="1370"/>
      <c r="AI40" s="1370"/>
      <c r="AJ40" s="1370"/>
      <c r="AK40" s="1370"/>
      <c r="AL40" s="1370"/>
      <c r="AM40" s="1370"/>
      <c r="AN40" s="1370"/>
      <c r="AO40" s="1370"/>
      <c r="AP40" s="1370"/>
    </row>
    <row r="41" spans="1:42" x14ac:dyDescent="0.35">
      <c r="A41" s="379" t="s">
        <v>1083</v>
      </c>
      <c r="B41" s="380">
        <v>4</v>
      </c>
      <c r="C41" s="380" t="s">
        <v>2867</v>
      </c>
      <c r="D41" s="380"/>
      <c r="E41" s="380"/>
      <c r="F41" s="380"/>
      <c r="G41" s="380"/>
      <c r="H41" s="380"/>
      <c r="I41" s="380"/>
      <c r="J41" s="380"/>
      <c r="K41" s="380"/>
      <c r="L41" s="380"/>
      <c r="M41" s="380"/>
      <c r="N41" s="380"/>
      <c r="O41" s="380"/>
      <c r="P41" s="381"/>
      <c r="AD41" s="1370"/>
      <c r="AE41" s="1370"/>
      <c r="AF41" s="1370"/>
      <c r="AG41" s="1370"/>
      <c r="AH41" s="1370"/>
      <c r="AI41" s="1370"/>
      <c r="AJ41" s="1370"/>
      <c r="AK41" s="1370"/>
      <c r="AL41" s="1370"/>
      <c r="AM41" s="1370"/>
      <c r="AN41" s="1370"/>
      <c r="AO41" s="1370"/>
      <c r="AP41" s="1370"/>
    </row>
    <row r="42" spans="1:42" ht="15" thickBot="1" x14ac:dyDescent="0.4">
      <c r="A42" s="261"/>
      <c r="B42" s="161"/>
      <c r="C42" s="161" t="s">
        <v>2868</v>
      </c>
      <c r="D42" s="161"/>
      <c r="E42" s="161"/>
      <c r="F42" s="161"/>
      <c r="G42" s="161"/>
      <c r="H42" s="161"/>
      <c r="I42" s="161"/>
      <c r="J42" s="161"/>
      <c r="K42" s="161"/>
      <c r="L42" s="161"/>
      <c r="M42" s="161"/>
      <c r="N42" s="161"/>
      <c r="O42" s="161"/>
      <c r="P42" s="163"/>
      <c r="AD42" s="1370"/>
      <c r="AE42" s="1370"/>
      <c r="AF42" s="1370"/>
      <c r="AG42" s="1370"/>
      <c r="AH42" s="1370"/>
      <c r="AI42" s="1370"/>
      <c r="AJ42" s="1370"/>
      <c r="AK42" s="1370"/>
      <c r="AL42" s="1370"/>
      <c r="AM42" s="1370"/>
      <c r="AN42" s="1370"/>
      <c r="AO42" s="1370"/>
      <c r="AP42" s="1370"/>
    </row>
    <row r="43" spans="1:42" x14ac:dyDescent="0.35">
      <c r="A43" s="379" t="s">
        <v>1040</v>
      </c>
      <c r="B43" s="380"/>
      <c r="C43" s="380"/>
      <c r="D43" s="380"/>
      <c r="E43" s="380"/>
      <c r="F43" s="380"/>
      <c r="G43" s="380"/>
      <c r="H43" s="380"/>
      <c r="I43" s="380"/>
      <c r="J43" s="380"/>
      <c r="K43" s="380"/>
      <c r="L43" s="380"/>
      <c r="M43" s="380"/>
      <c r="N43" s="380"/>
      <c r="O43" s="380"/>
      <c r="P43" s="381"/>
      <c r="AD43" s="1370"/>
      <c r="AE43" s="1370"/>
      <c r="AF43" s="1370"/>
      <c r="AG43" s="1370"/>
      <c r="AH43" s="1370"/>
      <c r="AI43" s="1370"/>
      <c r="AJ43" s="1370"/>
      <c r="AK43" s="1370"/>
      <c r="AL43" s="1370"/>
      <c r="AM43" s="1370"/>
      <c r="AN43" s="1370"/>
      <c r="AO43" s="1370"/>
      <c r="AP43" s="1370"/>
    </row>
    <row r="44" spans="1:42" x14ac:dyDescent="0.35">
      <c r="A44" s="99"/>
      <c r="B44" s="69"/>
      <c r="C44" s="69"/>
      <c r="D44" s="69"/>
      <c r="E44" s="69"/>
      <c r="F44" s="69"/>
      <c r="G44" s="69"/>
      <c r="H44" s="69"/>
      <c r="I44" s="69"/>
      <c r="J44" s="69"/>
      <c r="K44" s="69"/>
      <c r="L44" s="69"/>
      <c r="M44" s="69"/>
      <c r="N44" s="69"/>
      <c r="O44" s="69"/>
      <c r="P44" s="100"/>
      <c r="AD44" s="1370"/>
      <c r="AE44" s="1370"/>
      <c r="AF44" s="1370"/>
      <c r="AG44" s="1370"/>
      <c r="AH44" s="1370"/>
      <c r="AI44" s="1370"/>
      <c r="AJ44" s="1370"/>
      <c r="AK44" s="1370"/>
      <c r="AL44" s="1370"/>
      <c r="AM44" s="1370"/>
      <c r="AN44" s="1370"/>
      <c r="AO44" s="1370"/>
      <c r="AP44" s="1370"/>
    </row>
    <row r="45" spans="1:42" ht="15" thickBot="1" x14ac:dyDescent="0.4">
      <c r="A45" s="261"/>
      <c r="B45" s="161"/>
      <c r="C45" s="161"/>
      <c r="D45" s="161"/>
      <c r="E45" s="161"/>
      <c r="F45" s="161"/>
      <c r="G45" s="161"/>
      <c r="H45" s="161"/>
      <c r="I45" s="161"/>
      <c r="J45" s="161"/>
      <c r="K45" s="161"/>
      <c r="L45" s="161"/>
      <c r="M45" s="161"/>
      <c r="N45" s="161"/>
      <c r="O45" s="161"/>
      <c r="P45" s="163"/>
      <c r="AD45" s="1370"/>
      <c r="AE45" s="1370"/>
      <c r="AF45" s="1370"/>
      <c r="AG45" s="1370"/>
      <c r="AH45" s="1370"/>
      <c r="AI45" s="1370"/>
      <c r="AJ45" s="1370"/>
      <c r="AK45" s="1370"/>
      <c r="AL45" s="1370"/>
      <c r="AM45" s="1370"/>
      <c r="AN45" s="1370"/>
      <c r="AO45" s="1370"/>
      <c r="AP45" s="1370"/>
    </row>
    <row r="46" spans="1:42" ht="15" thickBot="1" x14ac:dyDescent="0.4">
      <c r="AD46" s="1370"/>
      <c r="AE46" s="1370"/>
      <c r="AF46" s="1370"/>
      <c r="AG46" s="1370"/>
      <c r="AH46" s="1370"/>
      <c r="AI46" s="1370"/>
      <c r="AJ46" s="1370"/>
      <c r="AK46" s="1370"/>
      <c r="AL46" s="1370"/>
      <c r="AM46" s="1370"/>
      <c r="AN46" s="1370"/>
      <c r="AO46" s="1370"/>
      <c r="AP46" s="1370"/>
    </row>
    <row r="47" spans="1:42" ht="15" thickBot="1" x14ac:dyDescent="0.4">
      <c r="A47" s="97" t="s">
        <v>1257</v>
      </c>
      <c r="B47" s="64"/>
      <c r="C47" s="64"/>
      <c r="D47" s="64"/>
      <c r="E47" s="64"/>
      <c r="F47" s="64"/>
      <c r="G47" s="64"/>
      <c r="H47" s="64"/>
      <c r="I47" s="64"/>
      <c r="J47" s="64"/>
      <c r="K47" s="64"/>
      <c r="L47" s="64"/>
      <c r="M47" s="64"/>
      <c r="N47" s="64"/>
      <c r="O47" s="64"/>
      <c r="P47" s="65"/>
      <c r="AD47" s="1370"/>
      <c r="AE47" s="1370"/>
      <c r="AF47" s="1370"/>
      <c r="AG47" s="1370"/>
      <c r="AH47" s="1370"/>
      <c r="AI47" s="1370"/>
      <c r="AJ47" s="1370"/>
      <c r="AK47" s="1370"/>
      <c r="AL47" s="1370"/>
      <c r="AM47" s="1370"/>
      <c r="AN47" s="1370"/>
      <c r="AO47" s="1370"/>
      <c r="AP47" s="1370"/>
    </row>
    <row r="48" spans="1:42" x14ac:dyDescent="0.35">
      <c r="A48" s="99"/>
      <c r="B48" s="69"/>
      <c r="C48" s="69"/>
      <c r="D48" s="69"/>
      <c r="E48" s="69"/>
      <c r="F48" s="69"/>
      <c r="G48" s="69"/>
      <c r="H48" s="69"/>
      <c r="I48" s="104"/>
      <c r="J48" s="69"/>
      <c r="K48" s="69"/>
      <c r="L48" s="69"/>
      <c r="M48" s="69"/>
      <c r="N48" s="69"/>
      <c r="O48" s="69"/>
      <c r="P48" s="100"/>
      <c r="AD48" s="1370"/>
      <c r="AE48" s="1370"/>
      <c r="AF48" s="1370"/>
      <c r="AG48" s="1370"/>
      <c r="AH48" s="1370"/>
      <c r="AI48" s="1370"/>
      <c r="AJ48" s="1370"/>
      <c r="AK48" s="1370"/>
      <c r="AL48" s="1370"/>
      <c r="AM48" s="1370"/>
      <c r="AN48" s="1370"/>
      <c r="AO48" s="1370"/>
      <c r="AP48" s="1370"/>
    </row>
    <row r="49" spans="1:42" ht="15" thickBot="1" x14ac:dyDescent="0.4">
      <c r="A49" s="99"/>
      <c r="B49" s="3226" t="s">
        <v>2869</v>
      </c>
      <c r="C49" s="3227"/>
      <c r="D49" s="3227"/>
      <c r="E49" s="69"/>
      <c r="F49" s="69"/>
      <c r="G49" s="69"/>
      <c r="H49" s="69"/>
      <c r="I49" s="69"/>
      <c r="J49" s="69"/>
      <c r="K49" s="69"/>
      <c r="L49" s="69"/>
      <c r="M49" s="69"/>
      <c r="N49" s="69"/>
      <c r="O49" s="69"/>
      <c r="P49" s="100"/>
      <c r="AD49" s="1370"/>
      <c r="AE49" s="1370"/>
      <c r="AF49" s="1370"/>
      <c r="AG49" s="1370"/>
      <c r="AH49" s="1370"/>
      <c r="AI49" s="1370"/>
      <c r="AJ49" s="1370"/>
      <c r="AK49" s="1370"/>
      <c r="AL49" s="1370"/>
      <c r="AM49" s="1370"/>
      <c r="AN49" s="1370"/>
      <c r="AO49" s="1370"/>
      <c r="AP49" s="1370"/>
    </row>
    <row r="50" spans="1:42" ht="15" thickBot="1" x14ac:dyDescent="0.4">
      <c r="A50" s="99"/>
      <c r="B50" s="1371" t="s">
        <v>1360</v>
      </c>
      <c r="C50" s="1371" t="s">
        <v>2825</v>
      </c>
      <c r="D50" s="1371" t="s">
        <v>2826</v>
      </c>
      <c r="E50" s="69"/>
      <c r="F50" s="69"/>
      <c r="G50" s="69"/>
      <c r="H50" s="69"/>
      <c r="I50" s="69"/>
      <c r="J50" s="69"/>
      <c r="K50" s="69"/>
      <c r="L50" s="69"/>
      <c r="M50" s="69"/>
      <c r="N50" s="69"/>
      <c r="O50" s="69"/>
      <c r="P50" s="100"/>
      <c r="AD50" s="1370"/>
      <c r="AE50" s="1370"/>
      <c r="AF50" s="1370"/>
      <c r="AG50" s="1370"/>
      <c r="AH50" s="1370"/>
      <c r="AI50" s="1370"/>
      <c r="AJ50" s="1370"/>
      <c r="AK50" s="1370"/>
      <c r="AL50" s="1370"/>
      <c r="AM50" s="1370"/>
      <c r="AN50" s="1370"/>
      <c r="AO50" s="1370"/>
      <c r="AP50" s="1370"/>
    </row>
    <row r="51" spans="1:42" ht="15" thickBot="1" x14ac:dyDescent="0.4">
      <c r="A51" s="99"/>
      <c r="B51" s="1372" t="s">
        <v>2484</v>
      </c>
      <c r="C51" s="1373" t="s">
        <v>2870</v>
      </c>
      <c r="D51" s="1373" t="s">
        <v>2871</v>
      </c>
      <c r="E51" s="69"/>
      <c r="F51" s="69"/>
      <c r="G51" s="69"/>
      <c r="H51" s="69"/>
      <c r="I51" s="69"/>
      <c r="J51" s="69"/>
      <c r="K51" s="69"/>
      <c r="L51" s="69"/>
      <c r="M51" s="69"/>
      <c r="N51" s="69"/>
      <c r="O51" s="69"/>
      <c r="P51" s="100"/>
      <c r="AD51" s="1370"/>
      <c r="AE51" s="1370"/>
      <c r="AF51" s="1370"/>
      <c r="AG51" s="1370"/>
      <c r="AH51" s="1370"/>
      <c r="AI51" s="1370"/>
      <c r="AJ51" s="1370"/>
      <c r="AK51" s="1370"/>
      <c r="AL51" s="1370"/>
      <c r="AM51" s="1370"/>
      <c r="AN51" s="1370"/>
      <c r="AO51" s="1370"/>
      <c r="AP51" s="1370"/>
    </row>
    <row r="52" spans="1:42" ht="15" thickBot="1" x14ac:dyDescent="0.4">
      <c r="A52" s="99"/>
      <c r="B52" s="1372" t="s">
        <v>2487</v>
      </c>
      <c r="C52" s="1374" t="s">
        <v>2872</v>
      </c>
      <c r="D52" s="1374" t="s">
        <v>2873</v>
      </c>
      <c r="E52" s="69"/>
      <c r="F52" s="69"/>
      <c r="G52" s="69"/>
      <c r="H52" s="69"/>
      <c r="I52" s="69"/>
      <c r="J52" s="69"/>
      <c r="K52" s="69"/>
      <c r="L52" s="69"/>
      <c r="M52" s="69"/>
      <c r="N52" s="69"/>
      <c r="O52" s="69"/>
      <c r="P52" s="100"/>
      <c r="AD52" s="1370"/>
      <c r="AE52" s="1370"/>
      <c r="AF52" s="1370"/>
      <c r="AG52" s="1370"/>
      <c r="AH52" s="1370"/>
      <c r="AI52" s="1370"/>
      <c r="AJ52" s="1370"/>
      <c r="AK52" s="1370"/>
      <c r="AL52" s="1370"/>
      <c r="AM52" s="1370"/>
      <c r="AN52" s="1370"/>
      <c r="AO52" s="1370"/>
      <c r="AP52" s="1370"/>
    </row>
    <row r="53" spans="1:42" ht="15" thickBot="1" x14ac:dyDescent="0.4">
      <c r="A53" s="99"/>
      <c r="B53" s="1372" t="s">
        <v>2388</v>
      </c>
      <c r="C53" s="1375" t="s">
        <v>2874</v>
      </c>
      <c r="D53" s="1375" t="s">
        <v>2875</v>
      </c>
      <c r="E53" s="69"/>
      <c r="F53" s="69"/>
      <c r="G53" s="69"/>
      <c r="H53" s="69"/>
      <c r="I53" s="69"/>
      <c r="J53" s="69"/>
      <c r="K53" s="69"/>
      <c r="L53" s="69"/>
      <c r="M53" s="69"/>
      <c r="N53" s="69"/>
      <c r="O53" s="69"/>
      <c r="P53" s="100"/>
      <c r="AD53" s="1370"/>
      <c r="AE53" s="1370"/>
      <c r="AF53" s="1370"/>
      <c r="AG53" s="1370"/>
      <c r="AH53" s="1370"/>
      <c r="AI53" s="1370"/>
      <c r="AJ53" s="1370"/>
      <c r="AK53" s="1370"/>
      <c r="AL53" s="1370"/>
      <c r="AM53" s="1370"/>
      <c r="AN53" s="1370"/>
      <c r="AO53" s="1370"/>
      <c r="AP53" s="1370"/>
    </row>
    <row r="54" spans="1:42" ht="15" thickBot="1" x14ac:dyDescent="0.4">
      <c r="A54" s="99"/>
      <c r="B54" s="1372" t="s">
        <v>2397</v>
      </c>
      <c r="C54" s="1376" t="s">
        <v>2876</v>
      </c>
      <c r="D54" s="1377" t="s">
        <v>2877</v>
      </c>
      <c r="E54" s="69"/>
      <c r="F54" s="69"/>
      <c r="G54" s="69"/>
      <c r="H54" s="69"/>
      <c r="I54" s="69"/>
      <c r="J54" s="69"/>
      <c r="K54" s="69"/>
      <c r="L54" s="69"/>
      <c r="M54" s="69"/>
      <c r="N54" s="69"/>
      <c r="O54" s="69"/>
      <c r="P54" s="100"/>
      <c r="AD54" s="1370"/>
      <c r="AE54" s="1370"/>
      <c r="AF54" s="1370"/>
      <c r="AG54" s="1370"/>
      <c r="AH54" s="1370"/>
      <c r="AI54" s="1370"/>
      <c r="AJ54" s="1370"/>
      <c r="AK54" s="1370"/>
      <c r="AL54" s="1370"/>
      <c r="AM54" s="1370"/>
      <c r="AN54" s="1370"/>
      <c r="AO54" s="1370"/>
      <c r="AP54" s="1370"/>
    </row>
    <row r="55" spans="1:42" ht="15" thickBot="1" x14ac:dyDescent="0.4">
      <c r="A55" s="99"/>
      <c r="B55" s="1372" t="s">
        <v>2834</v>
      </c>
      <c r="C55" s="1374" t="s">
        <v>2878</v>
      </c>
      <c r="D55" s="1374" t="s">
        <v>2879</v>
      </c>
      <c r="E55" s="69"/>
      <c r="F55" s="69"/>
      <c r="G55" s="69"/>
      <c r="H55" s="69"/>
      <c r="I55" s="69"/>
      <c r="J55" s="69"/>
      <c r="K55" s="69"/>
      <c r="L55" s="69"/>
      <c r="M55" s="69"/>
      <c r="N55" s="69"/>
      <c r="O55" s="69"/>
      <c r="P55" s="100"/>
      <c r="AD55" s="1370"/>
      <c r="AE55" s="1370"/>
      <c r="AF55" s="1370"/>
      <c r="AG55" s="1370"/>
      <c r="AH55" s="1370"/>
      <c r="AI55" s="1370"/>
      <c r="AJ55" s="1370"/>
      <c r="AK55" s="1370"/>
      <c r="AL55" s="1370"/>
      <c r="AM55" s="1370"/>
      <c r="AN55" s="1370"/>
      <c r="AO55" s="1370"/>
      <c r="AP55" s="1370"/>
    </row>
    <row r="56" spans="1:42" ht="15" thickBot="1" x14ac:dyDescent="0.4">
      <c r="A56" s="99"/>
      <c r="B56" s="1372" t="s">
        <v>2836</v>
      </c>
      <c r="C56" s="1375" t="s">
        <v>2880</v>
      </c>
      <c r="D56" s="1378" t="s">
        <v>2881</v>
      </c>
      <c r="E56" s="69"/>
      <c r="F56" s="69"/>
      <c r="G56" s="69"/>
      <c r="H56" s="69"/>
      <c r="I56" s="69"/>
      <c r="J56" s="69"/>
      <c r="K56" s="69"/>
      <c r="L56" s="69"/>
      <c r="M56" s="69"/>
      <c r="N56" s="69"/>
      <c r="O56" s="69"/>
      <c r="P56" s="100"/>
      <c r="AD56" s="1370"/>
      <c r="AE56" s="1370"/>
      <c r="AF56" s="1370"/>
      <c r="AG56" s="1370"/>
      <c r="AH56" s="1370"/>
      <c r="AI56" s="1370"/>
      <c r="AJ56" s="1370"/>
      <c r="AK56" s="1370"/>
      <c r="AL56" s="1370"/>
      <c r="AM56" s="1370"/>
      <c r="AN56" s="1370"/>
      <c r="AO56" s="1370"/>
      <c r="AP56" s="1370"/>
    </row>
    <row r="57" spans="1:42" ht="15" thickBot="1" x14ac:dyDescent="0.4">
      <c r="A57" s="99"/>
      <c r="B57" s="1372" t="s">
        <v>2838</v>
      </c>
      <c r="C57" s="1375" t="s">
        <v>2882</v>
      </c>
      <c r="D57" s="1375" t="s">
        <v>2883</v>
      </c>
      <c r="E57" s="69"/>
      <c r="F57" s="69"/>
      <c r="G57" s="69"/>
      <c r="H57" s="69"/>
      <c r="I57" s="69"/>
      <c r="J57" s="69"/>
      <c r="K57" s="69"/>
      <c r="L57" s="69"/>
      <c r="M57" s="69"/>
      <c r="N57" s="69"/>
      <c r="O57" s="69"/>
      <c r="P57" s="100"/>
      <c r="AD57" s="1370"/>
      <c r="AE57" s="1370"/>
      <c r="AF57" s="1370"/>
      <c r="AG57" s="1370"/>
      <c r="AH57" s="1370"/>
      <c r="AI57" s="1370"/>
      <c r="AJ57" s="1370"/>
      <c r="AK57" s="1370"/>
      <c r="AL57" s="1370"/>
      <c r="AM57" s="1370"/>
      <c r="AN57" s="1370"/>
      <c r="AO57" s="1370"/>
      <c r="AP57" s="1370"/>
    </row>
    <row r="58" spans="1:42" ht="15" thickBot="1" x14ac:dyDescent="0.4">
      <c r="A58" s="99"/>
      <c r="B58" s="1379" t="s">
        <v>2840</v>
      </c>
      <c r="C58" s="1375" t="s">
        <v>2884</v>
      </c>
      <c r="D58" s="1375" t="s">
        <v>2885</v>
      </c>
      <c r="E58" s="69"/>
      <c r="F58" s="69"/>
      <c r="G58" s="69"/>
      <c r="H58" s="69"/>
      <c r="I58" s="69"/>
      <c r="J58" s="69"/>
      <c r="K58" s="69"/>
      <c r="L58" s="69"/>
      <c r="M58" s="69"/>
      <c r="N58" s="69"/>
      <c r="O58" s="69"/>
      <c r="P58" s="100"/>
      <c r="AD58" s="1370"/>
      <c r="AE58" s="1370"/>
      <c r="AF58" s="1370"/>
      <c r="AG58" s="1370"/>
      <c r="AH58" s="1370"/>
      <c r="AI58" s="1370"/>
      <c r="AJ58" s="1370"/>
      <c r="AK58" s="1370"/>
      <c r="AL58" s="1370"/>
      <c r="AM58" s="1370"/>
      <c r="AN58" s="1370"/>
      <c r="AO58" s="1370"/>
      <c r="AP58" s="1370"/>
    </row>
    <row r="59" spans="1:42" x14ac:dyDescent="0.35">
      <c r="A59" s="99"/>
      <c r="B59" s="69"/>
      <c r="C59" s="69"/>
      <c r="D59" s="69"/>
      <c r="E59" s="69"/>
      <c r="F59" s="69"/>
      <c r="G59" s="69"/>
      <c r="H59" s="69"/>
      <c r="I59" s="69"/>
      <c r="J59" s="69"/>
      <c r="K59" s="69"/>
      <c r="L59" s="69"/>
      <c r="M59" s="69"/>
      <c r="N59" s="69"/>
      <c r="O59" s="69"/>
      <c r="P59" s="100"/>
      <c r="AD59" s="1370"/>
      <c r="AE59" s="1370"/>
      <c r="AF59" s="1370"/>
      <c r="AG59" s="1370"/>
      <c r="AH59" s="1370"/>
      <c r="AI59" s="1370"/>
      <c r="AJ59" s="1370"/>
      <c r="AK59" s="1370"/>
      <c r="AL59" s="1370"/>
      <c r="AM59" s="1370"/>
      <c r="AN59" s="1370"/>
      <c r="AO59" s="1370"/>
      <c r="AP59" s="1370"/>
    </row>
    <row r="60" spans="1:42" ht="15" thickBot="1" x14ac:dyDescent="0.4">
      <c r="A60" s="99"/>
      <c r="B60" s="69"/>
      <c r="C60" s="69"/>
      <c r="D60" s="69"/>
      <c r="E60" s="69"/>
      <c r="F60" s="69"/>
      <c r="G60" s="69"/>
      <c r="H60" s="69"/>
      <c r="I60" s="69"/>
      <c r="J60" s="69"/>
      <c r="K60" s="69"/>
      <c r="L60" s="69"/>
      <c r="M60" s="69"/>
      <c r="N60" s="69"/>
      <c r="O60" s="69"/>
      <c r="P60" s="100"/>
      <c r="AD60" s="1370"/>
      <c r="AE60" s="1370"/>
      <c r="AF60" s="1370"/>
      <c r="AG60" s="1370"/>
      <c r="AH60" s="1370"/>
      <c r="AI60" s="1370"/>
      <c r="AJ60" s="1370"/>
      <c r="AK60" s="1370"/>
      <c r="AL60" s="1370"/>
      <c r="AM60" s="1370"/>
      <c r="AN60" s="1370"/>
      <c r="AO60" s="1370"/>
      <c r="AP60" s="1370"/>
    </row>
    <row r="61" spans="1:42" ht="15" thickBot="1" x14ac:dyDescent="0.4">
      <c r="A61" s="99"/>
      <c r="B61" s="1380"/>
      <c r="C61" s="3228" t="s">
        <v>2886</v>
      </c>
      <c r="D61" s="3229"/>
      <c r="E61" s="3229"/>
      <c r="F61" s="3229"/>
      <c r="G61" s="3230"/>
      <c r="H61" s="1381"/>
      <c r="I61" s="1382"/>
      <c r="J61" s="69"/>
      <c r="K61" s="69"/>
      <c r="L61" s="69"/>
      <c r="M61" s="69"/>
      <c r="N61" s="69"/>
      <c r="O61" s="69"/>
      <c r="P61" s="100"/>
      <c r="AD61" s="1370"/>
      <c r="AE61" s="1370"/>
      <c r="AF61" s="1370"/>
      <c r="AG61" s="1370"/>
      <c r="AH61" s="1370"/>
      <c r="AI61" s="1370"/>
      <c r="AJ61" s="1370"/>
      <c r="AK61" s="1370"/>
      <c r="AL61" s="1370"/>
      <c r="AM61" s="1370"/>
      <c r="AN61" s="1370"/>
      <c r="AO61" s="1370"/>
      <c r="AP61" s="1370"/>
    </row>
    <row r="62" spans="1:42" ht="15" thickBot="1" x14ac:dyDescent="0.4">
      <c r="A62" s="99"/>
      <c r="B62" s="1383" t="s">
        <v>1360</v>
      </c>
      <c r="C62" s="1384" t="s">
        <v>1705</v>
      </c>
      <c r="D62" s="1385" t="s">
        <v>1691</v>
      </c>
      <c r="E62" s="1385" t="s">
        <v>1706</v>
      </c>
      <c r="F62" s="1385" t="s">
        <v>1707</v>
      </c>
      <c r="G62" s="1385" t="s">
        <v>1708</v>
      </c>
      <c r="H62" s="1385" t="s">
        <v>1696</v>
      </c>
      <c r="I62" s="1386" t="s">
        <v>2887</v>
      </c>
      <c r="J62" s="69"/>
      <c r="K62" s="3216" t="s">
        <v>2888</v>
      </c>
      <c r="L62" s="3216"/>
      <c r="M62" s="69"/>
      <c r="N62" s="69"/>
      <c r="O62" s="69"/>
      <c r="P62" s="100"/>
      <c r="AD62" s="1370"/>
      <c r="AE62" s="1370"/>
      <c r="AF62" s="1370"/>
      <c r="AG62" s="1370"/>
      <c r="AH62" s="1370"/>
      <c r="AI62" s="1370"/>
      <c r="AJ62" s="1370"/>
      <c r="AK62" s="1370"/>
      <c r="AL62" s="1370"/>
      <c r="AM62" s="1370"/>
      <c r="AN62" s="1370"/>
      <c r="AO62" s="1370"/>
      <c r="AP62" s="1370"/>
    </row>
    <row r="63" spans="1:42" ht="15" thickBot="1" x14ac:dyDescent="0.4">
      <c r="A63" s="99"/>
      <c r="B63" s="1372" t="s">
        <v>2484</v>
      </c>
      <c r="C63" s="1387">
        <v>19.872</v>
      </c>
      <c r="D63" s="1387">
        <v>17.829999999999998</v>
      </c>
      <c r="E63" s="1387">
        <v>15.827999999999999</v>
      </c>
      <c r="F63" s="1387">
        <v>15.282</v>
      </c>
      <c r="G63" s="1387">
        <v>13.481999999999999</v>
      </c>
      <c r="H63" s="1388">
        <f>C63*$L$63+D63*$L$64+E63*$L$65</f>
        <v>18.242399999999996</v>
      </c>
      <c r="I63" s="1389">
        <v>98</v>
      </c>
      <c r="J63" s="69"/>
      <c r="K63" s="49" t="s">
        <v>2387</v>
      </c>
      <c r="L63" s="291">
        <v>0.3</v>
      </c>
      <c r="M63" s="69"/>
      <c r="N63" s="69"/>
      <c r="O63" s="69"/>
      <c r="P63" s="100"/>
      <c r="AD63" s="1370"/>
      <c r="AE63" s="1370"/>
      <c r="AF63" s="1370"/>
      <c r="AG63" s="1370"/>
      <c r="AH63" s="1370"/>
      <c r="AI63" s="1370"/>
      <c r="AJ63" s="1370"/>
      <c r="AK63" s="1370"/>
      <c r="AL63" s="1370"/>
      <c r="AM63" s="1370"/>
      <c r="AN63" s="1370"/>
      <c r="AO63" s="1370"/>
      <c r="AP63" s="1370"/>
    </row>
    <row r="64" spans="1:42" ht="15" thickBot="1" x14ac:dyDescent="0.4">
      <c r="A64" s="99"/>
      <c r="B64" s="1372" t="s">
        <v>2487</v>
      </c>
      <c r="C64" s="1387">
        <v>1.4930000000000001</v>
      </c>
      <c r="D64" s="1387">
        <v>1.081</v>
      </c>
      <c r="E64" s="1387">
        <v>0.78200000000000003</v>
      </c>
      <c r="F64" s="1387">
        <v>0.54400000000000004</v>
      </c>
      <c r="G64" s="1387">
        <v>0.114</v>
      </c>
      <c r="H64" s="1388">
        <f t="shared" ref="H64:H70" si="18">C64*$L$63+D64*$L$64+E64*$L$65</f>
        <v>1.1747000000000001</v>
      </c>
      <c r="I64" s="1389">
        <v>108</v>
      </c>
      <c r="J64" s="69"/>
      <c r="K64" s="49" t="s">
        <v>2389</v>
      </c>
      <c r="L64" s="291">
        <v>0.6</v>
      </c>
      <c r="M64" s="69"/>
      <c r="N64" s="69"/>
      <c r="O64" s="69"/>
      <c r="P64" s="100"/>
      <c r="AD64" s="1370"/>
      <c r="AE64" s="1370"/>
      <c r="AF64" s="1370"/>
      <c r="AG64" s="1370"/>
      <c r="AH64" s="1370"/>
      <c r="AI64" s="1370"/>
      <c r="AJ64" s="1370"/>
      <c r="AK64" s="1370"/>
      <c r="AL64" s="1370"/>
      <c r="AM64" s="1370"/>
      <c r="AN64" s="1370"/>
      <c r="AO64" s="1370"/>
      <c r="AP64" s="1370"/>
    </row>
    <row r="65" spans="1:42" ht="15" thickBot="1" x14ac:dyDescent="0.4">
      <c r="A65" s="99"/>
      <c r="B65" s="1372" t="s">
        <v>2388</v>
      </c>
      <c r="C65" s="1387">
        <v>1.718</v>
      </c>
      <c r="D65" s="1387">
        <v>1.3169999999999999</v>
      </c>
      <c r="E65" s="1387">
        <v>0.97099999999999997</v>
      </c>
      <c r="F65" s="1387">
        <v>0.73899999999999999</v>
      </c>
      <c r="G65" s="1387">
        <v>0.31900000000000001</v>
      </c>
      <c r="H65" s="1388">
        <f t="shared" si="18"/>
        <v>1.4026999999999998</v>
      </c>
      <c r="I65" s="1389">
        <v>55</v>
      </c>
      <c r="J65" s="69"/>
      <c r="K65" s="49" t="s">
        <v>2390</v>
      </c>
      <c r="L65" s="291">
        <v>0.1</v>
      </c>
      <c r="M65" s="69"/>
      <c r="N65" s="69"/>
      <c r="O65" s="69"/>
      <c r="P65" s="100"/>
      <c r="AD65" s="1370"/>
      <c r="AE65" s="1370"/>
      <c r="AF65" s="1370"/>
      <c r="AG65" s="1370"/>
      <c r="AH65" s="1370"/>
      <c r="AI65" s="1370"/>
      <c r="AJ65" s="1370"/>
      <c r="AK65" s="1370"/>
      <c r="AL65" s="1370"/>
      <c r="AM65" s="1370"/>
      <c r="AN65" s="1370"/>
      <c r="AO65" s="1370"/>
      <c r="AP65" s="1370"/>
    </row>
    <row r="66" spans="1:42" ht="15" thickBot="1" x14ac:dyDescent="0.4">
      <c r="A66" s="99"/>
      <c r="B66" s="1372" t="s">
        <v>2397</v>
      </c>
      <c r="C66" s="1387">
        <v>6.2939999999999996</v>
      </c>
      <c r="D66" s="1387">
        <v>5.55</v>
      </c>
      <c r="E66" s="1387">
        <v>4.6779999999999999</v>
      </c>
      <c r="F66" s="1387">
        <v>4.202</v>
      </c>
      <c r="G66" s="1387">
        <v>3.1219999999999999</v>
      </c>
      <c r="H66" s="1388">
        <f t="shared" si="18"/>
        <v>5.6859999999999999</v>
      </c>
      <c r="I66" s="1389">
        <v>133</v>
      </c>
      <c r="J66" s="69"/>
      <c r="K66" s="69"/>
      <c r="L66" s="69"/>
      <c r="M66" s="69"/>
      <c r="N66" s="69"/>
      <c r="O66" s="69"/>
      <c r="P66" s="100"/>
      <c r="AD66" s="1370"/>
      <c r="AE66" s="1370"/>
      <c r="AF66" s="1370"/>
      <c r="AG66" s="1370"/>
      <c r="AH66" s="1370"/>
      <c r="AI66" s="1370"/>
      <c r="AJ66" s="1370"/>
      <c r="AK66" s="1370"/>
      <c r="AL66" s="1370"/>
      <c r="AM66" s="1370"/>
      <c r="AN66" s="1370"/>
      <c r="AO66" s="1370"/>
      <c r="AP66" s="1370"/>
    </row>
    <row r="67" spans="1:42" ht="15" thickBot="1" x14ac:dyDescent="0.4">
      <c r="A67" s="99"/>
      <c r="B67" s="1372" t="s">
        <v>2834</v>
      </c>
      <c r="C67" s="1387">
        <v>8.3829999999999991</v>
      </c>
      <c r="D67" s="1387">
        <v>7.2110000000000003</v>
      </c>
      <c r="E67" s="1387">
        <v>6.0339999999999998</v>
      </c>
      <c r="F67" s="1387">
        <v>5.7670000000000003</v>
      </c>
      <c r="G67" s="1387">
        <v>4.71</v>
      </c>
      <c r="H67" s="1388">
        <f t="shared" si="18"/>
        <v>7.4448999999999996</v>
      </c>
      <c r="I67" s="1389">
        <v>108</v>
      </c>
      <c r="J67" s="69"/>
      <c r="K67" s="69"/>
      <c r="L67" s="69"/>
      <c r="M67" s="69"/>
      <c r="N67" s="69"/>
      <c r="O67" s="69"/>
      <c r="P67" s="100"/>
      <c r="AD67" s="1370"/>
      <c r="AE67" s="1370"/>
      <c r="AF67" s="1370"/>
      <c r="AG67" s="1370"/>
      <c r="AH67" s="1370"/>
      <c r="AI67" s="1370"/>
      <c r="AJ67" s="1370"/>
      <c r="AK67" s="1370"/>
      <c r="AL67" s="1370"/>
      <c r="AM67" s="1370"/>
      <c r="AN67" s="1370"/>
      <c r="AO67" s="1370"/>
      <c r="AP67" s="1370"/>
    </row>
    <row r="68" spans="1:42" ht="15" thickBot="1" x14ac:dyDescent="0.4">
      <c r="A68" s="99"/>
      <c r="B68" s="1372" t="s">
        <v>2836</v>
      </c>
      <c r="C68" s="1387">
        <v>5.2469999999999999</v>
      </c>
      <c r="D68" s="1387">
        <v>4.484</v>
      </c>
      <c r="E68" s="1387">
        <v>3.7530000000000001</v>
      </c>
      <c r="F68" s="1387">
        <v>3.4649999999999999</v>
      </c>
      <c r="G68" s="1387">
        <v>2.6269999999999998</v>
      </c>
      <c r="H68" s="1388">
        <f t="shared" si="18"/>
        <v>4.6398000000000001</v>
      </c>
      <c r="I68" s="1389">
        <v>117</v>
      </c>
      <c r="J68" s="69"/>
      <c r="K68" s="69"/>
      <c r="L68" s="69"/>
      <c r="M68" s="69"/>
      <c r="N68" s="69"/>
      <c r="O68" s="69"/>
      <c r="P68" s="100"/>
      <c r="AD68" s="1370"/>
      <c r="AE68" s="1370"/>
      <c r="AF68" s="1370"/>
      <c r="AG68" s="1370"/>
      <c r="AH68" s="1370"/>
      <c r="AI68" s="1370"/>
      <c r="AJ68" s="1370"/>
      <c r="AK68" s="1370"/>
      <c r="AL68" s="1370"/>
      <c r="AM68" s="1370"/>
      <c r="AN68" s="1370"/>
      <c r="AO68" s="1370"/>
      <c r="AP68" s="1370"/>
    </row>
    <row r="69" spans="1:42" ht="15" thickBot="1" x14ac:dyDescent="0.4">
      <c r="A69" s="99"/>
      <c r="B69" s="1372" t="s">
        <v>2838</v>
      </c>
      <c r="C69" s="1387">
        <v>4.3849999999999998</v>
      </c>
      <c r="D69" s="1387">
        <v>3.8540000000000001</v>
      </c>
      <c r="E69" s="1387">
        <v>3.1920000000000002</v>
      </c>
      <c r="F69" s="1387">
        <v>2.7839999999999998</v>
      </c>
      <c r="G69" s="1387">
        <v>1.8580000000000001</v>
      </c>
      <c r="H69" s="1388">
        <f t="shared" si="18"/>
        <v>3.9470999999999994</v>
      </c>
      <c r="I69" s="1389">
        <v>93</v>
      </c>
      <c r="J69" s="69"/>
      <c r="K69" s="69"/>
      <c r="L69" s="69"/>
      <c r="M69" s="69"/>
      <c r="N69" s="69"/>
      <c r="O69" s="69"/>
      <c r="P69" s="100"/>
      <c r="AD69" s="1370"/>
      <c r="AE69" s="1370"/>
      <c r="AF69" s="1370"/>
      <c r="AG69" s="1370"/>
      <c r="AH69" s="1370"/>
      <c r="AI69" s="1370"/>
      <c r="AJ69" s="1370"/>
      <c r="AK69" s="1370"/>
      <c r="AL69" s="1370"/>
      <c r="AM69" s="1370"/>
      <c r="AN69" s="1370"/>
      <c r="AO69" s="1370"/>
      <c r="AP69" s="1370"/>
    </row>
    <row r="70" spans="1:42" ht="15" thickBot="1" x14ac:dyDescent="0.4">
      <c r="A70" s="99"/>
      <c r="B70" s="1379" t="s">
        <v>2840</v>
      </c>
      <c r="C70" s="1387">
        <v>3.9169999999999998</v>
      </c>
      <c r="D70" s="1387">
        <v>3.3940000000000001</v>
      </c>
      <c r="E70" s="1387">
        <v>2.7280000000000002</v>
      </c>
      <c r="F70" s="1387">
        <v>2.3940000000000001</v>
      </c>
      <c r="G70" s="1387">
        <v>1.617</v>
      </c>
      <c r="H70" s="1388">
        <f t="shared" si="18"/>
        <v>3.4843000000000002</v>
      </c>
      <c r="I70" s="1390">
        <v>93</v>
      </c>
      <c r="J70" s="69"/>
      <c r="K70" s="69"/>
      <c r="L70" s="69"/>
      <c r="M70" s="69"/>
      <c r="N70" s="69"/>
      <c r="O70" s="69"/>
      <c r="P70" s="100"/>
      <c r="AD70" s="1370"/>
      <c r="AE70" s="1370"/>
      <c r="AF70" s="1370"/>
      <c r="AG70" s="1370"/>
      <c r="AH70" s="1370"/>
      <c r="AI70" s="1370"/>
      <c r="AJ70" s="1370"/>
      <c r="AK70" s="1370"/>
      <c r="AL70" s="1370"/>
      <c r="AM70" s="1370"/>
      <c r="AN70" s="1370"/>
      <c r="AO70" s="1370"/>
      <c r="AP70" s="1370"/>
    </row>
    <row r="71" spans="1:42" ht="15" thickBot="1" x14ac:dyDescent="0.4">
      <c r="A71" s="99"/>
      <c r="B71" s="69"/>
      <c r="C71" s="69"/>
      <c r="D71" s="69"/>
      <c r="E71" s="69"/>
      <c r="F71" s="69"/>
      <c r="G71" s="69"/>
      <c r="H71" s="69"/>
      <c r="I71" s="69"/>
      <c r="J71" s="69"/>
      <c r="K71" s="69"/>
      <c r="L71" s="69"/>
      <c r="M71" s="69"/>
      <c r="N71" s="69"/>
      <c r="O71" s="69"/>
      <c r="P71" s="100"/>
      <c r="AD71" s="1370"/>
      <c r="AE71" s="1370"/>
      <c r="AF71" s="1370"/>
      <c r="AG71" s="1370"/>
      <c r="AH71" s="1370"/>
      <c r="AI71" s="1370"/>
      <c r="AJ71" s="1370"/>
      <c r="AK71" s="1370"/>
      <c r="AL71" s="1370"/>
      <c r="AM71" s="1370"/>
      <c r="AN71" s="1370"/>
      <c r="AO71" s="1370"/>
      <c r="AP71" s="1370"/>
    </row>
    <row r="72" spans="1:42" ht="15" thickBot="1" x14ac:dyDescent="0.4">
      <c r="A72" s="99"/>
      <c r="B72" s="1380"/>
      <c r="C72" s="3228" t="s">
        <v>2889</v>
      </c>
      <c r="D72" s="3229"/>
      <c r="E72" s="3229"/>
      <c r="F72" s="3229"/>
      <c r="G72" s="3230"/>
      <c r="H72" s="1381"/>
      <c r="I72" s="1382"/>
      <c r="J72" s="69"/>
      <c r="K72" s="69"/>
      <c r="L72" s="69"/>
      <c r="M72" s="69"/>
      <c r="N72" s="69"/>
      <c r="O72" s="69"/>
      <c r="P72" s="100"/>
      <c r="AD72" s="1370"/>
      <c r="AE72" s="1370"/>
      <c r="AF72" s="1370"/>
      <c r="AG72" s="1370"/>
      <c r="AH72" s="1370"/>
      <c r="AI72" s="1370"/>
      <c r="AJ72" s="1370"/>
      <c r="AK72" s="1370"/>
      <c r="AL72" s="1370"/>
      <c r="AM72" s="1370"/>
      <c r="AN72" s="1370"/>
      <c r="AO72" s="1370"/>
      <c r="AP72" s="1370"/>
    </row>
    <row r="73" spans="1:42" ht="15" thickBot="1" x14ac:dyDescent="0.4">
      <c r="A73" s="99"/>
      <c r="B73" s="1383" t="s">
        <v>1360</v>
      </c>
      <c r="C73" s="1384" t="s">
        <v>1705</v>
      </c>
      <c r="D73" s="1385" t="s">
        <v>1691</v>
      </c>
      <c r="E73" s="1385" t="s">
        <v>1706</v>
      </c>
      <c r="F73" s="1385" t="s">
        <v>1707</v>
      </c>
      <c r="G73" s="1385" t="s">
        <v>1708</v>
      </c>
      <c r="H73" s="1385" t="s">
        <v>1696</v>
      </c>
      <c r="I73" s="1386" t="s">
        <v>2887</v>
      </c>
      <c r="J73" s="69"/>
      <c r="K73" s="69"/>
      <c r="L73" s="69"/>
      <c r="M73" s="69"/>
      <c r="N73" s="69"/>
      <c r="O73" s="69"/>
      <c r="P73" s="100"/>
      <c r="AD73" s="1370"/>
      <c r="AE73" s="1370"/>
      <c r="AF73" s="1370"/>
      <c r="AG73" s="1370"/>
      <c r="AH73" s="1370"/>
      <c r="AI73" s="1370"/>
      <c r="AJ73" s="1370"/>
      <c r="AK73" s="1370"/>
      <c r="AL73" s="1370"/>
      <c r="AM73" s="1370"/>
      <c r="AN73" s="1370"/>
      <c r="AO73" s="1370"/>
      <c r="AP73" s="1370"/>
    </row>
    <row r="74" spans="1:42" ht="15" thickBot="1" x14ac:dyDescent="0.4">
      <c r="A74" s="99"/>
      <c r="B74" s="1372" t="s">
        <v>2484</v>
      </c>
      <c r="C74" s="1387">
        <v>0.23699999999999999</v>
      </c>
      <c r="D74" s="1387">
        <v>9.8900000000000002E-2</v>
      </c>
      <c r="E74" s="1387">
        <v>2.6700000000000002E-2</v>
      </c>
      <c r="F74" s="1387">
        <v>-1.3100000000000001E-2</v>
      </c>
      <c r="G74" s="1387">
        <v>-8.7099999999999997E-2</v>
      </c>
      <c r="H74" s="1388">
        <f>C74*$L$63+D74*$L$64+E74*$L$65</f>
        <v>0.13311000000000001</v>
      </c>
      <c r="I74" s="1389">
        <v>98</v>
      </c>
      <c r="J74" s="69"/>
      <c r="K74" s="69"/>
      <c r="L74" s="69"/>
      <c r="M74" s="69"/>
      <c r="N74" s="69"/>
      <c r="O74" s="69"/>
      <c r="P74" s="100"/>
      <c r="AD74" s="1370"/>
      <c r="AE74" s="1370"/>
      <c r="AF74" s="1370"/>
      <c r="AG74" s="1370"/>
      <c r="AH74" s="1370"/>
      <c r="AI74" s="1370"/>
      <c r="AJ74" s="1370"/>
      <c r="AK74" s="1370"/>
      <c r="AL74" s="1370"/>
      <c r="AM74" s="1370"/>
      <c r="AN74" s="1370"/>
      <c r="AO74" s="1370"/>
      <c r="AP74" s="1370"/>
    </row>
    <row r="75" spans="1:42" ht="15" thickBot="1" x14ac:dyDescent="0.4">
      <c r="A75" s="99"/>
      <c r="B75" s="1372" t="s">
        <v>2487</v>
      </c>
      <c r="C75" s="1387">
        <v>1.1279999999999999</v>
      </c>
      <c r="D75" s="1387">
        <v>0.85399999999999998</v>
      </c>
      <c r="E75" s="1387">
        <v>0.61899999999999999</v>
      </c>
      <c r="F75" s="1387">
        <v>0.437</v>
      </c>
      <c r="G75" s="1387">
        <v>8.5400000000000004E-2</v>
      </c>
      <c r="H75" s="1388">
        <f t="shared" ref="H75:H81" si="19">C75*$L$63+D75*$L$64+E75*$L$65</f>
        <v>0.91269999999999996</v>
      </c>
      <c r="I75" s="1389">
        <v>108</v>
      </c>
      <c r="J75" s="69"/>
      <c r="K75" s="69"/>
      <c r="L75" s="69"/>
      <c r="M75" s="69"/>
      <c r="N75" s="69"/>
      <c r="O75" s="69"/>
      <c r="P75" s="100"/>
      <c r="AD75" s="1370"/>
      <c r="AE75" s="1370"/>
      <c r="AF75" s="1370"/>
      <c r="AG75" s="1370"/>
      <c r="AH75" s="1370"/>
      <c r="AI75" s="1370"/>
      <c r="AJ75" s="1370"/>
      <c r="AK75" s="1370"/>
      <c r="AL75" s="1370"/>
      <c r="AM75" s="1370"/>
      <c r="AN75" s="1370"/>
      <c r="AO75" s="1370"/>
      <c r="AP75" s="1370"/>
    </row>
    <row r="76" spans="1:42" ht="15" thickBot="1" x14ac:dyDescent="0.4">
      <c r="A76" s="99"/>
      <c r="B76" s="1372" t="s">
        <v>2388</v>
      </c>
      <c r="C76" s="1387">
        <v>3.4470000000000001</v>
      </c>
      <c r="D76" s="1387">
        <v>3.0219999999999998</v>
      </c>
      <c r="E76" s="1387">
        <v>2.5030000000000001</v>
      </c>
      <c r="F76" s="1387">
        <v>2.2509999999999999</v>
      </c>
      <c r="G76" s="1387">
        <v>1.6459999999999999</v>
      </c>
      <c r="H76" s="1388">
        <f t="shared" si="19"/>
        <v>3.0975999999999999</v>
      </c>
      <c r="I76" s="1389">
        <v>55</v>
      </c>
      <c r="J76" s="69"/>
      <c r="K76" s="69"/>
      <c r="L76" s="69"/>
      <c r="M76" s="69"/>
      <c r="N76" s="69"/>
      <c r="O76" s="69"/>
      <c r="P76" s="100"/>
      <c r="AD76" s="1370"/>
      <c r="AE76" s="1370"/>
      <c r="AF76" s="1370"/>
      <c r="AG76" s="1370"/>
      <c r="AH76" s="1370"/>
      <c r="AI76" s="1370"/>
      <c r="AJ76" s="1370"/>
      <c r="AK76" s="1370"/>
      <c r="AL76" s="1370"/>
      <c r="AM76" s="1370"/>
      <c r="AN76" s="1370"/>
      <c r="AO76" s="1370"/>
      <c r="AP76" s="1370"/>
    </row>
    <row r="77" spans="1:42" ht="15" thickBot="1" x14ac:dyDescent="0.4">
      <c r="A77" s="99"/>
      <c r="B77" s="1372" t="s">
        <v>2397</v>
      </c>
      <c r="C77" s="1387">
        <v>5.9139999999999997</v>
      </c>
      <c r="D77" s="1387">
        <v>5.3680000000000003</v>
      </c>
      <c r="E77" s="1387">
        <v>4.5570000000000004</v>
      </c>
      <c r="F77" s="1387">
        <v>4.1369999999999996</v>
      </c>
      <c r="G77" s="1387">
        <v>3.246</v>
      </c>
      <c r="H77" s="1388">
        <f t="shared" si="19"/>
        <v>5.4507000000000003</v>
      </c>
      <c r="I77" s="1389">
        <v>133</v>
      </c>
      <c r="J77" s="69"/>
      <c r="K77" s="69"/>
      <c r="L77" s="69"/>
      <c r="M77" s="69"/>
      <c r="N77" s="69"/>
      <c r="O77" s="69"/>
      <c r="P77" s="100"/>
      <c r="AD77" s="1370"/>
      <c r="AE77" s="1370"/>
      <c r="AF77" s="1370"/>
      <c r="AG77" s="1370"/>
      <c r="AH77" s="1370"/>
      <c r="AI77" s="1370"/>
      <c r="AJ77" s="1370"/>
      <c r="AK77" s="1370"/>
      <c r="AL77" s="1370"/>
      <c r="AM77" s="1370"/>
      <c r="AN77" s="1370"/>
      <c r="AO77" s="1370"/>
      <c r="AP77" s="1370"/>
    </row>
    <row r="78" spans="1:42" ht="15" thickBot="1" x14ac:dyDescent="0.4">
      <c r="A78" s="99"/>
      <c r="B78" s="1372" t="s">
        <v>2834</v>
      </c>
      <c r="C78" s="1387">
        <v>1.2270000000000001</v>
      </c>
      <c r="D78" s="1387">
        <v>0.63600000000000001</v>
      </c>
      <c r="E78" s="1387">
        <v>0.30199999999999999</v>
      </c>
      <c r="F78" s="1387">
        <v>0.10199999999999999</v>
      </c>
      <c r="G78" s="1387">
        <v>-0.26200000000000001</v>
      </c>
      <c r="H78" s="1388">
        <f t="shared" si="19"/>
        <v>0.77990000000000004</v>
      </c>
      <c r="I78" s="1389">
        <v>108</v>
      </c>
      <c r="J78" s="69"/>
      <c r="K78" s="69"/>
      <c r="L78" s="69"/>
      <c r="M78" s="69"/>
      <c r="N78" s="69"/>
      <c r="O78" s="69"/>
      <c r="P78" s="100"/>
      <c r="AD78" s="1370"/>
      <c r="AE78" s="1370"/>
      <c r="AF78" s="1370"/>
      <c r="AG78" s="1370"/>
      <c r="AH78" s="1370"/>
      <c r="AI78" s="1370"/>
      <c r="AJ78" s="1370"/>
      <c r="AK78" s="1370"/>
      <c r="AL78" s="1370"/>
      <c r="AM78" s="1370"/>
      <c r="AN78" s="1370"/>
      <c r="AO78" s="1370"/>
      <c r="AP78" s="1370"/>
    </row>
    <row r="79" spans="1:42" ht="15" thickBot="1" x14ac:dyDescent="0.4">
      <c r="A79" s="99"/>
      <c r="B79" s="1372" t="s">
        <v>2836</v>
      </c>
      <c r="C79" s="1387">
        <v>0.95099999999999996</v>
      </c>
      <c r="D79" s="1387">
        <v>0.70399999999999996</v>
      </c>
      <c r="E79" s="1387">
        <v>0.51</v>
      </c>
      <c r="F79" s="1387">
        <v>0.38100000000000001</v>
      </c>
      <c r="G79" s="1387">
        <v>7.46E-2</v>
      </c>
      <c r="H79" s="1388">
        <f t="shared" si="19"/>
        <v>0.75870000000000004</v>
      </c>
      <c r="I79" s="1390">
        <v>117</v>
      </c>
      <c r="J79" s="69"/>
      <c r="K79" s="69"/>
      <c r="L79" s="69"/>
      <c r="M79" s="69"/>
      <c r="N79" s="69"/>
      <c r="O79" s="69"/>
      <c r="P79" s="100"/>
      <c r="AD79" s="1370"/>
      <c r="AE79" s="1370"/>
      <c r="AF79" s="1370"/>
      <c r="AG79" s="1370"/>
      <c r="AH79" s="1370"/>
      <c r="AI79" s="1370"/>
      <c r="AJ79" s="1370"/>
      <c r="AK79" s="1370"/>
      <c r="AL79" s="1370"/>
      <c r="AM79" s="1370"/>
      <c r="AN79" s="1370"/>
      <c r="AO79" s="1370"/>
      <c r="AP79" s="1370"/>
    </row>
    <row r="80" spans="1:42" ht="15" thickBot="1" x14ac:dyDescent="0.4">
      <c r="A80" s="99"/>
      <c r="B80" s="1372" t="s">
        <v>2838</v>
      </c>
      <c r="C80" s="1387">
        <v>3.0609999999999999</v>
      </c>
      <c r="D80" s="1387">
        <v>2.6720000000000002</v>
      </c>
      <c r="E80" s="1387">
        <v>2.1819999999999999</v>
      </c>
      <c r="F80" s="1387">
        <v>1.829</v>
      </c>
      <c r="G80" s="1387">
        <v>1.008</v>
      </c>
      <c r="H80" s="1388">
        <f t="shared" si="19"/>
        <v>2.7396999999999996</v>
      </c>
      <c r="I80" s="1391">
        <v>93</v>
      </c>
      <c r="J80" s="69"/>
      <c r="K80" s="69"/>
      <c r="L80" s="69"/>
      <c r="M80" s="69"/>
      <c r="N80" s="69"/>
      <c r="O80" s="69"/>
      <c r="P80" s="100"/>
      <c r="AD80" s="1370"/>
      <c r="AE80" s="1370"/>
      <c r="AF80" s="1370"/>
      <c r="AG80" s="1370"/>
      <c r="AH80" s="1370"/>
      <c r="AI80" s="1370"/>
      <c r="AJ80" s="1370"/>
      <c r="AK80" s="1370"/>
      <c r="AL80" s="1370"/>
      <c r="AM80" s="1370"/>
      <c r="AN80" s="1370"/>
      <c r="AO80" s="1370"/>
      <c r="AP80" s="1370"/>
    </row>
    <row r="81" spans="1:42" ht="15" thickBot="1" x14ac:dyDescent="0.4">
      <c r="A81" s="99"/>
      <c r="B81" s="1379" t="s">
        <v>2840</v>
      </c>
      <c r="C81" s="1387">
        <v>2.6589999999999998</v>
      </c>
      <c r="D81" s="1387">
        <v>2.2919999999999998</v>
      </c>
      <c r="E81" s="1387">
        <v>1.8109999999999999</v>
      </c>
      <c r="F81" s="1387">
        <v>1.5429999999999999</v>
      </c>
      <c r="G81" s="1387">
        <v>0.90900000000000003</v>
      </c>
      <c r="H81" s="1388">
        <f t="shared" si="19"/>
        <v>2.3539999999999996</v>
      </c>
      <c r="I81" s="1390">
        <v>93</v>
      </c>
      <c r="J81" s="69"/>
      <c r="K81" s="69"/>
      <c r="L81" s="69"/>
      <c r="M81" s="69"/>
      <c r="N81" s="69"/>
      <c r="O81" s="69"/>
      <c r="P81" s="100"/>
      <c r="AD81" s="1370"/>
      <c r="AE81" s="1370"/>
      <c r="AF81" s="1370"/>
      <c r="AG81" s="1370"/>
      <c r="AH81" s="1370"/>
      <c r="AI81" s="1370"/>
      <c r="AJ81" s="1370"/>
      <c r="AK81" s="1370"/>
      <c r="AL81" s="1370"/>
      <c r="AM81" s="1370"/>
      <c r="AN81" s="1370"/>
      <c r="AO81" s="1370"/>
      <c r="AP81" s="1370"/>
    </row>
    <row r="82" spans="1:42" x14ac:dyDescent="0.35">
      <c r="A82" s="99"/>
      <c r="B82" s="69"/>
      <c r="C82" s="69"/>
      <c r="D82" s="69"/>
      <c r="E82" s="69"/>
      <c r="F82" s="69"/>
      <c r="G82" s="69"/>
      <c r="H82" s="69"/>
      <c r="I82" s="69"/>
      <c r="J82" s="69"/>
      <c r="K82" s="69"/>
      <c r="L82" s="69"/>
      <c r="M82" s="69"/>
      <c r="N82" s="69"/>
      <c r="O82" s="69"/>
      <c r="P82" s="100"/>
      <c r="AD82" s="1370"/>
      <c r="AE82" s="1370"/>
      <c r="AF82" s="1370"/>
      <c r="AG82" s="1370"/>
      <c r="AH82" s="1370"/>
      <c r="AI82" s="1370"/>
      <c r="AJ82" s="1370"/>
      <c r="AK82" s="1370"/>
      <c r="AL82" s="1370"/>
      <c r="AM82" s="1370"/>
      <c r="AN82" s="1370"/>
      <c r="AO82" s="1370"/>
      <c r="AP82" s="1370"/>
    </row>
    <row r="83" spans="1:42" x14ac:dyDescent="0.35">
      <c r="A83" s="99"/>
      <c r="B83" s="3231" t="s">
        <v>1040</v>
      </c>
      <c r="C83" s="3231"/>
      <c r="D83" s="3231"/>
      <c r="E83" s="69"/>
      <c r="F83" s="69"/>
      <c r="G83" s="69"/>
      <c r="H83" s="69"/>
      <c r="I83" s="69"/>
      <c r="J83" s="69"/>
      <c r="K83" s="69"/>
      <c r="L83" s="69"/>
      <c r="M83" s="69"/>
      <c r="N83" s="69"/>
      <c r="O83" s="69"/>
      <c r="P83" s="100"/>
      <c r="AD83" s="1370"/>
      <c r="AE83" s="1370"/>
      <c r="AF83" s="1370"/>
      <c r="AG83" s="1370"/>
      <c r="AH83" s="1370"/>
      <c r="AI83" s="1370"/>
      <c r="AJ83" s="1370"/>
      <c r="AK83" s="1370"/>
      <c r="AL83" s="1370"/>
      <c r="AM83" s="1370"/>
      <c r="AN83" s="1370"/>
      <c r="AO83" s="1370"/>
      <c r="AP83" s="1370"/>
    </row>
    <row r="84" spans="1:42" x14ac:dyDescent="0.35">
      <c r="A84" s="99"/>
      <c r="B84" s="3231" t="s">
        <v>2829</v>
      </c>
      <c r="C84" s="3231"/>
      <c r="D84" s="3231"/>
      <c r="E84" s="69"/>
      <c r="F84" s="69"/>
      <c r="G84" s="69"/>
      <c r="H84" s="69"/>
      <c r="I84" s="69"/>
      <c r="J84" s="69"/>
      <c r="K84" s="69"/>
      <c r="L84" s="69"/>
      <c r="M84" s="69"/>
      <c r="N84" s="69"/>
      <c r="O84" s="69"/>
      <c r="P84" s="100"/>
      <c r="AD84" s="1370"/>
      <c r="AE84" s="1370"/>
      <c r="AF84" s="1370"/>
      <c r="AG84" s="1370"/>
      <c r="AH84" s="1370"/>
      <c r="AI84" s="1370"/>
      <c r="AJ84" s="1370"/>
      <c r="AK84" s="1370"/>
      <c r="AL84" s="1370"/>
      <c r="AM84" s="1370"/>
      <c r="AN84" s="1370"/>
      <c r="AO84" s="1370"/>
      <c r="AP84" s="1370"/>
    </row>
    <row r="85" spans="1:42" x14ac:dyDescent="0.35">
      <c r="A85" s="99"/>
      <c r="B85" s="49"/>
      <c r="C85" s="49"/>
      <c r="D85" s="49"/>
      <c r="E85" s="69"/>
      <c r="F85" s="69"/>
      <c r="G85" s="69"/>
      <c r="H85" s="69"/>
      <c r="I85" s="69"/>
      <c r="J85" s="69"/>
      <c r="K85" s="69"/>
      <c r="L85" s="69"/>
      <c r="M85" s="69"/>
      <c r="N85" s="69"/>
      <c r="O85" s="69"/>
      <c r="P85" s="100"/>
      <c r="AD85" s="1370"/>
      <c r="AE85" s="1370"/>
      <c r="AF85" s="1370"/>
      <c r="AG85" s="1370"/>
      <c r="AH85" s="1370"/>
      <c r="AI85" s="1370"/>
      <c r="AJ85" s="1370"/>
      <c r="AK85" s="1370"/>
      <c r="AL85" s="1370"/>
      <c r="AM85" s="1370"/>
      <c r="AN85" s="1370"/>
      <c r="AO85" s="1370"/>
      <c r="AP85" s="1370"/>
    </row>
    <row r="86" spans="1:42" x14ac:dyDescent="0.35">
      <c r="A86" s="99"/>
      <c r="B86" s="69"/>
      <c r="C86" s="69"/>
      <c r="D86" s="69"/>
      <c r="E86" s="69"/>
      <c r="F86" s="69"/>
      <c r="G86" s="69"/>
      <c r="H86" s="69"/>
      <c r="I86" s="69"/>
      <c r="J86" s="69"/>
      <c r="K86" s="69"/>
      <c r="L86" s="69"/>
      <c r="M86" s="69"/>
      <c r="N86" s="69"/>
      <c r="O86" s="69"/>
      <c r="P86" s="100"/>
      <c r="AD86" s="1370"/>
      <c r="AE86" s="1370"/>
      <c r="AF86" s="1370"/>
      <c r="AG86" s="1370"/>
      <c r="AH86" s="1370"/>
      <c r="AI86" s="1370"/>
      <c r="AJ86" s="1370"/>
      <c r="AK86" s="1370"/>
      <c r="AL86" s="1370"/>
      <c r="AM86" s="1370"/>
      <c r="AN86" s="1370"/>
      <c r="AO86" s="1370"/>
      <c r="AP86" s="1370"/>
    </row>
    <row r="87" spans="1:42" x14ac:dyDescent="0.35">
      <c r="A87" s="99"/>
      <c r="B87" s="69"/>
      <c r="C87" s="69"/>
      <c r="D87" s="69"/>
      <c r="E87" s="69"/>
      <c r="F87" s="69"/>
      <c r="G87" s="69"/>
      <c r="H87" s="69"/>
      <c r="I87" s="69"/>
      <c r="J87" s="69"/>
      <c r="K87" s="69"/>
      <c r="L87" s="69"/>
      <c r="M87" s="69"/>
      <c r="N87" s="69"/>
      <c r="O87" s="69"/>
      <c r="P87" s="100"/>
      <c r="AD87" s="1370"/>
      <c r="AE87" s="1370"/>
      <c r="AF87" s="1370"/>
      <c r="AG87" s="1370"/>
      <c r="AH87" s="1370"/>
      <c r="AI87" s="1370"/>
      <c r="AJ87" s="1370"/>
      <c r="AK87" s="1370"/>
      <c r="AL87" s="1370"/>
      <c r="AM87" s="1370"/>
      <c r="AN87" s="1370"/>
      <c r="AO87" s="1370"/>
      <c r="AP87" s="1370"/>
    </row>
    <row r="88" spans="1:42" x14ac:dyDescent="0.35">
      <c r="A88" s="99"/>
      <c r="B88" s="69"/>
      <c r="C88" s="69"/>
      <c r="D88" s="69"/>
      <c r="E88" s="69"/>
      <c r="F88" s="69"/>
      <c r="G88" s="69"/>
      <c r="H88" s="69"/>
      <c r="I88" s="69"/>
      <c r="J88" s="69"/>
      <c r="K88" s="69"/>
      <c r="L88" s="69"/>
      <c r="M88" s="69"/>
      <c r="N88" s="69"/>
      <c r="O88" s="69"/>
      <c r="P88" s="100"/>
      <c r="AD88" s="1370"/>
      <c r="AE88" s="1370"/>
      <c r="AF88" s="1370"/>
      <c r="AG88" s="1370"/>
      <c r="AH88" s="1370"/>
      <c r="AI88" s="1370"/>
      <c r="AJ88" s="1370"/>
      <c r="AK88" s="1370"/>
      <c r="AL88" s="1370"/>
      <c r="AM88" s="1370"/>
      <c r="AN88" s="1370"/>
      <c r="AO88" s="1370"/>
      <c r="AP88" s="1370"/>
    </row>
    <row r="89" spans="1:42" x14ac:dyDescent="0.35">
      <c r="A89" s="99"/>
      <c r="B89" s="3220" t="s">
        <v>1038</v>
      </c>
      <c r="C89" s="3221"/>
      <c r="D89" s="69"/>
      <c r="E89" s="69"/>
      <c r="F89" s="69"/>
      <c r="G89" s="1392"/>
      <c r="H89" s="69"/>
      <c r="I89" s="69"/>
      <c r="J89" s="69"/>
      <c r="K89" s="69"/>
      <c r="L89" s="69"/>
      <c r="M89" s="69"/>
      <c r="N89" s="69"/>
      <c r="O89" s="69"/>
      <c r="P89" s="100"/>
      <c r="AD89" s="1370"/>
      <c r="AE89" s="1370"/>
      <c r="AF89" s="1370"/>
      <c r="AG89" s="1370"/>
      <c r="AH89" s="1370"/>
      <c r="AI89" s="1370"/>
      <c r="AJ89" s="1370"/>
      <c r="AK89" s="1370"/>
      <c r="AL89" s="1370"/>
      <c r="AM89" s="1370"/>
      <c r="AN89" s="1370"/>
      <c r="AO89" s="1370"/>
      <c r="AP89" s="1370"/>
    </row>
    <row r="90" spans="1:42" x14ac:dyDescent="0.35">
      <c r="A90" s="99"/>
      <c r="B90" s="49" t="s">
        <v>1072</v>
      </c>
      <c r="C90" s="61">
        <v>0.56000000000000005</v>
      </c>
      <c r="D90" s="69"/>
      <c r="E90" s="69"/>
      <c r="F90" s="69"/>
      <c r="G90" s="69"/>
      <c r="H90" s="69"/>
      <c r="I90" s="69"/>
      <c r="J90" s="69"/>
      <c r="K90" s="69"/>
      <c r="L90" s="69"/>
      <c r="M90" s="69"/>
      <c r="N90" s="69"/>
      <c r="O90" s="69"/>
      <c r="P90" s="100"/>
      <c r="AD90" s="1370"/>
      <c r="AE90" s="1370"/>
      <c r="AF90" s="1370"/>
      <c r="AG90" s="1370"/>
      <c r="AH90" s="1370"/>
      <c r="AI90" s="1370"/>
      <c r="AJ90" s="1370"/>
      <c r="AK90" s="1370"/>
      <c r="AL90" s="1370"/>
      <c r="AM90" s="1370"/>
      <c r="AN90" s="1370"/>
      <c r="AO90" s="1370"/>
      <c r="AP90" s="1370"/>
    </row>
    <row r="91" spans="1:42" x14ac:dyDescent="0.35">
      <c r="A91" s="99"/>
      <c r="B91" s="49" t="s">
        <v>2279</v>
      </c>
      <c r="C91" s="61">
        <v>0.56000000000000005</v>
      </c>
      <c r="D91" s="69"/>
      <c r="E91" s="69"/>
      <c r="F91" s="69"/>
      <c r="G91" s="69"/>
      <c r="H91" s="69"/>
      <c r="I91" s="69"/>
      <c r="J91" s="69"/>
      <c r="K91" s="69"/>
      <c r="L91" s="69"/>
      <c r="M91" s="69"/>
      <c r="N91" s="69"/>
      <c r="O91" s="69"/>
      <c r="P91" s="100"/>
      <c r="AD91" s="1370"/>
      <c r="AE91" s="1370"/>
      <c r="AF91" s="1370"/>
      <c r="AG91" s="1370"/>
      <c r="AH91" s="1370"/>
      <c r="AI91" s="1370"/>
      <c r="AJ91" s="1370"/>
      <c r="AK91" s="1370"/>
      <c r="AL91" s="1370"/>
      <c r="AM91" s="1370"/>
      <c r="AN91" s="1370"/>
      <c r="AO91" s="1370"/>
      <c r="AP91" s="1370"/>
    </row>
    <row r="92" spans="1:42" x14ac:dyDescent="0.35">
      <c r="A92" s="99"/>
      <c r="B92" s="49" t="s">
        <v>1632</v>
      </c>
      <c r="C92" s="61">
        <v>0.56000000000000005</v>
      </c>
      <c r="D92" s="69"/>
      <c r="E92" s="69"/>
      <c r="F92" s="69"/>
      <c r="G92" s="69"/>
      <c r="H92" s="69"/>
      <c r="I92" s="69"/>
      <c r="J92" s="69"/>
      <c r="K92" s="69"/>
      <c r="L92" s="69"/>
      <c r="M92" s="69"/>
      <c r="N92" s="69"/>
      <c r="O92" s="69"/>
      <c r="P92" s="100"/>
      <c r="AD92" s="1370"/>
      <c r="AE92" s="1370"/>
      <c r="AF92" s="1370"/>
      <c r="AG92" s="1370"/>
      <c r="AH92" s="1370"/>
      <c r="AI92" s="1370"/>
      <c r="AJ92" s="1370"/>
      <c r="AK92" s="1370"/>
      <c r="AL92" s="1370"/>
      <c r="AM92" s="1370"/>
      <c r="AN92" s="1370"/>
      <c r="AO92" s="1370"/>
      <c r="AP92" s="1370"/>
    </row>
    <row r="93" spans="1:42" x14ac:dyDescent="0.35">
      <c r="A93" s="99"/>
      <c r="B93" s="49" t="s">
        <v>1583</v>
      </c>
      <c r="C93" s="61">
        <v>1</v>
      </c>
      <c r="D93" s="69"/>
      <c r="E93" s="69"/>
      <c r="F93" s="69"/>
      <c r="G93" s="69"/>
      <c r="H93" s="69"/>
      <c r="I93" s="69"/>
      <c r="J93" s="69"/>
      <c r="K93" s="69"/>
      <c r="L93" s="69"/>
      <c r="M93" s="69"/>
      <c r="N93" s="69"/>
      <c r="O93" s="69"/>
      <c r="P93" s="100"/>
      <c r="AD93" s="1370"/>
      <c r="AE93" s="1370"/>
      <c r="AF93" s="1370"/>
      <c r="AG93" s="1370"/>
      <c r="AH93" s="1370"/>
      <c r="AI93" s="1370"/>
      <c r="AJ93" s="1370"/>
      <c r="AK93" s="1370"/>
      <c r="AL93" s="1370"/>
      <c r="AM93" s="1370"/>
      <c r="AN93" s="1370"/>
      <c r="AO93" s="1370"/>
      <c r="AP93" s="1370"/>
    </row>
    <row r="94" spans="1:42" x14ac:dyDescent="0.35">
      <c r="A94" s="99"/>
      <c r="B94" s="69"/>
      <c r="C94" s="69"/>
      <c r="D94" s="69"/>
      <c r="E94" s="69"/>
      <c r="F94" s="69"/>
      <c r="G94" s="69"/>
      <c r="H94" s="69"/>
      <c r="I94" s="69"/>
      <c r="J94" s="69"/>
      <c r="K94" s="69"/>
      <c r="L94" s="69"/>
      <c r="M94" s="69"/>
      <c r="N94" s="69"/>
      <c r="O94" s="69"/>
      <c r="P94" s="100"/>
      <c r="AD94" s="1370"/>
      <c r="AE94" s="1370"/>
      <c r="AF94" s="1370"/>
      <c r="AG94" s="1370"/>
      <c r="AH94" s="1370"/>
      <c r="AI94" s="1370"/>
      <c r="AJ94" s="1370"/>
      <c r="AK94" s="1370"/>
      <c r="AL94" s="1370"/>
      <c r="AM94" s="1370"/>
      <c r="AN94" s="1370"/>
      <c r="AO94" s="1370"/>
      <c r="AP94" s="1370"/>
    </row>
    <row r="95" spans="1:42" x14ac:dyDescent="0.35">
      <c r="A95" s="99"/>
      <c r="B95" s="3220" t="s">
        <v>2890</v>
      </c>
      <c r="C95" s="3221"/>
      <c r="D95" s="69"/>
      <c r="E95" s="69"/>
      <c r="F95" s="69"/>
      <c r="G95" s="69"/>
      <c r="H95" s="69"/>
      <c r="I95" s="69"/>
      <c r="J95" s="69"/>
      <c r="K95" s="69"/>
      <c r="L95" s="69"/>
      <c r="M95" s="69"/>
      <c r="N95" s="69"/>
      <c r="O95" s="69"/>
      <c r="P95" s="100"/>
      <c r="AD95" s="1370"/>
      <c r="AE95" s="1370"/>
      <c r="AF95" s="1370"/>
      <c r="AG95" s="1370"/>
      <c r="AH95" s="1370"/>
      <c r="AI95" s="1370"/>
      <c r="AJ95" s="1370"/>
      <c r="AK95" s="1370"/>
      <c r="AL95" s="1370"/>
      <c r="AM95" s="1370"/>
      <c r="AN95" s="1370"/>
      <c r="AO95" s="1370"/>
      <c r="AP95" s="1370"/>
    </row>
    <row r="96" spans="1:42" x14ac:dyDescent="0.35">
      <c r="A96" s="99"/>
      <c r="B96" s="49" t="s">
        <v>2829</v>
      </c>
      <c r="C96" s="49"/>
      <c r="D96" s="69"/>
      <c r="E96" s="69"/>
      <c r="F96" s="69"/>
      <c r="G96" s="69"/>
      <c r="H96" s="69"/>
      <c r="I96" s="69"/>
      <c r="J96" s="69"/>
      <c r="K96" s="69"/>
      <c r="L96" s="69"/>
      <c r="M96" s="69"/>
      <c r="N96" s="69"/>
      <c r="O96" s="69"/>
      <c r="P96" s="100"/>
      <c r="AD96" s="1370"/>
      <c r="AE96" s="1370"/>
      <c r="AF96" s="1370"/>
      <c r="AG96" s="1370"/>
      <c r="AH96" s="1370"/>
      <c r="AI96" s="1370"/>
      <c r="AJ96" s="1370"/>
      <c r="AK96" s="1370"/>
      <c r="AL96" s="1370"/>
      <c r="AM96" s="1370"/>
      <c r="AN96" s="1370"/>
      <c r="AO96" s="1370"/>
      <c r="AP96" s="1370"/>
    </row>
    <row r="97" spans="1:42" x14ac:dyDescent="0.35">
      <c r="A97" s="99"/>
      <c r="B97" s="49" t="s">
        <v>2891</v>
      </c>
      <c r="C97" s="49"/>
      <c r="D97" s="69"/>
      <c r="E97" s="69"/>
      <c r="F97" s="69"/>
      <c r="G97" s="69"/>
      <c r="H97" s="69"/>
      <c r="I97" s="69"/>
      <c r="J97" s="69"/>
      <c r="K97" s="69"/>
      <c r="L97" s="69"/>
      <c r="M97" s="69"/>
      <c r="N97" s="69"/>
      <c r="O97" s="69"/>
      <c r="P97" s="100"/>
      <c r="AD97" s="1370"/>
      <c r="AE97" s="1370"/>
      <c r="AF97" s="1370"/>
      <c r="AG97" s="1370"/>
      <c r="AH97" s="1370"/>
      <c r="AI97" s="1370"/>
      <c r="AJ97" s="1370"/>
      <c r="AK97" s="1370"/>
      <c r="AL97" s="1370"/>
      <c r="AM97" s="1370"/>
      <c r="AN97" s="1370"/>
      <c r="AO97" s="1370"/>
      <c r="AP97" s="1370"/>
    </row>
    <row r="98" spans="1:42" x14ac:dyDescent="0.35">
      <c r="A98" s="99"/>
      <c r="B98" s="69"/>
      <c r="C98" s="69"/>
      <c r="D98" s="69"/>
      <c r="E98" s="69"/>
      <c r="F98" s="69" t="s">
        <v>2592</v>
      </c>
      <c r="G98" s="69"/>
      <c r="H98" s="69"/>
      <c r="I98" s="69"/>
      <c r="J98" s="69"/>
      <c r="K98" s="69"/>
      <c r="L98" s="69"/>
      <c r="M98" s="69"/>
      <c r="N98" s="69"/>
      <c r="O98" s="69"/>
      <c r="P98" s="100"/>
      <c r="AD98" s="1370"/>
      <c r="AE98" s="1370"/>
      <c r="AF98" s="1370"/>
      <c r="AG98" s="1370"/>
      <c r="AH98" s="1370"/>
      <c r="AI98" s="1370"/>
      <c r="AJ98" s="1370"/>
      <c r="AK98" s="1370"/>
      <c r="AL98" s="1370"/>
      <c r="AM98" s="1370"/>
      <c r="AN98" s="1370"/>
      <c r="AO98" s="1370"/>
      <c r="AP98" s="1370"/>
    </row>
    <row r="99" spans="1:42" x14ac:dyDescent="0.35">
      <c r="A99" s="99"/>
      <c r="B99" s="3220" t="s">
        <v>2892</v>
      </c>
      <c r="C99" s="3221"/>
      <c r="D99" s="69"/>
      <c r="E99" s="69"/>
      <c r="F99" s="69"/>
      <c r="G99" s="69"/>
      <c r="H99" s="69"/>
      <c r="I99" s="69"/>
      <c r="J99" s="69"/>
      <c r="K99" s="69"/>
      <c r="L99" s="69"/>
      <c r="M99" s="69"/>
      <c r="N99" s="69"/>
      <c r="O99" s="69"/>
      <c r="P99" s="100"/>
      <c r="AD99" s="1370"/>
      <c r="AE99" s="1370"/>
      <c r="AF99" s="1370"/>
      <c r="AG99" s="1370"/>
      <c r="AH99" s="1370"/>
      <c r="AI99" s="1370"/>
      <c r="AJ99" s="1370"/>
      <c r="AK99" s="1370"/>
      <c r="AL99" s="1370"/>
      <c r="AM99" s="1370"/>
      <c r="AN99" s="1370"/>
      <c r="AO99" s="1370"/>
      <c r="AP99" s="1370"/>
    </row>
    <row r="100" spans="1:42" x14ac:dyDescent="0.35">
      <c r="A100" s="99"/>
      <c r="B100" s="1393" t="s">
        <v>2893</v>
      </c>
      <c r="C100" s="1393"/>
      <c r="D100" s="69"/>
      <c r="E100" s="69"/>
      <c r="F100" s="69"/>
      <c r="G100" s="69"/>
      <c r="H100" s="69"/>
      <c r="I100" s="69"/>
      <c r="J100" s="69"/>
      <c r="K100" s="69"/>
      <c r="L100" s="69"/>
      <c r="M100" s="69"/>
      <c r="N100" s="69"/>
      <c r="O100" s="69"/>
      <c r="P100" s="100"/>
    </row>
    <row r="101" spans="1:42" x14ac:dyDescent="0.35">
      <c r="A101" s="99"/>
      <c r="B101" s="49" t="s">
        <v>2825</v>
      </c>
      <c r="C101" s="49">
        <v>0</v>
      </c>
      <c r="D101" s="69"/>
      <c r="E101" s="69"/>
      <c r="F101" s="69"/>
      <c r="G101" s="69"/>
      <c r="H101" s="69"/>
      <c r="I101" s="69"/>
      <c r="J101" s="69"/>
      <c r="K101" s="69"/>
      <c r="L101" s="69"/>
      <c r="M101" s="69"/>
      <c r="N101" s="69"/>
      <c r="O101" s="69"/>
      <c r="P101" s="100"/>
    </row>
    <row r="102" spans="1:42" x14ac:dyDescent="0.35">
      <c r="A102" s="99"/>
      <c r="B102" s="49" t="s">
        <v>2826</v>
      </c>
      <c r="C102" s="49">
        <v>1</v>
      </c>
      <c r="D102" s="69"/>
      <c r="E102" s="69"/>
      <c r="F102" s="69"/>
      <c r="G102" s="69"/>
      <c r="H102" s="69"/>
      <c r="I102" s="69"/>
      <c r="J102" s="69"/>
      <c r="K102" s="69"/>
      <c r="L102" s="69"/>
      <c r="M102" s="69"/>
      <c r="N102" s="69"/>
      <c r="O102" s="69"/>
      <c r="P102" s="100"/>
    </row>
    <row r="103" spans="1:42" x14ac:dyDescent="0.35">
      <c r="A103" s="99"/>
      <c r="B103" s="69"/>
      <c r="C103" s="69"/>
      <c r="D103" s="69"/>
      <c r="E103" s="69"/>
      <c r="F103" s="69"/>
      <c r="G103" s="69"/>
      <c r="H103" s="69"/>
      <c r="I103" s="69"/>
      <c r="J103" s="69"/>
      <c r="K103" s="69"/>
      <c r="L103" s="69"/>
      <c r="M103" s="69"/>
      <c r="N103" s="69"/>
      <c r="O103" s="69"/>
      <c r="P103" s="100"/>
    </row>
    <row r="104" spans="1:42" x14ac:dyDescent="0.35">
      <c r="A104" s="99"/>
      <c r="B104" s="69"/>
      <c r="C104" s="69"/>
      <c r="D104" s="69"/>
      <c r="E104" s="69"/>
      <c r="F104" s="69"/>
      <c r="G104" s="69"/>
      <c r="H104" s="69"/>
      <c r="I104" s="69"/>
      <c r="J104" s="69"/>
      <c r="K104" s="69"/>
      <c r="L104" s="69"/>
      <c r="M104" s="69"/>
      <c r="N104" s="69"/>
      <c r="O104" s="69"/>
      <c r="P104" s="100"/>
    </row>
    <row r="105" spans="1:42" ht="15" thickBot="1" x14ac:dyDescent="0.4">
      <c r="A105" s="261"/>
      <c r="B105" s="161"/>
      <c r="C105" s="161"/>
      <c r="D105" s="161"/>
      <c r="E105" s="161"/>
      <c r="F105" s="161"/>
      <c r="G105" s="161"/>
      <c r="H105" s="161"/>
      <c r="I105" s="161"/>
      <c r="J105" s="161"/>
      <c r="K105" s="161"/>
      <c r="L105" s="161"/>
      <c r="M105" s="161"/>
      <c r="N105" s="161"/>
      <c r="O105" s="161"/>
      <c r="P105" s="163"/>
    </row>
  </sheetData>
  <customSheetViews>
    <customSheetView guid="{ECD6FE6A-9548-414E-B8AA-6998703C57E0}" scale="85" showPageBreaks="1" fitToPage="1" hiddenRows="1" view="pageBreakPreview">
      <pageMargins left="0" right="0" top="0" bottom="0" header="0" footer="0"/>
      <pageSetup scale="24" orientation="landscape" r:id="rId1"/>
    </customSheetView>
    <customSheetView guid="{11DE45F5-F478-4ED6-8DFF-12002C22A637}" scale="85" showPageBreaks="1" fitToPage="1" hiddenRows="1" view="pageBreakPreview">
      <pageMargins left="0" right="0" top="0" bottom="0" header="0" footer="0"/>
      <pageSetup scale="24" orientation="landscape" r:id="rId2"/>
    </customSheetView>
  </customSheetViews>
  <mergeCells count="14">
    <mergeCell ref="B95:C95"/>
    <mergeCell ref="B99:C99"/>
    <mergeCell ref="B49:D49"/>
    <mergeCell ref="C61:G61"/>
    <mergeCell ref="C72:G72"/>
    <mergeCell ref="B83:D83"/>
    <mergeCell ref="B84:D84"/>
    <mergeCell ref="AK2:AL2"/>
    <mergeCell ref="K62:L62"/>
    <mergeCell ref="T2:V2"/>
    <mergeCell ref="B89:C89"/>
    <mergeCell ref="W2:Y2"/>
    <mergeCell ref="Z2:AH2"/>
    <mergeCell ref="AI2:AJ2"/>
  </mergeCells>
  <dataValidations count="6">
    <dataValidation type="list" allowBlank="1" showInputMessage="1" showErrorMessage="1" sqref="H4:H12" xr:uid="{00000000-0002-0000-1E00-000000000000}">
      <formula1>$B$85:$B$86</formula1>
    </dataValidation>
    <dataValidation type="list" allowBlank="1" showInputMessage="1" showErrorMessage="1" sqref="N4:O12" xr:uid="{00000000-0002-0000-1E00-000001000000}">
      <formula1>$B$101:$B$102</formula1>
    </dataValidation>
    <dataValidation type="list" allowBlank="1" showInputMessage="1" showErrorMessage="1" sqref="J4:J12" xr:uid="{00000000-0002-0000-1E00-000002000000}">
      <formula1>$B$96:$B$97</formula1>
    </dataValidation>
    <dataValidation type="list" allowBlank="1" showInputMessage="1" showErrorMessage="1" sqref="M4:M11" xr:uid="{00000000-0002-0000-1E00-000003000000}">
      <formula1>$B$51:$B$58</formula1>
    </dataValidation>
    <dataValidation type="list" allowBlank="1" showInputMessage="1" showErrorMessage="1" sqref="D4:D12" xr:uid="{00000000-0002-0000-1E00-000004000000}">
      <formula1>MeasureType</formula1>
    </dataValidation>
    <dataValidation type="list" allowBlank="1" showInputMessage="1" showErrorMessage="1" sqref="E4:E12" xr:uid="{00000000-0002-0000-1E00-000005000000}">
      <formula1>PgTs1</formula1>
    </dataValidation>
  </dataValidations>
  <hyperlinks>
    <hyperlink ref="A1" location="'Measure-Level Adjustments'!Print_Titles" display="Measure Level Tab" xr:uid="{319C723E-CEE6-4E83-8E4B-3DFEADC463F5}"/>
  </hyperlinks>
  <pageMargins left="0.7" right="0.7" top="0.75" bottom="0.75" header="0.3" footer="0.3"/>
  <pageSetup scale="25"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6000000}">
          <x14:formula1>
            <xm:f>'T:\EEP Planning Models\Planning Tools\Measure_Data\Custom TRM V6\[Other_Commercial_TRMv6.xlsx]Lists'!#REF!</xm:f>
          </x14:formula1>
          <xm:sqref>L4:L12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pageSetUpPr fitToPage="1"/>
  </sheetPr>
  <dimension ref="A1:AB120"/>
  <sheetViews>
    <sheetView view="pageBreakPreview" topLeftCell="A58" zoomScaleNormal="100" zoomScaleSheetLayoutView="100" workbookViewId="0"/>
  </sheetViews>
  <sheetFormatPr defaultColWidth="9.1796875" defaultRowHeight="14.5" x14ac:dyDescent="0.35"/>
  <cols>
    <col min="1" max="1" width="22.26953125" customWidth="1"/>
    <col min="2" max="2" width="26.453125" customWidth="1"/>
    <col min="3" max="3" width="30.81640625" customWidth="1"/>
    <col min="4" max="4" width="20.26953125" customWidth="1"/>
    <col min="5" max="5" width="40.1796875" bestFit="1" customWidth="1"/>
    <col min="6" max="7" width="14.54296875" customWidth="1"/>
    <col min="8" max="8" width="23.54296875" customWidth="1"/>
    <col min="9" max="9" width="19.1796875" customWidth="1"/>
    <col min="10" max="10" width="23" customWidth="1"/>
    <col min="11" max="11" width="11.81640625" bestFit="1" customWidth="1"/>
    <col min="12" max="12" width="12.26953125" customWidth="1"/>
    <col min="13" max="13" width="14.7265625" bestFit="1" customWidth="1"/>
    <col min="14" max="14" width="6.453125" bestFit="1" customWidth="1"/>
    <col min="15" max="15" width="5.7265625" bestFit="1" customWidth="1"/>
    <col min="16" max="16" width="10.54296875" bestFit="1" customWidth="1"/>
    <col min="17" max="17" width="6.453125" bestFit="1" customWidth="1"/>
    <col min="18" max="18" width="5.7265625" bestFit="1" customWidth="1"/>
    <col min="19" max="19" width="11.54296875" bestFit="1" customWidth="1"/>
    <col min="20" max="20" width="11.26953125" bestFit="1" customWidth="1"/>
    <col min="21" max="21" width="11.81640625" bestFit="1" customWidth="1"/>
    <col min="22" max="22" width="12.54296875" customWidth="1"/>
    <col min="23" max="23" width="11.54296875" bestFit="1" customWidth="1"/>
    <col min="24" max="24" width="8.54296875" style="1370" bestFit="1" customWidth="1"/>
    <col min="25" max="25" width="9.54296875" bestFit="1" customWidth="1"/>
    <col min="26" max="26" width="12.7265625" customWidth="1"/>
    <col min="28" max="28" width="13" customWidth="1"/>
    <col min="29" max="29" width="11.26953125" customWidth="1"/>
  </cols>
  <sheetData>
    <row r="1" spans="1:28" x14ac:dyDescent="0.35">
      <c r="A1" s="1799" t="s">
        <v>1031</v>
      </c>
    </row>
    <row r="2" spans="1:28" ht="29" x14ac:dyDescent="0.35">
      <c r="A2" s="1396" t="s">
        <v>512</v>
      </c>
      <c r="B2" s="968" t="s">
        <v>2894</v>
      </c>
      <c r="C2" s="968"/>
      <c r="D2" s="968"/>
      <c r="E2" s="967"/>
      <c r="F2" s="967"/>
      <c r="G2" s="967"/>
      <c r="H2" s="967"/>
      <c r="I2" s="967"/>
      <c r="J2" s="967"/>
      <c r="K2" s="967"/>
      <c r="L2" s="967"/>
      <c r="M2" s="1043"/>
      <c r="N2" s="3010" t="s">
        <v>1032</v>
      </c>
      <c r="O2" s="3011"/>
      <c r="P2" s="3012"/>
      <c r="Q2" s="3010" t="s">
        <v>1033</v>
      </c>
      <c r="R2" s="3011"/>
      <c r="S2" s="3011"/>
      <c r="T2" s="3236" t="s">
        <v>1158</v>
      </c>
      <c r="U2" s="3237"/>
      <c r="V2" s="3237"/>
      <c r="W2" s="3237"/>
      <c r="X2" s="3237"/>
      <c r="Y2" s="3237"/>
      <c r="Z2" s="3237"/>
    </row>
    <row r="3" spans="1:28" ht="29" x14ac:dyDescent="0.35">
      <c r="A3" s="1428" t="s">
        <v>1035</v>
      </c>
      <c r="B3" s="1428" t="s">
        <v>155</v>
      </c>
      <c r="C3" s="1032" t="s">
        <v>1036</v>
      </c>
      <c r="D3" s="1032" t="s">
        <v>1037</v>
      </c>
      <c r="E3" s="968" t="s">
        <v>1038</v>
      </c>
      <c r="F3" s="968" t="s">
        <v>1039</v>
      </c>
      <c r="G3" s="968" t="s">
        <v>2808</v>
      </c>
      <c r="H3" s="968" t="s">
        <v>1868</v>
      </c>
      <c r="I3" s="1428" t="s">
        <v>1041</v>
      </c>
      <c r="J3" s="968" t="s">
        <v>2895</v>
      </c>
      <c r="K3" s="968" t="s">
        <v>1360</v>
      </c>
      <c r="L3" s="968" t="s">
        <v>1684</v>
      </c>
      <c r="M3" s="968" t="s">
        <v>2896</v>
      </c>
      <c r="N3" s="1429" t="s">
        <v>1044</v>
      </c>
      <c r="O3" s="1429" t="s">
        <v>1045</v>
      </c>
      <c r="P3" s="1430" t="s">
        <v>1046</v>
      </c>
      <c r="Q3" s="1429" t="s">
        <v>1044</v>
      </c>
      <c r="R3" s="1429" t="s">
        <v>1045</v>
      </c>
      <c r="S3" s="1431" t="s">
        <v>1046</v>
      </c>
      <c r="T3" s="1432" t="s">
        <v>2153</v>
      </c>
      <c r="U3" s="1433" t="s">
        <v>2897</v>
      </c>
      <c r="V3" s="1432" t="s">
        <v>2898</v>
      </c>
      <c r="W3" s="1432" t="s">
        <v>2899</v>
      </c>
      <c r="X3" s="1433" t="s">
        <v>2900</v>
      </c>
      <c r="Y3" s="1433" t="s">
        <v>2901</v>
      </c>
      <c r="Z3" s="1434" t="s">
        <v>2902</v>
      </c>
      <c r="AA3" s="146"/>
    </row>
    <row r="4" spans="1:28" ht="29" x14ac:dyDescent="0.35">
      <c r="A4" s="1047" t="s">
        <v>511</v>
      </c>
      <c r="B4" s="1047" t="str">
        <f>$B$2&amp;" - "&amp;K4</f>
        <v>Demand Controlled Ventilation - De-fault</v>
      </c>
      <c r="C4" s="1047" t="s">
        <v>510</v>
      </c>
      <c r="D4" s="1047" t="s">
        <v>1689</v>
      </c>
      <c r="E4" s="961" t="s">
        <v>1583</v>
      </c>
      <c r="F4" s="1399">
        <v>10</v>
      </c>
      <c r="G4" s="1400"/>
      <c r="H4" s="1400"/>
      <c r="I4" s="1400" t="s">
        <v>2903</v>
      </c>
      <c r="J4" s="1422">
        <f>+VLOOKUP(K4,$A$98:$C$117,2,FALSE)</f>
        <v>159673.33333333334</v>
      </c>
      <c r="K4" s="1407" t="s">
        <v>2904</v>
      </c>
      <c r="L4" s="1407" t="s">
        <v>1696</v>
      </c>
      <c r="M4" s="961">
        <f>+VLOOKUP(K4,$A$98:$C$117,3,FALSE)</f>
        <v>31.9</v>
      </c>
      <c r="N4" s="962"/>
      <c r="O4" s="1401"/>
      <c r="P4" s="1527">
        <f>+M4*Z4</f>
        <v>11212.849999999997</v>
      </c>
      <c r="Q4" s="962"/>
      <c r="R4" s="962"/>
      <c r="S4" s="1528">
        <f>P4*F4</f>
        <v>112128.49999999997</v>
      </c>
      <c r="T4" s="1424">
        <f>VLOOKUP(L4,[6]Lists!$L$9:$M$14,2,FALSE)</f>
        <v>7</v>
      </c>
      <c r="U4" s="1404">
        <f>VLOOKUP(K4,$B$40:$H$58,T4,FALSE)</f>
        <v>386</v>
      </c>
      <c r="V4" s="1425">
        <f>VLOOKUP(K4,$B$67:$H$85,T4,FALSE)</f>
        <v>70.299999999999983</v>
      </c>
      <c r="W4" s="1424">
        <f>+J4</f>
        <v>159673.33333333334</v>
      </c>
      <c r="X4" s="1404">
        <f>+$B$96</f>
        <v>5000</v>
      </c>
      <c r="Y4" s="1404">
        <f>+$B$16</f>
        <v>1000</v>
      </c>
      <c r="Z4" s="1426">
        <f>(X4/Y4*V4)</f>
        <v>351.49999999999989</v>
      </c>
      <c r="AB4" s="54"/>
    </row>
    <row r="5" spans="1:28" x14ac:dyDescent="0.35">
      <c r="A5" s="1047"/>
      <c r="B5" s="1047"/>
      <c r="C5" s="1047"/>
      <c r="D5" s="1047"/>
      <c r="E5" s="961"/>
      <c r="F5" s="1399"/>
      <c r="G5" s="1400"/>
      <c r="H5" s="1400"/>
      <c r="I5" s="1400"/>
      <c r="J5" s="1422"/>
      <c r="K5" s="1407"/>
      <c r="L5" s="1407"/>
      <c r="M5" s="961"/>
      <c r="N5" s="962"/>
      <c r="O5" s="1401"/>
      <c r="P5" s="1423"/>
      <c r="Q5" s="962"/>
      <c r="R5" s="962"/>
      <c r="S5" s="962"/>
      <c r="T5" s="1424"/>
      <c r="U5" s="1404"/>
      <c r="V5" s="1425"/>
      <c r="W5" s="1424"/>
      <c r="X5" s="1404"/>
      <c r="Y5" s="1404"/>
      <c r="Z5" s="1426"/>
      <c r="AA5" s="1412"/>
      <c r="AB5" s="1411"/>
    </row>
    <row r="6" spans="1:28" ht="15" thickBot="1" x14ac:dyDescent="0.4"/>
    <row r="7" spans="1:28" ht="15" thickBot="1" x14ac:dyDescent="0.4">
      <c r="A7" s="154" t="s">
        <v>1188</v>
      </c>
      <c r="B7" s="64"/>
      <c r="C7" s="64"/>
      <c r="D7" s="65"/>
    </row>
    <row r="8" spans="1:28" x14ac:dyDescent="0.35">
      <c r="A8" s="1427" t="s">
        <v>2905</v>
      </c>
      <c r="B8" s="69"/>
      <c r="C8" s="69"/>
      <c r="D8" s="100"/>
      <c r="X8"/>
    </row>
    <row r="9" spans="1:28" ht="15" thickBot="1" x14ac:dyDescent="0.4">
      <c r="A9" s="1413" t="s">
        <v>2906</v>
      </c>
      <c r="B9" s="161"/>
      <c r="C9" s="161"/>
      <c r="D9" s="163"/>
      <c r="X9"/>
    </row>
    <row r="10" spans="1:28" ht="15" thickBot="1" x14ac:dyDescent="0.4">
      <c r="A10" s="154" t="s">
        <v>1078</v>
      </c>
      <c r="B10" s="1556">
        <f>'Measure-Level Adjustments'!A2</f>
        <v>44592</v>
      </c>
      <c r="X10"/>
    </row>
    <row r="11" spans="1:28" ht="15" thickBot="1" x14ac:dyDescent="0.4">
      <c r="A11" s="154" t="s">
        <v>1079</v>
      </c>
      <c r="B11" s="1557" t="s">
        <v>513</v>
      </c>
      <c r="X11"/>
    </row>
    <row r="12" spans="1:28" ht="15" thickBot="1" x14ac:dyDescent="0.4">
      <c r="X12"/>
    </row>
    <row r="13" spans="1:28" ht="15" thickBot="1" x14ac:dyDescent="0.4">
      <c r="A13" s="637" t="s">
        <v>1285</v>
      </c>
      <c r="B13" s="638" t="s">
        <v>1199</v>
      </c>
      <c r="C13" s="639" t="s">
        <v>1082</v>
      </c>
      <c r="D13" s="383"/>
      <c r="E13" s="383"/>
      <c r="F13" s="383"/>
      <c r="G13" s="384"/>
      <c r="X13"/>
    </row>
    <row r="14" spans="1:28" x14ac:dyDescent="0.35">
      <c r="A14" s="379" t="s">
        <v>2907</v>
      </c>
      <c r="B14" s="380"/>
      <c r="C14" s="380" t="s">
        <v>2908</v>
      </c>
      <c r="D14" s="380"/>
      <c r="E14" s="380"/>
      <c r="F14" s="380"/>
      <c r="G14" s="381"/>
      <c r="X14"/>
    </row>
    <row r="15" spans="1:28" ht="30.75" customHeight="1" thickBot="1" x14ac:dyDescent="0.4">
      <c r="A15" s="261"/>
      <c r="B15" s="161"/>
      <c r="C15" s="161"/>
      <c r="D15" s="161"/>
      <c r="E15" s="161"/>
      <c r="F15" s="161"/>
      <c r="G15" s="163"/>
      <c r="X15"/>
    </row>
    <row r="16" spans="1:28" x14ac:dyDescent="0.35">
      <c r="A16" s="379" t="s">
        <v>2901</v>
      </c>
      <c r="B16" s="380">
        <v>1000</v>
      </c>
      <c r="C16" s="380" t="s">
        <v>2909</v>
      </c>
      <c r="D16" s="380"/>
      <c r="E16" s="380"/>
      <c r="F16" s="380"/>
      <c r="G16" s="381"/>
      <c r="X16"/>
    </row>
    <row r="17" spans="1:24" ht="15" thickBot="1" x14ac:dyDescent="0.4">
      <c r="A17" s="261"/>
      <c r="B17" s="161"/>
      <c r="C17" s="161"/>
      <c r="D17" s="161"/>
      <c r="E17" s="161"/>
      <c r="F17" s="161"/>
      <c r="G17" s="163"/>
      <c r="X17"/>
    </row>
    <row r="18" spans="1:24" ht="45" customHeight="1" x14ac:dyDescent="0.35">
      <c r="A18" s="379" t="s">
        <v>2898</v>
      </c>
      <c r="B18" s="380" t="s">
        <v>2910</v>
      </c>
      <c r="C18" s="380" t="s">
        <v>2911</v>
      </c>
      <c r="D18" s="380"/>
      <c r="E18" s="380"/>
      <c r="F18" s="380"/>
      <c r="G18" s="381"/>
      <c r="X18"/>
    </row>
    <row r="19" spans="1:24" ht="15" thickBot="1" x14ac:dyDescent="0.4">
      <c r="A19" s="261"/>
      <c r="B19" s="161"/>
      <c r="C19" s="161"/>
      <c r="D19" s="161"/>
      <c r="E19" s="161"/>
      <c r="F19" s="161"/>
      <c r="G19" s="163"/>
      <c r="X19"/>
    </row>
    <row r="20" spans="1:24" x14ac:dyDescent="0.35">
      <c r="A20" s="99" t="s">
        <v>2902</v>
      </c>
      <c r="B20" s="69"/>
      <c r="C20" s="1414" t="s">
        <v>2912</v>
      </c>
      <c r="D20" s="69"/>
      <c r="E20" s="69"/>
      <c r="F20" s="69"/>
      <c r="G20" s="100"/>
      <c r="X20"/>
    </row>
    <row r="21" spans="1:24" x14ac:dyDescent="0.35">
      <c r="A21" s="99"/>
      <c r="B21" s="69"/>
      <c r="C21" s="69" t="s">
        <v>2913</v>
      </c>
      <c r="D21" s="69"/>
      <c r="E21" s="69"/>
      <c r="F21" s="69"/>
      <c r="G21" s="100"/>
      <c r="X21"/>
    </row>
    <row r="22" spans="1:24" ht="30" customHeight="1" x14ac:dyDescent="0.35">
      <c r="A22" s="99"/>
      <c r="B22" s="69"/>
      <c r="C22" s="69" t="s">
        <v>2914</v>
      </c>
      <c r="D22" s="69"/>
      <c r="E22" s="69"/>
      <c r="F22" s="69"/>
      <c r="G22" s="100"/>
      <c r="X22"/>
    </row>
    <row r="23" spans="1:24" ht="15" thickBot="1" x14ac:dyDescent="0.4">
      <c r="A23" s="99"/>
      <c r="B23" s="69"/>
      <c r="C23" s="3000" t="s">
        <v>2915</v>
      </c>
      <c r="D23" s="3000"/>
      <c r="E23" s="3000"/>
      <c r="F23" s="3000"/>
      <c r="G23" s="3001"/>
      <c r="X23"/>
    </row>
    <row r="24" spans="1:24" x14ac:dyDescent="0.35">
      <c r="A24" s="379" t="s">
        <v>2896</v>
      </c>
      <c r="B24" s="380"/>
      <c r="C24" s="380" t="s">
        <v>2916</v>
      </c>
      <c r="D24" s="380"/>
      <c r="E24" s="380"/>
      <c r="F24" s="380"/>
      <c r="G24" s="381"/>
      <c r="X24"/>
    </row>
    <row r="25" spans="1:24" ht="39" customHeight="1" thickBot="1" x14ac:dyDescent="0.4">
      <c r="A25" s="261"/>
      <c r="B25" s="161"/>
      <c r="C25" s="161" t="s">
        <v>2917</v>
      </c>
      <c r="D25" s="161"/>
      <c r="E25" s="161"/>
      <c r="F25" s="161"/>
      <c r="G25" s="163"/>
      <c r="X25"/>
    </row>
    <row r="26" spans="1:24" ht="39" customHeight="1" x14ac:dyDescent="0.35">
      <c r="A26" s="379" t="s">
        <v>1431</v>
      </c>
      <c r="B26" s="380">
        <v>10</v>
      </c>
      <c r="C26" s="380" t="s">
        <v>2918</v>
      </c>
      <c r="D26" s="380"/>
      <c r="E26" s="380"/>
      <c r="F26" s="380"/>
      <c r="G26" s="381"/>
      <c r="X26"/>
    </row>
    <row r="27" spans="1:24" ht="39" customHeight="1" thickBot="1" x14ac:dyDescent="0.4">
      <c r="A27" s="261"/>
      <c r="B27" s="161"/>
      <c r="C27" s="161" t="s">
        <v>2919</v>
      </c>
      <c r="D27" s="161"/>
      <c r="E27" s="161"/>
      <c r="F27" s="161"/>
      <c r="G27" s="163"/>
      <c r="X27"/>
    </row>
    <row r="28" spans="1:24" x14ac:dyDescent="0.35">
      <c r="A28" s="379" t="s">
        <v>1040</v>
      </c>
      <c r="B28" s="380"/>
      <c r="C28" s="2998"/>
      <c r="D28" s="2998"/>
      <c r="E28" s="2998"/>
      <c r="F28" s="2998"/>
      <c r="G28" s="2999"/>
      <c r="X28"/>
    </row>
    <row r="29" spans="1:24" x14ac:dyDescent="0.35">
      <c r="A29" s="99"/>
      <c r="B29" s="69"/>
      <c r="C29" s="1366"/>
      <c r="D29" s="1366"/>
      <c r="E29" s="1366"/>
      <c r="F29" s="1366"/>
      <c r="G29" s="1367"/>
      <c r="X29"/>
    </row>
    <row r="30" spans="1:24" x14ac:dyDescent="0.35">
      <c r="A30" s="99"/>
      <c r="B30" s="69"/>
      <c r="C30" s="1366"/>
      <c r="D30" s="1366"/>
      <c r="E30" s="1366"/>
      <c r="F30" s="1366"/>
      <c r="G30" s="1367"/>
      <c r="X30"/>
    </row>
    <row r="31" spans="1:24" x14ac:dyDescent="0.35">
      <c r="A31" s="99"/>
      <c r="B31" s="69"/>
      <c r="C31" s="1366"/>
      <c r="D31" s="1366"/>
      <c r="E31" s="1366"/>
      <c r="F31" s="1366"/>
      <c r="G31" s="1367"/>
      <c r="X31"/>
    </row>
    <row r="32" spans="1:24" ht="15" thickBot="1" x14ac:dyDescent="0.4">
      <c r="A32" s="261"/>
      <c r="B32" s="161"/>
      <c r="C32" s="1202"/>
      <c r="D32" s="1364"/>
      <c r="E32" s="1364"/>
      <c r="F32" s="1364"/>
      <c r="G32" s="1365"/>
      <c r="X32"/>
    </row>
    <row r="33" spans="1:24" x14ac:dyDescent="0.35">
      <c r="X33"/>
    </row>
    <row r="34" spans="1:24" x14ac:dyDescent="0.35">
      <c r="X34"/>
    </row>
    <row r="35" spans="1:24" ht="15" thickBot="1" x14ac:dyDescent="0.4">
      <c r="C35" s="1415"/>
      <c r="D35" s="1415"/>
      <c r="E35" s="1415"/>
      <c r="F35" s="1415"/>
      <c r="G35" s="1415"/>
      <c r="X35"/>
    </row>
    <row r="36" spans="1:24" ht="15" thickBot="1" x14ac:dyDescent="0.4">
      <c r="A36" s="97" t="s">
        <v>1257</v>
      </c>
      <c r="B36" s="64"/>
      <c r="C36" s="64"/>
      <c r="D36" s="64"/>
      <c r="E36" s="64"/>
      <c r="F36" s="64"/>
      <c r="G36" s="64"/>
      <c r="H36" s="64"/>
      <c r="I36" s="64"/>
      <c r="J36" s="64"/>
      <c r="K36" s="64"/>
      <c r="L36" s="65"/>
      <c r="X36"/>
    </row>
    <row r="37" spans="1:24" ht="15.75" customHeight="1" x14ac:dyDescent="0.35">
      <c r="A37" s="99"/>
      <c r="B37" s="3238" t="s">
        <v>1360</v>
      </c>
      <c r="C37" s="3240" t="s">
        <v>2920</v>
      </c>
      <c r="D37" s="3241"/>
      <c r="E37" s="3241"/>
      <c r="F37" s="3241"/>
      <c r="G37" s="3241"/>
      <c r="H37" s="3241"/>
      <c r="I37" s="69"/>
      <c r="J37" s="69"/>
      <c r="K37" s="69"/>
      <c r="L37" s="100"/>
      <c r="X37"/>
    </row>
    <row r="38" spans="1:24" x14ac:dyDescent="0.35">
      <c r="A38" s="99"/>
      <c r="B38" s="3238"/>
      <c r="C38" s="3242" t="s">
        <v>1684</v>
      </c>
      <c r="D38" s="3243"/>
      <c r="E38" s="3243"/>
      <c r="F38" s="3243"/>
      <c r="G38" s="3243"/>
      <c r="H38" s="3243"/>
      <c r="I38" s="69"/>
      <c r="J38" s="69"/>
      <c r="K38" s="69"/>
      <c r="L38" s="100"/>
      <c r="X38"/>
    </row>
    <row r="39" spans="1:24" ht="15" thickBot="1" x14ac:dyDescent="0.4">
      <c r="A39" s="99"/>
      <c r="B39" s="3239"/>
      <c r="C39" s="1120" t="s">
        <v>2479</v>
      </c>
      <c r="D39" s="1120" t="s">
        <v>2921</v>
      </c>
      <c r="E39" s="1120" t="s">
        <v>2922</v>
      </c>
      <c r="F39" s="1120" t="s">
        <v>2482</v>
      </c>
      <c r="G39" s="1120" t="s">
        <v>2483</v>
      </c>
      <c r="H39" s="1368" t="s">
        <v>1696</v>
      </c>
      <c r="I39" s="69"/>
      <c r="J39" s="69"/>
      <c r="K39" s="69"/>
      <c r="L39" s="100"/>
      <c r="X39"/>
    </row>
    <row r="40" spans="1:24" ht="15" thickBot="1" x14ac:dyDescent="0.4">
      <c r="A40" s="99"/>
      <c r="B40" s="1462" t="s">
        <v>2923</v>
      </c>
      <c r="C40" s="1529">
        <v>285</v>
      </c>
      <c r="D40" s="1530">
        <v>289</v>
      </c>
      <c r="E40" s="1530">
        <v>299</v>
      </c>
      <c r="F40" s="1530">
        <v>298</v>
      </c>
      <c r="G40" s="1531">
        <v>305</v>
      </c>
      <c r="H40" s="1532">
        <f>C40*$K$40+D40*$K$41+E40*$K$42</f>
        <v>288.79999999999995</v>
      </c>
      <c r="I40" s="69"/>
      <c r="J40" s="1471" t="s">
        <v>1705</v>
      </c>
      <c r="K40" s="61">
        <v>0.3</v>
      </c>
      <c r="L40" s="100"/>
      <c r="X40"/>
    </row>
    <row r="41" spans="1:24" ht="15" thickBot="1" x14ac:dyDescent="0.4">
      <c r="A41" s="99"/>
      <c r="B41" s="1462" t="s">
        <v>2924</v>
      </c>
      <c r="C41" s="1533">
        <v>225</v>
      </c>
      <c r="D41" s="1534">
        <v>228</v>
      </c>
      <c r="E41" s="1534">
        <v>234</v>
      </c>
      <c r="F41" s="1534">
        <v>233</v>
      </c>
      <c r="G41" s="1535">
        <v>237</v>
      </c>
      <c r="H41" s="1532">
        <f t="shared" ref="H41:H55" si="0">C41*$K$40+D41*$K$41+E41*$K$42</f>
        <v>227.7</v>
      </c>
      <c r="I41" s="69"/>
      <c r="J41" s="1471" t="s">
        <v>1691</v>
      </c>
      <c r="K41" s="61">
        <v>0.6</v>
      </c>
      <c r="L41" s="100"/>
      <c r="X41"/>
    </row>
    <row r="42" spans="1:24" ht="15" thickBot="1" x14ac:dyDescent="0.4">
      <c r="A42" s="99"/>
      <c r="B42" s="1462" t="s">
        <v>2925</v>
      </c>
      <c r="C42" s="1533">
        <v>267</v>
      </c>
      <c r="D42" s="1534">
        <v>271</v>
      </c>
      <c r="E42" s="1534">
        <v>279</v>
      </c>
      <c r="F42" s="1534">
        <v>279</v>
      </c>
      <c r="G42" s="1535">
        <v>284</v>
      </c>
      <c r="H42" s="1532">
        <f t="shared" si="0"/>
        <v>270.59999999999997</v>
      </c>
      <c r="I42" s="69"/>
      <c r="J42" s="1471" t="s">
        <v>1706</v>
      </c>
      <c r="K42" s="61">
        <v>0.1</v>
      </c>
      <c r="L42" s="100"/>
      <c r="X42"/>
    </row>
    <row r="43" spans="1:24" ht="15" thickBot="1" x14ac:dyDescent="0.4">
      <c r="A43" s="99"/>
      <c r="B43" s="1462" t="s">
        <v>2504</v>
      </c>
      <c r="C43" s="1533">
        <v>763</v>
      </c>
      <c r="D43" s="1534">
        <v>780</v>
      </c>
      <c r="E43" s="1534">
        <v>886</v>
      </c>
      <c r="F43" s="1534">
        <v>889</v>
      </c>
      <c r="G43" s="1535">
        <v>910</v>
      </c>
      <c r="H43" s="1532">
        <f t="shared" si="0"/>
        <v>785.5</v>
      </c>
      <c r="I43" s="69"/>
      <c r="J43" s="69"/>
      <c r="K43" s="69"/>
      <c r="L43" s="100"/>
      <c r="X43"/>
    </row>
    <row r="44" spans="1:24" ht="15" thickBot="1" x14ac:dyDescent="0.4">
      <c r="A44" s="99"/>
      <c r="B44" s="1462" t="s">
        <v>1859</v>
      </c>
      <c r="C44" s="1533">
        <v>498</v>
      </c>
      <c r="D44" s="1534">
        <v>510</v>
      </c>
      <c r="E44" s="1534">
        <v>573</v>
      </c>
      <c r="F44" s="1534">
        <v>593</v>
      </c>
      <c r="G44" s="1535">
        <v>615</v>
      </c>
      <c r="H44" s="1532">
        <f t="shared" si="0"/>
        <v>512.69999999999993</v>
      </c>
      <c r="I44" s="69"/>
      <c r="J44" s="69"/>
      <c r="K44" s="69"/>
      <c r="L44" s="100"/>
      <c r="X44"/>
    </row>
    <row r="45" spans="1:24" ht="15" thickBot="1" x14ac:dyDescent="0.4">
      <c r="A45" s="99"/>
      <c r="B45" s="1462" t="s">
        <v>2399</v>
      </c>
      <c r="C45" s="1533">
        <v>388</v>
      </c>
      <c r="D45" s="1534">
        <v>393</v>
      </c>
      <c r="E45" s="1534">
        <v>410</v>
      </c>
      <c r="F45" s="1534">
        <v>415</v>
      </c>
      <c r="G45" s="1535">
        <v>423</v>
      </c>
      <c r="H45" s="1532">
        <f t="shared" si="0"/>
        <v>393.2</v>
      </c>
      <c r="I45" s="69"/>
      <c r="J45" s="69"/>
      <c r="K45" s="69"/>
      <c r="L45" s="100"/>
      <c r="X45"/>
    </row>
    <row r="46" spans="1:24" ht="15" thickBot="1" x14ac:dyDescent="0.4">
      <c r="A46" s="99"/>
      <c r="B46" s="1462" t="s">
        <v>2398</v>
      </c>
      <c r="C46" s="1533">
        <v>269</v>
      </c>
      <c r="D46" s="1534">
        <v>272</v>
      </c>
      <c r="E46" s="1534">
        <v>285</v>
      </c>
      <c r="F46" s="1534">
        <v>285</v>
      </c>
      <c r="G46" s="1535">
        <v>290</v>
      </c>
      <c r="H46" s="1532">
        <f t="shared" si="0"/>
        <v>272.39999999999998</v>
      </c>
      <c r="I46" s="69"/>
      <c r="J46" s="69"/>
      <c r="K46" s="69"/>
      <c r="L46" s="100"/>
      <c r="X46"/>
    </row>
    <row r="47" spans="1:24" ht="15" thickBot="1" x14ac:dyDescent="0.4">
      <c r="A47" s="99"/>
      <c r="B47" s="1462" t="s">
        <v>2487</v>
      </c>
      <c r="C47" s="1533">
        <v>355</v>
      </c>
      <c r="D47" s="1534">
        <v>357</v>
      </c>
      <c r="E47" s="1534">
        <v>368</v>
      </c>
      <c r="F47" s="1534">
        <v>370</v>
      </c>
      <c r="G47" s="1535">
        <v>374</v>
      </c>
      <c r="H47" s="1532">
        <f t="shared" si="0"/>
        <v>357.5</v>
      </c>
      <c r="I47" s="69"/>
      <c r="J47" s="69"/>
      <c r="K47" s="69"/>
      <c r="L47" s="100"/>
      <c r="X47"/>
    </row>
    <row r="48" spans="1:24" ht="15" thickBot="1" x14ac:dyDescent="0.4">
      <c r="A48" s="99"/>
      <c r="B48" s="1462" t="s">
        <v>1964</v>
      </c>
      <c r="C48" s="1533">
        <v>358</v>
      </c>
      <c r="D48" s="1534">
        <v>367</v>
      </c>
      <c r="E48" s="1534">
        <v>410</v>
      </c>
      <c r="F48" s="1534">
        <v>405</v>
      </c>
      <c r="G48" s="1535">
        <v>415</v>
      </c>
      <c r="H48" s="1532">
        <f t="shared" si="0"/>
        <v>368.59999999999997</v>
      </c>
      <c r="I48" s="69"/>
      <c r="J48" s="69"/>
      <c r="K48" s="69"/>
      <c r="L48" s="100"/>
      <c r="X48"/>
    </row>
    <row r="49" spans="1:24" ht="15" thickBot="1" x14ac:dyDescent="0.4">
      <c r="A49" s="99"/>
      <c r="B49" s="1462" t="s">
        <v>2394</v>
      </c>
      <c r="C49" s="1533">
        <v>350</v>
      </c>
      <c r="D49" s="1534">
        <v>359</v>
      </c>
      <c r="E49" s="1534">
        <v>401</v>
      </c>
      <c r="F49" s="1534">
        <v>396</v>
      </c>
      <c r="G49" s="1535">
        <v>406</v>
      </c>
      <c r="H49" s="1532">
        <f t="shared" si="0"/>
        <v>360.5</v>
      </c>
      <c r="I49" s="69"/>
      <c r="J49" s="69"/>
      <c r="K49" s="69"/>
      <c r="L49" s="100"/>
      <c r="X49"/>
    </row>
    <row r="50" spans="1:24" ht="15" thickBot="1" x14ac:dyDescent="0.4">
      <c r="A50" s="99"/>
      <c r="B50" s="1462" t="s">
        <v>2926</v>
      </c>
      <c r="C50" s="1533">
        <v>400</v>
      </c>
      <c r="D50" s="1534">
        <v>426</v>
      </c>
      <c r="E50" s="1534">
        <v>472</v>
      </c>
      <c r="F50" s="1534">
        <v>488</v>
      </c>
      <c r="G50" s="1535">
        <v>519</v>
      </c>
      <c r="H50" s="1532">
        <f t="shared" si="0"/>
        <v>422.8</v>
      </c>
      <c r="I50" s="69"/>
      <c r="J50" s="69"/>
      <c r="K50" s="69"/>
      <c r="L50" s="100"/>
      <c r="X50"/>
    </row>
    <row r="51" spans="1:24" ht="15" thickBot="1" x14ac:dyDescent="0.4">
      <c r="A51" s="99"/>
      <c r="B51" s="1462" t="s">
        <v>2391</v>
      </c>
      <c r="C51" s="1533">
        <v>349</v>
      </c>
      <c r="D51" s="1534">
        <v>354</v>
      </c>
      <c r="E51" s="1534">
        <v>389</v>
      </c>
      <c r="F51" s="1534">
        <v>392</v>
      </c>
      <c r="G51" s="1535">
        <v>398</v>
      </c>
      <c r="H51" s="1532">
        <f t="shared" si="0"/>
        <v>356</v>
      </c>
      <c r="I51" s="69"/>
      <c r="J51" s="69"/>
      <c r="K51" s="69"/>
      <c r="L51" s="100"/>
      <c r="X51"/>
    </row>
    <row r="52" spans="1:24" ht="15" thickBot="1" x14ac:dyDescent="0.4">
      <c r="A52" s="99"/>
      <c r="B52" s="1462" t="s">
        <v>2927</v>
      </c>
      <c r="C52" s="1533">
        <v>407</v>
      </c>
      <c r="D52" s="1534">
        <v>409</v>
      </c>
      <c r="E52" s="1534">
        <v>423</v>
      </c>
      <c r="F52" s="1534">
        <v>424</v>
      </c>
      <c r="G52" s="1535">
        <v>428</v>
      </c>
      <c r="H52" s="1532">
        <f t="shared" si="0"/>
        <v>409.8</v>
      </c>
      <c r="I52" s="69"/>
      <c r="J52" s="69"/>
      <c r="K52" s="69"/>
      <c r="L52" s="100"/>
      <c r="X52"/>
    </row>
    <row r="53" spans="1:24" ht="15" thickBot="1" x14ac:dyDescent="0.4">
      <c r="A53" s="99"/>
      <c r="B53" s="1462" t="s">
        <v>2928</v>
      </c>
      <c r="C53" s="1533">
        <v>175</v>
      </c>
      <c r="D53" s="1534">
        <v>177</v>
      </c>
      <c r="E53" s="1534">
        <v>183</v>
      </c>
      <c r="F53" s="1534">
        <v>248</v>
      </c>
      <c r="G53" s="1535">
        <v>185</v>
      </c>
      <c r="H53" s="1532">
        <f t="shared" si="0"/>
        <v>177</v>
      </c>
      <c r="I53" s="69"/>
      <c r="J53" s="69"/>
      <c r="K53" s="69"/>
      <c r="L53" s="100"/>
      <c r="X53"/>
    </row>
    <row r="54" spans="1:24" ht="15" thickBot="1" x14ac:dyDescent="0.4">
      <c r="A54" s="99"/>
      <c r="B54" s="1462" t="s">
        <v>2929</v>
      </c>
      <c r="C54" s="1533">
        <v>563</v>
      </c>
      <c r="D54" s="1534">
        <v>581</v>
      </c>
      <c r="E54" s="1534">
        <v>668</v>
      </c>
      <c r="F54" s="1534">
        <v>677</v>
      </c>
      <c r="G54" s="1535">
        <v>711</v>
      </c>
      <c r="H54" s="1532">
        <f t="shared" si="0"/>
        <v>584.29999999999995</v>
      </c>
      <c r="I54" s="69"/>
      <c r="J54" s="69"/>
      <c r="K54" s="69"/>
      <c r="L54" s="100"/>
      <c r="X54"/>
    </row>
    <row r="55" spans="1:24" ht="15" thickBot="1" x14ac:dyDescent="0.4">
      <c r="A55" s="99"/>
      <c r="B55" s="1462" t="s">
        <v>2904</v>
      </c>
      <c r="C55" s="1533">
        <v>377</v>
      </c>
      <c r="D55" s="1534">
        <v>385</v>
      </c>
      <c r="E55" s="1534">
        <v>419</v>
      </c>
      <c r="F55" s="1534">
        <v>426</v>
      </c>
      <c r="G55" s="1535">
        <v>433</v>
      </c>
      <c r="H55" s="1532">
        <f t="shared" si="0"/>
        <v>386</v>
      </c>
      <c r="I55" s="69"/>
      <c r="J55" s="69"/>
      <c r="K55" s="69"/>
      <c r="L55" s="100"/>
      <c r="X55"/>
    </row>
    <row r="56" spans="1:24" ht="15" thickBot="1" x14ac:dyDescent="0.4">
      <c r="A56" s="99"/>
      <c r="B56" s="1463" t="s">
        <v>2930</v>
      </c>
      <c r="C56" s="1464">
        <f>+AVERAGE(C40:C42)</f>
        <v>259</v>
      </c>
      <c r="D56" s="1465">
        <f>+AVERAGE(D40:D42)</f>
        <v>262.66666666666669</v>
      </c>
      <c r="E56" s="1465">
        <f>+AVERAGE(E40:E42)</f>
        <v>270.66666666666669</v>
      </c>
      <c r="F56" s="1465">
        <f>+AVERAGE(F40:F42)</f>
        <v>270</v>
      </c>
      <c r="G56" s="1466">
        <f>+AVERAGE(G40:G42)</f>
        <v>275.33333333333331</v>
      </c>
      <c r="H56" s="1467">
        <f>C56*$K$40+D56*$K$41+E56*$K$42</f>
        <v>262.36666666666667</v>
      </c>
      <c r="I56" s="69"/>
      <c r="J56" s="69"/>
      <c r="K56" s="69"/>
      <c r="L56" s="100"/>
      <c r="X56"/>
    </row>
    <row r="57" spans="1:24" ht="15" thickBot="1" x14ac:dyDescent="0.4">
      <c r="A57" s="99"/>
      <c r="B57" s="1468" t="s">
        <v>1961</v>
      </c>
      <c r="C57" s="1464">
        <f>+AVERAGE(C45:C46)</f>
        <v>328.5</v>
      </c>
      <c r="D57" s="1464">
        <f>+AVERAGE(D45:D46)</f>
        <v>332.5</v>
      </c>
      <c r="E57" s="1464">
        <f>+AVERAGE(E45:E46)</f>
        <v>347.5</v>
      </c>
      <c r="F57" s="1464">
        <f>+AVERAGE(F45:F46)</f>
        <v>350</v>
      </c>
      <c r="G57" s="1464">
        <f>+AVERAGE(G45:G46)</f>
        <v>356.5</v>
      </c>
      <c r="H57" s="1467">
        <f>C57*$K$40+D57*$K$41+E57*$K$42</f>
        <v>332.8</v>
      </c>
      <c r="I57" s="69"/>
      <c r="J57" s="69"/>
      <c r="K57" s="69"/>
      <c r="L57" s="100"/>
      <c r="X57"/>
    </row>
    <row r="58" spans="1:24" ht="15" thickBot="1" x14ac:dyDescent="0.4">
      <c r="A58" s="99"/>
      <c r="B58" s="1468" t="s">
        <v>2931</v>
      </c>
      <c r="C58" s="1464">
        <f>+AVERAGE(C48:C49)</f>
        <v>354</v>
      </c>
      <c r="D58" s="1464">
        <f>+AVERAGE(D48:D49)</f>
        <v>363</v>
      </c>
      <c r="E58" s="1464">
        <f>+AVERAGE(E48:E49)</f>
        <v>405.5</v>
      </c>
      <c r="F58" s="1464">
        <f>+AVERAGE(F48:F49)</f>
        <v>400.5</v>
      </c>
      <c r="G58" s="1464">
        <f>+AVERAGE(G48:G49)</f>
        <v>410.5</v>
      </c>
      <c r="H58" s="1467">
        <f>C58*$K$40+D58*$K$41+E58*$K$42</f>
        <v>364.55</v>
      </c>
      <c r="I58" s="69"/>
      <c r="J58" s="69"/>
      <c r="K58" s="69"/>
      <c r="L58" s="100"/>
      <c r="X58"/>
    </row>
    <row r="59" spans="1:24" ht="15" thickBot="1" x14ac:dyDescent="0.4">
      <c r="A59" s="99"/>
      <c r="B59" s="1468" t="s">
        <v>2932</v>
      </c>
      <c r="C59" s="1464">
        <f>+AVERAGE(C40,C44,C46,C47)</f>
        <v>351.75</v>
      </c>
      <c r="D59" s="1464">
        <f>+AVERAGE(D40,D44,D46,D47)</f>
        <v>357</v>
      </c>
      <c r="E59" s="1464">
        <f>+AVERAGE(E40,E44,E46,E47)</f>
        <v>381.25</v>
      </c>
      <c r="F59" s="1464">
        <f>+AVERAGE(F40,F44,F46,F47)</f>
        <v>386.5</v>
      </c>
      <c r="G59" s="1464">
        <f>+AVERAGE(G40,G44,G46,G47)</f>
        <v>396</v>
      </c>
      <c r="H59" s="1467">
        <f>C59*$K$40+D59*$K$41+E59*$K$42</f>
        <v>357.84999999999997</v>
      </c>
      <c r="I59" s="69"/>
      <c r="J59" s="69"/>
      <c r="K59" s="69"/>
      <c r="L59" s="100"/>
      <c r="X59"/>
    </row>
    <row r="60" spans="1:24" ht="15" thickBot="1" x14ac:dyDescent="0.4">
      <c r="A60" s="99"/>
      <c r="B60" s="1468" t="s">
        <v>2933</v>
      </c>
      <c r="C60" s="1464">
        <f>+C50</f>
        <v>400</v>
      </c>
      <c r="D60" s="1464">
        <f>+D50</f>
        <v>426</v>
      </c>
      <c r="E60" s="1464">
        <f>+E50</f>
        <v>472</v>
      </c>
      <c r="F60" s="1464">
        <f>+F50</f>
        <v>488</v>
      </c>
      <c r="G60" s="1464">
        <f>+G50</f>
        <v>519</v>
      </c>
      <c r="H60" s="1467">
        <f>C60*$K$40+D60*$K$41+E60*$K$42</f>
        <v>422.8</v>
      </c>
      <c r="I60" s="69"/>
      <c r="J60" s="69"/>
      <c r="K60" s="69"/>
      <c r="L60" s="100"/>
      <c r="X60"/>
    </row>
    <row r="61" spans="1:24" ht="15" thickBot="1" x14ac:dyDescent="0.4">
      <c r="A61" s="99"/>
      <c r="B61" s="1468" t="s">
        <v>2934</v>
      </c>
      <c r="C61" s="1464">
        <f t="shared" ref="C61:H61" si="1">+C58</f>
        <v>354</v>
      </c>
      <c r="D61" s="1464">
        <f t="shared" si="1"/>
        <v>363</v>
      </c>
      <c r="E61" s="1464">
        <f t="shared" si="1"/>
        <v>405.5</v>
      </c>
      <c r="F61" s="1464">
        <f t="shared" si="1"/>
        <v>400.5</v>
      </c>
      <c r="G61" s="1464">
        <f t="shared" si="1"/>
        <v>410.5</v>
      </c>
      <c r="H61" s="1467">
        <f t="shared" si="1"/>
        <v>364.55</v>
      </c>
      <c r="I61" s="69"/>
      <c r="J61" s="69"/>
      <c r="K61" s="69"/>
      <c r="L61" s="100"/>
      <c r="X61"/>
    </row>
    <row r="62" spans="1:24" x14ac:dyDescent="0.35">
      <c r="A62" s="99"/>
      <c r="B62" s="940"/>
      <c r="C62" s="1469"/>
      <c r="D62" s="1469"/>
      <c r="E62" s="1469"/>
      <c r="F62" s="1469"/>
      <c r="G62" s="1469"/>
      <c r="H62" s="1470"/>
      <c r="I62" s="69"/>
      <c r="J62" s="69"/>
      <c r="K62" s="69"/>
      <c r="L62" s="100"/>
      <c r="X62"/>
    </row>
    <row r="63" spans="1:24" x14ac:dyDescent="0.35">
      <c r="A63" s="99"/>
      <c r="B63" s="69"/>
      <c r="C63" s="69"/>
      <c r="D63" s="69"/>
      <c r="E63" s="69"/>
      <c r="F63" s="69"/>
      <c r="G63" s="69"/>
      <c r="H63" s="69"/>
      <c r="I63" s="69"/>
      <c r="J63" s="69"/>
      <c r="K63" s="69"/>
      <c r="L63" s="100"/>
      <c r="X63"/>
    </row>
    <row r="64" spans="1:24" ht="15" thickBot="1" x14ac:dyDescent="0.4">
      <c r="A64" s="99"/>
      <c r="B64" s="69"/>
      <c r="C64" s="69"/>
      <c r="D64" s="69"/>
      <c r="E64" s="69"/>
      <c r="F64" s="69"/>
      <c r="G64" s="69"/>
      <c r="H64" s="69"/>
      <c r="I64" s="69"/>
      <c r="J64" s="69"/>
      <c r="K64" s="69"/>
      <c r="L64" s="100"/>
      <c r="X64"/>
    </row>
    <row r="65" spans="1:12" ht="15.75" customHeight="1" x14ac:dyDescent="0.35">
      <c r="A65" s="99"/>
      <c r="B65" s="3232" t="s">
        <v>1360</v>
      </c>
      <c r="C65" s="3234" t="s">
        <v>2935</v>
      </c>
      <c r="D65" s="3235"/>
      <c r="E65" s="3235"/>
      <c r="F65" s="3235"/>
      <c r="G65" s="3235"/>
      <c r="H65" s="3235"/>
      <c r="I65" s="69"/>
      <c r="J65" s="69"/>
      <c r="K65" s="69"/>
      <c r="L65" s="100"/>
    </row>
    <row r="66" spans="1:12" ht="26.5" thickBot="1" x14ac:dyDescent="0.4">
      <c r="A66" s="99"/>
      <c r="B66" s="3233"/>
      <c r="C66" s="1416" t="s">
        <v>2479</v>
      </c>
      <c r="D66" s="1416" t="s">
        <v>2921</v>
      </c>
      <c r="E66" s="1416" t="s">
        <v>2922</v>
      </c>
      <c r="F66" s="1416" t="s">
        <v>2482</v>
      </c>
      <c r="G66" s="1416" t="s">
        <v>2483</v>
      </c>
      <c r="H66" s="1417" t="s">
        <v>1696</v>
      </c>
      <c r="I66" s="69"/>
      <c r="J66" s="69"/>
      <c r="K66" s="69"/>
      <c r="L66" s="100"/>
    </row>
    <row r="67" spans="1:12" ht="15" thickBot="1" x14ac:dyDescent="0.4">
      <c r="A67" s="99"/>
      <c r="B67" s="1462" t="s">
        <v>2923</v>
      </c>
      <c r="C67" s="1529">
        <v>30</v>
      </c>
      <c r="D67" s="1530">
        <v>26</v>
      </c>
      <c r="E67" s="1530">
        <v>23</v>
      </c>
      <c r="F67" s="1530">
        <v>22</v>
      </c>
      <c r="G67" s="1531">
        <v>19</v>
      </c>
      <c r="H67" s="1532">
        <f>C67*$K$40+D67*$K$41+E67*$K$42</f>
        <v>26.900000000000002</v>
      </c>
      <c r="I67" s="69"/>
      <c r="J67" s="69"/>
      <c r="K67" s="69"/>
      <c r="L67" s="100"/>
    </row>
    <row r="68" spans="1:12" ht="15" thickBot="1" x14ac:dyDescent="0.4">
      <c r="A68" s="99"/>
      <c r="B68" s="1462" t="s">
        <v>2924</v>
      </c>
      <c r="C68" s="1533">
        <v>20</v>
      </c>
      <c r="D68" s="1534">
        <v>18</v>
      </c>
      <c r="E68" s="1534">
        <v>16</v>
      </c>
      <c r="F68" s="1534">
        <v>15</v>
      </c>
      <c r="G68" s="1535">
        <v>13</v>
      </c>
      <c r="H68" s="1532">
        <f t="shared" ref="H68:H82" si="2">C68*$K$40+D68*$K$41+E68*$K$42</f>
        <v>18.399999999999999</v>
      </c>
      <c r="I68" s="69"/>
      <c r="J68" s="69"/>
      <c r="K68" s="69"/>
      <c r="L68" s="100"/>
    </row>
    <row r="69" spans="1:12" ht="15" thickBot="1" x14ac:dyDescent="0.4">
      <c r="A69" s="99"/>
      <c r="B69" s="1462" t="s">
        <v>2925</v>
      </c>
      <c r="C69" s="1533">
        <v>27</v>
      </c>
      <c r="D69" s="1534">
        <v>24</v>
      </c>
      <c r="E69" s="1534">
        <v>21</v>
      </c>
      <c r="F69" s="1534">
        <v>20</v>
      </c>
      <c r="G69" s="1535">
        <v>17</v>
      </c>
      <c r="H69" s="1532">
        <f t="shared" si="2"/>
        <v>24.6</v>
      </c>
      <c r="I69" s="69"/>
      <c r="J69" s="69"/>
      <c r="K69" s="69"/>
      <c r="L69" s="100"/>
    </row>
    <row r="70" spans="1:12" ht="15" thickBot="1" x14ac:dyDescent="0.4">
      <c r="A70" s="99"/>
      <c r="B70" s="1462" t="s">
        <v>2504</v>
      </c>
      <c r="C70" s="1533">
        <v>193</v>
      </c>
      <c r="D70" s="1534">
        <v>171</v>
      </c>
      <c r="E70" s="1534">
        <v>151</v>
      </c>
      <c r="F70" s="1534">
        <v>144</v>
      </c>
      <c r="G70" s="1535">
        <v>129</v>
      </c>
      <c r="H70" s="1532">
        <f t="shared" si="2"/>
        <v>175.6</v>
      </c>
      <c r="I70" s="69"/>
      <c r="J70" s="69"/>
      <c r="K70" s="69"/>
      <c r="L70" s="100"/>
    </row>
    <row r="71" spans="1:12" ht="15" thickBot="1" x14ac:dyDescent="0.4">
      <c r="A71" s="99"/>
      <c r="B71" s="1462" t="s">
        <v>1859</v>
      </c>
      <c r="C71" s="1533">
        <v>137</v>
      </c>
      <c r="D71" s="1534">
        <v>123</v>
      </c>
      <c r="E71" s="1534">
        <v>107</v>
      </c>
      <c r="F71" s="1534">
        <v>104</v>
      </c>
      <c r="G71" s="1535">
        <v>92</v>
      </c>
      <c r="H71" s="1532">
        <f t="shared" si="2"/>
        <v>125.60000000000001</v>
      </c>
      <c r="I71" s="69"/>
      <c r="J71" s="69"/>
      <c r="K71" s="69"/>
      <c r="L71" s="100"/>
    </row>
    <row r="72" spans="1:12" ht="15" thickBot="1" x14ac:dyDescent="0.4">
      <c r="A72" s="99"/>
      <c r="B72" s="1462" t="s">
        <v>2399</v>
      </c>
      <c r="C72" s="1533">
        <v>47</v>
      </c>
      <c r="D72" s="1534">
        <v>42</v>
      </c>
      <c r="E72" s="1534">
        <v>37</v>
      </c>
      <c r="F72" s="1534">
        <v>36</v>
      </c>
      <c r="G72" s="1535">
        <v>32</v>
      </c>
      <c r="H72" s="1532">
        <f t="shared" si="2"/>
        <v>43</v>
      </c>
      <c r="I72" s="69"/>
      <c r="J72" s="69"/>
      <c r="K72" s="69"/>
      <c r="L72" s="100"/>
    </row>
    <row r="73" spans="1:12" ht="15" thickBot="1" x14ac:dyDescent="0.4">
      <c r="A73" s="99"/>
      <c r="B73" s="1462" t="s">
        <v>2398</v>
      </c>
      <c r="C73" s="1533">
        <v>31</v>
      </c>
      <c r="D73" s="1534">
        <v>28</v>
      </c>
      <c r="E73" s="1534">
        <v>25</v>
      </c>
      <c r="F73" s="1534">
        <v>24</v>
      </c>
      <c r="G73" s="1535">
        <v>21</v>
      </c>
      <c r="H73" s="1532">
        <f t="shared" si="2"/>
        <v>28.6</v>
      </c>
      <c r="I73" s="69"/>
      <c r="J73" s="69"/>
      <c r="K73" s="69"/>
      <c r="L73" s="100"/>
    </row>
    <row r="74" spans="1:12" ht="15" thickBot="1" x14ac:dyDescent="0.4">
      <c r="A74" s="99"/>
      <c r="B74" s="1462" t="s">
        <v>2487</v>
      </c>
      <c r="C74" s="1533">
        <v>23</v>
      </c>
      <c r="D74" s="1534">
        <v>21</v>
      </c>
      <c r="E74" s="1534">
        <v>18</v>
      </c>
      <c r="F74" s="1534">
        <v>18</v>
      </c>
      <c r="G74" s="1535">
        <v>16</v>
      </c>
      <c r="H74" s="1532">
        <f t="shared" si="2"/>
        <v>21.3</v>
      </c>
      <c r="I74" s="69"/>
      <c r="J74" s="69"/>
      <c r="K74" s="69"/>
      <c r="L74" s="100"/>
    </row>
    <row r="75" spans="1:12" ht="15" thickBot="1" x14ac:dyDescent="0.4">
      <c r="A75" s="99"/>
      <c r="B75" s="1462" t="s">
        <v>1964</v>
      </c>
      <c r="C75" s="1533">
        <v>84</v>
      </c>
      <c r="D75" s="1534">
        <v>73</v>
      </c>
      <c r="E75" s="1534">
        <v>65</v>
      </c>
      <c r="F75" s="1534">
        <v>61</v>
      </c>
      <c r="G75" s="1535">
        <v>53</v>
      </c>
      <c r="H75" s="1532">
        <f t="shared" si="2"/>
        <v>75.5</v>
      </c>
      <c r="I75" s="69"/>
      <c r="J75" s="69"/>
      <c r="K75" s="69"/>
      <c r="L75" s="100"/>
    </row>
    <row r="76" spans="1:12" ht="15" thickBot="1" x14ac:dyDescent="0.4">
      <c r="A76" s="99"/>
      <c r="B76" s="1463" t="s">
        <v>2394</v>
      </c>
      <c r="C76" s="1533">
        <v>82</v>
      </c>
      <c r="D76" s="1534">
        <v>71</v>
      </c>
      <c r="E76" s="1534">
        <v>63</v>
      </c>
      <c r="F76" s="1534">
        <v>59</v>
      </c>
      <c r="G76" s="1535">
        <v>52</v>
      </c>
      <c r="H76" s="1532">
        <f t="shared" si="2"/>
        <v>73.5</v>
      </c>
      <c r="I76" s="69"/>
      <c r="J76" s="69"/>
      <c r="K76" s="69"/>
      <c r="L76" s="100"/>
    </row>
    <row r="77" spans="1:12" ht="15" thickBot="1" x14ac:dyDescent="0.4">
      <c r="A77" s="99"/>
      <c r="B77" s="1463" t="s">
        <v>2926</v>
      </c>
      <c r="C77" s="1533">
        <v>162</v>
      </c>
      <c r="D77" s="1534">
        <v>143</v>
      </c>
      <c r="E77" s="1534">
        <v>125</v>
      </c>
      <c r="F77" s="1534">
        <v>121</v>
      </c>
      <c r="G77" s="1535">
        <v>102</v>
      </c>
      <c r="H77" s="1532">
        <f t="shared" si="2"/>
        <v>146.9</v>
      </c>
      <c r="I77" s="69"/>
      <c r="J77" s="69"/>
      <c r="K77" s="69"/>
      <c r="L77" s="100"/>
    </row>
    <row r="78" spans="1:12" ht="15" thickBot="1" x14ac:dyDescent="0.4">
      <c r="A78" s="99"/>
      <c r="B78" s="1463" t="s">
        <v>2391</v>
      </c>
      <c r="C78" s="1533">
        <v>57</v>
      </c>
      <c r="D78" s="1534">
        <v>51</v>
      </c>
      <c r="E78" s="1534">
        <v>45</v>
      </c>
      <c r="F78" s="1534">
        <v>43</v>
      </c>
      <c r="G78" s="1535">
        <v>38</v>
      </c>
      <c r="H78" s="1532">
        <f t="shared" si="2"/>
        <v>52.199999999999996</v>
      </c>
      <c r="I78" s="69"/>
      <c r="J78" s="69"/>
      <c r="K78" s="69"/>
      <c r="L78" s="100"/>
    </row>
    <row r="79" spans="1:12" ht="15" thickBot="1" x14ac:dyDescent="0.4">
      <c r="A79" s="99"/>
      <c r="B79" s="1463" t="s">
        <v>2927</v>
      </c>
      <c r="C79" s="1533">
        <v>26</v>
      </c>
      <c r="D79" s="1534">
        <v>23</v>
      </c>
      <c r="E79" s="1534">
        <v>20</v>
      </c>
      <c r="F79" s="1534">
        <v>20</v>
      </c>
      <c r="G79" s="1535">
        <v>17</v>
      </c>
      <c r="H79" s="1532">
        <f t="shared" si="2"/>
        <v>23.599999999999998</v>
      </c>
      <c r="I79" s="69"/>
      <c r="J79" s="69"/>
      <c r="K79" s="69"/>
      <c r="L79" s="100"/>
    </row>
    <row r="80" spans="1:12" ht="15" thickBot="1" x14ac:dyDescent="0.4">
      <c r="A80" s="99"/>
      <c r="B80" s="1463" t="s">
        <v>2928</v>
      </c>
      <c r="C80" s="1533">
        <v>17</v>
      </c>
      <c r="D80" s="1534">
        <v>15</v>
      </c>
      <c r="E80" s="1534">
        <v>13</v>
      </c>
      <c r="F80" s="1534">
        <v>22</v>
      </c>
      <c r="G80" s="1535">
        <v>11</v>
      </c>
      <c r="H80" s="1532">
        <f t="shared" si="2"/>
        <v>15.4</v>
      </c>
      <c r="I80" s="69"/>
      <c r="J80" s="69"/>
      <c r="K80" s="69"/>
      <c r="L80" s="100"/>
    </row>
    <row r="81" spans="1:12" ht="15" thickBot="1" x14ac:dyDescent="0.4">
      <c r="A81" s="99"/>
      <c r="B81" s="1463" t="s">
        <v>2929</v>
      </c>
      <c r="C81" s="1533">
        <v>227</v>
      </c>
      <c r="D81" s="1534">
        <v>200</v>
      </c>
      <c r="E81" s="1534">
        <v>181</v>
      </c>
      <c r="F81" s="1534">
        <v>176</v>
      </c>
      <c r="G81" s="1535">
        <v>155</v>
      </c>
      <c r="H81" s="1532">
        <f t="shared" si="2"/>
        <v>206.2</v>
      </c>
      <c r="I81" s="69"/>
      <c r="J81" s="69"/>
      <c r="K81" s="69"/>
      <c r="L81" s="100"/>
    </row>
    <row r="82" spans="1:12" ht="15" thickBot="1" x14ac:dyDescent="0.4">
      <c r="A82" s="99"/>
      <c r="B82" s="1463" t="s">
        <v>2904</v>
      </c>
      <c r="C82" s="1533">
        <v>78</v>
      </c>
      <c r="D82" s="1534">
        <v>68</v>
      </c>
      <c r="E82" s="1534">
        <v>61</v>
      </c>
      <c r="F82" s="1534">
        <v>59</v>
      </c>
      <c r="G82" s="1535">
        <v>51</v>
      </c>
      <c r="H82" s="1532">
        <f t="shared" si="2"/>
        <v>70.299999999999983</v>
      </c>
      <c r="I82" s="1472"/>
      <c r="J82" s="69"/>
      <c r="K82" s="69"/>
      <c r="L82" s="100"/>
    </row>
    <row r="83" spans="1:12" ht="15" thickBot="1" x14ac:dyDescent="0.4">
      <c r="A83" s="99"/>
      <c r="B83" s="1463" t="s">
        <v>2930</v>
      </c>
      <c r="C83" s="1464">
        <f>+AVERAGE(C67:C69)</f>
        <v>25.666666666666668</v>
      </c>
      <c r="D83" s="1465">
        <f>+AVERAGE(D67:D69)</f>
        <v>22.666666666666668</v>
      </c>
      <c r="E83" s="1465">
        <f>+AVERAGE(E67:E69)</f>
        <v>20</v>
      </c>
      <c r="F83" s="1465">
        <f>+AVERAGE(F67:F69)</f>
        <v>19</v>
      </c>
      <c r="G83" s="1466">
        <f>+AVERAGE(G67:G69)</f>
        <v>16.333333333333332</v>
      </c>
      <c r="H83" s="1467">
        <f>C83*$K$40+D83*$K$41+E83*$K$42</f>
        <v>23.3</v>
      </c>
      <c r="I83" s="1469"/>
      <c r="J83" s="69"/>
      <c r="K83" s="69"/>
      <c r="L83" s="100"/>
    </row>
    <row r="84" spans="1:12" ht="15" thickBot="1" x14ac:dyDescent="0.4">
      <c r="A84" s="99"/>
      <c r="B84" s="1468" t="s">
        <v>1961</v>
      </c>
      <c r="C84" s="1464">
        <f>+AVERAGE(C72:C73)</f>
        <v>39</v>
      </c>
      <c r="D84" s="1464">
        <f>+AVERAGE(D72:D73)</f>
        <v>35</v>
      </c>
      <c r="E84" s="1464">
        <f>+AVERAGE(E72:E73)</f>
        <v>31</v>
      </c>
      <c r="F84" s="1464">
        <f>+AVERAGE(F72:F73)</f>
        <v>30</v>
      </c>
      <c r="G84" s="1464">
        <f>+AVERAGE(G72:G73)</f>
        <v>26.5</v>
      </c>
      <c r="H84" s="1467">
        <f>C84*$K$40+D84*$K$41+E84*$K$42</f>
        <v>35.800000000000004</v>
      </c>
      <c r="I84" s="1469"/>
      <c r="J84" s="69"/>
      <c r="K84" s="69"/>
      <c r="L84" s="100"/>
    </row>
    <row r="85" spans="1:12" ht="15" thickBot="1" x14ac:dyDescent="0.4">
      <c r="A85" s="99"/>
      <c r="B85" s="1468" t="s">
        <v>2931</v>
      </c>
      <c r="C85" s="1464">
        <f>+AVERAGE(C75:C76)</f>
        <v>83</v>
      </c>
      <c r="D85" s="1464">
        <f>+AVERAGE(D75:D76)</f>
        <v>72</v>
      </c>
      <c r="E85" s="1464">
        <f>+AVERAGE(E75:E76)</f>
        <v>64</v>
      </c>
      <c r="F85" s="1464">
        <f>+AVERAGE(F75:F76)</f>
        <v>60</v>
      </c>
      <c r="G85" s="1464">
        <f>+AVERAGE(G75:G76)</f>
        <v>52.5</v>
      </c>
      <c r="H85" s="1467">
        <f>C85*$K$40+D85*$K$41+E85*$K$42</f>
        <v>74.5</v>
      </c>
      <c r="I85" s="1469"/>
      <c r="J85" s="69"/>
      <c r="K85" s="69"/>
      <c r="L85" s="100"/>
    </row>
    <row r="86" spans="1:12" ht="15" thickBot="1" x14ac:dyDescent="0.4">
      <c r="A86" s="99"/>
      <c r="B86" s="1468" t="s">
        <v>2932</v>
      </c>
      <c r="C86" s="1464">
        <f>+AVERAGE(C67,C71,C73,C74)</f>
        <v>55.25</v>
      </c>
      <c r="D86" s="1464">
        <f>+AVERAGE(D67,D71,D73,D74)</f>
        <v>49.5</v>
      </c>
      <c r="E86" s="1464">
        <f>+AVERAGE(E67,E71,E73,E74)</f>
        <v>43.25</v>
      </c>
      <c r="F86" s="1464">
        <f>+AVERAGE(F67,F71,F73,F74)</f>
        <v>42</v>
      </c>
      <c r="G86" s="1464">
        <f>+AVERAGE(G67,G71,G73,G74)</f>
        <v>37</v>
      </c>
      <c r="H86" s="1467">
        <f>C86*$K$40+D86*$K$41+E86*$K$42</f>
        <v>50.6</v>
      </c>
      <c r="I86" s="1469"/>
      <c r="J86" s="69"/>
      <c r="K86" s="69"/>
      <c r="L86" s="100"/>
    </row>
    <row r="87" spans="1:12" ht="15" thickBot="1" x14ac:dyDescent="0.4">
      <c r="A87" s="99"/>
      <c r="B87" s="1468" t="s">
        <v>2933</v>
      </c>
      <c r="C87" s="1464">
        <f>+C77</f>
        <v>162</v>
      </c>
      <c r="D87" s="1464">
        <f>+D77</f>
        <v>143</v>
      </c>
      <c r="E87" s="1464">
        <f>+E77</f>
        <v>125</v>
      </c>
      <c r="F87" s="1464">
        <f>+F77</f>
        <v>121</v>
      </c>
      <c r="G87" s="1464">
        <f>+G77</f>
        <v>102</v>
      </c>
      <c r="H87" s="1467">
        <f>C87*$K$40+D87*$K$41+E87*$K$42</f>
        <v>146.9</v>
      </c>
      <c r="I87" s="1469"/>
      <c r="J87" s="69"/>
      <c r="K87" s="69"/>
      <c r="L87" s="100"/>
    </row>
    <row r="88" spans="1:12" ht="15" thickBot="1" x14ac:dyDescent="0.4">
      <c r="A88" s="99"/>
      <c r="B88" s="1468" t="s">
        <v>2934</v>
      </c>
      <c r="C88" s="1464">
        <f t="shared" ref="C88:H88" si="3">+C85</f>
        <v>83</v>
      </c>
      <c r="D88" s="1464">
        <f t="shared" si="3"/>
        <v>72</v>
      </c>
      <c r="E88" s="1464">
        <f t="shared" si="3"/>
        <v>64</v>
      </c>
      <c r="F88" s="1464">
        <f t="shared" si="3"/>
        <v>60</v>
      </c>
      <c r="G88" s="1464">
        <f t="shared" si="3"/>
        <v>52.5</v>
      </c>
      <c r="H88" s="1467">
        <f t="shared" si="3"/>
        <v>74.5</v>
      </c>
      <c r="I88" s="1469"/>
      <c r="J88" s="69"/>
      <c r="K88" s="69"/>
      <c r="L88" s="100"/>
    </row>
    <row r="89" spans="1:12" x14ac:dyDescent="0.35">
      <c r="A89" s="99"/>
      <c r="B89" s="1473"/>
      <c r="C89" s="1469"/>
      <c r="D89" s="1469"/>
      <c r="E89" s="1469"/>
      <c r="F89" s="1469"/>
      <c r="G89" s="1469"/>
      <c r="H89" s="1470"/>
      <c r="I89" s="1469"/>
      <c r="J89" s="69"/>
      <c r="K89" s="69"/>
      <c r="L89" s="100"/>
    </row>
    <row r="90" spans="1:12" x14ac:dyDescent="0.35">
      <c r="A90" s="99"/>
      <c r="B90" s="69"/>
      <c r="C90" s="69"/>
      <c r="D90" s="69"/>
      <c r="E90" s="69"/>
      <c r="F90" s="69"/>
      <c r="G90" s="69"/>
      <c r="H90" s="69"/>
      <c r="I90" s="69"/>
      <c r="J90" s="1146"/>
      <c r="K90" s="69"/>
      <c r="L90" s="100"/>
    </row>
    <row r="91" spans="1:12" ht="15" thickBot="1" x14ac:dyDescent="0.4">
      <c r="A91" s="261"/>
      <c r="B91" s="161"/>
      <c r="C91" s="161"/>
      <c r="D91" s="161"/>
      <c r="E91" s="161"/>
      <c r="F91" s="161"/>
      <c r="G91" s="161"/>
      <c r="H91" s="161"/>
      <c r="I91" s="161"/>
      <c r="J91" s="161"/>
      <c r="K91" s="161"/>
      <c r="L91" s="163"/>
    </row>
    <row r="94" spans="1:12" ht="15" thickBot="1" x14ac:dyDescent="0.4">
      <c r="A94" s="1248" t="s">
        <v>2936</v>
      </c>
      <c r="B94" s="1248"/>
      <c r="C94" s="1248"/>
    </row>
    <row r="95" spans="1:12" x14ac:dyDescent="0.35">
      <c r="A95" s="1418"/>
      <c r="B95" s="1419" t="s">
        <v>2937</v>
      </c>
    </row>
    <row r="96" spans="1:12" ht="15" thickBot="1" x14ac:dyDescent="0.4">
      <c r="A96" s="481" t="s">
        <v>2938</v>
      </c>
      <c r="B96" s="483">
        <v>5000</v>
      </c>
    </row>
    <row r="98" spans="1:5" ht="15" thickBot="1" x14ac:dyDescent="0.4">
      <c r="A98" s="1420" t="s">
        <v>1360</v>
      </c>
      <c r="B98" s="1421" t="s">
        <v>2939</v>
      </c>
      <c r="C98" s="1421" t="s">
        <v>2940</v>
      </c>
      <c r="D98" s="1421" t="s">
        <v>2941</v>
      </c>
      <c r="E98" s="1421" t="s">
        <v>1082</v>
      </c>
    </row>
    <row r="99" spans="1:5" ht="15" thickBot="1" x14ac:dyDescent="0.4">
      <c r="A99" s="1468" t="s">
        <v>2923</v>
      </c>
      <c r="B99" s="1474">
        <v>7500</v>
      </c>
      <c r="C99" s="1474">
        <f t="shared" ref="C99:C117" si="4">ROUND(B99/$B$96,1)</f>
        <v>1.5</v>
      </c>
      <c r="D99" s="1474" t="str">
        <f>+IF(B99&lt;10000,"Yes",0)</f>
        <v>Yes</v>
      </c>
      <c r="E99" s="1474"/>
    </row>
    <row r="100" spans="1:5" ht="15" thickBot="1" x14ac:dyDescent="0.4">
      <c r="A100" s="1468" t="s">
        <v>2924</v>
      </c>
      <c r="B100" s="1474">
        <v>50000</v>
      </c>
      <c r="C100" s="1474">
        <f t="shared" si="4"/>
        <v>10</v>
      </c>
      <c r="D100" s="1474">
        <f t="shared" ref="D100:D117" si="5">+IF(B100&lt;10000,"Yes",0)</f>
        <v>0</v>
      </c>
      <c r="E100" s="1474"/>
    </row>
    <row r="101" spans="1:5" ht="15" thickBot="1" x14ac:dyDescent="0.4">
      <c r="A101" s="1468" t="s">
        <v>2925</v>
      </c>
      <c r="B101" s="1474">
        <v>537600</v>
      </c>
      <c r="C101" s="1474">
        <f t="shared" si="4"/>
        <v>107.5</v>
      </c>
      <c r="D101" s="1474">
        <f t="shared" si="5"/>
        <v>0</v>
      </c>
      <c r="E101" s="1474"/>
    </row>
    <row r="102" spans="1:5" ht="15" thickBot="1" x14ac:dyDescent="0.4">
      <c r="A102" s="1468" t="s">
        <v>2504</v>
      </c>
      <c r="B102" s="1474">
        <v>30000</v>
      </c>
      <c r="C102" s="1474">
        <f t="shared" si="4"/>
        <v>6</v>
      </c>
      <c r="D102" s="1474">
        <f t="shared" si="5"/>
        <v>0</v>
      </c>
      <c r="E102" s="1474"/>
    </row>
    <row r="103" spans="1:5" ht="15" thickBot="1" x14ac:dyDescent="0.4">
      <c r="A103" s="1468" t="s">
        <v>1859</v>
      </c>
      <c r="B103" s="1474">
        <v>7500</v>
      </c>
      <c r="C103" s="1474">
        <f t="shared" si="4"/>
        <v>1.5</v>
      </c>
      <c r="D103" s="1474" t="str">
        <f t="shared" si="5"/>
        <v>Yes</v>
      </c>
      <c r="E103" s="1474"/>
    </row>
    <row r="104" spans="1:5" ht="15" thickBot="1" x14ac:dyDescent="0.4">
      <c r="A104" s="1468" t="s">
        <v>2399</v>
      </c>
      <c r="B104" s="1474">
        <v>45000</v>
      </c>
      <c r="C104" s="1474">
        <f t="shared" si="4"/>
        <v>9</v>
      </c>
      <c r="D104" s="1474">
        <f t="shared" si="5"/>
        <v>0</v>
      </c>
      <c r="E104" s="1474"/>
    </row>
    <row r="105" spans="1:5" ht="15" thickBot="1" x14ac:dyDescent="0.4">
      <c r="A105" s="1468" t="s">
        <v>2398</v>
      </c>
      <c r="B105" s="1474">
        <v>3000</v>
      </c>
      <c r="C105" s="1474">
        <f t="shared" si="4"/>
        <v>0.6</v>
      </c>
      <c r="D105" s="1474" t="str">
        <f t="shared" si="5"/>
        <v>Yes</v>
      </c>
      <c r="E105" s="1474"/>
    </row>
    <row r="106" spans="1:5" ht="15" thickBot="1" x14ac:dyDescent="0.4">
      <c r="A106" s="1468" t="s">
        <v>2487</v>
      </c>
      <c r="B106" s="1474">
        <v>6000</v>
      </c>
      <c r="C106" s="1474">
        <f t="shared" si="4"/>
        <v>1.2</v>
      </c>
      <c r="D106" s="1474" t="str">
        <f t="shared" si="5"/>
        <v>Yes</v>
      </c>
      <c r="E106" s="1474"/>
    </row>
    <row r="107" spans="1:5" ht="15" thickBot="1" x14ac:dyDescent="0.4">
      <c r="A107" s="1468" t="s">
        <v>1964</v>
      </c>
      <c r="B107" s="1474">
        <v>75000</v>
      </c>
      <c r="C107" s="1474">
        <f t="shared" si="4"/>
        <v>15</v>
      </c>
      <c r="D107" s="1474">
        <f t="shared" si="5"/>
        <v>0</v>
      </c>
      <c r="E107" s="1474"/>
    </row>
    <row r="108" spans="1:5" ht="15" thickBot="1" x14ac:dyDescent="0.4">
      <c r="A108" s="1468" t="s">
        <v>2394</v>
      </c>
      <c r="B108" s="1474">
        <v>225000</v>
      </c>
      <c r="C108" s="1474">
        <f t="shared" si="4"/>
        <v>45</v>
      </c>
      <c r="D108" s="1474">
        <f t="shared" si="5"/>
        <v>0</v>
      </c>
      <c r="E108" s="1474"/>
    </row>
    <row r="109" spans="1:5" ht="15" thickBot="1" x14ac:dyDescent="0.4">
      <c r="A109" s="1468" t="s">
        <v>2926</v>
      </c>
      <c r="B109" s="1474">
        <v>1000000</v>
      </c>
      <c r="C109" s="1474">
        <f t="shared" si="4"/>
        <v>200</v>
      </c>
      <c r="D109" s="1474">
        <f t="shared" si="5"/>
        <v>0</v>
      </c>
      <c r="E109" s="1474"/>
    </row>
    <row r="110" spans="1:5" ht="15" thickBot="1" x14ac:dyDescent="0.4">
      <c r="A110" s="1468" t="s">
        <v>2391</v>
      </c>
      <c r="B110" s="1474">
        <v>67500</v>
      </c>
      <c r="C110" s="1474">
        <f t="shared" si="4"/>
        <v>13.5</v>
      </c>
      <c r="D110" s="1474">
        <f t="shared" si="5"/>
        <v>0</v>
      </c>
      <c r="E110" s="1474"/>
    </row>
    <row r="111" spans="1:5" ht="15" thickBot="1" x14ac:dyDescent="0.4">
      <c r="A111" s="1468" t="s">
        <v>2927</v>
      </c>
      <c r="B111" s="1474">
        <v>56000</v>
      </c>
      <c r="C111" s="1474">
        <f t="shared" si="4"/>
        <v>11.2</v>
      </c>
      <c r="D111" s="1474">
        <f t="shared" si="5"/>
        <v>0</v>
      </c>
      <c r="E111" s="1474"/>
    </row>
    <row r="112" spans="1:5" ht="15" thickBot="1" x14ac:dyDescent="0.4">
      <c r="A112" s="1468" t="s">
        <v>2928</v>
      </c>
      <c r="B112" s="1474">
        <v>250000</v>
      </c>
      <c r="C112" s="1474">
        <f t="shared" si="4"/>
        <v>50</v>
      </c>
      <c r="D112" s="1474">
        <f t="shared" si="5"/>
        <v>0</v>
      </c>
      <c r="E112" s="1474"/>
    </row>
    <row r="113" spans="1:5" ht="15" thickBot="1" x14ac:dyDescent="0.4">
      <c r="A113" s="1468" t="s">
        <v>2929</v>
      </c>
      <c r="B113" s="1474">
        <v>35000</v>
      </c>
      <c r="C113" s="1474">
        <f t="shared" si="4"/>
        <v>7</v>
      </c>
      <c r="D113" s="1474">
        <f t="shared" si="5"/>
        <v>0</v>
      </c>
      <c r="E113" s="1474"/>
    </row>
    <row r="114" spans="1:5" ht="15" thickBot="1" x14ac:dyDescent="0.4">
      <c r="A114" s="1468" t="s">
        <v>2904</v>
      </c>
      <c r="B114" s="1474">
        <f>AVERAGE(B99:B113)</f>
        <v>159673.33333333334</v>
      </c>
      <c r="C114" s="1474">
        <f t="shared" si="4"/>
        <v>31.9</v>
      </c>
      <c r="D114" s="1474">
        <f t="shared" si="5"/>
        <v>0</v>
      </c>
      <c r="E114" s="1474"/>
    </row>
    <row r="115" spans="1:5" ht="15" thickBot="1" x14ac:dyDescent="0.4">
      <c r="A115" s="1468" t="s">
        <v>2930</v>
      </c>
      <c r="B115" s="1474">
        <f>+AVERAGE(B99:B101)</f>
        <v>198366.66666666666</v>
      </c>
      <c r="C115" s="1474">
        <f t="shared" si="4"/>
        <v>39.700000000000003</v>
      </c>
      <c r="D115" s="1474">
        <f t="shared" si="5"/>
        <v>0</v>
      </c>
      <c r="E115" s="1474" t="s">
        <v>2942</v>
      </c>
    </row>
    <row r="116" spans="1:5" ht="15" thickBot="1" x14ac:dyDescent="0.4">
      <c r="A116" s="1468" t="s">
        <v>1961</v>
      </c>
      <c r="B116" s="1474">
        <f>+AVERAGE(B104:B105)</f>
        <v>24000</v>
      </c>
      <c r="C116" s="1474">
        <f t="shared" si="4"/>
        <v>4.8</v>
      </c>
      <c r="D116" s="1474">
        <f t="shared" si="5"/>
        <v>0</v>
      </c>
      <c r="E116" s="1474" t="s">
        <v>2943</v>
      </c>
    </row>
    <row r="117" spans="1:5" ht="15" thickBot="1" x14ac:dyDescent="0.4">
      <c r="A117" s="1468" t="s">
        <v>2931</v>
      </c>
      <c r="B117" s="1474">
        <f>+AVERAGE(B107:B108)</f>
        <v>150000</v>
      </c>
      <c r="C117" s="1474">
        <f t="shared" si="4"/>
        <v>30</v>
      </c>
      <c r="D117" s="1474">
        <f t="shared" si="5"/>
        <v>0</v>
      </c>
      <c r="E117" s="1474" t="s">
        <v>2944</v>
      </c>
    </row>
    <row r="118" spans="1:5" ht="15" thickBot="1" x14ac:dyDescent="0.4">
      <c r="A118" s="1468" t="s">
        <v>2932</v>
      </c>
      <c r="B118" s="1474">
        <f>+AVERAGEIFS(B99:B117,$D$99:$D$117,"Yes")</f>
        <v>6000</v>
      </c>
      <c r="C118" s="1474">
        <f>+AVERAGEIFS(C99:C117,$D$99:$D$117,"Yes")</f>
        <v>1.2</v>
      </c>
      <c r="D118" s="1474">
        <v>10000</v>
      </c>
      <c r="E118" s="1474" t="s">
        <v>2945</v>
      </c>
    </row>
    <row r="119" spans="1:5" ht="15" thickBot="1" x14ac:dyDescent="0.4">
      <c r="A119" s="1468" t="s">
        <v>2933</v>
      </c>
      <c r="B119" s="1474">
        <f>+B109/40</f>
        <v>25000</v>
      </c>
      <c r="C119" s="1474">
        <f>+C109/40</f>
        <v>5</v>
      </c>
      <c r="D119" s="1474"/>
      <c r="E119" s="1474"/>
    </row>
    <row r="120" spans="1:5" ht="15" thickBot="1" x14ac:dyDescent="0.4">
      <c r="A120" s="1468" t="s">
        <v>2934</v>
      </c>
      <c r="B120" s="1474">
        <f>+B117/2</f>
        <v>75000</v>
      </c>
      <c r="C120" s="1474">
        <f>+C117/2</f>
        <v>15</v>
      </c>
      <c r="D120" s="1474"/>
      <c r="E120" s="1474"/>
    </row>
  </sheetData>
  <customSheetViews>
    <customSheetView guid="{ECD6FE6A-9548-414E-B8AA-6998703C57E0}" showPageBreaks="1" fitToPage="1" view="pageBreakPreview" topLeftCell="F1">
      <pageMargins left="0" right="0" top="0" bottom="0" header="0" footer="0"/>
      <pageSetup scale="22" orientation="portrait" r:id="rId1"/>
    </customSheetView>
    <customSheetView guid="{11DE45F5-F478-4ED6-8DFF-12002C22A637}" showPageBreaks="1" fitToPage="1" view="pageBreakPreview" topLeftCell="F1">
      <pageMargins left="0" right="0" top="0" bottom="0" header="0" footer="0"/>
      <pageSetup scale="22" orientation="portrait" r:id="rId2"/>
    </customSheetView>
  </customSheetViews>
  <mergeCells count="10">
    <mergeCell ref="B65:B66"/>
    <mergeCell ref="C65:H65"/>
    <mergeCell ref="T2:Z2"/>
    <mergeCell ref="C23:G23"/>
    <mergeCell ref="C28:G28"/>
    <mergeCell ref="B37:B39"/>
    <mergeCell ref="C37:H37"/>
    <mergeCell ref="C38:H38"/>
    <mergeCell ref="N2:P2"/>
    <mergeCell ref="Q2:S2"/>
  </mergeCells>
  <dataValidations count="6">
    <dataValidation type="list" allowBlank="1" showInputMessage="1" showErrorMessage="1" sqref="K4" xr:uid="{00000000-0002-0000-1F00-000000000000}">
      <formula1>$A$99:$A$117</formula1>
    </dataValidation>
    <dataValidation type="list" allowBlank="1" showInputMessage="1" showErrorMessage="1" sqref="L5:M5 H4" xr:uid="{00000000-0002-0000-1F00-000001000000}">
      <formula1>#REF!</formula1>
    </dataValidation>
    <dataValidation type="list" allowBlank="1" showInputMessage="1" showErrorMessage="1" sqref="N5" xr:uid="{00000000-0002-0000-1F00-000002000000}">
      <formula1>Fuel2</formula1>
    </dataValidation>
    <dataValidation type="list" allowBlank="1" showInputMessage="1" showErrorMessage="1" sqref="O5" xr:uid="{00000000-0002-0000-1F00-000003000000}">
      <formula1>Climate1</formula1>
    </dataValidation>
    <dataValidation type="list" allowBlank="1" showInputMessage="1" showErrorMessage="1" sqref="D4" xr:uid="{00000000-0002-0000-1F00-000004000000}">
      <formula1>MeasureType</formula1>
    </dataValidation>
    <dataValidation type="list" allowBlank="1" showInputMessage="1" showErrorMessage="1" sqref="E4:E5" xr:uid="{00000000-0002-0000-1F00-000005000000}">
      <formula1>PgTs1</formula1>
    </dataValidation>
  </dataValidations>
  <hyperlinks>
    <hyperlink ref="A1" location="'Measure-Level Adjustments'!Print_Titles" display="Measure Level Tab" xr:uid="{A3AC0343-732F-4005-AD7F-2D14BEF20754}"/>
  </hyperlinks>
  <pageMargins left="0.7" right="0.7" top="0.75" bottom="0.75" header="0.3" footer="0.3"/>
  <pageSetup scale="22" orientation="portrait" r:id="rId3"/>
  <ignoredErrors>
    <ignoredError sqref="C56:G58" formulaRange="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6000000}">
          <x14:formula1>
            <xm:f>'http://sp.weccusa.org/sites/nicor/Nicor Workflow Automation/Version 3/[Inputs-HIM_Res_TRMv3 0.xlsx]List'!#REF!</xm:f>
          </x14:formula1>
          <xm:sqref>D5</xm:sqref>
        </x14:dataValidation>
        <x14:dataValidation type="list" allowBlank="1" showInputMessage="1" showErrorMessage="1" xr:uid="{00000000-0002-0000-1F00-000007000000}">
          <x14:formula1>
            <xm:f>'T:\EEP Planning Models\Planning Tools\Measure_Data\Custom TRM V6\[Other_Commercial_TRMv6.xlsx]Lists'!#REF!</xm:f>
          </x14:formula1>
          <xm:sqref>L4</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0BBB4-46E2-4049-BFEB-718852644791}">
  <sheetPr>
    <tabColor theme="4" tint="0.79998168889431442"/>
  </sheetPr>
  <dimension ref="A1:Z41"/>
  <sheetViews>
    <sheetView zoomScale="60" zoomScaleNormal="60" workbookViewId="0"/>
  </sheetViews>
  <sheetFormatPr defaultRowHeight="14.5" x14ac:dyDescent="0.35"/>
  <cols>
    <col min="1" max="1" width="11.54296875" customWidth="1"/>
    <col min="2" max="2" width="52.453125" customWidth="1"/>
    <col min="3" max="3" width="36.26953125" customWidth="1"/>
    <col min="4" max="4" width="20" bestFit="1" customWidth="1"/>
    <col min="5" max="5" width="12.7265625" customWidth="1"/>
    <col min="6" max="6" width="19.26953125" customWidth="1"/>
    <col min="7" max="7" width="11.54296875" customWidth="1"/>
    <col min="8" max="8" width="10.26953125" customWidth="1"/>
    <col min="10" max="10" width="10.7265625" bestFit="1" customWidth="1"/>
    <col min="12" max="12" width="12" bestFit="1" customWidth="1"/>
    <col min="15" max="16" width="12.54296875" customWidth="1"/>
    <col min="19" max="19" width="10" bestFit="1" customWidth="1"/>
    <col min="23" max="23" width="10" bestFit="1" customWidth="1"/>
  </cols>
  <sheetData>
    <row r="1" spans="1:26" x14ac:dyDescent="0.35">
      <c r="A1" s="1799" t="s">
        <v>1031</v>
      </c>
    </row>
    <row r="2" spans="1:26" x14ac:dyDescent="0.35">
      <c r="A2" s="1702"/>
      <c r="B2" s="2473" t="s">
        <v>2946</v>
      </c>
      <c r="C2" s="2473"/>
      <c r="D2" s="2473"/>
      <c r="E2" s="1704"/>
      <c r="F2" s="1704"/>
      <c r="G2" s="1704"/>
      <c r="H2" s="1704"/>
      <c r="I2" s="1704"/>
      <c r="J2" s="1704"/>
      <c r="K2" s="1704"/>
      <c r="L2" s="1704"/>
      <c r="M2" s="3153" t="s">
        <v>1032</v>
      </c>
      <c r="N2" s="3153"/>
      <c r="O2" s="3153"/>
      <c r="P2" s="3153" t="s">
        <v>1033</v>
      </c>
      <c r="Q2" s="3153"/>
      <c r="R2" s="3153"/>
      <c r="S2" s="3037" t="s">
        <v>1350</v>
      </c>
      <c r="T2" s="3038"/>
      <c r="U2" s="3038"/>
    </row>
    <row r="3" spans="1:26" s="199" customFormat="1" ht="58" x14ac:dyDescent="0.35">
      <c r="A3" s="1972" t="s">
        <v>1035</v>
      </c>
      <c r="B3" s="1822" t="s">
        <v>155</v>
      </c>
      <c r="C3" s="1822" t="s">
        <v>1036</v>
      </c>
      <c r="D3" s="1822" t="s">
        <v>1037</v>
      </c>
      <c r="E3" s="1971" t="s">
        <v>1039</v>
      </c>
      <c r="F3" s="1971" t="s">
        <v>2947</v>
      </c>
      <c r="G3" s="1971"/>
      <c r="H3" s="1971"/>
      <c r="I3" s="1971" t="s">
        <v>1703</v>
      </c>
      <c r="J3" s="1971" t="s">
        <v>1360</v>
      </c>
      <c r="K3" s="1971" t="s">
        <v>1041</v>
      </c>
      <c r="L3" s="1971" t="s">
        <v>1570</v>
      </c>
      <c r="M3" s="1971" t="s">
        <v>1044</v>
      </c>
      <c r="N3" s="1971" t="s">
        <v>1045</v>
      </c>
      <c r="O3" s="1971" t="s">
        <v>1046</v>
      </c>
      <c r="P3" s="1971" t="s">
        <v>1044</v>
      </c>
      <c r="Q3" s="1971" t="s">
        <v>1045</v>
      </c>
      <c r="R3" s="1970" t="s">
        <v>1046</v>
      </c>
      <c r="S3" s="1823" t="s">
        <v>1355</v>
      </c>
      <c r="T3" s="1823" t="s">
        <v>1083</v>
      </c>
      <c r="U3" s="1823" t="s">
        <v>1357</v>
      </c>
      <c r="V3" s="2309" t="s">
        <v>2153</v>
      </c>
      <c r="W3" s="2309" t="s">
        <v>2190</v>
      </c>
      <c r="X3" s="2474" t="s">
        <v>2206</v>
      </c>
      <c r="Y3" s="2309" t="s">
        <v>2155</v>
      </c>
      <c r="Z3" s="2309" t="s">
        <v>2948</v>
      </c>
    </row>
    <row r="4" spans="1:26" s="60" customFormat="1" ht="29" x14ac:dyDescent="0.35">
      <c r="A4" s="1796" t="s">
        <v>767</v>
      </c>
      <c r="B4" s="1797" t="str">
        <f>$B$2&amp;" - "&amp;ROUND(F4,0)</f>
        <v>Multi-Family Space Heating Steam Boiler Averaging Controls - 56576</v>
      </c>
      <c r="C4" s="2475" t="s">
        <v>766</v>
      </c>
      <c r="D4" s="1825" t="s">
        <v>2158</v>
      </c>
      <c r="E4" s="2475">
        <f>+$B$20</f>
        <v>20</v>
      </c>
      <c r="F4" s="2476">
        <v>56575.757575757576</v>
      </c>
      <c r="G4" s="2481"/>
      <c r="H4" s="2481"/>
      <c r="I4" s="2475" t="s">
        <v>1691</v>
      </c>
      <c r="J4" s="60" t="s">
        <v>2415</v>
      </c>
      <c r="K4" s="1961"/>
      <c r="L4" s="1961"/>
      <c r="M4" s="1961">
        <v>0</v>
      </c>
      <c r="N4" s="1961">
        <v>0</v>
      </c>
      <c r="O4" s="1961">
        <f>(W4*Y4*X4)/Z4</f>
        <v>50.408999999999999</v>
      </c>
      <c r="P4" s="1961">
        <f>M4*E4</f>
        <v>0</v>
      </c>
      <c r="Q4" s="1961">
        <f>N4</f>
        <v>0</v>
      </c>
      <c r="R4" s="2477">
        <f>O4*E4</f>
        <v>1008.18</v>
      </c>
      <c r="S4" s="2477"/>
      <c r="T4" s="2477"/>
      <c r="U4" s="2477"/>
      <c r="V4" s="2478">
        <f>VLOOKUP(I4,[5]Lists!$L$11:$M$16, 2, FALSE)</f>
        <v>3</v>
      </c>
      <c r="W4" s="2478">
        <f>F4</f>
        <v>56575.757575757576</v>
      </c>
      <c r="X4" s="2479">
        <v>0.05</v>
      </c>
      <c r="Y4" s="2480">
        <f>+VLOOKUP(J4,$A$28:$G$32,V4,FALSE)</f>
        <v>1782</v>
      </c>
      <c r="Z4" s="233">
        <f>+$B$18</f>
        <v>100000</v>
      </c>
    </row>
    <row r="6" spans="1:26" ht="15" thickBot="1" x14ac:dyDescent="0.4"/>
    <row r="7" spans="1:26" ht="15" thickBot="1" x14ac:dyDescent="0.4">
      <c r="A7" s="154" t="s">
        <v>1188</v>
      </c>
      <c r="B7" s="64"/>
      <c r="C7" s="64"/>
      <c r="D7" s="64"/>
      <c r="E7" s="65"/>
    </row>
    <row r="8" spans="1:26" x14ac:dyDescent="0.35">
      <c r="A8" s="2482" t="s">
        <v>2949</v>
      </c>
      <c r="B8" s="2483"/>
      <c r="C8" s="2484"/>
    </row>
    <row r="9" spans="1:26" ht="15" thickBot="1" x14ac:dyDescent="0.4"/>
    <row r="10" spans="1:26" ht="15" thickBot="1" x14ac:dyDescent="0.4">
      <c r="A10" s="74" t="s">
        <v>1285</v>
      </c>
      <c r="B10" s="75" t="s">
        <v>1199</v>
      </c>
      <c r="C10" s="76" t="s">
        <v>1082</v>
      </c>
      <c r="D10" s="64"/>
      <c r="E10" s="64"/>
      <c r="F10" s="64"/>
      <c r="G10" s="64"/>
      <c r="H10" s="64"/>
      <c r="I10" s="64"/>
      <c r="J10" s="62" t="s">
        <v>1389</v>
      </c>
      <c r="K10" s="335" t="s">
        <v>1390</v>
      </c>
    </row>
    <row r="11" spans="1:26" x14ac:dyDescent="0.35">
      <c r="A11" s="93" t="s">
        <v>2950</v>
      </c>
      <c r="B11" s="80"/>
      <c r="C11" s="80" t="s">
        <v>2951</v>
      </c>
      <c r="D11" s="80"/>
      <c r="E11" s="80"/>
      <c r="F11" s="80"/>
      <c r="G11" s="80"/>
      <c r="H11" s="80"/>
      <c r="I11" s="80"/>
      <c r="J11" s="93" t="s">
        <v>2952</v>
      </c>
      <c r="K11" s="81"/>
    </row>
    <row r="12" spans="1:26" ht="15" thickBot="1" x14ac:dyDescent="0.4">
      <c r="A12" s="88"/>
      <c r="B12" s="85"/>
      <c r="C12" s="85" t="s">
        <v>2953</v>
      </c>
      <c r="D12" s="85"/>
      <c r="E12" s="85"/>
      <c r="F12" s="85"/>
      <c r="G12" s="85"/>
      <c r="H12" s="85"/>
      <c r="I12" s="85"/>
      <c r="J12" s="88"/>
      <c r="K12" s="86"/>
    </row>
    <row r="13" spans="1:26" x14ac:dyDescent="0.35">
      <c r="A13" s="93" t="s">
        <v>2155</v>
      </c>
      <c r="B13" s="80"/>
      <c r="C13" s="80" t="s">
        <v>2954</v>
      </c>
      <c r="D13" s="80"/>
      <c r="E13" s="80"/>
      <c r="F13" s="80"/>
      <c r="G13" s="80"/>
      <c r="H13" s="80"/>
      <c r="I13" s="80"/>
      <c r="J13" s="93" t="s">
        <v>2955</v>
      </c>
      <c r="K13" s="81"/>
    </row>
    <row r="14" spans="1:26" ht="15" thickBot="1" x14ac:dyDescent="0.4">
      <c r="A14" s="88"/>
      <c r="B14" s="85"/>
      <c r="C14" s="85" t="s">
        <v>2956</v>
      </c>
      <c r="D14" s="85"/>
      <c r="E14" s="85"/>
      <c r="F14" s="85"/>
      <c r="G14" s="85"/>
      <c r="H14" s="85"/>
      <c r="I14" s="85"/>
      <c r="J14" s="88"/>
      <c r="K14" s="86"/>
    </row>
    <row r="15" spans="1:26" x14ac:dyDescent="0.35">
      <c r="A15" s="93" t="s">
        <v>2206</v>
      </c>
      <c r="B15" s="2485">
        <v>0.10199999999999999</v>
      </c>
      <c r="C15" s="80" t="s">
        <v>2957</v>
      </c>
      <c r="D15" s="80"/>
      <c r="E15" s="80"/>
      <c r="F15" s="80"/>
      <c r="G15" s="80"/>
      <c r="H15" s="80"/>
      <c r="I15" s="80"/>
      <c r="J15" s="93" t="s">
        <v>2952</v>
      </c>
      <c r="K15" s="81"/>
    </row>
    <row r="16" spans="1:26" x14ac:dyDescent="0.35">
      <c r="A16" s="254"/>
      <c r="C16" t="s">
        <v>2958</v>
      </c>
      <c r="J16" s="254"/>
      <c r="K16" s="253"/>
    </row>
    <row r="17" spans="1:22" ht="15" thickBot="1" x14ac:dyDescent="0.4">
      <c r="A17" s="254"/>
      <c r="B17" s="115">
        <f>B15-0.052</f>
        <v>4.9999999999999996E-2</v>
      </c>
      <c r="C17" t="s">
        <v>2959</v>
      </c>
      <c r="J17" s="254"/>
      <c r="K17" s="253"/>
    </row>
    <row r="18" spans="1:22" x14ac:dyDescent="0.35">
      <c r="A18" s="93" t="s">
        <v>1416</v>
      </c>
      <c r="B18" s="80">
        <v>100000</v>
      </c>
      <c r="C18" s="80" t="s">
        <v>2960</v>
      </c>
      <c r="D18" s="80"/>
      <c r="E18" s="80"/>
      <c r="F18" s="80"/>
      <c r="G18" s="80"/>
      <c r="H18" s="80"/>
      <c r="I18" s="80"/>
      <c r="J18" s="93"/>
      <c r="K18" s="81"/>
    </row>
    <row r="19" spans="1:22" ht="15" thickBot="1" x14ac:dyDescent="0.4">
      <c r="A19" s="88"/>
      <c r="B19" s="85"/>
      <c r="C19" s="85"/>
      <c r="D19" s="85"/>
      <c r="E19" s="85"/>
      <c r="F19" s="85"/>
      <c r="G19" s="85"/>
      <c r="H19" s="85"/>
      <c r="I19" s="85"/>
      <c r="J19" s="88"/>
      <c r="K19" s="86"/>
      <c r="V19" s="2099"/>
    </row>
    <row r="20" spans="1:22" x14ac:dyDescent="0.35">
      <c r="A20" s="93" t="s">
        <v>1083</v>
      </c>
      <c r="B20" s="80">
        <v>20</v>
      </c>
      <c r="C20" s="80" t="s">
        <v>2961</v>
      </c>
      <c r="D20" s="80"/>
      <c r="E20" s="80"/>
      <c r="F20" s="80"/>
      <c r="G20" s="80"/>
      <c r="H20" s="80"/>
      <c r="I20" s="80"/>
      <c r="J20" s="93"/>
      <c r="K20" s="81"/>
      <c r="V20" s="2142"/>
    </row>
    <row r="21" spans="1:22" ht="15" thickBot="1" x14ac:dyDescent="0.4">
      <c r="A21" s="88"/>
      <c r="B21" s="85"/>
      <c r="C21" s="85" t="s">
        <v>2962</v>
      </c>
      <c r="D21" s="85"/>
      <c r="E21" s="85"/>
      <c r="F21" s="85"/>
      <c r="G21" s="85"/>
      <c r="H21" s="85"/>
      <c r="I21" s="85"/>
      <c r="J21" s="88"/>
      <c r="K21" s="86"/>
      <c r="V21" s="2142"/>
    </row>
    <row r="22" spans="1:22" x14ac:dyDescent="0.35">
      <c r="A22" s="93" t="s">
        <v>1570</v>
      </c>
      <c r="B22" s="80"/>
      <c r="C22" s="80" t="s">
        <v>2963</v>
      </c>
      <c r="D22" s="80"/>
      <c r="E22" s="80"/>
      <c r="F22" s="80"/>
      <c r="G22" s="80"/>
      <c r="H22" s="80"/>
      <c r="I22" s="80"/>
      <c r="J22" s="93"/>
      <c r="K22" s="81"/>
      <c r="V22" s="2142"/>
    </row>
    <row r="23" spans="1:22" ht="15" thickBot="1" x14ac:dyDescent="0.4">
      <c r="A23" s="88"/>
      <c r="B23" s="85"/>
      <c r="C23" s="85"/>
      <c r="D23" s="85"/>
      <c r="E23" s="85"/>
      <c r="F23" s="85"/>
      <c r="G23" s="85"/>
      <c r="H23" s="85"/>
      <c r="I23" s="85"/>
      <c r="J23" s="88"/>
      <c r="K23" s="86"/>
      <c r="V23" s="2142"/>
    </row>
    <row r="24" spans="1:22" x14ac:dyDescent="0.35">
      <c r="V24" s="2142"/>
    </row>
    <row r="25" spans="1:22" x14ac:dyDescent="0.35">
      <c r="V25" s="2142"/>
    </row>
    <row r="26" spans="1:22" x14ac:dyDescent="0.35">
      <c r="V26" s="2142"/>
    </row>
    <row r="27" spans="1:22" ht="52" x14ac:dyDescent="0.35">
      <c r="A27" s="2486" t="s">
        <v>2964</v>
      </c>
      <c r="B27" s="2486" t="s">
        <v>2479</v>
      </c>
      <c r="C27" s="2486" t="s">
        <v>2921</v>
      </c>
      <c r="D27" s="2486" t="s">
        <v>2922</v>
      </c>
      <c r="E27" s="2486" t="s">
        <v>2482</v>
      </c>
      <c r="F27" s="2486" t="s">
        <v>2483</v>
      </c>
      <c r="G27" s="2487" t="s">
        <v>1696</v>
      </c>
    </row>
    <row r="28" spans="1:22" x14ac:dyDescent="0.35">
      <c r="A28" s="271" t="str">
        <f>+[5]Lists!D23</f>
        <v>MF - High Rise</v>
      </c>
      <c r="B28" s="271">
        <f>+[5]Lists!E23</f>
        <v>1565</v>
      </c>
      <c r="C28" s="271">
        <f>+[5]Lists!F23</f>
        <v>1540</v>
      </c>
      <c r="D28" s="271">
        <f>+[5]Lists!G23</f>
        <v>1448</v>
      </c>
      <c r="E28" s="271">
        <f>+[5]Lists!H23</f>
        <v>1089</v>
      </c>
      <c r="F28" s="271">
        <f>+[5]Lists!I23</f>
        <v>1125</v>
      </c>
      <c r="G28" s="271">
        <f>+[5]Lists!J23</f>
        <v>1393.5</v>
      </c>
    </row>
    <row r="29" spans="1:22" x14ac:dyDescent="0.35">
      <c r="A29" s="271" t="str">
        <f>+[5]Lists!D24</f>
        <v>MF - High Rise - Common</v>
      </c>
      <c r="B29" s="271">
        <f>+[5]Lists!E24</f>
        <v>537</v>
      </c>
      <c r="C29" s="271">
        <f>+[5]Lists!F24</f>
        <v>558</v>
      </c>
      <c r="D29" s="271">
        <f>+[5]Lists!G24</f>
        <v>501</v>
      </c>
      <c r="E29" s="271">
        <f>+[5]Lists!H24</f>
        <v>480</v>
      </c>
      <c r="F29" s="271">
        <f>+[5]Lists!I24</f>
        <v>499</v>
      </c>
      <c r="G29" s="271">
        <f>+[5]Lists!J24</f>
        <v>495.9</v>
      </c>
    </row>
    <row r="30" spans="1:22" x14ac:dyDescent="0.35">
      <c r="A30" s="271" t="str">
        <f>+[5]Lists!D25</f>
        <v>MF - High Rise - Residential</v>
      </c>
      <c r="B30" s="271">
        <f>+[5]Lists!E25</f>
        <v>1665</v>
      </c>
      <c r="C30" s="271">
        <f>+[5]Lists!F25</f>
        <v>1666</v>
      </c>
      <c r="D30" s="271">
        <f>+[5]Lists!G25</f>
        <v>1512</v>
      </c>
      <c r="E30" s="271">
        <f>+[5]Lists!H25</f>
        <v>1145</v>
      </c>
      <c r="F30" s="271">
        <f>+[5]Lists!I25</f>
        <v>1207</v>
      </c>
      <c r="G30" s="271">
        <f>+[5]Lists!J25</f>
        <v>1499.1</v>
      </c>
    </row>
    <row r="31" spans="1:22" x14ac:dyDescent="0.35">
      <c r="A31" s="271" t="str">
        <f>+[5]Lists!D26</f>
        <v>MF - Mid Rise</v>
      </c>
      <c r="B31" s="271">
        <f>+[5]Lists!E26</f>
        <v>1730</v>
      </c>
      <c r="C31" s="271">
        <f>+[5]Lists!F26</f>
        <v>1782</v>
      </c>
      <c r="D31" s="271">
        <f>+[5]Lists!G26</f>
        <v>1589</v>
      </c>
      <c r="E31" s="271">
        <f>+[5]Lists!H26</f>
        <v>1538</v>
      </c>
      <c r="F31" s="271">
        <f>+[5]Lists!I26</f>
        <v>1560</v>
      </c>
      <c r="G31" s="271">
        <f>+[5]Lists!J26</f>
        <v>1588.2</v>
      </c>
    </row>
    <row r="32" spans="1:22" x14ac:dyDescent="0.35">
      <c r="A32" s="2488" t="s">
        <v>2965</v>
      </c>
      <c r="B32" s="2488">
        <f t="shared" ref="B32:G32" si="0">+AVERAGE(B28:B31)</f>
        <v>1374.25</v>
      </c>
      <c r="C32" s="2488">
        <f t="shared" si="0"/>
        <v>1386.5</v>
      </c>
      <c r="D32" s="2488">
        <f t="shared" si="0"/>
        <v>1262.5</v>
      </c>
      <c r="E32" s="2488">
        <f t="shared" si="0"/>
        <v>1063</v>
      </c>
      <c r="F32" s="2488">
        <f t="shared" si="0"/>
        <v>1097.75</v>
      </c>
      <c r="G32" s="2488">
        <f t="shared" si="0"/>
        <v>1244.175</v>
      </c>
    </row>
    <row r="41" spans="2:2" x14ac:dyDescent="0.35">
      <c r="B41" s="2489"/>
    </row>
  </sheetData>
  <mergeCells count="3">
    <mergeCell ref="M2:O2"/>
    <mergeCell ref="P2:R2"/>
    <mergeCell ref="S2:U2"/>
  </mergeCells>
  <dataValidations count="3">
    <dataValidation type="list" allowBlank="1" showInputMessage="1" showErrorMessage="1" sqref="G4:H4" xr:uid="{F62167C2-31E6-4BF7-A420-37AC1485B705}">
      <formula1>SHBTU1</formula1>
    </dataValidation>
    <dataValidation type="list" allowBlank="1" showInputMessage="1" showErrorMessage="1" sqref="J4" xr:uid="{BDACF965-4E16-447E-BA42-BA43666CE788}">
      <formula1>$A$28:$A$32</formula1>
    </dataValidation>
    <dataValidation type="list" allowBlank="1" showInputMessage="1" showErrorMessage="1" sqref="D4" xr:uid="{75F68A92-B8FC-4B54-ACD6-D70F93FDA6F7}">
      <formula1>MeasureType</formula1>
    </dataValidation>
  </dataValidations>
  <hyperlinks>
    <hyperlink ref="A1" location="'Measure-Level Adjustments'!Print_Titles" display="Measure Level Tab" xr:uid="{23E89A59-5B2B-4480-B26B-F97DBA2B9F66}"/>
  </hyperlinks>
  <pageMargins left="0.7" right="0.7" top="0.75" bottom="0.75" header="0.3" footer="0.3"/>
  <pageSetup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CD97-81BD-4715-A7D7-58857294A189}">
  <sheetPr>
    <tabColor theme="4" tint="0.79998168889431442"/>
  </sheetPr>
  <dimension ref="A1:AN142"/>
  <sheetViews>
    <sheetView zoomScaleNormal="100" workbookViewId="0">
      <selection activeCell="G4" sqref="G4:K5"/>
    </sheetView>
  </sheetViews>
  <sheetFormatPr defaultRowHeight="14.5" x14ac:dyDescent="0.35"/>
  <cols>
    <col min="1" max="1" width="23.81640625" customWidth="1"/>
    <col min="2" max="2" width="33.7265625" customWidth="1"/>
    <col min="3" max="3" width="43.54296875" bestFit="1" customWidth="1"/>
    <col min="4" max="4" width="18.81640625" customWidth="1"/>
    <col min="5" max="5" width="16.1796875" bestFit="1" customWidth="1"/>
    <col min="6" max="6" width="22.1796875" customWidth="1"/>
    <col min="7" max="7" width="18.7265625" customWidth="1"/>
    <col min="8" max="8" width="23.26953125" customWidth="1"/>
    <col min="9" max="12" width="25.81640625" customWidth="1"/>
    <col min="13" max="13" width="13.1796875" customWidth="1"/>
    <col min="14" max="14" width="14.7265625" customWidth="1"/>
    <col min="15" max="15" width="12.1796875" customWidth="1"/>
    <col min="16" max="16" width="13" customWidth="1"/>
    <col min="17" max="17" width="10.54296875" bestFit="1" customWidth="1"/>
    <col min="18" max="18" width="23.81640625" customWidth="1"/>
    <col min="19" max="19" width="11.54296875" customWidth="1"/>
    <col min="20" max="20" width="10.54296875" customWidth="1"/>
    <col min="21" max="21" width="10.54296875" bestFit="1" customWidth="1"/>
    <col min="22" max="22" width="9.54296875" bestFit="1" customWidth="1"/>
    <col min="23" max="23" width="11.54296875" customWidth="1"/>
    <col min="24" max="24" width="16.54296875" bestFit="1" customWidth="1"/>
    <col min="25" max="25" width="13.54296875" bestFit="1" customWidth="1"/>
  </cols>
  <sheetData>
    <row r="1" spans="1:40" x14ac:dyDescent="0.35">
      <c r="A1" s="1799" t="s">
        <v>1031</v>
      </c>
    </row>
    <row r="2" spans="1:40" ht="15" customHeight="1" x14ac:dyDescent="0.35">
      <c r="A2" s="1702"/>
      <c r="B2" s="1703" t="s">
        <v>2966</v>
      </c>
      <c r="C2" s="1703"/>
      <c r="D2" s="1703"/>
      <c r="E2" s="1820"/>
      <c r="F2" s="1820"/>
      <c r="G2" s="1820"/>
      <c r="H2" s="1820"/>
      <c r="I2" s="1820"/>
      <c r="J2" s="1820"/>
      <c r="K2" s="1820"/>
      <c r="L2" s="1820"/>
      <c r="M2" s="1820"/>
      <c r="N2" s="1820"/>
      <c r="O2" s="3069" t="s">
        <v>1032</v>
      </c>
      <c r="P2" s="3070"/>
      <c r="Q2" s="3071"/>
      <c r="R2" s="3069" t="s">
        <v>1033</v>
      </c>
      <c r="S2" s="3070"/>
      <c r="T2" s="3071"/>
      <c r="U2" s="3037" t="s">
        <v>1350</v>
      </c>
      <c r="V2" s="3038"/>
      <c r="W2" s="3038"/>
      <c r="X2" s="2331"/>
      <c r="Y2" s="3244" t="s">
        <v>2967</v>
      </c>
      <c r="Z2" s="3244"/>
      <c r="AA2" s="3244"/>
      <c r="AB2" s="3244"/>
      <c r="AC2" s="3244"/>
      <c r="AD2" s="3244" t="s">
        <v>2968</v>
      </c>
      <c r="AE2" s="3244"/>
      <c r="AF2" s="3244"/>
      <c r="AG2" s="3244"/>
      <c r="AH2" s="3244"/>
      <c r="AI2" s="3244" t="s">
        <v>2969</v>
      </c>
      <c r="AJ2" s="3244"/>
      <c r="AK2" s="3244"/>
      <c r="AL2" s="3244"/>
      <c r="AM2" s="3244"/>
    </row>
    <row r="3" spans="1:40" s="199" customFormat="1" ht="29" x14ac:dyDescent="0.35">
      <c r="A3" s="1821" t="s">
        <v>1035</v>
      </c>
      <c r="B3" s="1821" t="s">
        <v>155</v>
      </c>
      <c r="C3" s="1822" t="s">
        <v>1036</v>
      </c>
      <c r="D3" s="1822" t="s">
        <v>1037</v>
      </c>
      <c r="E3" s="1821" t="s">
        <v>1038</v>
      </c>
      <c r="F3" s="1821" t="s">
        <v>1039</v>
      </c>
      <c r="G3" s="1821" t="s">
        <v>2970</v>
      </c>
      <c r="H3" s="1821" t="s">
        <v>2971</v>
      </c>
      <c r="I3" s="1821" t="s">
        <v>1360</v>
      </c>
      <c r="J3" s="1821" t="s">
        <v>1684</v>
      </c>
      <c r="K3" s="1821" t="s">
        <v>2972</v>
      </c>
      <c r="L3" s="1821" t="s">
        <v>2973</v>
      </c>
      <c r="M3" s="1821" t="s">
        <v>1040</v>
      </c>
      <c r="N3" s="1821" t="s">
        <v>1041</v>
      </c>
      <c r="O3" s="1823" t="s">
        <v>1044</v>
      </c>
      <c r="P3" s="1823" t="s">
        <v>1045</v>
      </c>
      <c r="Q3" s="1823" t="s">
        <v>1046</v>
      </c>
      <c r="R3" s="1823" t="s">
        <v>1044</v>
      </c>
      <c r="S3" s="1823" t="s">
        <v>1045</v>
      </c>
      <c r="T3" s="1823" t="s">
        <v>1046</v>
      </c>
      <c r="U3" s="1823" t="s">
        <v>1355</v>
      </c>
      <c r="V3" s="1823" t="s">
        <v>1083</v>
      </c>
      <c r="W3" s="1824" t="s">
        <v>1357</v>
      </c>
      <c r="X3" s="2332" t="s">
        <v>2974</v>
      </c>
      <c r="Y3" s="2332">
        <v>1</v>
      </c>
      <c r="Z3" s="2332">
        <v>2</v>
      </c>
      <c r="AA3" s="2332">
        <v>3</v>
      </c>
      <c r="AB3" s="2332">
        <v>4</v>
      </c>
      <c r="AC3" s="2332">
        <v>5</v>
      </c>
      <c r="AD3" s="2332">
        <v>1</v>
      </c>
      <c r="AE3" s="2332">
        <v>2</v>
      </c>
      <c r="AF3" s="2332">
        <v>3</v>
      </c>
      <c r="AG3" s="2332">
        <v>4</v>
      </c>
      <c r="AH3" s="2332">
        <v>5</v>
      </c>
      <c r="AI3" s="2332">
        <v>1</v>
      </c>
      <c r="AJ3" s="2332">
        <v>2</v>
      </c>
      <c r="AK3" s="2332">
        <v>3</v>
      </c>
      <c r="AL3" s="2332">
        <v>4</v>
      </c>
      <c r="AM3" s="2332">
        <v>5</v>
      </c>
      <c r="AN3" t="s">
        <v>1361</v>
      </c>
    </row>
    <row r="4" spans="1:40" s="60" customFormat="1" ht="29" x14ac:dyDescent="0.35">
      <c r="A4" s="1796" t="s">
        <v>2975</v>
      </c>
      <c r="B4" s="1796" t="str">
        <f>$B$2</f>
        <v>Covers and Gap Sealers for Room Air Conditioners</v>
      </c>
      <c r="C4" s="1798" t="str">
        <f>+CONCATENATE(B4,", ",I4,", ",G4," Stories")</f>
        <v>Covers and Gap Sealers for Room Air Conditioners, MF - Mid Rise, 5 Stories</v>
      </c>
      <c r="D4" s="1825" t="s">
        <v>2261</v>
      </c>
      <c r="E4" s="1826" t="s">
        <v>1632</v>
      </c>
      <c r="F4" s="1826">
        <f>+$B$54</f>
        <v>5</v>
      </c>
      <c r="G4" s="1903">
        <v>5</v>
      </c>
      <c r="H4" s="1903">
        <v>40</v>
      </c>
      <c r="I4" s="1905" t="s">
        <v>2415</v>
      </c>
      <c r="J4" s="1905" t="s">
        <v>2976</v>
      </c>
      <c r="K4" s="1905" t="s">
        <v>2977</v>
      </c>
      <c r="L4" s="1828" t="s">
        <v>2977</v>
      </c>
      <c r="M4" s="1828"/>
      <c r="N4" s="1829" t="s">
        <v>1284</v>
      </c>
      <c r="O4" s="1830"/>
      <c r="P4" s="1831"/>
      <c r="Q4" s="2333">
        <f>+SUM(AD4:AH4)</f>
        <v>294.55200000000002</v>
      </c>
      <c r="R4" s="1830"/>
      <c r="S4" s="1831"/>
      <c r="T4" s="1830">
        <f>Q4*F4</f>
        <v>1472.7600000000002</v>
      </c>
      <c r="U4" s="1830"/>
      <c r="V4" s="1830"/>
      <c r="W4" s="1832"/>
      <c r="X4" s="2334">
        <f>+HLOOKUP(J4,$A$118:$H$119,2,FALSE)</f>
        <v>8</v>
      </c>
      <c r="Y4" s="2334">
        <v>8</v>
      </c>
      <c r="Z4" s="2334">
        <v>8</v>
      </c>
      <c r="AA4" s="2334">
        <v>8</v>
      </c>
      <c r="AB4" s="2334">
        <v>8</v>
      </c>
      <c r="AC4" s="2334">
        <v>8</v>
      </c>
      <c r="AD4" s="2334">
        <f t="shared" ref="AD4:AH5" si="0">+Y4*VLOOKUP(AD$3,$A$120:$H$139,$X4,FALSE)</f>
        <v>43.007999999999996</v>
      </c>
      <c r="AE4" s="2334">
        <f t="shared" si="0"/>
        <v>52.896000000000001</v>
      </c>
      <c r="AF4" s="2334">
        <f t="shared" si="0"/>
        <v>60.287999999999997</v>
      </c>
      <c r="AG4" s="2334">
        <f t="shared" si="0"/>
        <v>66.47999999999999</v>
      </c>
      <c r="AH4" s="2334">
        <f t="shared" si="0"/>
        <v>71.88</v>
      </c>
      <c r="AI4" s="2334">
        <f>+Y4*VLOOKUP(AI$3,$A$94:$H$113,$X4,FALSE)</f>
        <v>387.59999999999997</v>
      </c>
      <c r="AJ4" s="2334">
        <f t="shared" ref="AJ4:AM5" si="1">+Z4*VLOOKUP(AJ$3,$A$94:$H$113,$X4,FALSE)</f>
        <v>477.14400000000001</v>
      </c>
      <c r="AK4" s="2334">
        <f t="shared" si="1"/>
        <v>543.84</v>
      </c>
      <c r="AL4" s="2334">
        <f t="shared" si="1"/>
        <v>599.37599999999998</v>
      </c>
      <c r="AM4" s="2334">
        <f t="shared" si="1"/>
        <v>647.976</v>
      </c>
      <c r="AN4" s="2335">
        <v>1</v>
      </c>
    </row>
    <row r="5" spans="1:40" s="60" customFormat="1" ht="29" x14ac:dyDescent="0.35">
      <c r="A5" s="1796" t="s">
        <v>933</v>
      </c>
      <c r="B5" s="1796" t="str">
        <f>$B$2&amp;" Joint"</f>
        <v>Covers and Gap Sealers for Room Air Conditioners Joint</v>
      </c>
      <c r="C5" s="1798" t="str">
        <f>+CONCATENATE(B5,", ",I5,", ",G5," Stories")&amp;" Joint"</f>
        <v>Covers and Gap Sealers for Room Air Conditioners Joint, MF - Mid Rise, 5 Stories Joint</v>
      </c>
      <c r="D5" s="1825" t="s">
        <v>2261</v>
      </c>
      <c r="E5" s="1826" t="s">
        <v>1632</v>
      </c>
      <c r="F5" s="1826">
        <f>+$B$54</f>
        <v>5</v>
      </c>
      <c r="G5" s="1903">
        <v>5</v>
      </c>
      <c r="H5" s="1903">
        <v>40</v>
      </c>
      <c r="I5" s="1905" t="s">
        <v>2415</v>
      </c>
      <c r="J5" s="1905" t="s">
        <v>2976</v>
      </c>
      <c r="K5" s="1905" t="s">
        <v>2977</v>
      </c>
      <c r="L5" s="1828" t="s">
        <v>2977</v>
      </c>
      <c r="M5" s="1828"/>
      <c r="N5" s="1829" t="s">
        <v>1284</v>
      </c>
      <c r="O5" s="1830"/>
      <c r="P5" s="1831"/>
      <c r="Q5" s="2333">
        <f>+SUM(AD5:AH5)</f>
        <v>294.55200000000002</v>
      </c>
      <c r="R5" s="1830"/>
      <c r="S5" s="1831"/>
      <c r="T5" s="1830">
        <f>Q5*F5</f>
        <v>1472.7600000000002</v>
      </c>
      <c r="U5" s="1830"/>
      <c r="V5" s="1830"/>
      <c r="W5" s="1832"/>
      <c r="X5" s="2334">
        <f>+HLOOKUP(J5,$A$118:$H$119,2,FALSE)</f>
        <v>8</v>
      </c>
      <c r="Y5" s="2334">
        <v>8</v>
      </c>
      <c r="Z5" s="2334">
        <v>8</v>
      </c>
      <c r="AA5" s="2334">
        <v>8</v>
      </c>
      <c r="AB5" s="2334">
        <v>8</v>
      </c>
      <c r="AC5" s="2334">
        <v>8</v>
      </c>
      <c r="AD5" s="2334">
        <f t="shared" si="0"/>
        <v>43.007999999999996</v>
      </c>
      <c r="AE5" s="2334">
        <f t="shared" si="0"/>
        <v>52.896000000000001</v>
      </c>
      <c r="AF5" s="2334">
        <f t="shared" si="0"/>
        <v>60.287999999999997</v>
      </c>
      <c r="AG5" s="2334">
        <f t="shared" si="0"/>
        <v>66.47999999999999</v>
      </c>
      <c r="AH5" s="2334">
        <f t="shared" si="0"/>
        <v>71.88</v>
      </c>
      <c r="AI5" s="2334">
        <f>+Y5*VLOOKUP(AI$3,$A$94:$H$113,$X5,FALSE)</f>
        <v>387.59999999999997</v>
      </c>
      <c r="AJ5" s="2334">
        <f t="shared" si="1"/>
        <v>477.14400000000001</v>
      </c>
      <c r="AK5" s="2334">
        <f t="shared" si="1"/>
        <v>543.84</v>
      </c>
      <c r="AL5" s="2334">
        <f t="shared" si="1"/>
        <v>599.37599999999998</v>
      </c>
      <c r="AM5" s="2334">
        <f t="shared" si="1"/>
        <v>647.976</v>
      </c>
      <c r="AN5" s="2335">
        <v>0.03</v>
      </c>
    </row>
    <row r="7" spans="1:40" ht="15" thickBot="1" x14ac:dyDescent="0.4"/>
    <row r="8" spans="1:40" ht="15" thickBot="1" x14ac:dyDescent="0.4">
      <c r="A8" s="154" t="s">
        <v>1188</v>
      </c>
      <c r="B8" s="63"/>
      <c r="C8" s="335"/>
    </row>
    <row r="9" spans="1:40" ht="15" thickBot="1" x14ac:dyDescent="0.4">
      <c r="A9" s="2336" t="s">
        <v>2978</v>
      </c>
      <c r="B9" s="85"/>
      <c r="C9" s="86"/>
    </row>
    <row r="10" spans="1:40" x14ac:dyDescent="0.35">
      <c r="V10" s="2099"/>
    </row>
    <row r="11" spans="1:40" ht="15" thickBot="1" x14ac:dyDescent="0.4"/>
    <row r="12" spans="1:40" ht="15" thickBot="1" x14ac:dyDescent="0.4">
      <c r="F12" s="3132" t="s">
        <v>2119</v>
      </c>
      <c r="G12" s="3133"/>
      <c r="H12" s="3133"/>
    </row>
    <row r="13" spans="1:40" ht="15" thickBot="1" x14ac:dyDescent="0.4">
      <c r="A13" s="637" t="s">
        <v>1285</v>
      </c>
      <c r="B13" s="638" t="s">
        <v>1199</v>
      </c>
      <c r="C13" s="639" t="s">
        <v>1646</v>
      </c>
      <c r="D13" s="383"/>
      <c r="E13" s="383"/>
      <c r="F13" s="493" t="s">
        <v>2120</v>
      </c>
      <c r="G13" s="1981" t="s">
        <v>1390</v>
      </c>
      <c r="H13" s="1814" t="s">
        <v>2121</v>
      </c>
    </row>
    <row r="14" spans="1:40" ht="15" customHeight="1" x14ac:dyDescent="0.35">
      <c r="A14" s="379" t="s">
        <v>2979</v>
      </c>
      <c r="B14" s="643" t="s">
        <v>1081</v>
      </c>
      <c r="C14" s="1241" t="s">
        <v>2980</v>
      </c>
      <c r="D14" s="1241"/>
      <c r="E14" s="1243"/>
      <c r="F14" s="3128" t="s">
        <v>2981</v>
      </c>
      <c r="G14" s="3128" t="s">
        <v>2982</v>
      </c>
      <c r="H14" s="1983" t="s">
        <v>2313</v>
      </c>
    </row>
    <row r="15" spans="1:40" ht="36.75" customHeight="1" thickBot="1" x14ac:dyDescent="0.4">
      <c r="A15" s="99"/>
      <c r="B15" s="429"/>
      <c r="C15" s="1989" t="s">
        <v>2983</v>
      </c>
      <c r="D15" s="1989"/>
      <c r="E15" s="1989"/>
      <c r="F15" s="3129"/>
      <c r="G15" s="3129"/>
      <c r="H15" s="1986"/>
    </row>
    <row r="16" spans="1:40" ht="15" customHeight="1" x14ac:dyDescent="0.35">
      <c r="A16" s="379" t="s">
        <v>2365</v>
      </c>
      <c r="B16" s="643" t="s">
        <v>1081</v>
      </c>
      <c r="C16" s="1241" t="s">
        <v>2980</v>
      </c>
      <c r="D16" s="1241"/>
      <c r="E16" s="1243"/>
      <c r="F16" s="3128" t="s">
        <v>2981</v>
      </c>
      <c r="G16" s="3128" t="s">
        <v>2982</v>
      </c>
      <c r="H16" s="1983" t="s">
        <v>2313</v>
      </c>
    </row>
    <row r="17" spans="1:8" ht="28.5" customHeight="1" thickBot="1" x14ac:dyDescent="0.4">
      <c r="A17" s="261"/>
      <c r="B17" s="1234"/>
      <c r="C17" s="1198" t="s">
        <v>2983</v>
      </c>
      <c r="D17" s="1198"/>
      <c r="E17" s="1198"/>
      <c r="F17" s="3129"/>
      <c r="G17" s="3129"/>
      <c r="H17" s="1988"/>
    </row>
    <row r="18" spans="1:8" ht="28.5" customHeight="1" x14ac:dyDescent="0.35">
      <c r="A18" s="379" t="s">
        <v>2984</v>
      </c>
      <c r="B18" s="643" t="s">
        <v>1081</v>
      </c>
      <c r="C18" s="1241" t="s">
        <v>2985</v>
      </c>
      <c r="D18" s="1241"/>
      <c r="E18" s="1243"/>
      <c r="F18" s="3128" t="s">
        <v>2981</v>
      </c>
      <c r="G18" s="3128" t="s">
        <v>2982</v>
      </c>
      <c r="H18" s="1983" t="s">
        <v>2313</v>
      </c>
    </row>
    <row r="19" spans="1:8" ht="28.5" customHeight="1" thickBot="1" x14ac:dyDescent="0.4">
      <c r="A19" s="261"/>
      <c r="B19" s="1234"/>
      <c r="C19" s="1198" t="s">
        <v>2983</v>
      </c>
      <c r="D19" s="1198"/>
      <c r="E19" s="1198"/>
      <c r="F19" s="3129"/>
      <c r="G19" s="3129"/>
      <c r="H19" s="1988"/>
    </row>
    <row r="20" spans="1:8" ht="15" customHeight="1" x14ac:dyDescent="0.35">
      <c r="A20" s="379" t="s">
        <v>2986</v>
      </c>
      <c r="B20" s="643">
        <v>0.8</v>
      </c>
      <c r="C20" s="1241" t="s">
        <v>2987</v>
      </c>
      <c r="D20" s="1241"/>
      <c r="E20" s="1241"/>
      <c r="F20" s="3128" t="s">
        <v>2125</v>
      </c>
      <c r="G20" s="1983" t="s">
        <v>2125</v>
      </c>
      <c r="H20" s="3128" t="s">
        <v>2988</v>
      </c>
    </row>
    <row r="21" spans="1:8" x14ac:dyDescent="0.35">
      <c r="A21" s="99"/>
      <c r="B21" s="1196"/>
      <c r="C21" s="1204" t="s">
        <v>2989</v>
      </c>
      <c r="D21" s="1204"/>
      <c r="E21" s="1207"/>
      <c r="F21" s="3245"/>
      <c r="G21" s="1986"/>
      <c r="H21" s="3245"/>
    </row>
    <row r="22" spans="1:8" ht="15" thickBot="1" x14ac:dyDescent="0.4">
      <c r="A22" s="261"/>
      <c r="B22" s="499"/>
      <c r="C22" s="1198"/>
      <c r="D22" s="1198"/>
      <c r="E22" s="1198"/>
      <c r="F22" s="3129"/>
      <c r="G22" s="1988"/>
      <c r="H22" s="3129"/>
    </row>
    <row r="23" spans="1:8" ht="30.75" customHeight="1" x14ac:dyDescent="0.35">
      <c r="A23" s="379" t="s">
        <v>2990</v>
      </c>
      <c r="B23" s="673" t="s">
        <v>2991</v>
      </c>
      <c r="C23" s="2998" t="s">
        <v>2992</v>
      </c>
      <c r="D23" s="2998"/>
      <c r="E23" s="2999"/>
      <c r="F23" s="2337" t="s">
        <v>2125</v>
      </c>
      <c r="G23" s="1983" t="s">
        <v>2125</v>
      </c>
      <c r="H23" s="2337" t="s">
        <v>2993</v>
      </c>
    </row>
    <row r="24" spans="1:8" ht="15" thickBot="1" x14ac:dyDescent="0.4">
      <c r="A24" s="261"/>
      <c r="B24" s="499"/>
      <c r="C24" s="1202" t="s">
        <v>2994</v>
      </c>
      <c r="D24" s="1364"/>
      <c r="E24" s="1365"/>
      <c r="F24" s="2338"/>
      <c r="G24" s="1988"/>
      <c r="H24" s="2338"/>
    </row>
    <row r="25" spans="1:8" ht="29" x14ac:dyDescent="0.35">
      <c r="A25" s="99" t="s">
        <v>2995</v>
      </c>
      <c r="B25" s="1196">
        <v>6</v>
      </c>
      <c r="C25" s="1204" t="s">
        <v>2996</v>
      </c>
      <c r="D25" s="1366"/>
      <c r="E25" s="1367"/>
      <c r="F25" s="2339"/>
      <c r="G25" s="1986"/>
      <c r="H25" s="2337" t="s">
        <v>2997</v>
      </c>
    </row>
    <row r="26" spans="1:8" ht="15" thickBot="1" x14ac:dyDescent="0.4">
      <c r="A26" s="99"/>
      <c r="B26" s="1196"/>
      <c r="C26" s="1204" t="s">
        <v>2998</v>
      </c>
      <c r="D26" s="1366"/>
      <c r="E26" s="1367"/>
      <c r="F26" s="2339"/>
      <c r="G26" s="1986"/>
      <c r="H26" s="2338"/>
    </row>
    <row r="27" spans="1:8" ht="29" x14ac:dyDescent="0.35">
      <c r="A27" s="379" t="s">
        <v>2999</v>
      </c>
      <c r="B27" s="673" t="s">
        <v>2991</v>
      </c>
      <c r="C27" s="1200" t="s">
        <v>3000</v>
      </c>
      <c r="D27" s="1975"/>
      <c r="E27" s="1363"/>
      <c r="F27" s="2337"/>
      <c r="G27" s="1983"/>
      <c r="H27" s="2339" t="s">
        <v>2997</v>
      </c>
    </row>
    <row r="28" spans="1:8" ht="15" thickBot="1" x14ac:dyDescent="0.4">
      <c r="A28" s="261"/>
      <c r="B28" s="499"/>
      <c r="C28" s="2340" t="s">
        <v>3001</v>
      </c>
      <c r="D28" s="1364"/>
      <c r="E28" s="1365"/>
      <c r="F28" s="2338"/>
      <c r="G28" s="1988"/>
      <c r="H28" s="2338"/>
    </row>
    <row r="29" spans="1:8" ht="29" x14ac:dyDescent="0.35">
      <c r="A29" s="379" t="s">
        <v>3002</v>
      </c>
      <c r="B29" s="673" t="s">
        <v>2991</v>
      </c>
      <c r="C29" s="1200" t="s">
        <v>3003</v>
      </c>
      <c r="D29" s="1975"/>
      <c r="E29" s="1363"/>
      <c r="F29" s="2337"/>
      <c r="G29" s="1983"/>
      <c r="H29" s="2339" t="s">
        <v>2997</v>
      </c>
    </row>
    <row r="30" spans="1:8" ht="15" thickBot="1" x14ac:dyDescent="0.4">
      <c r="A30" s="261"/>
      <c r="B30" s="499"/>
      <c r="C30" s="1202" t="s">
        <v>3004</v>
      </c>
      <c r="D30" s="1364"/>
      <c r="E30" s="1365"/>
      <c r="F30" s="2338"/>
      <c r="G30" s="1988"/>
      <c r="H30" s="2338"/>
    </row>
    <row r="31" spans="1:8" ht="29" x14ac:dyDescent="0.35">
      <c r="A31" s="379" t="s">
        <v>3005</v>
      </c>
      <c r="B31" s="673">
        <v>8</v>
      </c>
      <c r="C31" s="1200" t="s">
        <v>3006</v>
      </c>
      <c r="D31" s="1975"/>
      <c r="E31" s="1363"/>
      <c r="F31" s="2337"/>
      <c r="G31" s="1983"/>
      <c r="H31" s="2339" t="s">
        <v>2997</v>
      </c>
    </row>
    <row r="32" spans="1:8" ht="15" thickBot="1" x14ac:dyDescent="0.4">
      <c r="A32" s="261"/>
      <c r="B32" s="499"/>
      <c r="C32" s="1202" t="s">
        <v>3007</v>
      </c>
      <c r="D32" s="1364"/>
      <c r="E32" s="1365"/>
      <c r="F32" s="2338"/>
      <c r="G32" s="1988"/>
      <c r="H32" s="2338"/>
    </row>
    <row r="33" spans="1:8" ht="29" x14ac:dyDescent="0.35">
      <c r="A33" s="379" t="s">
        <v>3008</v>
      </c>
      <c r="B33" s="3246" t="s">
        <v>3009</v>
      </c>
      <c r="C33" s="1200" t="s">
        <v>3010</v>
      </c>
      <c r="D33" s="1975"/>
      <c r="E33" s="1363"/>
      <c r="F33" s="2337"/>
      <c r="G33" s="1983"/>
      <c r="H33" s="2339" t="s">
        <v>2997</v>
      </c>
    </row>
    <row r="34" spans="1:8" ht="15" thickBot="1" x14ac:dyDescent="0.4">
      <c r="A34" s="261"/>
      <c r="B34" s="3247"/>
      <c r="C34" s="1202" t="s">
        <v>3011</v>
      </c>
      <c r="D34" s="1364"/>
      <c r="E34" s="1365"/>
      <c r="F34" s="2338"/>
      <c r="G34" s="1988"/>
      <c r="H34" s="2338"/>
    </row>
    <row r="35" spans="1:8" ht="30" customHeight="1" x14ac:dyDescent="0.35">
      <c r="A35" s="99" t="s">
        <v>3012</v>
      </c>
      <c r="B35" s="3246" t="s">
        <v>3013</v>
      </c>
      <c r="C35" s="1204" t="s">
        <v>3014</v>
      </c>
      <c r="D35" s="1366"/>
      <c r="E35" s="1367"/>
      <c r="F35" s="2339"/>
      <c r="G35" s="1986"/>
      <c r="H35" s="2339" t="s">
        <v>2997</v>
      </c>
    </row>
    <row r="36" spans="1:8" ht="15" thickBot="1" x14ac:dyDescent="0.4">
      <c r="A36" s="99"/>
      <c r="B36" s="3247"/>
      <c r="C36" s="1204" t="s">
        <v>3015</v>
      </c>
      <c r="D36" s="1366"/>
      <c r="E36" s="1367"/>
      <c r="F36" s="2339"/>
      <c r="G36" s="1986"/>
      <c r="H36" s="2339"/>
    </row>
    <row r="37" spans="1:8" ht="46.5" customHeight="1" x14ac:dyDescent="0.35">
      <c r="A37" s="379" t="s">
        <v>3016</v>
      </c>
      <c r="B37" s="673">
        <v>72</v>
      </c>
      <c r="C37" s="2998" t="s">
        <v>3017</v>
      </c>
      <c r="D37" s="2998"/>
      <c r="E37" s="2999"/>
      <c r="F37" s="2337"/>
      <c r="G37" s="1983"/>
      <c r="H37" s="2337" t="s">
        <v>2997</v>
      </c>
    </row>
    <row r="38" spans="1:8" ht="33.75" customHeight="1" thickBot="1" x14ac:dyDescent="0.4">
      <c r="A38" s="261"/>
      <c r="B38" s="499">
        <v>295</v>
      </c>
      <c r="C38" s="3000" t="s">
        <v>3018</v>
      </c>
      <c r="D38" s="3000"/>
      <c r="E38" s="3001"/>
      <c r="F38" s="2338"/>
      <c r="G38" s="1988"/>
      <c r="H38" s="2338"/>
    </row>
    <row r="39" spans="1:8" ht="29" x14ac:dyDescent="0.35">
      <c r="A39" s="99" t="s">
        <v>3019</v>
      </c>
      <c r="B39" s="3246" t="s">
        <v>3009</v>
      </c>
      <c r="C39" s="1204" t="s">
        <v>3020</v>
      </c>
      <c r="D39" s="1366"/>
      <c r="E39" s="1367"/>
      <c r="F39" s="2339"/>
      <c r="G39" s="1986"/>
      <c r="H39" s="2339" t="s">
        <v>2997</v>
      </c>
    </row>
    <row r="40" spans="1:8" ht="15" thickBot="1" x14ac:dyDescent="0.4">
      <c r="A40" s="99"/>
      <c r="B40" s="3247"/>
      <c r="C40" s="1204" t="s">
        <v>3021</v>
      </c>
      <c r="D40" s="1366"/>
      <c r="E40" s="1367"/>
      <c r="F40" s="2339"/>
      <c r="G40" s="1986"/>
      <c r="H40" s="2339"/>
    </row>
    <row r="41" spans="1:8" ht="27" customHeight="1" x14ac:dyDescent="0.35">
      <c r="A41" s="379" t="s">
        <v>3022</v>
      </c>
      <c r="B41" s="3246" t="s">
        <v>3023</v>
      </c>
      <c r="C41" s="2998" t="s">
        <v>3024</v>
      </c>
      <c r="D41" s="2998"/>
      <c r="E41" s="2999"/>
      <c r="F41" s="3128" t="s">
        <v>2125</v>
      </c>
      <c r="G41" s="3128" t="s">
        <v>3025</v>
      </c>
      <c r="H41" s="3128" t="s">
        <v>2313</v>
      </c>
    </row>
    <row r="42" spans="1:8" ht="31.5" customHeight="1" thickBot="1" x14ac:dyDescent="0.4">
      <c r="A42" s="261"/>
      <c r="B42" s="3247"/>
      <c r="C42" s="3000" t="s">
        <v>3026</v>
      </c>
      <c r="D42" s="3000"/>
      <c r="E42" s="3001"/>
      <c r="F42" s="3129"/>
      <c r="G42" s="3129"/>
      <c r="H42" s="3129"/>
    </row>
    <row r="43" spans="1:8" x14ac:dyDescent="0.35">
      <c r="A43" s="379" t="s">
        <v>2901</v>
      </c>
      <c r="B43" s="2341">
        <v>6.4499999999999996E-4</v>
      </c>
      <c r="C43" s="1241" t="s">
        <v>3027</v>
      </c>
      <c r="D43" s="1241"/>
      <c r="E43" s="1241"/>
      <c r="F43" s="379" t="s">
        <v>1284</v>
      </c>
      <c r="G43" s="379" t="s">
        <v>1284</v>
      </c>
      <c r="H43" s="779" t="s">
        <v>1284</v>
      </c>
    </row>
    <row r="44" spans="1:8" x14ac:dyDescent="0.35">
      <c r="A44" s="99"/>
      <c r="B44" s="986">
        <v>9.81</v>
      </c>
      <c r="C44" s="1989" t="s">
        <v>3028</v>
      </c>
      <c r="D44" s="1989"/>
      <c r="E44" s="1989"/>
      <c r="F44" s="99"/>
      <c r="G44" s="2342"/>
      <c r="H44" s="1991"/>
    </row>
    <row r="45" spans="1:8" x14ac:dyDescent="0.35">
      <c r="A45" s="99"/>
      <c r="B45" s="2343">
        <v>0.30480000000000002</v>
      </c>
      <c r="C45" s="1989" t="s">
        <v>3029</v>
      </c>
      <c r="D45" s="1989"/>
      <c r="E45" s="1989"/>
      <c r="F45" s="99"/>
      <c r="G45" s="2342"/>
      <c r="H45" s="1991"/>
    </row>
    <row r="46" spans="1:8" x14ac:dyDescent="0.35">
      <c r="A46" s="99"/>
      <c r="B46" s="1196">
        <v>2118.88</v>
      </c>
      <c r="C46" s="1204" t="s">
        <v>3030</v>
      </c>
      <c r="D46" s="1989"/>
      <c r="E46" s="1989"/>
      <c r="F46" s="99"/>
      <c r="G46" s="2342"/>
      <c r="H46" s="1991"/>
    </row>
    <row r="47" spans="1:8" x14ac:dyDescent="0.35">
      <c r="A47" s="99"/>
      <c r="B47" s="986">
        <v>1.08</v>
      </c>
      <c r="C47" s="1204" t="s">
        <v>3031</v>
      </c>
      <c r="D47" s="1989"/>
      <c r="E47" s="1989"/>
      <c r="F47" s="99"/>
      <c r="G47" s="2342"/>
      <c r="H47" s="1991"/>
    </row>
    <row r="48" spans="1:8" ht="15" thickBot="1" x14ac:dyDescent="0.4">
      <c r="A48" s="261"/>
      <c r="B48" s="499">
        <v>100000</v>
      </c>
      <c r="C48" s="1198" t="s">
        <v>3032</v>
      </c>
      <c r="D48" s="1198"/>
      <c r="E48" s="1198"/>
      <c r="F48" s="261"/>
      <c r="G48" s="1942"/>
      <c r="H48" s="1993"/>
    </row>
    <row r="49" spans="1:11" x14ac:dyDescent="0.35">
      <c r="A49" s="379" t="s">
        <v>1040</v>
      </c>
      <c r="B49" s="2344"/>
      <c r="C49" s="1241"/>
      <c r="D49" s="1241"/>
      <c r="E49" s="1241"/>
      <c r="F49" s="3128"/>
      <c r="G49" s="3128"/>
      <c r="H49" s="1243"/>
    </row>
    <row r="50" spans="1:11" x14ac:dyDescent="0.35">
      <c r="A50" s="99"/>
      <c r="B50" s="2345"/>
      <c r="C50" s="1989"/>
      <c r="D50" s="1989"/>
      <c r="E50" s="1989"/>
      <c r="F50" s="3245"/>
      <c r="G50" s="3245"/>
      <c r="H50" s="2346"/>
    </row>
    <row r="51" spans="1:11" ht="27.75" customHeight="1" x14ac:dyDescent="0.35">
      <c r="A51" s="99"/>
      <c r="B51" s="2345"/>
      <c r="C51" s="3135"/>
      <c r="D51" s="3135"/>
      <c r="E51" s="3136"/>
      <c r="F51" s="3245"/>
      <c r="G51" s="3245"/>
      <c r="H51" s="2346"/>
    </row>
    <row r="52" spans="1:11" x14ac:dyDescent="0.35">
      <c r="A52" s="99"/>
      <c r="B52" s="2345"/>
      <c r="C52" s="1989"/>
      <c r="D52" s="1989"/>
      <c r="E52" s="1989"/>
      <c r="F52" s="3245"/>
      <c r="G52" s="3245"/>
      <c r="H52" s="2346"/>
    </row>
    <row r="53" spans="1:11" ht="15" thickBot="1" x14ac:dyDescent="0.4">
      <c r="A53" s="261"/>
      <c r="B53" s="161"/>
      <c r="C53" s="1198"/>
      <c r="D53" s="1198"/>
      <c r="E53" s="1198"/>
      <c r="F53" s="3129"/>
      <c r="G53" s="3129"/>
      <c r="H53" s="1244"/>
    </row>
    <row r="54" spans="1:11" x14ac:dyDescent="0.35">
      <c r="A54" s="379" t="s">
        <v>1083</v>
      </c>
      <c r="B54" s="380">
        <v>5</v>
      </c>
      <c r="C54" s="1241" t="s">
        <v>3033</v>
      </c>
      <c r="D54" s="1241"/>
      <c r="E54" s="1241"/>
      <c r="F54" s="379" t="s">
        <v>1524</v>
      </c>
      <c r="G54" s="779" t="s">
        <v>2141</v>
      </c>
      <c r="H54" s="1243" t="s">
        <v>2142</v>
      </c>
    </row>
    <row r="55" spans="1:11" ht="15" thickBot="1" x14ac:dyDescent="0.4">
      <c r="A55" s="261"/>
      <c r="B55" s="161"/>
      <c r="C55" s="1198" t="s">
        <v>3034</v>
      </c>
      <c r="D55" s="1198"/>
      <c r="E55" s="1198"/>
      <c r="F55" s="261"/>
      <c r="G55" s="1942"/>
      <c r="H55" s="1244"/>
    </row>
    <row r="57" spans="1:11" ht="15" thickBot="1" x14ac:dyDescent="0.4"/>
    <row r="58" spans="1:11" ht="15" thickBot="1" x14ac:dyDescent="0.4">
      <c r="A58" s="62" t="s">
        <v>2145</v>
      </c>
      <c r="B58" s="63"/>
      <c r="C58" s="63"/>
      <c r="D58" s="63"/>
      <c r="E58" s="63"/>
      <c r="F58" s="63"/>
      <c r="G58" s="63"/>
      <c r="H58" s="63"/>
      <c r="I58" s="63"/>
    </row>
    <row r="59" spans="1:11" x14ac:dyDescent="0.35">
      <c r="A59" s="99"/>
      <c r="B59" s="69"/>
      <c r="C59" s="69"/>
      <c r="D59" s="69"/>
      <c r="E59" s="69"/>
      <c r="F59" s="69"/>
      <c r="G59" s="69"/>
      <c r="H59" s="69"/>
      <c r="I59" s="69"/>
      <c r="J59" s="69"/>
      <c r="K59" s="69"/>
    </row>
    <row r="60" spans="1:11" x14ac:dyDescent="0.35">
      <c r="A60" s="99"/>
      <c r="B60" s="69"/>
      <c r="C60" s="69"/>
      <c r="D60" s="69"/>
      <c r="E60" s="69"/>
      <c r="F60" s="666" t="s">
        <v>2212</v>
      </c>
      <c r="G60" s="56"/>
      <c r="H60" s="69"/>
      <c r="I60" s="69"/>
      <c r="J60" s="69"/>
      <c r="K60" s="69"/>
    </row>
    <row r="61" spans="1:11" x14ac:dyDescent="0.35">
      <c r="A61" s="99"/>
      <c r="B61" s="69"/>
      <c r="C61" s="69"/>
      <c r="D61" s="69"/>
      <c r="E61" s="69"/>
      <c r="F61" s="49" t="s">
        <v>2479</v>
      </c>
      <c r="G61" s="49">
        <v>2</v>
      </c>
      <c r="H61" s="69"/>
      <c r="I61" s="69"/>
      <c r="J61" s="69"/>
      <c r="K61" s="69"/>
    </row>
    <row r="62" spans="1:11" x14ac:dyDescent="0.35">
      <c r="A62" s="99"/>
      <c r="B62" s="69"/>
      <c r="C62" s="69"/>
      <c r="D62" s="69"/>
      <c r="E62" s="69"/>
      <c r="F62" s="49" t="s">
        <v>2480</v>
      </c>
      <c r="G62" s="49">
        <v>3</v>
      </c>
      <c r="H62" s="69"/>
      <c r="I62" s="69"/>
      <c r="J62" s="69"/>
      <c r="K62" s="69"/>
    </row>
    <row r="63" spans="1:11" x14ac:dyDescent="0.35">
      <c r="A63" s="2347" t="s">
        <v>3035</v>
      </c>
      <c r="B63" s="2181" t="s">
        <v>2972</v>
      </c>
      <c r="C63" s="2181" t="s">
        <v>3036</v>
      </c>
      <c r="D63" s="2181" t="s">
        <v>2698</v>
      </c>
      <c r="E63" s="69"/>
      <c r="F63" s="49" t="s">
        <v>2481</v>
      </c>
      <c r="G63" s="49">
        <v>4</v>
      </c>
      <c r="H63" s="69"/>
      <c r="I63" s="69"/>
      <c r="J63" s="69"/>
      <c r="K63" s="69"/>
    </row>
    <row r="64" spans="1:11" ht="29" x14ac:dyDescent="0.35">
      <c r="A64" s="2348">
        <v>1</v>
      </c>
      <c r="B64" s="2349" t="s">
        <v>2335</v>
      </c>
      <c r="C64" s="2350" t="s">
        <v>3037</v>
      </c>
      <c r="D64" s="2349">
        <v>0.32400000000000001</v>
      </c>
      <c r="E64" s="69"/>
      <c r="F64" s="49" t="s">
        <v>2482</v>
      </c>
      <c r="G64" s="49">
        <v>5</v>
      </c>
      <c r="H64" s="69"/>
      <c r="I64" s="69"/>
      <c r="J64" s="69"/>
      <c r="K64" s="69"/>
    </row>
    <row r="65" spans="1:11" ht="29" x14ac:dyDescent="0.35">
      <c r="A65" s="2348">
        <v>2</v>
      </c>
      <c r="B65" s="2349" t="s">
        <v>3038</v>
      </c>
      <c r="C65" s="2350" t="s">
        <v>3039</v>
      </c>
      <c r="D65" s="2349">
        <v>0.28499999999999998</v>
      </c>
      <c r="E65" s="69"/>
      <c r="F65" s="49" t="s">
        <v>2483</v>
      </c>
      <c r="G65" s="49">
        <v>6</v>
      </c>
      <c r="H65" s="69"/>
      <c r="I65" s="69"/>
      <c r="J65" s="69"/>
      <c r="K65" s="69"/>
    </row>
    <row r="66" spans="1:11" ht="43.5" x14ac:dyDescent="0.35">
      <c r="A66" s="2348">
        <v>3</v>
      </c>
      <c r="B66" s="2349" t="s">
        <v>2977</v>
      </c>
      <c r="C66" s="2350" t="s">
        <v>3040</v>
      </c>
      <c r="D66" s="2349">
        <v>0.24</v>
      </c>
      <c r="E66" s="69"/>
      <c r="F66" s="49" t="s">
        <v>3041</v>
      </c>
      <c r="G66" s="49">
        <v>7</v>
      </c>
      <c r="H66" s="69"/>
      <c r="I66" s="69"/>
      <c r="J66" s="69"/>
      <c r="K66" s="69"/>
    </row>
    <row r="67" spans="1:11" ht="58" x14ac:dyDescent="0.35">
      <c r="A67" s="2348">
        <v>4</v>
      </c>
      <c r="B67" s="2349" t="s">
        <v>3042</v>
      </c>
      <c r="C67" s="2350" t="s">
        <v>3043</v>
      </c>
      <c r="D67" s="2349">
        <v>0.185</v>
      </c>
      <c r="E67" s="69"/>
      <c r="F67" s="69"/>
      <c r="G67" s="69"/>
      <c r="H67" s="69"/>
      <c r="I67" s="69"/>
      <c r="J67" s="69"/>
      <c r="K67" s="69"/>
    </row>
    <row r="68" spans="1:11" ht="43.5" x14ac:dyDescent="0.35">
      <c r="A68" s="2348">
        <v>5</v>
      </c>
      <c r="B68" s="2349" t="s">
        <v>3044</v>
      </c>
      <c r="C68" s="2350" t="s">
        <v>3045</v>
      </c>
      <c r="D68" s="2349">
        <v>0.10199999999999999</v>
      </c>
      <c r="E68" s="69"/>
      <c r="F68" s="69"/>
      <c r="G68" s="69"/>
      <c r="H68" s="69"/>
      <c r="I68" s="69"/>
      <c r="J68" s="69"/>
      <c r="K68" s="69"/>
    </row>
    <row r="69" spans="1:11" x14ac:dyDescent="0.35">
      <c r="A69" s="99"/>
      <c r="B69" s="69"/>
      <c r="C69" s="69"/>
      <c r="D69" s="69"/>
      <c r="E69" s="69"/>
      <c r="F69" s="69"/>
      <c r="G69" s="69"/>
      <c r="H69" s="69"/>
      <c r="I69" s="69"/>
      <c r="J69" s="69"/>
      <c r="K69" s="69"/>
    </row>
    <row r="70" spans="1:11" x14ac:dyDescent="0.35">
      <c r="A70" s="2347" t="s">
        <v>3046</v>
      </c>
      <c r="B70" s="2181" t="s">
        <v>2973</v>
      </c>
      <c r="C70" s="2181" t="s">
        <v>3047</v>
      </c>
      <c r="D70" s="2181" t="s">
        <v>2697</v>
      </c>
      <c r="E70" s="2181" t="s">
        <v>3048</v>
      </c>
      <c r="F70" s="69"/>
      <c r="G70" s="69"/>
      <c r="H70" s="69"/>
      <c r="I70" s="69"/>
      <c r="J70" s="69"/>
      <c r="K70" s="69"/>
    </row>
    <row r="71" spans="1:11" ht="29" x14ac:dyDescent="0.35">
      <c r="A71" s="2348">
        <v>1</v>
      </c>
      <c r="B71" s="2349" t="s">
        <v>2335</v>
      </c>
      <c r="C71" s="2350" t="s">
        <v>3049</v>
      </c>
      <c r="D71" s="2349">
        <v>1.3</v>
      </c>
      <c r="E71" s="2349">
        <v>0.1</v>
      </c>
      <c r="F71" s="69"/>
      <c r="G71" s="69"/>
      <c r="H71" s="69"/>
      <c r="I71" s="69"/>
      <c r="J71" s="69"/>
      <c r="K71" s="69"/>
    </row>
    <row r="72" spans="1:11" ht="29" x14ac:dyDescent="0.35">
      <c r="A72" s="2348">
        <v>2</v>
      </c>
      <c r="B72" s="2349" t="s">
        <v>3038</v>
      </c>
      <c r="C72" s="2350" t="s">
        <v>3050</v>
      </c>
      <c r="D72" s="2349">
        <v>1</v>
      </c>
      <c r="E72" s="2349">
        <v>0.15</v>
      </c>
      <c r="F72" s="69"/>
      <c r="G72" s="69"/>
      <c r="H72" s="69"/>
      <c r="I72" s="69"/>
      <c r="J72" s="69"/>
      <c r="K72" s="69"/>
    </row>
    <row r="73" spans="1:11" x14ac:dyDescent="0.35">
      <c r="A73" s="2348">
        <v>3</v>
      </c>
      <c r="B73" s="2349" t="s">
        <v>2977</v>
      </c>
      <c r="C73" s="2350" t="s">
        <v>3051</v>
      </c>
      <c r="D73" s="2349">
        <v>0.85</v>
      </c>
      <c r="E73" s="2349">
        <v>0.2</v>
      </c>
      <c r="F73" s="69"/>
      <c r="G73" s="69"/>
      <c r="H73" s="69"/>
      <c r="I73" s="69"/>
      <c r="J73" s="69"/>
      <c r="K73" s="69"/>
    </row>
    <row r="74" spans="1:11" x14ac:dyDescent="0.35">
      <c r="A74" s="2348">
        <v>4</v>
      </c>
      <c r="B74" s="2349" t="s">
        <v>3042</v>
      </c>
      <c r="C74" s="2350" t="s">
        <v>3052</v>
      </c>
      <c r="D74" s="2349">
        <v>0.67</v>
      </c>
      <c r="E74" s="2349">
        <v>0.25</v>
      </c>
      <c r="F74" s="69"/>
      <c r="G74" s="69"/>
      <c r="H74" s="69"/>
      <c r="I74" s="69"/>
      <c r="J74" s="69"/>
      <c r="K74" s="69"/>
    </row>
    <row r="75" spans="1:11" x14ac:dyDescent="0.35">
      <c r="A75" s="2348">
        <v>5</v>
      </c>
      <c r="B75" s="2349" t="s">
        <v>3044</v>
      </c>
      <c r="C75" s="2350" t="s">
        <v>3053</v>
      </c>
      <c r="D75" s="2349">
        <v>0.47</v>
      </c>
      <c r="E75" s="2349">
        <v>0.35</v>
      </c>
      <c r="F75" s="69"/>
      <c r="G75" s="69"/>
      <c r="H75" s="69"/>
      <c r="I75" s="69"/>
      <c r="J75" s="69"/>
      <c r="K75" s="69"/>
    </row>
    <row r="76" spans="1:11" x14ac:dyDescent="0.35">
      <c r="A76" s="99"/>
      <c r="B76" s="69"/>
      <c r="C76" s="69"/>
      <c r="D76" s="69"/>
      <c r="E76" s="69"/>
      <c r="F76" s="69"/>
      <c r="G76" s="69"/>
      <c r="H76" s="69"/>
      <c r="I76" s="69"/>
      <c r="J76" s="69"/>
      <c r="K76" s="69"/>
    </row>
    <row r="77" spans="1:11" x14ac:dyDescent="0.35">
      <c r="A77" s="99"/>
      <c r="B77" s="69"/>
      <c r="C77" s="69"/>
      <c r="D77" s="69"/>
      <c r="E77" s="69"/>
      <c r="F77" s="69"/>
      <c r="G77" s="69"/>
      <c r="H77" s="69"/>
      <c r="I77" s="69"/>
      <c r="J77" s="69"/>
      <c r="K77" s="69"/>
    </row>
    <row r="78" spans="1:11" x14ac:dyDescent="0.35">
      <c r="A78" s="2347" t="s">
        <v>1703</v>
      </c>
      <c r="B78" s="2181" t="s">
        <v>3054</v>
      </c>
      <c r="C78" s="2181" t="s">
        <v>3055</v>
      </c>
      <c r="D78" s="2181" t="s">
        <v>3056</v>
      </c>
      <c r="E78" s="69"/>
      <c r="F78" s="69"/>
      <c r="G78" s="69"/>
      <c r="H78" s="69"/>
      <c r="I78" s="69"/>
      <c r="J78" s="69"/>
      <c r="K78" s="69"/>
    </row>
    <row r="79" spans="1:11" x14ac:dyDescent="0.35">
      <c r="A79" s="290" t="s">
        <v>2479</v>
      </c>
      <c r="B79" s="49">
        <v>4.5</v>
      </c>
      <c r="C79" s="49">
        <v>31.63</v>
      </c>
      <c r="D79" s="49">
        <v>272.94</v>
      </c>
      <c r="E79" s="69"/>
      <c r="F79" s="3185" t="s">
        <v>3057</v>
      </c>
      <c r="G79" s="3141"/>
      <c r="H79" s="703" t="s">
        <v>1082</v>
      </c>
      <c r="I79" s="704"/>
      <c r="J79" s="704"/>
      <c r="K79" s="2351"/>
    </row>
    <row r="80" spans="1:11" x14ac:dyDescent="0.35">
      <c r="A80" s="290" t="s">
        <v>2480</v>
      </c>
      <c r="B80" s="49">
        <v>4.67</v>
      </c>
      <c r="C80" s="49">
        <v>33.99</v>
      </c>
      <c r="D80" s="49">
        <v>274.26</v>
      </c>
      <c r="E80" s="69"/>
      <c r="F80" s="49" t="s">
        <v>3058</v>
      </c>
      <c r="G80" s="2352">
        <f>+$H$4</f>
        <v>40</v>
      </c>
      <c r="H80" s="2353" t="s">
        <v>3059</v>
      </c>
      <c r="I80" s="2354"/>
      <c r="J80" s="2354"/>
      <c r="K80" s="1847"/>
    </row>
    <row r="81" spans="1:11" x14ac:dyDescent="0.35">
      <c r="A81" s="290" t="s">
        <v>2481</v>
      </c>
      <c r="B81" s="49">
        <v>4.5999999999999996</v>
      </c>
      <c r="C81" s="49">
        <v>34.58</v>
      </c>
      <c r="D81" s="49">
        <v>274.58</v>
      </c>
      <c r="E81" s="69"/>
      <c r="F81" s="49" t="s">
        <v>3060</v>
      </c>
      <c r="G81" s="2352">
        <f>119*0.5</f>
        <v>59.5</v>
      </c>
      <c r="H81" s="2353" t="s">
        <v>3061</v>
      </c>
      <c r="I81" s="2354"/>
      <c r="J81" s="2354"/>
      <c r="K81" s="1847"/>
    </row>
    <row r="82" spans="1:11" x14ac:dyDescent="0.35">
      <c r="A82" s="290" t="s">
        <v>2482</v>
      </c>
      <c r="B82" s="49">
        <v>3.92</v>
      </c>
      <c r="C82" s="49">
        <v>36.24</v>
      </c>
      <c r="D82" s="49">
        <v>275.51</v>
      </c>
      <c r="E82" s="69"/>
      <c r="F82" s="49" t="s">
        <v>3062</v>
      </c>
      <c r="G82" s="2355">
        <f>20/2</f>
        <v>10</v>
      </c>
      <c r="H82" s="2353" t="s">
        <v>3063</v>
      </c>
      <c r="I82" s="2354"/>
      <c r="J82" s="2354"/>
      <c r="K82" s="1847"/>
    </row>
    <row r="83" spans="1:11" x14ac:dyDescent="0.35">
      <c r="A83" s="290" t="s">
        <v>2483</v>
      </c>
      <c r="B83" s="49">
        <v>3.07</v>
      </c>
      <c r="C83" s="49">
        <v>39.07</v>
      </c>
      <c r="D83" s="49">
        <v>277.08</v>
      </c>
      <c r="E83" s="69"/>
      <c r="F83" s="49" t="s">
        <v>3064</v>
      </c>
      <c r="G83" s="2352">
        <f>+G81*$G$80</f>
        <v>2380</v>
      </c>
      <c r="H83" s="2353"/>
      <c r="I83" s="2354"/>
      <c r="J83" s="2354"/>
      <c r="K83" s="1847"/>
    </row>
    <row r="84" spans="1:11" ht="15" thickBot="1" x14ac:dyDescent="0.4">
      <c r="A84" s="290" t="s">
        <v>3041</v>
      </c>
      <c r="B84" s="49">
        <f>+B79*10%+B80*60%+B81*30%</f>
        <v>4.6319999999999997</v>
      </c>
      <c r="C84" s="49">
        <f>+C79*10%+C80*60%+C81*30%</f>
        <v>33.930999999999997</v>
      </c>
      <c r="D84" s="49">
        <f>+D79*10%+D80*60%+D81*30%</f>
        <v>274.22399999999999</v>
      </c>
      <c r="E84" s="69"/>
      <c r="F84" s="2356" t="s">
        <v>3065</v>
      </c>
      <c r="G84" s="2357">
        <f>+G82*$G$80</f>
        <v>400</v>
      </c>
      <c r="H84" s="2353"/>
      <c r="I84" s="2354"/>
      <c r="J84" s="2354"/>
      <c r="K84" s="1847"/>
    </row>
    <row r="85" spans="1:11" ht="15" thickTop="1" x14ac:dyDescent="0.35">
      <c r="A85" s="99"/>
      <c r="B85" s="69"/>
      <c r="C85" s="69"/>
      <c r="D85" s="69"/>
      <c r="E85" s="69"/>
      <c r="F85" s="351" t="s">
        <v>1357</v>
      </c>
      <c r="G85" s="2358">
        <f>+SUM(G83:G84)</f>
        <v>2780</v>
      </c>
      <c r="H85" s="710"/>
      <c r="I85" s="72"/>
      <c r="J85" s="72"/>
      <c r="K85" s="73"/>
    </row>
    <row r="86" spans="1:11" x14ac:dyDescent="0.35">
      <c r="A86" s="99"/>
      <c r="B86" s="69"/>
      <c r="C86" s="69"/>
      <c r="D86" s="69"/>
      <c r="E86" s="69"/>
      <c r="F86" s="69"/>
      <c r="G86" s="69"/>
      <c r="H86" s="69"/>
      <c r="I86" s="69"/>
      <c r="J86" s="69"/>
      <c r="K86" s="69"/>
    </row>
    <row r="87" spans="1:11" x14ac:dyDescent="0.35">
      <c r="A87" s="99"/>
      <c r="B87" s="69"/>
      <c r="C87" s="69"/>
      <c r="D87" s="69"/>
      <c r="E87" s="69"/>
      <c r="F87" s="69"/>
      <c r="G87" s="69"/>
      <c r="H87" s="69"/>
      <c r="I87" s="69"/>
      <c r="J87" s="69"/>
      <c r="K87" s="69"/>
    </row>
    <row r="88" spans="1:11" x14ac:dyDescent="0.35">
      <c r="A88" s="99"/>
      <c r="B88" s="69"/>
      <c r="C88" s="69"/>
      <c r="D88" s="69"/>
      <c r="E88" s="69"/>
      <c r="F88" s="69"/>
      <c r="G88" s="69"/>
      <c r="H88" s="69"/>
      <c r="I88" s="69"/>
      <c r="J88" s="69"/>
      <c r="K88" s="69"/>
    </row>
    <row r="89" spans="1:11" x14ac:dyDescent="0.35">
      <c r="A89" s="99"/>
      <c r="B89" s="69"/>
      <c r="C89" s="69"/>
      <c r="D89" s="69"/>
      <c r="E89" s="69"/>
      <c r="F89" s="69"/>
      <c r="G89" s="69"/>
      <c r="H89" s="69"/>
      <c r="I89" s="69"/>
      <c r="J89" s="69"/>
      <c r="K89" s="69"/>
    </row>
    <row r="90" spans="1:11" x14ac:dyDescent="0.35">
      <c r="A90" s="99"/>
      <c r="B90" s="69"/>
      <c r="C90" s="69"/>
      <c r="D90" s="69"/>
      <c r="E90" s="69"/>
      <c r="F90" s="69"/>
      <c r="G90" s="69"/>
      <c r="H90" s="69"/>
      <c r="I90" s="69"/>
      <c r="J90" s="69"/>
      <c r="K90" s="69"/>
    </row>
    <row r="91" spans="1:11" x14ac:dyDescent="0.35">
      <c r="A91" s="99"/>
      <c r="B91" s="69"/>
      <c r="C91" s="69"/>
      <c r="D91" s="69"/>
      <c r="E91" s="69"/>
      <c r="F91" s="69"/>
      <c r="G91" s="69"/>
      <c r="H91" s="69"/>
      <c r="I91" s="69"/>
      <c r="J91" s="69"/>
      <c r="K91" s="69"/>
    </row>
    <row r="92" spans="1:11" x14ac:dyDescent="0.35">
      <c r="A92" s="3248" t="s">
        <v>3066</v>
      </c>
      <c r="B92" s="3249"/>
      <c r="C92" s="3249"/>
      <c r="D92" s="3249"/>
      <c r="E92" s="3249"/>
      <c r="F92" s="3249"/>
      <c r="G92" s="3249"/>
      <c r="H92" s="3249"/>
      <c r="I92" s="69"/>
      <c r="J92" s="69"/>
      <c r="K92" s="69"/>
    </row>
    <row r="93" spans="1:11" x14ac:dyDescent="0.35">
      <c r="A93" s="2359" t="s">
        <v>3067</v>
      </c>
      <c r="B93" s="945" t="s">
        <v>3005</v>
      </c>
      <c r="C93" s="945" t="s">
        <v>3068</v>
      </c>
      <c r="D93" s="945" t="s">
        <v>2389</v>
      </c>
      <c r="E93" s="945" t="s">
        <v>2390</v>
      </c>
      <c r="F93" s="945" t="s">
        <v>3069</v>
      </c>
      <c r="G93" s="945" t="s">
        <v>3070</v>
      </c>
      <c r="H93" s="786" t="s">
        <v>2976</v>
      </c>
      <c r="I93" s="69"/>
      <c r="J93" s="69"/>
      <c r="K93" s="69"/>
    </row>
    <row r="94" spans="1:11" x14ac:dyDescent="0.35">
      <c r="A94" s="290">
        <v>1</v>
      </c>
      <c r="B94" s="49">
        <v>8</v>
      </c>
      <c r="C94" s="49">
        <v>55.18</v>
      </c>
      <c r="D94" s="49">
        <v>53.16</v>
      </c>
      <c r="E94" s="49">
        <v>45.7</v>
      </c>
      <c r="F94" s="49">
        <v>31.09</v>
      </c>
      <c r="G94" s="49">
        <v>25.67</v>
      </c>
      <c r="H94" s="579">
        <f>+C94*[5]Lists!$M$4+'4.4.38'!D94*[5]Lists!$M$5+'4.4.38'!E94*[5]Lists!$M$7</f>
        <v>48.449999999999996</v>
      </c>
      <c r="I94" s="69">
        <f>8*H94</f>
        <v>387.59999999999997</v>
      </c>
      <c r="J94" s="69"/>
      <c r="K94" s="69"/>
    </row>
    <row r="95" spans="1:11" x14ac:dyDescent="0.35">
      <c r="A95" s="290">
        <v>2</v>
      </c>
      <c r="B95" s="49">
        <v>16</v>
      </c>
      <c r="C95" s="49">
        <v>68.19</v>
      </c>
      <c r="D95" s="49">
        <v>65.31</v>
      </c>
      <c r="E95" s="49">
        <v>56.17</v>
      </c>
      <c r="F95" s="49">
        <v>38.72</v>
      </c>
      <c r="G95" s="49">
        <v>32.659999999999997</v>
      </c>
      <c r="H95" s="579">
        <f>+C95*[5]Lists!$M$4+'4.4.38'!D95*[5]Lists!$M$5+'4.4.38'!E95*[5]Lists!$M$7</f>
        <v>59.643000000000001</v>
      </c>
      <c r="I95" s="69">
        <f>8*H95</f>
        <v>477.14400000000001</v>
      </c>
      <c r="J95" s="69"/>
      <c r="K95" s="69"/>
    </row>
    <row r="96" spans="1:11" x14ac:dyDescent="0.35">
      <c r="A96" s="290">
        <v>3</v>
      </c>
      <c r="B96" s="49">
        <v>24</v>
      </c>
      <c r="C96" s="49">
        <v>77.92</v>
      </c>
      <c r="D96" s="49">
        <v>74.34</v>
      </c>
      <c r="E96" s="49">
        <v>63.96</v>
      </c>
      <c r="F96" s="49">
        <v>44.45</v>
      </c>
      <c r="G96" s="49">
        <v>37.97</v>
      </c>
      <c r="H96" s="579">
        <f>+C96*[5]Lists!$M$4+'4.4.38'!D96*[5]Lists!$M$5+'4.4.38'!E96*[5]Lists!$M$7</f>
        <v>67.98</v>
      </c>
      <c r="I96" s="69">
        <f>8*H96</f>
        <v>543.84</v>
      </c>
      <c r="J96" s="69"/>
      <c r="K96" s="69"/>
    </row>
    <row r="97" spans="1:11" x14ac:dyDescent="0.35">
      <c r="A97" s="290">
        <v>4</v>
      </c>
      <c r="B97" s="49">
        <v>32</v>
      </c>
      <c r="C97" s="49">
        <v>86.04</v>
      </c>
      <c r="D97" s="49">
        <v>81.849999999999994</v>
      </c>
      <c r="E97" s="49">
        <v>70.44</v>
      </c>
      <c r="F97" s="49">
        <v>49.25</v>
      </c>
      <c r="G97" s="49">
        <v>42.44</v>
      </c>
      <c r="H97" s="579">
        <f>+C97*[5]Lists!$M$4+'4.4.38'!D97*[5]Lists!$M$5+'4.4.38'!E97*[5]Lists!$M$7</f>
        <v>74.921999999999997</v>
      </c>
      <c r="I97" s="69">
        <f>8*H97</f>
        <v>599.37599999999998</v>
      </c>
      <c r="J97" s="69"/>
      <c r="K97" s="69"/>
    </row>
    <row r="98" spans="1:11" x14ac:dyDescent="0.35">
      <c r="A98" s="290">
        <v>5</v>
      </c>
      <c r="B98" s="49">
        <v>40</v>
      </c>
      <c r="C98" s="49">
        <v>93.15</v>
      </c>
      <c r="D98" s="49">
        <v>88.42</v>
      </c>
      <c r="E98" s="49">
        <v>76.11</v>
      </c>
      <c r="F98" s="49">
        <v>53.46</v>
      </c>
      <c r="G98" s="49">
        <v>46.37</v>
      </c>
      <c r="H98" s="579">
        <f>+C98*[5]Lists!$M$4+'4.4.38'!D98*[5]Lists!$M$5+'4.4.38'!E98*[5]Lists!$M$7</f>
        <v>80.997</v>
      </c>
      <c r="I98" s="69">
        <f>8*H98</f>
        <v>647.976</v>
      </c>
      <c r="J98" s="69"/>
      <c r="K98" s="69"/>
    </row>
    <row r="99" spans="1:11" x14ac:dyDescent="0.35">
      <c r="A99" s="290">
        <v>6</v>
      </c>
      <c r="B99" s="49">
        <v>48</v>
      </c>
      <c r="C99" s="49">
        <v>99.56</v>
      </c>
      <c r="D99" s="49">
        <v>94.34</v>
      </c>
      <c r="E99" s="49">
        <v>81.22</v>
      </c>
      <c r="F99" s="49">
        <v>57.26</v>
      </c>
      <c r="G99" s="49">
        <v>49.93</v>
      </c>
      <c r="H99" s="579">
        <f>+C99*[5]Lists!$M$4+'4.4.38'!D99*[5]Lists!$M$5+'4.4.38'!E99*[5]Lists!$M$7</f>
        <v>86.471999999999994</v>
      </c>
      <c r="I99" s="69"/>
      <c r="J99" s="69"/>
      <c r="K99" s="69"/>
    </row>
    <row r="100" spans="1:11" x14ac:dyDescent="0.35">
      <c r="A100" s="290">
        <v>7</v>
      </c>
      <c r="B100" s="49">
        <v>56</v>
      </c>
      <c r="C100" s="49">
        <v>105.44</v>
      </c>
      <c r="D100" s="49">
        <v>99.76</v>
      </c>
      <c r="E100" s="49">
        <v>85.9</v>
      </c>
      <c r="F100" s="49">
        <v>60.75</v>
      </c>
      <c r="G100" s="49">
        <v>53.2</v>
      </c>
      <c r="H100" s="579">
        <f>+C100*[5]Lists!$M$4+'4.4.38'!D100*[5]Lists!$M$5+'4.4.38'!E100*[5]Lists!$M$7</f>
        <v>91.488</v>
      </c>
      <c r="I100" s="69"/>
      <c r="J100" s="69"/>
      <c r="K100" s="69"/>
    </row>
    <row r="101" spans="1:11" x14ac:dyDescent="0.35">
      <c r="A101" s="290">
        <v>8</v>
      </c>
      <c r="B101" s="49">
        <v>64</v>
      </c>
      <c r="C101" s="49">
        <v>110.91</v>
      </c>
      <c r="D101" s="49">
        <v>104.8</v>
      </c>
      <c r="E101" s="49">
        <v>90.25</v>
      </c>
      <c r="F101" s="49">
        <v>63.99</v>
      </c>
      <c r="G101" s="49">
        <v>56.24</v>
      </c>
      <c r="H101" s="579">
        <f>+C101*[5]Lists!$M$4+'4.4.38'!D101*[5]Lists!$M$5+'4.4.38'!E101*[5]Lists!$M$7</f>
        <v>96.152999999999992</v>
      </c>
      <c r="I101" s="69"/>
      <c r="J101" s="69"/>
      <c r="K101" s="69"/>
    </row>
    <row r="102" spans="1:11" x14ac:dyDescent="0.35">
      <c r="A102" s="290">
        <v>9</v>
      </c>
      <c r="B102" s="49">
        <v>72</v>
      </c>
      <c r="C102" s="49">
        <v>116.04</v>
      </c>
      <c r="D102" s="49">
        <v>109.53</v>
      </c>
      <c r="E102" s="49">
        <v>94.33</v>
      </c>
      <c r="F102" s="49">
        <v>67.040000000000006</v>
      </c>
      <c r="G102" s="49">
        <v>59.11</v>
      </c>
      <c r="H102" s="579">
        <f>+C102*[5]Lists!$M$4+'4.4.38'!D102*[5]Lists!$M$5+'4.4.38'!E102*[5]Lists!$M$7</f>
        <v>100.53</v>
      </c>
      <c r="I102" s="69"/>
      <c r="J102" s="69"/>
      <c r="K102" s="69"/>
    </row>
    <row r="103" spans="1:11" x14ac:dyDescent="0.35">
      <c r="A103" s="290">
        <v>10</v>
      </c>
      <c r="B103" s="49">
        <v>80</v>
      </c>
      <c r="C103" s="49">
        <v>120.89</v>
      </c>
      <c r="D103" s="49">
        <v>114</v>
      </c>
      <c r="E103" s="49">
        <v>98.19</v>
      </c>
      <c r="F103" s="49">
        <v>69.92</v>
      </c>
      <c r="G103" s="49">
        <v>61.81</v>
      </c>
      <c r="H103" s="579">
        <f>+C103*[5]Lists!$M$4+'4.4.38'!D103*[5]Lists!$M$5+'4.4.38'!E103*[5]Lists!$M$7</f>
        <v>104.66699999999999</v>
      </c>
      <c r="I103" s="69"/>
      <c r="J103" s="69"/>
      <c r="K103" s="69"/>
    </row>
    <row r="104" spans="1:11" x14ac:dyDescent="0.35">
      <c r="A104" s="290">
        <v>12</v>
      </c>
      <c r="B104" s="49">
        <v>96</v>
      </c>
      <c r="C104" s="49">
        <v>129.91999999999999</v>
      </c>
      <c r="D104" s="49">
        <v>122.31</v>
      </c>
      <c r="E104" s="49">
        <v>105.36</v>
      </c>
      <c r="F104" s="49">
        <v>75.290000000000006</v>
      </c>
      <c r="G104" s="49">
        <v>66.849999999999994</v>
      </c>
      <c r="H104" s="579">
        <f>+C104*[5]Lists!$M$4+'4.4.38'!D104*[5]Lists!$M$5+'4.4.38'!E104*[5]Lists!$M$7</f>
        <v>112.36199999999999</v>
      </c>
      <c r="I104" s="69"/>
      <c r="J104" s="69"/>
      <c r="K104" s="69"/>
    </row>
    <row r="105" spans="1:11" x14ac:dyDescent="0.35">
      <c r="A105" s="290">
        <v>14</v>
      </c>
      <c r="B105" s="49">
        <v>112</v>
      </c>
      <c r="C105" s="49">
        <v>138.21</v>
      </c>
      <c r="D105" s="49">
        <v>129.94</v>
      </c>
      <c r="E105" s="49">
        <v>111.95</v>
      </c>
      <c r="F105" s="49">
        <v>80.22</v>
      </c>
      <c r="G105" s="49">
        <v>71.489999999999995</v>
      </c>
      <c r="H105" s="579">
        <f>+C105*[5]Lists!$M$4+'4.4.38'!D105*[5]Lists!$M$5+'4.4.38'!E105*[5]Lists!$M$7</f>
        <v>119.42699999999999</v>
      </c>
      <c r="I105" s="69"/>
      <c r="J105" s="69"/>
      <c r="K105" s="69"/>
    </row>
    <row r="106" spans="1:11" x14ac:dyDescent="0.35">
      <c r="A106" s="290">
        <v>16</v>
      </c>
      <c r="B106" s="49">
        <v>128</v>
      </c>
      <c r="C106" s="49">
        <v>145.93</v>
      </c>
      <c r="D106" s="49">
        <v>137.04</v>
      </c>
      <c r="E106" s="49">
        <v>118.08</v>
      </c>
      <c r="F106" s="49">
        <v>84.81</v>
      </c>
      <c r="G106" s="49">
        <v>75.819999999999993</v>
      </c>
      <c r="H106" s="579">
        <f>+C106*[5]Lists!$M$4+'4.4.38'!D106*[5]Lists!$M$5+'4.4.38'!E106*[5]Lists!$M$7</f>
        <v>126.00299999999999</v>
      </c>
      <c r="I106" s="69"/>
      <c r="J106" s="69"/>
      <c r="K106" s="69"/>
    </row>
    <row r="107" spans="1:11" x14ac:dyDescent="0.35">
      <c r="A107" s="290">
        <v>18</v>
      </c>
      <c r="B107" s="49">
        <v>144</v>
      </c>
      <c r="C107" s="49">
        <v>153.19</v>
      </c>
      <c r="D107" s="49">
        <v>143.72</v>
      </c>
      <c r="E107" s="49">
        <v>123.84</v>
      </c>
      <c r="F107" s="49">
        <v>89.13</v>
      </c>
      <c r="G107" s="49">
        <v>79.88</v>
      </c>
      <c r="H107" s="579">
        <f>+C107*[5]Lists!$M$4+'4.4.38'!D107*[5]Lists!$M$5+'4.4.38'!E107*[5]Lists!$M$7</f>
        <v>132.18899999999999</v>
      </c>
      <c r="I107" s="69"/>
      <c r="J107" s="69"/>
      <c r="K107" s="69"/>
    </row>
    <row r="108" spans="1:11" x14ac:dyDescent="0.35">
      <c r="A108" s="290">
        <v>20</v>
      </c>
      <c r="B108" s="49">
        <v>160</v>
      </c>
      <c r="C108" s="49">
        <v>160.05000000000001</v>
      </c>
      <c r="D108" s="49">
        <v>150.03</v>
      </c>
      <c r="E108" s="49">
        <v>129.29</v>
      </c>
      <c r="F108" s="49">
        <v>93.21</v>
      </c>
      <c r="G108" s="49">
        <v>83.72</v>
      </c>
      <c r="H108" s="579">
        <f>+C108*[5]Lists!$M$4+'4.4.38'!D108*[5]Lists!$M$5+'4.4.38'!E108*[5]Lists!$M$7</f>
        <v>138.03300000000002</v>
      </c>
      <c r="I108" s="69"/>
      <c r="J108" s="69"/>
      <c r="K108" s="69"/>
    </row>
    <row r="109" spans="1:11" x14ac:dyDescent="0.35">
      <c r="A109" s="290">
        <v>22</v>
      </c>
      <c r="B109" s="49">
        <v>176</v>
      </c>
      <c r="C109" s="49">
        <v>166.59</v>
      </c>
      <c r="D109" s="49">
        <v>156.03</v>
      </c>
      <c r="E109" s="49">
        <v>134.47</v>
      </c>
      <c r="F109" s="49">
        <v>97.1</v>
      </c>
      <c r="G109" s="49">
        <v>87.38</v>
      </c>
      <c r="H109" s="579">
        <f>+C109*[5]Lists!$M$4+'4.4.38'!D109*[5]Lists!$M$5+'4.4.38'!E109*[5]Lists!$M$7</f>
        <v>143.595</v>
      </c>
      <c r="I109" s="69"/>
      <c r="J109" s="69"/>
      <c r="K109" s="69"/>
    </row>
    <row r="110" spans="1:11" x14ac:dyDescent="0.35">
      <c r="A110" s="290">
        <v>24</v>
      </c>
      <c r="B110" s="49">
        <v>192</v>
      </c>
      <c r="C110" s="49">
        <v>172.83</v>
      </c>
      <c r="D110" s="49">
        <v>161.77000000000001</v>
      </c>
      <c r="E110" s="49">
        <v>139.41999999999999</v>
      </c>
      <c r="F110" s="49">
        <v>100.82</v>
      </c>
      <c r="G110" s="49">
        <v>90.88</v>
      </c>
      <c r="H110" s="579">
        <f>+C110*[5]Lists!$M$4+'4.4.38'!D110*[5]Lists!$M$5+'4.4.38'!E110*[5]Lists!$M$7</f>
        <v>148.911</v>
      </c>
      <c r="I110" s="69"/>
      <c r="J110" s="69"/>
      <c r="K110" s="69"/>
    </row>
    <row r="111" spans="1:11" x14ac:dyDescent="0.35">
      <c r="A111" s="290">
        <v>26</v>
      </c>
      <c r="B111" s="49">
        <v>208</v>
      </c>
      <c r="C111" s="49">
        <v>178.82</v>
      </c>
      <c r="D111" s="49">
        <v>167.28</v>
      </c>
      <c r="E111" s="49">
        <v>144.18</v>
      </c>
      <c r="F111" s="49">
        <v>104.38</v>
      </c>
      <c r="G111" s="49">
        <v>94.23</v>
      </c>
      <c r="H111" s="579">
        <f>+C111*[5]Lists!$M$4+'4.4.38'!D111*[5]Lists!$M$5+'4.4.38'!E111*[5]Lists!$M$7</f>
        <v>154.01399999999998</v>
      </c>
      <c r="I111" s="69"/>
      <c r="J111" s="69"/>
      <c r="K111" s="69"/>
    </row>
    <row r="112" spans="1:11" x14ac:dyDescent="0.35">
      <c r="A112" s="290">
        <v>28</v>
      </c>
      <c r="B112" s="49">
        <v>224</v>
      </c>
      <c r="C112" s="49">
        <v>184.58</v>
      </c>
      <c r="D112" s="49">
        <v>172.57</v>
      </c>
      <c r="E112" s="49">
        <v>148.75</v>
      </c>
      <c r="F112" s="49">
        <v>107.81</v>
      </c>
      <c r="G112" s="49">
        <v>97.46</v>
      </c>
      <c r="H112" s="579">
        <f>+C112*[5]Lists!$M$4+'4.4.38'!D112*[5]Lists!$M$5+'4.4.38'!E112*[5]Lists!$M$7</f>
        <v>158.916</v>
      </c>
      <c r="I112" s="69"/>
      <c r="J112" s="69"/>
      <c r="K112" s="69"/>
    </row>
    <row r="113" spans="1:11" x14ac:dyDescent="0.35">
      <c r="A113" s="290">
        <v>30</v>
      </c>
      <c r="B113" s="49">
        <v>240</v>
      </c>
      <c r="C113" s="49">
        <v>190.15</v>
      </c>
      <c r="D113" s="49">
        <v>177.69</v>
      </c>
      <c r="E113" s="49">
        <v>153.16999999999999</v>
      </c>
      <c r="F113" s="49">
        <v>111.12</v>
      </c>
      <c r="G113" s="49">
        <v>100.58</v>
      </c>
      <c r="H113" s="579">
        <f>+C113*[5]Lists!$M$4+'4.4.38'!D113*[5]Lists!$M$5+'4.4.38'!E113*[5]Lists!$M$7</f>
        <v>163.65899999999999</v>
      </c>
      <c r="I113" s="69"/>
      <c r="J113" s="69"/>
      <c r="K113" s="69"/>
    </row>
    <row r="114" spans="1:11" x14ac:dyDescent="0.35">
      <c r="A114" s="99"/>
      <c r="B114" s="69"/>
      <c r="C114" s="69"/>
      <c r="D114" s="69"/>
      <c r="E114" s="69"/>
      <c r="F114" s="69"/>
      <c r="G114" s="69"/>
      <c r="H114" s="69"/>
      <c r="I114" s="69"/>
      <c r="J114" s="69"/>
      <c r="K114" s="69"/>
    </row>
    <row r="115" spans="1:11" x14ac:dyDescent="0.35">
      <c r="A115" s="99"/>
      <c r="B115" s="69"/>
      <c r="C115" s="69"/>
      <c r="D115" s="69"/>
      <c r="E115" s="69"/>
      <c r="F115" s="69"/>
      <c r="G115" s="69"/>
      <c r="H115" s="69"/>
      <c r="I115" s="69"/>
      <c r="J115" s="69"/>
      <c r="K115" s="69"/>
    </row>
    <row r="116" spans="1:11" x14ac:dyDescent="0.35">
      <c r="A116" s="99"/>
      <c r="B116" s="69"/>
      <c r="C116" s="69"/>
      <c r="D116" s="69"/>
      <c r="E116" s="69"/>
      <c r="F116" s="69"/>
      <c r="G116" s="69"/>
      <c r="H116" s="69"/>
      <c r="I116" s="69"/>
      <c r="J116" s="69"/>
      <c r="K116" s="69"/>
    </row>
    <row r="117" spans="1:11" x14ac:dyDescent="0.35">
      <c r="A117" s="3250" t="s">
        <v>3071</v>
      </c>
      <c r="B117" s="3251"/>
      <c r="C117" s="3251"/>
      <c r="D117" s="3251"/>
      <c r="E117" s="3251"/>
      <c r="F117" s="3251"/>
      <c r="G117" s="3251"/>
      <c r="H117" s="3251"/>
      <c r="I117" s="69"/>
      <c r="J117" s="69"/>
      <c r="K117" s="69"/>
    </row>
    <row r="118" spans="1:11" x14ac:dyDescent="0.35">
      <c r="A118" s="2360" t="s">
        <v>3067</v>
      </c>
      <c r="B118" s="786" t="s">
        <v>3005</v>
      </c>
      <c r="C118" s="786" t="s">
        <v>3068</v>
      </c>
      <c r="D118" s="786" t="s">
        <v>2389</v>
      </c>
      <c r="E118" s="786" t="s">
        <v>2390</v>
      </c>
      <c r="F118" s="786" t="s">
        <v>3069</v>
      </c>
      <c r="G118" s="786" t="s">
        <v>3070</v>
      </c>
      <c r="H118" s="786" t="s">
        <v>2976</v>
      </c>
      <c r="I118" s="69"/>
      <c r="J118" s="69"/>
      <c r="K118" s="69"/>
    </row>
    <row r="119" spans="1:11" x14ac:dyDescent="0.35">
      <c r="A119" s="2360" t="s">
        <v>3072</v>
      </c>
      <c r="B119" s="786">
        <v>2</v>
      </c>
      <c r="C119" s="786">
        <f t="shared" ref="C119:H119" si="2">+B119+1</f>
        <v>3</v>
      </c>
      <c r="D119" s="786">
        <f t="shared" si="2"/>
        <v>4</v>
      </c>
      <c r="E119" s="786">
        <f t="shared" si="2"/>
        <v>5</v>
      </c>
      <c r="F119" s="786">
        <f t="shared" si="2"/>
        <v>6</v>
      </c>
      <c r="G119" s="786">
        <f t="shared" si="2"/>
        <v>7</v>
      </c>
      <c r="H119" s="786">
        <f t="shared" si="2"/>
        <v>8</v>
      </c>
      <c r="I119" s="69"/>
      <c r="J119" s="69"/>
      <c r="K119" s="69"/>
    </row>
    <row r="120" spans="1:11" x14ac:dyDescent="0.35">
      <c r="A120" s="290">
        <v>1</v>
      </c>
      <c r="B120" s="49">
        <v>8</v>
      </c>
      <c r="C120" s="49">
        <v>6.12</v>
      </c>
      <c r="D120" s="49">
        <v>5.9</v>
      </c>
      <c r="E120" s="49">
        <v>5.07</v>
      </c>
      <c r="F120" s="49">
        <v>3.45</v>
      </c>
      <c r="G120" s="49">
        <v>2.85</v>
      </c>
      <c r="H120" s="579">
        <f>+C120*[5]Lists!$M$4+'4.4.38'!D120*[5]Lists!$M$5+'4.4.38'!E120*[5]Lists!$M$7</f>
        <v>5.3759999999999994</v>
      </c>
      <c r="I120" s="69"/>
      <c r="J120" s="69"/>
      <c r="K120" s="69"/>
    </row>
    <row r="121" spans="1:11" x14ac:dyDescent="0.35">
      <c r="A121" s="290">
        <v>2</v>
      </c>
      <c r="B121" s="49">
        <v>16</v>
      </c>
      <c r="C121" s="49">
        <v>7.56</v>
      </c>
      <c r="D121" s="49">
        <v>7.24</v>
      </c>
      <c r="E121" s="49">
        <v>6.23</v>
      </c>
      <c r="F121" s="49">
        <v>4.29</v>
      </c>
      <c r="G121" s="49">
        <v>3.62</v>
      </c>
      <c r="H121" s="579">
        <f>+C121*[5]Lists!$M$4+'4.4.38'!D121*[5]Lists!$M$5+'4.4.38'!E121*[5]Lists!$M$7</f>
        <v>6.6120000000000001</v>
      </c>
      <c r="I121" s="69"/>
      <c r="J121" s="69"/>
      <c r="K121" s="69"/>
    </row>
    <row r="122" spans="1:11" x14ac:dyDescent="0.35">
      <c r="A122" s="290">
        <v>3</v>
      </c>
      <c r="B122" s="49">
        <v>24</v>
      </c>
      <c r="C122" s="49">
        <v>8.64</v>
      </c>
      <c r="D122" s="49">
        <v>8.24</v>
      </c>
      <c r="E122" s="49">
        <v>7.09</v>
      </c>
      <c r="F122" s="49">
        <v>4.93</v>
      </c>
      <c r="G122" s="49">
        <v>4.21</v>
      </c>
      <c r="H122" s="579">
        <f>+C122*[5]Lists!$M$4+'4.4.38'!D122*[5]Lists!$M$5+'4.4.38'!E122*[5]Lists!$M$7</f>
        <v>7.5359999999999996</v>
      </c>
      <c r="I122" s="69"/>
      <c r="J122" s="69"/>
      <c r="K122" s="69"/>
    </row>
    <row r="123" spans="1:11" x14ac:dyDescent="0.35">
      <c r="A123" s="290">
        <v>4</v>
      </c>
      <c r="B123" s="49">
        <v>32</v>
      </c>
      <c r="C123" s="49">
        <v>9.5399999999999991</v>
      </c>
      <c r="D123" s="49">
        <v>9.08</v>
      </c>
      <c r="E123" s="49">
        <v>7.81</v>
      </c>
      <c r="F123" s="49">
        <v>5.46</v>
      </c>
      <c r="G123" s="49">
        <v>4.71</v>
      </c>
      <c r="H123" s="579">
        <f>+C123*[5]Lists!$M$4+'4.4.38'!D123*[5]Lists!$M$5+'4.4.38'!E123*[5]Lists!$M$7</f>
        <v>8.3099999999999987</v>
      </c>
      <c r="I123" s="69"/>
      <c r="J123" s="69"/>
      <c r="K123" s="69"/>
    </row>
    <row r="124" spans="1:11" x14ac:dyDescent="0.35">
      <c r="A124" s="290">
        <v>5</v>
      </c>
      <c r="B124" s="49">
        <v>40</v>
      </c>
      <c r="C124" s="49">
        <v>10.33</v>
      </c>
      <c r="D124" s="49">
        <v>9.81</v>
      </c>
      <c r="E124" s="49">
        <v>8.44</v>
      </c>
      <c r="F124" s="49">
        <v>5.93</v>
      </c>
      <c r="G124" s="49">
        <v>5.14</v>
      </c>
      <c r="H124" s="579">
        <f>+C124*[5]Lists!$M$4+'4.4.38'!D124*[5]Lists!$M$5+'4.4.38'!E124*[5]Lists!$M$7</f>
        <v>8.9849999999999994</v>
      </c>
      <c r="I124" s="69"/>
      <c r="J124" s="69"/>
      <c r="K124" s="69"/>
    </row>
    <row r="125" spans="1:11" x14ac:dyDescent="0.35">
      <c r="A125" s="290">
        <v>6</v>
      </c>
      <c r="B125" s="49">
        <v>48</v>
      </c>
      <c r="C125" s="49">
        <v>11.04</v>
      </c>
      <c r="D125" s="49">
        <v>10.46</v>
      </c>
      <c r="E125" s="49">
        <v>9.01</v>
      </c>
      <c r="F125" s="49">
        <v>6.35</v>
      </c>
      <c r="G125" s="49">
        <v>5.54</v>
      </c>
      <c r="H125" s="579">
        <f>+C125*[5]Lists!$M$4+'4.4.38'!D125*[5]Lists!$M$5+'4.4.38'!E125*[5]Lists!$M$7</f>
        <v>9.588000000000001</v>
      </c>
      <c r="I125" s="69"/>
      <c r="J125" s="69"/>
      <c r="K125" s="69"/>
    </row>
    <row r="126" spans="1:11" x14ac:dyDescent="0.35">
      <c r="A126" s="290">
        <v>7</v>
      </c>
      <c r="B126" s="49">
        <v>56</v>
      </c>
      <c r="C126" s="49">
        <v>11.69</v>
      </c>
      <c r="D126" s="49">
        <v>11.06</v>
      </c>
      <c r="E126" s="49">
        <v>9.5299999999999994</v>
      </c>
      <c r="F126" s="49">
        <v>6.74</v>
      </c>
      <c r="G126" s="49">
        <v>5.9</v>
      </c>
      <c r="H126" s="579">
        <f>+C126*[5]Lists!$M$4+'4.4.38'!D126*[5]Lists!$M$5+'4.4.38'!E126*[5]Lists!$M$7</f>
        <v>10.143000000000001</v>
      </c>
      <c r="I126" s="69"/>
      <c r="J126" s="69"/>
      <c r="K126" s="69"/>
    </row>
    <row r="127" spans="1:11" x14ac:dyDescent="0.35">
      <c r="A127" s="290">
        <v>8</v>
      </c>
      <c r="B127" s="49">
        <v>64</v>
      </c>
      <c r="C127" s="49">
        <v>12.3</v>
      </c>
      <c r="D127" s="49">
        <v>11.62</v>
      </c>
      <c r="E127" s="49">
        <v>10.01</v>
      </c>
      <c r="F127" s="49">
        <v>7.1</v>
      </c>
      <c r="G127" s="49">
        <v>6.24</v>
      </c>
      <c r="H127" s="579">
        <f>+C127*[5]Lists!$M$4+'4.4.38'!D127*[5]Lists!$M$5+'4.4.38'!E127*[5]Lists!$M$7</f>
        <v>10.661999999999999</v>
      </c>
      <c r="I127" s="69"/>
      <c r="J127" s="69"/>
      <c r="K127" s="69"/>
    </row>
    <row r="128" spans="1:11" x14ac:dyDescent="0.35">
      <c r="A128" s="290">
        <v>9</v>
      </c>
      <c r="B128" s="49">
        <v>72</v>
      </c>
      <c r="C128" s="49">
        <v>12.87</v>
      </c>
      <c r="D128" s="49">
        <v>12.15</v>
      </c>
      <c r="E128" s="49">
        <v>10.46</v>
      </c>
      <c r="F128" s="49">
        <v>7.43</v>
      </c>
      <c r="G128" s="49">
        <v>6.55</v>
      </c>
      <c r="H128" s="579">
        <f>+C128*[5]Lists!$M$4+'4.4.38'!D128*[5]Lists!$M$5+'4.4.38'!E128*[5]Lists!$M$7</f>
        <v>11.151</v>
      </c>
      <c r="I128" s="69"/>
      <c r="J128" s="69"/>
      <c r="K128" s="69"/>
    </row>
    <row r="129" spans="1:11" x14ac:dyDescent="0.35">
      <c r="A129" s="290">
        <v>10</v>
      </c>
      <c r="B129" s="49">
        <v>80</v>
      </c>
      <c r="C129" s="49">
        <v>13.41</v>
      </c>
      <c r="D129" s="49">
        <v>12.64</v>
      </c>
      <c r="E129" s="49">
        <v>10.89</v>
      </c>
      <c r="F129" s="49">
        <v>7.75</v>
      </c>
      <c r="G129" s="49">
        <v>6.85</v>
      </c>
      <c r="H129" s="579">
        <f>+C129*[5]Lists!$M$4+'4.4.38'!D129*[5]Lists!$M$5+'4.4.38'!E129*[5]Lists!$M$7</f>
        <v>11.606999999999999</v>
      </c>
      <c r="I129" s="69"/>
      <c r="J129" s="69"/>
      <c r="K129" s="69"/>
    </row>
    <row r="130" spans="1:11" x14ac:dyDescent="0.35">
      <c r="A130" s="290">
        <v>12</v>
      </c>
      <c r="B130" s="49">
        <v>96</v>
      </c>
      <c r="C130" s="49">
        <v>14.41</v>
      </c>
      <c r="D130" s="49">
        <v>13.56</v>
      </c>
      <c r="E130" s="49">
        <v>11.68</v>
      </c>
      <c r="F130" s="49">
        <v>8.35</v>
      </c>
      <c r="G130" s="49">
        <v>7.41</v>
      </c>
      <c r="H130" s="579">
        <f>+C130*[5]Lists!$M$4+'4.4.38'!D130*[5]Lists!$M$5+'4.4.38'!E130*[5]Lists!$M$7</f>
        <v>12.459</v>
      </c>
      <c r="I130" s="69"/>
      <c r="J130" s="69"/>
      <c r="K130" s="69"/>
    </row>
    <row r="131" spans="1:11" x14ac:dyDescent="0.35">
      <c r="A131" s="290">
        <v>14</v>
      </c>
      <c r="B131" s="49">
        <v>112</v>
      </c>
      <c r="C131" s="49">
        <v>15.33</v>
      </c>
      <c r="D131" s="49">
        <v>14.41</v>
      </c>
      <c r="E131" s="49">
        <v>12.41</v>
      </c>
      <c r="F131" s="49">
        <v>8.9</v>
      </c>
      <c r="G131" s="49">
        <v>7.93</v>
      </c>
      <c r="H131" s="579">
        <f>+C131*[5]Lists!$M$4+'4.4.38'!D131*[5]Lists!$M$5+'4.4.38'!E131*[5]Lists!$M$7</f>
        <v>13.244999999999999</v>
      </c>
      <c r="I131" s="69"/>
      <c r="J131" s="69"/>
      <c r="K131" s="69"/>
    </row>
    <row r="132" spans="1:11" x14ac:dyDescent="0.35">
      <c r="A132" s="290">
        <v>16</v>
      </c>
      <c r="B132" s="49">
        <v>128</v>
      </c>
      <c r="C132" s="49">
        <v>16.18</v>
      </c>
      <c r="D132" s="49">
        <v>15.2</v>
      </c>
      <c r="E132" s="49">
        <v>13.09</v>
      </c>
      <c r="F132" s="49">
        <v>9.4</v>
      </c>
      <c r="G132" s="49">
        <v>8.41</v>
      </c>
      <c r="H132" s="579">
        <f>+C132*[5]Lists!$M$4+'4.4.38'!D132*[5]Lists!$M$5+'4.4.38'!E132*[5]Lists!$M$7</f>
        <v>13.974</v>
      </c>
      <c r="I132" s="69"/>
      <c r="J132" s="69"/>
      <c r="K132" s="69"/>
    </row>
    <row r="133" spans="1:11" x14ac:dyDescent="0.35">
      <c r="A133" s="290">
        <v>18</v>
      </c>
      <c r="B133" s="49">
        <v>144</v>
      </c>
      <c r="C133" s="49">
        <v>16.989999999999998</v>
      </c>
      <c r="D133" s="49">
        <v>15.94</v>
      </c>
      <c r="E133" s="49">
        <v>13.73</v>
      </c>
      <c r="F133" s="49">
        <v>9.8800000000000008</v>
      </c>
      <c r="G133" s="49">
        <v>8.86</v>
      </c>
      <c r="H133" s="579">
        <f>+C133*[5]Lists!$M$4+'4.4.38'!D133*[5]Lists!$M$5+'4.4.38'!E133*[5]Lists!$M$7</f>
        <v>14.661</v>
      </c>
      <c r="I133" s="69"/>
      <c r="J133" s="69"/>
      <c r="K133" s="69"/>
    </row>
    <row r="134" spans="1:11" x14ac:dyDescent="0.35">
      <c r="A134" s="290">
        <v>20</v>
      </c>
      <c r="B134" s="49">
        <v>160</v>
      </c>
      <c r="C134" s="49">
        <v>17.75</v>
      </c>
      <c r="D134" s="49">
        <v>16.64</v>
      </c>
      <c r="E134" s="49">
        <v>14.34</v>
      </c>
      <c r="F134" s="49">
        <v>10.34</v>
      </c>
      <c r="G134" s="49">
        <v>9.2799999999999994</v>
      </c>
      <c r="H134" s="579">
        <f>+C134*[5]Lists!$M$4+'4.4.38'!D134*[5]Lists!$M$5+'4.4.38'!E134*[5]Lists!$M$7</f>
        <v>15.309000000000001</v>
      </c>
      <c r="I134" s="69"/>
      <c r="J134" s="69"/>
      <c r="K134" s="69"/>
    </row>
    <row r="135" spans="1:11" x14ac:dyDescent="0.35">
      <c r="A135" s="290">
        <v>22</v>
      </c>
      <c r="B135" s="49">
        <v>176</v>
      </c>
      <c r="C135" s="49">
        <v>18.47</v>
      </c>
      <c r="D135" s="49">
        <v>17.3</v>
      </c>
      <c r="E135" s="49">
        <v>14.91</v>
      </c>
      <c r="F135" s="49">
        <v>10.77</v>
      </c>
      <c r="G135" s="49">
        <v>9.69</v>
      </c>
      <c r="H135" s="579">
        <f>+C135*[5]Lists!$M$4+'4.4.38'!D135*[5]Lists!$M$5+'4.4.38'!E135*[5]Lists!$M$7</f>
        <v>15.920999999999999</v>
      </c>
      <c r="I135" s="69"/>
      <c r="J135" s="69"/>
      <c r="K135" s="69"/>
    </row>
    <row r="136" spans="1:11" x14ac:dyDescent="0.35">
      <c r="A136" s="290">
        <v>24</v>
      </c>
      <c r="B136" s="49">
        <v>192</v>
      </c>
      <c r="C136" s="49">
        <v>19.16</v>
      </c>
      <c r="D136" s="49">
        <v>17.940000000000001</v>
      </c>
      <c r="E136" s="49">
        <v>15.46</v>
      </c>
      <c r="F136" s="49">
        <v>11.18</v>
      </c>
      <c r="G136" s="49">
        <v>10.08</v>
      </c>
      <c r="H136" s="579">
        <f>+C136*[5]Lists!$M$4+'4.4.38'!D136*[5]Lists!$M$5+'4.4.38'!E136*[5]Lists!$M$7</f>
        <v>16.512</v>
      </c>
      <c r="I136" s="69"/>
      <c r="J136" s="69"/>
      <c r="K136" s="69"/>
    </row>
    <row r="137" spans="1:11" x14ac:dyDescent="0.35">
      <c r="A137" s="290">
        <v>26</v>
      </c>
      <c r="B137" s="49">
        <v>208</v>
      </c>
      <c r="C137" s="49">
        <v>19.829999999999998</v>
      </c>
      <c r="D137" s="49">
        <v>18.55</v>
      </c>
      <c r="E137" s="49">
        <v>15.99</v>
      </c>
      <c r="F137" s="49">
        <v>11.57</v>
      </c>
      <c r="G137" s="49">
        <v>10.45</v>
      </c>
      <c r="H137" s="579">
        <f>+C137*[5]Lists!$M$4+'4.4.38'!D137*[5]Lists!$M$5+'4.4.38'!E137*[5]Lists!$M$7</f>
        <v>17.079000000000001</v>
      </c>
      <c r="I137" s="69"/>
      <c r="J137" s="69"/>
      <c r="K137" s="69"/>
    </row>
    <row r="138" spans="1:11" x14ac:dyDescent="0.35">
      <c r="A138" s="290">
        <v>28</v>
      </c>
      <c r="B138" s="49">
        <v>224</v>
      </c>
      <c r="C138" s="49">
        <v>20.47</v>
      </c>
      <c r="D138" s="49">
        <v>19.14</v>
      </c>
      <c r="E138" s="49">
        <v>16.5</v>
      </c>
      <c r="F138" s="49">
        <v>11.96</v>
      </c>
      <c r="G138" s="49">
        <v>10.81</v>
      </c>
      <c r="H138" s="579">
        <f>+C138*[5]Lists!$M$4+'4.4.38'!D138*[5]Lists!$M$5+'4.4.38'!E138*[5]Lists!$M$7</f>
        <v>17.625</v>
      </c>
      <c r="I138" s="69"/>
      <c r="J138" s="69"/>
      <c r="K138" s="69"/>
    </row>
    <row r="139" spans="1:11" x14ac:dyDescent="0.35">
      <c r="A139" s="290">
        <v>30</v>
      </c>
      <c r="B139" s="49">
        <v>240</v>
      </c>
      <c r="C139" s="49">
        <v>21.09</v>
      </c>
      <c r="D139" s="49">
        <v>19.7</v>
      </c>
      <c r="E139" s="49">
        <v>16.98</v>
      </c>
      <c r="F139" s="49">
        <v>12.32</v>
      </c>
      <c r="G139" s="49">
        <v>11.15</v>
      </c>
      <c r="H139" s="579">
        <f>+C139*[5]Lists!$M$4+'4.4.38'!D139*[5]Lists!$M$5+'4.4.38'!E139*[5]Lists!$M$7</f>
        <v>18.146999999999998</v>
      </c>
      <c r="I139" s="69"/>
      <c r="J139" s="69"/>
      <c r="K139" s="69"/>
    </row>
    <row r="140" spans="1:11" x14ac:dyDescent="0.35">
      <c r="A140" s="99"/>
      <c r="B140" s="69"/>
      <c r="C140" s="69"/>
      <c r="D140" s="69"/>
      <c r="E140" s="69"/>
      <c r="F140" s="69"/>
      <c r="G140" s="69"/>
      <c r="H140" s="69"/>
      <c r="I140" s="69"/>
      <c r="J140" s="69"/>
      <c r="K140" s="69"/>
    </row>
    <row r="141" spans="1:11" x14ac:dyDescent="0.35">
      <c r="A141" s="99"/>
      <c r="B141" s="69"/>
      <c r="C141" s="69"/>
      <c r="D141" s="69"/>
      <c r="E141" s="69"/>
      <c r="F141" s="69"/>
      <c r="G141" s="69"/>
      <c r="H141" s="69"/>
      <c r="I141" s="69"/>
      <c r="J141" s="69"/>
      <c r="K141" s="69"/>
    </row>
    <row r="142" spans="1:11" ht="15" thickBot="1" x14ac:dyDescent="0.4">
      <c r="A142" s="261"/>
      <c r="B142" s="161"/>
      <c r="C142" s="161"/>
      <c r="D142" s="161"/>
      <c r="E142" s="161"/>
      <c r="F142" s="161"/>
      <c r="G142" s="161"/>
      <c r="H142" s="161"/>
      <c r="I142" s="161"/>
      <c r="J142" s="69"/>
      <c r="K142" s="69"/>
    </row>
  </sheetData>
  <dataConsolidate link="1"/>
  <mergeCells count="33">
    <mergeCell ref="F41:F42"/>
    <mergeCell ref="A92:H92"/>
    <mergeCell ref="A117:H117"/>
    <mergeCell ref="H41:H42"/>
    <mergeCell ref="C42:E42"/>
    <mergeCell ref="F49:F53"/>
    <mergeCell ref="G49:G53"/>
    <mergeCell ref="C51:E51"/>
    <mergeCell ref="F79:G79"/>
    <mergeCell ref="G41:G42"/>
    <mergeCell ref="B33:B34"/>
    <mergeCell ref="B35:B36"/>
    <mergeCell ref="C38:E38"/>
    <mergeCell ref="B39:B40"/>
    <mergeCell ref="B41:B42"/>
    <mergeCell ref="C41:E41"/>
    <mergeCell ref="C37:E37"/>
    <mergeCell ref="F12:H12"/>
    <mergeCell ref="F14:F15"/>
    <mergeCell ref="G14:G15"/>
    <mergeCell ref="F16:F17"/>
    <mergeCell ref="G16:G17"/>
    <mergeCell ref="F18:F19"/>
    <mergeCell ref="G18:G19"/>
    <mergeCell ref="F20:F22"/>
    <mergeCell ref="H20:H22"/>
    <mergeCell ref="C23:E23"/>
    <mergeCell ref="AI2:AM2"/>
    <mergeCell ref="O2:Q2"/>
    <mergeCell ref="R2:T2"/>
    <mergeCell ref="U2:W2"/>
    <mergeCell ref="Y2:AC2"/>
    <mergeCell ref="AD2:AH2"/>
  </mergeCells>
  <dataValidations count="4">
    <dataValidation type="list" allowBlank="1" showInputMessage="1" showErrorMessage="1" sqref="J4:J5" xr:uid="{D1BB541D-E5D0-48E5-A376-F1B69565E525}">
      <formula1>$C$118:$H$118</formula1>
    </dataValidation>
    <dataValidation type="list" allowBlank="1" showInputMessage="1" showErrorMessage="1" sqref="L4:L5" xr:uid="{58A0C8A8-5F98-467E-92FC-220DD81FED8A}">
      <formula1>$B$71:$B$75</formula1>
    </dataValidation>
    <dataValidation type="list" allowBlank="1" showInputMessage="1" showErrorMessage="1" sqref="K4:K5" xr:uid="{B4356BBC-2FD0-4403-82D3-87E7C44510D0}">
      <formula1>$B$64:$B$68</formula1>
    </dataValidation>
    <dataValidation type="list" allowBlank="1" showInputMessage="1" showErrorMessage="1" sqref="D4:D5" xr:uid="{6B3E1B55-8454-42F5-A686-F543662EF86E}">
      <formula1>MeasureType</formula1>
    </dataValidation>
  </dataValidations>
  <hyperlinks>
    <hyperlink ref="A1" location="'Measure-Level Adjustments'!Print_Titles" display="Measure Level Tab" xr:uid="{B445D47D-2A5D-4975-A699-1D55698E9D70}"/>
  </hyperlinks>
  <pageMargins left="0.7" right="0.7" top="0.75" bottom="0.75" header="0.3" footer="0.3"/>
  <pageSetup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76BE1-5ED0-463A-AE69-8184C3779164}">
  <sheetPr>
    <tabColor theme="4" tint="0.79998168889431442"/>
    <pageSetUpPr fitToPage="1"/>
  </sheetPr>
  <dimension ref="A1:M27"/>
  <sheetViews>
    <sheetView workbookViewId="0">
      <pane xSplit="1" ySplit="3" topLeftCell="C4" activePane="bottomRight" state="frozen"/>
      <selection pane="topRight" activeCell="B1" sqref="B1"/>
      <selection pane="bottomLeft" activeCell="A4" sqref="A4"/>
      <selection pane="bottomRight"/>
    </sheetView>
  </sheetViews>
  <sheetFormatPr defaultRowHeight="14.5" x14ac:dyDescent="0.35"/>
  <cols>
    <col min="1" max="1" width="14.453125" customWidth="1"/>
    <col min="2" max="2" width="31.453125" bestFit="1" customWidth="1"/>
    <col min="3" max="3" width="21.453125" customWidth="1"/>
    <col min="4" max="4" width="16" customWidth="1"/>
    <col min="5" max="5" width="19.81640625" customWidth="1"/>
    <col min="6" max="6" width="27.453125" customWidth="1"/>
    <col min="7" max="7" width="14" customWidth="1"/>
  </cols>
  <sheetData>
    <row r="1" spans="1:13" x14ac:dyDescent="0.35">
      <c r="A1" s="1799" t="s">
        <v>1031</v>
      </c>
    </row>
    <row r="2" spans="1:13" x14ac:dyDescent="0.35">
      <c r="A2" s="1702"/>
      <c r="B2" s="1703"/>
      <c r="C2" s="1703"/>
      <c r="D2" s="1704"/>
      <c r="E2" s="1704"/>
      <c r="F2" s="1704"/>
      <c r="G2" s="1704"/>
      <c r="H2" s="3153" t="s">
        <v>1032</v>
      </c>
      <c r="I2" s="3153"/>
      <c r="J2" s="3153"/>
      <c r="K2" s="3153" t="s">
        <v>1033</v>
      </c>
      <c r="L2" s="3153"/>
      <c r="M2" s="3153"/>
    </row>
    <row r="3" spans="1:13" ht="29.25" customHeight="1" x14ac:dyDescent="0.35">
      <c r="A3" s="1705" t="s">
        <v>1035</v>
      </c>
      <c r="B3" s="1706" t="s">
        <v>155</v>
      </c>
      <c r="C3" s="1706" t="s">
        <v>1036</v>
      </c>
      <c r="D3" s="1707" t="s">
        <v>1038</v>
      </c>
      <c r="E3" s="1707" t="s">
        <v>1039</v>
      </c>
      <c r="F3" s="1707" t="s">
        <v>3073</v>
      </c>
      <c r="G3" s="1707" t="s">
        <v>1684</v>
      </c>
      <c r="H3" s="1707" t="s">
        <v>1044</v>
      </c>
      <c r="I3" s="1707" t="s">
        <v>1045</v>
      </c>
      <c r="J3" s="1707" t="s">
        <v>1046</v>
      </c>
      <c r="K3" s="1707" t="s">
        <v>1044</v>
      </c>
      <c r="L3" s="1708" t="s">
        <v>1045</v>
      </c>
      <c r="M3" s="1709" t="s">
        <v>1046</v>
      </c>
    </row>
    <row r="4" spans="1:13" s="167" customFormat="1" x14ac:dyDescent="0.35">
      <c r="A4" s="2032" t="s">
        <v>570</v>
      </c>
      <c r="B4" s="2051" t="s">
        <v>3074</v>
      </c>
      <c r="C4" s="2052" t="s">
        <v>569</v>
      </c>
      <c r="D4" s="167" t="s">
        <v>1583</v>
      </c>
      <c r="E4" s="2035">
        <f>+$B$21</f>
        <v>20</v>
      </c>
      <c r="F4" s="2036"/>
      <c r="G4" s="278" t="s">
        <v>1691</v>
      </c>
      <c r="H4" s="2037"/>
      <c r="I4" s="2038"/>
      <c r="J4" s="2039">
        <f>VLOOKUP(G4, A8:B12, 2, FALSE)</f>
        <v>55</v>
      </c>
      <c r="K4" s="2040"/>
      <c r="L4" s="2041"/>
      <c r="M4" s="2042">
        <f>J4*E4</f>
        <v>1100</v>
      </c>
    </row>
    <row r="5" spans="1:13" s="167" customFormat="1" x14ac:dyDescent="0.35">
      <c r="A5" s="1711"/>
      <c r="B5" s="1711"/>
      <c r="C5" s="1711"/>
      <c r="D5" s="1711"/>
      <c r="E5" s="1711"/>
      <c r="F5" s="1711"/>
      <c r="G5" s="1711"/>
      <c r="H5" s="1711"/>
      <c r="I5" s="1711"/>
      <c r="J5" s="1711"/>
      <c r="K5" s="1712"/>
      <c r="L5" s="1711"/>
      <c r="M5" s="1711"/>
    </row>
    <row r="6" spans="1:13" s="167" customFormat="1" ht="15" thickBot="1" x14ac:dyDescent="0.4"/>
    <row r="7" spans="1:13" s="167" customFormat="1" x14ac:dyDescent="0.35">
      <c r="A7" s="2044" t="s">
        <v>1684</v>
      </c>
      <c r="B7" s="2045" t="s">
        <v>3075</v>
      </c>
    </row>
    <row r="8" spans="1:13" s="167" customFormat="1" x14ac:dyDescent="0.35">
      <c r="A8" s="2046" t="s">
        <v>1705</v>
      </c>
      <c r="B8" s="2047">
        <v>58</v>
      </c>
    </row>
    <row r="9" spans="1:13" s="167" customFormat="1" x14ac:dyDescent="0.35">
      <c r="A9" s="2046" t="s">
        <v>1691</v>
      </c>
      <c r="B9" s="2047">
        <v>55</v>
      </c>
    </row>
    <row r="10" spans="1:13" x14ac:dyDescent="0.35">
      <c r="A10" s="2046" t="s">
        <v>1706</v>
      </c>
      <c r="B10" s="2048">
        <v>46</v>
      </c>
    </row>
    <row r="11" spans="1:13" x14ac:dyDescent="0.35">
      <c r="A11" s="2046" t="s">
        <v>1707</v>
      </c>
      <c r="B11" s="2047">
        <v>34</v>
      </c>
    </row>
    <row r="12" spans="1:13" ht="15" thickBot="1" x14ac:dyDescent="0.4">
      <c r="A12" s="2049" t="s">
        <v>1708</v>
      </c>
      <c r="B12" s="2050">
        <v>35</v>
      </c>
    </row>
    <row r="13" spans="1:13" x14ac:dyDescent="0.35">
      <c r="A13" s="167"/>
    </row>
    <row r="14" spans="1:13" x14ac:dyDescent="0.35">
      <c r="A14" s="167"/>
    </row>
    <row r="15" spans="1:13" x14ac:dyDescent="0.35">
      <c r="A15" s="3252" t="s">
        <v>3076</v>
      </c>
      <c r="B15" s="3252"/>
      <c r="C15" s="3252"/>
    </row>
    <row r="16" spans="1:13" x14ac:dyDescent="0.35">
      <c r="A16" t="s">
        <v>3077</v>
      </c>
    </row>
    <row r="17" spans="1:4" x14ac:dyDescent="0.35">
      <c r="A17" s="3252" t="s">
        <v>3078</v>
      </c>
      <c r="B17" s="3252"/>
      <c r="C17" s="3252"/>
    </row>
    <row r="18" spans="1:4" x14ac:dyDescent="0.35">
      <c r="A18" t="s">
        <v>3079</v>
      </c>
    </row>
    <row r="19" spans="1:4" x14ac:dyDescent="0.35">
      <c r="A19" s="3252" t="s">
        <v>3080</v>
      </c>
      <c r="B19" s="3252"/>
      <c r="C19" s="3252"/>
      <c r="D19" s="3252"/>
    </row>
    <row r="20" spans="1:4" x14ac:dyDescent="0.35">
      <c r="A20" t="s">
        <v>3081</v>
      </c>
    </row>
    <row r="21" spans="1:4" x14ac:dyDescent="0.35">
      <c r="B21">
        <v>20</v>
      </c>
    </row>
    <row r="22" spans="1:4" x14ac:dyDescent="0.35">
      <c r="A22" s="3252" t="s">
        <v>3082</v>
      </c>
      <c r="B22" s="3252"/>
      <c r="C22" s="3252"/>
    </row>
    <row r="24" spans="1:4" x14ac:dyDescent="0.35">
      <c r="B24" s="1713"/>
    </row>
    <row r="26" spans="1:4" x14ac:dyDescent="0.35">
      <c r="A26" s="2022" t="s">
        <v>2277</v>
      </c>
      <c r="B26" s="1" t="s">
        <v>1632</v>
      </c>
    </row>
    <row r="27" spans="1:4" x14ac:dyDescent="0.35">
      <c r="A27" s="2023"/>
      <c r="B27" s="1" t="s">
        <v>1583</v>
      </c>
    </row>
  </sheetData>
  <mergeCells count="6">
    <mergeCell ref="A22:C22"/>
    <mergeCell ref="H2:J2"/>
    <mergeCell ref="K2:M2"/>
    <mergeCell ref="A15:C15"/>
    <mergeCell ref="A17:C17"/>
    <mergeCell ref="A19:D19"/>
  </mergeCells>
  <dataValidations count="2">
    <dataValidation type="list" allowBlank="1" showInputMessage="1" showErrorMessage="1" sqref="G4" xr:uid="{2B5629A9-58D7-4C22-B989-3BD0EDAE0CFB}">
      <formula1>$A$8:$A$12</formula1>
    </dataValidation>
    <dataValidation type="list" allowBlank="1" showInputMessage="1" showErrorMessage="1" sqref="D4" xr:uid="{A65E71DC-BE00-4DE7-8CAE-BA883C03E501}">
      <formula1>$B$26:$B$27</formula1>
    </dataValidation>
  </dataValidations>
  <hyperlinks>
    <hyperlink ref="A1" location="'Measure-Level Adjustments'!Print_Titles" display="Measure Level Tab" xr:uid="{E93AD639-8DB8-428F-84CF-5B794824780F}"/>
  </hyperlinks>
  <pageMargins left="0.7" right="0.7" top="0.75" bottom="0.75" header="0.3" footer="0.3"/>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fitToPage="1"/>
  </sheetPr>
  <dimension ref="A1:AW94"/>
  <sheetViews>
    <sheetView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sheetView>
  </sheetViews>
  <sheetFormatPr defaultRowHeight="14.5" x14ac:dyDescent="0.35"/>
  <cols>
    <col min="1" max="1" width="20.81640625" customWidth="1"/>
    <col min="2" max="2" width="47.1796875" bestFit="1" customWidth="1"/>
    <col min="3" max="3" width="20" bestFit="1" customWidth="1"/>
    <col min="4" max="4" width="17.54296875" customWidth="1"/>
    <col min="5" max="5" width="12.453125" customWidth="1"/>
    <col min="6" max="6" width="16.1796875" bestFit="1" customWidth="1"/>
    <col min="7" max="7" width="10" bestFit="1" customWidth="1"/>
    <col min="8" max="10" width="19.81640625" customWidth="1"/>
    <col min="11" max="11" width="15.54296875" bestFit="1" customWidth="1"/>
    <col min="12" max="12" width="25.1796875" customWidth="1"/>
    <col min="13" max="13" width="16.1796875" bestFit="1" customWidth="1"/>
    <col min="14" max="14" width="19" bestFit="1" customWidth="1"/>
    <col min="15" max="15" width="16.81640625" bestFit="1" customWidth="1"/>
    <col min="16" max="16" width="12.26953125" bestFit="1" customWidth="1"/>
    <col min="17" max="17" width="13.54296875" customWidth="1"/>
    <col min="18" max="18" width="17.26953125" customWidth="1"/>
    <col min="19" max="19" width="13.7265625" customWidth="1"/>
    <col min="20" max="20" width="14.7265625" customWidth="1"/>
    <col min="21" max="33" width="17.26953125" customWidth="1"/>
  </cols>
  <sheetData>
    <row r="1" spans="1:49" x14ac:dyDescent="0.35">
      <c r="A1" s="1799" t="s">
        <v>1031</v>
      </c>
    </row>
    <row r="2" spans="1:49" ht="15" customHeight="1" x14ac:dyDescent="0.35">
      <c r="A2" s="947" t="s">
        <v>382</v>
      </c>
      <c r="B2" s="948"/>
      <c r="C2" s="948"/>
      <c r="D2" s="948"/>
      <c r="E2" s="949"/>
      <c r="F2" s="949"/>
      <c r="G2" s="949"/>
      <c r="H2" s="949"/>
      <c r="I2" s="950"/>
      <c r="J2" s="950"/>
      <c r="K2" s="2990" t="s">
        <v>1032</v>
      </c>
      <c r="L2" s="2991"/>
      <c r="M2" s="2992"/>
      <c r="N2" s="2990" t="s">
        <v>1033</v>
      </c>
      <c r="O2" s="2991"/>
      <c r="P2" s="2991"/>
      <c r="Q2" s="2993" t="s">
        <v>1034</v>
      </c>
      <c r="R2" s="2993"/>
      <c r="S2" s="2993"/>
      <c r="T2" s="2993"/>
      <c r="U2" s="2993"/>
      <c r="V2" s="2993"/>
      <c r="W2" s="2993"/>
      <c r="X2" s="2993"/>
      <c r="Y2" s="2993"/>
      <c r="Z2" s="2993"/>
      <c r="AA2" s="2993"/>
      <c r="AB2" s="2993"/>
      <c r="AC2" s="2993"/>
      <c r="AD2" s="2993"/>
      <c r="AE2" s="2993"/>
      <c r="AF2" s="2993"/>
      <c r="AG2" s="2993"/>
      <c r="AH2" s="2993"/>
      <c r="AI2" s="2993"/>
      <c r="AJ2" s="2993"/>
      <c r="AK2" s="2993"/>
      <c r="AL2" s="2993"/>
      <c r="AM2" s="2993"/>
    </row>
    <row r="3" spans="1:49" s="199" customFormat="1" ht="33" x14ac:dyDescent="0.45">
      <c r="A3" s="952" t="s">
        <v>1035</v>
      </c>
      <c r="B3" s="952" t="s">
        <v>155</v>
      </c>
      <c r="C3" s="953" t="s">
        <v>1036</v>
      </c>
      <c r="D3" s="953" t="s">
        <v>1037</v>
      </c>
      <c r="E3" s="952" t="s">
        <v>1038</v>
      </c>
      <c r="F3" s="952" t="s">
        <v>1039</v>
      </c>
      <c r="G3" s="952" t="s">
        <v>1040</v>
      </c>
      <c r="H3" s="952" t="s">
        <v>1041</v>
      </c>
      <c r="I3" s="952" t="s">
        <v>1042</v>
      </c>
      <c r="J3" s="952" t="s">
        <v>1043</v>
      </c>
      <c r="K3" s="952" t="s">
        <v>1044</v>
      </c>
      <c r="L3" s="952" t="s">
        <v>1045</v>
      </c>
      <c r="M3" s="952" t="s">
        <v>1046</v>
      </c>
      <c r="N3" s="952" t="s">
        <v>1044</v>
      </c>
      <c r="O3" s="952" t="s">
        <v>1045</v>
      </c>
      <c r="P3" s="954" t="s">
        <v>1046</v>
      </c>
      <c r="Q3" s="802" t="s">
        <v>1047</v>
      </c>
      <c r="R3" s="803" t="s">
        <v>1048</v>
      </c>
      <c r="S3" s="803" t="s">
        <v>1049</v>
      </c>
      <c r="T3" s="803" t="s">
        <v>1050</v>
      </c>
      <c r="U3" s="804" t="s">
        <v>1051</v>
      </c>
      <c r="V3" s="805" t="s">
        <v>1052</v>
      </c>
      <c r="W3" s="804" t="s">
        <v>1053</v>
      </c>
      <c r="X3" s="804" t="s">
        <v>1054</v>
      </c>
      <c r="Y3" s="804" t="s">
        <v>1055</v>
      </c>
      <c r="Z3" s="804" t="s">
        <v>1056</v>
      </c>
      <c r="AA3" s="804" t="s">
        <v>1057</v>
      </c>
      <c r="AB3" s="806" t="s">
        <v>1058</v>
      </c>
      <c r="AC3" s="804" t="s">
        <v>1059</v>
      </c>
      <c r="AD3" s="804" t="s">
        <v>1060</v>
      </c>
      <c r="AE3" s="804" t="s">
        <v>1061</v>
      </c>
      <c r="AF3" s="804" t="s">
        <v>1062</v>
      </c>
      <c r="AG3" s="804" t="s">
        <v>1063</v>
      </c>
      <c r="AH3" s="804" t="s">
        <v>1064</v>
      </c>
      <c r="AI3" s="804" t="s">
        <v>1065</v>
      </c>
      <c r="AJ3" s="804" t="s">
        <v>1066</v>
      </c>
      <c r="AK3" s="804" t="s">
        <v>1067</v>
      </c>
      <c r="AL3" s="804" t="s">
        <v>1068</v>
      </c>
      <c r="AM3" s="804" t="s">
        <v>1069</v>
      </c>
      <c r="AN3"/>
      <c r="AO3"/>
      <c r="AP3"/>
      <c r="AQ3" s="807"/>
      <c r="AS3" s="807"/>
      <c r="AU3" s="807"/>
      <c r="AW3" s="807"/>
    </row>
    <row r="4" spans="1:49" x14ac:dyDescent="0.35">
      <c r="A4" s="955" t="s">
        <v>381</v>
      </c>
      <c r="B4" s="955" t="s">
        <v>380</v>
      </c>
      <c r="C4" s="956" t="s">
        <v>1070</v>
      </c>
      <c r="D4" s="957" t="s">
        <v>1071</v>
      </c>
      <c r="E4" s="958" t="s">
        <v>1072</v>
      </c>
      <c r="F4" s="959">
        <f>+$B$16</f>
        <v>12</v>
      </c>
      <c r="G4" s="960"/>
      <c r="H4" s="961"/>
      <c r="I4" s="961">
        <v>16</v>
      </c>
      <c r="J4" s="961"/>
      <c r="K4" s="961"/>
      <c r="L4" s="961"/>
      <c r="M4" s="962">
        <f>+SUM(Q4:T4)*AG4/AC4</f>
        <v>363.70538907682175</v>
      </c>
      <c r="N4" s="961"/>
      <c r="O4" s="963">
        <f>L4</f>
        <v>0</v>
      </c>
      <c r="P4" s="964">
        <f>M4*F4</f>
        <v>4364.4646689218607</v>
      </c>
      <c r="Q4" s="621">
        <f>+U4*($B$28/W4-$B$28/X4)*AD4</f>
        <v>4292.5824175824237</v>
      </c>
      <c r="R4" s="621">
        <f>+U4*($AA$4/Y4-$AA$4/Z4)*(1-AE4)</f>
        <v>1641.6510318949306</v>
      </c>
      <c r="S4" s="808">
        <f>((+AJ4*(($B$50-U4/AH4)*AD4))-(AB4*(($B$50-U4/AL4)*AE4)))</f>
        <v>14773.806277056276</v>
      </c>
      <c r="T4" s="808">
        <f>(+AK4*(($B$50-U4/AI4)*(AE4)))-($K$62*(($B$50-U4/AM4)*(AE4)))</f>
        <v>78937.272349307925</v>
      </c>
      <c r="U4" s="49">
        <f>+IF(I4&lt;15,$F$66,IF(AND(I4&gt;=15,I4&lt;30),$F$67,IF(I4&gt;=30,$F$68,0)))</f>
        <v>250</v>
      </c>
      <c r="V4" s="49">
        <f>+$B$28</f>
        <v>250</v>
      </c>
      <c r="W4" s="291">
        <f>+$F$62</f>
        <v>0.52</v>
      </c>
      <c r="X4" s="291">
        <f>+$G$62</f>
        <v>0.56000000000000005</v>
      </c>
      <c r="Y4" s="291">
        <f>+$F$63</f>
        <v>0.39</v>
      </c>
      <c r="Z4" s="291">
        <f>+$G$63</f>
        <v>0.41</v>
      </c>
      <c r="AA4" s="49">
        <f>+$B$32</f>
        <v>105</v>
      </c>
      <c r="AB4" s="49">
        <f>+IF(I4=$I$66,$K$66,IF(I4=$I$67,$K$67,IF(I4=$I$68,$K$68,)))</f>
        <v>7825</v>
      </c>
      <c r="AC4" s="49">
        <f>+$B$44</f>
        <v>100000</v>
      </c>
      <c r="AD4" s="291">
        <f>+$B$46</f>
        <v>0.5</v>
      </c>
      <c r="AE4" s="291">
        <f>1-$AD4</f>
        <v>0.5</v>
      </c>
      <c r="AF4" s="49">
        <f>+$B$50</f>
        <v>12</v>
      </c>
      <c r="AG4" s="49">
        <f>+$B$52</f>
        <v>365</v>
      </c>
      <c r="AH4" s="49">
        <f>+IF($I4&lt;15,$B$63,IF(AND($I4&gt;=15,$I4&lt;30),$B$64,IF($I4&gt;=30,$B$65,)))</f>
        <v>176</v>
      </c>
      <c r="AI4" s="49">
        <f>+IF($I4&lt;15,$C$63,IF(AND($I4&gt;=15,$I4&lt;30),$C$64,IF($I4&gt;=30,$C$65,)))</f>
        <v>211</v>
      </c>
      <c r="AJ4" s="49">
        <f>+IF($I4&lt;15,$B$69,IF(AND($I4&gt;=15,$I4&lt;30),$B$70,IF($I4&gt;=30,$B$71,)))</f>
        <v>10788</v>
      </c>
      <c r="AK4" s="49">
        <f>+IF($I4&lt;15,$C$69,IF(AND($I4&gt;=15,$I4&lt;30),$C$70,IF($I4&gt;=30,$C$71,)))</f>
        <v>24562</v>
      </c>
      <c r="AL4" s="49">
        <f>+IF($I4&lt;15,$B$77,IF(AND($I4&gt;=15,$I4&lt;30),$B$78,IF($I4&gt;=30,$B$79,)))</f>
        <v>210</v>
      </c>
      <c r="AM4" s="49">
        <f>+IF($I4&lt;15,$C$77,IF(AND($I4&gt;=15,$I4&lt;30),$C$78,IF($I4&gt;=30,$C$79,)))</f>
        <v>277</v>
      </c>
    </row>
    <row r="5" spans="1:49" ht="29" x14ac:dyDescent="0.35">
      <c r="A5" s="955" t="s">
        <v>1073</v>
      </c>
      <c r="B5" s="955" t="s">
        <v>1074</v>
      </c>
      <c r="C5" s="956" t="s">
        <v>1074</v>
      </c>
      <c r="D5" s="957" t="s">
        <v>1071</v>
      </c>
      <c r="E5" s="958" t="s">
        <v>1072</v>
      </c>
      <c r="F5" s="959">
        <f>+$B$16</f>
        <v>12</v>
      </c>
      <c r="G5" s="960"/>
      <c r="H5" s="961"/>
      <c r="I5" s="961">
        <v>16</v>
      </c>
      <c r="J5" s="965" t="s">
        <v>1075</v>
      </c>
      <c r="K5" s="961"/>
      <c r="L5" s="961"/>
      <c r="M5" s="962">
        <f>+SUM(Q5:T5)*AG5/AC5</f>
        <v>363.70538907682175</v>
      </c>
      <c r="N5" s="961"/>
      <c r="O5" s="963">
        <f>L5</f>
        <v>0</v>
      </c>
      <c r="P5" s="964">
        <f>M5*F5</f>
        <v>4364.4646689218607</v>
      </c>
      <c r="Q5" s="621">
        <f>+U5*($B$28/W5-$B$28/X5)*AD5</f>
        <v>4292.5824175824237</v>
      </c>
      <c r="R5" s="621">
        <f>+U5*($AA$4/Y5-$AA$4/Z5)*(1-AE5)</f>
        <v>1641.6510318949306</v>
      </c>
      <c r="S5" s="621">
        <f>((+AJ5*(($B$50-U5/AH5)*AD5))-(AB5*(($B$50-U5/AL5)*AE5)))</f>
        <v>14773.806277056276</v>
      </c>
      <c r="T5" s="621">
        <f>(+AK5*(($B$50-U5/AI5)*(AE5)))-($K$62*(($B$50-U5/AM5)*(AE5)))</f>
        <v>78937.272349307925</v>
      </c>
      <c r="U5" s="49">
        <f>+IF(I5&lt;15,$F$66,IF(AND(I5&gt;=15,I5&lt;30),$F$67,IF(I5&gt;=30,$F$68,0)))</f>
        <v>250</v>
      </c>
      <c r="V5" s="49">
        <f>+$B$28</f>
        <v>250</v>
      </c>
      <c r="W5" s="291">
        <f>+$F$62</f>
        <v>0.52</v>
      </c>
      <c r="X5" s="291">
        <f>+$G$62</f>
        <v>0.56000000000000005</v>
      </c>
      <c r="Y5" s="291">
        <f>+$F$63</f>
        <v>0.39</v>
      </c>
      <c r="Z5" s="291">
        <f>+$G$63</f>
        <v>0.41</v>
      </c>
      <c r="AA5" s="49">
        <f>+$B$32</f>
        <v>105</v>
      </c>
      <c r="AB5" s="49">
        <f>+IF(I5=$I$66,$K$66,IF(I5=$I$67,$K$67,IF(I5=$I$68,$K$68,)))</f>
        <v>7825</v>
      </c>
      <c r="AC5" s="49">
        <f>+$B$44</f>
        <v>100000</v>
      </c>
      <c r="AD5" s="291">
        <f>+$B$46</f>
        <v>0.5</v>
      </c>
      <c r="AE5" s="291">
        <f>1-$AD5</f>
        <v>0.5</v>
      </c>
      <c r="AF5" s="49">
        <f>+$B$50</f>
        <v>12</v>
      </c>
      <c r="AG5" s="49">
        <f>+$B$52</f>
        <v>365</v>
      </c>
      <c r="AH5" s="49">
        <f>+IF($I5&lt;15,$B$63,IF(AND($I5&gt;=15,$I5&lt;30),$B$64,IF($I5&gt;=30,$B$65,)))</f>
        <v>176</v>
      </c>
      <c r="AI5" s="49">
        <f>+IF($I5&lt;15,$C$63,IF(AND($I5&gt;=15,$I5&lt;30),$C$64,IF($I5&gt;=30,$C$65,)))</f>
        <v>211</v>
      </c>
      <c r="AJ5" s="49">
        <f>+IF($I5&lt;15,$B$69,IF(AND($I5&gt;=15,$I5&lt;30),$B$70,IF($I5&gt;=30,$B$71,)))</f>
        <v>10788</v>
      </c>
      <c r="AK5" s="49">
        <f>+IF($I5&lt;15,$C$69,IF(AND($I5&gt;=15,$I5&lt;30),$C$70,IF($I5&gt;=30,$C$71,)))</f>
        <v>24562</v>
      </c>
      <c r="AL5" s="49">
        <f>+IF($I5&lt;15,$B$77,IF(AND($I5&gt;=15,$I5&lt;30),$B$78,IF($I5&gt;=30,$B$79,)))</f>
        <v>210</v>
      </c>
      <c r="AM5" s="49">
        <f>+IF($I5&lt;15,$C$77,IF(AND($I5&gt;=15,$I5&lt;30),$C$78,IF($I5&gt;=30,$C$79,)))</f>
        <v>277</v>
      </c>
    </row>
    <row r="6" spans="1:49" x14ac:dyDescent="0.35">
      <c r="A6" s="69"/>
      <c r="B6" s="69"/>
      <c r="C6" s="69"/>
      <c r="D6" s="69"/>
      <c r="E6" s="69"/>
      <c r="F6" s="69"/>
      <c r="G6" s="69"/>
      <c r="H6" s="69"/>
      <c r="I6" s="69"/>
      <c r="J6" s="69"/>
      <c r="K6" s="69"/>
      <c r="L6" s="69"/>
      <c r="M6" s="69"/>
      <c r="N6" s="69"/>
      <c r="O6" s="69"/>
      <c r="P6" s="69"/>
    </row>
    <row r="7" spans="1:49" x14ac:dyDescent="0.35">
      <c r="A7" s="69"/>
      <c r="B7" s="69"/>
      <c r="C7" s="69"/>
      <c r="D7" s="69"/>
      <c r="E7" s="69"/>
      <c r="F7" s="69"/>
      <c r="G7" s="69"/>
      <c r="H7" s="69"/>
      <c r="I7" s="69"/>
      <c r="J7" s="69"/>
      <c r="K7" s="69"/>
      <c r="L7" s="69"/>
      <c r="M7" s="69"/>
      <c r="N7" s="69"/>
      <c r="O7" s="69"/>
      <c r="P7" s="69"/>
    </row>
    <row r="8" spans="1:49" x14ac:dyDescent="0.35">
      <c r="O8" s="60"/>
    </row>
    <row r="9" spans="1:49" ht="15" thickBot="1" x14ac:dyDescent="0.4"/>
    <row r="10" spans="1:49" ht="15" thickBot="1" x14ac:dyDescent="0.4">
      <c r="A10" s="74" t="s">
        <v>1076</v>
      </c>
      <c r="B10" s="63"/>
      <c r="C10" s="63"/>
      <c r="D10" s="63"/>
      <c r="E10" s="63"/>
      <c r="F10" s="335"/>
    </row>
    <row r="11" spans="1:49" ht="15" thickBot="1" x14ac:dyDescent="0.4">
      <c r="A11" s="662" t="s">
        <v>1077</v>
      </c>
      <c r="B11" s="606"/>
      <c r="C11" s="606"/>
      <c r="D11" s="606"/>
      <c r="E11" s="606"/>
      <c r="F11" s="607"/>
    </row>
    <row r="12" spans="1:49" ht="15" thickBot="1" x14ac:dyDescent="0.4">
      <c r="A12" s="154" t="s">
        <v>1078</v>
      </c>
      <c r="B12" s="1142">
        <f>'Measure-Level Adjustments'!A2</f>
        <v>44592</v>
      </c>
    </row>
    <row r="13" spans="1:49" ht="15" thickBot="1" x14ac:dyDescent="0.4">
      <c r="A13" s="154" t="s">
        <v>1079</v>
      </c>
      <c r="B13" s="577" t="s">
        <v>383</v>
      </c>
    </row>
    <row r="14" spans="1:49" ht="15" thickBot="1" x14ac:dyDescent="0.4"/>
    <row r="15" spans="1:49" ht="15" thickBot="1" x14ac:dyDescent="0.4">
      <c r="A15" s="154" t="s">
        <v>1080</v>
      </c>
      <c r="B15" s="76" t="s">
        <v>1081</v>
      </c>
      <c r="C15" s="76" t="s">
        <v>1082</v>
      </c>
      <c r="D15" s="76"/>
      <c r="E15" s="76"/>
      <c r="F15" s="76"/>
      <c r="G15" s="76"/>
      <c r="H15" s="76"/>
      <c r="I15" s="76"/>
      <c r="J15" s="76"/>
      <c r="K15" s="465"/>
    </row>
    <row r="16" spans="1:49" ht="15" thickBot="1" x14ac:dyDescent="0.4">
      <c r="A16" s="94" t="s">
        <v>1083</v>
      </c>
      <c r="B16" s="364">
        <v>12</v>
      </c>
      <c r="C16" s="364" t="s">
        <v>1084</v>
      </c>
      <c r="D16" s="364"/>
      <c r="E16" s="364"/>
      <c r="F16" s="364"/>
      <c r="G16" s="364"/>
      <c r="H16" s="364"/>
      <c r="I16" s="364"/>
      <c r="J16" s="364"/>
      <c r="K16" s="96"/>
    </row>
    <row r="17" spans="1:11" ht="15" thickBot="1" x14ac:dyDescent="0.4">
      <c r="A17" s="155" t="s">
        <v>1040</v>
      </c>
      <c r="B17" s="156"/>
      <c r="C17" s="156"/>
      <c r="D17" s="156"/>
      <c r="E17" s="167"/>
      <c r="F17" s="167"/>
      <c r="G17" s="167"/>
      <c r="H17" s="167"/>
      <c r="I17" s="167"/>
      <c r="J17" s="167"/>
      <c r="K17" s="168"/>
    </row>
    <row r="18" spans="1:11" ht="16.5" x14ac:dyDescent="0.45">
      <c r="A18" s="93" t="s">
        <v>1047</v>
      </c>
      <c r="B18" s="80" t="s">
        <v>1085</v>
      </c>
      <c r="C18" s="80" t="s">
        <v>1086</v>
      </c>
      <c r="D18" s="80"/>
      <c r="E18" s="80"/>
      <c r="F18" s="80"/>
      <c r="G18" s="80"/>
      <c r="H18" s="80"/>
      <c r="I18" s="80"/>
      <c r="J18" s="80"/>
      <c r="K18" s="81"/>
    </row>
    <row r="19" spans="1:11" ht="15" thickBot="1" x14ac:dyDescent="0.4">
      <c r="A19" s="88"/>
      <c r="B19" s="85"/>
      <c r="C19" s="809" t="s">
        <v>1087</v>
      </c>
      <c r="D19" s="85"/>
      <c r="E19" s="85"/>
      <c r="F19" s="85"/>
      <c r="G19" s="810"/>
      <c r="H19" s="85"/>
      <c r="I19" s="85"/>
      <c r="J19" s="85"/>
      <c r="K19" s="86"/>
    </row>
    <row r="20" spans="1:11" ht="16.5" x14ac:dyDescent="0.45">
      <c r="A20" s="811" t="s">
        <v>1048</v>
      </c>
      <c r="B20" s="80" t="s">
        <v>1085</v>
      </c>
      <c r="C20" s="80" t="s">
        <v>1088</v>
      </c>
      <c r="D20" s="80"/>
      <c r="E20" s="80"/>
      <c r="F20" s="80"/>
      <c r="G20" s="80"/>
      <c r="H20" s="80"/>
      <c r="I20" s="80"/>
      <c r="J20" s="80"/>
      <c r="K20" s="81"/>
    </row>
    <row r="21" spans="1:11" ht="15" thickBot="1" x14ac:dyDescent="0.4">
      <c r="A21" s="88"/>
      <c r="B21" s="85"/>
      <c r="C21" s="809" t="s">
        <v>1089</v>
      </c>
      <c r="D21" s="85"/>
      <c r="E21" s="85"/>
      <c r="F21" s="85"/>
      <c r="G21" s="85"/>
      <c r="H21" s="85"/>
      <c r="I21" s="85"/>
      <c r="J21" s="85"/>
      <c r="K21" s="86"/>
    </row>
    <row r="22" spans="1:11" ht="16.5" x14ac:dyDescent="0.45">
      <c r="A22" s="811" t="s">
        <v>1049</v>
      </c>
      <c r="B22" s="80" t="s">
        <v>1085</v>
      </c>
      <c r="C22" s="80" t="s">
        <v>1090</v>
      </c>
      <c r="D22" s="80"/>
      <c r="E22" s="80"/>
      <c r="F22" s="80"/>
      <c r="G22" s="80"/>
      <c r="H22" s="812"/>
      <c r="I22" s="812"/>
      <c r="J22" s="812"/>
      <c r="K22" s="81"/>
    </row>
    <row r="23" spans="1:11" ht="15" thickBot="1" x14ac:dyDescent="0.4">
      <c r="A23" s="88"/>
      <c r="B23" s="85"/>
      <c r="C23" s="809" t="s">
        <v>1091</v>
      </c>
      <c r="D23" s="85"/>
      <c r="E23" s="85"/>
      <c r="F23" s="85"/>
      <c r="G23" s="85"/>
      <c r="H23" s="85"/>
      <c r="I23" s="85"/>
      <c r="J23" s="85"/>
      <c r="K23" s="86"/>
    </row>
    <row r="24" spans="1:11" ht="16.5" x14ac:dyDescent="0.45">
      <c r="A24" s="811" t="s">
        <v>1050</v>
      </c>
      <c r="B24" s="80" t="s">
        <v>1085</v>
      </c>
      <c r="C24" s="813" t="s">
        <v>1090</v>
      </c>
      <c r="D24" s="80"/>
      <c r="E24" s="80"/>
      <c r="F24" s="80"/>
      <c r="G24" s="814"/>
      <c r="H24" s="80"/>
      <c r="I24" s="80"/>
      <c r="J24" s="80"/>
      <c r="K24" s="81"/>
    </row>
    <row r="25" spans="1:11" ht="15" thickBot="1" x14ac:dyDescent="0.4">
      <c r="A25" s="88"/>
      <c r="B25" s="85"/>
      <c r="C25" s="809" t="s">
        <v>1092</v>
      </c>
      <c r="D25" s="85"/>
      <c r="E25" s="85"/>
      <c r="F25" s="85"/>
      <c r="G25" s="810"/>
      <c r="H25" s="85"/>
      <c r="I25" s="85"/>
      <c r="J25" s="85"/>
      <c r="K25" s="86"/>
    </row>
    <row r="26" spans="1:11" ht="16.5" x14ac:dyDescent="0.35">
      <c r="A26" s="815" t="s">
        <v>1051</v>
      </c>
      <c r="B26" s="80" t="s">
        <v>1093</v>
      </c>
      <c r="C26" s="80" t="s">
        <v>1094</v>
      </c>
      <c r="D26" s="80"/>
      <c r="E26" s="80"/>
      <c r="F26" s="80"/>
      <c r="G26" s="80"/>
      <c r="H26" s="80"/>
      <c r="I26" s="80"/>
      <c r="J26" s="80"/>
      <c r="K26" s="81"/>
    </row>
    <row r="27" spans="1:11" ht="15" thickBot="1" x14ac:dyDescent="0.4">
      <c r="A27" s="88"/>
      <c r="B27" s="85"/>
      <c r="C27" s="809" t="s">
        <v>1095</v>
      </c>
      <c r="D27" s="85"/>
      <c r="E27" s="85"/>
      <c r="F27" s="85"/>
      <c r="G27" s="810"/>
      <c r="H27" s="85"/>
      <c r="I27" s="85"/>
      <c r="J27" s="85"/>
      <c r="K27" s="86"/>
    </row>
    <row r="28" spans="1:11" ht="16.5" x14ac:dyDescent="0.35">
      <c r="A28" s="816" t="s">
        <v>1096</v>
      </c>
      <c r="B28" s="817">
        <v>250</v>
      </c>
      <c r="C28" s="80" t="s">
        <v>1097</v>
      </c>
      <c r="D28" s="80"/>
      <c r="E28" s="80"/>
      <c r="F28" s="80"/>
      <c r="G28" s="80"/>
      <c r="H28" s="80"/>
      <c r="I28" s="80"/>
      <c r="J28" s="80"/>
      <c r="K28" s="81"/>
    </row>
    <row r="29" spans="1:11" ht="15" thickBot="1" x14ac:dyDescent="0.4">
      <c r="A29" s="88"/>
      <c r="B29" s="85"/>
      <c r="C29" s="85" t="s">
        <v>1098</v>
      </c>
      <c r="D29" s="85"/>
      <c r="E29" s="85"/>
      <c r="F29" s="85"/>
      <c r="G29" s="85"/>
      <c r="H29" s="85"/>
      <c r="I29" s="85"/>
      <c r="J29" s="85"/>
      <c r="K29" s="86"/>
    </row>
    <row r="30" spans="1:11" x14ac:dyDescent="0.35">
      <c r="A30" s="818" t="s">
        <v>1099</v>
      </c>
      <c r="B30" s="80" t="s">
        <v>1100</v>
      </c>
      <c r="C30" s="80" t="s">
        <v>1101</v>
      </c>
      <c r="D30" s="80"/>
      <c r="E30" s="80"/>
      <c r="F30" s="80"/>
      <c r="G30" s="80"/>
      <c r="H30" s="80"/>
      <c r="I30" s="80"/>
      <c r="J30" s="80"/>
      <c r="K30" s="81"/>
    </row>
    <row r="31" spans="1:11" ht="15" thickBot="1" x14ac:dyDescent="0.4">
      <c r="A31" s="88"/>
      <c r="B31" s="85"/>
      <c r="C31" s="85" t="s">
        <v>1102</v>
      </c>
      <c r="D31" s="819"/>
      <c r="E31" s="85"/>
      <c r="F31" s="85"/>
      <c r="G31" s="85"/>
      <c r="H31" s="85"/>
      <c r="I31" s="85"/>
      <c r="J31" s="85"/>
      <c r="K31" s="86"/>
    </row>
    <row r="32" spans="1:11" ht="16.5" x14ac:dyDescent="0.35">
      <c r="A32" s="815" t="s">
        <v>1057</v>
      </c>
      <c r="B32" s="817">
        <v>105</v>
      </c>
      <c r="C32" s="80" t="s">
        <v>1103</v>
      </c>
      <c r="D32" s="80"/>
      <c r="E32" s="80"/>
      <c r="F32" s="80"/>
      <c r="G32" s="814"/>
      <c r="H32" s="80"/>
      <c r="I32" s="80"/>
      <c r="J32" s="80"/>
      <c r="K32" s="81"/>
    </row>
    <row r="33" spans="1:11" ht="15" thickBot="1" x14ac:dyDescent="0.4">
      <c r="A33" s="88"/>
      <c r="B33" s="85"/>
      <c r="C33" s="85" t="s">
        <v>1104</v>
      </c>
      <c r="D33" s="85"/>
      <c r="E33" s="85"/>
      <c r="F33" s="85"/>
      <c r="G33" s="85"/>
      <c r="H33" s="85"/>
      <c r="I33" s="85"/>
      <c r="J33" s="85"/>
      <c r="K33" s="86"/>
    </row>
    <row r="34" spans="1:11" ht="16.5" x14ac:dyDescent="0.35">
      <c r="A34" s="815" t="s">
        <v>1105</v>
      </c>
      <c r="B34" s="80" t="s">
        <v>1100</v>
      </c>
      <c r="C34" s="80" t="s">
        <v>1106</v>
      </c>
      <c r="D34" s="80"/>
      <c r="E34" s="80"/>
      <c r="F34" s="80"/>
      <c r="G34" s="80"/>
      <c r="H34" s="80"/>
      <c r="I34" s="80"/>
      <c r="J34" s="80"/>
      <c r="K34" s="81"/>
    </row>
    <row r="35" spans="1:11" ht="15" thickBot="1" x14ac:dyDescent="0.4">
      <c r="A35" s="88"/>
      <c r="B35" s="85"/>
      <c r="C35" s="85" t="s">
        <v>1107</v>
      </c>
      <c r="D35" s="820"/>
      <c r="E35" s="85"/>
      <c r="F35" s="85"/>
      <c r="G35" s="85"/>
      <c r="H35" s="85"/>
      <c r="I35" s="85"/>
      <c r="J35" s="85"/>
      <c r="K35" s="86"/>
    </row>
    <row r="36" spans="1:11" ht="17.5" x14ac:dyDescent="0.35">
      <c r="A36" s="821" t="s">
        <v>1058</v>
      </c>
      <c r="B36" s="80"/>
      <c r="C36" s="80" t="s">
        <v>1108</v>
      </c>
      <c r="D36" s="80"/>
      <c r="E36" s="80"/>
      <c r="F36" s="80"/>
      <c r="G36" s="80"/>
      <c r="H36" s="80"/>
      <c r="I36" s="80"/>
      <c r="J36" s="80"/>
      <c r="K36" s="81"/>
    </row>
    <row r="37" spans="1:11" ht="15" thickBot="1" x14ac:dyDescent="0.4">
      <c r="A37" s="822"/>
      <c r="C37" t="s">
        <v>1109</v>
      </c>
      <c r="K37" s="253"/>
    </row>
    <row r="38" spans="1:11" ht="17.5" x14ac:dyDescent="0.35">
      <c r="A38" s="821" t="s">
        <v>1110</v>
      </c>
      <c r="B38" s="80"/>
      <c r="C38" s="80" t="s">
        <v>1111</v>
      </c>
      <c r="D38" s="80"/>
      <c r="E38" s="80"/>
      <c r="F38" s="80"/>
      <c r="G38" s="80"/>
      <c r="H38" s="80"/>
      <c r="I38" s="80"/>
      <c r="J38" s="80"/>
      <c r="K38" s="81"/>
    </row>
    <row r="39" spans="1:11" ht="15" thickBot="1" x14ac:dyDescent="0.4">
      <c r="A39" s="88"/>
      <c r="B39" s="85"/>
      <c r="C39" s="85" t="s">
        <v>1112</v>
      </c>
      <c r="D39" s="85"/>
      <c r="E39" s="85"/>
      <c r="F39" s="85"/>
      <c r="G39" s="85"/>
      <c r="H39" s="85"/>
      <c r="I39" s="85"/>
      <c r="J39" s="85"/>
      <c r="K39" s="86"/>
    </row>
    <row r="40" spans="1:11" ht="17.5" x14ac:dyDescent="0.35">
      <c r="A40" s="821" t="s">
        <v>1113</v>
      </c>
      <c r="B40" s="80"/>
      <c r="C40" s="80" t="s">
        <v>1114</v>
      </c>
      <c r="D40" s="80"/>
      <c r="E40" s="80"/>
      <c r="F40" s="80"/>
      <c r="G40" s="80"/>
      <c r="H40" s="80"/>
      <c r="I40" s="80"/>
      <c r="J40" s="80"/>
      <c r="K40" s="81"/>
    </row>
    <row r="41" spans="1:11" ht="15" thickBot="1" x14ac:dyDescent="0.4">
      <c r="A41" s="88"/>
      <c r="B41" s="85"/>
      <c r="C41" s="85" t="s">
        <v>1115</v>
      </c>
      <c r="D41" s="85"/>
      <c r="E41" s="85"/>
      <c r="F41" s="85"/>
      <c r="G41" s="85"/>
      <c r="H41" s="85"/>
      <c r="I41" s="85"/>
      <c r="J41" s="85"/>
      <c r="K41" s="86"/>
    </row>
    <row r="42" spans="1:11" ht="16.5" x14ac:dyDescent="0.35">
      <c r="A42" s="815" t="s">
        <v>1116</v>
      </c>
      <c r="B42" s="80"/>
      <c r="C42" s="80" t="s">
        <v>1117</v>
      </c>
      <c r="D42" s="80"/>
      <c r="E42" s="80"/>
      <c r="F42" s="80"/>
      <c r="G42" s="80"/>
      <c r="H42" s="80"/>
      <c r="I42" s="80"/>
      <c r="J42" s="80"/>
      <c r="K42" s="81"/>
    </row>
    <row r="43" spans="1:11" ht="15" thickBot="1" x14ac:dyDescent="0.4">
      <c r="A43" s="823"/>
      <c r="B43" s="85"/>
      <c r="C43" s="809" t="s">
        <v>1118</v>
      </c>
      <c r="D43" s="85"/>
      <c r="E43" s="85"/>
      <c r="F43" s="85"/>
      <c r="G43" s="85"/>
      <c r="H43" s="85"/>
      <c r="I43" s="85"/>
      <c r="J43" s="85"/>
      <c r="K43" s="86"/>
    </row>
    <row r="44" spans="1:11" x14ac:dyDescent="0.35">
      <c r="A44" s="815" t="s">
        <v>1059</v>
      </c>
      <c r="B44" s="80">
        <v>100000</v>
      </c>
      <c r="C44" s="80" t="s">
        <v>1119</v>
      </c>
      <c r="D44" s="80"/>
      <c r="E44" s="80"/>
      <c r="F44" s="80"/>
      <c r="G44" s="80"/>
      <c r="H44" s="80"/>
      <c r="I44" s="80"/>
      <c r="J44" s="80"/>
      <c r="K44" s="81"/>
    </row>
    <row r="45" spans="1:11" ht="15" thickBot="1" x14ac:dyDescent="0.4">
      <c r="A45" s="823"/>
      <c r="B45" s="85"/>
      <c r="C45" s="819"/>
      <c r="D45" s="85"/>
      <c r="E45" s="85"/>
      <c r="F45" s="85"/>
      <c r="G45" s="85"/>
      <c r="H45" s="85"/>
      <c r="I45" s="85"/>
      <c r="J45" s="85"/>
      <c r="K45" s="86"/>
    </row>
    <row r="46" spans="1:11" ht="16.5" x14ac:dyDescent="0.35">
      <c r="A46" s="815" t="s">
        <v>1060</v>
      </c>
      <c r="B46" s="275">
        <v>0.5</v>
      </c>
      <c r="C46" s="80" t="s">
        <v>1120</v>
      </c>
      <c r="D46" s="80"/>
      <c r="E46" s="824"/>
      <c r="F46" s="80"/>
      <c r="G46" s="80"/>
      <c r="H46" s="80"/>
      <c r="I46" s="80"/>
      <c r="J46" s="80"/>
      <c r="K46" s="81"/>
    </row>
    <row r="47" spans="1:11" ht="15" thickBot="1" x14ac:dyDescent="0.4">
      <c r="A47" s="823"/>
      <c r="B47" s="85"/>
      <c r="C47" s="85" t="s">
        <v>1121</v>
      </c>
      <c r="D47" s="825"/>
      <c r="E47" s="85"/>
      <c r="F47" s="85"/>
      <c r="G47" s="85"/>
      <c r="H47" s="85"/>
      <c r="I47" s="85"/>
      <c r="J47" s="85"/>
      <c r="K47" s="86"/>
    </row>
    <row r="48" spans="1:11" ht="16.5" x14ac:dyDescent="0.35">
      <c r="A48" s="815" t="s">
        <v>1061</v>
      </c>
      <c r="B48" s="80" t="s">
        <v>1122</v>
      </c>
      <c r="C48" s="80" t="s">
        <v>1123</v>
      </c>
      <c r="D48" s="80"/>
      <c r="E48" s="826"/>
      <c r="F48" s="80"/>
      <c r="G48" s="80"/>
      <c r="H48" s="80"/>
      <c r="I48" s="80"/>
      <c r="J48" s="80"/>
      <c r="K48" s="81"/>
    </row>
    <row r="49" spans="1:12" ht="15" thickBot="1" x14ac:dyDescent="0.4">
      <c r="A49" s="823"/>
      <c r="B49" s="85"/>
      <c r="C49" s="85" t="s">
        <v>1124</v>
      </c>
      <c r="D49" s="85"/>
      <c r="E49" s="85"/>
      <c r="F49" s="85"/>
      <c r="G49" s="85"/>
      <c r="H49" s="85"/>
      <c r="I49" s="85"/>
      <c r="J49" s="85"/>
      <c r="K49" s="86"/>
    </row>
    <row r="50" spans="1:12" x14ac:dyDescent="0.35">
      <c r="A50" s="815" t="s">
        <v>1062</v>
      </c>
      <c r="B50" s="80">
        <v>12</v>
      </c>
      <c r="C50" s="80" t="s">
        <v>1125</v>
      </c>
      <c r="D50" s="80"/>
      <c r="E50" s="826"/>
      <c r="F50" s="80"/>
      <c r="G50" s="80"/>
      <c r="H50" s="80"/>
      <c r="I50" s="80"/>
      <c r="J50" s="80"/>
      <c r="K50" s="81"/>
    </row>
    <row r="51" spans="1:12" ht="15" thickBot="1" x14ac:dyDescent="0.4">
      <c r="A51" s="827"/>
      <c r="B51" s="85"/>
      <c r="C51" s="85" t="s">
        <v>1126</v>
      </c>
      <c r="D51" s="85"/>
      <c r="E51" s="85"/>
      <c r="F51" s="85"/>
      <c r="G51" s="85"/>
      <c r="H51" s="85"/>
      <c r="I51" s="85"/>
      <c r="J51" s="85"/>
      <c r="K51" s="86"/>
    </row>
    <row r="52" spans="1:12" x14ac:dyDescent="0.35">
      <c r="A52" s="815" t="s">
        <v>1063</v>
      </c>
      <c r="B52" s="80">
        <v>365</v>
      </c>
      <c r="C52" s="80" t="s">
        <v>1127</v>
      </c>
      <c r="D52" s="80"/>
      <c r="E52" s="826"/>
      <c r="F52" s="80"/>
      <c r="G52" s="80"/>
      <c r="H52" s="80"/>
      <c r="I52" s="80"/>
      <c r="J52" s="80"/>
      <c r="K52" s="81"/>
    </row>
    <row r="53" spans="1:12" ht="15" thickBot="1" x14ac:dyDescent="0.4">
      <c r="A53" s="827"/>
      <c r="B53" s="85"/>
      <c r="C53" s="85" t="s">
        <v>1128</v>
      </c>
      <c r="D53" s="85"/>
      <c r="E53" s="85"/>
      <c r="F53" s="85"/>
      <c r="G53" s="85"/>
      <c r="H53" s="85"/>
      <c r="I53" s="85"/>
      <c r="J53" s="85"/>
      <c r="K53" s="86"/>
    </row>
    <row r="56" spans="1:12" ht="15" thickBot="1" x14ac:dyDescent="0.4"/>
    <row r="57" spans="1:12" x14ac:dyDescent="0.35">
      <c r="A57" s="828" t="s">
        <v>1129</v>
      </c>
      <c r="B57" s="377"/>
      <c r="C57" s="377"/>
      <c r="D57" s="377"/>
      <c r="E57" s="377"/>
      <c r="F57" s="377"/>
      <c r="G57" s="377"/>
      <c r="H57" s="377"/>
      <c r="I57" s="377"/>
      <c r="J57" s="377"/>
      <c r="K57" s="377"/>
      <c r="L57" s="378"/>
    </row>
    <row r="58" spans="1:12" x14ac:dyDescent="0.35">
      <c r="A58" s="829"/>
      <c r="B58" s="69"/>
      <c r="C58" s="69"/>
      <c r="D58" s="69"/>
      <c r="E58" s="69"/>
      <c r="F58" s="69"/>
      <c r="G58" s="69"/>
      <c r="H58" s="69"/>
      <c r="I58" s="69"/>
      <c r="J58" s="69"/>
      <c r="K58" s="69"/>
      <c r="L58" s="100"/>
    </row>
    <row r="59" spans="1:12" ht="15" thickBot="1" x14ac:dyDescent="0.4">
      <c r="A59" s="830"/>
      <c r="B59" s="69"/>
      <c r="C59" s="69"/>
      <c r="D59" s="69"/>
      <c r="E59" s="69"/>
      <c r="F59" s="69"/>
      <c r="G59" s="69"/>
      <c r="H59" s="69"/>
      <c r="I59" s="69"/>
      <c r="J59" s="69"/>
      <c r="K59" s="69"/>
      <c r="L59" s="100"/>
    </row>
    <row r="60" spans="1:12" ht="26.5" thickBot="1" x14ac:dyDescent="0.4">
      <c r="A60" s="99"/>
      <c r="B60" s="69"/>
      <c r="C60" s="831"/>
      <c r="D60" s="69"/>
      <c r="E60" s="2987" t="s">
        <v>1130</v>
      </c>
      <c r="F60" s="2988"/>
      <c r="G60" s="2989"/>
      <c r="H60" s="69"/>
      <c r="I60" s="832" t="s">
        <v>1131</v>
      </c>
      <c r="J60" s="832" t="s">
        <v>1132</v>
      </c>
      <c r="K60" s="832" t="s">
        <v>1133</v>
      </c>
      <c r="L60" s="100"/>
    </row>
    <row r="61" spans="1:12" ht="18" thickBot="1" x14ac:dyDescent="0.5">
      <c r="A61" s="2987" t="s">
        <v>1134</v>
      </c>
      <c r="B61" s="2988"/>
      <c r="C61" s="2989"/>
      <c r="D61" s="69"/>
      <c r="E61" s="833"/>
      <c r="F61" s="834" t="s">
        <v>1135</v>
      </c>
      <c r="G61" s="834" t="s">
        <v>1136</v>
      </c>
      <c r="H61" s="69"/>
      <c r="I61" s="271">
        <v>10</v>
      </c>
      <c r="J61" s="835" t="s">
        <v>1137</v>
      </c>
      <c r="K61" s="1">
        <f>200*I61+6511</f>
        <v>8511</v>
      </c>
      <c r="L61" s="100"/>
    </row>
    <row r="62" spans="1:12" ht="28.5" thickBot="1" x14ac:dyDescent="0.4">
      <c r="A62" s="833" t="s">
        <v>1138</v>
      </c>
      <c r="B62" s="834" t="s">
        <v>1139</v>
      </c>
      <c r="C62" s="834" t="s">
        <v>1140</v>
      </c>
      <c r="D62" s="69"/>
      <c r="E62" s="836" t="s">
        <v>1141</v>
      </c>
      <c r="F62" s="837">
        <v>0.52</v>
      </c>
      <c r="G62" s="837">
        <v>0.56000000000000005</v>
      </c>
      <c r="H62" s="69"/>
      <c r="I62" s="1">
        <v>16</v>
      </c>
      <c r="J62" s="835" t="s">
        <v>1137</v>
      </c>
      <c r="K62" s="1">
        <f>200*I62+6511</f>
        <v>9711</v>
      </c>
      <c r="L62" s="100"/>
    </row>
    <row r="63" spans="1:12" ht="15.5" thickBot="1" x14ac:dyDescent="0.4">
      <c r="A63" s="838" t="s">
        <v>1142</v>
      </c>
      <c r="B63" s="839">
        <v>125</v>
      </c>
      <c r="C63" s="839">
        <v>195</v>
      </c>
      <c r="D63" s="69"/>
      <c r="E63" s="836" t="s">
        <v>1143</v>
      </c>
      <c r="F63" s="837">
        <v>0.39</v>
      </c>
      <c r="G63" s="837">
        <v>0.41</v>
      </c>
      <c r="H63" s="69"/>
      <c r="I63" s="1">
        <v>31</v>
      </c>
      <c r="J63" s="835" t="s">
        <v>1137</v>
      </c>
      <c r="K63" s="1">
        <f>200*I63+6511</f>
        <v>12711</v>
      </c>
      <c r="L63" s="100"/>
    </row>
    <row r="64" spans="1:12" ht="15" thickBot="1" x14ac:dyDescent="0.4">
      <c r="A64" s="838" t="s">
        <v>1144</v>
      </c>
      <c r="B64" s="839">
        <v>176</v>
      </c>
      <c r="C64" s="839">
        <v>211</v>
      </c>
      <c r="D64" s="69"/>
      <c r="E64" s="69"/>
      <c r="F64" s="69"/>
      <c r="G64" s="69"/>
      <c r="H64" s="69"/>
      <c r="I64" s="69"/>
      <c r="J64" s="69"/>
      <c r="K64" s="69"/>
      <c r="L64" s="100"/>
    </row>
    <row r="65" spans="1:12" ht="26.5" thickBot="1" x14ac:dyDescent="0.4">
      <c r="A65" s="838" t="s">
        <v>1145</v>
      </c>
      <c r="B65" s="839">
        <v>392</v>
      </c>
      <c r="C65" s="839">
        <v>579</v>
      </c>
      <c r="D65" s="69"/>
      <c r="E65" s="2994" t="s">
        <v>1146</v>
      </c>
      <c r="F65" s="2995"/>
      <c r="G65" s="69"/>
      <c r="H65" s="69"/>
      <c r="I65" s="832" t="s">
        <v>1131</v>
      </c>
      <c r="J65" s="832" t="s">
        <v>1147</v>
      </c>
      <c r="K65" s="832" t="s">
        <v>1133</v>
      </c>
      <c r="L65" s="100"/>
    </row>
    <row r="66" spans="1:12" ht="15" thickBot="1" x14ac:dyDescent="0.4">
      <c r="A66" s="840"/>
      <c r="D66" s="69"/>
      <c r="E66" s="841" t="s">
        <v>1148</v>
      </c>
      <c r="F66" s="669">
        <v>200</v>
      </c>
      <c r="G66" s="69"/>
      <c r="H66" s="69"/>
      <c r="I66" s="271">
        <v>10</v>
      </c>
      <c r="J66" s="835" t="s">
        <v>1149</v>
      </c>
      <c r="K66" s="1">
        <f>150*I66+5425</f>
        <v>6925</v>
      </c>
      <c r="L66" s="100"/>
    </row>
    <row r="67" spans="1:12" ht="18" thickBot="1" x14ac:dyDescent="0.5">
      <c r="A67" s="2987" t="s">
        <v>1150</v>
      </c>
      <c r="B67" s="2988"/>
      <c r="C67" s="2989"/>
      <c r="D67" s="69"/>
      <c r="E67" s="841" t="s">
        <v>1144</v>
      </c>
      <c r="F67" s="669">
        <v>250</v>
      </c>
      <c r="G67" s="69"/>
      <c r="H67" s="69"/>
      <c r="I67" s="1">
        <v>16</v>
      </c>
      <c r="J67" s="835" t="s">
        <v>1149</v>
      </c>
      <c r="K67" s="1">
        <f>150*I67+5425</f>
        <v>7825</v>
      </c>
      <c r="L67" s="100"/>
    </row>
    <row r="68" spans="1:12" ht="28.5" thickBot="1" x14ac:dyDescent="0.4">
      <c r="A68" s="833" t="s">
        <v>1138</v>
      </c>
      <c r="B68" s="834" t="s">
        <v>1151</v>
      </c>
      <c r="C68" s="834" t="s">
        <v>1152</v>
      </c>
      <c r="D68" s="69"/>
      <c r="E68" s="842" t="s">
        <v>1153</v>
      </c>
      <c r="F68" s="843">
        <v>400</v>
      </c>
      <c r="G68" s="69"/>
      <c r="H68" s="69"/>
      <c r="I68" s="1">
        <v>31</v>
      </c>
      <c r="J68" s="835" t="s">
        <v>1149</v>
      </c>
      <c r="K68" s="1">
        <f>150*I68+5425</f>
        <v>10075</v>
      </c>
      <c r="L68" s="100"/>
    </row>
    <row r="69" spans="1:12" ht="15" thickBot="1" x14ac:dyDescent="0.4">
      <c r="A69" s="844" t="s">
        <v>1142</v>
      </c>
      <c r="B69" s="845">
        <v>8747</v>
      </c>
      <c r="C69" s="845">
        <v>18656</v>
      </c>
      <c r="D69" s="69"/>
      <c r="E69" s="69"/>
      <c r="F69" s="69"/>
      <c r="G69" s="69"/>
      <c r="H69" s="69"/>
      <c r="I69" s="69"/>
      <c r="J69" s="69"/>
      <c r="K69" s="69"/>
      <c r="L69" s="100"/>
    </row>
    <row r="70" spans="1:12" ht="15" thickBot="1" x14ac:dyDescent="0.4">
      <c r="A70" s="844" t="s">
        <v>1144</v>
      </c>
      <c r="B70" s="845">
        <v>10788</v>
      </c>
      <c r="C70" s="845">
        <v>24562</v>
      </c>
      <c r="D70" s="69"/>
      <c r="E70" s="69"/>
      <c r="F70" s="69"/>
      <c r="G70" s="69"/>
      <c r="H70" s="69"/>
      <c r="I70" s="69"/>
      <c r="J70" s="69"/>
      <c r="K70" s="69"/>
      <c r="L70" s="100"/>
    </row>
    <row r="71" spans="1:12" ht="15" thickBot="1" x14ac:dyDescent="0.4">
      <c r="A71" s="844" t="s">
        <v>1145</v>
      </c>
      <c r="B71" s="845">
        <v>13000</v>
      </c>
      <c r="C71" s="845">
        <v>43300</v>
      </c>
      <c r="D71" s="69"/>
      <c r="E71" s="69"/>
      <c r="F71" s="69"/>
      <c r="G71" s="69"/>
      <c r="H71" s="69"/>
      <c r="I71" s="69"/>
      <c r="J71" s="69"/>
      <c r="K71" s="69"/>
      <c r="L71" s="100"/>
    </row>
    <row r="72" spans="1:12" x14ac:dyDescent="0.35">
      <c r="A72" s="829"/>
      <c r="B72" s="69"/>
      <c r="C72" s="69"/>
      <c r="D72" s="69"/>
      <c r="E72" s="69"/>
      <c r="F72" s="69"/>
      <c r="G72" s="69"/>
      <c r="H72" s="69"/>
      <c r="I72" s="69"/>
      <c r="J72" s="69"/>
      <c r="K72" s="69"/>
      <c r="L72" s="100"/>
    </row>
    <row r="73" spans="1:12" x14ac:dyDescent="0.35">
      <c r="A73" s="99"/>
      <c r="B73" s="69"/>
      <c r="C73" s="69"/>
      <c r="D73" s="831"/>
      <c r="E73" s="69"/>
      <c r="F73" s="69"/>
      <c r="G73" s="69"/>
      <c r="H73" s="69"/>
      <c r="I73" s="69"/>
      <c r="J73" s="69"/>
      <c r="K73" s="69"/>
      <c r="L73" s="100"/>
    </row>
    <row r="74" spans="1:12" ht="15" thickBot="1" x14ac:dyDescent="0.4">
      <c r="A74" s="99"/>
      <c r="B74" s="69"/>
      <c r="C74" s="69"/>
      <c r="D74" s="69"/>
      <c r="E74" s="69"/>
      <c r="F74" s="69"/>
      <c r="G74" s="69"/>
      <c r="H74" s="69"/>
      <c r="I74" s="69"/>
      <c r="J74" s="69"/>
      <c r="K74" s="69"/>
      <c r="L74" s="100"/>
    </row>
    <row r="75" spans="1:12" ht="17" thickBot="1" x14ac:dyDescent="0.5">
      <c r="A75" s="2987" t="s">
        <v>1154</v>
      </c>
      <c r="B75" s="2988"/>
      <c r="C75" s="2989"/>
      <c r="D75" s="69"/>
      <c r="E75" s="69"/>
      <c r="F75" s="69"/>
      <c r="G75" s="69"/>
      <c r="H75" s="69"/>
      <c r="I75" s="69"/>
      <c r="J75" s="69"/>
      <c r="K75" s="69"/>
      <c r="L75" s="100"/>
    </row>
    <row r="76" spans="1:12" ht="28.5" thickBot="1" x14ac:dyDescent="0.4">
      <c r="A76" s="833" t="s">
        <v>1138</v>
      </c>
      <c r="B76" s="834" t="s">
        <v>1155</v>
      </c>
      <c r="C76" s="834" t="s">
        <v>1156</v>
      </c>
      <c r="D76" s="69"/>
      <c r="E76" s="69"/>
      <c r="F76" s="69"/>
      <c r="G76" s="69"/>
      <c r="H76" s="69"/>
      <c r="I76" s="69"/>
      <c r="J76" s="69"/>
      <c r="K76" s="69"/>
      <c r="L76" s="100"/>
    </row>
    <row r="77" spans="1:12" ht="15" thickBot="1" x14ac:dyDescent="0.4">
      <c r="A77" s="846" t="s">
        <v>1142</v>
      </c>
      <c r="B77" s="847">
        <v>124</v>
      </c>
      <c r="C77" s="847">
        <v>172</v>
      </c>
      <c r="D77" s="69"/>
      <c r="E77" s="69"/>
      <c r="F77" s="69"/>
      <c r="G77" s="69"/>
      <c r="H77" s="69"/>
      <c r="I77" s="69"/>
      <c r="J77" s="69"/>
      <c r="K77" s="69"/>
      <c r="L77" s="100"/>
    </row>
    <row r="78" spans="1:12" ht="15" thickBot="1" x14ac:dyDescent="0.4">
      <c r="A78" s="846" t="s">
        <v>1144</v>
      </c>
      <c r="B78" s="847">
        <v>210</v>
      </c>
      <c r="C78" s="847">
        <v>277</v>
      </c>
      <c r="D78" s="69"/>
      <c r="E78" s="69"/>
      <c r="F78" s="69"/>
      <c r="G78" s="69"/>
      <c r="H78" s="69"/>
      <c r="I78" s="69"/>
      <c r="J78" s="69"/>
      <c r="K78" s="69"/>
      <c r="L78" s="100"/>
    </row>
    <row r="79" spans="1:12" ht="15" thickBot="1" x14ac:dyDescent="0.4">
      <c r="A79" s="846" t="s">
        <v>1145</v>
      </c>
      <c r="B79" s="847">
        <v>394</v>
      </c>
      <c r="C79" s="847">
        <v>640</v>
      </c>
      <c r="D79" s="69"/>
      <c r="E79" s="69"/>
      <c r="F79" s="69"/>
      <c r="G79" s="69"/>
      <c r="H79" s="69"/>
      <c r="I79" s="69"/>
      <c r="J79" s="69"/>
      <c r="K79" s="69"/>
      <c r="L79" s="100"/>
    </row>
    <row r="80" spans="1:12" x14ac:dyDescent="0.35">
      <c r="A80" s="99"/>
      <c r="B80" s="69"/>
      <c r="C80" s="831"/>
      <c r="D80" s="69"/>
      <c r="E80" s="69"/>
      <c r="F80" s="69"/>
      <c r="G80" s="69"/>
      <c r="H80" s="69"/>
      <c r="I80" s="69"/>
      <c r="J80" s="69"/>
      <c r="K80" s="69"/>
      <c r="L80" s="100"/>
    </row>
    <row r="81" spans="1:12" x14ac:dyDescent="0.35">
      <c r="A81" s="99"/>
      <c r="B81" s="69"/>
      <c r="C81" s="831"/>
      <c r="D81" s="69"/>
      <c r="E81" s="69"/>
      <c r="F81" s="69"/>
      <c r="G81" s="69"/>
      <c r="H81" s="69"/>
      <c r="I81" s="69"/>
      <c r="J81" s="69"/>
      <c r="K81" s="69"/>
      <c r="L81" s="100"/>
    </row>
    <row r="82" spans="1:12" x14ac:dyDescent="0.35">
      <c r="A82" s="829"/>
      <c r="B82" s="69"/>
      <c r="C82" s="69"/>
      <c r="D82" s="69"/>
      <c r="E82" s="69"/>
      <c r="F82" s="69"/>
      <c r="G82" s="69"/>
      <c r="H82" s="69"/>
      <c r="I82" s="69"/>
      <c r="J82" s="69"/>
      <c r="K82" s="69"/>
      <c r="L82" s="100"/>
    </row>
    <row r="83" spans="1:12" x14ac:dyDescent="0.35">
      <c r="A83" s="829"/>
      <c r="B83" s="69"/>
      <c r="C83" s="69"/>
      <c r="D83" s="69"/>
      <c r="E83" s="69"/>
      <c r="F83" s="69"/>
      <c r="G83" s="69"/>
      <c r="H83" s="69"/>
      <c r="I83" s="69"/>
      <c r="J83" s="69"/>
      <c r="K83" s="69"/>
      <c r="L83" s="100"/>
    </row>
    <row r="84" spans="1:12" x14ac:dyDescent="0.35">
      <c r="A84" s="99"/>
      <c r="B84" s="69"/>
      <c r="C84" s="69"/>
      <c r="D84" s="848"/>
      <c r="E84" s="69"/>
      <c r="F84" s="69"/>
      <c r="G84" s="69"/>
      <c r="H84" s="69"/>
      <c r="I84" s="69"/>
      <c r="J84" s="69"/>
      <c r="K84" s="69"/>
      <c r="L84" s="100"/>
    </row>
    <row r="85" spans="1:12" x14ac:dyDescent="0.35">
      <c r="A85" s="849"/>
      <c r="B85" s="69"/>
      <c r="C85" s="69"/>
      <c r="D85" s="69"/>
      <c r="E85" s="69"/>
      <c r="F85" s="69"/>
      <c r="G85" s="69"/>
      <c r="H85" s="69"/>
      <c r="I85" s="69"/>
      <c r="J85" s="69"/>
      <c r="K85" s="69"/>
      <c r="L85" s="100"/>
    </row>
    <row r="86" spans="1:12" ht="15" thickBot="1" x14ac:dyDescent="0.4">
      <c r="A86" s="850"/>
      <c r="B86" s="161"/>
      <c r="C86" s="161"/>
      <c r="D86" s="161"/>
      <c r="E86" s="161"/>
      <c r="F86" s="161"/>
      <c r="G86" s="161"/>
      <c r="H86" s="161"/>
      <c r="I86" s="161"/>
      <c r="J86" s="161"/>
      <c r="K86" s="161"/>
      <c r="L86" s="163"/>
    </row>
    <row r="91" spans="1:12" x14ac:dyDescent="0.35">
      <c r="E91" s="851"/>
    </row>
    <row r="94" spans="1:12" x14ac:dyDescent="0.35">
      <c r="A94" s="852"/>
    </row>
  </sheetData>
  <customSheetViews>
    <customSheetView guid="{ECD6FE6A-9548-414E-B8AA-6998703C57E0}" scale="85" showPageBreaks="1" fitToPage="1" view="pageBreakPreview" topLeftCell="I1">
      <selection activeCell="A3" sqref="A3:Z4"/>
      <pageMargins left="0" right="0" top="0" bottom="0" header="0" footer="0"/>
      <pageSetup scale="19" orientation="landscape" verticalDpi="300" r:id="rId1"/>
    </customSheetView>
    <customSheetView guid="{11DE45F5-F478-4ED6-8DFF-12002C22A637}" scale="85" showPageBreaks="1" fitToPage="1" view="pageBreakPreview" topLeftCell="I1">
      <selection activeCell="A3" sqref="A3:Z4"/>
      <pageMargins left="0" right="0" top="0" bottom="0" header="0" footer="0"/>
      <pageSetup scale="19" orientation="landscape" verticalDpi="300" r:id="rId2"/>
    </customSheetView>
  </customSheetViews>
  <mergeCells count="8">
    <mergeCell ref="A75:C75"/>
    <mergeCell ref="K2:M2"/>
    <mergeCell ref="N2:P2"/>
    <mergeCell ref="Q2:AM2"/>
    <mergeCell ref="E60:G60"/>
    <mergeCell ref="A61:C61"/>
    <mergeCell ref="E65:F65"/>
    <mergeCell ref="A67:C67"/>
  </mergeCells>
  <dataValidations disablePrompts="1" count="1">
    <dataValidation type="list" allowBlank="1" showInputMessage="1" showErrorMessage="1" sqref="D4:D5" xr:uid="{00000000-0002-0000-0300-000000000000}">
      <formula1>MeasureType</formula1>
    </dataValidation>
  </dataValidations>
  <hyperlinks>
    <hyperlink ref="A1" location="'Measure-Level Adjustments'!Print_Titles" display="Measure Level Tab" xr:uid="{56CE49A2-16D5-43A1-BCB0-AF77A3EB6D0D}"/>
  </hyperlinks>
  <pageMargins left="0.7" right="0.7" top="0.75" bottom="0.75" header="0.3" footer="0.3"/>
  <pageSetup scale="18" orientation="landscape" verticalDpi="300"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DB36-4E85-4006-818B-70D5A52C07D1}">
  <sheetPr>
    <tabColor rgb="FF00B050"/>
    <pageSetUpPr fitToPage="1"/>
  </sheetPr>
  <dimension ref="A1:U36"/>
  <sheetViews>
    <sheetView zoomScale="110" zoomScaleNormal="110" workbookViewId="0">
      <pane xSplit="1" ySplit="3" topLeftCell="B4" activePane="bottomRight" state="frozen"/>
      <selection pane="topRight" activeCell="B1" sqref="B1"/>
      <selection pane="bottomLeft" activeCell="A4" sqref="A4"/>
      <selection pane="bottomRight" activeCell="C16" sqref="C16:D16"/>
    </sheetView>
  </sheetViews>
  <sheetFormatPr defaultRowHeight="14.5" x14ac:dyDescent="0.35"/>
  <cols>
    <col min="1" max="1" width="15.7265625" customWidth="1"/>
    <col min="2" max="2" width="29.7265625" bestFit="1" customWidth="1"/>
    <col min="3" max="3" width="28.81640625" bestFit="1" customWidth="1"/>
    <col min="4" max="4" width="18.1796875" customWidth="1"/>
    <col min="5" max="5" width="18.26953125" customWidth="1"/>
    <col min="6" max="6" width="24.7265625" bestFit="1" customWidth="1"/>
    <col min="7" max="7" width="24.7265625" customWidth="1"/>
    <col min="8" max="8" width="17.26953125" customWidth="1"/>
    <col min="9" max="9" width="8.81640625" customWidth="1"/>
    <col min="10" max="10" width="10.1796875" customWidth="1"/>
    <col min="11" max="11" width="12.7265625" bestFit="1" customWidth="1"/>
    <col min="16" max="16" width="10.54296875" customWidth="1"/>
    <col min="18" max="18" width="12.1796875" bestFit="1" customWidth="1"/>
    <col min="20" max="20" width="17.81640625" customWidth="1"/>
    <col min="21" max="21" width="12" customWidth="1"/>
  </cols>
  <sheetData>
    <row r="1" spans="1:21" x14ac:dyDescent="0.35">
      <c r="A1" s="1799" t="s">
        <v>1031</v>
      </c>
    </row>
    <row r="2" spans="1:21" x14ac:dyDescent="0.35">
      <c r="A2" s="1702" t="s">
        <v>964</v>
      </c>
      <c r="B2" s="1703"/>
      <c r="C2" s="1703"/>
      <c r="D2" s="1704"/>
      <c r="E2" s="1704"/>
      <c r="F2" s="1704"/>
      <c r="G2" s="1704"/>
      <c r="H2" s="1704"/>
      <c r="I2" s="3153" t="s">
        <v>1032</v>
      </c>
      <c r="J2" s="3153"/>
      <c r="K2" s="3153"/>
      <c r="L2" s="3153" t="s">
        <v>1033</v>
      </c>
      <c r="M2" s="3153"/>
      <c r="N2" s="3153"/>
      <c r="O2" s="2116"/>
    </row>
    <row r="3" spans="1:21" ht="29.25" customHeight="1" x14ac:dyDescent="0.35">
      <c r="A3" s="1705" t="s">
        <v>1035</v>
      </c>
      <c r="B3" s="1706" t="s">
        <v>155</v>
      </c>
      <c r="C3" s="1706" t="s">
        <v>1036</v>
      </c>
      <c r="D3" s="1707" t="s">
        <v>1038</v>
      </c>
      <c r="E3" s="1707" t="s">
        <v>1039</v>
      </c>
      <c r="F3" s="1707" t="s">
        <v>3073</v>
      </c>
      <c r="G3" s="1707" t="s">
        <v>1360</v>
      </c>
      <c r="H3" s="1707" t="s">
        <v>1684</v>
      </c>
      <c r="I3" s="1707" t="s">
        <v>1044</v>
      </c>
      <c r="J3" s="1707" t="s">
        <v>1045</v>
      </c>
      <c r="K3" s="1707" t="s">
        <v>1046</v>
      </c>
      <c r="L3" s="1707" t="s">
        <v>1044</v>
      </c>
      <c r="M3" s="1708" t="s">
        <v>1045</v>
      </c>
      <c r="N3" s="1709" t="s">
        <v>1046</v>
      </c>
      <c r="O3" s="2017"/>
      <c r="P3" s="1710" t="s">
        <v>3083</v>
      </c>
      <c r="Q3" s="1710" t="s">
        <v>3022</v>
      </c>
      <c r="R3" s="1710" t="s">
        <v>2190</v>
      </c>
      <c r="S3" s="1710" t="s">
        <v>2369</v>
      </c>
      <c r="T3" s="1710" t="s">
        <v>3084</v>
      </c>
      <c r="U3" s="1710" t="s">
        <v>3085</v>
      </c>
    </row>
    <row r="4" spans="1:21" s="167" customFormat="1" x14ac:dyDescent="0.35">
      <c r="A4" s="2032" t="s">
        <v>963</v>
      </c>
      <c r="B4" s="2051" t="s">
        <v>962</v>
      </c>
      <c r="C4" s="2088" t="s">
        <v>962</v>
      </c>
      <c r="D4" s="167" t="s">
        <v>1583</v>
      </c>
      <c r="E4" s="2035">
        <f>$B$29</f>
        <v>11</v>
      </c>
      <c r="F4" s="2036">
        <f>$B$32</f>
        <v>175</v>
      </c>
      <c r="G4" s="2089" t="s">
        <v>1363</v>
      </c>
      <c r="H4" s="278" t="s">
        <v>1696</v>
      </c>
      <c r="I4" s="2037"/>
      <c r="J4" s="2038"/>
      <c r="K4" s="2686">
        <f>((1-$P$4)*$Q$4*$R$4*(1/$S$4)*$T$4*$U$4)/100000</f>
        <v>155.80246475675676</v>
      </c>
      <c r="L4" s="2040"/>
      <c r="M4" s="2041"/>
      <c r="N4" s="2687">
        <f>K4*E4</f>
        <v>1713.8271123243244</v>
      </c>
      <c r="O4" s="278"/>
      <c r="P4" s="2174">
        <f>D12</f>
        <v>0</v>
      </c>
      <c r="Q4" s="2174">
        <f>D14</f>
        <v>1546.2729729729731</v>
      </c>
      <c r="R4" s="2829">
        <f>D16</f>
        <v>114500</v>
      </c>
      <c r="S4" s="2683">
        <v>0.8</v>
      </c>
      <c r="T4" s="2684">
        <f>D18</f>
        <v>8.7999999999999995E-2</v>
      </c>
      <c r="U4" s="2685">
        <f>D21</f>
        <v>0.8</v>
      </c>
    </row>
    <row r="5" spans="1:21" s="167" customFormat="1" x14ac:dyDescent="0.35">
      <c r="A5" s="1711"/>
      <c r="B5" s="1711"/>
      <c r="C5" s="1711"/>
      <c r="D5" s="1711"/>
      <c r="E5" s="1711"/>
      <c r="F5" s="1711"/>
      <c r="G5" s="1711"/>
      <c r="H5" s="1711"/>
      <c r="I5" s="1711"/>
      <c r="J5" s="1711"/>
      <c r="K5" s="1711"/>
      <c r="L5" s="1712"/>
      <c r="M5" s="1711"/>
      <c r="N5" s="1711"/>
      <c r="O5" s="2682"/>
    </row>
    <row r="6" spans="1:21" s="167" customFormat="1" x14ac:dyDescent="0.35"/>
    <row r="7" spans="1:21" ht="15" thickBot="1" x14ac:dyDescent="0.4">
      <c r="A7" s="167"/>
    </row>
    <row r="8" spans="1:21" x14ac:dyDescent="0.35">
      <c r="A8" s="2688" t="s">
        <v>3086</v>
      </c>
      <c r="B8" s="2595"/>
      <c r="C8" s="2595"/>
      <c r="D8" s="2596"/>
    </row>
    <row r="9" spans="1:21" x14ac:dyDescent="0.35">
      <c r="A9" s="3261" t="s">
        <v>3087</v>
      </c>
      <c r="B9" s="3262"/>
      <c r="C9" s="3262"/>
      <c r="D9" s="3263"/>
    </row>
    <row r="10" spans="1:21" x14ac:dyDescent="0.35">
      <c r="A10" s="3258" t="s">
        <v>3088</v>
      </c>
      <c r="B10" s="3259"/>
      <c r="C10" s="3259"/>
      <c r="D10" s="3260"/>
    </row>
    <row r="11" spans="1:21" x14ac:dyDescent="0.35">
      <c r="A11" s="3254" t="s">
        <v>3089</v>
      </c>
      <c r="B11" s="3255"/>
      <c r="C11" s="2641" t="s">
        <v>3090</v>
      </c>
      <c r="D11" s="2577">
        <v>1</v>
      </c>
    </row>
    <row r="12" spans="1:21" x14ac:dyDescent="0.35">
      <c r="A12" s="3254"/>
      <c r="B12" s="3255"/>
      <c r="C12" s="2641" t="s">
        <v>3091</v>
      </c>
      <c r="D12" s="2577">
        <v>0</v>
      </c>
    </row>
    <row r="13" spans="1:21" x14ac:dyDescent="0.35">
      <c r="A13" s="3254"/>
      <c r="B13" s="3255"/>
      <c r="C13" s="2641" t="s">
        <v>1185</v>
      </c>
      <c r="D13" s="2577">
        <v>0.08</v>
      </c>
    </row>
    <row r="14" spans="1:21" x14ac:dyDescent="0.35">
      <c r="A14" s="2689" t="s">
        <v>3092</v>
      </c>
      <c r="B14" s="2690"/>
      <c r="C14" s="2691" t="s">
        <v>1696</v>
      </c>
      <c r="D14" s="2577">
        <f>VLOOKUP(G4,List!B6:H44,7,FALSE)</f>
        <v>1546.2729729729731</v>
      </c>
    </row>
    <row r="15" spans="1:21" x14ac:dyDescent="0.35">
      <c r="A15" s="2689" t="s">
        <v>3093</v>
      </c>
      <c r="B15" s="2690"/>
      <c r="C15" s="2641" t="s">
        <v>1940</v>
      </c>
      <c r="D15" s="2643"/>
    </row>
    <row r="16" spans="1:21" x14ac:dyDescent="0.35">
      <c r="A16" s="3254" t="s">
        <v>3094</v>
      </c>
      <c r="B16" s="3255"/>
      <c r="C16" s="2641" t="s">
        <v>3095</v>
      </c>
      <c r="D16" s="2865">
        <v>114500</v>
      </c>
    </row>
    <row r="17" spans="1:6" x14ac:dyDescent="0.35">
      <c r="A17" s="3254"/>
      <c r="B17" s="3255"/>
      <c r="C17" s="2641" t="s">
        <v>3096</v>
      </c>
      <c r="D17" s="2692">
        <v>0.8</v>
      </c>
    </row>
    <row r="18" spans="1:6" x14ac:dyDescent="0.35">
      <c r="A18" s="2689" t="s">
        <v>3097</v>
      </c>
      <c r="B18" s="2690"/>
      <c r="C18" s="2641"/>
      <c r="D18" s="2693">
        <v>8.7999999999999995E-2</v>
      </c>
      <c r="E18" s="1701"/>
      <c r="F18" s="1701"/>
    </row>
    <row r="19" spans="1:6" x14ac:dyDescent="0.35">
      <c r="A19" s="3254" t="s">
        <v>3098</v>
      </c>
      <c r="B19" s="3255"/>
      <c r="C19" s="2641" t="s">
        <v>3099</v>
      </c>
      <c r="D19" s="2694">
        <v>1</v>
      </c>
      <c r="E19" s="2146"/>
    </row>
    <row r="20" spans="1:6" x14ac:dyDescent="0.35">
      <c r="A20" s="3254"/>
      <c r="B20" s="3255"/>
      <c r="C20" s="2641" t="s">
        <v>3100</v>
      </c>
      <c r="D20" s="2694">
        <v>0.6</v>
      </c>
    </row>
    <row r="21" spans="1:6" ht="15" thickBot="1" x14ac:dyDescent="0.4">
      <c r="A21" s="3256"/>
      <c r="B21" s="3257"/>
      <c r="C21" s="2611" t="s">
        <v>3101</v>
      </c>
      <c r="D21" s="2695">
        <v>0.8</v>
      </c>
    </row>
    <row r="22" spans="1:6" x14ac:dyDescent="0.35">
      <c r="A22" s="167"/>
    </row>
    <row r="23" spans="1:6" x14ac:dyDescent="0.35">
      <c r="A23" s="3252" t="s">
        <v>3076</v>
      </c>
      <c r="B23" s="3252"/>
      <c r="C23" s="3252"/>
    </row>
    <row r="24" spans="1:6" ht="134.5" customHeight="1" x14ac:dyDescent="0.35">
      <c r="A24" s="3253" t="s">
        <v>3102</v>
      </c>
      <c r="B24" s="3253"/>
      <c r="C24" s="3253"/>
    </row>
    <row r="25" spans="1:6" x14ac:dyDescent="0.35">
      <c r="A25" s="3252" t="s">
        <v>3078</v>
      </c>
      <c r="B25" s="3252"/>
      <c r="C25" s="3252"/>
    </row>
    <row r="26" spans="1:6" x14ac:dyDescent="0.35">
      <c r="A26" s="2641" t="s">
        <v>3103</v>
      </c>
      <c r="B26" s="2641"/>
      <c r="C26" s="2641"/>
    </row>
    <row r="27" spans="1:6" x14ac:dyDescent="0.35">
      <c r="A27" s="3252" t="s">
        <v>3080</v>
      </c>
      <c r="B27" s="3252"/>
      <c r="C27" s="3252"/>
    </row>
    <row r="28" spans="1:6" x14ac:dyDescent="0.35">
      <c r="A28" t="s">
        <v>3104</v>
      </c>
    </row>
    <row r="29" spans="1:6" x14ac:dyDescent="0.35">
      <c r="B29">
        <v>11</v>
      </c>
    </row>
    <row r="30" spans="1:6" x14ac:dyDescent="0.35">
      <c r="A30" s="3252" t="s">
        <v>3082</v>
      </c>
      <c r="B30" s="3252"/>
      <c r="C30" s="3252"/>
    </row>
    <row r="31" spans="1:6" ht="50.15" customHeight="1" x14ac:dyDescent="0.35">
      <c r="A31" s="3186" t="s">
        <v>3105</v>
      </c>
      <c r="B31" s="3186"/>
      <c r="C31" s="3186"/>
    </row>
    <row r="32" spans="1:6" x14ac:dyDescent="0.35">
      <c r="B32" s="1713">
        <v>175</v>
      </c>
    </row>
    <row r="34" spans="1:2" x14ac:dyDescent="0.35">
      <c r="A34" s="1714" t="s">
        <v>2277</v>
      </c>
      <c r="B34" s="1" t="s">
        <v>1072</v>
      </c>
    </row>
    <row r="35" spans="1:2" x14ac:dyDescent="0.35">
      <c r="A35" s="40"/>
      <c r="B35" s="1" t="s">
        <v>1632</v>
      </c>
    </row>
    <row r="36" spans="1:2" x14ac:dyDescent="0.35">
      <c r="B36" s="1" t="s">
        <v>1583</v>
      </c>
    </row>
  </sheetData>
  <mergeCells count="13">
    <mergeCell ref="A19:B21"/>
    <mergeCell ref="I2:K2"/>
    <mergeCell ref="L2:N2"/>
    <mergeCell ref="A10:D10"/>
    <mergeCell ref="A11:B13"/>
    <mergeCell ref="A16:B17"/>
    <mergeCell ref="A9:D9"/>
    <mergeCell ref="A31:C31"/>
    <mergeCell ref="A23:C23"/>
    <mergeCell ref="A24:C24"/>
    <mergeCell ref="A25:C25"/>
    <mergeCell ref="A27:C27"/>
    <mergeCell ref="A30:C30"/>
  </mergeCells>
  <dataValidations count="1">
    <dataValidation type="list" allowBlank="1" showInputMessage="1" showErrorMessage="1" sqref="D4" xr:uid="{9A48B975-61CC-42ED-A444-573439E63FEF}">
      <formula1>$B$25:$B$27</formula1>
    </dataValidation>
  </dataValidations>
  <hyperlinks>
    <hyperlink ref="A1" location="'Measure-Level Adjustments'!Print_Titles" display="Measure Level Tab" xr:uid="{DB62357A-25AF-48FE-9AAA-71B477B06DD0}"/>
  </hyperlinks>
  <pageMargins left="0.7" right="0.7" top="0.75" bottom="0.75" header="0.3" footer="0.3"/>
  <pageSetup scale="44" orientation="landscape"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FDF42C09-3AF4-4147-9762-E93F465C0514}">
          <x14:formula1>
            <xm:f>'O:\NGAS\Depts\3137\EEP Portfolio Planning &amp; Analysis\Portfolio Planning\E3 Sandbox\Planning Tools\Measure_Data\Custom TRM V8\Bruce Working Files\[HIM_CI_TRMv8.xlsx]List'!#REF!</xm:f>
          </x14:formula1>
          <xm:sqref>G4:H4</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C553B-3E60-422C-B857-F87580F425F9}">
  <sheetPr>
    <tabColor theme="4" tint="0.79998168889431442"/>
  </sheetPr>
  <dimension ref="A1:T38"/>
  <sheetViews>
    <sheetView zoomScale="90" zoomScaleNormal="90" workbookViewId="0"/>
  </sheetViews>
  <sheetFormatPr defaultRowHeight="14.5" x14ac:dyDescent="0.35"/>
  <cols>
    <col min="1" max="1" width="34.7265625" bestFit="1" customWidth="1"/>
    <col min="2" max="2" width="27.54296875" customWidth="1"/>
    <col min="3" max="3" width="27.453125" customWidth="1"/>
    <col min="4" max="4" width="24" customWidth="1"/>
    <col min="5" max="5" width="23.1796875" customWidth="1"/>
    <col min="6" max="6" width="17.7265625" customWidth="1"/>
    <col min="7" max="7" width="25.81640625" customWidth="1"/>
    <col min="8" max="8" width="17" customWidth="1"/>
    <col min="9" max="9" width="22.54296875" customWidth="1"/>
    <col min="10" max="10" width="24.1796875" customWidth="1"/>
    <col min="11" max="11" width="13.54296875" customWidth="1"/>
    <col min="12" max="12" width="14" bestFit="1" customWidth="1"/>
    <col min="13" max="13" width="12.1796875" customWidth="1"/>
    <col min="14" max="14" width="6" customWidth="1"/>
    <col min="15" max="15" width="13.54296875" customWidth="1"/>
  </cols>
  <sheetData>
    <row r="1" spans="1:20" x14ac:dyDescent="0.35">
      <c r="A1" s="1799" t="s">
        <v>1031</v>
      </c>
    </row>
    <row r="2" spans="1:20" x14ac:dyDescent="0.35">
      <c r="A2" s="1702"/>
      <c r="B2" s="1703"/>
      <c r="C2" s="1703"/>
      <c r="D2" s="1703"/>
      <c r="E2" s="1704"/>
      <c r="F2" s="1704"/>
      <c r="G2" s="1704"/>
      <c r="H2" s="1704"/>
      <c r="I2" s="1704"/>
      <c r="J2" s="1704"/>
      <c r="K2" s="1704"/>
      <c r="L2" s="1704"/>
      <c r="M2" s="1704"/>
      <c r="N2" s="1704"/>
      <c r="O2" s="3147" t="s">
        <v>1032</v>
      </c>
      <c r="P2" s="3148"/>
      <c r="Q2" s="3264"/>
      <c r="R2" s="3147" t="s">
        <v>1033</v>
      </c>
      <c r="S2" s="3148"/>
      <c r="T2" s="3264"/>
    </row>
    <row r="3" spans="1:20" ht="25.5" customHeight="1" x14ac:dyDescent="0.35">
      <c r="A3" s="1972" t="s">
        <v>1035</v>
      </c>
      <c r="B3" s="1822" t="s">
        <v>155</v>
      </c>
      <c r="C3" s="1822" t="s">
        <v>1036</v>
      </c>
      <c r="D3" s="1822" t="s">
        <v>1037</v>
      </c>
      <c r="E3" s="1971" t="s">
        <v>1039</v>
      </c>
      <c r="F3" s="1971" t="s">
        <v>1040</v>
      </c>
      <c r="G3" s="1971" t="s">
        <v>1360</v>
      </c>
      <c r="H3" s="2058" t="s">
        <v>1684</v>
      </c>
      <c r="I3" s="2059" t="s">
        <v>3106</v>
      </c>
      <c r="J3" s="2059" t="s">
        <v>3107</v>
      </c>
      <c r="K3" s="2059" t="s">
        <v>2155</v>
      </c>
      <c r="L3" s="2059" t="s">
        <v>2190</v>
      </c>
      <c r="M3" s="2059" t="s">
        <v>3108</v>
      </c>
      <c r="N3" s="2059"/>
      <c r="O3" s="1976" t="s">
        <v>1044</v>
      </c>
      <c r="P3" s="1976" t="s">
        <v>1045</v>
      </c>
      <c r="Q3" s="1976" t="s">
        <v>1046</v>
      </c>
      <c r="R3" s="1976" t="s">
        <v>1044</v>
      </c>
      <c r="S3" s="1976" t="s">
        <v>1045</v>
      </c>
      <c r="T3" s="1976" t="s">
        <v>1046</v>
      </c>
    </row>
    <row r="4" spans="1:20" ht="49.5" customHeight="1" x14ac:dyDescent="0.35">
      <c r="A4" s="1901" t="s">
        <v>582</v>
      </c>
      <c r="B4" s="1901" t="s">
        <v>581</v>
      </c>
      <c r="C4" s="1901" t="s">
        <v>581</v>
      </c>
      <c r="D4" s="1902" t="s">
        <v>2158</v>
      </c>
      <c r="E4" s="1974">
        <f>VLOOKUP(H4,B21:C25,2,FALSE)</f>
        <v>2</v>
      </c>
      <c r="F4" s="2072"/>
      <c r="G4" s="2085" t="s">
        <v>2392</v>
      </c>
      <c r="H4" s="2073" t="s">
        <v>3068</v>
      </c>
      <c r="I4" s="2073" t="s">
        <v>3109</v>
      </c>
      <c r="J4" s="2073" t="s">
        <v>3110</v>
      </c>
      <c r="K4" s="1188">
        <f>VLOOKUP(G4,[5]Lists!D4:J41,7,FALSE)</f>
        <v>922.19999999999993</v>
      </c>
      <c r="L4" s="2086">
        <v>1250000</v>
      </c>
      <c r="M4" s="2087">
        <f>IF(J4=C35,VLOOKUP(I4,B36:D38,2,FALSE),VLOOKUP(I4,B36:D38,3,FALSE))</f>
        <v>2.5000000000000001E-2</v>
      </c>
      <c r="N4" s="2074"/>
      <c r="O4" s="2075"/>
      <c r="P4" s="2076"/>
      <c r="Q4" s="2077">
        <f>L4*K4*M4/100000</f>
        <v>288.1875</v>
      </c>
      <c r="R4" s="2077"/>
      <c r="S4" s="2076"/>
      <c r="T4" s="2077">
        <f>Q4*E4</f>
        <v>576.375</v>
      </c>
    </row>
    <row r="5" spans="1:20" x14ac:dyDescent="0.35">
      <c r="L5" s="2078"/>
    </row>
    <row r="6" spans="1:20" x14ac:dyDescent="0.35">
      <c r="K6" s="298"/>
      <c r="L6" s="298"/>
    </row>
    <row r="7" spans="1:20" x14ac:dyDescent="0.35">
      <c r="A7" s="2062" t="s">
        <v>3086</v>
      </c>
      <c r="B7" s="2063"/>
      <c r="C7" s="2063"/>
      <c r="D7" s="2063"/>
      <c r="E7" s="2063"/>
      <c r="F7" s="2063"/>
      <c r="G7" s="678"/>
    </row>
    <row r="8" spans="1:20" x14ac:dyDescent="0.35">
      <c r="A8" s="931" t="s">
        <v>3111</v>
      </c>
      <c r="B8" s="881"/>
      <c r="C8" s="881"/>
      <c r="D8" s="881"/>
      <c r="E8" s="881"/>
      <c r="F8" s="881"/>
      <c r="G8" s="678"/>
    </row>
    <row r="9" spans="1:20" x14ac:dyDescent="0.35">
      <c r="A9" s="2064"/>
      <c r="B9" s="2065"/>
      <c r="C9" s="2065"/>
      <c r="D9" s="2065"/>
      <c r="E9" s="2065"/>
      <c r="F9" s="2065"/>
      <c r="G9" s="678"/>
    </row>
    <row r="10" spans="1:20" x14ac:dyDescent="0.35">
      <c r="L10" s="2763"/>
    </row>
    <row r="12" spans="1:20" x14ac:dyDescent="0.35">
      <c r="A12" s="1248" t="s">
        <v>3078</v>
      </c>
    </row>
    <row r="13" spans="1:20" x14ac:dyDescent="0.35">
      <c r="A13" t="s">
        <v>3112</v>
      </c>
    </row>
    <row r="14" spans="1:20" x14ac:dyDescent="0.35">
      <c r="A14" s="2067"/>
    </row>
    <row r="15" spans="1:20" x14ac:dyDescent="0.35">
      <c r="A15" s="1248" t="s">
        <v>3082</v>
      </c>
    </row>
    <row r="18" spans="1:3" x14ac:dyDescent="0.35">
      <c r="A18" s="1248" t="s">
        <v>3113</v>
      </c>
    </row>
    <row r="19" spans="1:3" ht="15" thickBot="1" x14ac:dyDescent="0.4"/>
    <row r="20" spans="1:3" ht="15" thickBot="1" x14ac:dyDescent="0.4">
      <c r="A20" t="s">
        <v>1083</v>
      </c>
      <c r="B20" s="2079" t="s">
        <v>1684</v>
      </c>
      <c r="C20" s="2080" t="s">
        <v>3114</v>
      </c>
    </row>
    <row r="21" spans="1:3" ht="15" thickBot="1" x14ac:dyDescent="0.4">
      <c r="B21" s="2029" t="s">
        <v>3068</v>
      </c>
      <c r="C21" s="2056">
        <v>2</v>
      </c>
    </row>
    <row r="22" spans="1:3" ht="15" thickBot="1" x14ac:dyDescent="0.4">
      <c r="B22" s="2029" t="s">
        <v>2389</v>
      </c>
      <c r="C22" s="2056">
        <v>6</v>
      </c>
    </row>
    <row r="23" spans="1:3" ht="15" thickBot="1" x14ac:dyDescent="0.4">
      <c r="B23" s="2029" t="s">
        <v>2390</v>
      </c>
      <c r="C23" s="2056">
        <v>2</v>
      </c>
    </row>
    <row r="24" spans="1:3" ht="15" thickBot="1" x14ac:dyDescent="0.4">
      <c r="B24" s="2029" t="s">
        <v>3069</v>
      </c>
      <c r="C24" s="2056">
        <v>3</v>
      </c>
    </row>
    <row r="25" spans="1:3" ht="15" thickBot="1" x14ac:dyDescent="0.4">
      <c r="B25" s="2029" t="s">
        <v>3070</v>
      </c>
      <c r="C25" s="2056">
        <v>3</v>
      </c>
    </row>
    <row r="27" spans="1:3" x14ac:dyDescent="0.35">
      <c r="A27" t="s">
        <v>2190</v>
      </c>
      <c r="B27" s="2081" t="s">
        <v>3115</v>
      </c>
    </row>
    <row r="28" spans="1:3" x14ac:dyDescent="0.35">
      <c r="B28" s="2082" t="s">
        <v>1940</v>
      </c>
    </row>
    <row r="30" spans="1:3" x14ac:dyDescent="0.35">
      <c r="A30" t="s">
        <v>2155</v>
      </c>
      <c r="B30" s="55" t="s">
        <v>3116</v>
      </c>
    </row>
    <row r="32" spans="1:3" x14ac:dyDescent="0.35">
      <c r="A32" t="s">
        <v>3108</v>
      </c>
      <c r="B32" s="55" t="s">
        <v>3117</v>
      </c>
    </row>
    <row r="33" spans="2:4" ht="15" thickBot="1" x14ac:dyDescent="0.4"/>
    <row r="34" spans="2:4" ht="15" thickBot="1" x14ac:dyDescent="0.4">
      <c r="B34" s="2079"/>
      <c r="C34" s="3265" t="s">
        <v>3118</v>
      </c>
      <c r="D34" s="3266"/>
    </row>
    <row r="35" spans="2:4" ht="26.5" thickBot="1" x14ac:dyDescent="0.4">
      <c r="B35" s="340" t="s">
        <v>3106</v>
      </c>
      <c r="C35" s="341" t="s">
        <v>3110</v>
      </c>
      <c r="D35" s="341" t="s">
        <v>3119</v>
      </c>
    </row>
    <row r="36" spans="2:4" ht="15" thickBot="1" x14ac:dyDescent="0.4">
      <c r="B36" s="2029" t="s">
        <v>3120</v>
      </c>
      <c r="C36" s="2083">
        <v>0.01</v>
      </c>
      <c r="D36" s="2084">
        <v>1.6E-2</v>
      </c>
    </row>
    <row r="37" spans="2:4" ht="15" thickBot="1" x14ac:dyDescent="0.4">
      <c r="B37" s="2029" t="s">
        <v>3109</v>
      </c>
      <c r="C37" s="2084">
        <v>2.5000000000000001E-2</v>
      </c>
      <c r="D37" s="2084">
        <v>3.9E-2</v>
      </c>
    </row>
    <row r="38" spans="2:4" ht="15" thickBot="1" x14ac:dyDescent="0.4">
      <c r="B38" s="2029" t="s">
        <v>3121</v>
      </c>
      <c r="C38" s="2084">
        <v>3.9E-2</v>
      </c>
      <c r="D38" s="2084">
        <v>6.2E-2</v>
      </c>
    </row>
  </sheetData>
  <mergeCells count="3">
    <mergeCell ref="O2:Q2"/>
    <mergeCell ref="R2:T2"/>
    <mergeCell ref="C34:D34"/>
  </mergeCells>
  <dataValidations count="6">
    <dataValidation type="list" allowBlank="1" showInputMessage="1" showErrorMessage="1" sqref="J4" xr:uid="{BE504CFE-95BC-4B1D-B0DB-F9EBB8C96AE1}">
      <formula1>$C$35:$D$35</formula1>
    </dataValidation>
    <dataValidation type="list" allowBlank="1" showInputMessage="1" showErrorMessage="1" sqref="I4" xr:uid="{65269AF1-ECFC-4113-A011-038E2F4834A2}">
      <formula1>$B$36:$B$38</formula1>
    </dataValidation>
    <dataValidation type="list" allowBlank="1" showInputMessage="1" showErrorMessage="1" sqref="H4" xr:uid="{F197A290-86C9-4A61-8DF5-A1A6F24C4111}">
      <formula1>$B$21:$B$25</formula1>
    </dataValidation>
    <dataValidation type="list" allowBlank="1" showInputMessage="1" showErrorMessage="1" sqref="D4" xr:uid="{B6BC63AF-599A-49F7-B1B6-5D973D68BEAF}">
      <formula1>MeasureType</formula1>
    </dataValidation>
    <dataValidation type="list" allowBlank="1" showInputMessage="1" showErrorMessage="1" sqref="L4" xr:uid="{21CF5843-EB78-4E6D-8E1E-1B017F8A595F}">
      <formula1>DISl5</formula1>
    </dataValidation>
    <dataValidation type="list" allowBlank="1" showInputMessage="1" showErrorMessage="1" sqref="N4" xr:uid="{A2249F92-53EE-4E3A-BE7A-21A4A358CA22}">
      <formula1>DISl4</formula1>
    </dataValidation>
  </dataValidations>
  <hyperlinks>
    <hyperlink ref="A1" location="'Measure-Level Adjustments'!Print_Titles" display="Measure Level Tab" xr:uid="{9DCD80F4-C31B-4B2E-8BDD-D9CCAD072EF4}"/>
  </hyperlinks>
  <pageMargins left="0.7" right="0.7" top="0.75" bottom="0.75" header="0.3" footer="0.3"/>
  <pageSetup orientation="portrait" horizontalDpi="4294967293" verticalDpi="0"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76693-6021-48A7-AF46-02EEE53B376E}">
  <sheetPr>
    <tabColor theme="4" tint="0.79998168889431442"/>
    <pageSetUpPr fitToPage="1"/>
  </sheetPr>
  <dimension ref="A1:Q24"/>
  <sheetViews>
    <sheetView zoomScale="90" zoomScaleNormal="90" workbookViewId="0">
      <pane xSplit="1" ySplit="3" topLeftCell="I4" activePane="bottomRight" state="frozen"/>
      <selection pane="topRight" activeCell="B1" sqref="B1"/>
      <selection pane="bottomLeft" activeCell="A4" sqref="A4"/>
      <selection pane="bottomRight" activeCell="B4" sqref="B4"/>
    </sheetView>
  </sheetViews>
  <sheetFormatPr defaultRowHeight="14.5" x14ac:dyDescent="0.35"/>
  <cols>
    <col min="1" max="1" width="34.7265625" customWidth="1"/>
    <col min="2" max="2" width="27.54296875" customWidth="1"/>
    <col min="3" max="3" width="27.453125" customWidth="1"/>
    <col min="4" max="4" width="24" customWidth="1"/>
    <col min="5" max="5" width="23.1796875" customWidth="1"/>
    <col min="6" max="6" width="17.7265625" customWidth="1"/>
    <col min="7" max="7" width="17" customWidth="1"/>
    <col min="8" max="8" width="22.54296875" customWidth="1"/>
    <col min="9" max="9" width="24.1796875" customWidth="1"/>
    <col min="10" max="10" width="15.453125" customWidth="1"/>
    <col min="11" max="11" width="6" customWidth="1"/>
    <col min="12" max="12" width="13.54296875" customWidth="1"/>
  </cols>
  <sheetData>
    <row r="1" spans="1:17" x14ac:dyDescent="0.35">
      <c r="A1" s="1799" t="s">
        <v>1031</v>
      </c>
    </row>
    <row r="2" spans="1:17" x14ac:dyDescent="0.35">
      <c r="A2" s="1702"/>
      <c r="B2" s="1703"/>
      <c r="C2" s="1703"/>
      <c r="D2" s="1703"/>
      <c r="E2" s="1704"/>
      <c r="F2" s="1704"/>
      <c r="G2" s="1704"/>
      <c r="H2" s="1704"/>
      <c r="I2" s="1704"/>
      <c r="J2" s="1704"/>
      <c r="K2" s="1704"/>
      <c r="L2" s="3147" t="s">
        <v>1032</v>
      </c>
      <c r="M2" s="3148"/>
      <c r="N2" s="3264"/>
      <c r="O2" s="3147" t="s">
        <v>1033</v>
      </c>
      <c r="P2" s="3148"/>
      <c r="Q2" s="3264"/>
    </row>
    <row r="3" spans="1:17" ht="25.5" customHeight="1" x14ac:dyDescent="0.35">
      <c r="A3" s="1972" t="s">
        <v>1035</v>
      </c>
      <c r="B3" s="1822" t="s">
        <v>155</v>
      </c>
      <c r="C3" s="1822" t="s">
        <v>1036</v>
      </c>
      <c r="D3" s="1822" t="s">
        <v>1037</v>
      </c>
      <c r="E3" s="1971" t="s">
        <v>1039</v>
      </c>
      <c r="F3" s="1971" t="s">
        <v>1040</v>
      </c>
      <c r="G3" s="2058" t="s">
        <v>1684</v>
      </c>
      <c r="H3" s="2059" t="s">
        <v>3122</v>
      </c>
      <c r="I3" s="1821" t="s">
        <v>3123</v>
      </c>
      <c r="J3" s="2059" t="s">
        <v>3124</v>
      </c>
      <c r="K3" s="2059"/>
      <c r="L3" s="1976" t="s">
        <v>1044</v>
      </c>
      <c r="M3" s="1976" t="s">
        <v>1045</v>
      </c>
      <c r="N3" s="1976" t="s">
        <v>1046</v>
      </c>
      <c r="O3" s="1976" t="s">
        <v>1044</v>
      </c>
      <c r="P3" s="1976" t="s">
        <v>1045</v>
      </c>
      <c r="Q3" s="1976" t="s">
        <v>1046</v>
      </c>
    </row>
    <row r="4" spans="1:17" ht="49.5" customHeight="1" x14ac:dyDescent="0.35">
      <c r="A4" s="1901" t="s">
        <v>578</v>
      </c>
      <c r="B4" s="1901" t="s">
        <v>577</v>
      </c>
      <c r="C4" s="1901" t="s">
        <v>577</v>
      </c>
      <c r="D4" s="1902" t="s">
        <v>2261</v>
      </c>
      <c r="E4" s="1974">
        <v>25</v>
      </c>
      <c r="F4" s="2072"/>
      <c r="G4" s="2073" t="s">
        <v>3125</v>
      </c>
      <c r="H4" s="2073" t="s">
        <v>3126</v>
      </c>
      <c r="I4">
        <f>VLOOKUP(H4,A21:H24,8,FALSE)</f>
        <v>0.33040000000000003</v>
      </c>
      <c r="J4" s="1188">
        <v>85</v>
      </c>
      <c r="K4" s="2074"/>
      <c r="L4" s="2075"/>
      <c r="M4" s="2076"/>
      <c r="N4" s="2077">
        <f>I4*J4</f>
        <v>28.084000000000003</v>
      </c>
      <c r="O4" s="2077"/>
      <c r="P4" s="2076"/>
      <c r="Q4" s="2077">
        <f>N4*E4</f>
        <v>702.10000000000014</v>
      </c>
    </row>
    <row r="5" spans="1:17" x14ac:dyDescent="0.35">
      <c r="I5" s="2061"/>
    </row>
    <row r="7" spans="1:17" x14ac:dyDescent="0.35">
      <c r="A7" s="2062" t="s">
        <v>3086</v>
      </c>
      <c r="B7" s="2063"/>
      <c r="C7" s="2063"/>
      <c r="D7" s="2063"/>
      <c r="E7" s="2063"/>
      <c r="F7" s="2063"/>
    </row>
    <row r="8" spans="1:17" x14ac:dyDescent="0.35">
      <c r="A8" s="931" t="s">
        <v>3127</v>
      </c>
      <c r="B8" s="881"/>
      <c r="C8" s="881"/>
      <c r="D8" s="881"/>
      <c r="E8" s="881"/>
      <c r="F8" s="881"/>
    </row>
    <row r="9" spans="1:17" x14ac:dyDescent="0.35">
      <c r="A9" s="2064"/>
      <c r="B9" s="2065"/>
      <c r="C9" s="2065"/>
      <c r="D9" s="2065"/>
      <c r="E9" s="2065"/>
      <c r="F9" s="2065"/>
    </row>
    <row r="11" spans="1:17" x14ac:dyDescent="0.35">
      <c r="I11" s="2066"/>
    </row>
    <row r="12" spans="1:17" x14ac:dyDescent="0.35">
      <c r="A12" s="1248" t="s">
        <v>3078</v>
      </c>
    </row>
    <row r="13" spans="1:17" x14ac:dyDescent="0.35">
      <c r="A13" t="s">
        <v>3128</v>
      </c>
    </row>
    <row r="14" spans="1:17" x14ac:dyDescent="0.35">
      <c r="A14" s="2067"/>
    </row>
    <row r="15" spans="1:17" x14ac:dyDescent="0.35">
      <c r="A15" s="1248" t="s">
        <v>3082</v>
      </c>
    </row>
    <row r="17" spans="1:8" x14ac:dyDescent="0.35">
      <c r="A17" s="1713"/>
    </row>
    <row r="18" spans="1:8" x14ac:dyDescent="0.35">
      <c r="A18" s="1248" t="s">
        <v>3113</v>
      </c>
    </row>
    <row r="19" spans="1:8" ht="15" thickBot="1" x14ac:dyDescent="0.4"/>
    <row r="20" spans="1:8" ht="15" thickBot="1" x14ac:dyDescent="0.4">
      <c r="A20" s="3267" t="s">
        <v>3122</v>
      </c>
      <c r="B20" s="3268"/>
      <c r="C20" s="2068" t="s">
        <v>3129</v>
      </c>
      <c r="D20" s="2068" t="s">
        <v>3130</v>
      </c>
      <c r="E20" s="2068" t="s">
        <v>3131</v>
      </c>
      <c r="F20" s="2068" t="s">
        <v>3132</v>
      </c>
      <c r="G20" s="2068" t="s">
        <v>3133</v>
      </c>
      <c r="H20" s="2068" t="s">
        <v>3125</v>
      </c>
    </row>
    <row r="21" spans="1:8" ht="15" thickBot="1" x14ac:dyDescent="0.4">
      <c r="A21" s="2069" t="s">
        <v>3134</v>
      </c>
      <c r="B21" s="2070"/>
      <c r="C21" s="2030">
        <v>0.115</v>
      </c>
      <c r="D21" s="2030">
        <v>0.113</v>
      </c>
      <c r="E21" s="2030">
        <v>0.10199999999999999</v>
      </c>
      <c r="F21" s="2030">
        <v>9.0999999999999998E-2</v>
      </c>
      <c r="G21" s="2030">
        <v>9.4E-2</v>
      </c>
      <c r="H21" s="2071">
        <f>C21*0.3+D21*0.6+E21*0.1</f>
        <v>0.1125</v>
      </c>
    </row>
    <row r="22" spans="1:8" ht="15" thickBot="1" x14ac:dyDescent="0.4">
      <c r="A22" s="2069" t="s">
        <v>3126</v>
      </c>
      <c r="B22" s="2070"/>
      <c r="C22" s="2030">
        <v>0.33700000000000002</v>
      </c>
      <c r="D22" s="2030">
        <v>0.33200000000000002</v>
      </c>
      <c r="E22" s="2030">
        <v>0.30099999999999999</v>
      </c>
      <c r="F22" s="2030">
        <v>0.26900000000000002</v>
      </c>
      <c r="G22" s="2030">
        <v>0.27800000000000002</v>
      </c>
      <c r="H22" s="2071">
        <f>C22*0.3+D22*0.6+E22*0.1</f>
        <v>0.33040000000000003</v>
      </c>
    </row>
    <row r="23" spans="1:8" ht="15" thickBot="1" x14ac:dyDescent="0.4">
      <c r="A23" s="2069" t="s">
        <v>3135</v>
      </c>
      <c r="B23" s="2070"/>
      <c r="C23" s="2030">
        <v>0.17</v>
      </c>
      <c r="D23" s="2030">
        <v>0.16800000000000001</v>
      </c>
      <c r="E23" s="2030">
        <v>0.152</v>
      </c>
      <c r="F23" s="2030">
        <v>0.13600000000000001</v>
      </c>
      <c r="G23" s="2030">
        <v>0.14000000000000001</v>
      </c>
      <c r="H23" s="2071">
        <f>C23*0.3+D23*0.6+E23*0.1</f>
        <v>0.16699999999999998</v>
      </c>
    </row>
    <row r="24" spans="1:8" ht="15" thickBot="1" x14ac:dyDescent="0.4">
      <c r="A24" s="2069" t="s">
        <v>3136</v>
      </c>
      <c r="B24" s="2070"/>
      <c r="C24" s="2030">
        <v>0.501</v>
      </c>
      <c r="D24" s="2030">
        <v>0.49299999999999999</v>
      </c>
      <c r="E24" s="2030">
        <v>0.44700000000000001</v>
      </c>
      <c r="F24" s="2030">
        <v>0.4</v>
      </c>
      <c r="G24" s="2030">
        <v>0.41299999999999998</v>
      </c>
      <c r="H24" s="2071">
        <f>C24*0.3+D24*0.6+E24*0.1</f>
        <v>0.49080000000000001</v>
      </c>
    </row>
  </sheetData>
  <mergeCells count="3">
    <mergeCell ref="L2:N2"/>
    <mergeCell ref="O2:Q2"/>
    <mergeCell ref="A20:B20"/>
  </mergeCells>
  <dataValidations count="4">
    <dataValidation type="list" allowBlank="1" showInputMessage="1" showErrorMessage="1" sqref="G4" xr:uid="{0B654A01-2656-49EB-99B7-2C3FB292FCE3}">
      <formula1>$C$20:$H$20</formula1>
    </dataValidation>
    <dataValidation type="list" allowBlank="1" showInputMessage="1" showErrorMessage="1" sqref="H4" xr:uid="{73BD2427-2A49-44DE-8607-26E1FCD5D644}">
      <formula1>$A$21:$A$24</formula1>
    </dataValidation>
    <dataValidation type="list" allowBlank="1" showInputMessage="1" showErrorMessage="1" sqref="K4" xr:uid="{8BBD5F0F-5142-456B-835A-79534CC08B26}">
      <formula1>DISl4</formula1>
    </dataValidation>
    <dataValidation type="list" allowBlank="1" showInputMessage="1" showErrorMessage="1" sqref="D4" xr:uid="{BB1A3F9C-F5BA-4ACB-BD0D-0BD9FFCC0E87}">
      <formula1>MeasureType</formula1>
    </dataValidation>
  </dataValidations>
  <hyperlinks>
    <hyperlink ref="A1" location="'Measure-Level Adjustments'!Print_Titles" display="Measure Level Tab" xr:uid="{00288305-F205-417D-B13E-BB746F318DEC}"/>
  </hyperlinks>
  <pageMargins left="0.7" right="0.7" top="0.75" bottom="0.75" header="0.3" footer="0.3"/>
  <pageSetup scale="41" orientation="landscape" horizontalDpi="4294967293"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79998168889431442"/>
  </sheetPr>
  <dimension ref="A1:Q42"/>
  <sheetViews>
    <sheetView view="pageBreakPreview" zoomScale="60" zoomScaleNormal="100" workbookViewId="0"/>
  </sheetViews>
  <sheetFormatPr defaultRowHeight="14.5" x14ac:dyDescent="0.35"/>
  <cols>
    <col min="1" max="1" width="24.7265625" customWidth="1"/>
    <col min="2" max="2" width="38.26953125" bestFit="1" customWidth="1"/>
    <col min="3" max="3" width="39.7265625" customWidth="1"/>
    <col min="4" max="4" width="20" bestFit="1" customWidth="1"/>
    <col min="5" max="5" width="8.453125" bestFit="1" customWidth="1"/>
    <col min="6" max="6" width="22" bestFit="1" customWidth="1"/>
    <col min="7" max="7" width="10" bestFit="1" customWidth="1"/>
    <col min="8" max="8" width="8.453125" bestFit="1" customWidth="1"/>
    <col min="9" max="9" width="5.81640625" bestFit="1" customWidth="1"/>
    <col min="10" max="10" width="5.7265625" bestFit="1" customWidth="1"/>
    <col min="11" max="11" width="8.81640625" bestFit="1" customWidth="1"/>
    <col min="12" max="12" width="12" bestFit="1" customWidth="1"/>
    <col min="13" max="13" width="5.7265625" bestFit="1" customWidth="1"/>
    <col min="14" max="14" width="9.54296875" bestFit="1" customWidth="1"/>
    <col min="15" max="15" width="22.7265625" bestFit="1" customWidth="1"/>
    <col min="16" max="16" width="16.1796875" bestFit="1" customWidth="1"/>
    <col min="17" max="17" width="23.26953125" bestFit="1" customWidth="1"/>
  </cols>
  <sheetData>
    <row r="1" spans="1:17" x14ac:dyDescent="0.35">
      <c r="A1" s="1799" t="s">
        <v>1031</v>
      </c>
    </row>
    <row r="2" spans="1:17" x14ac:dyDescent="0.35">
      <c r="A2" s="1428" t="s">
        <v>504</v>
      </c>
      <c r="B2" s="1428" t="s">
        <v>3137</v>
      </c>
      <c r="C2" s="968"/>
      <c r="D2" s="968"/>
      <c r="E2" s="967"/>
      <c r="F2" s="967"/>
      <c r="G2" s="967"/>
      <c r="H2" s="967"/>
      <c r="I2" s="967"/>
      <c r="J2" s="3010" t="s">
        <v>1032</v>
      </c>
      <c r="K2" s="3011"/>
      <c r="L2" s="3012"/>
      <c r="M2" s="3010" t="s">
        <v>1033</v>
      </c>
      <c r="N2" s="3011"/>
      <c r="O2" s="3011"/>
      <c r="P2" s="3269" t="s">
        <v>1158</v>
      </c>
      <c r="Q2" s="3270"/>
    </row>
    <row r="3" spans="1:17" ht="43.5" x14ac:dyDescent="0.35">
      <c r="A3" s="969" t="s">
        <v>1035</v>
      </c>
      <c r="B3" s="969" t="s">
        <v>155</v>
      </c>
      <c r="C3" s="953" t="s">
        <v>1036</v>
      </c>
      <c r="D3" s="953" t="s">
        <v>1037</v>
      </c>
      <c r="E3" s="952" t="s">
        <v>1038</v>
      </c>
      <c r="F3" s="952" t="s">
        <v>3138</v>
      </c>
      <c r="G3" s="952" t="s">
        <v>1039</v>
      </c>
      <c r="H3" s="952" t="s">
        <v>2808</v>
      </c>
      <c r="I3" s="952" t="s">
        <v>1868</v>
      </c>
      <c r="J3" s="970" t="s">
        <v>1044</v>
      </c>
      <c r="K3" s="970" t="s">
        <v>1045</v>
      </c>
      <c r="L3" s="1038" t="s">
        <v>1046</v>
      </c>
      <c r="M3" s="970" t="s">
        <v>1044</v>
      </c>
      <c r="N3" s="970" t="s">
        <v>1045</v>
      </c>
      <c r="O3" s="971" t="s">
        <v>1046</v>
      </c>
      <c r="P3" s="120" t="s">
        <v>3139</v>
      </c>
      <c r="Q3" s="120" t="s">
        <v>2206</v>
      </c>
    </row>
    <row r="4" spans="1:17" ht="29" x14ac:dyDescent="0.35">
      <c r="A4" s="966" t="s">
        <v>503</v>
      </c>
      <c r="B4" s="1020" t="str">
        <f>$B$2&amp;" - "&amp;F4</f>
        <v xml:space="preserve">Modulating Commercial Gas Clothes Dryer - Coin- Operated Laundromats </v>
      </c>
      <c r="C4" s="2012" t="s">
        <v>967</v>
      </c>
      <c r="D4" s="1825" t="s">
        <v>2062</v>
      </c>
      <c r="E4" s="1964"/>
      <c r="F4" s="1964" t="s">
        <v>3140</v>
      </c>
      <c r="G4" s="974">
        <f>+$B$21</f>
        <v>14</v>
      </c>
      <c r="H4" s="1001"/>
      <c r="I4" s="1039"/>
      <c r="J4" s="977"/>
      <c r="K4" s="978"/>
      <c r="L4" s="1042">
        <f>+P4*Q4</f>
        <v>266.94</v>
      </c>
      <c r="M4" s="977"/>
      <c r="N4" s="977"/>
      <c r="O4" s="979">
        <f>L4*G4</f>
        <v>3737.16</v>
      </c>
      <c r="P4" s="621">
        <f>+VLOOKUP(F4,$A$31:$B$33,2,FALSE)</f>
        <v>1483</v>
      </c>
      <c r="Q4" s="49">
        <f>+$B$19</f>
        <v>0.18</v>
      </c>
    </row>
    <row r="5" spans="1:17" ht="29" x14ac:dyDescent="0.35">
      <c r="A5" s="966" t="s">
        <v>507</v>
      </c>
      <c r="B5" s="1020" t="str">
        <f>$B$2&amp;" - "&amp;F5</f>
        <v xml:space="preserve">Modulating Commercial Gas Clothes Dryer - Multi-family Dryers </v>
      </c>
      <c r="C5" s="2012" t="s">
        <v>506</v>
      </c>
      <c r="D5" s="1825" t="s">
        <v>2062</v>
      </c>
      <c r="E5" s="1964"/>
      <c r="F5" s="1964" t="s">
        <v>3141</v>
      </c>
      <c r="G5" s="974">
        <f>+$B$21</f>
        <v>14</v>
      </c>
      <c r="H5" s="1001"/>
      <c r="I5" s="1039"/>
      <c r="J5" s="977"/>
      <c r="K5" s="978"/>
      <c r="L5" s="1042">
        <f>+P5*Q5</f>
        <v>193.32</v>
      </c>
      <c r="M5" s="977"/>
      <c r="N5" s="977"/>
      <c r="O5" s="979">
        <f>L5*G5</f>
        <v>2706.48</v>
      </c>
      <c r="P5" s="621">
        <f>+VLOOKUP(F5,$A$31:$B$33,2,FALSE)</f>
        <v>1074</v>
      </c>
      <c r="Q5" s="49">
        <f>+$B$19</f>
        <v>0.18</v>
      </c>
    </row>
    <row r="6" spans="1:17" ht="29" x14ac:dyDescent="0.35">
      <c r="A6" s="966" t="s">
        <v>509</v>
      </c>
      <c r="B6" s="1020" t="str">
        <f>$B$2&amp;" - "&amp;F6</f>
        <v xml:space="preserve">Modulating Commercial Gas Clothes Dryer - On-Premise Laundromats  </v>
      </c>
      <c r="C6" s="982" t="s">
        <v>508</v>
      </c>
      <c r="D6" s="957" t="s">
        <v>2062</v>
      </c>
      <c r="E6" s="69"/>
      <c r="F6" s="69" t="s">
        <v>3142</v>
      </c>
      <c r="G6" s="974">
        <f>+$B$21</f>
        <v>14</v>
      </c>
      <c r="H6" s="1001"/>
      <c r="I6" s="1039"/>
      <c r="J6" s="977"/>
      <c r="K6" s="978"/>
      <c r="L6" s="1042">
        <f>+P6*Q6</f>
        <v>649.26</v>
      </c>
      <c r="M6" s="977"/>
      <c r="N6" s="977"/>
      <c r="O6" s="979">
        <f>L6*G6</f>
        <v>9089.64</v>
      </c>
      <c r="P6" s="621">
        <f>+VLOOKUP(F6,$A$31:$B$33,2,FALSE)</f>
        <v>3607</v>
      </c>
      <c r="Q6" s="49">
        <f>+$B$19</f>
        <v>0.18</v>
      </c>
    </row>
    <row r="7" spans="1:17" ht="29" x14ac:dyDescent="0.35">
      <c r="A7" s="966" t="s">
        <v>3143</v>
      </c>
      <c r="B7" s="1020" t="s">
        <v>3144</v>
      </c>
      <c r="C7" s="966" t="s">
        <v>3145</v>
      </c>
      <c r="D7" s="957" t="s">
        <v>2062</v>
      </c>
      <c r="E7" s="69"/>
      <c r="F7" s="69" t="s">
        <v>3142</v>
      </c>
      <c r="G7" s="974">
        <f>+$B$21</f>
        <v>14</v>
      </c>
      <c r="H7" s="1001"/>
      <c r="I7" s="1039"/>
      <c r="J7" s="977"/>
      <c r="K7" s="978"/>
      <c r="L7" s="1042">
        <f>+P7*Q7</f>
        <v>649.26</v>
      </c>
      <c r="M7" s="977"/>
      <c r="N7" s="977"/>
      <c r="O7" s="979">
        <f>L7*G7</f>
        <v>9089.64</v>
      </c>
      <c r="P7" s="621">
        <f>+VLOOKUP(F7,$A$31:$B$33,2,FALSE)</f>
        <v>3607</v>
      </c>
      <c r="Q7" s="49">
        <f>+$B$19</f>
        <v>0.18</v>
      </c>
    </row>
    <row r="8" spans="1:17" x14ac:dyDescent="0.35">
      <c r="A8" s="966"/>
      <c r="B8" s="1020"/>
      <c r="C8" s="966"/>
      <c r="D8" s="957"/>
      <c r="E8" s="69"/>
      <c r="F8" s="69"/>
      <c r="G8" s="974"/>
      <c r="H8" s="1001"/>
      <c r="I8" s="1039"/>
      <c r="J8" s="977"/>
      <c r="K8" s="978"/>
      <c r="L8" s="1042"/>
      <c r="M8" s="977"/>
      <c r="N8" s="977"/>
      <c r="O8" s="979"/>
      <c r="P8" s="621"/>
      <c r="Q8" s="49"/>
    </row>
    <row r="10" spans="1:17" ht="15" thickBot="1" x14ac:dyDescent="0.4"/>
    <row r="11" spans="1:17" ht="15" thickBot="1" x14ac:dyDescent="0.4">
      <c r="A11" s="154" t="s">
        <v>1188</v>
      </c>
      <c r="B11" s="64"/>
      <c r="C11" s="64"/>
      <c r="D11" s="65"/>
    </row>
    <row r="12" spans="1:17" ht="15" thickBot="1" x14ac:dyDescent="0.4">
      <c r="A12" s="261" t="s">
        <v>3146</v>
      </c>
      <c r="B12" s="161"/>
      <c r="C12" s="161"/>
      <c r="D12" s="163"/>
    </row>
    <row r="13" spans="1:17" ht="15" thickBot="1" x14ac:dyDescent="0.4">
      <c r="A13" s="154" t="s">
        <v>1078</v>
      </c>
      <c r="B13" s="1142">
        <f>'Measure-Level Adjustments'!A2</f>
        <v>44592</v>
      </c>
    </row>
    <row r="14" spans="1:17" ht="15" thickBot="1" x14ac:dyDescent="0.4">
      <c r="A14" s="154" t="s">
        <v>1079</v>
      </c>
      <c r="B14" s="577" t="s">
        <v>505</v>
      </c>
    </row>
    <row r="15" spans="1:17" ht="15" thickBot="1" x14ac:dyDescent="0.4"/>
    <row r="16" spans="1:17" ht="15" thickBot="1" x14ac:dyDescent="0.4">
      <c r="A16" s="637" t="s">
        <v>1285</v>
      </c>
      <c r="B16" s="638" t="s">
        <v>1199</v>
      </c>
      <c r="C16" s="639" t="s">
        <v>1082</v>
      </c>
      <c r="D16" s="383"/>
      <c r="E16" s="383"/>
      <c r="F16" s="383"/>
      <c r="G16" s="383"/>
      <c r="H16" s="383"/>
      <c r="I16" s="383"/>
      <c r="J16" s="383"/>
      <c r="K16" s="383"/>
      <c r="L16" s="383"/>
      <c r="M16" s="383"/>
      <c r="N16" s="384"/>
    </row>
    <row r="17" spans="1:17" s="1435" customFormat="1" ht="45" customHeight="1" x14ac:dyDescent="0.35">
      <c r="A17" s="1240" t="s">
        <v>3139</v>
      </c>
      <c r="B17" s="1241"/>
      <c r="C17" s="1241" t="s">
        <v>3147</v>
      </c>
      <c r="D17" s="1241"/>
      <c r="E17" s="1241"/>
      <c r="F17" s="1241"/>
      <c r="G17" s="1241"/>
      <c r="H17" s="1241"/>
      <c r="I17" s="1241"/>
      <c r="J17" s="1241"/>
      <c r="K17" s="1241"/>
      <c r="L17" s="1241"/>
      <c r="M17" s="1241"/>
      <c r="N17" s="1243"/>
      <c r="O17"/>
      <c r="P17"/>
      <c r="Q17"/>
    </row>
    <row r="18" spans="1:17" s="1436" customFormat="1" ht="35.25" customHeight="1" thickBot="1" x14ac:dyDescent="0.4">
      <c r="A18" s="1201"/>
      <c r="B18" s="1202"/>
      <c r="C18" s="1202" t="s">
        <v>3148</v>
      </c>
      <c r="D18" s="1202"/>
      <c r="E18" s="1202"/>
      <c r="F18" s="1202"/>
      <c r="G18" s="1202"/>
      <c r="H18" s="1202"/>
      <c r="I18" s="1202"/>
      <c r="J18" s="1202"/>
      <c r="K18" s="1202"/>
      <c r="L18" s="1202"/>
      <c r="M18" s="1202"/>
      <c r="N18" s="1206"/>
      <c r="O18"/>
      <c r="P18"/>
      <c r="Q18"/>
    </row>
    <row r="19" spans="1:17" s="1435" customFormat="1" x14ac:dyDescent="0.35">
      <c r="A19" s="1240" t="s">
        <v>2206</v>
      </c>
      <c r="B19" s="1241">
        <v>0.18</v>
      </c>
      <c r="C19" s="1241" t="s">
        <v>2023</v>
      </c>
      <c r="D19" s="1241"/>
      <c r="E19" s="1241"/>
      <c r="F19" s="1241"/>
      <c r="G19" s="1241"/>
      <c r="H19" s="1241"/>
      <c r="I19" s="1241"/>
      <c r="J19" s="1241"/>
      <c r="K19" s="1241"/>
      <c r="L19" s="1241"/>
      <c r="M19" s="1241"/>
      <c r="N19" s="1243"/>
      <c r="O19"/>
      <c r="P19"/>
      <c r="Q19"/>
    </row>
    <row r="20" spans="1:17" s="1435" customFormat="1" ht="15" thickBot="1" x14ac:dyDescent="0.4">
      <c r="A20" s="1242"/>
      <c r="B20" s="1198"/>
      <c r="C20" s="1198" t="s">
        <v>3149</v>
      </c>
      <c r="D20" s="1198"/>
      <c r="E20" s="1198"/>
      <c r="F20" s="1198"/>
      <c r="G20" s="1198"/>
      <c r="H20" s="1198"/>
      <c r="I20" s="1198"/>
      <c r="J20" s="1198"/>
      <c r="K20" s="1198"/>
      <c r="L20" s="1198"/>
      <c r="M20" s="1198"/>
      <c r="N20" s="1244"/>
      <c r="O20"/>
      <c r="P20"/>
      <c r="Q20"/>
    </row>
    <row r="21" spans="1:17" s="1435" customFormat="1" x14ac:dyDescent="0.35">
      <c r="A21" s="1240" t="s">
        <v>1431</v>
      </c>
      <c r="B21" s="1241">
        <v>14</v>
      </c>
      <c r="C21" s="1241" t="s">
        <v>1787</v>
      </c>
      <c r="D21" s="1241"/>
      <c r="E21" s="1241"/>
      <c r="F21" s="1241"/>
      <c r="G21" s="1241"/>
      <c r="H21" s="1241"/>
      <c r="I21" s="1241"/>
      <c r="J21" s="1241"/>
      <c r="K21" s="1241"/>
      <c r="L21" s="1241"/>
      <c r="M21" s="1241"/>
      <c r="N21" s="1243"/>
      <c r="O21"/>
      <c r="P21"/>
      <c r="Q21"/>
    </row>
    <row r="22" spans="1:17" s="1435" customFormat="1" ht="15" thickBot="1" x14ac:dyDescent="0.4">
      <c r="A22" s="1242"/>
      <c r="B22" s="1198"/>
      <c r="C22" s="1198" t="s">
        <v>3150</v>
      </c>
      <c r="D22" s="1198"/>
      <c r="E22" s="1198"/>
      <c r="F22" s="1198"/>
      <c r="G22" s="1198"/>
      <c r="H22" s="1198"/>
      <c r="I22" s="1198"/>
      <c r="J22" s="1198"/>
      <c r="K22" s="1198"/>
      <c r="L22" s="1198"/>
      <c r="M22" s="1198"/>
      <c r="N22" s="1244"/>
      <c r="O22"/>
      <c r="P22"/>
      <c r="Q22"/>
    </row>
    <row r="23" spans="1:17" s="1435" customFormat="1" x14ac:dyDescent="0.35">
      <c r="A23" s="1240" t="s">
        <v>1040</v>
      </c>
      <c r="B23" s="1241"/>
      <c r="C23" s="1241"/>
      <c r="D23" s="1241"/>
      <c r="E23" s="1241"/>
      <c r="F23" s="1241"/>
      <c r="G23" s="1241"/>
      <c r="H23" s="1241"/>
      <c r="I23" s="1241"/>
      <c r="J23" s="1241"/>
      <c r="K23" s="1241"/>
      <c r="L23" s="1241"/>
      <c r="M23" s="1241"/>
      <c r="N23" s="1243"/>
      <c r="O23"/>
      <c r="P23"/>
      <c r="Q23"/>
    </row>
    <row r="24" spans="1:17" s="1435" customFormat="1" ht="15" thickBot="1" x14ac:dyDescent="0.4">
      <c r="A24" s="1242"/>
      <c r="B24" s="1198"/>
      <c r="C24" s="1198"/>
      <c r="D24" s="1198"/>
      <c r="E24" s="1198"/>
      <c r="F24" s="1198"/>
      <c r="G24" s="1198"/>
      <c r="H24" s="1198"/>
      <c r="I24" s="1198"/>
      <c r="J24" s="1198"/>
      <c r="K24" s="1198"/>
      <c r="L24" s="1198"/>
      <c r="M24" s="1198"/>
      <c r="N24" s="1244"/>
      <c r="O24"/>
      <c r="P24"/>
      <c r="Q24"/>
    </row>
    <row r="27" spans="1:17" ht="15" thickBot="1" x14ac:dyDescent="0.4"/>
    <row r="28" spans="1:17" ht="15" thickBot="1" x14ac:dyDescent="0.4">
      <c r="A28" s="97" t="s">
        <v>1257</v>
      </c>
      <c r="B28" s="64"/>
      <c r="C28" s="65"/>
    </row>
    <row r="29" spans="1:17" x14ac:dyDescent="0.35">
      <c r="A29" s="99"/>
      <c r="B29" s="69"/>
      <c r="C29" s="100"/>
    </row>
    <row r="30" spans="1:17" x14ac:dyDescent="0.35">
      <c r="A30" s="1437" t="s">
        <v>1569</v>
      </c>
      <c r="B30" s="1438" t="s">
        <v>3151</v>
      </c>
      <c r="C30" s="100"/>
    </row>
    <row r="31" spans="1:17" x14ac:dyDescent="0.35">
      <c r="A31" s="290" t="s">
        <v>3140</v>
      </c>
      <c r="B31" s="1439">
        <v>1483</v>
      </c>
      <c r="C31" s="100"/>
    </row>
    <row r="32" spans="1:17" x14ac:dyDescent="0.35">
      <c r="A32" s="290" t="s">
        <v>3141</v>
      </c>
      <c r="B32" s="1439">
        <v>1074</v>
      </c>
      <c r="C32" s="100"/>
    </row>
    <row r="33" spans="1:3" x14ac:dyDescent="0.35">
      <c r="A33" s="290" t="s">
        <v>3142</v>
      </c>
      <c r="B33" s="1439">
        <v>3607</v>
      </c>
      <c r="C33" s="100"/>
    </row>
    <row r="34" spans="1:3" x14ac:dyDescent="0.35">
      <c r="A34" s="99"/>
      <c r="B34" s="69"/>
      <c r="C34" s="100"/>
    </row>
    <row r="35" spans="1:3" x14ac:dyDescent="0.35">
      <c r="A35" s="99"/>
      <c r="B35" s="69"/>
      <c r="C35" s="100"/>
    </row>
    <row r="36" spans="1:3" x14ac:dyDescent="0.35">
      <c r="A36" s="99"/>
      <c r="B36" s="69"/>
      <c r="C36" s="100"/>
    </row>
    <row r="37" spans="1:3" x14ac:dyDescent="0.35">
      <c r="A37" s="99"/>
      <c r="B37" s="69"/>
      <c r="C37" s="100"/>
    </row>
    <row r="38" spans="1:3" x14ac:dyDescent="0.35">
      <c r="A38" s="99"/>
      <c r="B38" s="69"/>
      <c r="C38" s="100"/>
    </row>
    <row r="39" spans="1:3" x14ac:dyDescent="0.35">
      <c r="A39" s="99"/>
      <c r="B39" s="69"/>
      <c r="C39" s="100"/>
    </row>
    <row r="40" spans="1:3" x14ac:dyDescent="0.35">
      <c r="A40" s="99"/>
      <c r="B40" s="69"/>
      <c r="C40" s="100"/>
    </row>
    <row r="41" spans="1:3" x14ac:dyDescent="0.35">
      <c r="A41" s="99"/>
      <c r="B41" s="69"/>
      <c r="C41" s="100"/>
    </row>
    <row r="42" spans="1:3" ht="15" thickBot="1" x14ac:dyDescent="0.4">
      <c r="A42" s="261"/>
      <c r="B42" s="161"/>
      <c r="C42" s="163"/>
    </row>
  </sheetData>
  <customSheetViews>
    <customSheetView guid="{ECD6FE6A-9548-414E-B8AA-6998703C57E0}" scale="60" showPageBreaks="1" view="pageBreakPreview">
      <pageMargins left="0" right="0" top="0" bottom="0" header="0" footer="0"/>
      <pageSetup scale="10" orientation="landscape" verticalDpi="300" r:id="rId1"/>
    </customSheetView>
    <customSheetView guid="{11DE45F5-F478-4ED6-8DFF-12002C22A637}" scale="60" showPageBreaks="1" view="pageBreakPreview">
      <pageMargins left="0" right="0" top="0" bottom="0" header="0" footer="0"/>
      <pageSetup scale="10" orientation="landscape" verticalDpi="300" r:id="rId2"/>
    </customSheetView>
  </customSheetViews>
  <mergeCells count="3">
    <mergeCell ref="J2:L2"/>
    <mergeCell ref="M2:O2"/>
    <mergeCell ref="P2:Q2"/>
  </mergeCells>
  <phoneticPr fontId="152" type="noConversion"/>
  <dataValidations count="5">
    <dataValidation type="list" allowBlank="1" showInputMessage="1" showErrorMessage="1" sqref="J8" xr:uid="{00000000-0002-0000-2100-000000000000}">
      <formula1>Fuel2</formula1>
    </dataValidation>
    <dataValidation type="list" allowBlank="1" showInputMessage="1" showErrorMessage="1" sqref="K8" xr:uid="{00000000-0002-0000-2100-000001000000}">
      <formula1>Climate1</formula1>
    </dataValidation>
    <dataValidation type="list" allowBlank="1" showInputMessage="1" showErrorMessage="1" sqref="F8 E4:E8" xr:uid="{00000000-0002-0000-2100-000002000000}">
      <formula1>PgTs1</formula1>
    </dataValidation>
    <dataValidation type="list" allowBlank="1" showInputMessage="1" showErrorMessage="1" sqref="D4:D7" xr:uid="{00000000-0002-0000-2100-000003000000}">
      <formula1>MeasureType</formula1>
    </dataValidation>
    <dataValidation type="list" allowBlank="1" showInputMessage="1" showErrorMessage="1" sqref="I4:I7" xr:uid="{00000000-0002-0000-2100-000004000000}">
      <formula1>#REF!</formula1>
    </dataValidation>
  </dataValidations>
  <hyperlinks>
    <hyperlink ref="A1" location="'Measure-Level Adjustments'!Print_Titles" display="Measure Level Tab" xr:uid="{5AFE540F-C0F4-44A4-826F-127B8001270C}"/>
  </hyperlinks>
  <pageMargins left="0.7" right="0.7" top="0.75" bottom="0.75" header="0.3" footer="0.3"/>
  <pageSetup scale="10" orientation="landscape" verticalDpi="300"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5000000}">
          <x14:formula1>
            <xm:f>'http://sp.weccusa.org/sites/nicor/Nicor Workflow Automation/Version 3/[Inputs-HIM_Res_TRMv3 0.xlsx]List'!#REF!</xm:f>
          </x14:formula1>
          <xm:sqref>D8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EBCE3-2C7B-412F-9B83-CC53554A07C0}">
  <sheetPr>
    <tabColor theme="4" tint="0.79998168889431442"/>
    <pageSetUpPr fitToPage="1"/>
  </sheetPr>
  <dimension ref="A1:N52"/>
  <sheetViews>
    <sheetView topLeftCell="E1" workbookViewId="0"/>
  </sheetViews>
  <sheetFormatPr defaultRowHeight="14.5" x14ac:dyDescent="0.35"/>
  <cols>
    <col min="1" max="1" width="21" customWidth="1"/>
    <col min="2" max="2" width="32.81640625" customWidth="1"/>
    <col min="3" max="3" width="29" customWidth="1"/>
    <col min="4" max="4" width="27.26953125" customWidth="1"/>
    <col min="5" max="5" width="28" customWidth="1"/>
    <col min="6" max="6" width="27.26953125" customWidth="1"/>
    <col min="7" max="8" width="17.81640625" customWidth="1"/>
  </cols>
  <sheetData>
    <row r="1" spans="1:14" x14ac:dyDescent="0.35">
      <c r="A1" s="1799" t="s">
        <v>1031</v>
      </c>
    </row>
    <row r="2" spans="1:14" x14ac:dyDescent="0.35">
      <c r="A2" s="1702"/>
      <c r="B2" s="1703"/>
      <c r="C2" s="1703"/>
      <c r="D2" s="1704"/>
      <c r="E2" s="1704"/>
      <c r="F2" s="1704"/>
      <c r="G2" s="1704"/>
      <c r="H2" s="1704"/>
      <c r="I2" s="3153" t="s">
        <v>1032</v>
      </c>
      <c r="J2" s="3153"/>
      <c r="K2" s="3153"/>
      <c r="L2" s="3153" t="s">
        <v>1033</v>
      </c>
      <c r="M2" s="3153"/>
      <c r="N2" s="3153"/>
    </row>
    <row r="3" spans="1:14" ht="25.5" customHeight="1" x14ac:dyDescent="0.35">
      <c r="A3" s="1705" t="s">
        <v>1035</v>
      </c>
      <c r="B3" s="1706" t="s">
        <v>155</v>
      </c>
      <c r="C3" s="1706" t="s">
        <v>1036</v>
      </c>
      <c r="D3" s="1707" t="s">
        <v>1038</v>
      </c>
      <c r="E3" s="1707" t="s">
        <v>1039</v>
      </c>
      <c r="F3" s="1707" t="s">
        <v>3073</v>
      </c>
      <c r="G3" s="1707" t="s">
        <v>1684</v>
      </c>
      <c r="H3" s="1707" t="s">
        <v>1360</v>
      </c>
      <c r="I3" s="1707" t="s">
        <v>1044</v>
      </c>
      <c r="J3" s="1707" t="s">
        <v>1045</v>
      </c>
      <c r="K3" s="1707" t="s">
        <v>1046</v>
      </c>
      <c r="L3" s="1707" t="s">
        <v>1044</v>
      </c>
      <c r="M3" s="1708" t="s">
        <v>1045</v>
      </c>
      <c r="N3" s="1709" t="s">
        <v>1046</v>
      </c>
    </row>
    <row r="4" spans="1:14" ht="24" customHeight="1" x14ac:dyDescent="0.35">
      <c r="A4" s="2032" t="s">
        <v>574</v>
      </c>
      <c r="B4" s="2051" t="s">
        <v>3152</v>
      </c>
      <c r="C4" s="2052" t="s">
        <v>573</v>
      </c>
      <c r="D4" s="167" t="s">
        <v>1632</v>
      </c>
      <c r="E4" s="2035">
        <f>+$A$37</f>
        <v>20</v>
      </c>
      <c r="F4" s="2036"/>
      <c r="G4" s="278" t="s">
        <v>2480</v>
      </c>
      <c r="H4" s="278" t="s">
        <v>1862</v>
      </c>
      <c r="I4" s="2037"/>
      <c r="J4" s="2038"/>
      <c r="K4" s="2039">
        <f>VLOOKUP(H4, A13:F19, 3, FALSE)</f>
        <v>48.53</v>
      </c>
      <c r="L4" s="2040"/>
      <c r="M4" s="2041"/>
      <c r="N4" s="2042">
        <f>K4*E4</f>
        <v>970.6</v>
      </c>
    </row>
    <row r="5" spans="1:14" x14ac:dyDescent="0.35">
      <c r="A5" s="1711"/>
      <c r="B5" s="1711"/>
      <c r="C5" s="1711"/>
      <c r="D5" s="1711"/>
      <c r="E5" s="1711"/>
      <c r="F5" s="1711"/>
      <c r="G5" s="1711"/>
      <c r="H5" s="1711"/>
      <c r="I5" s="1711"/>
      <c r="J5" s="1711"/>
      <c r="K5" s="1711"/>
      <c r="L5" s="1712"/>
      <c r="M5" s="1711"/>
      <c r="N5" s="1711"/>
    </row>
    <row r="6" spans="1:14" x14ac:dyDescent="0.35">
      <c r="A6" s="167"/>
      <c r="B6" s="167"/>
      <c r="C6" s="167"/>
      <c r="D6" s="167"/>
      <c r="E6" s="167"/>
      <c r="F6" s="167"/>
      <c r="G6" s="167"/>
      <c r="H6" s="167"/>
      <c r="I6" s="167"/>
      <c r="J6" s="167"/>
      <c r="K6" s="167"/>
      <c r="L6" s="167"/>
      <c r="M6" s="167"/>
      <c r="N6" s="167"/>
    </row>
    <row r="8" spans="1:14" x14ac:dyDescent="0.35">
      <c r="A8" s="2022" t="s">
        <v>2277</v>
      </c>
      <c r="B8" s="1" t="s">
        <v>2279</v>
      </c>
    </row>
    <row r="9" spans="1:14" x14ac:dyDescent="0.35">
      <c r="A9" s="2023"/>
      <c r="B9" s="1" t="s">
        <v>1632</v>
      </c>
    </row>
    <row r="10" spans="1:14" ht="15" thickBot="1" x14ac:dyDescent="0.4"/>
    <row r="11" spans="1:14" ht="15" thickBot="1" x14ac:dyDescent="0.4">
      <c r="A11" s="3271" t="s">
        <v>3153</v>
      </c>
      <c r="B11" s="3272"/>
      <c r="C11" s="3272"/>
      <c r="D11" s="3272"/>
      <c r="E11" s="3272"/>
      <c r="F11" s="3273"/>
    </row>
    <row r="12" spans="1:14" ht="15" thickBot="1" x14ac:dyDescent="0.4">
      <c r="A12" s="2053" t="s">
        <v>1360</v>
      </c>
      <c r="B12" s="2054" t="s">
        <v>2479</v>
      </c>
      <c r="C12" s="2054" t="s">
        <v>2480</v>
      </c>
      <c r="D12" s="2054" t="s">
        <v>2481</v>
      </c>
      <c r="E12" s="2054" t="s">
        <v>2482</v>
      </c>
      <c r="F12" s="2054" t="s">
        <v>2483</v>
      </c>
    </row>
    <row r="13" spans="1:14" ht="15" thickBot="1" x14ac:dyDescent="0.4">
      <c r="A13" s="2055" t="s">
        <v>2487</v>
      </c>
      <c r="B13" s="2056">
        <v>59.89</v>
      </c>
      <c r="C13" s="2056">
        <v>51.62</v>
      </c>
      <c r="D13" s="2056">
        <v>44.19</v>
      </c>
      <c r="E13" s="2056">
        <v>29.2</v>
      </c>
      <c r="F13" s="2056">
        <v>26.38</v>
      </c>
    </row>
    <row r="14" spans="1:14" ht="15" thickBot="1" x14ac:dyDescent="0.4">
      <c r="A14" s="2055" t="s">
        <v>2489</v>
      </c>
      <c r="B14" s="2056">
        <v>38.74</v>
      </c>
      <c r="C14" s="2056">
        <v>36.56</v>
      </c>
      <c r="D14" s="2056">
        <v>31.01</v>
      </c>
      <c r="E14" s="2056">
        <v>22.79</v>
      </c>
      <c r="F14" s="2056">
        <v>28.39</v>
      </c>
    </row>
    <row r="15" spans="1:14" ht="15" thickBot="1" x14ac:dyDescent="0.4">
      <c r="A15" s="2055" t="s">
        <v>2394</v>
      </c>
      <c r="B15" s="2056">
        <v>74.61</v>
      </c>
      <c r="C15" s="2056">
        <v>70.069999999999993</v>
      </c>
      <c r="D15" s="2056">
        <v>60.64</v>
      </c>
      <c r="E15" s="2056">
        <v>39.79</v>
      </c>
      <c r="F15" s="2056">
        <v>37.630000000000003</v>
      </c>
    </row>
    <row r="16" spans="1:14" ht="15" thickBot="1" x14ac:dyDescent="0.4">
      <c r="A16" s="2055" t="s">
        <v>2928</v>
      </c>
      <c r="B16" s="2056">
        <v>42.38</v>
      </c>
      <c r="C16" s="2056">
        <v>38.22</v>
      </c>
      <c r="D16" s="2056">
        <v>34.18</v>
      </c>
      <c r="E16" s="2056">
        <v>19.010000000000002</v>
      </c>
      <c r="F16" s="2056">
        <v>17.190000000000001</v>
      </c>
    </row>
    <row r="17" spans="1:6" ht="15" thickBot="1" x14ac:dyDescent="0.4">
      <c r="A17" s="2055" t="s">
        <v>2388</v>
      </c>
      <c r="B17" s="2056">
        <v>57.75</v>
      </c>
      <c r="C17" s="2056">
        <v>53.77</v>
      </c>
      <c r="D17" s="2056">
        <v>41.21</v>
      </c>
      <c r="E17" s="2056">
        <v>23.2</v>
      </c>
      <c r="F17" s="2056">
        <v>21.5</v>
      </c>
    </row>
    <row r="18" spans="1:6" ht="15" thickBot="1" x14ac:dyDescent="0.4">
      <c r="A18" s="2055" t="s">
        <v>2398</v>
      </c>
      <c r="B18" s="2056">
        <v>54.47</v>
      </c>
      <c r="C18" s="2056">
        <v>50</v>
      </c>
      <c r="D18" s="2056">
        <v>43.06</v>
      </c>
      <c r="E18" s="2056">
        <v>35.67</v>
      </c>
      <c r="F18" s="2056">
        <v>29.72</v>
      </c>
    </row>
    <row r="19" spans="1:6" ht="15" thickBot="1" x14ac:dyDescent="0.4">
      <c r="A19" s="2055" t="s">
        <v>1862</v>
      </c>
      <c r="B19" s="2056">
        <v>51.97</v>
      </c>
      <c r="C19" s="2056">
        <v>48.53</v>
      </c>
      <c r="D19" s="2056">
        <v>42.95</v>
      </c>
      <c r="E19" s="2056">
        <v>38.450000000000003</v>
      </c>
      <c r="F19" s="2056">
        <v>33.19</v>
      </c>
    </row>
    <row r="21" spans="1:6" ht="15" thickBot="1" x14ac:dyDescent="0.4"/>
    <row r="22" spans="1:6" ht="15" thickBot="1" x14ac:dyDescent="0.4">
      <c r="A22" s="3271" t="s">
        <v>3154</v>
      </c>
      <c r="B22" s="3272"/>
      <c r="C22" s="3272"/>
      <c r="D22" s="3272"/>
      <c r="E22" s="3272"/>
      <c r="F22" s="3273"/>
    </row>
    <row r="23" spans="1:6" ht="15" thickBot="1" x14ac:dyDescent="0.4">
      <c r="A23" s="2053" t="s">
        <v>1360</v>
      </c>
      <c r="B23" s="2054" t="s">
        <v>2479</v>
      </c>
      <c r="C23" s="2054" t="s">
        <v>2480</v>
      </c>
      <c r="D23" s="2054" t="s">
        <v>2481</v>
      </c>
      <c r="E23" s="2054" t="s">
        <v>2482</v>
      </c>
      <c r="F23" s="2054" t="s">
        <v>2483</v>
      </c>
    </row>
    <row r="24" spans="1:6" ht="15" thickBot="1" x14ac:dyDescent="0.4">
      <c r="A24" s="2055" t="s">
        <v>2487</v>
      </c>
      <c r="B24" s="2056">
        <v>59.89</v>
      </c>
      <c r="C24" s="2056">
        <v>51.62</v>
      </c>
      <c r="D24" s="2056">
        <v>44.19</v>
      </c>
      <c r="E24" s="2056">
        <v>29.2</v>
      </c>
      <c r="F24" s="2056">
        <v>26.38</v>
      </c>
    </row>
    <row r="25" spans="1:6" ht="15" thickBot="1" x14ac:dyDescent="0.4">
      <c r="A25" s="2055" t="s">
        <v>2489</v>
      </c>
      <c r="B25" s="2056">
        <v>38.74</v>
      </c>
      <c r="C25" s="2056">
        <v>36.56</v>
      </c>
      <c r="D25" s="2056">
        <v>31.01</v>
      </c>
      <c r="E25" s="2056">
        <v>22.79</v>
      </c>
      <c r="F25" s="2056">
        <v>28.39</v>
      </c>
    </row>
    <row r="26" spans="1:6" ht="15" thickBot="1" x14ac:dyDescent="0.4">
      <c r="A26" s="2055" t="s">
        <v>2394</v>
      </c>
      <c r="B26" s="2056">
        <v>73.08</v>
      </c>
      <c r="C26" s="2056">
        <v>61.96</v>
      </c>
      <c r="D26" s="2056">
        <v>76.19</v>
      </c>
      <c r="E26" s="2056">
        <v>76.83</v>
      </c>
      <c r="F26" s="2056">
        <v>49.62</v>
      </c>
    </row>
    <row r="27" spans="1:6" ht="15" thickBot="1" x14ac:dyDescent="0.4">
      <c r="A27" s="2055" t="s">
        <v>2928</v>
      </c>
      <c r="B27" s="2056">
        <v>42.38</v>
      </c>
      <c r="C27" s="2056">
        <v>38.22</v>
      </c>
      <c r="D27" s="2056">
        <v>34.18</v>
      </c>
      <c r="E27" s="2056">
        <v>19.010000000000002</v>
      </c>
      <c r="F27" s="2056">
        <v>17.190000000000001</v>
      </c>
    </row>
    <row r="28" spans="1:6" ht="15" thickBot="1" x14ac:dyDescent="0.4">
      <c r="A28" s="2055" t="s">
        <v>2388</v>
      </c>
      <c r="B28" s="2056">
        <v>38.299999999999997</v>
      </c>
      <c r="C28" s="2056">
        <v>37.32</v>
      </c>
      <c r="D28" s="2056">
        <v>39.68</v>
      </c>
      <c r="E28" s="2056">
        <v>43.64</v>
      </c>
      <c r="F28" s="2056">
        <v>29.17</v>
      </c>
    </row>
    <row r="29" spans="1:6" ht="15" thickBot="1" x14ac:dyDescent="0.4">
      <c r="A29" s="2055" t="s">
        <v>2398</v>
      </c>
      <c r="B29" s="2056">
        <v>29.2</v>
      </c>
      <c r="C29" s="2056">
        <v>29.77</v>
      </c>
      <c r="D29" s="2056">
        <v>24.28</v>
      </c>
      <c r="E29" s="2056">
        <v>27.96</v>
      </c>
      <c r="F29" s="2056">
        <v>24.7</v>
      </c>
    </row>
    <row r="30" spans="1:6" ht="15" thickBot="1" x14ac:dyDescent="0.4">
      <c r="A30" s="2055" t="s">
        <v>1862</v>
      </c>
      <c r="B30" s="2056">
        <v>15.73</v>
      </c>
      <c r="C30" s="2056">
        <v>19.7</v>
      </c>
      <c r="D30" s="2056">
        <v>14.85</v>
      </c>
      <c r="E30" s="2056">
        <v>17.670000000000002</v>
      </c>
      <c r="F30" s="2056">
        <v>15.37</v>
      </c>
    </row>
    <row r="33" spans="1:6" x14ac:dyDescent="0.35">
      <c r="A33" s="3274" t="s">
        <v>3078</v>
      </c>
      <c r="B33" s="3274"/>
      <c r="C33" s="615"/>
      <c r="D33" s="615"/>
      <c r="E33" s="615"/>
    </row>
    <row r="34" spans="1:6" x14ac:dyDescent="0.35">
      <c r="A34" s="615" t="s">
        <v>3155</v>
      </c>
      <c r="B34" s="615"/>
      <c r="C34" s="615"/>
      <c r="D34" s="615"/>
      <c r="E34" s="615"/>
    </row>
    <row r="35" spans="1:6" x14ac:dyDescent="0.35">
      <c r="A35" s="1977" t="s">
        <v>3080</v>
      </c>
      <c r="B35" s="1977"/>
      <c r="C35" s="2019"/>
      <c r="D35" s="2019"/>
      <c r="E35" s="615"/>
    </row>
    <row r="36" spans="1:6" x14ac:dyDescent="0.35">
      <c r="A36" s="2057" t="s">
        <v>3156</v>
      </c>
      <c r="B36" s="615"/>
      <c r="C36" s="615"/>
      <c r="D36" s="615"/>
      <c r="E36" s="615"/>
    </row>
    <row r="37" spans="1:6" x14ac:dyDescent="0.35">
      <c r="A37" s="615">
        <v>20</v>
      </c>
      <c r="B37" s="615"/>
      <c r="C37" s="615"/>
      <c r="D37" s="615"/>
      <c r="E37" s="615"/>
    </row>
    <row r="38" spans="1:6" x14ac:dyDescent="0.35">
      <c r="A38" s="1977" t="s">
        <v>3082</v>
      </c>
      <c r="B38" s="1977"/>
      <c r="C38" s="615"/>
      <c r="D38" s="615"/>
      <c r="E38" s="615"/>
    </row>
    <row r="39" spans="1:6" x14ac:dyDescent="0.35">
      <c r="A39" s="3186"/>
      <c r="B39" s="3186"/>
      <c r="C39" s="3186"/>
      <c r="D39" s="3186"/>
      <c r="E39" s="3186"/>
      <c r="F39" s="3186"/>
    </row>
    <row r="40" spans="1:6" ht="36.75" customHeight="1" x14ac:dyDescent="0.35">
      <c r="A40" s="3186"/>
      <c r="B40" s="3186"/>
      <c r="C40" s="3186"/>
      <c r="D40" s="3186"/>
      <c r="E40" s="3186"/>
      <c r="F40" s="3186"/>
    </row>
    <row r="41" spans="1:6" x14ac:dyDescent="0.35">
      <c r="A41" s="2021"/>
      <c r="B41" s="615"/>
      <c r="C41" s="615"/>
      <c r="D41" s="615"/>
      <c r="E41" s="615"/>
    </row>
    <row r="42" spans="1:6" x14ac:dyDescent="0.35">
      <c r="A42" s="615"/>
      <c r="B42" s="615"/>
      <c r="C42" s="615"/>
      <c r="D42" s="615"/>
      <c r="E42" s="615"/>
    </row>
    <row r="43" spans="1:6" x14ac:dyDescent="0.35">
      <c r="A43" s="615"/>
      <c r="B43" s="615"/>
      <c r="C43" s="615"/>
      <c r="D43" s="615"/>
      <c r="E43" s="615"/>
    </row>
    <row r="44" spans="1:6" x14ac:dyDescent="0.35">
      <c r="A44" s="615"/>
      <c r="B44" s="615"/>
      <c r="C44" s="615"/>
      <c r="D44" s="615"/>
      <c r="E44" s="615"/>
    </row>
    <row r="45" spans="1:6" x14ac:dyDescent="0.35">
      <c r="A45" s="615"/>
      <c r="B45" s="615"/>
      <c r="C45" s="615"/>
      <c r="D45" s="615"/>
      <c r="E45" s="615"/>
    </row>
    <row r="46" spans="1:6" x14ac:dyDescent="0.35">
      <c r="A46" s="615"/>
      <c r="B46" s="615"/>
      <c r="C46" s="615"/>
      <c r="D46" s="615"/>
      <c r="E46" s="615"/>
    </row>
    <row r="47" spans="1:6" x14ac:dyDescent="0.35">
      <c r="A47" s="615"/>
      <c r="B47" s="615"/>
      <c r="C47" s="615"/>
      <c r="D47" s="615"/>
      <c r="E47" s="615"/>
    </row>
    <row r="48" spans="1:6" x14ac:dyDescent="0.35">
      <c r="A48" s="615"/>
      <c r="B48" s="615"/>
      <c r="C48" s="615"/>
      <c r="D48" s="615"/>
      <c r="E48" s="615"/>
    </row>
    <row r="49" spans="1:5" x14ac:dyDescent="0.35">
      <c r="A49" s="615"/>
      <c r="B49" s="615"/>
      <c r="C49" s="615"/>
      <c r="D49" s="615"/>
      <c r="E49" s="615"/>
    </row>
    <row r="50" spans="1:5" x14ac:dyDescent="0.35">
      <c r="A50" s="615"/>
      <c r="B50" s="615"/>
      <c r="C50" s="615"/>
      <c r="D50" s="615"/>
      <c r="E50" s="615"/>
    </row>
    <row r="51" spans="1:5" x14ac:dyDescent="0.35">
      <c r="A51" s="615"/>
      <c r="B51" s="615"/>
      <c r="C51" s="615"/>
      <c r="D51" s="615"/>
      <c r="E51" s="615"/>
    </row>
    <row r="52" spans="1:5" x14ac:dyDescent="0.35">
      <c r="A52" s="615"/>
      <c r="B52" s="615"/>
      <c r="C52" s="615"/>
      <c r="D52" s="615"/>
    </row>
  </sheetData>
  <mergeCells count="6">
    <mergeCell ref="A39:F40"/>
    <mergeCell ref="I2:K2"/>
    <mergeCell ref="L2:N2"/>
    <mergeCell ref="A11:F11"/>
    <mergeCell ref="A22:F22"/>
    <mergeCell ref="A33:B33"/>
  </mergeCells>
  <dataValidations count="3">
    <dataValidation type="list" allowBlank="1" showInputMessage="1" showErrorMessage="1" sqref="H4" xr:uid="{DF880D42-2B14-4922-8A4D-A67444C16D15}">
      <formula1>$A$13:$A$19</formula1>
    </dataValidation>
    <dataValidation type="list" allowBlank="1" showInputMessage="1" showErrorMessage="1" sqref="G4" xr:uid="{0D74AE5D-AF79-4CD5-BE07-8A4551F7C19D}">
      <formula1>$B$12:$F$12</formula1>
    </dataValidation>
    <dataValidation type="list" allowBlank="1" showInputMessage="1" showErrorMessage="1" sqref="D4" xr:uid="{44541B2C-7737-40BF-9354-D56E7C6D6BF6}">
      <formula1>$B$8:$B$9</formula1>
    </dataValidation>
  </dataValidations>
  <hyperlinks>
    <hyperlink ref="A1" location="'Measure-Level Adjustments'!Print_Titles" display="Measure Level Tab" xr:uid="{2E921B91-3627-471E-BE7B-5AC4D7A38920}"/>
  </hyperlinks>
  <pageMargins left="0.7" right="0.7" top="0.75" bottom="0.75" header="0.3" footer="0.3"/>
  <pageSetup scale="48" orientation="landscape" horizontalDpi="4294967293"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C471-7D14-472E-8C83-B27EB9211666}">
  <sheetPr>
    <tabColor theme="4" tint="0.79998168889431442"/>
    <pageSetUpPr fitToPage="1"/>
  </sheetPr>
  <dimension ref="A1:R33"/>
  <sheetViews>
    <sheetView workbookViewId="0"/>
  </sheetViews>
  <sheetFormatPr defaultRowHeight="14.5" x14ac:dyDescent="0.35"/>
  <cols>
    <col min="1" max="1" width="16.26953125" customWidth="1"/>
    <col min="2" max="2" width="49.7265625" customWidth="1"/>
    <col min="3" max="3" width="31.54296875" customWidth="1"/>
    <col min="4" max="4" width="20" customWidth="1"/>
    <col min="5" max="5" width="18" customWidth="1"/>
    <col min="6" max="6" width="17.26953125" customWidth="1"/>
    <col min="7" max="7" width="16.26953125" customWidth="1"/>
    <col min="8" max="8" width="12" customWidth="1"/>
    <col min="9" max="9" width="10.54296875" customWidth="1"/>
    <col min="10" max="10" width="10.26953125" customWidth="1"/>
    <col min="11" max="11" width="9.81640625" customWidth="1"/>
    <col min="12" max="12" width="10.7265625" customWidth="1"/>
    <col min="13" max="13" width="11" customWidth="1"/>
  </cols>
  <sheetData>
    <row r="1" spans="1:18" x14ac:dyDescent="0.35">
      <c r="A1" s="1799" t="s">
        <v>1031</v>
      </c>
    </row>
    <row r="2" spans="1:18" x14ac:dyDescent="0.35">
      <c r="A2" s="1702"/>
      <c r="B2" s="1703"/>
      <c r="C2" s="1703"/>
      <c r="D2" s="1704"/>
      <c r="E2" s="1704"/>
      <c r="F2" s="1704"/>
      <c r="G2" s="1704"/>
      <c r="H2" s="3153" t="s">
        <v>1032</v>
      </c>
      <c r="I2" s="3153"/>
      <c r="J2" s="3153"/>
      <c r="K2" s="3153" t="s">
        <v>1033</v>
      </c>
      <c r="L2" s="3153"/>
      <c r="M2" s="3153"/>
    </row>
    <row r="3" spans="1:18" ht="29" x14ac:dyDescent="0.35">
      <c r="A3" s="1705" t="s">
        <v>1035</v>
      </c>
      <c r="B3" s="1706" t="s">
        <v>155</v>
      </c>
      <c r="C3" s="1706" t="s">
        <v>1036</v>
      </c>
      <c r="D3" s="1707" t="s">
        <v>1038</v>
      </c>
      <c r="E3" s="1707" t="s">
        <v>1039</v>
      </c>
      <c r="F3" s="1707" t="s">
        <v>3073</v>
      </c>
      <c r="G3" s="1707" t="s">
        <v>1684</v>
      </c>
      <c r="H3" s="1707" t="s">
        <v>1044</v>
      </c>
      <c r="I3" s="1707" t="s">
        <v>1045</v>
      </c>
      <c r="J3" s="1707" t="s">
        <v>1046</v>
      </c>
      <c r="K3" s="1707" t="s">
        <v>1044</v>
      </c>
      <c r="L3" s="1708" t="s">
        <v>1045</v>
      </c>
      <c r="M3" s="1709" t="s">
        <v>1046</v>
      </c>
      <c r="N3" s="2017" t="s">
        <v>337</v>
      </c>
      <c r="O3" s="2017" t="s">
        <v>1361</v>
      </c>
    </row>
    <row r="4" spans="1:18" ht="22.5" customHeight="1" x14ac:dyDescent="0.35">
      <c r="A4" s="2032" t="s">
        <v>3157</v>
      </c>
      <c r="B4" s="2033" t="s">
        <v>3158</v>
      </c>
      <c r="C4" s="2034" t="s">
        <v>3159</v>
      </c>
      <c r="D4" s="167" t="s">
        <v>1583</v>
      </c>
      <c r="E4" s="2035">
        <f>+$A$14</f>
        <v>10</v>
      </c>
      <c r="F4" s="2036"/>
      <c r="G4" s="278" t="s">
        <v>1691</v>
      </c>
      <c r="H4" s="2037"/>
      <c r="I4" s="2038"/>
      <c r="J4" s="2039">
        <f>VLOOKUP(G4, $A$29:$D$33, 4, FALSE)</f>
        <v>3.44</v>
      </c>
      <c r="K4" s="2040"/>
      <c r="L4" s="2041"/>
      <c r="M4" s="2042">
        <f>J4*E4</f>
        <v>34.4</v>
      </c>
      <c r="N4">
        <v>1</v>
      </c>
      <c r="O4" s="2043">
        <v>1</v>
      </c>
    </row>
    <row r="5" spans="1:18" ht="22.5" customHeight="1" x14ac:dyDescent="0.35">
      <c r="A5" s="2032" t="s">
        <v>566</v>
      </c>
      <c r="B5" s="2033" t="s">
        <v>3160</v>
      </c>
      <c r="C5" s="2034" t="s">
        <v>565</v>
      </c>
      <c r="D5" s="167" t="s">
        <v>1583</v>
      </c>
      <c r="E5" s="2035">
        <f>+$A$14</f>
        <v>10</v>
      </c>
      <c r="F5" s="2036"/>
      <c r="G5" s="278" t="s">
        <v>1691</v>
      </c>
      <c r="H5" s="2037"/>
      <c r="I5" s="2038"/>
      <c r="J5" s="2039">
        <f>VLOOKUP(G5, $A$29:$D$33, 4, FALSE)*N5</f>
        <v>10.32</v>
      </c>
      <c r="K5" s="2040"/>
      <c r="L5" s="2041"/>
      <c r="M5" s="2042">
        <f>J5*E5</f>
        <v>103.2</v>
      </c>
      <c r="N5">
        <v>3</v>
      </c>
      <c r="O5" s="2043">
        <v>1</v>
      </c>
    </row>
    <row r="6" spans="1:18" ht="22.5" customHeight="1" x14ac:dyDescent="0.35">
      <c r="A6" s="2032" t="s">
        <v>3161</v>
      </c>
      <c r="B6" s="2033" t="s">
        <v>3162</v>
      </c>
      <c r="C6" s="2034" t="s">
        <v>3163</v>
      </c>
      <c r="D6" s="167" t="s">
        <v>1583</v>
      </c>
      <c r="E6" s="2035">
        <f>+$A$14</f>
        <v>10</v>
      </c>
      <c r="F6" s="2036"/>
      <c r="G6" s="278" t="s">
        <v>1691</v>
      </c>
      <c r="H6" s="2037"/>
      <c r="I6" s="2038"/>
      <c r="J6" s="2039">
        <f>VLOOKUP(G6, $A$29:$D$33, 4, FALSE)*N6</f>
        <v>10.32</v>
      </c>
      <c r="K6" s="2040"/>
      <c r="L6" s="2041"/>
      <c r="M6" s="2042">
        <f>J6*E6</f>
        <v>103.2</v>
      </c>
      <c r="N6">
        <v>3</v>
      </c>
      <c r="O6" s="2043">
        <v>0.03</v>
      </c>
    </row>
    <row r="7" spans="1:18" x14ac:dyDescent="0.35">
      <c r="A7" s="1711"/>
      <c r="B7" s="1711"/>
      <c r="C7" s="1711"/>
      <c r="D7" s="1711"/>
      <c r="E7" s="1711"/>
      <c r="F7" s="1711"/>
      <c r="G7" s="1711"/>
      <c r="H7" s="2018"/>
      <c r="I7" s="1711"/>
      <c r="J7" s="1711"/>
      <c r="K7" s="1712"/>
      <c r="L7" s="1711"/>
      <c r="M7" s="1711"/>
    </row>
    <row r="9" spans="1:18" x14ac:dyDescent="0.35">
      <c r="A9" s="3274" t="s">
        <v>3078</v>
      </c>
      <c r="B9" s="3274"/>
      <c r="C9" s="615"/>
      <c r="D9" s="615"/>
      <c r="E9" s="615"/>
    </row>
    <row r="10" spans="1:18" ht="24" customHeight="1" x14ac:dyDescent="0.35">
      <c r="A10" s="3186" t="s">
        <v>3164</v>
      </c>
      <c r="B10" s="3186"/>
      <c r="C10" s="3186"/>
      <c r="D10" s="3186"/>
      <c r="E10" s="3186"/>
      <c r="F10" s="3186"/>
      <c r="G10" s="3186"/>
      <c r="H10" s="3186"/>
      <c r="I10" s="3186"/>
      <c r="J10" s="3186"/>
      <c r="K10" s="3186"/>
      <c r="L10" s="3186"/>
      <c r="M10" s="3186"/>
      <c r="N10" s="3186"/>
      <c r="O10" s="3186"/>
      <c r="P10" s="3186"/>
      <c r="Q10" s="3186"/>
      <c r="R10" s="3186"/>
    </row>
    <row r="11" spans="1:18" ht="24" customHeight="1" x14ac:dyDescent="0.35">
      <c r="A11" s="3186"/>
      <c r="B11" s="3186"/>
      <c r="C11" s="3186"/>
      <c r="D11" s="3186"/>
      <c r="E11" s="3186"/>
      <c r="F11" s="3186"/>
      <c r="G11" s="3186"/>
      <c r="H11" s="3186"/>
      <c r="I11" s="3186"/>
      <c r="J11" s="3186"/>
      <c r="K11" s="3186"/>
      <c r="L11" s="3186"/>
      <c r="M11" s="3186"/>
      <c r="N11" s="3186"/>
      <c r="O11" s="3186"/>
      <c r="P11" s="3186"/>
      <c r="Q11" s="3186"/>
      <c r="R11" s="3186"/>
    </row>
    <row r="12" spans="1:18" x14ac:dyDescent="0.35">
      <c r="A12" s="1977" t="s">
        <v>3080</v>
      </c>
      <c r="B12" s="1977"/>
      <c r="C12" s="2019"/>
      <c r="D12" s="2019"/>
      <c r="E12" s="615"/>
    </row>
    <row r="13" spans="1:18" x14ac:dyDescent="0.35">
      <c r="A13" s="2020" t="s">
        <v>3165</v>
      </c>
      <c r="B13" s="615"/>
      <c r="C13" s="615"/>
      <c r="D13" s="615"/>
      <c r="E13" s="615"/>
    </row>
    <row r="14" spans="1:18" x14ac:dyDescent="0.35">
      <c r="A14" s="615">
        <v>10</v>
      </c>
      <c r="B14" s="615"/>
      <c r="C14" s="615"/>
      <c r="D14" s="615"/>
      <c r="E14" s="615"/>
    </row>
    <row r="15" spans="1:18" x14ac:dyDescent="0.35">
      <c r="A15" s="1977" t="s">
        <v>3082</v>
      </c>
      <c r="B15" s="1977"/>
      <c r="C15" s="615"/>
      <c r="D15" s="615"/>
      <c r="E15" s="615"/>
    </row>
    <row r="16" spans="1:18" ht="21.75" customHeight="1" x14ac:dyDescent="0.35">
      <c r="A16" s="3186"/>
      <c r="B16" s="3186"/>
      <c r="C16" s="3186"/>
      <c r="D16" s="3186"/>
      <c r="E16" s="3186"/>
      <c r="F16" s="3186"/>
    </row>
    <row r="17" spans="1:6" ht="17.25" customHeight="1" x14ac:dyDescent="0.35">
      <c r="A17" s="3186"/>
      <c r="B17" s="3186"/>
      <c r="C17" s="3186"/>
      <c r="D17" s="3186"/>
      <c r="E17" s="3186"/>
      <c r="F17" s="3186"/>
    </row>
    <row r="18" spans="1:6" x14ac:dyDescent="0.35">
      <c r="A18" s="2021"/>
      <c r="B18" s="2021"/>
      <c r="C18" s="615"/>
      <c r="D18" s="615"/>
      <c r="E18" s="615"/>
    </row>
    <row r="19" spans="1:6" x14ac:dyDescent="0.35">
      <c r="A19" s="1977" t="s">
        <v>3166</v>
      </c>
      <c r="B19" s="1977"/>
      <c r="C19" s="615"/>
      <c r="D19" s="615"/>
      <c r="E19" s="615"/>
    </row>
    <row r="20" spans="1:6" x14ac:dyDescent="0.35">
      <c r="A20" s="2020" t="s">
        <v>3167</v>
      </c>
      <c r="B20" s="615"/>
      <c r="C20" s="615"/>
      <c r="D20" s="615"/>
      <c r="E20" s="615"/>
    </row>
    <row r="21" spans="1:6" x14ac:dyDescent="0.35">
      <c r="A21" s="2021" t="s">
        <v>3168</v>
      </c>
      <c r="B21" s="615"/>
      <c r="C21" s="615"/>
      <c r="D21" s="615"/>
      <c r="E21" s="615"/>
    </row>
    <row r="22" spans="1:6" x14ac:dyDescent="0.35">
      <c r="A22" s="2021" t="s">
        <v>3169</v>
      </c>
      <c r="B22" s="615"/>
      <c r="C22" s="615"/>
      <c r="D22" s="615"/>
      <c r="E22" s="615"/>
    </row>
    <row r="24" spans="1:6" x14ac:dyDescent="0.35">
      <c r="A24" s="2022" t="s">
        <v>2277</v>
      </c>
      <c r="B24" s="1" t="s">
        <v>1583</v>
      </c>
    </row>
    <row r="25" spans="1:6" x14ac:dyDescent="0.35">
      <c r="A25" s="2023"/>
      <c r="B25" s="1" t="s">
        <v>1632</v>
      </c>
    </row>
    <row r="26" spans="1:6" ht="15" thickBot="1" x14ac:dyDescent="0.4"/>
    <row r="27" spans="1:6" ht="24" customHeight="1" thickBot="1" x14ac:dyDescent="0.4">
      <c r="A27" s="2024" t="s">
        <v>1684</v>
      </c>
      <c r="B27" s="3275" t="s">
        <v>3170</v>
      </c>
      <c r="C27" s="3276"/>
      <c r="D27" s="2025" t="s">
        <v>3171</v>
      </c>
    </row>
    <row r="28" spans="1:6" ht="15" thickBot="1" x14ac:dyDescent="0.4">
      <c r="A28" s="2026" t="s">
        <v>3172</v>
      </c>
      <c r="B28" s="2027" t="s">
        <v>3173</v>
      </c>
      <c r="C28" s="2027" t="s">
        <v>3174</v>
      </c>
      <c r="D28" s="2028"/>
    </row>
    <row r="29" spans="1:6" ht="15" thickBot="1" x14ac:dyDescent="0.4">
      <c r="A29" s="2029" t="s">
        <v>1705</v>
      </c>
      <c r="B29" s="2030">
        <v>89.4</v>
      </c>
      <c r="C29" s="2030">
        <v>44.7</v>
      </c>
      <c r="D29" s="2031">
        <v>3.91</v>
      </c>
    </row>
    <row r="30" spans="1:6" ht="15" thickBot="1" x14ac:dyDescent="0.4">
      <c r="A30" s="2029" t="s">
        <v>1691</v>
      </c>
      <c r="B30" s="2030">
        <v>78.599999999999994</v>
      </c>
      <c r="C30" s="2030">
        <v>39.299999999999997</v>
      </c>
      <c r="D30" s="2031">
        <v>3.44</v>
      </c>
    </row>
    <row r="31" spans="1:6" ht="15" thickBot="1" x14ac:dyDescent="0.4">
      <c r="A31" s="2029" t="s">
        <v>1706</v>
      </c>
      <c r="B31" s="2030">
        <v>69.2</v>
      </c>
      <c r="C31" s="2030">
        <v>34.6</v>
      </c>
      <c r="D31" s="2031">
        <v>3.03</v>
      </c>
    </row>
    <row r="32" spans="1:6" ht="15" thickBot="1" x14ac:dyDescent="0.4">
      <c r="A32" s="2029" t="s">
        <v>1707</v>
      </c>
      <c r="B32" s="2030">
        <v>59.9</v>
      </c>
      <c r="C32" s="2030">
        <v>29.9</v>
      </c>
      <c r="D32" s="2031">
        <v>2.62</v>
      </c>
    </row>
    <row r="33" spans="1:4" ht="15" thickBot="1" x14ac:dyDescent="0.4">
      <c r="A33" s="2029" t="s">
        <v>1708</v>
      </c>
      <c r="B33" s="2030">
        <v>48</v>
      </c>
      <c r="C33" s="2030">
        <v>24</v>
      </c>
      <c r="D33" s="2031">
        <v>2.1</v>
      </c>
    </row>
  </sheetData>
  <mergeCells count="6">
    <mergeCell ref="B27:C27"/>
    <mergeCell ref="H2:J2"/>
    <mergeCell ref="K2:M2"/>
    <mergeCell ref="A9:B9"/>
    <mergeCell ref="A10:R11"/>
    <mergeCell ref="A16:F17"/>
  </mergeCells>
  <dataValidations count="2">
    <dataValidation type="list" allowBlank="1" showInputMessage="1" showErrorMessage="1" sqref="D4:D6" xr:uid="{5B7F7E0B-0001-4D6F-965C-5D43E1F8153B}">
      <formula1>$B$24:$B$25</formula1>
    </dataValidation>
    <dataValidation type="list" allowBlank="1" showInputMessage="1" showErrorMessage="1" sqref="G4:G6" xr:uid="{0C3218F6-E0B8-4754-9476-E6FE12F53ABA}">
      <formula1>$A$29:$A$33</formula1>
    </dataValidation>
  </dataValidations>
  <hyperlinks>
    <hyperlink ref="A1" location="'Measure-Level Adjustments'!Print_Titles" display="Measure Level Tab" xr:uid="{0E8CAF94-BFD8-47D2-8CEB-1FC1A5B0815F}"/>
  </hyperlinks>
  <pageMargins left="0.7" right="0.7" top="0.75" bottom="0.75" header="0.3" footer="0.3"/>
  <pageSetup scale="44" orientation="landscape" horizontalDpi="4294967293"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BM155"/>
  <sheetViews>
    <sheetView view="pageBreakPreview" zoomScale="90" zoomScaleNormal="90" zoomScaleSheetLayoutView="90" workbookViewId="0">
      <pane xSplit="1" ySplit="3" topLeftCell="B4" activePane="bottomRight" state="frozen"/>
      <selection pane="topRight" activeCell="B1" sqref="B1"/>
      <selection pane="bottomLeft" activeCell="A4" sqref="A4"/>
      <selection pane="bottomRight" activeCell="P8" sqref="P8"/>
    </sheetView>
  </sheetViews>
  <sheetFormatPr defaultRowHeight="14.5" x14ac:dyDescent="0.35"/>
  <cols>
    <col min="1" max="1" width="19.7265625" customWidth="1"/>
    <col min="2" max="2" width="32.453125" customWidth="1"/>
    <col min="3" max="3" width="16.54296875" customWidth="1"/>
    <col min="4" max="4" width="20.453125" customWidth="1"/>
    <col min="5" max="5" width="11.54296875" customWidth="1"/>
    <col min="6" max="6" width="14.453125" bestFit="1" customWidth="1"/>
    <col min="7" max="7" width="21" customWidth="1"/>
    <col min="8" max="8" width="8.1796875" customWidth="1"/>
    <col min="9" max="9" width="13.54296875" customWidth="1"/>
    <col min="10" max="10" width="10.81640625" customWidth="1"/>
    <col min="11" max="11" width="11.1796875" customWidth="1"/>
    <col min="12" max="12" width="11.26953125" customWidth="1"/>
    <col min="13" max="13" width="12.1796875" customWidth="1"/>
    <col min="16" max="16" width="9.453125" bestFit="1" customWidth="1"/>
    <col min="17" max="17" width="15.1796875" customWidth="1"/>
    <col min="18" max="18" width="11" customWidth="1"/>
    <col min="20" max="20" width="11" bestFit="1" customWidth="1"/>
    <col min="21" max="21" width="11" customWidth="1"/>
    <col min="22" max="24" width="9.7265625" bestFit="1" customWidth="1"/>
    <col min="26" max="26" width="15" bestFit="1" customWidth="1"/>
    <col min="27" max="27" width="11.1796875" bestFit="1" customWidth="1"/>
    <col min="29" max="29" width="10.453125" bestFit="1" customWidth="1"/>
    <col min="43" max="43" width="9.7265625" customWidth="1"/>
    <col min="49" max="49" width="23.1796875" customWidth="1"/>
    <col min="50" max="51" width="21.7265625" customWidth="1"/>
    <col min="52" max="52" width="10.453125" customWidth="1"/>
    <col min="53" max="53" width="17.26953125" customWidth="1"/>
    <col min="57" max="57" width="12.1796875" bestFit="1" customWidth="1"/>
  </cols>
  <sheetData>
    <row r="1" spans="1:65" x14ac:dyDescent="0.35">
      <c r="A1" s="1799" t="s">
        <v>1031</v>
      </c>
    </row>
    <row r="2" spans="1:65" ht="45" customHeight="1" x14ac:dyDescent="0.35">
      <c r="A2" s="947" t="s">
        <v>671</v>
      </c>
      <c r="B2" s="968" t="s">
        <v>3175</v>
      </c>
      <c r="C2" s="949"/>
      <c r="D2" s="949"/>
      <c r="E2" s="998"/>
      <c r="F2" s="998"/>
      <c r="G2" s="998"/>
      <c r="H2" s="998"/>
      <c r="I2" s="998"/>
      <c r="J2" s="998"/>
      <c r="K2" s="998"/>
      <c r="L2" s="998"/>
      <c r="M2" s="1045"/>
      <c r="N2" s="998"/>
      <c r="O2" s="998"/>
      <c r="P2" s="998"/>
      <c r="Q2" s="1046"/>
      <c r="R2" s="3013" t="s">
        <v>1032</v>
      </c>
      <c r="S2" s="3014"/>
      <c r="T2" s="3098"/>
      <c r="U2" s="2175"/>
      <c r="V2" s="3013" t="s">
        <v>1033</v>
      </c>
      <c r="W2" s="3014"/>
      <c r="X2" s="3014"/>
      <c r="Y2" s="3279" t="s">
        <v>1158</v>
      </c>
      <c r="Z2" s="3280"/>
      <c r="AA2" s="3280"/>
      <c r="AB2" s="3280"/>
      <c r="AC2" s="3280"/>
      <c r="AD2" s="3280"/>
      <c r="AE2" s="3280"/>
      <c r="AF2" s="3280"/>
      <c r="AG2" s="3280"/>
      <c r="AH2" s="3280"/>
      <c r="AI2" s="3280"/>
      <c r="AJ2" s="3280"/>
      <c r="AK2" s="3280"/>
      <c r="AL2" s="3280"/>
      <c r="AM2" s="3280"/>
      <c r="AN2" s="3280"/>
      <c r="AO2" s="3280"/>
      <c r="AP2" s="3280"/>
      <c r="AQ2" s="3280"/>
      <c r="AR2" s="3280"/>
      <c r="AS2" s="3280"/>
      <c r="AT2" s="3280"/>
      <c r="AU2" s="3280"/>
      <c r="AV2" s="3280"/>
      <c r="AW2" s="3280"/>
      <c r="AX2" s="3280"/>
      <c r="AY2" s="3280"/>
      <c r="AZ2" s="3280"/>
      <c r="BA2" s="3280"/>
      <c r="BB2" s="3280"/>
      <c r="BC2" s="3280"/>
      <c r="BD2" s="3280"/>
      <c r="BE2" s="3280"/>
      <c r="BF2" s="3280"/>
      <c r="BG2" s="3280"/>
      <c r="BH2" s="3280"/>
      <c r="BI2" s="3280"/>
      <c r="BJ2" s="3280"/>
      <c r="BK2" s="3281"/>
    </row>
    <row r="3" spans="1:65" ht="92" x14ac:dyDescent="0.4">
      <c r="A3" s="969" t="s">
        <v>1035</v>
      </c>
      <c r="B3" s="953" t="s">
        <v>155</v>
      </c>
      <c r="C3" s="953" t="s">
        <v>1036</v>
      </c>
      <c r="D3" s="953" t="s">
        <v>1037</v>
      </c>
      <c r="E3" s="998" t="s">
        <v>1038</v>
      </c>
      <c r="F3" s="998" t="s">
        <v>1039</v>
      </c>
      <c r="G3" s="998" t="s">
        <v>1040</v>
      </c>
      <c r="H3" s="949" t="s">
        <v>1041</v>
      </c>
      <c r="I3" s="949" t="s">
        <v>3176</v>
      </c>
      <c r="J3" s="949" t="s">
        <v>3177</v>
      </c>
      <c r="K3" s="949" t="s">
        <v>3178</v>
      </c>
      <c r="L3" s="949" t="s">
        <v>3179</v>
      </c>
      <c r="M3" s="949" t="s">
        <v>2526</v>
      </c>
      <c r="N3" s="949" t="s">
        <v>3180</v>
      </c>
      <c r="O3" s="949" t="s">
        <v>3181</v>
      </c>
      <c r="P3" s="949" t="s">
        <v>1684</v>
      </c>
      <c r="Q3" s="949" t="s">
        <v>3182</v>
      </c>
      <c r="R3" s="951" t="s">
        <v>1044</v>
      </c>
      <c r="S3" s="951" t="s">
        <v>1045</v>
      </c>
      <c r="T3" s="951" t="s">
        <v>1046</v>
      </c>
      <c r="U3" s="2207" t="s">
        <v>3183</v>
      </c>
      <c r="V3" s="951" t="s">
        <v>1044</v>
      </c>
      <c r="W3" s="951" t="s">
        <v>1045</v>
      </c>
      <c r="X3" s="951" t="s">
        <v>1046</v>
      </c>
      <c r="Y3" s="2696" t="s">
        <v>3184</v>
      </c>
      <c r="Z3" s="2696" t="s">
        <v>3185</v>
      </c>
      <c r="AA3" s="2696" t="s">
        <v>3186</v>
      </c>
      <c r="AB3" s="267" t="s">
        <v>3187</v>
      </c>
      <c r="AC3" s="267" t="s">
        <v>3188</v>
      </c>
      <c r="AD3" s="2697" t="s">
        <v>3189</v>
      </c>
      <c r="AE3" s="2697" t="s">
        <v>3190</v>
      </c>
      <c r="AF3" s="2696" t="s">
        <v>3191</v>
      </c>
      <c r="AG3" s="2696" t="s">
        <v>3192</v>
      </c>
      <c r="AH3" s="2697" t="s">
        <v>3193</v>
      </c>
      <c r="AI3" s="2696" t="s">
        <v>3194</v>
      </c>
      <c r="AJ3" s="2696" t="s">
        <v>3195</v>
      </c>
      <c r="AK3" s="2697" t="s">
        <v>3196</v>
      </c>
      <c r="AL3" s="267" t="s">
        <v>3197</v>
      </c>
      <c r="AM3" s="267" t="s">
        <v>3198</v>
      </c>
      <c r="AN3" s="2697" t="s">
        <v>3199</v>
      </c>
      <c r="AO3" s="2696" t="s">
        <v>3200</v>
      </c>
      <c r="AP3" s="2697" t="s">
        <v>3201</v>
      </c>
      <c r="AQ3" s="2697" t="s">
        <v>3202</v>
      </c>
      <c r="AR3" s="2696" t="s">
        <v>3203</v>
      </c>
      <c r="AS3" s="2696" t="s">
        <v>1179</v>
      </c>
      <c r="AT3" s="2696" t="s">
        <v>3203</v>
      </c>
      <c r="AU3" s="2696" t="s">
        <v>3204</v>
      </c>
      <c r="AV3" s="2696" t="s">
        <v>3205</v>
      </c>
      <c r="AW3" s="2696" t="s">
        <v>3206</v>
      </c>
      <c r="AX3" s="2696" t="s">
        <v>3207</v>
      </c>
      <c r="AY3" s="2207" t="s">
        <v>3183</v>
      </c>
      <c r="AZ3" s="2696" t="s">
        <v>3208</v>
      </c>
      <c r="BA3" s="2696" t="s">
        <v>3209</v>
      </c>
      <c r="BB3" s="2696" t="s">
        <v>3210</v>
      </c>
      <c r="BC3" s="2696" t="s">
        <v>3211</v>
      </c>
      <c r="BD3" s="2696" t="s">
        <v>3212</v>
      </c>
      <c r="BE3" s="267" t="s">
        <v>3213</v>
      </c>
      <c r="BF3" s="267" t="s">
        <v>2960</v>
      </c>
      <c r="BG3" s="267" t="s">
        <v>3214</v>
      </c>
      <c r="BH3" s="267" t="s">
        <v>3215</v>
      </c>
      <c r="BI3" s="267" t="s">
        <v>3216</v>
      </c>
      <c r="BJ3" s="267" t="s">
        <v>3217</v>
      </c>
      <c r="BK3" s="267" t="s">
        <v>3218</v>
      </c>
    </row>
    <row r="4" spans="1:65" ht="43.5" x14ac:dyDescent="0.35">
      <c r="A4" s="1047" t="s">
        <v>3219</v>
      </c>
      <c r="B4" s="1047" t="str">
        <f>$B$2&amp;" - "&amp;I4&amp;", "&amp;N4&amp;" Btu/H"&amp;", "&amp;J4</f>
        <v>Duct Insulation and Sealing - Evaluation of Distribution Efficiency, 35208 Btu/H, Single family</v>
      </c>
      <c r="C4" s="957" t="s">
        <v>3220</v>
      </c>
      <c r="D4" s="957" t="s">
        <v>3221</v>
      </c>
      <c r="E4" s="981" t="s">
        <v>1632</v>
      </c>
      <c r="F4" s="2214">
        <f>X4/T4</f>
        <v>18.512820512820511</v>
      </c>
      <c r="G4" s="1048"/>
      <c r="H4" s="1049" t="s">
        <v>3222</v>
      </c>
      <c r="I4" s="973" t="s">
        <v>3223</v>
      </c>
      <c r="J4" s="973" t="s">
        <v>3224</v>
      </c>
      <c r="K4" s="973" t="s">
        <v>1363</v>
      </c>
      <c r="L4" s="69" t="b">
        <v>0</v>
      </c>
      <c r="M4" s="973" t="s">
        <v>1529</v>
      </c>
      <c r="N4" s="1050">
        <v>35208</v>
      </c>
      <c r="O4" s="1050">
        <v>90595</v>
      </c>
      <c r="P4" s="69" t="s">
        <v>1696</v>
      </c>
      <c r="Q4" s="1050" t="s">
        <v>3225</v>
      </c>
      <c r="R4" s="991"/>
      <c r="S4" s="1051"/>
      <c r="T4" s="1052">
        <f>IF(I4=$A$127,AW4,AX4)</f>
        <v>181.00609989316254</v>
      </c>
      <c r="U4" s="2213">
        <f>AY4</f>
        <v>154.08724401161524</v>
      </c>
      <c r="V4" s="1052"/>
      <c r="W4" s="1051"/>
      <c r="X4" s="2213">
        <f>T4*10+U4*10</f>
        <v>3350.9334390477779</v>
      </c>
      <c r="Y4" s="268">
        <f t="shared" ref="Y4:Z7" si="0">(AB4-AD4)*AF4</f>
        <v>387</v>
      </c>
      <c r="Z4" s="268">
        <f t="shared" si="0"/>
        <v>139</v>
      </c>
      <c r="AA4" s="269">
        <f>(Y4-Z4)*BE4*(AJ4+AK4)</f>
        <v>119.03999999999999</v>
      </c>
      <c r="AB4" s="1">
        <f>$C$121</f>
        <v>4800</v>
      </c>
      <c r="AC4" s="1">
        <f>$C$122</f>
        <v>4600</v>
      </c>
      <c r="AD4" s="1">
        <f>$D$121</f>
        <v>4500</v>
      </c>
      <c r="AE4" s="1">
        <f>$D$122</f>
        <v>4500</v>
      </c>
      <c r="AF4" s="1">
        <f>$E$121</f>
        <v>1.29</v>
      </c>
      <c r="AG4" s="1">
        <f>$E$122</f>
        <v>1.39</v>
      </c>
      <c r="AH4" s="1">
        <f>$F$121</f>
        <v>0.72</v>
      </c>
      <c r="AI4" s="1">
        <f>$F$122</f>
        <v>0.78</v>
      </c>
      <c r="AJ4" s="1">
        <f>+$B$58</f>
        <v>0.5</v>
      </c>
      <c r="AK4" s="1">
        <f>+$B$61</f>
        <v>0.25</v>
      </c>
      <c r="AL4" s="270">
        <f t="shared" ref="AL4:AM7" si="1">N4</f>
        <v>35208</v>
      </c>
      <c r="AM4" s="270">
        <f t="shared" si="1"/>
        <v>90595</v>
      </c>
      <c r="AN4" s="1">
        <f>VLOOKUP(P4,$A$141:$D$147,IF(J4=$A$131,2,3),FALSE)</f>
        <v>568.6</v>
      </c>
      <c r="AO4" s="1">
        <f>VLOOKUP(K4,$B$114:$C$117,2,FALSE)</f>
        <v>12.333333333333334</v>
      </c>
      <c r="AP4" s="271">
        <f>VLOOKUP(P4,$A$141:$D$147,4,FALSE)</f>
        <v>1870.1</v>
      </c>
      <c r="AQ4" s="172">
        <f>$B$76</f>
        <v>1</v>
      </c>
      <c r="AR4" s="1">
        <f>IF(M4=$A$114,VLOOKUP(K4,$B$114:$E$117,4,FALSE),1)</f>
        <v>1</v>
      </c>
      <c r="AS4" s="1">
        <v>0.91500000000000004</v>
      </c>
      <c r="AT4" s="1">
        <f>+$H$132</f>
        <v>0.7</v>
      </c>
      <c r="AU4" s="1">
        <f>((AA4/((AL4/BH4)*BI4))*AN4*AL4*BD4)/BJ4/AO4+IF(L4=$A$129,(((AA4/((AL4/BH4)*BI4))*AP4*AL4*BC4)/AR4/BK4),0)</f>
        <v>164.64197189189187</v>
      </c>
      <c r="AV4" s="1">
        <f>(((AI4-AH4)/AI4)*AN4*AL4*BD4)/BJ4/AO4+IF(L4=$A$129,(((AI4-AH4)/AI4)*AP4*AL4*BC4)/AR4/BK4,0)</f>
        <v>124.86030436590445</v>
      </c>
      <c r="AW4" s="1">
        <f>IF(L4=$A$130,(((AA4/(AM4*BG4))*AP4*AQ4*AM4*BC4*(AZ4/BA4))/BF4),0)</f>
        <v>251.37387533875344</v>
      </c>
      <c r="AX4" s="1">
        <f>IF(L4=$A$130,(((AI4-AH4)/AI4)*AP4*AM4*BC4*(AZ4/BA4))/BF4,0)</f>
        <v>181.00609989316254</v>
      </c>
      <c r="AY4" s="1">
        <f>IF(L4=$A$133,(((AI4-AH4)/AI4)*AP4*AQ4*AM4*BC4*(AZ4/(0.9*AI4)))/BF4,0)</f>
        <v>154.08724401161524</v>
      </c>
      <c r="AZ4" s="1">
        <f>+$B$84</f>
        <v>0.83</v>
      </c>
      <c r="BA4" s="1">
        <f>+$G$129</f>
        <v>0.59759999999999991</v>
      </c>
      <c r="BB4" s="1">
        <f>+$B$92</f>
        <v>3.1399999999999997E-2</v>
      </c>
      <c r="BC4" s="1">
        <f>+VLOOKUP($Q4,$D$127:$E$128,2,FALSE)</f>
        <v>1</v>
      </c>
      <c r="BD4" s="1">
        <f>+VLOOKUP($Q4,$D$132:$E$133,2,FALSE)</f>
        <v>1</v>
      </c>
      <c r="BE4" s="1">
        <f>+$B$96</f>
        <v>0.64</v>
      </c>
      <c r="BF4" s="1">
        <f>+$B$94</f>
        <v>100000</v>
      </c>
      <c r="BG4" s="1">
        <f>+$B$95</f>
        <v>1.23E-2</v>
      </c>
      <c r="BH4" s="1">
        <f>+$B$97</f>
        <v>12000</v>
      </c>
      <c r="BI4" s="1">
        <f>+$B$98</f>
        <v>400</v>
      </c>
      <c r="BJ4" s="1">
        <f>+$B$99</f>
        <v>1000</v>
      </c>
      <c r="BK4" s="1">
        <f>+$B$100</f>
        <v>3412</v>
      </c>
      <c r="BM4" s="117"/>
    </row>
    <row r="5" spans="1:65" ht="58" x14ac:dyDescent="0.35">
      <c r="A5" s="1047" t="s">
        <v>3226</v>
      </c>
      <c r="B5" s="2211" t="str">
        <f ca="1">$B$5&amp;" - "&amp;I5&amp;", "&amp;N5&amp;" Btu/H"&amp;", Joint "&amp;J5&amp;" Semi Condition"</f>
        <v>Duct Insulation and Sealing - Evaluation of Distribution Efficiency, 35208 Btu/H, Joint Single family Semi Condition</v>
      </c>
      <c r="C5" s="1798" t="s">
        <v>3227</v>
      </c>
      <c r="D5" s="1825" t="s">
        <v>3221</v>
      </c>
      <c r="E5" s="981" t="s">
        <v>1632</v>
      </c>
      <c r="F5" s="2214">
        <f>X5/T5</f>
        <v>18.512820512820511</v>
      </c>
      <c r="G5" s="2209"/>
      <c r="H5" s="1049" t="s">
        <v>3222</v>
      </c>
      <c r="I5" s="973" t="s">
        <v>3223</v>
      </c>
      <c r="J5" s="973" t="s">
        <v>3224</v>
      </c>
      <c r="K5" s="973" t="s">
        <v>1363</v>
      </c>
      <c r="L5" s="69" t="b">
        <v>0</v>
      </c>
      <c r="M5" s="973" t="s">
        <v>1529</v>
      </c>
      <c r="N5" s="2212">
        <v>35208</v>
      </c>
      <c r="O5" s="2212">
        <v>90595</v>
      </c>
      <c r="P5" t="s">
        <v>1696</v>
      </c>
      <c r="Q5" s="2212" t="s">
        <v>3228</v>
      </c>
      <c r="R5" s="1145"/>
      <c r="S5" s="2210"/>
      <c r="T5" s="1052">
        <f>IF(I5=$A$127,AW5,AX5)</f>
        <v>72.402439957265031</v>
      </c>
      <c r="U5" s="2213">
        <f>AY5</f>
        <v>61.634897604646113</v>
      </c>
      <c r="V5" s="1052"/>
      <c r="W5" s="1051"/>
      <c r="X5" s="2213">
        <f>T5*10+U5*10</f>
        <v>1340.3733756191114</v>
      </c>
      <c r="Y5" s="268">
        <f t="shared" si="0"/>
        <v>387</v>
      </c>
      <c r="Z5" s="268">
        <f t="shared" si="0"/>
        <v>139</v>
      </c>
      <c r="AA5" s="269">
        <f>(Y5-Z5)*BE5*(AJ5+AK5)</f>
        <v>119.03999999999999</v>
      </c>
      <c r="AB5" s="1">
        <f>$C$121</f>
        <v>4800</v>
      </c>
      <c r="AC5" s="1">
        <f>$C$122</f>
        <v>4600</v>
      </c>
      <c r="AD5" s="1">
        <f>$D$121</f>
        <v>4500</v>
      </c>
      <c r="AE5" s="1">
        <f>$D$122</f>
        <v>4500</v>
      </c>
      <c r="AF5" s="1">
        <f>$E$121</f>
        <v>1.29</v>
      </c>
      <c r="AG5" s="1">
        <f>$E$122</f>
        <v>1.39</v>
      </c>
      <c r="AH5" s="1">
        <f>$F$121</f>
        <v>0.72</v>
      </c>
      <c r="AI5" s="1">
        <f>$F$122</f>
        <v>0.78</v>
      </c>
      <c r="AJ5" s="1">
        <f>+$B$58</f>
        <v>0.5</v>
      </c>
      <c r="AK5" s="1">
        <f>+$B$61</f>
        <v>0.25</v>
      </c>
      <c r="AL5" s="270">
        <f t="shared" si="1"/>
        <v>35208</v>
      </c>
      <c r="AM5" s="270">
        <f t="shared" si="1"/>
        <v>90595</v>
      </c>
      <c r="AN5" s="1">
        <f>VLOOKUP(P5,$A$141:$D$147,IF(J5=$A$131,2,3),FALSE)</f>
        <v>568.6</v>
      </c>
      <c r="AO5" s="1">
        <f>VLOOKUP(K5,$B$114:$C$117,2,FALSE)</f>
        <v>12.333333333333334</v>
      </c>
      <c r="AP5" s="271">
        <f>VLOOKUP(P5,$A$141:$D$147,4,FALSE)</f>
        <v>1870.1</v>
      </c>
      <c r="AQ5" s="172">
        <f t="shared" ref="AQ5:AQ7" si="2">$B$76</f>
        <v>1</v>
      </c>
      <c r="AR5" s="1">
        <f>IF(M5=$A$114,VLOOKUP(K5,$B$114:$E$117,4,FALSE),1)</f>
        <v>1</v>
      </c>
      <c r="AS5" s="1">
        <v>0.91500000000000004</v>
      </c>
      <c r="AT5" s="1">
        <f>+$H$132</f>
        <v>0.7</v>
      </c>
      <c r="AU5" s="1">
        <f>((AA5/((AL5/BH5)*BI5))*AN5*AL5*BD5)/BJ5/AO5+IF(L5=$A$129,(((AA5/((AL5/BH5)*BI5))*AP5*AL5*BC5)/AR5/BK5),0)</f>
        <v>0</v>
      </c>
      <c r="AV5" s="1">
        <f>(((AI5-AH5)/AI5)*AN5*AL5*BD5)/BJ5/AO5+IF(L5=$A$129,(((AI5-AH5)/AI5)*AP5*AL5*BC5)/AR5/BK5,0)</f>
        <v>0</v>
      </c>
      <c r="AW5" s="1">
        <f t="shared" ref="AW5:AW7" si="3">IF(L5=$A$130,(((AA5/(AM5*BG5))*AP5*AQ5*AM5*BC5*(AZ5/BA5))/BF5),0)</f>
        <v>100.54955013550136</v>
      </c>
      <c r="AX5" s="1">
        <f>IF(L5=$A$130,(((AI5-AH5)/AI5)*AP5*AM5*BC5*(AZ5/BA5))/BF5,0)</f>
        <v>72.402439957265031</v>
      </c>
      <c r="AY5" s="1">
        <f t="shared" ref="AY5:AY7" si="4">IF(L5=$A$133,(((AI5-AH5)/AI5)*AP5*AQ5*AM5*BC5*(AZ5/(0.9*AI5)))/BF5,0)</f>
        <v>61.634897604646113</v>
      </c>
      <c r="AZ5" s="1">
        <f>+$B$84</f>
        <v>0.83</v>
      </c>
      <c r="BA5" s="1">
        <f>+$G$129</f>
        <v>0.59759999999999991</v>
      </c>
      <c r="BB5" s="1">
        <f>+$B$92</f>
        <v>3.1399999999999997E-2</v>
      </c>
      <c r="BC5" s="1">
        <f>+VLOOKUP($Q5,$D$127:$E$128,2,FALSE)</f>
        <v>0.4</v>
      </c>
      <c r="BD5" s="1">
        <f>+VLOOKUP($Q5,$D$132:$E$133,2,FALSE)</f>
        <v>0</v>
      </c>
      <c r="BE5" s="1">
        <f>+$B$96</f>
        <v>0.64</v>
      </c>
      <c r="BF5" s="1">
        <f>+$B$94</f>
        <v>100000</v>
      </c>
      <c r="BG5" s="1">
        <f>+$B$95</f>
        <v>1.23E-2</v>
      </c>
      <c r="BH5" s="1">
        <f>+$B$97</f>
        <v>12000</v>
      </c>
      <c r="BI5" s="1">
        <f>+$B$98</f>
        <v>400</v>
      </c>
      <c r="BJ5" s="1">
        <f>+$B$99</f>
        <v>1000</v>
      </c>
      <c r="BK5" s="1">
        <f>+$B$100</f>
        <v>3412</v>
      </c>
      <c r="BM5" s="117"/>
    </row>
    <row r="6" spans="1:65" ht="43.5" x14ac:dyDescent="0.35">
      <c r="A6" s="1047" t="s">
        <v>670</v>
      </c>
      <c r="B6" s="2215" t="str">
        <f ca="1">$B$5&amp;" - "&amp;I6&amp;", "&amp;N6&amp;" Btu/H"&amp;", "&amp;J6</f>
        <v>Duct Insulation and Sealing - Evaluation of Distribution Efficiency, 35208 Btu/H, Single family</v>
      </c>
      <c r="C6" s="143" t="s">
        <v>669</v>
      </c>
      <c r="D6" s="1902" t="s">
        <v>3221</v>
      </c>
      <c r="E6" s="981" t="s">
        <v>1632</v>
      </c>
      <c r="F6" s="2214">
        <f>X6/T6</f>
        <v>18.512820512820507</v>
      </c>
      <c r="G6" s="2209"/>
      <c r="H6" s="1049" t="s">
        <v>3222</v>
      </c>
      <c r="I6" s="973" t="s">
        <v>3223</v>
      </c>
      <c r="J6" s="973" t="s">
        <v>3224</v>
      </c>
      <c r="K6" s="973" t="s">
        <v>1363</v>
      </c>
      <c r="L6" s="69" t="b">
        <v>0</v>
      </c>
      <c r="M6" s="973" t="s">
        <v>1529</v>
      </c>
      <c r="N6" s="2212">
        <v>35208</v>
      </c>
      <c r="O6" s="2212">
        <v>90595</v>
      </c>
      <c r="P6" t="s">
        <v>1696</v>
      </c>
      <c r="Q6" s="2212" t="s">
        <v>3229</v>
      </c>
      <c r="R6" s="1145"/>
      <c r="S6" s="2210"/>
      <c r="T6" s="1052">
        <f>IF(I6=$A$127,AW6,AX6)</f>
        <v>126.70426992521378</v>
      </c>
      <c r="U6" s="2213">
        <f>AY6</f>
        <v>107.86107080813068</v>
      </c>
      <c r="V6" s="1052"/>
      <c r="W6" s="1051"/>
      <c r="X6" s="2213">
        <f>T6*10+U6*10</f>
        <v>2345.6534073334442</v>
      </c>
      <c r="Y6" s="268">
        <f t="shared" si="0"/>
        <v>387</v>
      </c>
      <c r="Z6" s="268">
        <f t="shared" si="0"/>
        <v>139</v>
      </c>
      <c r="AA6" s="269">
        <f>(Y6-Z6)*BE6*(AJ6+AK6)</f>
        <v>119.03999999999999</v>
      </c>
      <c r="AB6" s="1">
        <f>$C$121</f>
        <v>4800</v>
      </c>
      <c r="AC6" s="1">
        <f>$C$122</f>
        <v>4600</v>
      </c>
      <c r="AD6" s="1">
        <f>$D$121</f>
        <v>4500</v>
      </c>
      <c r="AE6" s="1">
        <f>$D$122</f>
        <v>4500</v>
      </c>
      <c r="AF6" s="1">
        <f>$E$121</f>
        <v>1.29</v>
      </c>
      <c r="AG6" s="1">
        <f>$E$122</f>
        <v>1.39</v>
      </c>
      <c r="AH6" s="1">
        <f>$F$121</f>
        <v>0.72</v>
      </c>
      <c r="AI6" s="1">
        <f>$F$122</f>
        <v>0.78</v>
      </c>
      <c r="AJ6" s="1">
        <f>+$B$58</f>
        <v>0.5</v>
      </c>
      <c r="AK6" s="1">
        <f>+$B$61</f>
        <v>0.25</v>
      </c>
      <c r="AL6" s="270">
        <f t="shared" si="1"/>
        <v>35208</v>
      </c>
      <c r="AM6" s="270">
        <f t="shared" si="1"/>
        <v>90595</v>
      </c>
      <c r="AN6" s="1">
        <f>VLOOKUP(P6,$A$141:$D$147,IF(J6=$A$131,2,3),FALSE)</f>
        <v>568.6</v>
      </c>
      <c r="AO6" s="1">
        <f>VLOOKUP(K6,$B$114:$C$117,2,FALSE)</f>
        <v>12.333333333333334</v>
      </c>
      <c r="AP6" s="271">
        <f>VLOOKUP(P6,$A$141:$D$147,4,FALSE)</f>
        <v>1870.1</v>
      </c>
      <c r="AQ6" s="172">
        <f t="shared" si="2"/>
        <v>1</v>
      </c>
      <c r="AR6" s="1">
        <f>IF(M6=$A$114,VLOOKUP(K6,$B$114:$E$117,4,FALSE),1)</f>
        <v>1</v>
      </c>
      <c r="AS6" s="1">
        <v>0.91500000000000004</v>
      </c>
      <c r="AT6" s="1">
        <f>+$H$132</f>
        <v>0.7</v>
      </c>
      <c r="AU6" s="1">
        <f>((AA6/((AL6/BH6)*BI6))*AN6*AL6*BD6)/BJ6/AO6+IF(L6=$A$130,(((AA6/((AL6/BH6)*BI6))*AP6*AL6*BC6)/AR6/BK6),0)</f>
        <v>1452.470688173378</v>
      </c>
      <c r="AV6" s="1">
        <f>(((AI6-AH6)/AI6)*AN6*AL6*BD6)/BJ6/AO6+IF(L6=$A$129,(((AI6-AH6)/AI6)*AP6*AL6*BC6)/AR6/BK6,0)</f>
        <v>62.430152182952227</v>
      </c>
      <c r="AW6" s="1">
        <f t="shared" si="3"/>
        <v>175.96171273712739</v>
      </c>
      <c r="AX6" s="1">
        <f>IF(L6=$A$130,(((AI6-AH6)/AI6)*AP6*AM6*BC6*(AZ6/BA6))/BF6,0)</f>
        <v>126.70426992521378</v>
      </c>
      <c r="AY6" s="1">
        <f t="shared" si="4"/>
        <v>107.86107080813068</v>
      </c>
      <c r="AZ6" s="1">
        <f>+$B$84</f>
        <v>0.83</v>
      </c>
      <c r="BA6" s="1">
        <f>+$G$129</f>
        <v>0.59759999999999991</v>
      </c>
      <c r="BB6" s="1">
        <f>+$B$92</f>
        <v>3.1399999999999997E-2</v>
      </c>
      <c r="BC6" s="1">
        <f>+VLOOKUP($Q6,$D$127:$E$129,2,FALSE)</f>
        <v>0.7</v>
      </c>
      <c r="BD6" s="1">
        <f>+VLOOKUP($Q6,$D$132:$E$134,2,FALSE)</f>
        <v>0.5</v>
      </c>
      <c r="BE6" s="1">
        <f>+$B$96</f>
        <v>0.64</v>
      </c>
      <c r="BF6" s="1">
        <f>+$B$94</f>
        <v>100000</v>
      </c>
      <c r="BG6" s="1">
        <f>+$B$95</f>
        <v>1.23E-2</v>
      </c>
      <c r="BH6" s="1">
        <f>+$B$97</f>
        <v>12000</v>
      </c>
      <c r="BI6" s="1">
        <f>+$B$98</f>
        <v>400</v>
      </c>
      <c r="BJ6" s="1">
        <f>+$B$99</f>
        <v>1000</v>
      </c>
      <c r="BK6" s="1">
        <f>+$B$100</f>
        <v>3412</v>
      </c>
      <c r="BM6" s="117"/>
    </row>
    <row r="7" spans="1:65" ht="43.5" x14ac:dyDescent="0.35">
      <c r="A7" s="1047" t="s">
        <v>894</v>
      </c>
      <c r="B7" s="2211" t="str">
        <f ca="1">$B$5&amp;" - "&amp;I7&amp;", "&amp;N7&amp;" Btu/H"&amp;", Joint "&amp;J7</f>
        <v>Duct Insulation and Sealing - Evaluation of Distribution Efficiency, 35208 Btu/H, Joint Single family</v>
      </c>
      <c r="C7" s="1798" t="s">
        <v>893</v>
      </c>
      <c r="D7" s="1825" t="s">
        <v>3221</v>
      </c>
      <c r="E7" s="981" t="s">
        <v>1632</v>
      </c>
      <c r="F7" s="2214">
        <f>X7/T7</f>
        <v>18.512820512820511</v>
      </c>
      <c r="G7" s="2209"/>
      <c r="H7" s="1049" t="s">
        <v>3222</v>
      </c>
      <c r="I7" s="973" t="s">
        <v>3223</v>
      </c>
      <c r="J7" s="973" t="s">
        <v>3224</v>
      </c>
      <c r="K7" s="973" t="s">
        <v>1363</v>
      </c>
      <c r="L7" s="69" t="b">
        <v>0</v>
      </c>
      <c r="M7" s="973" t="s">
        <v>1529</v>
      </c>
      <c r="N7" s="2212">
        <v>35208</v>
      </c>
      <c r="O7" s="2212">
        <v>90595</v>
      </c>
      <c r="P7" t="s">
        <v>1696</v>
      </c>
      <c r="Q7" s="2212" t="s">
        <v>3225</v>
      </c>
      <c r="R7" s="1145"/>
      <c r="S7" s="2210"/>
      <c r="T7" s="1052">
        <f>IF(I7=$A$127,AW7,AX7)</f>
        <v>181.00609989316254</v>
      </c>
      <c r="U7" s="2213">
        <f>AY7</f>
        <v>154.08724401161524</v>
      </c>
      <c r="V7" s="1052"/>
      <c r="W7" s="1051"/>
      <c r="X7" s="2213">
        <f>T7*10+U7*10</f>
        <v>3350.9334390477779</v>
      </c>
      <c r="Y7" s="268">
        <f t="shared" si="0"/>
        <v>387</v>
      </c>
      <c r="Z7" s="268">
        <f t="shared" si="0"/>
        <v>139</v>
      </c>
      <c r="AA7" s="269">
        <f>(Y7-Z7)*BE7*(AJ7+AK7)</f>
        <v>119.03999999999999</v>
      </c>
      <c r="AB7" s="1">
        <f>$C$121</f>
        <v>4800</v>
      </c>
      <c r="AC7" s="1">
        <f>$C$122</f>
        <v>4600</v>
      </c>
      <c r="AD7" s="1">
        <f>$D$121</f>
        <v>4500</v>
      </c>
      <c r="AE7" s="1">
        <f>$D$122</f>
        <v>4500</v>
      </c>
      <c r="AF7" s="1">
        <f>$E$121</f>
        <v>1.29</v>
      </c>
      <c r="AG7" s="1">
        <f>$E$122</f>
        <v>1.39</v>
      </c>
      <c r="AH7" s="1">
        <f>$F$121</f>
        <v>0.72</v>
      </c>
      <c r="AI7" s="1">
        <f>$F$122</f>
        <v>0.78</v>
      </c>
      <c r="AJ7" s="1">
        <f>+$B$58</f>
        <v>0.5</v>
      </c>
      <c r="AK7" s="1">
        <f>+$B$61</f>
        <v>0.25</v>
      </c>
      <c r="AL7" s="270">
        <f t="shared" si="1"/>
        <v>35208</v>
      </c>
      <c r="AM7" s="270">
        <f t="shared" si="1"/>
        <v>90595</v>
      </c>
      <c r="AN7" s="1">
        <f>VLOOKUP(P7,$A$141:$D$147,IF(J7=$A$131,2,3),FALSE)</f>
        <v>568.6</v>
      </c>
      <c r="AO7" s="1">
        <f>VLOOKUP(K7,$B$114:$C$117,2,FALSE)</f>
        <v>12.333333333333334</v>
      </c>
      <c r="AP7" s="271">
        <f>VLOOKUP(P7,$A$141:$D$147,4,FALSE)</f>
        <v>1870.1</v>
      </c>
      <c r="AQ7" s="172">
        <f t="shared" si="2"/>
        <v>1</v>
      </c>
      <c r="AR7" s="1">
        <f>IF(M7=$A$114,VLOOKUP(K7,$B$114:$E$117,4,FALSE),1)</f>
        <v>1</v>
      </c>
      <c r="AS7" s="1">
        <v>0.91500000000000004</v>
      </c>
      <c r="AT7" s="1">
        <f>+$H$132</f>
        <v>0.7</v>
      </c>
      <c r="AU7" s="1">
        <f>((AA7/((AL7/BH7)*BI7))*AN7*AL7*BD7)/BJ7/AO7+IF(L7=$A$129,(((AA7/((AL7/BH7)*BI7))*AP7*AL7*BC7)/AR7/BK7),0)</f>
        <v>164.64197189189187</v>
      </c>
      <c r="AV7" s="1">
        <f>(((AI7-AH7)/AI7)*AN7*AL7*BD7)/BJ7/AO7+IF(L7=$A$129,(((AI7-AH7)/AI7)*AP7*AL7*BC7)/AR7/BK7,0)</f>
        <v>124.86030436590445</v>
      </c>
      <c r="AW7" s="1">
        <f t="shared" si="3"/>
        <v>251.37387533875344</v>
      </c>
      <c r="AX7" s="1">
        <f>IF(L7=$A$130,(((AI7-AH7)/AI7)*AP7*AM7*BC7*(AZ7/BA7))/BF7,0)</f>
        <v>181.00609989316254</v>
      </c>
      <c r="AY7" s="1">
        <f t="shared" si="4"/>
        <v>154.08724401161524</v>
      </c>
      <c r="AZ7" s="1">
        <f>+$B$84</f>
        <v>0.83</v>
      </c>
      <c r="BA7" s="1">
        <f>+$G$129</f>
        <v>0.59759999999999991</v>
      </c>
      <c r="BB7" s="1">
        <f>+$B$92</f>
        <v>3.1399999999999997E-2</v>
      </c>
      <c r="BC7" s="1">
        <f>+VLOOKUP($Q7,$D$127:$E$128,2,FALSE)</f>
        <v>1</v>
      </c>
      <c r="BD7" s="1">
        <f>+VLOOKUP($Q7,$D$132:$E$133,2,FALSE)</f>
        <v>1</v>
      </c>
      <c r="BE7" s="1">
        <f>+$B$96</f>
        <v>0.64</v>
      </c>
      <c r="BF7" s="1">
        <f>+$B$94</f>
        <v>100000</v>
      </c>
      <c r="BG7" s="1">
        <f>+$B$95</f>
        <v>1.23E-2</v>
      </c>
      <c r="BH7" s="1">
        <f>+$B$97</f>
        <v>12000</v>
      </c>
      <c r="BI7" s="1">
        <f>+$B$98</f>
        <v>400</v>
      </c>
      <c r="BJ7" s="1">
        <f>+$B$99</f>
        <v>1000</v>
      </c>
      <c r="BK7" s="1">
        <f>+$B$100</f>
        <v>3412</v>
      </c>
      <c r="BM7" s="117"/>
    </row>
    <row r="8" spans="1:65" ht="43.5" customHeight="1" x14ac:dyDescent="0.35">
      <c r="AX8" s="1"/>
    </row>
    <row r="9" spans="1:65" x14ac:dyDescent="0.35">
      <c r="BA9" s="1746" t="s">
        <v>3230</v>
      </c>
      <c r="BB9" s="1746">
        <v>0.9</v>
      </c>
    </row>
    <row r="11" spans="1:65" ht="15" thickBot="1" x14ac:dyDescent="0.4"/>
    <row r="12" spans="1:65" ht="15" thickBot="1" x14ac:dyDescent="0.4">
      <c r="A12" s="62" t="s">
        <v>1188</v>
      </c>
      <c r="B12" s="64"/>
      <c r="C12" s="64"/>
      <c r="D12" s="64"/>
      <c r="E12" s="64"/>
      <c r="F12" s="64"/>
      <c r="G12" s="65"/>
    </row>
    <row r="13" spans="1:65" x14ac:dyDescent="0.35">
      <c r="A13" s="272" t="s">
        <v>3231</v>
      </c>
      <c r="B13" s="69"/>
      <c r="C13" s="69"/>
      <c r="D13" s="69"/>
      <c r="E13" s="69"/>
      <c r="F13" s="69"/>
      <c r="G13" s="70"/>
    </row>
    <row r="14" spans="1:65" x14ac:dyDescent="0.35">
      <c r="A14" s="707" t="s">
        <v>3232</v>
      </c>
      <c r="B14" s="69"/>
      <c r="C14" s="69"/>
      <c r="D14" s="69"/>
      <c r="E14" s="69"/>
      <c r="F14" s="69"/>
      <c r="G14" s="70"/>
    </row>
    <row r="15" spans="1:65" ht="15" x14ac:dyDescent="0.4">
      <c r="A15" s="67" t="s">
        <v>3233</v>
      </c>
      <c r="B15" s="69"/>
      <c r="C15" s="68"/>
      <c r="D15" s="69"/>
      <c r="E15" s="69"/>
      <c r="F15" s="69"/>
      <c r="G15" s="70"/>
    </row>
    <row r="16" spans="1:65" ht="15" x14ac:dyDescent="0.4">
      <c r="A16" s="707" t="s">
        <v>3234</v>
      </c>
      <c r="B16" s="69"/>
      <c r="C16" s="69"/>
      <c r="D16" s="69"/>
      <c r="E16" s="69"/>
      <c r="F16" s="69"/>
      <c r="G16" s="70"/>
    </row>
    <row r="17" spans="1:9" ht="15" x14ac:dyDescent="0.4">
      <c r="A17" s="67" t="s">
        <v>3235</v>
      </c>
      <c r="B17" s="68"/>
      <c r="C17" s="69"/>
      <c r="D17" s="69"/>
      <c r="E17" s="69"/>
      <c r="F17" s="69"/>
      <c r="G17" s="70"/>
    </row>
    <row r="18" spans="1:9" x14ac:dyDescent="0.35">
      <c r="A18" s="707" t="s">
        <v>3236</v>
      </c>
      <c r="B18" s="69"/>
      <c r="C18" s="69"/>
      <c r="D18" s="69"/>
      <c r="E18" s="69"/>
      <c r="F18" s="69"/>
      <c r="G18" s="70"/>
    </row>
    <row r="19" spans="1:9" ht="15" x14ac:dyDescent="0.4">
      <c r="A19" s="67" t="s">
        <v>3237</v>
      </c>
      <c r="B19" s="68"/>
      <c r="C19" s="69"/>
      <c r="D19" s="69"/>
      <c r="E19" s="69"/>
      <c r="F19" s="69"/>
      <c r="G19" s="70"/>
    </row>
    <row r="20" spans="1:9" x14ac:dyDescent="0.35">
      <c r="A20" s="67" t="s">
        <v>3238</v>
      </c>
      <c r="B20" s="68"/>
      <c r="C20" s="69"/>
      <c r="D20" s="69"/>
      <c r="E20" s="69"/>
      <c r="F20" s="69"/>
      <c r="G20" s="70"/>
    </row>
    <row r="21" spans="1:9" ht="15" x14ac:dyDescent="0.4">
      <c r="A21" s="67" t="s">
        <v>3239</v>
      </c>
      <c r="B21" s="68"/>
      <c r="C21" s="69"/>
      <c r="D21" s="69"/>
      <c r="E21" s="69"/>
      <c r="F21" s="69"/>
      <c r="G21" s="70"/>
    </row>
    <row r="22" spans="1:9" x14ac:dyDescent="0.35">
      <c r="A22" s="272" t="s">
        <v>3240</v>
      </c>
      <c r="B22" s="68"/>
      <c r="C22" s="69"/>
      <c r="D22" s="69"/>
      <c r="E22" s="69"/>
      <c r="F22" s="69"/>
      <c r="G22" s="70"/>
    </row>
    <row r="23" spans="1:9" ht="15" x14ac:dyDescent="0.4">
      <c r="A23" s="67" t="s">
        <v>3241</v>
      </c>
      <c r="B23" s="68"/>
      <c r="C23" s="69"/>
      <c r="D23" s="69"/>
      <c r="E23" s="69"/>
      <c r="F23" s="69"/>
      <c r="G23" s="70"/>
    </row>
    <row r="24" spans="1:9" x14ac:dyDescent="0.35">
      <c r="A24" s="67" t="s">
        <v>3242</v>
      </c>
      <c r="B24" s="69"/>
      <c r="C24" s="69"/>
      <c r="D24" s="69"/>
      <c r="E24" s="69"/>
      <c r="F24" s="69"/>
      <c r="G24" s="70"/>
    </row>
    <row r="25" spans="1:9" ht="15" x14ac:dyDescent="0.4">
      <c r="A25" s="67" t="s">
        <v>3243</v>
      </c>
      <c r="B25" s="69"/>
      <c r="C25" s="68"/>
      <c r="D25" s="69"/>
      <c r="E25" s="69"/>
      <c r="F25" s="69"/>
      <c r="G25" s="70"/>
    </row>
    <row r="26" spans="1:9" x14ac:dyDescent="0.35">
      <c r="A26" s="67" t="s">
        <v>3244</v>
      </c>
      <c r="B26" s="52"/>
      <c r="C26" s="68"/>
      <c r="D26" s="69"/>
      <c r="E26" s="69"/>
      <c r="F26" s="69"/>
      <c r="G26" s="70"/>
    </row>
    <row r="27" spans="1:9" x14ac:dyDescent="0.35">
      <c r="A27" s="1044" t="s">
        <v>3245</v>
      </c>
      <c r="B27" s="69"/>
      <c r="C27" s="68"/>
      <c r="D27" s="69"/>
      <c r="E27" s="69"/>
      <c r="F27" s="69"/>
      <c r="G27" s="70"/>
      <c r="I27" t="s">
        <v>1514</v>
      </c>
    </row>
    <row r="28" spans="1:9" x14ac:dyDescent="0.35">
      <c r="A28" s="272" t="s">
        <v>3231</v>
      </c>
      <c r="B28" s="69"/>
      <c r="C28" s="68"/>
      <c r="D28" s="69"/>
      <c r="E28" s="69"/>
      <c r="F28" s="69"/>
      <c r="G28" s="70"/>
    </row>
    <row r="29" spans="1:9" x14ac:dyDescent="0.35">
      <c r="A29" s="69" t="s">
        <v>3246</v>
      </c>
      <c r="B29" s="382" t="s">
        <v>3247</v>
      </c>
      <c r="C29" s="68"/>
      <c r="D29" s="69"/>
      <c r="E29" s="69"/>
      <c r="F29" s="69"/>
      <c r="G29" s="70"/>
    </row>
    <row r="30" spans="1:9" x14ac:dyDescent="0.35">
      <c r="A30" s="272" t="s">
        <v>3240</v>
      </c>
      <c r="B30" s="69"/>
      <c r="C30" s="68"/>
      <c r="D30" s="69"/>
      <c r="E30" s="69"/>
      <c r="F30" s="69"/>
      <c r="G30" s="70"/>
    </row>
    <row r="31" spans="1:9" ht="15" thickBot="1" x14ac:dyDescent="0.4">
      <c r="A31" s="71" t="s">
        <v>3248</v>
      </c>
      <c r="B31" s="249"/>
      <c r="C31" s="249"/>
      <c r="D31" s="72"/>
      <c r="E31" s="72"/>
      <c r="F31" s="72"/>
      <c r="G31" s="73"/>
    </row>
    <row r="32" spans="1:9" ht="15" thickBot="1" x14ac:dyDescent="0.4">
      <c r="A32" s="154" t="s">
        <v>1078</v>
      </c>
      <c r="B32" s="1142">
        <f>'Measure-Level Adjustments'!A2</f>
        <v>44592</v>
      </c>
      <c r="C32" s="274"/>
    </row>
    <row r="33" spans="1:25" ht="15" thickBot="1" x14ac:dyDescent="0.4">
      <c r="A33" s="154" t="s">
        <v>1079</v>
      </c>
      <c r="B33" s="577" t="s">
        <v>3249</v>
      </c>
    </row>
    <row r="40" spans="1:25" ht="15" thickBot="1" x14ac:dyDescent="0.4"/>
    <row r="41" spans="1:25" ht="15" thickBot="1" x14ac:dyDescent="0.4">
      <c r="A41" s="74" t="s">
        <v>1285</v>
      </c>
      <c r="B41" s="75" t="s">
        <v>1199</v>
      </c>
      <c r="C41" s="76" t="s">
        <v>1082</v>
      </c>
      <c r="D41" s="64"/>
      <c r="E41" s="64"/>
      <c r="F41" s="64"/>
      <c r="G41" s="64"/>
      <c r="H41" s="64"/>
      <c r="I41" s="64"/>
      <c r="J41" s="64"/>
      <c r="K41" s="64"/>
      <c r="L41" s="64"/>
      <c r="M41" s="64"/>
      <c r="N41" s="64"/>
      <c r="O41" s="64"/>
      <c r="P41" s="64"/>
      <c r="Q41" s="64"/>
      <c r="R41" s="64"/>
      <c r="S41" s="64"/>
      <c r="T41" s="64"/>
      <c r="U41" s="64"/>
      <c r="V41" s="64"/>
      <c r="W41" s="64"/>
      <c r="X41" s="64"/>
      <c r="Y41" s="65"/>
    </row>
    <row r="42" spans="1:25" x14ac:dyDescent="0.35">
      <c r="A42" s="93" t="s">
        <v>3250</v>
      </c>
      <c r="B42" s="80"/>
      <c r="C42" s="80" t="s">
        <v>3251</v>
      </c>
      <c r="D42" s="80"/>
      <c r="E42" s="80"/>
      <c r="F42" s="80"/>
      <c r="G42" s="80"/>
      <c r="H42" s="80"/>
      <c r="I42" s="80"/>
      <c r="J42" s="80"/>
      <c r="K42" s="80"/>
      <c r="L42" s="80"/>
      <c r="M42" s="80"/>
      <c r="N42" s="80"/>
      <c r="O42" s="80"/>
      <c r="P42" s="80"/>
      <c r="Q42" s="80"/>
      <c r="R42" s="80"/>
      <c r="S42" s="80"/>
      <c r="T42" s="80"/>
      <c r="U42" s="80"/>
      <c r="V42" s="80"/>
      <c r="W42" s="80"/>
      <c r="X42" s="80"/>
      <c r="Y42" s="81"/>
    </row>
    <row r="43" spans="1:25" ht="15" thickBot="1" x14ac:dyDescent="0.4">
      <c r="A43" s="88"/>
      <c r="B43" s="85"/>
      <c r="C43" s="85" t="s">
        <v>2854</v>
      </c>
      <c r="D43" s="85"/>
      <c r="E43" s="85"/>
      <c r="F43" s="85"/>
      <c r="G43" s="85"/>
      <c r="H43" s="85"/>
      <c r="I43" s="85"/>
      <c r="J43" s="85"/>
      <c r="K43" s="85"/>
      <c r="L43" s="85"/>
      <c r="M43" s="85"/>
      <c r="N43" s="85"/>
      <c r="O43" s="85"/>
      <c r="P43" s="85"/>
      <c r="Q43" s="85"/>
      <c r="R43" s="85"/>
      <c r="S43" s="85"/>
      <c r="T43" s="85"/>
      <c r="U43" s="85"/>
      <c r="V43" s="85"/>
      <c r="W43" s="85"/>
      <c r="X43" s="85"/>
      <c r="Y43" s="86"/>
    </row>
    <row r="44" spans="1:25" x14ac:dyDescent="0.35">
      <c r="A44" s="93" t="s">
        <v>3252</v>
      </c>
      <c r="B44" s="80"/>
      <c r="C44" s="80" t="s">
        <v>3251</v>
      </c>
      <c r="D44" s="80"/>
      <c r="E44" s="80"/>
      <c r="F44" s="80"/>
      <c r="G44" s="80"/>
      <c r="H44" s="80"/>
      <c r="I44" s="80"/>
      <c r="J44" s="80"/>
      <c r="K44" s="80"/>
      <c r="L44" s="80"/>
      <c r="M44" s="80"/>
      <c r="N44" s="80"/>
      <c r="O44" s="80"/>
      <c r="P44" s="80"/>
      <c r="Q44" s="80"/>
      <c r="R44" s="80"/>
      <c r="S44" s="80"/>
      <c r="T44" s="80"/>
      <c r="U44" s="80"/>
      <c r="V44" s="80"/>
      <c r="W44" s="80"/>
      <c r="X44" s="80"/>
      <c r="Y44" s="81"/>
    </row>
    <row r="45" spans="1:25" ht="15" thickBot="1" x14ac:dyDescent="0.4">
      <c r="A45" s="88"/>
      <c r="B45" s="85"/>
      <c r="C45" s="85" t="s">
        <v>2854</v>
      </c>
      <c r="D45" s="85"/>
      <c r="E45" s="85"/>
      <c r="F45" s="85"/>
      <c r="G45" s="85"/>
      <c r="H45" s="85"/>
      <c r="I45" s="85"/>
      <c r="J45" s="85"/>
      <c r="K45" s="85"/>
      <c r="L45" s="85"/>
      <c r="M45" s="85"/>
      <c r="N45" s="85"/>
      <c r="O45" s="85"/>
      <c r="P45" s="85"/>
      <c r="Q45" s="85"/>
      <c r="R45" s="85"/>
      <c r="S45" s="85"/>
      <c r="T45" s="85"/>
      <c r="U45" s="85"/>
      <c r="V45" s="85"/>
      <c r="W45" s="85"/>
      <c r="X45" s="85"/>
      <c r="Y45" s="86"/>
    </row>
    <row r="46" spans="1:25" x14ac:dyDescent="0.35">
      <c r="A46" s="93" t="s">
        <v>3253</v>
      </c>
      <c r="B46" s="80"/>
      <c r="C46" s="80" t="s">
        <v>3254</v>
      </c>
      <c r="D46" s="80"/>
      <c r="E46" s="80"/>
      <c r="F46" s="80"/>
      <c r="G46" s="80"/>
      <c r="H46" s="80"/>
      <c r="I46" s="80"/>
      <c r="J46" s="80"/>
      <c r="K46" s="80"/>
      <c r="L46" s="80"/>
      <c r="M46" s="80"/>
      <c r="N46" s="80"/>
      <c r="O46" s="80"/>
      <c r="P46" s="80"/>
      <c r="Q46" s="80"/>
      <c r="R46" s="80"/>
      <c r="S46" s="80"/>
      <c r="T46" s="80"/>
      <c r="U46" s="80"/>
      <c r="V46" s="80"/>
      <c r="W46" s="80"/>
      <c r="X46" s="80"/>
      <c r="Y46" s="81"/>
    </row>
    <row r="47" spans="1:25" ht="15" thickBot="1" x14ac:dyDescent="0.4">
      <c r="A47" s="88"/>
      <c r="B47" s="85"/>
      <c r="C47" s="85" t="s">
        <v>2854</v>
      </c>
      <c r="D47" s="85"/>
      <c r="E47" s="85"/>
      <c r="F47" s="85"/>
      <c r="G47" s="85"/>
      <c r="H47" s="85"/>
      <c r="I47" s="85"/>
      <c r="J47" s="85"/>
      <c r="K47" s="85"/>
      <c r="L47" s="85"/>
      <c r="M47" s="85"/>
      <c r="N47" s="85"/>
      <c r="O47" s="85"/>
      <c r="P47" s="85"/>
      <c r="Q47" s="85"/>
      <c r="R47" s="85"/>
      <c r="S47" s="85"/>
      <c r="T47" s="85"/>
      <c r="U47" s="85"/>
      <c r="V47" s="85"/>
      <c r="W47" s="85"/>
      <c r="X47" s="85"/>
      <c r="Y47" s="86"/>
    </row>
    <row r="48" spans="1:25" x14ac:dyDescent="0.35">
      <c r="A48" s="93" t="s">
        <v>3255</v>
      </c>
      <c r="B48" s="80"/>
      <c r="C48" s="80" t="s">
        <v>3254</v>
      </c>
      <c r="D48" s="80"/>
      <c r="E48" s="80"/>
      <c r="F48" s="80"/>
      <c r="G48" s="80"/>
      <c r="H48" s="80"/>
      <c r="I48" s="80"/>
      <c r="J48" s="80"/>
      <c r="K48" s="80"/>
      <c r="L48" s="80"/>
      <c r="M48" s="80"/>
      <c r="N48" s="80"/>
      <c r="O48" s="80"/>
      <c r="P48" s="80"/>
      <c r="Q48" s="80"/>
      <c r="R48" s="80"/>
      <c r="S48" s="80"/>
      <c r="T48" s="80"/>
      <c r="U48" s="80"/>
      <c r="V48" s="80"/>
      <c r="W48" s="80"/>
      <c r="X48" s="80"/>
      <c r="Y48" s="81"/>
    </row>
    <row r="49" spans="1:25" ht="15" thickBot="1" x14ac:dyDescent="0.4">
      <c r="A49" s="88"/>
      <c r="B49" s="85"/>
      <c r="C49" s="85" t="s">
        <v>2854</v>
      </c>
      <c r="D49" s="85"/>
      <c r="E49" s="85"/>
      <c r="F49" s="85"/>
      <c r="G49" s="85"/>
      <c r="H49" s="85"/>
      <c r="I49" s="85"/>
      <c r="J49" s="85"/>
      <c r="K49" s="85"/>
      <c r="L49" s="85"/>
      <c r="M49" s="85"/>
      <c r="N49" s="85"/>
      <c r="O49" s="85"/>
      <c r="P49" s="85"/>
      <c r="Q49" s="85"/>
      <c r="R49" s="85"/>
      <c r="S49" s="85"/>
      <c r="T49" s="85"/>
      <c r="U49" s="85"/>
      <c r="V49" s="85"/>
      <c r="W49" s="85"/>
      <c r="X49" s="85"/>
      <c r="Y49" s="86"/>
    </row>
    <row r="50" spans="1:25" x14ac:dyDescent="0.35">
      <c r="A50" s="93" t="s">
        <v>3191</v>
      </c>
      <c r="B50" s="80"/>
      <c r="C50" s="80" t="s">
        <v>3256</v>
      </c>
      <c r="D50" s="80"/>
      <c r="E50" s="80"/>
      <c r="F50" s="80"/>
      <c r="G50" s="80"/>
      <c r="H50" s="80"/>
      <c r="I50" s="80"/>
      <c r="J50" s="80"/>
      <c r="K50" s="80"/>
      <c r="L50" s="80"/>
      <c r="M50" s="80"/>
      <c r="N50" s="80"/>
      <c r="O50" s="80"/>
      <c r="P50" s="80"/>
      <c r="Q50" s="80"/>
      <c r="R50" s="80"/>
      <c r="S50" s="80"/>
      <c r="T50" s="80"/>
      <c r="U50" s="80"/>
      <c r="V50" s="80"/>
      <c r="W50" s="80"/>
      <c r="X50" s="80"/>
      <c r="Y50" s="81"/>
    </row>
    <row r="51" spans="1:25" ht="15" thickBot="1" x14ac:dyDescent="0.4">
      <c r="A51" s="88"/>
      <c r="B51" s="85"/>
      <c r="C51" s="85" t="s">
        <v>3257</v>
      </c>
      <c r="D51" s="85"/>
      <c r="E51" s="85"/>
      <c r="F51" s="85"/>
      <c r="G51" s="85"/>
      <c r="H51" s="85"/>
      <c r="I51" s="85"/>
      <c r="J51" s="85"/>
      <c r="K51" s="85"/>
      <c r="L51" s="85"/>
      <c r="M51" s="85"/>
      <c r="N51" s="85"/>
      <c r="O51" s="85"/>
      <c r="P51" s="85"/>
      <c r="Q51" s="85"/>
      <c r="R51" s="85"/>
      <c r="S51" s="85"/>
      <c r="T51" s="85"/>
      <c r="U51" s="85"/>
      <c r="V51" s="85"/>
      <c r="W51" s="85"/>
      <c r="X51" s="85"/>
      <c r="Y51" s="86"/>
    </row>
    <row r="52" spans="1:25" x14ac:dyDescent="0.35">
      <c r="A52" s="93" t="s">
        <v>3192</v>
      </c>
      <c r="B52" s="80"/>
      <c r="C52" s="80" t="s">
        <v>3256</v>
      </c>
      <c r="D52" s="80"/>
      <c r="E52" s="80"/>
      <c r="F52" s="80"/>
      <c r="G52" s="80"/>
      <c r="H52" s="80"/>
      <c r="I52" s="80"/>
      <c r="J52" s="80"/>
      <c r="K52" s="80"/>
      <c r="L52" s="80"/>
      <c r="M52" s="80"/>
      <c r="N52" s="80"/>
      <c r="O52" s="80"/>
      <c r="P52" s="80"/>
      <c r="Q52" s="80"/>
      <c r="R52" s="80"/>
      <c r="S52" s="80"/>
      <c r="T52" s="80"/>
      <c r="U52" s="80"/>
      <c r="V52" s="80"/>
      <c r="W52" s="80"/>
      <c r="X52" s="80"/>
      <c r="Y52" s="81"/>
    </row>
    <row r="53" spans="1:25" ht="15" thickBot="1" x14ac:dyDescent="0.4">
      <c r="A53" s="88"/>
      <c r="B53" s="85"/>
      <c r="C53" s="85" t="s">
        <v>3257</v>
      </c>
      <c r="D53" s="85"/>
      <c r="E53" s="85"/>
      <c r="F53" s="85"/>
      <c r="G53" s="85"/>
      <c r="H53" s="85"/>
      <c r="I53" s="85"/>
      <c r="J53" s="85"/>
      <c r="K53" s="85"/>
      <c r="L53" s="85"/>
      <c r="M53" s="85"/>
      <c r="N53" s="85"/>
      <c r="O53" s="85"/>
      <c r="P53" s="85"/>
      <c r="Q53" s="85"/>
      <c r="R53" s="85"/>
      <c r="S53" s="85"/>
      <c r="T53" s="85"/>
      <c r="U53" s="85"/>
      <c r="V53" s="85"/>
      <c r="W53" s="85"/>
      <c r="X53" s="85"/>
      <c r="Y53" s="86"/>
    </row>
    <row r="54" spans="1:25" x14ac:dyDescent="0.35">
      <c r="A54" s="93" t="s">
        <v>3258</v>
      </c>
      <c r="B54" s="80">
        <f>+$F$121</f>
        <v>0.72</v>
      </c>
      <c r="C54" s="80" t="s">
        <v>3259</v>
      </c>
      <c r="D54" s="80"/>
      <c r="E54" s="80"/>
      <c r="F54" s="80"/>
      <c r="G54" s="80"/>
      <c r="H54" s="80"/>
      <c r="I54" s="80"/>
      <c r="J54" s="80"/>
      <c r="K54" s="80"/>
      <c r="L54" s="80"/>
      <c r="M54" s="80"/>
      <c r="N54" s="80"/>
      <c r="O54" s="80"/>
      <c r="P54" s="80"/>
      <c r="Q54" s="80"/>
      <c r="R54" s="80"/>
      <c r="S54" s="80"/>
      <c r="T54" s="80"/>
      <c r="U54" s="80"/>
      <c r="V54" s="80"/>
      <c r="W54" s="80"/>
      <c r="X54" s="80"/>
      <c r="Y54" s="81"/>
    </row>
    <row r="55" spans="1:25" ht="15" thickBot="1" x14ac:dyDescent="0.4">
      <c r="A55" s="88"/>
      <c r="B55" s="85"/>
      <c r="C55" s="85" t="s">
        <v>2854</v>
      </c>
      <c r="D55" s="85"/>
      <c r="E55" s="85"/>
      <c r="F55" s="85"/>
      <c r="G55" s="85"/>
      <c r="H55" s="85"/>
      <c r="I55" s="85"/>
      <c r="J55" s="85"/>
      <c r="K55" s="85"/>
      <c r="L55" s="85"/>
      <c r="M55" s="85"/>
      <c r="N55" s="85"/>
      <c r="O55" s="85"/>
      <c r="P55" s="85"/>
      <c r="Q55" s="85"/>
      <c r="R55" s="85"/>
      <c r="S55" s="85"/>
      <c r="T55" s="85"/>
      <c r="U55" s="85"/>
      <c r="V55" s="85"/>
      <c r="W55" s="85"/>
      <c r="X55" s="85"/>
      <c r="Y55" s="86"/>
    </row>
    <row r="56" spans="1:25" x14ac:dyDescent="0.35">
      <c r="A56" s="93" t="s">
        <v>3260</v>
      </c>
      <c r="B56" s="80"/>
      <c r="C56" s="80" t="s">
        <v>3261</v>
      </c>
      <c r="D56" s="80"/>
      <c r="E56" s="80"/>
      <c r="F56" s="80"/>
      <c r="G56" s="80"/>
      <c r="H56" s="80"/>
      <c r="I56" s="80"/>
      <c r="J56" s="80"/>
      <c r="K56" s="80"/>
      <c r="L56" s="80"/>
      <c r="M56" s="80"/>
      <c r="N56" s="80"/>
      <c r="O56" s="80"/>
      <c r="P56" s="80"/>
      <c r="Q56" s="80"/>
      <c r="R56" s="80"/>
      <c r="S56" s="80"/>
      <c r="T56" s="80"/>
      <c r="U56" s="80"/>
      <c r="V56" s="80"/>
      <c r="W56" s="80"/>
      <c r="X56" s="80"/>
      <c r="Y56" s="81"/>
    </row>
    <row r="57" spans="1:25" ht="15" thickBot="1" x14ac:dyDescent="0.4">
      <c r="A57" s="88"/>
      <c r="B57" s="85"/>
      <c r="C57" s="85" t="s">
        <v>2854</v>
      </c>
      <c r="D57" s="85"/>
      <c r="E57" s="85"/>
      <c r="F57" s="85"/>
      <c r="G57" s="85"/>
      <c r="H57" s="85"/>
      <c r="I57" s="85"/>
      <c r="J57" s="85"/>
      <c r="K57" s="85"/>
      <c r="L57" s="85"/>
      <c r="M57" s="85"/>
      <c r="N57" s="85"/>
      <c r="O57" s="85"/>
      <c r="P57" s="85"/>
      <c r="Q57" s="85"/>
      <c r="R57" s="85"/>
      <c r="S57" s="85"/>
      <c r="T57" s="85"/>
      <c r="U57" s="85"/>
      <c r="V57" s="85"/>
      <c r="W57" s="85"/>
      <c r="X57" s="85"/>
      <c r="Y57" s="86"/>
    </row>
    <row r="58" spans="1:25" x14ac:dyDescent="0.35">
      <c r="A58" s="93" t="s">
        <v>3195</v>
      </c>
      <c r="B58" s="80">
        <v>0.5</v>
      </c>
      <c r="C58" s="80" t="s">
        <v>3262</v>
      </c>
      <c r="D58" s="80"/>
      <c r="E58" s="80"/>
      <c r="F58" s="80"/>
      <c r="G58" s="80"/>
      <c r="H58" s="80"/>
      <c r="I58" s="80"/>
      <c r="J58" s="80"/>
      <c r="K58" s="80"/>
      <c r="L58" s="80"/>
      <c r="M58" s="80"/>
      <c r="N58" s="80"/>
      <c r="O58" s="80"/>
      <c r="P58" s="80"/>
      <c r="Q58" s="80"/>
      <c r="R58" s="80"/>
      <c r="S58" s="80"/>
      <c r="T58" s="80"/>
      <c r="U58" s="80"/>
      <c r="V58" s="80"/>
      <c r="W58" s="80"/>
      <c r="X58" s="80"/>
      <c r="Y58" s="81"/>
    </row>
    <row r="59" spans="1:25" x14ac:dyDescent="0.35">
      <c r="A59" s="254"/>
      <c r="C59" t="s">
        <v>3263</v>
      </c>
      <c r="Y59" s="253"/>
    </row>
    <row r="60" spans="1:25" ht="15" thickBot="1" x14ac:dyDescent="0.4">
      <c r="A60" s="88"/>
      <c r="B60" s="85"/>
      <c r="C60" s="85" t="s">
        <v>3264</v>
      </c>
      <c r="D60" s="85"/>
      <c r="E60" s="85"/>
      <c r="F60" s="85"/>
      <c r="G60" s="85"/>
      <c r="H60" s="85"/>
      <c r="I60" s="85"/>
      <c r="J60" s="85"/>
      <c r="K60" s="85"/>
      <c r="L60" s="85"/>
      <c r="M60" s="85"/>
      <c r="N60" s="85"/>
      <c r="O60" s="85"/>
      <c r="P60" s="85"/>
      <c r="Q60" s="85"/>
      <c r="R60" s="85"/>
      <c r="S60" s="85"/>
      <c r="T60" s="85"/>
      <c r="U60" s="85"/>
      <c r="V60" s="85"/>
      <c r="W60" s="85"/>
      <c r="X60" s="85"/>
      <c r="Y60" s="86"/>
    </row>
    <row r="61" spans="1:25" x14ac:dyDescent="0.35">
      <c r="A61" s="93" t="s">
        <v>3196</v>
      </c>
      <c r="B61" s="80">
        <v>0.25</v>
      </c>
      <c r="C61" s="80" t="s">
        <v>3265</v>
      </c>
      <c r="D61" s="80"/>
      <c r="E61" s="80"/>
      <c r="F61" s="80"/>
      <c r="G61" s="80"/>
      <c r="H61" s="80"/>
      <c r="I61" s="80"/>
      <c r="J61" s="80"/>
      <c r="K61" s="80"/>
      <c r="L61" s="80"/>
      <c r="M61" s="80"/>
      <c r="N61" s="80"/>
      <c r="O61" s="80"/>
      <c r="P61" s="80"/>
      <c r="Q61" s="80"/>
      <c r="R61" s="80"/>
      <c r="S61" s="80"/>
      <c r="T61" s="80"/>
      <c r="U61" s="80"/>
      <c r="V61" s="80"/>
      <c r="W61" s="80"/>
      <c r="X61" s="80"/>
      <c r="Y61" s="81"/>
    </row>
    <row r="62" spans="1:25" x14ac:dyDescent="0.35">
      <c r="A62" s="254"/>
      <c r="C62" t="s">
        <v>3266</v>
      </c>
      <c r="Y62" s="253"/>
    </row>
    <row r="63" spans="1:25" ht="15" thickBot="1" x14ac:dyDescent="0.4">
      <c r="A63" s="88"/>
      <c r="B63" s="85"/>
      <c r="C63" s="85" t="s">
        <v>3267</v>
      </c>
      <c r="D63" s="85"/>
      <c r="E63" s="85"/>
      <c r="F63" s="85"/>
      <c r="G63" s="85"/>
      <c r="H63" s="85"/>
      <c r="I63" s="85"/>
      <c r="J63" s="85"/>
      <c r="K63" s="85"/>
      <c r="L63" s="85"/>
      <c r="M63" s="85"/>
      <c r="N63" s="85"/>
      <c r="O63" s="85"/>
      <c r="P63" s="85"/>
      <c r="Q63" s="85"/>
      <c r="R63" s="85"/>
      <c r="S63" s="85"/>
      <c r="T63" s="85"/>
      <c r="U63" s="85"/>
      <c r="V63" s="85"/>
      <c r="W63" s="85"/>
      <c r="X63" s="85"/>
      <c r="Y63" s="86"/>
    </row>
    <row r="64" spans="1:25" x14ac:dyDescent="0.35">
      <c r="A64" s="93" t="s">
        <v>3197</v>
      </c>
      <c r="B64" s="80"/>
      <c r="C64" s="80" t="s">
        <v>3268</v>
      </c>
      <c r="D64" s="80"/>
      <c r="E64" s="80"/>
      <c r="F64" s="80"/>
      <c r="G64" s="80"/>
      <c r="H64" s="80"/>
      <c r="I64" s="80"/>
      <c r="J64" s="80"/>
      <c r="K64" s="80"/>
      <c r="L64" s="80"/>
      <c r="M64" s="80"/>
      <c r="N64" s="80"/>
      <c r="O64" s="80"/>
      <c r="P64" s="80"/>
      <c r="Q64" s="80"/>
      <c r="R64" s="80"/>
      <c r="S64" s="80"/>
      <c r="T64" s="80"/>
      <c r="U64" s="80"/>
      <c r="V64" s="80"/>
      <c r="W64" s="80"/>
      <c r="X64" s="80"/>
      <c r="Y64" s="81"/>
    </row>
    <row r="65" spans="1:25" x14ac:dyDescent="0.35">
      <c r="A65" s="254"/>
      <c r="C65" t="s">
        <v>1940</v>
      </c>
      <c r="Y65" s="253"/>
    </row>
    <row r="66" spans="1:25" ht="15" thickBot="1" x14ac:dyDescent="0.4">
      <c r="A66" s="88"/>
      <c r="B66" s="85"/>
      <c r="C66" s="85" t="s">
        <v>2854</v>
      </c>
      <c r="D66" s="85"/>
      <c r="E66" s="85"/>
      <c r="F66" s="85"/>
      <c r="G66" s="85"/>
      <c r="H66" s="85"/>
      <c r="I66" s="85"/>
      <c r="J66" s="85"/>
      <c r="K66" s="85"/>
      <c r="L66" s="85"/>
      <c r="M66" s="85"/>
      <c r="N66" s="85"/>
      <c r="O66" s="85"/>
      <c r="P66" s="85"/>
      <c r="Q66" s="85"/>
      <c r="R66" s="85"/>
      <c r="S66" s="85"/>
      <c r="T66" s="85"/>
      <c r="U66" s="85"/>
      <c r="V66" s="85"/>
      <c r="W66" s="85"/>
      <c r="X66" s="85"/>
      <c r="Y66" s="86"/>
    </row>
    <row r="67" spans="1:25" x14ac:dyDescent="0.35">
      <c r="A67" s="93" t="s">
        <v>3198</v>
      </c>
      <c r="B67" s="80"/>
      <c r="C67" s="80" t="s">
        <v>3269</v>
      </c>
      <c r="D67" s="80"/>
      <c r="E67" s="80"/>
      <c r="F67" s="80"/>
      <c r="G67" s="80"/>
      <c r="H67" s="80"/>
      <c r="I67" s="80"/>
      <c r="J67" s="80"/>
      <c r="K67" s="80"/>
      <c r="L67" s="80"/>
      <c r="M67" s="80"/>
      <c r="N67" s="80"/>
      <c r="O67" s="80"/>
      <c r="P67" s="80"/>
      <c r="Q67" s="80"/>
      <c r="R67" s="80"/>
      <c r="S67" s="80"/>
      <c r="T67" s="80"/>
      <c r="U67" s="80"/>
      <c r="V67" s="80"/>
      <c r="W67" s="80"/>
      <c r="X67" s="80"/>
      <c r="Y67" s="81"/>
    </row>
    <row r="68" spans="1:25" x14ac:dyDescent="0.35">
      <c r="A68" s="254"/>
      <c r="C68" t="s">
        <v>1940</v>
      </c>
      <c r="Y68" s="253"/>
    </row>
    <row r="69" spans="1:25" ht="15" thickBot="1" x14ac:dyDescent="0.4">
      <c r="A69" s="88"/>
      <c r="B69" s="85"/>
      <c r="C69" s="85" t="s">
        <v>2854</v>
      </c>
      <c r="D69" s="85"/>
      <c r="E69" s="85"/>
      <c r="F69" s="85"/>
      <c r="G69" s="85"/>
      <c r="H69" s="85"/>
      <c r="I69" s="85"/>
      <c r="J69" s="85"/>
      <c r="K69" s="85"/>
      <c r="L69" s="85"/>
      <c r="M69" s="85"/>
      <c r="N69" s="85"/>
      <c r="O69" s="85"/>
      <c r="P69" s="85"/>
      <c r="Q69" s="85"/>
      <c r="R69" s="85"/>
      <c r="S69" s="85"/>
      <c r="T69" s="85"/>
      <c r="U69" s="85"/>
      <c r="V69" s="85"/>
      <c r="W69" s="85"/>
      <c r="X69" s="85"/>
      <c r="Y69" s="86"/>
    </row>
    <row r="70" spans="1:25" x14ac:dyDescent="0.35">
      <c r="A70" s="93" t="s">
        <v>3199</v>
      </c>
      <c r="B70" s="80"/>
      <c r="C70" s="80" t="s">
        <v>3270</v>
      </c>
      <c r="D70" s="80"/>
      <c r="E70" s="80"/>
      <c r="F70" s="80"/>
      <c r="G70" s="80"/>
      <c r="H70" s="80"/>
      <c r="I70" s="80"/>
      <c r="J70" s="80"/>
      <c r="K70" s="80"/>
      <c r="L70" s="80"/>
      <c r="M70" s="80"/>
      <c r="N70" s="80"/>
      <c r="O70" s="80"/>
      <c r="P70" s="80"/>
      <c r="Q70" s="80"/>
      <c r="R70" s="80"/>
      <c r="S70" s="80"/>
      <c r="T70" s="80"/>
      <c r="U70" s="80"/>
      <c r="V70" s="80"/>
      <c r="W70" s="80"/>
      <c r="X70" s="80"/>
      <c r="Y70" s="81"/>
    </row>
    <row r="71" spans="1:25" ht="15" thickBot="1" x14ac:dyDescent="0.4">
      <c r="A71" s="88"/>
      <c r="B71" s="85"/>
      <c r="C71" s="85" t="s">
        <v>3271</v>
      </c>
      <c r="D71" s="85"/>
      <c r="E71" s="85"/>
      <c r="F71" s="85"/>
      <c r="G71" s="85"/>
      <c r="H71" s="85"/>
      <c r="I71" s="85"/>
      <c r="J71" s="85"/>
      <c r="K71" s="85"/>
      <c r="L71" s="85"/>
      <c r="M71" s="85"/>
      <c r="N71" s="85"/>
      <c r="O71" s="85"/>
      <c r="P71" s="85"/>
      <c r="Q71" s="85"/>
      <c r="R71" s="85"/>
      <c r="S71" s="85"/>
      <c r="T71" s="85"/>
      <c r="U71" s="85"/>
      <c r="V71" s="85"/>
      <c r="W71" s="85"/>
      <c r="X71" s="85"/>
      <c r="Y71" s="86"/>
    </row>
    <row r="72" spans="1:25" x14ac:dyDescent="0.35">
      <c r="A72" s="93" t="s">
        <v>3200</v>
      </c>
      <c r="B72" s="80"/>
      <c r="C72" s="80" t="s">
        <v>3272</v>
      </c>
      <c r="D72" s="80"/>
      <c r="E72" s="80"/>
      <c r="F72" s="80"/>
      <c r="G72" s="80"/>
      <c r="H72" s="80"/>
      <c r="I72" s="80"/>
      <c r="J72" s="80"/>
      <c r="K72" s="80"/>
      <c r="L72" s="80"/>
      <c r="M72" s="80"/>
      <c r="N72" s="80"/>
      <c r="O72" s="80"/>
      <c r="P72" s="80"/>
      <c r="Q72" s="80"/>
      <c r="R72" s="80"/>
      <c r="S72" s="80"/>
      <c r="T72" s="80"/>
      <c r="U72" s="80"/>
      <c r="V72" s="80"/>
      <c r="W72" s="80"/>
      <c r="X72" s="80"/>
      <c r="Y72" s="81"/>
    </row>
    <row r="73" spans="1:25" ht="15" thickBot="1" x14ac:dyDescent="0.4">
      <c r="A73" s="88"/>
      <c r="B73" s="85"/>
      <c r="C73" s="84" t="s">
        <v>3273</v>
      </c>
      <c r="D73" s="85"/>
      <c r="E73" s="85"/>
      <c r="F73" s="85"/>
      <c r="G73" s="85"/>
      <c r="H73" s="85"/>
      <c r="I73" s="85"/>
      <c r="J73" s="85"/>
      <c r="K73" s="85"/>
      <c r="L73" s="85"/>
      <c r="M73" s="85"/>
      <c r="N73" s="85"/>
      <c r="O73" s="85"/>
      <c r="P73" s="85"/>
      <c r="Q73" s="85"/>
      <c r="R73" s="85"/>
      <c r="S73" s="85"/>
      <c r="T73" s="85"/>
      <c r="U73" s="85"/>
      <c r="V73" s="85"/>
      <c r="W73" s="85"/>
      <c r="X73" s="85"/>
      <c r="Y73" s="86"/>
    </row>
    <row r="74" spans="1:25" x14ac:dyDescent="0.35">
      <c r="A74" s="93" t="s">
        <v>3201</v>
      </c>
      <c r="B74" s="80"/>
      <c r="C74" s="80" t="s">
        <v>3274</v>
      </c>
      <c r="D74" s="80"/>
      <c r="E74" s="80"/>
      <c r="F74" s="80"/>
      <c r="G74" s="80"/>
      <c r="H74" s="80"/>
      <c r="I74" s="80"/>
      <c r="J74" s="80"/>
      <c r="K74" s="80"/>
      <c r="L74" s="80"/>
      <c r="M74" s="80"/>
      <c r="N74" s="80"/>
      <c r="O74" s="80"/>
      <c r="P74" s="80"/>
      <c r="Q74" s="80"/>
      <c r="R74" s="80"/>
      <c r="S74" s="80"/>
      <c r="T74" s="80"/>
      <c r="U74" s="80"/>
      <c r="V74" s="80"/>
      <c r="W74" s="80"/>
      <c r="X74" s="80"/>
      <c r="Y74" s="81"/>
    </row>
    <row r="75" spans="1:25" ht="15" thickBot="1" x14ac:dyDescent="0.4">
      <c r="A75" s="88"/>
      <c r="B75" s="85"/>
      <c r="C75" s="85" t="s">
        <v>3271</v>
      </c>
      <c r="D75" s="85"/>
      <c r="E75" s="85"/>
      <c r="F75" s="85"/>
      <c r="G75" s="85"/>
      <c r="H75" s="85"/>
      <c r="I75" s="85"/>
      <c r="J75" s="85"/>
      <c r="K75" s="85"/>
      <c r="L75" s="85"/>
      <c r="M75" s="85"/>
      <c r="N75" s="85"/>
      <c r="O75" s="85"/>
      <c r="P75" s="85"/>
      <c r="Q75" s="85"/>
      <c r="R75" s="85"/>
      <c r="S75" s="85"/>
      <c r="T75" s="85"/>
      <c r="U75" s="85"/>
      <c r="V75" s="85"/>
      <c r="W75" s="85"/>
      <c r="X75" s="85"/>
      <c r="Y75" s="86"/>
    </row>
    <row r="76" spans="1:25" x14ac:dyDescent="0.35">
      <c r="A76" s="2698" t="s">
        <v>3275</v>
      </c>
      <c r="B76" s="2699">
        <v>1</v>
      </c>
      <c r="C76" s="2641" t="s">
        <v>3276</v>
      </c>
      <c r="D76" s="2641"/>
      <c r="Y76" s="253"/>
    </row>
    <row r="77" spans="1:25" ht="15" thickBot="1" x14ac:dyDescent="0.4">
      <c r="A77" s="2698"/>
      <c r="B77" s="2641"/>
      <c r="C77" s="2641" t="s">
        <v>3277</v>
      </c>
      <c r="D77" s="2641"/>
      <c r="Y77" s="253"/>
    </row>
    <row r="78" spans="1:25" x14ac:dyDescent="0.35">
      <c r="A78" s="93" t="s">
        <v>3203</v>
      </c>
      <c r="B78" s="80" t="s">
        <v>3278</v>
      </c>
      <c r="C78" s="80" t="s">
        <v>3279</v>
      </c>
      <c r="D78" s="80"/>
      <c r="E78" s="80"/>
      <c r="F78" s="80"/>
      <c r="G78" s="80"/>
      <c r="H78" s="80"/>
      <c r="I78" s="80"/>
      <c r="J78" s="80"/>
      <c r="K78" s="80"/>
      <c r="L78" s="80"/>
      <c r="M78" s="80"/>
      <c r="N78" s="80"/>
      <c r="O78" s="80"/>
      <c r="P78" s="80"/>
      <c r="Q78" s="80"/>
      <c r="R78" s="80"/>
      <c r="S78" s="80"/>
      <c r="T78" s="80"/>
      <c r="U78" s="80"/>
      <c r="V78" s="80"/>
      <c r="W78" s="80"/>
      <c r="X78" s="80"/>
      <c r="Y78" s="81"/>
    </row>
    <row r="79" spans="1:25" ht="15" thickBot="1" x14ac:dyDescent="0.4">
      <c r="A79" s="88"/>
      <c r="B79" s="85"/>
      <c r="C79" s="84" t="s">
        <v>3273</v>
      </c>
      <c r="D79" s="85"/>
      <c r="E79" s="85"/>
      <c r="F79" s="85"/>
      <c r="G79" s="85"/>
      <c r="H79" s="85"/>
      <c r="I79" s="85"/>
      <c r="J79" s="85"/>
      <c r="K79" s="85"/>
      <c r="L79" s="85"/>
      <c r="M79" s="85"/>
      <c r="N79" s="85"/>
      <c r="O79" s="85"/>
      <c r="P79" s="85"/>
      <c r="Q79" s="85"/>
      <c r="R79" s="85"/>
      <c r="S79" s="85"/>
      <c r="T79" s="85"/>
      <c r="U79" s="85"/>
      <c r="V79" s="85"/>
      <c r="W79" s="85"/>
      <c r="X79" s="85"/>
      <c r="Y79" s="86"/>
    </row>
    <row r="80" spans="1:25" x14ac:dyDescent="0.35">
      <c r="A80" s="93" t="s">
        <v>1179</v>
      </c>
      <c r="B80" s="80"/>
      <c r="C80" s="79" t="s">
        <v>3280</v>
      </c>
      <c r="D80" s="80"/>
      <c r="E80" s="80"/>
      <c r="F80" s="80"/>
      <c r="G80" s="80"/>
      <c r="H80" s="80"/>
      <c r="I80" s="80"/>
      <c r="J80" s="80"/>
      <c r="K80" s="80"/>
      <c r="L80" s="80"/>
      <c r="M80" s="80"/>
      <c r="N80" s="80"/>
      <c r="O80" s="80"/>
      <c r="P80" s="80"/>
      <c r="Q80" s="80"/>
      <c r="R80" s="80"/>
      <c r="S80" s="80"/>
      <c r="T80" s="80"/>
      <c r="U80" s="80"/>
      <c r="V80" s="80"/>
      <c r="W80" s="80"/>
      <c r="X80" s="80"/>
      <c r="Y80" s="81"/>
    </row>
    <row r="81" spans="1:25" ht="15" thickBot="1" x14ac:dyDescent="0.4">
      <c r="A81" s="88"/>
      <c r="B81" s="85"/>
      <c r="C81" s="84" t="s">
        <v>2257</v>
      </c>
      <c r="D81" s="85"/>
      <c r="E81" s="85"/>
      <c r="F81" s="85"/>
      <c r="G81" s="85"/>
      <c r="H81" s="85"/>
      <c r="I81" s="85"/>
      <c r="J81" s="85"/>
      <c r="K81" s="85"/>
      <c r="L81" s="85"/>
      <c r="M81" s="85"/>
      <c r="N81" s="85"/>
      <c r="O81" s="85"/>
      <c r="P81" s="85"/>
      <c r="Q81" s="85"/>
      <c r="R81" s="85"/>
      <c r="S81" s="85"/>
      <c r="T81" s="85"/>
      <c r="U81" s="85"/>
      <c r="V81" s="85"/>
      <c r="W81" s="85"/>
      <c r="X81" s="85"/>
      <c r="Y81" s="86"/>
    </row>
    <row r="82" spans="1:25" x14ac:dyDescent="0.35">
      <c r="A82" s="93" t="s">
        <v>3203</v>
      </c>
      <c r="B82" s="80"/>
      <c r="C82" s="80" t="s">
        <v>3279</v>
      </c>
      <c r="D82" s="80"/>
      <c r="E82" s="80"/>
      <c r="F82" s="80"/>
      <c r="G82" s="80"/>
      <c r="H82" s="80"/>
      <c r="I82" s="80"/>
      <c r="J82" s="80"/>
      <c r="K82" s="80"/>
      <c r="L82" s="80"/>
      <c r="M82" s="80"/>
      <c r="N82" s="80"/>
      <c r="O82" s="80"/>
      <c r="P82" s="80"/>
      <c r="Q82" s="80"/>
      <c r="R82" s="80"/>
      <c r="S82" s="80"/>
      <c r="T82" s="80"/>
      <c r="U82" s="80"/>
      <c r="V82" s="80"/>
      <c r="W82" s="80"/>
      <c r="X82" s="80"/>
      <c r="Y82" s="81"/>
    </row>
    <row r="83" spans="1:25" ht="15" thickBot="1" x14ac:dyDescent="0.4">
      <c r="A83" s="88"/>
      <c r="B83" s="85"/>
      <c r="C83" s="84" t="s">
        <v>3273</v>
      </c>
      <c r="D83" s="85"/>
      <c r="E83" s="85"/>
      <c r="F83" s="85"/>
      <c r="G83" s="85"/>
      <c r="H83" s="85"/>
      <c r="I83" s="85"/>
      <c r="J83" s="85"/>
      <c r="K83" s="85"/>
      <c r="L83" s="85"/>
      <c r="M83" s="85"/>
      <c r="N83" s="85"/>
      <c r="O83" s="85"/>
      <c r="P83" s="85"/>
      <c r="Q83" s="85"/>
      <c r="R83" s="85"/>
      <c r="S83" s="85"/>
      <c r="T83" s="85"/>
      <c r="U83" s="85"/>
      <c r="V83" s="85"/>
      <c r="W83" s="85"/>
      <c r="X83" s="85"/>
      <c r="Y83" s="86"/>
    </row>
    <row r="84" spans="1:25" x14ac:dyDescent="0.35">
      <c r="A84" s="93" t="s">
        <v>3208</v>
      </c>
      <c r="B84" s="275">
        <v>0.83</v>
      </c>
      <c r="C84" s="80" t="s">
        <v>3281</v>
      </c>
      <c r="D84" s="80"/>
      <c r="E84" s="80"/>
      <c r="F84" s="80"/>
      <c r="G84" s="80"/>
      <c r="H84" s="80"/>
      <c r="I84" s="80"/>
      <c r="J84" s="80"/>
      <c r="K84" s="80"/>
      <c r="L84" s="80"/>
      <c r="M84" s="80"/>
      <c r="N84" s="80"/>
      <c r="O84" s="80"/>
      <c r="P84" s="80"/>
      <c r="Q84" s="80"/>
      <c r="R84" s="80"/>
      <c r="S84" s="80"/>
      <c r="T84" s="80"/>
      <c r="U84" s="80"/>
      <c r="V84" s="80"/>
      <c r="W84" s="80"/>
      <c r="X84" s="80"/>
      <c r="Y84" s="81"/>
    </row>
    <row r="85" spans="1:25" ht="15" thickBot="1" x14ac:dyDescent="0.4">
      <c r="A85" s="88"/>
      <c r="B85" s="85"/>
      <c r="C85" s="85" t="s">
        <v>3282</v>
      </c>
      <c r="D85" s="85"/>
      <c r="E85" s="85"/>
      <c r="F85" s="85"/>
      <c r="G85" s="85"/>
      <c r="H85" s="85"/>
      <c r="I85" s="85"/>
      <c r="J85" s="85"/>
      <c r="K85" s="85"/>
      <c r="L85" s="85"/>
      <c r="M85" s="85"/>
      <c r="N85" s="85"/>
      <c r="O85" s="85"/>
      <c r="P85" s="85"/>
      <c r="Q85" s="85"/>
      <c r="R85" s="85"/>
      <c r="S85" s="85"/>
      <c r="T85" s="85"/>
      <c r="U85" s="85"/>
      <c r="V85" s="85"/>
      <c r="W85" s="85"/>
      <c r="X85" s="85"/>
      <c r="Y85" s="86"/>
    </row>
    <row r="86" spans="1:25" x14ac:dyDescent="0.35">
      <c r="A86" s="93" t="s">
        <v>3209</v>
      </c>
      <c r="B86" s="275">
        <v>0.7</v>
      </c>
      <c r="C86" s="80" t="s">
        <v>3283</v>
      </c>
      <c r="D86" s="80"/>
      <c r="E86" s="80"/>
      <c r="F86" s="80"/>
      <c r="G86" s="80"/>
      <c r="H86" s="80"/>
      <c r="I86" s="80"/>
      <c r="J86" s="80"/>
      <c r="K86" s="80"/>
      <c r="L86" s="80"/>
      <c r="M86" s="80"/>
      <c r="N86" s="80"/>
      <c r="O86" s="80"/>
      <c r="P86" s="80"/>
      <c r="Q86" s="80"/>
      <c r="R86" s="80"/>
      <c r="S86" s="80"/>
      <c r="T86" s="80"/>
      <c r="U86" s="80"/>
      <c r="V86" s="80"/>
      <c r="W86" s="80"/>
      <c r="X86" s="80"/>
      <c r="Y86" s="81"/>
    </row>
    <row r="87" spans="1:25" ht="15" thickBot="1" x14ac:dyDescent="0.4">
      <c r="A87" s="88"/>
      <c r="B87" s="85"/>
      <c r="C87" s="85" t="s">
        <v>3284</v>
      </c>
      <c r="D87" s="85"/>
      <c r="E87" s="85"/>
      <c r="F87" s="85"/>
      <c r="G87" s="85"/>
      <c r="H87" s="85"/>
      <c r="I87" s="85"/>
      <c r="J87" s="85"/>
      <c r="K87" s="85"/>
      <c r="L87" s="85"/>
      <c r="M87" s="85"/>
      <c r="N87" s="85"/>
      <c r="O87" s="85"/>
      <c r="P87" s="85"/>
      <c r="Q87" s="85"/>
      <c r="R87" s="85"/>
      <c r="S87" s="85"/>
      <c r="T87" s="85"/>
      <c r="U87" s="85"/>
      <c r="V87" s="85"/>
      <c r="W87" s="85"/>
      <c r="X87" s="85"/>
      <c r="Y87" s="86"/>
    </row>
    <row r="88" spans="1:25" ht="29" x14ac:dyDescent="0.35">
      <c r="A88" s="151" t="s">
        <v>3211</v>
      </c>
      <c r="B88" s="276" t="s">
        <v>3285</v>
      </c>
      <c r="C88" s="152" t="s">
        <v>3286</v>
      </c>
      <c r="D88" s="152"/>
      <c r="E88" s="152"/>
      <c r="F88" s="152"/>
      <c r="G88" s="152"/>
      <c r="H88" s="152"/>
      <c r="I88" s="152"/>
      <c r="J88" s="152"/>
      <c r="K88" s="152"/>
      <c r="L88" s="152"/>
      <c r="M88" s="152"/>
      <c r="N88" s="152"/>
      <c r="O88" s="152"/>
      <c r="P88" s="152"/>
      <c r="Q88" s="152"/>
      <c r="R88" s="152"/>
      <c r="S88" s="152"/>
      <c r="T88" s="152"/>
      <c r="U88" s="152"/>
      <c r="V88" s="152"/>
      <c r="W88" s="152"/>
      <c r="X88" s="152"/>
      <c r="Y88" s="153"/>
    </row>
    <row r="89" spans="1:25" ht="15" thickBot="1" x14ac:dyDescent="0.4">
      <c r="A89" s="155"/>
      <c r="B89" s="277"/>
      <c r="C89" s="156" t="s">
        <v>3287</v>
      </c>
      <c r="D89" s="156"/>
      <c r="E89" s="156"/>
      <c r="F89" s="156"/>
      <c r="G89" s="156"/>
      <c r="H89" s="156"/>
      <c r="I89" s="156"/>
      <c r="J89" s="156"/>
      <c r="K89" s="156"/>
      <c r="L89" s="156"/>
      <c r="M89" s="156"/>
      <c r="N89" s="156"/>
      <c r="O89" s="156"/>
      <c r="P89" s="156"/>
      <c r="Q89" s="156"/>
      <c r="R89" s="156"/>
      <c r="S89" s="156"/>
      <c r="T89" s="156"/>
      <c r="U89" s="156"/>
      <c r="V89" s="156"/>
      <c r="W89" s="156"/>
      <c r="X89" s="156"/>
      <c r="Y89" s="157"/>
    </row>
    <row r="90" spans="1:25" ht="29" x14ac:dyDescent="0.35">
      <c r="A90" s="166" t="s">
        <v>3212</v>
      </c>
      <c r="B90" s="278" t="s">
        <v>3285</v>
      </c>
      <c r="C90" s="167" t="s">
        <v>3288</v>
      </c>
      <c r="D90" s="167"/>
      <c r="E90" s="167"/>
      <c r="F90" s="167"/>
      <c r="G90" s="167"/>
      <c r="H90" s="167"/>
      <c r="I90" s="167"/>
      <c r="J90" s="167"/>
      <c r="K90" s="167"/>
      <c r="L90" s="167"/>
      <c r="M90" s="167"/>
      <c r="N90" s="167"/>
      <c r="O90" s="167"/>
      <c r="P90" s="167"/>
      <c r="Q90" s="167"/>
      <c r="R90" s="167"/>
      <c r="S90" s="167"/>
      <c r="T90" s="167"/>
      <c r="U90" s="167"/>
      <c r="V90" s="167"/>
      <c r="W90" s="167"/>
      <c r="X90" s="167"/>
      <c r="Y90" s="168"/>
    </row>
    <row r="91" spans="1:25" ht="15" thickBot="1" x14ac:dyDescent="0.4">
      <c r="A91" s="254"/>
      <c r="B91" s="127"/>
      <c r="C91" s="85" t="s">
        <v>3287</v>
      </c>
      <c r="Y91" s="253"/>
    </row>
    <row r="92" spans="1:25" x14ac:dyDescent="0.35">
      <c r="A92" s="93" t="s">
        <v>3210</v>
      </c>
      <c r="B92" s="279">
        <v>3.1399999999999997E-2</v>
      </c>
      <c r="C92" s="79" t="s">
        <v>3289</v>
      </c>
      <c r="D92" s="80"/>
      <c r="E92" s="80"/>
      <c r="F92" s="80"/>
      <c r="G92" s="80"/>
      <c r="H92" s="80"/>
      <c r="I92" s="80"/>
      <c r="J92" s="80"/>
      <c r="K92" s="80"/>
      <c r="L92" s="80"/>
      <c r="M92" s="80"/>
      <c r="N92" s="80"/>
      <c r="O92" s="80"/>
      <c r="P92" s="80"/>
      <c r="Q92" s="80"/>
      <c r="R92" s="80"/>
      <c r="S92" s="80"/>
      <c r="T92" s="80"/>
      <c r="U92" s="80"/>
      <c r="V92" s="80"/>
      <c r="W92" s="80"/>
      <c r="X92" s="80"/>
      <c r="Y92" s="81"/>
    </row>
    <row r="93" spans="1:25" ht="15" thickBot="1" x14ac:dyDescent="0.4">
      <c r="A93" s="88"/>
      <c r="B93" s="85"/>
      <c r="C93" s="84" t="s">
        <v>2257</v>
      </c>
      <c r="D93" s="85"/>
      <c r="E93" s="85"/>
      <c r="F93" s="85"/>
      <c r="G93" s="85"/>
      <c r="H93" s="85"/>
      <c r="I93" s="85"/>
      <c r="J93" s="85"/>
      <c r="K93" s="85"/>
      <c r="L93" s="85"/>
      <c r="M93" s="85"/>
      <c r="N93" s="85"/>
      <c r="O93" s="85"/>
      <c r="P93" s="85"/>
      <c r="Q93" s="85"/>
      <c r="R93" s="85"/>
      <c r="S93" s="85"/>
      <c r="T93" s="85"/>
      <c r="U93" s="85"/>
      <c r="V93" s="85"/>
      <c r="W93" s="85"/>
      <c r="X93" s="85"/>
      <c r="Y93" s="86"/>
    </row>
    <row r="94" spans="1:25" x14ac:dyDescent="0.35">
      <c r="A94" s="254" t="s">
        <v>1416</v>
      </c>
      <c r="B94">
        <v>100000</v>
      </c>
      <c r="C94" s="55" t="s">
        <v>2960</v>
      </c>
      <c r="Y94" s="253"/>
    </row>
    <row r="95" spans="1:25" x14ac:dyDescent="0.35">
      <c r="A95" s="254"/>
      <c r="B95">
        <v>1.23E-2</v>
      </c>
      <c r="C95" s="55" t="s">
        <v>3214</v>
      </c>
      <c r="Y95" s="253"/>
    </row>
    <row r="96" spans="1:25" x14ac:dyDescent="0.35">
      <c r="A96" s="254"/>
      <c r="B96">
        <v>0.64</v>
      </c>
      <c r="C96" s="55" t="s">
        <v>3213</v>
      </c>
      <c r="Y96" s="253"/>
    </row>
    <row r="97" spans="1:25" x14ac:dyDescent="0.35">
      <c r="A97" s="254"/>
      <c r="B97">
        <v>12000</v>
      </c>
      <c r="C97" s="55" t="s">
        <v>3290</v>
      </c>
      <c r="Y97" s="253"/>
    </row>
    <row r="98" spans="1:25" x14ac:dyDescent="0.35">
      <c r="A98" s="254"/>
      <c r="B98">
        <v>400</v>
      </c>
      <c r="C98" s="55" t="s">
        <v>3291</v>
      </c>
      <c r="Y98" s="253"/>
    </row>
    <row r="99" spans="1:25" x14ac:dyDescent="0.35">
      <c r="A99" s="254"/>
      <c r="B99">
        <v>1000</v>
      </c>
      <c r="C99" s="55" t="s">
        <v>3217</v>
      </c>
      <c r="Y99" s="253"/>
    </row>
    <row r="100" spans="1:25" x14ac:dyDescent="0.35">
      <c r="A100" s="254"/>
      <c r="B100">
        <v>3412</v>
      </c>
      <c r="C100" s="55" t="s">
        <v>3292</v>
      </c>
      <c r="Y100" s="253"/>
    </row>
    <row r="101" spans="1:25" ht="15" thickBot="1" x14ac:dyDescent="0.4">
      <c r="A101" s="254"/>
      <c r="B101">
        <v>29.3</v>
      </c>
      <c r="C101" s="55" t="s">
        <v>3293</v>
      </c>
      <c r="Y101" s="253"/>
    </row>
    <row r="102" spans="1:25" x14ac:dyDescent="0.35">
      <c r="A102" s="93" t="s">
        <v>1083</v>
      </c>
      <c r="B102" s="80">
        <v>20</v>
      </c>
      <c r="C102" s="80" t="s">
        <v>3294</v>
      </c>
      <c r="D102" s="80"/>
      <c r="E102" s="80"/>
      <c r="F102" s="80"/>
      <c r="G102" s="80"/>
      <c r="H102" s="80"/>
      <c r="I102" s="80"/>
      <c r="J102" s="80"/>
      <c r="K102" s="80"/>
      <c r="L102" s="80"/>
      <c r="M102" s="80"/>
      <c r="N102" s="80"/>
      <c r="O102" s="80"/>
      <c r="P102" s="80"/>
      <c r="Q102" s="80"/>
      <c r="R102" s="80"/>
      <c r="S102" s="80"/>
      <c r="T102" s="80"/>
      <c r="U102" s="80"/>
      <c r="V102" s="80"/>
      <c r="W102" s="80"/>
      <c r="X102" s="80"/>
      <c r="Y102" s="81"/>
    </row>
    <row r="103" spans="1:25" ht="15" thickBot="1" x14ac:dyDescent="0.4">
      <c r="A103" s="88"/>
      <c r="B103" s="85"/>
      <c r="C103" s="85" t="s">
        <v>2257</v>
      </c>
      <c r="D103" s="85"/>
      <c r="E103" s="85"/>
      <c r="F103" s="85"/>
      <c r="G103" s="85"/>
      <c r="H103" s="85"/>
      <c r="I103" s="85"/>
      <c r="J103" s="85"/>
      <c r="K103" s="85"/>
      <c r="L103" s="85"/>
      <c r="M103" s="85"/>
      <c r="N103" s="85"/>
      <c r="O103" s="85"/>
      <c r="P103" s="85"/>
      <c r="Q103" s="85"/>
      <c r="R103" s="85"/>
      <c r="S103" s="85"/>
      <c r="T103" s="85"/>
      <c r="U103" s="85"/>
      <c r="V103" s="85"/>
      <c r="W103" s="85"/>
      <c r="X103" s="85"/>
      <c r="Y103" s="86"/>
    </row>
    <row r="104" spans="1:25" x14ac:dyDescent="0.35">
      <c r="A104" s="93" t="s">
        <v>1040</v>
      </c>
      <c r="B104" s="80"/>
      <c r="C104" s="80"/>
      <c r="D104" s="80"/>
      <c r="E104" s="80"/>
      <c r="F104" s="80"/>
      <c r="G104" s="80"/>
      <c r="H104" s="80"/>
      <c r="I104" s="80"/>
      <c r="J104" s="80"/>
      <c r="K104" s="80"/>
      <c r="L104" s="80"/>
      <c r="M104" s="80"/>
      <c r="N104" s="80"/>
      <c r="O104" s="80"/>
      <c r="P104" s="80"/>
      <c r="Q104" s="80"/>
      <c r="R104" s="80"/>
      <c r="S104" s="80"/>
      <c r="T104" s="80"/>
      <c r="U104" s="80"/>
      <c r="V104" s="80"/>
      <c r="W104" s="80"/>
      <c r="X104" s="80"/>
      <c r="Y104" s="81"/>
    </row>
    <row r="105" spans="1:25" ht="15" thickBot="1" x14ac:dyDescent="0.4">
      <c r="A105" s="88"/>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6"/>
    </row>
    <row r="109" spans="1:25" ht="15" thickBot="1" x14ac:dyDescent="0.4"/>
    <row r="110" spans="1:25" ht="15" thickBot="1" x14ac:dyDescent="0.4">
      <c r="A110" s="97" t="s">
        <v>1129</v>
      </c>
      <c r="B110" s="98"/>
      <c r="C110" s="64"/>
      <c r="D110" s="64"/>
      <c r="E110" s="64"/>
      <c r="F110" s="64"/>
      <c r="G110" s="64"/>
      <c r="H110" s="64"/>
      <c r="I110" s="65"/>
    </row>
    <row r="111" spans="1:25" x14ac:dyDescent="0.35">
      <c r="A111" s="99"/>
      <c r="B111" s="69"/>
      <c r="C111" s="69"/>
      <c r="D111" s="69"/>
      <c r="E111" s="69"/>
      <c r="F111" s="69"/>
      <c r="G111" s="69"/>
      <c r="H111" s="69"/>
      <c r="I111" s="100"/>
    </row>
    <row r="112" spans="1:25" x14ac:dyDescent="0.35">
      <c r="A112" s="99"/>
      <c r="B112" s="69"/>
      <c r="C112" s="69"/>
      <c r="D112" s="69"/>
      <c r="E112" s="69"/>
      <c r="F112" s="69"/>
      <c r="G112" s="69"/>
      <c r="H112" s="69"/>
      <c r="I112" s="100"/>
    </row>
    <row r="113" spans="1:9" ht="26" x14ac:dyDescent="0.35">
      <c r="A113" s="280" t="s">
        <v>2526</v>
      </c>
      <c r="B113" s="281" t="s">
        <v>3178</v>
      </c>
      <c r="C113" s="282" t="s">
        <v>3295</v>
      </c>
      <c r="D113" s="283" t="s">
        <v>3296</v>
      </c>
      <c r="E113" s="283" t="s">
        <v>3297</v>
      </c>
      <c r="F113" s="69"/>
      <c r="G113" s="69"/>
      <c r="H113" s="69"/>
      <c r="I113" s="100"/>
    </row>
    <row r="114" spans="1:9" x14ac:dyDescent="0.35">
      <c r="A114" s="3282" t="s">
        <v>3174</v>
      </c>
      <c r="B114" s="284" t="s">
        <v>3298</v>
      </c>
      <c r="C114" s="284">
        <v>10</v>
      </c>
      <c r="D114" s="284">
        <v>6.8</v>
      </c>
      <c r="E114" s="284">
        <v>2</v>
      </c>
      <c r="F114" s="69"/>
      <c r="G114" s="69"/>
      <c r="H114" s="69"/>
      <c r="I114" s="100"/>
    </row>
    <row r="115" spans="1:9" x14ac:dyDescent="0.35">
      <c r="A115" s="3283"/>
      <c r="B115" s="284" t="s">
        <v>3299</v>
      </c>
      <c r="C115" s="284">
        <v>13</v>
      </c>
      <c r="D115" s="284">
        <v>7.7</v>
      </c>
      <c r="E115" s="284">
        <v>2.2599999999999998</v>
      </c>
      <c r="F115" s="69"/>
      <c r="G115" s="69"/>
      <c r="H115" s="69"/>
      <c r="I115" s="100"/>
    </row>
    <row r="116" spans="1:9" x14ac:dyDescent="0.35">
      <c r="A116" s="3283"/>
      <c r="B116" s="284" t="s">
        <v>3300</v>
      </c>
      <c r="C116" s="284">
        <v>14</v>
      </c>
      <c r="D116" s="284">
        <v>8.1999999999999993</v>
      </c>
      <c r="E116" s="284">
        <v>2.4</v>
      </c>
      <c r="F116" s="69"/>
      <c r="G116" s="69"/>
      <c r="H116" s="69"/>
      <c r="I116" s="100"/>
    </row>
    <row r="117" spans="1:9" x14ac:dyDescent="0.35">
      <c r="A117" s="3284"/>
      <c r="B117" s="284" t="s">
        <v>1363</v>
      </c>
      <c r="C117" s="284">
        <f>AVERAGE(C114:C116)</f>
        <v>12.333333333333334</v>
      </c>
      <c r="D117" s="284">
        <f>AVERAGE(D114:D116)</f>
        <v>7.5666666666666664</v>
      </c>
      <c r="E117" s="284">
        <f>AVERAGE(E114:E116)</f>
        <v>2.2200000000000002</v>
      </c>
      <c r="F117" s="69"/>
      <c r="G117" s="69"/>
      <c r="H117" s="69"/>
      <c r="I117" s="100"/>
    </row>
    <row r="118" spans="1:9" x14ac:dyDescent="0.35">
      <c r="A118" s="284" t="s">
        <v>3301</v>
      </c>
      <c r="B118" s="49"/>
      <c r="C118" s="49"/>
      <c r="D118" s="284" t="s">
        <v>1284</v>
      </c>
      <c r="E118" s="284">
        <v>1</v>
      </c>
      <c r="F118" s="69"/>
      <c r="G118" s="69"/>
      <c r="H118" s="69"/>
      <c r="I118" s="100"/>
    </row>
    <row r="119" spans="1:9" x14ac:dyDescent="0.35">
      <c r="A119" s="99"/>
      <c r="B119" s="69"/>
      <c r="C119" s="69"/>
      <c r="D119" s="69"/>
      <c r="E119" s="69"/>
      <c r="F119" s="69"/>
      <c r="G119" s="69"/>
      <c r="H119" s="69"/>
      <c r="I119" s="100"/>
    </row>
    <row r="120" spans="1:9" ht="36.5" x14ac:dyDescent="0.35">
      <c r="A120" s="285" t="s">
        <v>3302</v>
      </c>
      <c r="B120" s="285"/>
      <c r="C120" s="286" t="s">
        <v>3303</v>
      </c>
      <c r="D120" s="286" t="s">
        <v>3304</v>
      </c>
      <c r="E120" s="286" t="s">
        <v>3305</v>
      </c>
      <c r="F120" s="286" t="s">
        <v>3306</v>
      </c>
      <c r="G120" s="69"/>
      <c r="H120" s="69"/>
      <c r="I120" s="100"/>
    </row>
    <row r="121" spans="1:9" x14ac:dyDescent="0.35">
      <c r="A121" s="285"/>
      <c r="B121" s="285" t="s">
        <v>3307</v>
      </c>
      <c r="C121" s="287">
        <v>4800</v>
      </c>
      <c r="D121" s="287">
        <v>4500</v>
      </c>
      <c r="E121" s="287">
        <v>1.29</v>
      </c>
      <c r="F121" s="287">
        <v>0.72</v>
      </c>
      <c r="G121" s="69"/>
      <c r="H121" s="69"/>
      <c r="I121" s="100"/>
    </row>
    <row r="122" spans="1:9" x14ac:dyDescent="0.35">
      <c r="A122" s="285"/>
      <c r="B122" s="285" t="s">
        <v>3308</v>
      </c>
      <c r="C122" s="287">
        <v>4600</v>
      </c>
      <c r="D122" s="287">
        <v>4500</v>
      </c>
      <c r="E122" s="287">
        <v>1.39</v>
      </c>
      <c r="F122" s="287">
        <v>0.78</v>
      </c>
      <c r="G122" s="69"/>
      <c r="H122" s="69"/>
      <c r="I122" s="100"/>
    </row>
    <row r="123" spans="1:9" x14ac:dyDescent="0.35">
      <c r="A123" s="99"/>
      <c r="B123" s="69"/>
      <c r="C123" s="69"/>
      <c r="D123" s="69"/>
      <c r="E123" s="69"/>
      <c r="F123" s="69"/>
      <c r="G123" s="69"/>
      <c r="H123" s="69"/>
      <c r="I123" s="100"/>
    </row>
    <row r="124" spans="1:9" x14ac:dyDescent="0.35">
      <c r="A124" s="99"/>
      <c r="B124" s="69"/>
      <c r="C124" s="69"/>
      <c r="D124" s="69"/>
      <c r="E124" s="69"/>
      <c r="F124" s="69"/>
      <c r="G124" s="69"/>
      <c r="H124" s="69"/>
      <c r="I124" s="100"/>
    </row>
    <row r="125" spans="1:9" x14ac:dyDescent="0.35">
      <c r="A125" s="99"/>
      <c r="B125" s="69"/>
      <c r="C125" s="69"/>
      <c r="D125" s="69"/>
      <c r="E125" s="69"/>
      <c r="F125" s="69"/>
      <c r="G125" s="69"/>
      <c r="H125" s="69"/>
      <c r="I125" s="100"/>
    </row>
    <row r="126" spans="1:9" x14ac:dyDescent="0.35">
      <c r="A126" s="3278" t="s">
        <v>3309</v>
      </c>
      <c r="B126" s="3277"/>
      <c r="C126" s="69"/>
      <c r="D126" s="3277" t="s">
        <v>3211</v>
      </c>
      <c r="E126" s="3277"/>
      <c r="F126" s="69"/>
      <c r="G126" s="3277" t="s">
        <v>3209</v>
      </c>
      <c r="H126" s="3277"/>
      <c r="I126" s="100"/>
    </row>
    <row r="127" spans="1:9" x14ac:dyDescent="0.35">
      <c r="A127" s="288" t="s">
        <v>3310</v>
      </c>
      <c r="B127" s="49"/>
      <c r="C127" s="69"/>
      <c r="D127" s="49" t="s">
        <v>3228</v>
      </c>
      <c r="E127" s="49">
        <v>0.4</v>
      </c>
      <c r="F127" s="69"/>
      <c r="G127" s="49" t="s">
        <v>3311</v>
      </c>
      <c r="H127" s="49"/>
      <c r="I127" s="100"/>
    </row>
    <row r="128" spans="1:9" x14ac:dyDescent="0.35">
      <c r="A128" s="288" t="s">
        <v>3223</v>
      </c>
      <c r="B128" s="49"/>
      <c r="C128" s="69"/>
      <c r="D128" s="49" t="s">
        <v>3225</v>
      </c>
      <c r="E128" s="49">
        <v>1</v>
      </c>
      <c r="F128" s="69"/>
      <c r="G128" s="289" t="s">
        <v>3312</v>
      </c>
      <c r="H128" s="49"/>
      <c r="I128" s="100"/>
    </row>
    <row r="129" spans="1:9" x14ac:dyDescent="0.35">
      <c r="A129" s="290" t="b">
        <v>1</v>
      </c>
      <c r="B129" s="49"/>
      <c r="C129" s="69"/>
      <c r="D129" s="49" t="s">
        <v>3229</v>
      </c>
      <c r="E129" s="49">
        <f>+AVERAGE(E127:E128)</f>
        <v>0.7</v>
      </c>
      <c r="F129" s="69"/>
      <c r="G129" s="49">
        <f>+F121*AZ4</f>
        <v>0.59759999999999991</v>
      </c>
      <c r="H129" s="49"/>
      <c r="I129" s="100"/>
    </row>
    <row r="130" spans="1:9" x14ac:dyDescent="0.35">
      <c r="A130" s="290" t="b">
        <v>0</v>
      </c>
      <c r="B130" s="49"/>
      <c r="C130" s="69"/>
      <c r="F130" s="69"/>
      <c r="G130" s="69"/>
      <c r="H130" s="69"/>
      <c r="I130" s="100"/>
    </row>
    <row r="131" spans="1:9" x14ac:dyDescent="0.35">
      <c r="A131" s="290" t="s">
        <v>3224</v>
      </c>
      <c r="B131" s="49"/>
      <c r="C131" s="69"/>
      <c r="D131" s="3277" t="s">
        <v>3212</v>
      </c>
      <c r="E131" s="3277"/>
      <c r="F131" s="69"/>
      <c r="G131" s="3277" t="s">
        <v>3203</v>
      </c>
      <c r="H131" s="3277"/>
      <c r="I131" s="100"/>
    </row>
    <row r="132" spans="1:9" x14ac:dyDescent="0.35">
      <c r="A132" s="290" t="s">
        <v>3313</v>
      </c>
      <c r="B132" s="49"/>
      <c r="C132" s="69"/>
      <c r="D132" s="49" t="s">
        <v>3228</v>
      </c>
      <c r="E132" s="49">
        <v>0</v>
      </c>
      <c r="F132" s="69"/>
      <c r="G132" s="49" t="s">
        <v>1940</v>
      </c>
      <c r="H132" s="291">
        <v>0.7</v>
      </c>
      <c r="I132" s="100"/>
    </row>
    <row r="133" spans="1:9" x14ac:dyDescent="0.35">
      <c r="A133" s="99"/>
      <c r="B133" s="69"/>
      <c r="C133" s="69"/>
      <c r="D133" s="49" t="s">
        <v>3225</v>
      </c>
      <c r="E133" s="49">
        <v>1</v>
      </c>
      <c r="F133" s="69"/>
      <c r="G133" s="69"/>
      <c r="H133" s="69"/>
      <c r="I133" s="100"/>
    </row>
    <row r="134" spans="1:9" x14ac:dyDescent="0.35">
      <c r="A134" s="3278" t="s">
        <v>3314</v>
      </c>
      <c r="B134" s="3277"/>
      <c r="C134" s="69"/>
      <c r="D134" s="49" t="s">
        <v>3229</v>
      </c>
      <c r="E134" s="49">
        <f>+AVERAGE(E132:E133)</f>
        <v>0.5</v>
      </c>
      <c r="F134" s="69"/>
      <c r="G134" s="69"/>
      <c r="H134" s="69"/>
      <c r="I134" s="100"/>
    </row>
    <row r="135" spans="1:9" x14ac:dyDescent="0.35">
      <c r="A135" s="288" t="s">
        <v>3222</v>
      </c>
      <c r="B135" s="49"/>
      <c r="C135" s="69"/>
      <c r="D135" s="69"/>
      <c r="E135" s="69"/>
      <c r="F135" s="69"/>
      <c r="G135" s="69"/>
      <c r="H135" s="69"/>
      <c r="I135" s="100"/>
    </row>
    <row r="136" spans="1:9" x14ac:dyDescent="0.35">
      <c r="A136" s="288" t="s">
        <v>3315</v>
      </c>
      <c r="B136" s="49"/>
      <c r="C136" s="69"/>
      <c r="D136" s="69"/>
      <c r="E136" s="69"/>
      <c r="F136" s="69"/>
      <c r="G136" s="69"/>
      <c r="H136" s="69"/>
      <c r="I136" s="100"/>
    </row>
    <row r="137" spans="1:9" x14ac:dyDescent="0.35">
      <c r="A137" s="290" t="s">
        <v>3316</v>
      </c>
      <c r="B137" s="49"/>
      <c r="C137" s="69"/>
      <c r="D137" s="69"/>
      <c r="E137" s="69"/>
      <c r="F137" s="69"/>
      <c r="G137" s="69"/>
      <c r="H137" s="69"/>
      <c r="I137" s="100"/>
    </row>
    <row r="138" spans="1:9" x14ac:dyDescent="0.35">
      <c r="A138" s="99"/>
      <c r="B138" s="69"/>
      <c r="C138" s="69"/>
      <c r="D138" s="69"/>
      <c r="E138" s="69"/>
      <c r="F138" s="69"/>
      <c r="G138" s="69"/>
      <c r="H138" s="69"/>
      <c r="I138" s="100"/>
    </row>
    <row r="139" spans="1:9" x14ac:dyDescent="0.35">
      <c r="A139" s="292" t="s">
        <v>1684</v>
      </c>
      <c r="B139" s="293" t="s">
        <v>3317</v>
      </c>
      <c r="C139" s="56" t="s">
        <v>3317</v>
      </c>
      <c r="D139" s="69"/>
      <c r="E139" s="69"/>
      <c r="F139" s="69"/>
      <c r="G139" s="69"/>
      <c r="H139" s="69"/>
      <c r="I139" s="100"/>
    </row>
    <row r="140" spans="1:9" x14ac:dyDescent="0.35">
      <c r="A140" s="294"/>
      <c r="B140" s="293" t="s">
        <v>3318</v>
      </c>
      <c r="C140" s="295" t="s">
        <v>2556</v>
      </c>
      <c r="D140" s="56" t="s">
        <v>3319</v>
      </c>
      <c r="E140" s="69"/>
      <c r="F140" s="69"/>
      <c r="G140" s="69"/>
      <c r="H140" s="69"/>
      <c r="I140" s="100"/>
    </row>
    <row r="141" spans="1:9" x14ac:dyDescent="0.35">
      <c r="A141" s="296" t="s">
        <v>1705</v>
      </c>
      <c r="B141" s="101">
        <v>512</v>
      </c>
      <c r="C141" s="297">
        <v>467</v>
      </c>
      <c r="D141" s="108">
        <v>1969</v>
      </c>
      <c r="E141" s="69"/>
      <c r="F141" s="69"/>
      <c r="G141" s="69"/>
      <c r="H141" s="69"/>
      <c r="I141" s="100"/>
    </row>
    <row r="142" spans="1:9" x14ac:dyDescent="0.35">
      <c r="A142" s="296" t="s">
        <v>1691</v>
      </c>
      <c r="B142" s="101">
        <v>570</v>
      </c>
      <c r="C142" s="297">
        <v>506</v>
      </c>
      <c r="D142" s="108">
        <v>1840</v>
      </c>
      <c r="E142" s="69"/>
      <c r="F142" s="69"/>
      <c r="G142" s="69"/>
      <c r="H142" s="69"/>
      <c r="I142" s="100"/>
    </row>
    <row r="143" spans="1:9" x14ac:dyDescent="0.35">
      <c r="A143" s="296" t="s">
        <v>1706</v>
      </c>
      <c r="B143" s="101">
        <v>730</v>
      </c>
      <c r="C143" s="297">
        <v>663</v>
      </c>
      <c r="D143" s="108">
        <v>1754</v>
      </c>
      <c r="E143" s="69"/>
      <c r="F143" s="69"/>
      <c r="G143" s="69"/>
      <c r="H143" s="69"/>
      <c r="I143" s="100"/>
    </row>
    <row r="144" spans="1:9" x14ac:dyDescent="0.35">
      <c r="A144" s="296" t="s">
        <v>1707</v>
      </c>
      <c r="B144" s="108">
        <v>1035</v>
      </c>
      <c r="C144" s="297">
        <v>940</v>
      </c>
      <c r="D144" s="108">
        <v>1266</v>
      </c>
      <c r="E144" s="69"/>
      <c r="F144" s="69"/>
      <c r="G144" s="69"/>
      <c r="H144" s="69"/>
      <c r="I144" s="100"/>
    </row>
    <row r="145" spans="1:9" x14ac:dyDescent="0.35">
      <c r="A145" s="296" t="s">
        <v>1708</v>
      </c>
      <c r="B145" s="101">
        <v>903</v>
      </c>
      <c r="C145" s="297">
        <v>820</v>
      </c>
      <c r="D145" s="108">
        <v>1288</v>
      </c>
      <c r="E145" s="69"/>
      <c r="F145" s="69"/>
      <c r="G145" s="69"/>
      <c r="H145" s="69"/>
      <c r="I145" s="100"/>
    </row>
    <row r="146" spans="1:9" x14ac:dyDescent="0.35">
      <c r="A146" s="296" t="s">
        <v>1185</v>
      </c>
      <c r="B146" s="101">
        <v>629</v>
      </c>
      <c r="C146" s="297">
        <v>564</v>
      </c>
      <c r="D146" s="108">
        <v>1821</v>
      </c>
      <c r="E146" s="69"/>
      <c r="F146" s="69"/>
      <c r="G146" s="69"/>
      <c r="H146" s="69"/>
      <c r="I146" s="100"/>
    </row>
    <row r="147" spans="1:9" x14ac:dyDescent="0.35">
      <c r="A147" s="296" t="s">
        <v>1696</v>
      </c>
      <c r="B147" s="101">
        <f>B141*$C$150+B142*$C$151+B143*$C$152</f>
        <v>568.6</v>
      </c>
      <c r="C147" s="297">
        <f>C141*$C$150+C142*$C$151+C143*$C$152</f>
        <v>509.99999999999994</v>
      </c>
      <c r="D147" s="108">
        <f>D141*$C$150+D142*$C$151+D143*$C$152</f>
        <v>1870.1</v>
      </c>
      <c r="E147" s="69"/>
      <c r="F147" s="69"/>
      <c r="G147" s="69"/>
      <c r="H147" s="69"/>
      <c r="I147" s="100"/>
    </row>
    <row r="148" spans="1:9" x14ac:dyDescent="0.35">
      <c r="A148" s="99"/>
      <c r="B148" s="69"/>
      <c r="C148" s="69"/>
      <c r="D148" s="69"/>
      <c r="E148" s="69"/>
      <c r="F148" s="69"/>
      <c r="G148" s="69"/>
      <c r="H148" s="69"/>
      <c r="I148" s="100"/>
    </row>
    <row r="149" spans="1:9" x14ac:dyDescent="0.35">
      <c r="A149" s="3159" t="s">
        <v>3320</v>
      </c>
      <c r="B149" s="3169"/>
      <c r="C149" s="3169"/>
      <c r="D149" s="69"/>
      <c r="E149" s="69"/>
      <c r="F149" s="69"/>
      <c r="G149" s="69"/>
      <c r="H149" s="69"/>
      <c r="I149" s="100"/>
    </row>
    <row r="150" spans="1:9" x14ac:dyDescent="0.35">
      <c r="A150" s="290" t="s">
        <v>3068</v>
      </c>
      <c r="B150" s="49" t="s">
        <v>2632</v>
      </c>
      <c r="C150" s="49">
        <v>0.3</v>
      </c>
      <c r="D150" s="69"/>
      <c r="E150" s="69"/>
      <c r="F150" s="69"/>
      <c r="G150" s="69"/>
      <c r="H150" s="69"/>
      <c r="I150" s="100"/>
    </row>
    <row r="151" spans="1:9" x14ac:dyDescent="0.35">
      <c r="A151" s="290" t="s">
        <v>2389</v>
      </c>
      <c r="B151" s="49" t="s">
        <v>2633</v>
      </c>
      <c r="C151" s="49">
        <v>0.6</v>
      </c>
      <c r="D151" s="69"/>
      <c r="E151" s="69"/>
      <c r="F151" s="69"/>
      <c r="G151" s="69"/>
      <c r="H151" s="69"/>
      <c r="I151" s="100"/>
    </row>
    <row r="152" spans="1:9" x14ac:dyDescent="0.35">
      <c r="A152" s="290" t="s">
        <v>2390</v>
      </c>
      <c r="B152" s="49" t="s">
        <v>2634</v>
      </c>
      <c r="C152" s="49">
        <v>0.1</v>
      </c>
      <c r="D152" s="69"/>
      <c r="E152" s="69"/>
      <c r="F152" s="69"/>
      <c r="G152" s="69"/>
      <c r="H152" s="69"/>
      <c r="I152" s="100"/>
    </row>
    <row r="153" spans="1:9" x14ac:dyDescent="0.35">
      <c r="A153" s="99"/>
      <c r="B153" s="69"/>
      <c r="C153" s="69"/>
      <c r="D153" s="69"/>
      <c r="E153" s="69"/>
      <c r="F153" s="69"/>
      <c r="G153" s="69"/>
      <c r="H153" s="69"/>
      <c r="I153" s="100"/>
    </row>
    <row r="154" spans="1:9" x14ac:dyDescent="0.35">
      <c r="A154" s="99"/>
      <c r="B154" s="69"/>
      <c r="C154" s="69"/>
      <c r="D154" s="69"/>
      <c r="E154" s="69"/>
      <c r="F154" s="69"/>
      <c r="G154" s="69"/>
      <c r="H154" s="69"/>
      <c r="I154" s="100"/>
    </row>
    <row r="155" spans="1:9" ht="15" thickBot="1" x14ac:dyDescent="0.4">
      <c r="A155" s="261"/>
      <c r="B155" s="161"/>
      <c r="C155" s="161"/>
      <c r="D155" s="161"/>
      <c r="E155" s="161"/>
      <c r="F155" s="161"/>
      <c r="G155" s="161"/>
      <c r="H155" s="161"/>
      <c r="I155" s="163"/>
    </row>
  </sheetData>
  <customSheetViews>
    <customSheetView guid="{ECD6FE6A-9548-414E-B8AA-6998703C57E0}" scale="55" showPageBreaks="1" fitToPage="1" view="pageBreakPreview">
      <pageMargins left="0" right="0" top="0" bottom="0" header="0" footer="0"/>
      <pageSetup scale="19" orientation="landscape" verticalDpi="1200" r:id="rId1"/>
    </customSheetView>
    <customSheetView guid="{11DE45F5-F478-4ED6-8DFF-12002C22A637}" scale="55" showPageBreaks="1" fitToPage="1" view="pageBreakPreview">
      <pageMargins left="0" right="0" top="0" bottom="0" header="0" footer="0"/>
      <pageSetup scale="19" orientation="landscape" verticalDpi="1200" r:id="rId2"/>
    </customSheetView>
  </customSheetViews>
  <mergeCells count="11">
    <mergeCell ref="D131:E131"/>
    <mergeCell ref="G131:H131"/>
    <mergeCell ref="A134:B134"/>
    <mergeCell ref="A149:C149"/>
    <mergeCell ref="Y2:BK2"/>
    <mergeCell ref="R2:T2"/>
    <mergeCell ref="V2:X2"/>
    <mergeCell ref="A114:A117"/>
    <mergeCell ref="A126:B126"/>
    <mergeCell ref="D126:E126"/>
    <mergeCell ref="G126:H126"/>
  </mergeCells>
  <phoneticPr fontId="152" type="noConversion"/>
  <dataValidations count="11">
    <dataValidation type="list" allowBlank="1" showInputMessage="1" showErrorMessage="1" sqref="Q4" xr:uid="{00000000-0002-0000-2200-000000000000}">
      <formula1>$D$127:$D$129</formula1>
    </dataValidation>
    <dataValidation type="list" allowBlank="1" showInputMessage="1" showErrorMessage="1" sqref="P4" xr:uid="{00000000-0002-0000-2200-000001000000}">
      <formula1>$A$141:$A$147</formula1>
    </dataValidation>
    <dataValidation type="list" allowBlank="1" showInputMessage="1" showErrorMessage="1" sqref="K4:K7" xr:uid="{00000000-0002-0000-2200-000002000000}">
      <formula1>$B$114:$B$116</formula1>
    </dataValidation>
    <dataValidation type="list" allowBlank="1" showInputMessage="1" showErrorMessage="1" sqref="D4:D7" xr:uid="{00000000-0002-0000-2200-000003000000}">
      <formula1>MeasureType</formula1>
    </dataValidation>
    <dataValidation type="list" allowBlank="1" showInputMessage="1" showErrorMessage="1" sqref="M4:M7" xr:uid="{00000000-0002-0000-2200-000004000000}">
      <formula1>DISl5</formula1>
    </dataValidation>
    <dataValidation type="list" allowBlank="1" showInputMessage="1" showErrorMessage="1" sqref="L4:L7" xr:uid="{00000000-0002-0000-2200-000005000000}">
      <formula1>TrFl1</formula1>
    </dataValidation>
    <dataValidation type="list" allowBlank="1" showInputMessage="1" showErrorMessage="1" sqref="J4:J7" xr:uid="{00000000-0002-0000-2200-000006000000}">
      <formula1>DISl3</formula1>
    </dataValidation>
    <dataValidation type="list" allowBlank="1" showInputMessage="1" showErrorMessage="1" sqref="I4:I7" xr:uid="{00000000-0002-0000-2200-000007000000}">
      <formula1>DISl2</formula1>
    </dataValidation>
    <dataValidation type="list" allowBlank="1" showInputMessage="1" showErrorMessage="1" sqref="H4:H7" xr:uid="{00000000-0002-0000-2200-000008000000}">
      <formula1>DISl1</formula1>
    </dataValidation>
    <dataValidation type="list" allowBlank="1" showInputMessage="1" showErrorMessage="1" sqref="P5:P7" xr:uid="{63F3EF1E-176D-4837-9A73-00133652E894}">
      <formula1>$A$144:$A$150</formula1>
    </dataValidation>
    <dataValidation type="list" allowBlank="1" showInputMessage="1" showErrorMessage="1" sqref="Q5:Q7" xr:uid="{858DE479-D6D8-4C70-97FF-62C4B2418D03}">
      <formula1>$D$130:$D$132</formula1>
    </dataValidation>
  </dataValidations>
  <hyperlinks>
    <hyperlink ref="A1" location="'Measure-Level Adjustments'!Print_Titles" display="Measure Level Tab" xr:uid="{13BD232E-C2B1-43F9-A48D-FE52FE812028}"/>
  </hyperlinks>
  <pageMargins left="0.7" right="0.7" top="0.75" bottom="0.75" header="0.3" footer="0.3"/>
  <pageSetup scale="16" orientation="landscape" verticalDpi="1200" r:id="rId3"/>
  <legacyDrawing r:id="rId4"/>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59999389629810485"/>
    <pageSetUpPr fitToPage="1"/>
  </sheetPr>
  <dimension ref="A1:Z62"/>
  <sheetViews>
    <sheetView view="pageBreakPreview" zoomScale="85" zoomScaleNormal="100" zoomScaleSheetLayoutView="85" workbookViewId="0">
      <selection activeCell="T4" sqref="T4"/>
    </sheetView>
  </sheetViews>
  <sheetFormatPr defaultRowHeight="14.5" x14ac:dyDescent="0.35"/>
  <cols>
    <col min="1" max="1" width="23" customWidth="1"/>
    <col min="2" max="2" width="42.81640625" customWidth="1"/>
    <col min="3" max="3" width="29.1796875" customWidth="1"/>
    <col min="4" max="4" width="20.1796875" customWidth="1"/>
    <col min="5" max="5" width="12.453125" customWidth="1"/>
    <col min="6" max="6" width="14.453125" customWidth="1"/>
    <col min="7" max="7" width="14.1796875" customWidth="1"/>
    <col min="8" max="8" width="11.54296875" customWidth="1"/>
    <col min="9" max="9" width="11" customWidth="1"/>
    <col min="11" max="11" width="8.54296875" bestFit="1" customWidth="1"/>
    <col min="12" max="12" width="12.453125" customWidth="1"/>
    <col min="13" max="13" width="15.453125" customWidth="1"/>
    <col min="14" max="14" width="28.1796875" bestFit="1" customWidth="1"/>
    <col min="15" max="15" width="15" bestFit="1" customWidth="1"/>
    <col min="16" max="16" width="15.7265625" bestFit="1" customWidth="1"/>
    <col min="17" max="17" width="12.453125" bestFit="1" customWidth="1"/>
    <col min="18" max="18" width="11.7265625" customWidth="1"/>
    <col min="19" max="19" width="10.81640625" customWidth="1"/>
    <col min="22" max="22" width="21" bestFit="1" customWidth="1"/>
    <col min="23" max="23" width="24.453125" customWidth="1"/>
    <col min="24" max="24" width="18" bestFit="1" customWidth="1"/>
    <col min="32" max="32" width="14.453125" customWidth="1"/>
  </cols>
  <sheetData>
    <row r="1" spans="1:26" x14ac:dyDescent="0.35">
      <c r="A1" s="1799" t="s">
        <v>1031</v>
      </c>
    </row>
    <row r="2" spans="1:26" x14ac:dyDescent="0.35">
      <c r="A2" s="969" t="s">
        <v>637</v>
      </c>
      <c r="B2" s="967" t="s">
        <v>3321</v>
      </c>
      <c r="C2" s="967"/>
      <c r="D2" s="967"/>
      <c r="E2" s="967"/>
      <c r="F2" s="967"/>
      <c r="G2" s="967"/>
      <c r="H2" s="967"/>
      <c r="I2" s="967"/>
      <c r="J2" s="967"/>
      <c r="K2" s="967"/>
      <c r="L2" s="1043"/>
      <c r="M2" s="1043"/>
      <c r="N2" s="3010" t="s">
        <v>1032</v>
      </c>
      <c r="O2" s="3011"/>
      <c r="P2" s="3011"/>
      <c r="Q2" s="3010" t="s">
        <v>1033</v>
      </c>
      <c r="R2" s="3011"/>
      <c r="S2" s="3011"/>
      <c r="T2" s="3294" t="s">
        <v>1158</v>
      </c>
      <c r="U2" s="3015"/>
      <c r="V2" s="3015"/>
      <c r="W2" s="3015"/>
      <c r="X2" s="1648"/>
    </row>
    <row r="3" spans="1:26" ht="43.5" x14ac:dyDescent="0.35">
      <c r="A3" s="969" t="s">
        <v>1035</v>
      </c>
      <c r="B3" s="969" t="s">
        <v>155</v>
      </c>
      <c r="C3" s="1032" t="s">
        <v>1036</v>
      </c>
      <c r="D3" s="953" t="s">
        <v>1752</v>
      </c>
      <c r="E3" s="952" t="s">
        <v>1039</v>
      </c>
      <c r="F3" s="952" t="s">
        <v>1040</v>
      </c>
      <c r="G3" s="969" t="s">
        <v>1041</v>
      </c>
      <c r="H3" s="968" t="s">
        <v>1038</v>
      </c>
      <c r="I3" s="952" t="s">
        <v>3322</v>
      </c>
      <c r="J3" s="952" t="s">
        <v>1684</v>
      </c>
      <c r="K3" s="952" t="s">
        <v>3323</v>
      </c>
      <c r="L3" s="952" t="s">
        <v>3324</v>
      </c>
      <c r="M3" s="952" t="s">
        <v>1043</v>
      </c>
      <c r="N3" s="970" t="s">
        <v>1044</v>
      </c>
      <c r="O3" s="970" t="s">
        <v>1045</v>
      </c>
      <c r="P3" s="2161" t="s">
        <v>1046</v>
      </c>
      <c r="Q3" s="2161" t="s">
        <v>1044</v>
      </c>
      <c r="R3" s="2161" t="s">
        <v>1045</v>
      </c>
      <c r="S3" s="2162" t="s">
        <v>1046</v>
      </c>
      <c r="T3" s="2163" t="s">
        <v>2155</v>
      </c>
      <c r="U3" s="2164" t="s">
        <v>3325</v>
      </c>
      <c r="V3" s="2164" t="s">
        <v>3326</v>
      </c>
      <c r="W3" s="2164" t="s">
        <v>3327</v>
      </c>
      <c r="X3" s="2164" t="s">
        <v>3328</v>
      </c>
    </row>
    <row r="4" spans="1:26" ht="29" x14ac:dyDescent="0.35">
      <c r="A4" s="966" t="s">
        <v>636</v>
      </c>
      <c r="B4" s="957" t="str">
        <f>$B$2&amp;" "&amp;L4&amp;" "&amp;I4&amp;" - "&amp;K4</f>
        <v>Gas High Efficiency Boiler Single-Family AFUE 95% - 2022 onwards</v>
      </c>
      <c r="C4" s="956" t="s">
        <v>635</v>
      </c>
      <c r="D4" s="1028" t="s">
        <v>2158</v>
      </c>
      <c r="E4" s="974">
        <f>+$B$26</f>
        <v>25</v>
      </c>
      <c r="F4" s="975"/>
      <c r="G4" s="1006"/>
      <c r="H4" s="69" t="s">
        <v>1072</v>
      </c>
      <c r="I4" s="972" t="s">
        <v>2361</v>
      </c>
      <c r="J4" s="973" t="s">
        <v>1691</v>
      </c>
      <c r="K4" s="973" t="s">
        <v>3329</v>
      </c>
      <c r="L4" s="973" t="s">
        <v>3330</v>
      </c>
      <c r="M4" s="973"/>
      <c r="N4" s="977"/>
      <c r="O4" s="978"/>
      <c r="P4" s="2516">
        <f>((T4*W4*(V4/U4-1))/100000)*(1-X4)+P6*X4</f>
        <v>200.87617986470349</v>
      </c>
      <c r="Q4" s="2153"/>
      <c r="R4" s="2165"/>
      <c r="S4" s="2166">
        <f>P4*E4</f>
        <v>5021.904496617587</v>
      </c>
      <c r="T4" s="1">
        <f>VLOOKUP(J4,$A$42:$B$47,2,FALSE)</f>
        <v>976</v>
      </c>
      <c r="U4" s="2157">
        <f>+$B$20</f>
        <v>0.84</v>
      </c>
      <c r="V4" s="2100">
        <f>VLOOKUP(I4,$A$36:$D$38,4,FALSE)</f>
        <v>0.95</v>
      </c>
      <c r="W4" s="808">
        <v>128844.01114206128</v>
      </c>
      <c r="X4" s="2167">
        <v>7.0000000000000007E-2</v>
      </c>
      <c r="Z4" s="54"/>
    </row>
    <row r="5" spans="1:26" ht="52.5" x14ac:dyDescent="0.35">
      <c r="A5" s="966" t="s">
        <v>853</v>
      </c>
      <c r="B5" s="957" t="s">
        <v>3331</v>
      </c>
      <c r="C5" s="1798" t="s">
        <v>852</v>
      </c>
      <c r="D5" s="1028" t="s">
        <v>2158</v>
      </c>
      <c r="E5" s="974">
        <v>25</v>
      </c>
      <c r="F5" s="966"/>
      <c r="G5" s="966"/>
      <c r="H5" t="s">
        <v>1072</v>
      </c>
      <c r="I5" s="972" t="s">
        <v>2361</v>
      </c>
      <c r="J5" s="973" t="s">
        <v>1691</v>
      </c>
      <c r="K5" s="973" t="s">
        <v>3332</v>
      </c>
      <c r="L5" s="973" t="s">
        <v>1864</v>
      </c>
      <c r="M5" s="966"/>
      <c r="N5" s="966"/>
      <c r="O5" s="966"/>
      <c r="P5" s="2516">
        <f>((T5*W5*(V5/U5-1))/100000)*(1-X5)+P7*X5</f>
        <v>200.87617986470349</v>
      </c>
      <c r="Q5" s="2152"/>
      <c r="R5" s="2152"/>
      <c r="S5" s="2166">
        <f>P5*E5</f>
        <v>5021.904496617587</v>
      </c>
      <c r="T5" s="1">
        <f>VLOOKUP(J5,$A$42:$B$47,2,FALSE)</f>
        <v>976</v>
      </c>
      <c r="U5" s="2157">
        <f>IF(H5=$D$53,$B$24,$B$20)</f>
        <v>0.84</v>
      </c>
      <c r="V5" s="2100">
        <f>VLOOKUP(I5,$A$36:$D$38,4,FALSE)</f>
        <v>0.95</v>
      </c>
      <c r="W5" s="808">
        <v>128844.01114206128</v>
      </c>
      <c r="X5" s="2167">
        <v>7.0000000000000007E-2</v>
      </c>
    </row>
    <row r="6" spans="1:26" ht="52.5" x14ac:dyDescent="0.35">
      <c r="A6" s="956" t="s">
        <v>3333</v>
      </c>
      <c r="B6" s="956" t="s">
        <v>3334</v>
      </c>
      <c r="C6" s="1798" t="s">
        <v>3335</v>
      </c>
      <c r="D6" s="956" t="s">
        <v>2158</v>
      </c>
      <c r="E6" s="2244">
        <v>8</v>
      </c>
      <c r="F6" s="956">
        <v>5328</v>
      </c>
      <c r="G6" s="956" t="s">
        <v>1284</v>
      </c>
      <c r="H6" t="s">
        <v>1825</v>
      </c>
      <c r="I6" s="972" t="s">
        <v>2361</v>
      </c>
      <c r="J6" s="973" t="s">
        <v>1691</v>
      </c>
      <c r="K6" s="973" t="s">
        <v>3332</v>
      </c>
      <c r="L6" s="973" t="s">
        <v>3330</v>
      </c>
      <c r="M6" s="956" t="s">
        <v>1825</v>
      </c>
      <c r="N6" s="956"/>
      <c r="O6" s="956"/>
      <c r="P6" s="2153">
        <f>(T6*W6*(V6/U6-1))/100000</f>
        <v>681.83581376840414</v>
      </c>
      <c r="Q6" s="2152"/>
      <c r="R6" s="2152"/>
      <c r="S6" s="2166">
        <f>P6*E6</f>
        <v>5454.6865101472331</v>
      </c>
      <c r="T6" s="1">
        <f>VLOOKUP(J6,$A$42:$B$47,2,FALSE)</f>
        <v>976</v>
      </c>
      <c r="U6" s="2157">
        <f>IF(H6=$D$53,$B$24,$B$20)</f>
        <v>0.61599999999999999</v>
      </c>
      <c r="V6" s="2100">
        <f>VLOOKUP(I6,$A$36:$D$38,4,FALSE)</f>
        <v>0.95</v>
      </c>
      <c r="W6" s="808">
        <v>128844.01114206128</v>
      </c>
      <c r="X6" s="2167">
        <v>7.0000000000000007E-2</v>
      </c>
    </row>
    <row r="7" spans="1:26" ht="52.5" x14ac:dyDescent="0.35">
      <c r="A7" s="956" t="s">
        <v>3336</v>
      </c>
      <c r="B7" s="956" t="s">
        <v>3337</v>
      </c>
      <c r="C7" s="1798" t="s">
        <v>3338</v>
      </c>
      <c r="D7" s="956" t="s">
        <v>2158</v>
      </c>
      <c r="E7" s="2244">
        <v>8</v>
      </c>
      <c r="F7" s="956">
        <v>5328</v>
      </c>
      <c r="G7" s="956"/>
      <c r="H7" t="s">
        <v>1825</v>
      </c>
      <c r="I7" s="972" t="s">
        <v>2361</v>
      </c>
      <c r="J7" s="973" t="s">
        <v>1691</v>
      </c>
      <c r="K7" s="973" t="s">
        <v>3332</v>
      </c>
      <c r="L7" s="973" t="s">
        <v>1864</v>
      </c>
      <c r="M7" s="956" t="s">
        <v>1825</v>
      </c>
      <c r="N7" s="956"/>
      <c r="O7" s="956"/>
      <c r="P7" s="2153">
        <f>(T7*W7*(V7/U7-1))/100000</f>
        <v>681.83581376840414</v>
      </c>
      <c r="Q7" s="2152"/>
      <c r="R7" s="2152"/>
      <c r="S7" s="2166">
        <f>P7*E7</f>
        <v>5454.6865101472331</v>
      </c>
      <c r="T7" s="1">
        <f>VLOOKUP(J7,$A$42:$B$47,2,FALSE)</f>
        <v>976</v>
      </c>
      <c r="U7" s="2157">
        <f>IF(H7=$D$53,$B$24,$B$20)</f>
        <v>0.61599999999999999</v>
      </c>
      <c r="V7" s="2100">
        <f>VLOOKUP(I7,$A$36:$D$38,4,FALSE)</f>
        <v>0.95</v>
      </c>
      <c r="W7" s="808">
        <v>128844.01114206128</v>
      </c>
      <c r="X7" s="2167">
        <v>7.0000000000000007E-2</v>
      </c>
    </row>
    <row r="8" spans="1:26" ht="15" thickBot="1" x14ac:dyDescent="0.4"/>
    <row r="9" spans="1:26" ht="15" thickBot="1" x14ac:dyDescent="0.4">
      <c r="A9" s="62" t="s">
        <v>1188</v>
      </c>
      <c r="B9" s="63"/>
      <c r="C9" s="64"/>
      <c r="D9" s="64"/>
      <c r="E9" s="65"/>
    </row>
    <row r="10" spans="1:26" ht="15" thickBot="1" x14ac:dyDescent="0.4">
      <c r="A10" s="1549" t="s">
        <v>3339</v>
      </c>
      <c r="B10" s="1550"/>
      <c r="C10" s="1550"/>
      <c r="D10" s="1550"/>
      <c r="E10" s="1551"/>
      <c r="M10" s="199"/>
      <c r="S10" s="199"/>
    </row>
    <row r="11" spans="1:26" ht="15" thickBot="1" x14ac:dyDescent="0.4">
      <c r="A11" s="154" t="s">
        <v>1078</v>
      </c>
      <c r="B11" s="1556">
        <f>'Measure-Level Adjustments'!A2</f>
        <v>44592</v>
      </c>
      <c r="S11" s="199"/>
      <c r="T11" s="199"/>
      <c r="U11" s="199"/>
      <c r="V11" s="199"/>
      <c r="W11" s="199"/>
      <c r="X11" s="199"/>
    </row>
    <row r="12" spans="1:26" ht="15" thickBot="1" x14ac:dyDescent="0.4">
      <c r="A12" s="154" t="s">
        <v>1079</v>
      </c>
      <c r="B12" s="1557" t="s">
        <v>638</v>
      </c>
      <c r="V12" s="2330"/>
      <c r="W12" s="2330"/>
      <c r="X12" s="2330"/>
    </row>
    <row r="13" spans="1:26" ht="15" thickBot="1" x14ac:dyDescent="0.4"/>
    <row r="14" spans="1:26" ht="15" thickBot="1" x14ac:dyDescent="0.4">
      <c r="A14" s="74" t="s">
        <v>1285</v>
      </c>
      <c r="B14" s="75" t="s">
        <v>1199</v>
      </c>
      <c r="C14" s="76" t="s">
        <v>1082</v>
      </c>
      <c r="D14" s="64"/>
      <c r="E14" s="64"/>
      <c r="F14" s="64"/>
      <c r="G14" s="64"/>
      <c r="H14" s="64"/>
      <c r="I14" s="64"/>
      <c r="J14" s="65"/>
    </row>
    <row r="15" spans="1:26" x14ac:dyDescent="0.35">
      <c r="A15" s="77"/>
      <c r="B15" s="80"/>
      <c r="C15" s="79"/>
      <c r="D15" s="80"/>
      <c r="E15" s="80"/>
      <c r="F15" s="80"/>
      <c r="G15" s="80"/>
      <c r="H15" s="80"/>
      <c r="I15" s="80"/>
      <c r="J15" s="81"/>
      <c r="M15" s="2099"/>
    </row>
    <row r="16" spans="1:26" x14ac:dyDescent="0.35">
      <c r="A16" s="2168"/>
      <c r="C16" s="55"/>
      <c r="J16" s="253"/>
    </row>
    <row r="17" spans="1:10" ht="15" thickBot="1" x14ac:dyDescent="0.4">
      <c r="A17" s="82"/>
      <c r="B17" s="85"/>
      <c r="C17" s="84"/>
      <c r="D17" s="85"/>
      <c r="E17" s="85"/>
      <c r="F17" s="85"/>
      <c r="G17" s="85"/>
      <c r="H17" s="85"/>
      <c r="I17" s="85"/>
      <c r="J17" s="86"/>
    </row>
    <row r="18" spans="1:10" x14ac:dyDescent="0.35">
      <c r="A18" s="93"/>
      <c r="B18" s="80"/>
      <c r="C18" s="80"/>
      <c r="D18" s="80"/>
      <c r="E18" s="80"/>
      <c r="F18" s="80"/>
      <c r="G18" s="80"/>
      <c r="H18" s="80"/>
      <c r="I18" s="80"/>
      <c r="J18" s="81"/>
    </row>
    <row r="19" spans="1:10" ht="15" thickBot="1" x14ac:dyDescent="0.4">
      <c r="A19" s="88"/>
      <c r="B19" s="85"/>
      <c r="C19" s="85"/>
      <c r="D19" s="85"/>
      <c r="E19" s="85"/>
      <c r="F19" s="85"/>
      <c r="G19" s="85"/>
      <c r="H19" s="85"/>
      <c r="I19" s="85"/>
      <c r="J19" s="86"/>
    </row>
    <row r="20" spans="1:10" x14ac:dyDescent="0.35">
      <c r="A20" s="358" t="s">
        <v>3325</v>
      </c>
      <c r="B20" s="78">
        <f>B52</f>
        <v>0.84</v>
      </c>
      <c r="C20" s="79" t="s">
        <v>3340</v>
      </c>
      <c r="D20" s="80"/>
      <c r="E20" s="80"/>
      <c r="F20" s="80"/>
      <c r="G20" s="80"/>
      <c r="H20" s="80"/>
      <c r="I20" s="80"/>
      <c r="J20" s="81"/>
    </row>
    <row r="21" spans="1:10" ht="15" thickBot="1" x14ac:dyDescent="0.4">
      <c r="A21" s="82"/>
      <c r="B21" s="85"/>
      <c r="C21" s="84" t="s">
        <v>3341</v>
      </c>
      <c r="D21" s="85"/>
      <c r="E21" s="85"/>
      <c r="F21" s="85"/>
      <c r="G21" s="85"/>
      <c r="H21" s="85"/>
      <c r="I21" s="85"/>
      <c r="J21" s="86"/>
    </row>
    <row r="22" spans="1:10" x14ac:dyDescent="0.35">
      <c r="A22" s="358" t="s">
        <v>3326</v>
      </c>
      <c r="B22" s="266">
        <f>VLOOKUP($I$4,$A$36:$D$38,4,FALSE)</f>
        <v>0.95</v>
      </c>
      <c r="C22" s="79" t="s">
        <v>3342</v>
      </c>
      <c r="D22" s="80"/>
      <c r="E22" s="80"/>
      <c r="F22" s="80"/>
      <c r="G22" s="80"/>
      <c r="H22" s="80"/>
      <c r="I22" s="80"/>
      <c r="J22" s="81"/>
    </row>
    <row r="23" spans="1:10" ht="15" thickBot="1" x14ac:dyDescent="0.4">
      <c r="A23" s="82"/>
      <c r="B23" s="85"/>
      <c r="C23" s="84" t="s">
        <v>3343</v>
      </c>
      <c r="D23" s="85"/>
      <c r="E23" s="85"/>
      <c r="F23" s="85"/>
      <c r="G23" s="85"/>
      <c r="H23" s="85"/>
      <c r="I23" s="85"/>
      <c r="J23" s="86"/>
    </row>
    <row r="24" spans="1:10" x14ac:dyDescent="0.35">
      <c r="A24" s="640" t="s">
        <v>3344</v>
      </c>
      <c r="B24" s="2159">
        <v>0.61599999999999999</v>
      </c>
      <c r="C24" s="641" t="s">
        <v>3345</v>
      </c>
      <c r="D24" s="69"/>
      <c r="J24" s="253"/>
    </row>
    <row r="25" spans="1:10" ht="15" thickBot="1" x14ac:dyDescent="0.4">
      <c r="A25" s="2160"/>
      <c r="B25" s="69"/>
      <c r="C25" s="52" t="s">
        <v>3346</v>
      </c>
      <c r="D25" s="69"/>
      <c r="J25" s="253"/>
    </row>
    <row r="26" spans="1:10" x14ac:dyDescent="0.35">
      <c r="A26" s="93" t="s">
        <v>1083</v>
      </c>
      <c r="B26" s="80">
        <v>25</v>
      </c>
      <c r="C26" s="80" t="s">
        <v>2334</v>
      </c>
      <c r="D26" s="80"/>
      <c r="E26" s="80"/>
      <c r="F26" s="80"/>
      <c r="G26" s="80"/>
      <c r="H26" s="80"/>
      <c r="I26" s="80"/>
      <c r="J26" s="81"/>
    </row>
    <row r="27" spans="1:10" x14ac:dyDescent="0.35">
      <c r="A27" s="254"/>
      <c r="C27" t="s">
        <v>3347</v>
      </c>
      <c r="J27" s="253"/>
    </row>
    <row r="28" spans="1:10" ht="15" thickBot="1" x14ac:dyDescent="0.4">
      <c r="A28" s="88"/>
      <c r="B28" s="85"/>
      <c r="C28" s="84" t="s">
        <v>3348</v>
      </c>
      <c r="D28" s="85"/>
      <c r="E28" s="85"/>
      <c r="F28" s="85"/>
      <c r="G28" s="85"/>
      <c r="H28" s="85"/>
      <c r="I28" s="85"/>
      <c r="J28" s="86"/>
    </row>
    <row r="29" spans="1:10" x14ac:dyDescent="0.35">
      <c r="A29" s="254" t="s">
        <v>1040</v>
      </c>
      <c r="J29" s="253"/>
    </row>
    <row r="30" spans="1:10" ht="15" thickBot="1" x14ac:dyDescent="0.4">
      <c r="A30" s="88"/>
      <c r="B30" s="85"/>
      <c r="C30" s="84"/>
      <c r="D30" s="85"/>
      <c r="E30" s="85"/>
      <c r="F30" s="85"/>
      <c r="G30" s="85"/>
      <c r="H30" s="85"/>
      <c r="I30" s="85"/>
      <c r="J30" s="86"/>
    </row>
    <row r="31" spans="1:10" ht="15" thickBot="1" x14ac:dyDescent="0.4">
      <c r="C31" s="55"/>
    </row>
    <row r="32" spans="1:10" ht="15" thickBot="1" x14ac:dyDescent="0.4">
      <c r="A32" s="97" t="s">
        <v>1257</v>
      </c>
      <c r="B32" s="98"/>
      <c r="C32" s="64"/>
      <c r="D32" s="64"/>
      <c r="E32" s="65"/>
    </row>
    <row r="33" spans="1:5" x14ac:dyDescent="0.35">
      <c r="A33" s="99"/>
      <c r="B33" s="3160" t="s">
        <v>3349</v>
      </c>
      <c r="C33" s="3161"/>
      <c r="D33" s="69"/>
      <c r="E33" s="100"/>
    </row>
    <row r="34" spans="1:5" x14ac:dyDescent="0.35">
      <c r="A34" s="666" t="s">
        <v>1752</v>
      </c>
      <c r="B34" s="367" t="s">
        <v>2451</v>
      </c>
      <c r="C34" s="367" t="s">
        <v>3350</v>
      </c>
      <c r="D34" s="367" t="s">
        <v>3326</v>
      </c>
      <c r="E34" s="367" t="s">
        <v>3325</v>
      </c>
    </row>
    <row r="35" spans="1:5" x14ac:dyDescent="0.35">
      <c r="A35" s="914" t="s">
        <v>3351</v>
      </c>
      <c r="B35" s="1054"/>
      <c r="C35" s="1054"/>
      <c r="D35" s="113" t="s">
        <v>1284</v>
      </c>
      <c r="E35" s="113">
        <v>0.82</v>
      </c>
    </row>
    <row r="36" spans="1:5" x14ac:dyDescent="0.35">
      <c r="A36" s="914" t="s">
        <v>3352</v>
      </c>
      <c r="B36" s="1054"/>
      <c r="C36" s="1054"/>
      <c r="D36" s="113">
        <v>0.875</v>
      </c>
      <c r="E36" s="113" t="s">
        <v>1284</v>
      </c>
    </row>
    <row r="37" spans="1:5" x14ac:dyDescent="0.35">
      <c r="A37" s="914" t="s">
        <v>2291</v>
      </c>
      <c r="B37" s="1054"/>
      <c r="C37" s="1054"/>
      <c r="D37" s="113">
        <v>0.92500000000000004</v>
      </c>
      <c r="E37" s="113" t="s">
        <v>1284</v>
      </c>
    </row>
    <row r="38" spans="1:5" x14ac:dyDescent="0.35">
      <c r="A38" s="914" t="s">
        <v>2361</v>
      </c>
      <c r="B38" s="1054"/>
      <c r="C38" s="1054"/>
      <c r="D38" s="113">
        <v>0.95</v>
      </c>
      <c r="E38" s="113" t="s">
        <v>1284</v>
      </c>
    </row>
    <row r="39" spans="1:5" x14ac:dyDescent="0.35">
      <c r="A39" s="99"/>
      <c r="B39" s="69"/>
      <c r="C39" s="69"/>
      <c r="D39" s="69"/>
      <c r="E39" s="100"/>
    </row>
    <row r="40" spans="1:5" ht="15" thickBot="1" x14ac:dyDescent="0.4">
      <c r="A40" s="99"/>
      <c r="B40" s="69"/>
      <c r="C40" s="69"/>
      <c r="D40" s="69"/>
      <c r="E40" s="100"/>
    </row>
    <row r="41" spans="1:5" x14ac:dyDescent="0.35">
      <c r="A41" s="1548" t="s">
        <v>1684</v>
      </c>
      <c r="B41" s="1542" t="s">
        <v>2155</v>
      </c>
      <c r="C41" s="69"/>
      <c r="D41" s="3295"/>
      <c r="E41" s="3296"/>
    </row>
    <row r="42" spans="1:5" x14ac:dyDescent="0.35">
      <c r="A42" s="1547" t="s">
        <v>1705</v>
      </c>
      <c r="B42" s="1541">
        <v>1022</v>
      </c>
      <c r="C42" s="69"/>
      <c r="D42" s="2169"/>
      <c r="E42" s="183"/>
    </row>
    <row r="43" spans="1:5" x14ac:dyDescent="0.35">
      <c r="A43" s="1547" t="s">
        <v>1691</v>
      </c>
      <c r="B43" s="1541">
        <v>976</v>
      </c>
      <c r="C43" s="69"/>
      <c r="D43" s="2169"/>
      <c r="E43" s="183"/>
    </row>
    <row r="44" spans="1:5" ht="15" thickBot="1" x14ac:dyDescent="0.4">
      <c r="A44" s="1547" t="s">
        <v>1706</v>
      </c>
      <c r="B44" s="1541">
        <v>836</v>
      </c>
      <c r="C44" s="69"/>
      <c r="D44" s="2170"/>
      <c r="E44" s="2171"/>
    </row>
    <row r="45" spans="1:5" x14ac:dyDescent="0.35">
      <c r="A45" s="1547" t="s">
        <v>1707</v>
      </c>
      <c r="B45" s="1541">
        <v>645</v>
      </c>
      <c r="C45" s="69"/>
      <c r="D45" s="69"/>
      <c r="E45" s="100"/>
    </row>
    <row r="46" spans="1:5" x14ac:dyDescent="0.35">
      <c r="A46" s="1547" t="s">
        <v>1708</v>
      </c>
      <c r="B46" s="1541">
        <v>656</v>
      </c>
      <c r="C46" s="69"/>
      <c r="D46" s="69"/>
      <c r="E46" s="100"/>
    </row>
    <row r="47" spans="1:5" x14ac:dyDescent="0.35">
      <c r="A47" s="1547" t="s">
        <v>1185</v>
      </c>
      <c r="B47" s="1541">
        <v>928</v>
      </c>
      <c r="C47" s="69"/>
      <c r="D47" s="69"/>
      <c r="E47" s="100"/>
    </row>
    <row r="48" spans="1:5" x14ac:dyDescent="0.35">
      <c r="A48" s="99"/>
      <c r="B48" s="69"/>
      <c r="C48" s="69"/>
      <c r="D48" s="69"/>
      <c r="E48" s="100"/>
    </row>
    <row r="49" spans="1:5" x14ac:dyDescent="0.35">
      <c r="A49" s="99"/>
      <c r="B49" s="69"/>
      <c r="C49" s="69"/>
      <c r="D49" s="69"/>
      <c r="E49" s="100"/>
    </row>
    <row r="50" spans="1:5" x14ac:dyDescent="0.35">
      <c r="A50" s="666" t="s">
        <v>3323</v>
      </c>
      <c r="B50" s="56" t="s">
        <v>3353</v>
      </c>
      <c r="C50" s="69"/>
      <c r="D50" s="56" t="s">
        <v>1038</v>
      </c>
      <c r="E50" s="100"/>
    </row>
    <row r="51" spans="1:5" x14ac:dyDescent="0.35">
      <c r="A51" s="2158" t="s">
        <v>3354</v>
      </c>
      <c r="B51" s="1921">
        <v>0.82</v>
      </c>
      <c r="C51" s="69"/>
      <c r="D51" s="109" t="s">
        <v>2279</v>
      </c>
      <c r="E51" s="100"/>
    </row>
    <row r="52" spans="1:5" ht="26" x14ac:dyDescent="0.35">
      <c r="A52" s="2158" t="s">
        <v>3332</v>
      </c>
      <c r="B52" s="1921">
        <v>0.84</v>
      </c>
      <c r="C52" s="69"/>
      <c r="D52" s="109" t="s">
        <v>1072</v>
      </c>
      <c r="E52" s="100"/>
    </row>
    <row r="53" spans="1:5" x14ac:dyDescent="0.35">
      <c r="A53" s="99"/>
      <c r="B53" s="69"/>
      <c r="C53" s="69"/>
      <c r="D53" s="109" t="s">
        <v>1825</v>
      </c>
      <c r="E53" s="100"/>
    </row>
    <row r="54" spans="1:5" x14ac:dyDescent="0.35">
      <c r="A54" s="666" t="s">
        <v>1038</v>
      </c>
      <c r="B54" s="56"/>
      <c r="C54" s="69"/>
      <c r="D54" s="69"/>
      <c r="E54" s="100"/>
    </row>
    <row r="55" spans="1:5" x14ac:dyDescent="0.35">
      <c r="A55" s="290" t="s">
        <v>1072</v>
      </c>
      <c r="B55" s="49" t="s">
        <v>2278</v>
      </c>
      <c r="C55" s="69"/>
      <c r="D55" s="69"/>
      <c r="E55" s="100"/>
    </row>
    <row r="56" spans="1:5" x14ac:dyDescent="0.35">
      <c r="A56" s="290" t="s">
        <v>2279</v>
      </c>
      <c r="B56" s="49" t="s">
        <v>2280</v>
      </c>
      <c r="C56" s="69"/>
      <c r="D56" s="69"/>
      <c r="E56" s="100"/>
    </row>
    <row r="57" spans="1:5" x14ac:dyDescent="0.35">
      <c r="A57" s="99"/>
      <c r="B57" s="69"/>
      <c r="C57" s="69"/>
      <c r="D57" s="69"/>
      <c r="E57" s="100"/>
    </row>
    <row r="58" spans="1:5" ht="15" thickBot="1" x14ac:dyDescent="0.4">
      <c r="A58" s="261"/>
      <c r="B58" s="161"/>
      <c r="C58" s="161"/>
      <c r="D58" s="161"/>
      <c r="E58" s="163"/>
    </row>
    <row r="59" spans="1:5" ht="15" thickBot="1" x14ac:dyDescent="0.4"/>
    <row r="60" spans="1:5" x14ac:dyDescent="0.35">
      <c r="A60" s="3285" t="s">
        <v>3355</v>
      </c>
      <c r="B60" s="3286"/>
      <c r="C60" s="3286"/>
      <c r="D60" s="3286"/>
      <c r="E60" s="3287"/>
    </row>
    <row r="61" spans="1:5" x14ac:dyDescent="0.35">
      <c r="A61" s="3288"/>
      <c r="B61" s="3289"/>
      <c r="C61" s="3289"/>
      <c r="D61" s="3289"/>
      <c r="E61" s="3290"/>
    </row>
    <row r="62" spans="1:5" ht="15" thickBot="1" x14ac:dyDescent="0.4">
      <c r="A62" s="3291"/>
      <c r="B62" s="3292"/>
      <c r="C62" s="3292"/>
      <c r="D62" s="3292"/>
      <c r="E62" s="3293"/>
    </row>
  </sheetData>
  <customSheetViews>
    <customSheetView guid="{ECD6FE6A-9548-414E-B8AA-6998703C57E0}" scale="85" showPageBreaks="1" fitToPage="1" view="pageBreakPreview" topLeftCell="G1">
      <selection activeCell="U15" sqref="U15"/>
      <pageMargins left="0" right="0" top="0" bottom="0" header="0" footer="0"/>
      <pageSetup scale="36" orientation="landscape" r:id="rId1"/>
    </customSheetView>
    <customSheetView guid="{11DE45F5-F478-4ED6-8DFF-12002C22A637}" scale="85" showPageBreaks="1" fitToPage="1" view="pageBreakPreview" topLeftCell="G1">
      <selection activeCell="U15" sqref="U15"/>
      <pageMargins left="0" right="0" top="0" bottom="0" header="0" footer="0"/>
      <pageSetup scale="36" orientation="landscape" r:id="rId2"/>
    </customSheetView>
  </customSheetViews>
  <mergeCells count="6">
    <mergeCell ref="A60:E62"/>
    <mergeCell ref="N2:P2"/>
    <mergeCell ref="Q2:S2"/>
    <mergeCell ref="T2:W2"/>
    <mergeCell ref="B33:C33"/>
    <mergeCell ref="D41:E41"/>
  </mergeCells>
  <dataValidations count="7">
    <dataValidation type="list" allowBlank="1" showInputMessage="1" showErrorMessage="1" sqref="H4" xr:uid="{00000000-0002-0000-2300-000002000000}">
      <formula1>FBMo1</formula1>
    </dataValidation>
    <dataValidation type="list" allowBlank="1" showInputMessage="1" showErrorMessage="1" sqref="H5:H7" xr:uid="{3FBABFBB-71B3-4794-BAD2-28D4FCAE3FE4}">
      <formula1>$D$68:$D$70</formula1>
    </dataValidation>
    <dataValidation type="list" allowBlank="1" showInputMessage="1" showErrorMessage="1" sqref="L4:L7" xr:uid="{00000000-0002-0000-2300-000000000000}">
      <formula1>$D$42:$D$43</formula1>
    </dataValidation>
    <dataValidation type="list" allowBlank="1" showInputMessage="1" showErrorMessage="1" sqref="D4:D7" xr:uid="{00000000-0002-0000-2300-000001000000}">
      <formula1>MeasureType</formula1>
    </dataValidation>
    <dataValidation type="list" allowBlank="1" showInputMessage="1" showErrorMessage="1" sqref="J4:J7" xr:uid="{00000000-0002-0000-2300-000003000000}">
      <formula1>Climate1</formula1>
    </dataValidation>
    <dataValidation type="list" allowBlank="1" showInputMessage="1" showErrorMessage="1" sqref="I4:I7" xr:uid="{00000000-0002-0000-2300-000004000000}">
      <formula1>GHEB1</formula1>
    </dataValidation>
    <dataValidation type="list" allowBlank="1" showInputMessage="1" showErrorMessage="1" sqref="K4:K7" xr:uid="{00000000-0002-0000-2300-000005000000}">
      <formula1>GHEB2</formula1>
    </dataValidation>
  </dataValidations>
  <hyperlinks>
    <hyperlink ref="A1" location="'Measure-Level Adjustments'!Print_Titles" display="Measure Level Tab" xr:uid="{77F1913D-D290-4987-9D97-1FF73AF9C6F4}"/>
  </hyperlinks>
  <pageMargins left="0.7" right="0.7" top="0.75" bottom="0.75" header="0.3" footer="0.3"/>
  <pageSetup scale="30" orientation="landscape" r:id="rId3"/>
  <legacy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59999389629810485"/>
    <pageSetUpPr fitToPage="1"/>
  </sheetPr>
  <dimension ref="A1:AR161"/>
  <sheetViews>
    <sheetView view="pageBreakPreview" topLeftCell="H4" zoomScale="80" zoomScaleNormal="100" zoomScaleSheetLayoutView="80" workbookViewId="0">
      <selection activeCell="F26" sqref="F26"/>
    </sheetView>
  </sheetViews>
  <sheetFormatPr defaultRowHeight="14.5" x14ac:dyDescent="0.35"/>
  <cols>
    <col min="1" max="1" width="23.81640625" customWidth="1"/>
    <col min="2" max="2" width="51.81640625" customWidth="1"/>
    <col min="3" max="3" width="34" bestFit="1" customWidth="1"/>
    <col min="4" max="14" width="14.7265625" customWidth="1"/>
    <col min="15" max="15" width="16.1796875" bestFit="1" customWidth="1"/>
    <col min="16" max="16" width="12.7265625" customWidth="1"/>
    <col min="18" max="18" width="9.54296875" bestFit="1" customWidth="1"/>
    <col min="19" max="19" width="12" customWidth="1"/>
    <col min="20" max="20" width="14.26953125" customWidth="1"/>
    <col min="21" max="21" width="15.7265625" customWidth="1"/>
    <col min="22" max="22" width="22.453125" bestFit="1" customWidth="1"/>
    <col min="23" max="23" width="25.54296875" customWidth="1"/>
    <col min="24" max="24" width="0.1796875" customWidth="1"/>
    <col min="25" max="25" width="12" bestFit="1" customWidth="1"/>
    <col min="26" max="26" width="14.26953125" customWidth="1"/>
    <col min="27" max="27" width="16.54296875" customWidth="1"/>
    <col min="28" max="28" width="12.1796875" customWidth="1"/>
    <col min="31" max="31" width="38" bestFit="1" customWidth="1"/>
    <col min="32" max="32" width="16.7265625" customWidth="1"/>
    <col min="33" max="33" width="12" customWidth="1"/>
    <col min="41" max="41" width="9.81640625" bestFit="1" customWidth="1"/>
  </cols>
  <sheetData>
    <row r="1" spans="1:35" ht="28.5" customHeight="1" x14ac:dyDescent="0.35">
      <c r="A1" s="1799" t="s">
        <v>1031</v>
      </c>
    </row>
    <row r="2" spans="1:35" x14ac:dyDescent="0.35">
      <c r="A2" s="968" t="s">
        <v>631</v>
      </c>
      <c r="B2" s="968" t="s">
        <v>3356</v>
      </c>
      <c r="C2" s="968"/>
      <c r="D2" s="968"/>
      <c r="E2" s="967"/>
      <c r="F2" s="967"/>
      <c r="G2" s="967"/>
      <c r="H2" s="967"/>
      <c r="I2" s="967"/>
      <c r="J2" s="967"/>
      <c r="K2" s="967"/>
      <c r="L2" s="967"/>
      <c r="M2" s="1043"/>
      <c r="N2" s="3010" t="s">
        <v>1032</v>
      </c>
      <c r="O2" s="3011"/>
      <c r="P2" s="3011"/>
      <c r="Q2" s="3010" t="s">
        <v>1033</v>
      </c>
      <c r="R2" s="3011"/>
      <c r="S2" s="3011"/>
      <c r="T2" s="2993" t="s">
        <v>1158</v>
      </c>
      <c r="U2" s="2993"/>
      <c r="V2" s="2993"/>
      <c r="W2" s="120"/>
      <c r="X2" s="120"/>
      <c r="Y2" s="120"/>
      <c r="Z2" s="120"/>
      <c r="AA2" s="120"/>
      <c r="AB2" s="121" t="s">
        <v>2589</v>
      </c>
    </row>
    <row r="3" spans="1:35" ht="29" x14ac:dyDescent="0.35">
      <c r="A3" s="969" t="s">
        <v>1035</v>
      </c>
      <c r="B3" s="969" t="s">
        <v>155</v>
      </c>
      <c r="C3" s="953" t="s">
        <v>1036</v>
      </c>
      <c r="D3" s="953" t="s">
        <v>1752</v>
      </c>
      <c r="E3" s="952" t="s">
        <v>1039</v>
      </c>
      <c r="F3" s="952" t="s">
        <v>1040</v>
      </c>
      <c r="G3" s="969" t="s">
        <v>1041</v>
      </c>
      <c r="H3" s="952" t="s">
        <v>1038</v>
      </c>
      <c r="I3" s="952" t="s">
        <v>3357</v>
      </c>
      <c r="J3" s="952" t="s">
        <v>1868</v>
      </c>
      <c r="K3" s="952" t="s">
        <v>1684</v>
      </c>
      <c r="L3" s="952" t="s">
        <v>3323</v>
      </c>
      <c r="M3" s="952" t="s">
        <v>3324</v>
      </c>
      <c r="N3" s="970" t="s">
        <v>1044</v>
      </c>
      <c r="O3" s="970" t="s">
        <v>1045</v>
      </c>
      <c r="P3" s="970" t="s">
        <v>1046</v>
      </c>
      <c r="Q3" s="970" t="s">
        <v>1044</v>
      </c>
      <c r="R3" s="970" t="s">
        <v>1045</v>
      </c>
      <c r="S3" s="970" t="s">
        <v>1046</v>
      </c>
      <c r="T3" s="2163" t="s">
        <v>3358</v>
      </c>
      <c r="U3" s="122" t="s">
        <v>3325</v>
      </c>
      <c r="V3" s="122" t="s">
        <v>3326</v>
      </c>
      <c r="W3" s="2104" t="s">
        <v>3359</v>
      </c>
      <c r="X3" s="24"/>
      <c r="Y3" s="122" t="s">
        <v>3360</v>
      </c>
      <c r="Z3" s="122" t="s">
        <v>3361</v>
      </c>
      <c r="AA3" s="122" t="s">
        <v>3328</v>
      </c>
      <c r="AB3" s="49"/>
    </row>
    <row r="4" spans="1:35" ht="29" x14ac:dyDescent="0.35">
      <c r="A4" s="966" t="s">
        <v>630</v>
      </c>
      <c r="B4" s="966" t="str">
        <f>$B$2&amp;" "&amp;VLOOKUP(I4, $A$75:$B$82, 2, FALSE)&amp;" - "&amp;H4&amp;" - "&amp;M4</f>
        <v>Gas High Efficiency Furnace AFUE ≥95% - TOS - Single-Family</v>
      </c>
      <c r="C4" s="966" t="s">
        <v>629</v>
      </c>
      <c r="D4" s="957" t="s">
        <v>2414</v>
      </c>
      <c r="E4" s="974">
        <f t="shared" ref="E4:E12" si="0">+VLOOKUP(H4,$A$58:$B$60,2,FALSE)</f>
        <v>20</v>
      </c>
      <c r="F4" s="975"/>
      <c r="G4" s="1040" t="s">
        <v>1284</v>
      </c>
      <c r="H4" s="69" t="s">
        <v>1072</v>
      </c>
      <c r="I4" s="69" t="s">
        <v>2361</v>
      </c>
      <c r="J4" s="69" t="s">
        <v>1939</v>
      </c>
      <c r="K4" s="973" t="s">
        <v>1691</v>
      </c>
      <c r="L4" s="972" t="s">
        <v>3362</v>
      </c>
      <c r="M4" s="972" t="s">
        <v>3330</v>
      </c>
      <c r="N4" s="977"/>
      <c r="O4" s="978"/>
      <c r="P4" s="2837">
        <f>(+VLOOKUP(K4,$G$64:$H$69,2,FALSE)*W4/(1-Z4)*((V4*(1-Z4)/(U4*(1-Y4)))-1)/100000)*(1-AA4)+P7*AA4</f>
        <v>185.21062775919711</v>
      </c>
      <c r="Q4" s="977"/>
      <c r="R4" s="977"/>
      <c r="S4" s="2841">
        <f>P4*E4</f>
        <v>3704.2125551839422</v>
      </c>
      <c r="T4" s="177">
        <f t="shared" ref="T4:T12" si="1">VLOOKUP(K4,$G$64:$H$69,2,FALSE)</f>
        <v>976</v>
      </c>
      <c r="U4" s="124">
        <f t="shared" ref="U4:U12" si="2">IF(H4=$A$54,0.644,0.8)</f>
        <v>0.8</v>
      </c>
      <c r="V4" s="125">
        <f t="shared" ref="V4:V12" si="3">IF(H4=$A$52,VLOOKUP(I4,$A$87:$B$93,2,FALSE),VLOOKUP(I4,$D$58:$G$60,4,FALSE))</f>
        <v>0.95</v>
      </c>
      <c r="W4" s="25">
        <f>AF27</f>
        <v>85544</v>
      </c>
      <c r="X4" s="2849"/>
      <c r="Y4" s="263">
        <f>+$B$31</f>
        <v>6.4000000000000001E-2</v>
      </c>
      <c r="Z4" s="2100">
        <v>6.4000000000000001E-2</v>
      </c>
      <c r="AA4" s="2100">
        <v>7.0000000000000007E-2</v>
      </c>
      <c r="AB4" s="49" t="s">
        <v>1939</v>
      </c>
    </row>
    <row r="5" spans="1:35" ht="45.75" customHeight="1" x14ac:dyDescent="0.35">
      <c r="A5" s="966" t="s">
        <v>634</v>
      </c>
      <c r="B5" s="966" t="str">
        <f>$B$2&amp;" "&amp;VLOOKUP(I5, $A$75:$B$82, 2, FALSE)&amp;" - "&amp;H5&amp;" - "&amp;M5</f>
        <v>Gas High Efficiency Furnace AFUE ≥97% - TOS - Single-Family</v>
      </c>
      <c r="C5" s="966" t="s">
        <v>633</v>
      </c>
      <c r="D5" s="957" t="s">
        <v>2414</v>
      </c>
      <c r="E5" s="974">
        <f t="shared" si="0"/>
        <v>20</v>
      </c>
      <c r="F5" s="975"/>
      <c r="G5" s="1040" t="s">
        <v>1284</v>
      </c>
      <c r="H5" s="69" t="s">
        <v>1072</v>
      </c>
      <c r="I5" s="69" t="s">
        <v>3363</v>
      </c>
      <c r="J5" s="69" t="s">
        <v>1939</v>
      </c>
      <c r="K5" s="973" t="s">
        <v>1691</v>
      </c>
      <c r="L5" s="972" t="s">
        <v>3362</v>
      </c>
      <c r="M5" s="972" t="s">
        <v>3330</v>
      </c>
      <c r="N5" s="977"/>
      <c r="O5" s="978"/>
      <c r="P5" s="2837">
        <f>(+VLOOKUP(K5,$G$64:$H$69,2,FALSE)*W5/(1-Z5)*((V5*(1-Z5)/(U5*(1-Y5)))-1)/100000)*(1-AA5)+P8*AA5</f>
        <v>221.65331893719795</v>
      </c>
      <c r="Q5" s="977"/>
      <c r="R5" s="977"/>
      <c r="S5" s="2841">
        <f>P5*E5</f>
        <v>4433.0663787439589</v>
      </c>
      <c r="T5" s="177">
        <f t="shared" si="1"/>
        <v>976</v>
      </c>
      <c r="U5" s="124">
        <f t="shared" si="2"/>
        <v>0.8</v>
      </c>
      <c r="V5" s="125">
        <f t="shared" si="3"/>
        <v>0.97</v>
      </c>
      <c r="W5" s="25">
        <f>AF28</f>
        <v>91208</v>
      </c>
      <c r="X5" s="2849"/>
      <c r="Y5" s="263">
        <v>6.4000000000000001E-2</v>
      </c>
      <c r="Z5" s="2100">
        <v>6.4000000000000001E-2</v>
      </c>
      <c r="AA5" s="2100">
        <v>7.0000000000000007E-2</v>
      </c>
      <c r="AB5" s="49" t="s">
        <v>1939</v>
      </c>
    </row>
    <row r="6" spans="1:35" s="85" customFormat="1" ht="43.5" x14ac:dyDescent="0.35">
      <c r="A6" s="1056" t="s">
        <v>857</v>
      </c>
      <c r="B6" s="1057" t="str">
        <f>$B$2&amp;" "&amp;VLOOKUP(I6, $A$75:$B$82, 2, FALSE)&amp;" - "&amp;H6&amp;" - "&amp;M6</f>
        <v>Gas High Efficiency Furnace AFUE ≥95% - TOS - Multi-Family</v>
      </c>
      <c r="C6" s="1057" t="s">
        <v>856</v>
      </c>
      <c r="D6" s="1057" t="s">
        <v>2414</v>
      </c>
      <c r="E6" s="1058">
        <f t="shared" si="0"/>
        <v>20</v>
      </c>
      <c r="F6" s="1059"/>
      <c r="G6" s="1060" t="s">
        <v>1284</v>
      </c>
      <c r="H6" s="161" t="s">
        <v>1072</v>
      </c>
      <c r="I6" s="161" t="s">
        <v>2361</v>
      </c>
      <c r="J6" s="161" t="s">
        <v>1939</v>
      </c>
      <c r="K6" s="1061" t="s">
        <v>1691</v>
      </c>
      <c r="L6" s="1062" t="s">
        <v>3362</v>
      </c>
      <c r="M6" s="1062" t="s">
        <v>1864</v>
      </c>
      <c r="N6" s="1063"/>
      <c r="O6" s="1064"/>
      <c r="P6" s="2838">
        <f t="shared" ref="P6:P12" si="4">+VLOOKUP(K6,$G$64:$H$69,2,FALSE)*W6/(1-Z6)*((V6*(1-Z6)/(U6*(1-Y6)))-1)/100000</f>
        <v>107.53205128205116</v>
      </c>
      <c r="Q6" s="164"/>
      <c r="R6" s="164"/>
      <c r="S6" s="2842">
        <f>P6*E6</f>
        <v>2150.6410256410231</v>
      </c>
      <c r="T6" s="177">
        <f t="shared" si="1"/>
        <v>976</v>
      </c>
      <c r="U6" s="124">
        <f t="shared" si="2"/>
        <v>0.8</v>
      </c>
      <c r="V6" s="49">
        <f t="shared" si="3"/>
        <v>0.95</v>
      </c>
      <c r="W6" s="25">
        <f>AF30</f>
        <v>55000</v>
      </c>
      <c r="X6" s="2849"/>
      <c r="Y6" s="263">
        <v>6.4000000000000001E-2</v>
      </c>
      <c r="Z6" s="2100">
        <v>6.4000000000000001E-2</v>
      </c>
      <c r="AA6" s="2100">
        <v>7.0000000000000007E-2</v>
      </c>
      <c r="AB6" s="49" t="s">
        <v>1939</v>
      </c>
      <c r="AC6" s="129" t="s">
        <v>3364</v>
      </c>
      <c r="AD6" s="130" t="s">
        <v>3365</v>
      </c>
      <c r="AE6" s="131" t="s">
        <v>1463</v>
      </c>
      <c r="AF6" s="131" t="s">
        <v>3366</v>
      </c>
      <c r="AG6" s="131" t="s">
        <v>1464</v>
      </c>
      <c r="AH6" s="131" t="s">
        <v>3367</v>
      </c>
      <c r="AI6" s="132" t="s">
        <v>1040</v>
      </c>
    </row>
    <row r="7" spans="1:35" ht="32.25" customHeight="1" x14ac:dyDescent="0.35">
      <c r="A7" s="966" t="s">
        <v>3368</v>
      </c>
      <c r="B7" s="955" t="str">
        <f>$B$2&amp;" "&amp;I7&amp;" - "&amp;H7&amp;" - "&amp;AB7</f>
        <v>Gas High Efficiency Furnace AFUE 95% - EREP - TRM</v>
      </c>
      <c r="C7" s="966" t="s">
        <v>3369</v>
      </c>
      <c r="D7" s="957" t="s">
        <v>2414</v>
      </c>
      <c r="E7" s="974">
        <f t="shared" si="0"/>
        <v>6</v>
      </c>
      <c r="F7" s="975"/>
      <c r="G7" s="1040" t="s">
        <v>1284</v>
      </c>
      <c r="H7" s="69" t="s">
        <v>1825</v>
      </c>
      <c r="I7" s="69" t="s">
        <v>2361</v>
      </c>
      <c r="J7" s="881" t="s">
        <v>1825</v>
      </c>
      <c r="K7" s="973" t="s">
        <v>1691</v>
      </c>
      <c r="L7" s="972"/>
      <c r="M7" s="972" t="s">
        <v>3330</v>
      </c>
      <c r="N7" s="977"/>
      <c r="O7" s="978"/>
      <c r="P7" s="2839">
        <f t="shared" si="4"/>
        <v>423.83720974677476</v>
      </c>
      <c r="Q7" s="977"/>
      <c r="R7" s="977"/>
      <c r="S7" s="2841">
        <f>P7*E7</f>
        <v>2543.0232584806486</v>
      </c>
      <c r="T7" s="177">
        <f t="shared" si="1"/>
        <v>976</v>
      </c>
      <c r="U7" s="124">
        <f t="shared" si="2"/>
        <v>0.64400000000000002</v>
      </c>
      <c r="V7" s="49">
        <f t="shared" si="3"/>
        <v>0.95</v>
      </c>
      <c r="W7" s="25">
        <f>AF27</f>
        <v>85544</v>
      </c>
      <c r="X7" s="2849"/>
      <c r="Y7" s="263">
        <v>6.4000000000000001E-2</v>
      </c>
      <c r="Z7" s="2100">
        <v>6.4000000000000001E-2</v>
      </c>
      <c r="AA7" s="2100"/>
      <c r="AB7" s="49" t="s">
        <v>1939</v>
      </c>
      <c r="AC7" s="2700">
        <f>+$B$86</f>
        <v>0.8</v>
      </c>
      <c r="AD7" s="134">
        <f>+$AA$20</f>
        <v>0.02</v>
      </c>
      <c r="AE7" s="133">
        <v>0</v>
      </c>
      <c r="AF7" s="51">
        <v>0</v>
      </c>
      <c r="AG7" s="2835">
        <f>+VLOOKUP(K7, $G$63:$H$69,2,FALSE)*W7/(1-Z7)*((V7*(1-Z7)/(AC7*(1-Y7)))-1)/100000</f>
        <v>167.24948717948698</v>
      </c>
      <c r="AH7" s="135">
        <f>+$AA$22</f>
        <v>20</v>
      </c>
      <c r="AI7" s="136">
        <f>IFERROR(INDEX($C$86:$C$93,MATCH($I7,$A$86:$A$93,0))-INDEX($C$86:$C$93,MATCH($AC7,$B$86:$B$93,0)),0)</f>
        <v>1438</v>
      </c>
    </row>
    <row r="8" spans="1:35" ht="32.25" customHeight="1" x14ac:dyDescent="0.35">
      <c r="A8" s="1057" t="s">
        <v>3370</v>
      </c>
      <c r="B8" s="1065" t="str">
        <f>$B$2&amp;" "&amp;I8&amp;" - "&amp;H8&amp;" - "&amp;AB8</f>
        <v>Gas High Efficiency Furnace AFUE 97% - EREP - TRM</v>
      </c>
      <c r="C8" s="1057" t="s">
        <v>3371</v>
      </c>
      <c r="D8" s="1066" t="s">
        <v>2414</v>
      </c>
      <c r="E8" s="1067">
        <f t="shared" si="0"/>
        <v>6</v>
      </c>
      <c r="F8" s="1059"/>
      <c r="G8" s="1060" t="s">
        <v>1284</v>
      </c>
      <c r="H8" s="161" t="s">
        <v>1825</v>
      </c>
      <c r="I8" s="161" t="s">
        <v>3363</v>
      </c>
      <c r="J8" s="1068" t="s">
        <v>1825</v>
      </c>
      <c r="K8" s="1061" t="s">
        <v>1691</v>
      </c>
      <c r="L8" s="1062"/>
      <c r="M8" s="1062" t="s">
        <v>3330</v>
      </c>
      <c r="N8" s="1063"/>
      <c r="O8" s="1064"/>
      <c r="P8" s="2838">
        <f t="shared" si="4"/>
        <v>481.43608005521037</v>
      </c>
      <c r="Q8" s="1063"/>
      <c r="R8" s="1063"/>
      <c r="S8" s="2843">
        <f>P8*E8</f>
        <v>2888.6164803312622</v>
      </c>
      <c r="T8" s="2846">
        <f t="shared" si="1"/>
        <v>976</v>
      </c>
      <c r="U8" s="138">
        <f t="shared" si="2"/>
        <v>0.64400000000000002</v>
      </c>
      <c r="V8" s="139">
        <f t="shared" si="3"/>
        <v>0.97</v>
      </c>
      <c r="W8" s="2105">
        <f>AF28</f>
        <v>91208</v>
      </c>
      <c r="X8" s="2849"/>
      <c r="Y8" s="1247">
        <v>6.4000000000000001E-2</v>
      </c>
      <c r="Z8" s="2101">
        <v>6.4000000000000001E-2</v>
      </c>
      <c r="AA8" s="2101"/>
      <c r="AB8" s="139" t="s">
        <v>1939</v>
      </c>
      <c r="AC8" s="2701">
        <f>+$B$86</f>
        <v>0.8</v>
      </c>
      <c r="AD8" s="140">
        <f>+$AA$20</f>
        <v>0.02</v>
      </c>
      <c r="AE8" s="137">
        <v>0</v>
      </c>
      <c r="AF8" s="128">
        <v>0</v>
      </c>
      <c r="AG8" s="2836">
        <f>+VLOOKUP(K8, $G$63:$H$69,2,FALSE)*W8/(1-Z8)*((V8*(1-Z8)/(AC8*(1-Y8)))-1)/100000</f>
        <v>202.09977777777769</v>
      </c>
      <c r="AH8" s="141">
        <f>+$AA$22</f>
        <v>20</v>
      </c>
      <c r="AI8" s="142">
        <f>IFERROR(INDEX($C$86:$C$93,MATCH($I8,$A$86:$A$93,0))-INDEX($C$86:$C$93,MATCH($AC8,$B$86:$B$93,0)),0)</f>
        <v>1862</v>
      </c>
    </row>
    <row r="9" spans="1:35" ht="32.25" customHeight="1" x14ac:dyDescent="0.35">
      <c r="A9" s="966" t="s">
        <v>3372</v>
      </c>
      <c r="B9" s="955" t="str">
        <f>$B$2&amp;" "&amp;I7&amp;" - "&amp;H7&amp;" - "&amp;AB7</f>
        <v>Gas High Efficiency Furnace AFUE 95% - EREP - TRM</v>
      </c>
      <c r="C9" s="966" t="s">
        <v>3369</v>
      </c>
      <c r="D9" s="957" t="s">
        <v>2414</v>
      </c>
      <c r="E9" s="974">
        <v>20</v>
      </c>
      <c r="F9" s="975"/>
      <c r="G9" s="1040" t="s">
        <v>1284</v>
      </c>
      <c r="H9" s="69" t="s">
        <v>1825</v>
      </c>
      <c r="I9" s="69" t="s">
        <v>2361</v>
      </c>
      <c r="J9" s="881" t="s">
        <v>1825</v>
      </c>
      <c r="K9" s="973" t="s">
        <v>1691</v>
      </c>
      <c r="L9" s="972"/>
      <c r="M9" s="972" t="s">
        <v>3330</v>
      </c>
      <c r="N9" s="977"/>
      <c r="O9" s="978"/>
      <c r="P9" s="2839">
        <f>+(P7*E7+AG7*(AH7-E7))/$B$58</f>
        <v>244.22580394967332</v>
      </c>
      <c r="Q9" s="977"/>
      <c r="R9" s="977"/>
      <c r="S9" s="2844"/>
      <c r="T9" s="2847">
        <f t="shared" si="1"/>
        <v>976</v>
      </c>
      <c r="U9" s="1645">
        <f t="shared" si="2"/>
        <v>0.64400000000000002</v>
      </c>
      <c r="V9" s="351">
        <f t="shared" si="3"/>
        <v>0.95</v>
      </c>
      <c r="W9" s="2106">
        <f>AF27</f>
        <v>85544</v>
      </c>
      <c r="X9" s="2849"/>
      <c r="Y9" s="1635">
        <v>6.4000000000000001E-2</v>
      </c>
      <c r="Z9" s="2102">
        <v>6.4000000000000001E-2</v>
      </c>
      <c r="AA9" s="2102"/>
      <c r="AB9" s="781" t="s">
        <v>1939</v>
      </c>
      <c r="AC9" s="1636"/>
      <c r="AD9" s="1637"/>
      <c r="AE9" s="1638"/>
      <c r="AF9" s="1639"/>
      <c r="AG9" s="1638"/>
      <c r="AH9" s="1640"/>
      <c r="AI9" s="1640"/>
    </row>
    <row r="10" spans="1:35" ht="32.25" customHeight="1" x14ac:dyDescent="0.35">
      <c r="A10" s="1057" t="s">
        <v>3373</v>
      </c>
      <c r="B10" s="1065" t="str">
        <f>$B$2&amp;" "&amp;I8&amp;" - "&amp;H8&amp;" - "&amp;AB8</f>
        <v>Gas High Efficiency Furnace AFUE 97% - EREP - TRM</v>
      </c>
      <c r="C10" s="1057" t="s">
        <v>3371</v>
      </c>
      <c r="D10" s="1066" t="s">
        <v>2414</v>
      </c>
      <c r="E10" s="1067">
        <v>20</v>
      </c>
      <c r="F10" s="1059"/>
      <c r="G10" s="1060" t="s">
        <v>1284</v>
      </c>
      <c r="H10" s="161" t="s">
        <v>1825</v>
      </c>
      <c r="I10" s="161" t="s">
        <v>3363</v>
      </c>
      <c r="J10" s="1068" t="s">
        <v>1825</v>
      </c>
      <c r="K10" s="1061" t="s">
        <v>1691</v>
      </c>
      <c r="L10" s="1062"/>
      <c r="M10" s="1062" t="s">
        <v>3330</v>
      </c>
      <c r="N10" s="1063"/>
      <c r="O10" s="1064"/>
      <c r="P10" s="2840">
        <f>+(P8*E8+AG8*(AH8-E8))/$B$58</f>
        <v>285.90066846100751</v>
      </c>
      <c r="Q10" s="1063"/>
      <c r="R10" s="1063"/>
      <c r="S10" s="2843"/>
      <c r="T10" s="2848">
        <f t="shared" si="1"/>
        <v>976</v>
      </c>
      <c r="U10" s="1493">
        <f t="shared" si="2"/>
        <v>0.64400000000000002</v>
      </c>
      <c r="V10" s="1495">
        <f t="shared" si="3"/>
        <v>0.97</v>
      </c>
      <c r="W10" s="2107">
        <f>AF28</f>
        <v>91208</v>
      </c>
      <c r="X10" s="2849"/>
      <c r="Y10" s="1247">
        <v>6.4000000000000001E-2</v>
      </c>
      <c r="Z10" s="2103">
        <v>6.4000000000000001E-2</v>
      </c>
      <c r="AA10" s="2103"/>
      <c r="AB10" s="139" t="s">
        <v>1939</v>
      </c>
      <c r="AC10" s="1636"/>
      <c r="AD10" s="1637"/>
      <c r="AE10" s="1638"/>
      <c r="AF10" s="1639"/>
      <c r="AG10" s="1638"/>
      <c r="AH10" s="1640"/>
      <c r="AI10" s="1640"/>
    </row>
    <row r="11" spans="1:35" ht="29" x14ac:dyDescent="0.35">
      <c r="A11" s="955" t="s">
        <v>3374</v>
      </c>
      <c r="B11" s="955" t="s">
        <v>3375</v>
      </c>
      <c r="C11" s="955" t="s">
        <v>3376</v>
      </c>
      <c r="D11" s="1641" t="s">
        <v>2414</v>
      </c>
      <c r="E11" s="1642">
        <f t="shared" si="0"/>
        <v>20</v>
      </c>
      <c r="F11" s="1643"/>
      <c r="G11" s="1040" t="s">
        <v>1284</v>
      </c>
      <c r="H11" s="69" t="s">
        <v>1072</v>
      </c>
      <c r="I11" s="69" t="s">
        <v>2361</v>
      </c>
      <c r="J11" s="69" t="s">
        <v>1939</v>
      </c>
      <c r="K11" s="973" t="s">
        <v>1691</v>
      </c>
      <c r="L11" s="972" t="s">
        <v>3362</v>
      </c>
      <c r="M11" s="972" t="s">
        <v>3330</v>
      </c>
      <c r="N11" s="1118"/>
      <c r="O11" s="1644"/>
      <c r="P11" s="2839">
        <f t="shared" si="4"/>
        <v>224.33731213675208</v>
      </c>
      <c r="Q11" s="1118"/>
      <c r="R11" s="1118"/>
      <c r="S11" s="2845">
        <f>P11*E11</f>
        <v>4486.746242735042</v>
      </c>
      <c r="T11" s="2847">
        <f t="shared" si="1"/>
        <v>976</v>
      </c>
      <c r="U11" s="1645">
        <f t="shared" si="2"/>
        <v>0.8</v>
      </c>
      <c r="V11" s="1646">
        <f t="shared" si="3"/>
        <v>0.95</v>
      </c>
      <c r="W11" s="2106">
        <f>AF27</f>
        <v>85544</v>
      </c>
      <c r="X11" s="2849"/>
      <c r="Y11" s="1562">
        <v>6.4000000000000001E-2</v>
      </c>
      <c r="Z11" s="1562">
        <f>+$B$33</f>
        <v>0</v>
      </c>
      <c r="AA11" s="1562"/>
      <c r="AB11" s="351" t="s">
        <v>1939</v>
      </c>
    </row>
    <row r="12" spans="1:35" ht="45.75" customHeight="1" x14ac:dyDescent="0.35">
      <c r="A12" s="966" t="s">
        <v>3377</v>
      </c>
      <c r="B12" s="966" t="s">
        <v>3378</v>
      </c>
      <c r="C12" s="966" t="s">
        <v>3379</v>
      </c>
      <c r="D12" s="957" t="s">
        <v>2414</v>
      </c>
      <c r="E12" s="974">
        <f t="shared" si="0"/>
        <v>20</v>
      </c>
      <c r="F12" s="975"/>
      <c r="G12" s="1040" t="s">
        <v>1284</v>
      </c>
      <c r="H12" s="69" t="s">
        <v>1072</v>
      </c>
      <c r="I12" s="69" t="s">
        <v>3363</v>
      </c>
      <c r="J12" s="69" t="s">
        <v>1939</v>
      </c>
      <c r="K12" s="973" t="s">
        <v>1691</v>
      </c>
      <c r="L12" s="972" t="s">
        <v>3362</v>
      </c>
      <c r="M12" s="972" t="s">
        <v>3330</v>
      </c>
      <c r="N12" s="977"/>
      <c r="O12" s="978"/>
      <c r="P12" s="2837">
        <f t="shared" si="4"/>
        <v>262.96747555555544</v>
      </c>
      <c r="Q12" s="977"/>
      <c r="R12" s="977"/>
      <c r="S12" s="2841">
        <f>P12*E12</f>
        <v>5259.3495111111088</v>
      </c>
      <c r="T12" s="177">
        <f t="shared" si="1"/>
        <v>976</v>
      </c>
      <c r="U12" s="124">
        <f t="shared" si="2"/>
        <v>0.8</v>
      </c>
      <c r="V12" s="125">
        <f t="shared" si="3"/>
        <v>0.97</v>
      </c>
      <c r="W12" s="25">
        <f>AF28</f>
        <v>91208</v>
      </c>
      <c r="X12" s="2849"/>
      <c r="Y12" s="263">
        <v>6.4000000000000001E-2</v>
      </c>
      <c r="Z12" s="263">
        <f>+$B$33</f>
        <v>0</v>
      </c>
      <c r="AA12" s="263"/>
      <c r="AB12" s="49" t="s">
        <v>1939</v>
      </c>
    </row>
    <row r="13" spans="1:35" ht="45.75" customHeight="1" x14ac:dyDescent="0.35">
      <c r="A13" s="143"/>
      <c r="B13" s="143"/>
      <c r="C13" s="143"/>
      <c r="D13" s="143"/>
      <c r="E13" s="144"/>
      <c r="F13" s="145"/>
      <c r="G13" s="146"/>
      <c r="K13" s="50"/>
      <c r="L13" s="60"/>
      <c r="M13" s="60"/>
      <c r="N13" s="147"/>
      <c r="O13" s="148"/>
      <c r="P13" s="147"/>
      <c r="Q13" s="147"/>
      <c r="R13" s="147"/>
      <c r="S13" s="147"/>
      <c r="T13" s="149"/>
      <c r="U13" s="117"/>
      <c r="V13" s="150"/>
      <c r="W13" s="150"/>
      <c r="X13" s="147"/>
      <c r="Y13" s="147"/>
      <c r="Z13" s="147"/>
    </row>
    <row r="14" spans="1:35" ht="15" thickBot="1" x14ac:dyDescent="0.4"/>
    <row r="15" spans="1:35" ht="15" thickBot="1" x14ac:dyDescent="0.4">
      <c r="A15" s="62" t="s">
        <v>1188</v>
      </c>
      <c r="B15" s="63"/>
      <c r="C15" s="64"/>
      <c r="D15" s="64"/>
      <c r="E15" s="65"/>
      <c r="L15" s="47"/>
      <c r="M15" t="s">
        <v>3380</v>
      </c>
    </row>
    <row r="16" spans="1:35" ht="15" thickBot="1" x14ac:dyDescent="0.4">
      <c r="A16" s="2850" t="s">
        <v>3381</v>
      </c>
      <c r="B16" s="1744"/>
      <c r="C16" s="1744"/>
      <c r="D16" s="1744"/>
      <c r="E16" s="1122"/>
    </row>
    <row r="17" spans="1:33" ht="15" thickBot="1" x14ac:dyDescent="0.4">
      <c r="A17" s="154" t="s">
        <v>1078</v>
      </c>
      <c r="B17" s="2788">
        <f>'Measure-Level Adjustments'!A2</f>
        <v>44592</v>
      </c>
      <c r="L17" s="1546"/>
      <c r="M17" t="s">
        <v>3382</v>
      </c>
    </row>
    <row r="18" spans="1:33" ht="15" thickBot="1" x14ac:dyDescent="0.4">
      <c r="A18" s="154" t="s">
        <v>1079</v>
      </c>
      <c r="B18" s="2789" t="s">
        <v>632</v>
      </c>
      <c r="T18" s="154" t="s">
        <v>1082</v>
      </c>
      <c r="U18" s="64"/>
      <c r="V18" s="64"/>
      <c r="W18" s="64"/>
      <c r="X18" s="64"/>
      <c r="Y18" s="64"/>
      <c r="Z18" s="64"/>
      <c r="AA18" s="64"/>
      <c r="AB18" s="64"/>
      <c r="AC18" s="64"/>
      <c r="AD18" s="64"/>
      <c r="AE18" s="65"/>
    </row>
    <row r="19" spans="1:33" ht="15" thickBot="1" x14ac:dyDescent="0.4">
      <c r="T19" s="158">
        <v>42310</v>
      </c>
      <c r="U19" s="69"/>
      <c r="V19" s="69"/>
      <c r="W19" s="69"/>
      <c r="X19" s="69"/>
      <c r="Y19" s="69"/>
      <c r="Z19" s="69"/>
      <c r="AA19" s="69"/>
      <c r="AB19" s="69"/>
      <c r="AC19" s="69"/>
      <c r="AD19" s="69"/>
      <c r="AE19" s="100"/>
    </row>
    <row r="20" spans="1:33" ht="15" thickBot="1" x14ac:dyDescent="0.4">
      <c r="A20" s="74" t="s">
        <v>1285</v>
      </c>
      <c r="B20" s="75" t="s">
        <v>1199</v>
      </c>
      <c r="C20" s="76" t="s">
        <v>1082</v>
      </c>
      <c r="D20" s="64"/>
      <c r="E20" s="64"/>
      <c r="F20" s="64"/>
      <c r="G20" s="64"/>
      <c r="H20" s="64"/>
      <c r="I20" s="64"/>
      <c r="J20" s="65"/>
      <c r="T20" s="636" t="s">
        <v>3383</v>
      </c>
      <c r="U20" s="69"/>
      <c r="V20" s="69"/>
      <c r="W20" s="69"/>
      <c r="X20" s="69"/>
      <c r="Y20" s="69"/>
      <c r="Z20" s="69"/>
      <c r="AA20" s="159">
        <v>0.02</v>
      </c>
      <c r="AB20" s="69"/>
      <c r="AC20" s="69"/>
      <c r="AD20" s="69"/>
      <c r="AE20" s="100"/>
    </row>
    <row r="21" spans="1:33" ht="15" thickBot="1" x14ac:dyDescent="0.4">
      <c r="A21" s="151"/>
      <c r="B21" s="152"/>
      <c r="C21" s="152"/>
      <c r="D21" s="152"/>
      <c r="E21" s="152"/>
      <c r="F21" s="152"/>
      <c r="G21" s="152"/>
      <c r="H21" s="152"/>
      <c r="I21" s="152"/>
      <c r="J21" s="153"/>
      <c r="T21" s="160" t="s">
        <v>3384</v>
      </c>
      <c r="U21" s="161"/>
      <c r="V21" s="161"/>
      <c r="W21" s="161"/>
      <c r="X21" s="161"/>
      <c r="Y21" s="161"/>
      <c r="Z21" s="161"/>
      <c r="AA21" s="162">
        <v>0.8</v>
      </c>
      <c r="AB21" s="161"/>
      <c r="AC21" s="161"/>
      <c r="AD21" s="161"/>
      <c r="AE21" s="163"/>
    </row>
    <row r="22" spans="1:33" ht="15" thickBot="1" x14ac:dyDescent="0.4">
      <c r="A22" s="155"/>
      <c r="B22" s="156"/>
      <c r="C22" s="156"/>
      <c r="D22" s="156"/>
      <c r="E22" s="156"/>
      <c r="F22" s="156"/>
      <c r="G22" s="156"/>
      <c r="H22" s="156"/>
      <c r="I22" s="156"/>
      <c r="J22" s="157"/>
      <c r="T22" s="160" t="s">
        <v>3367</v>
      </c>
      <c r="U22" s="161"/>
      <c r="V22" s="161"/>
      <c r="W22" s="161"/>
      <c r="X22" s="161"/>
      <c r="Y22" s="161"/>
      <c r="Z22" s="161"/>
      <c r="AA22" s="164">
        <v>20</v>
      </c>
      <c r="AB22" s="161"/>
      <c r="AC22" s="161"/>
      <c r="AD22" s="161"/>
      <c r="AE22" s="163"/>
    </row>
    <row r="23" spans="1:33" x14ac:dyDescent="0.35">
      <c r="A23" s="151"/>
      <c r="B23" s="152"/>
      <c r="C23" s="152"/>
      <c r="D23" s="152"/>
      <c r="E23" s="152"/>
      <c r="F23" s="152"/>
      <c r="G23" s="152"/>
      <c r="H23" s="152"/>
      <c r="I23" s="152"/>
      <c r="J23" s="153"/>
    </row>
    <row r="24" spans="1:33" ht="15" thickBot="1" x14ac:dyDescent="0.4">
      <c r="A24" s="155"/>
      <c r="B24" s="156"/>
      <c r="C24" s="156"/>
      <c r="D24" s="156"/>
      <c r="E24" s="156"/>
      <c r="F24" s="156"/>
      <c r="G24" s="156"/>
      <c r="H24" s="156"/>
      <c r="I24" s="156"/>
      <c r="J24" s="157"/>
    </row>
    <row r="25" spans="1:33" x14ac:dyDescent="0.35">
      <c r="A25" s="151" t="s">
        <v>3344</v>
      </c>
      <c r="B25" s="152"/>
      <c r="C25" s="152" t="s">
        <v>3385</v>
      </c>
      <c r="D25" s="152"/>
      <c r="E25" s="152"/>
      <c r="F25" s="152"/>
      <c r="G25" s="152"/>
      <c r="H25" s="152"/>
      <c r="I25" s="152"/>
      <c r="J25" s="153"/>
      <c r="X25" s="2096"/>
    </row>
    <row r="26" spans="1:33" ht="44" thickBot="1" x14ac:dyDescent="0.4">
      <c r="A26" s="155"/>
      <c r="B26" s="156"/>
      <c r="C26" s="156" t="s">
        <v>3386</v>
      </c>
      <c r="D26" s="156"/>
      <c r="E26" s="156"/>
      <c r="F26" s="156"/>
      <c r="G26" s="156"/>
      <c r="H26" s="156"/>
      <c r="I26" s="156"/>
      <c r="J26" s="157"/>
      <c r="U26" s="3304"/>
      <c r="V26" s="3304"/>
      <c r="W26" s="1647"/>
      <c r="AB26" s="1647"/>
      <c r="AC26" s="1647"/>
      <c r="AD26" s="1647"/>
      <c r="AE26" s="2091" t="s">
        <v>3387</v>
      </c>
      <c r="AF26" s="2092" t="s">
        <v>3388</v>
      </c>
      <c r="AG26" s="2093" t="s">
        <v>3389</v>
      </c>
    </row>
    <row r="27" spans="1:33" x14ac:dyDescent="0.35">
      <c r="A27" s="151" t="s">
        <v>3325</v>
      </c>
      <c r="B27" s="152"/>
      <c r="C27" s="152" t="s">
        <v>3390</v>
      </c>
      <c r="D27" s="152"/>
      <c r="E27" s="152"/>
      <c r="F27" s="152"/>
      <c r="G27" s="152"/>
      <c r="H27" s="152"/>
      <c r="I27" s="152"/>
      <c r="J27" s="153"/>
      <c r="U27" s="3304"/>
      <c r="V27" s="3304"/>
      <c r="AB27" s="355"/>
      <c r="AE27" s="1" t="s">
        <v>3391</v>
      </c>
      <c r="AF27" s="2094">
        <v>85544</v>
      </c>
      <c r="AG27" s="2095">
        <v>84000</v>
      </c>
    </row>
    <row r="28" spans="1:33" ht="15" thickBot="1" x14ac:dyDescent="0.4">
      <c r="A28" s="155"/>
      <c r="B28" s="156"/>
      <c r="C28" s="165" t="s">
        <v>3392</v>
      </c>
      <c r="D28" s="156"/>
      <c r="E28" s="156"/>
      <c r="F28" s="156"/>
      <c r="G28" s="156"/>
      <c r="H28" s="156"/>
      <c r="I28" s="156"/>
      <c r="J28" s="157"/>
      <c r="U28" s="3304"/>
      <c r="V28" s="3304"/>
      <c r="AB28" s="355"/>
      <c r="AE28" s="1" t="s">
        <v>3393</v>
      </c>
      <c r="AF28" s="2094">
        <v>91208</v>
      </c>
      <c r="AG28" s="2095">
        <v>87796</v>
      </c>
    </row>
    <row r="29" spans="1:33" x14ac:dyDescent="0.35">
      <c r="A29" s="151" t="s">
        <v>3326</v>
      </c>
      <c r="B29" s="152"/>
      <c r="C29" s="152" t="s">
        <v>3394</v>
      </c>
      <c r="D29" s="152"/>
      <c r="E29" s="152"/>
      <c r="F29" s="152"/>
      <c r="G29" s="152"/>
      <c r="H29" s="152"/>
      <c r="I29" s="152"/>
      <c r="J29" s="153"/>
      <c r="U29" s="3304"/>
      <c r="V29" s="3304"/>
      <c r="AB29" s="355"/>
      <c r="AE29" s="1" t="s">
        <v>3395</v>
      </c>
      <c r="AF29" s="2094">
        <v>85974</v>
      </c>
      <c r="AG29" s="2095">
        <v>84305</v>
      </c>
    </row>
    <row r="30" spans="1:33" ht="15" thickBot="1" x14ac:dyDescent="0.4">
      <c r="A30" s="155"/>
      <c r="B30" s="156"/>
      <c r="C30" s="156" t="s">
        <v>3396</v>
      </c>
      <c r="D30" s="156"/>
      <c r="E30" s="156"/>
      <c r="F30" s="156"/>
      <c r="G30" s="156"/>
      <c r="H30" s="156"/>
      <c r="I30" s="156"/>
      <c r="J30" s="157"/>
      <c r="U30" s="3304"/>
      <c r="V30" s="3304"/>
      <c r="AB30" s="355"/>
      <c r="AE30" s="1" t="s">
        <v>3397</v>
      </c>
      <c r="AF30" s="2094">
        <v>55000</v>
      </c>
      <c r="AG30" s="2095">
        <v>55000</v>
      </c>
    </row>
    <row r="31" spans="1:33" x14ac:dyDescent="0.35">
      <c r="A31" s="151" t="s">
        <v>3360</v>
      </c>
      <c r="B31" s="1246">
        <v>6.4000000000000001E-2</v>
      </c>
      <c r="C31" s="152" t="s">
        <v>3398</v>
      </c>
      <c r="D31" s="152"/>
      <c r="E31" s="152"/>
      <c r="F31" s="152"/>
      <c r="G31" s="152"/>
      <c r="H31" s="152"/>
      <c r="I31" s="152"/>
      <c r="J31" s="153"/>
      <c r="AB31" s="355"/>
    </row>
    <row r="32" spans="1:33" ht="15" thickBot="1" x14ac:dyDescent="0.4">
      <c r="A32" s="155"/>
      <c r="B32" s="156"/>
      <c r="C32" s="156" t="s">
        <v>3399</v>
      </c>
      <c r="D32" s="156"/>
      <c r="E32" s="156"/>
      <c r="F32" s="156"/>
      <c r="G32" s="156"/>
      <c r="H32" s="156"/>
      <c r="I32" s="156"/>
      <c r="J32" s="157"/>
    </row>
    <row r="33" spans="1:27" x14ac:dyDescent="0.35">
      <c r="A33" s="151" t="s">
        <v>3361</v>
      </c>
      <c r="B33" s="1117">
        <v>0</v>
      </c>
      <c r="C33" s="152" t="s">
        <v>3400</v>
      </c>
      <c r="D33" s="152"/>
      <c r="E33" s="152"/>
      <c r="F33" s="152"/>
      <c r="G33" s="152"/>
      <c r="H33" s="152"/>
      <c r="I33" s="152"/>
      <c r="J33" s="153"/>
      <c r="Y33" s="1973"/>
      <c r="Z33" s="1973"/>
      <c r="AA33" s="2097"/>
    </row>
    <row r="34" spans="1:27" ht="15" thickBot="1" x14ac:dyDescent="0.4">
      <c r="A34" s="155"/>
      <c r="B34" s="156"/>
      <c r="C34" s="156" t="s">
        <v>3401</v>
      </c>
      <c r="D34" s="156"/>
      <c r="E34" s="156"/>
      <c r="F34" s="156"/>
      <c r="G34" s="156"/>
      <c r="H34" s="156"/>
      <c r="I34" s="156"/>
      <c r="J34" s="157"/>
      <c r="X34" s="899"/>
      <c r="Y34" s="588"/>
      <c r="Z34" s="588"/>
      <c r="AA34" s="2098"/>
    </row>
    <row r="35" spans="1:27" x14ac:dyDescent="0.35">
      <c r="A35" s="151" t="s">
        <v>1083</v>
      </c>
      <c r="B35" s="152"/>
      <c r="C35" s="152" t="s">
        <v>3156</v>
      </c>
      <c r="D35" s="152"/>
      <c r="E35" s="152"/>
      <c r="F35" s="152"/>
      <c r="G35" s="152"/>
      <c r="H35" s="152"/>
      <c r="I35" s="152"/>
      <c r="J35" s="153"/>
      <c r="X35" s="199"/>
      <c r="Y35" s="588"/>
      <c r="Z35" s="588"/>
      <c r="AA35" s="2098"/>
    </row>
    <row r="36" spans="1:27" x14ac:dyDescent="0.35">
      <c r="A36" s="166"/>
      <c r="B36" s="167"/>
      <c r="C36" s="167" t="s">
        <v>3402</v>
      </c>
      <c r="D36" s="167"/>
      <c r="E36" s="167"/>
      <c r="F36" s="167"/>
      <c r="G36" s="167"/>
      <c r="H36" s="167"/>
      <c r="I36" s="167"/>
      <c r="J36" s="168"/>
      <c r="X36" s="199"/>
      <c r="Y36" s="588"/>
      <c r="Z36" s="588"/>
      <c r="AA36" s="2098"/>
    </row>
    <row r="37" spans="1:27" ht="15" thickBot="1" x14ac:dyDescent="0.4">
      <c r="A37" s="155"/>
      <c r="B37" s="156"/>
      <c r="C37" s="156"/>
      <c r="D37" s="156"/>
      <c r="E37" s="156"/>
      <c r="F37" s="156"/>
      <c r="G37" s="156"/>
      <c r="H37" s="156"/>
      <c r="I37" s="156"/>
      <c r="J37" s="157"/>
      <c r="X37" s="899"/>
      <c r="Y37" s="588"/>
      <c r="Z37" s="588"/>
      <c r="AA37" s="2098"/>
    </row>
    <row r="38" spans="1:27" x14ac:dyDescent="0.35">
      <c r="A38" s="151" t="s">
        <v>1040</v>
      </c>
      <c r="B38" s="152"/>
      <c r="C38" s="152"/>
      <c r="D38" s="152"/>
      <c r="E38" s="152"/>
      <c r="F38" s="152"/>
      <c r="G38" s="152"/>
      <c r="H38" s="152"/>
      <c r="I38" s="152"/>
      <c r="J38" s="153"/>
      <c r="X38" s="199"/>
      <c r="Y38" s="588"/>
      <c r="Z38" s="588"/>
      <c r="AA38" s="2098"/>
    </row>
    <row r="39" spans="1:27" x14ac:dyDescent="0.35">
      <c r="A39" s="166"/>
      <c r="B39" s="167"/>
      <c r="C39" s="3298"/>
      <c r="D39" s="3298"/>
      <c r="E39" s="3298"/>
      <c r="F39" s="3298"/>
      <c r="G39" s="3298"/>
      <c r="H39" s="3298"/>
      <c r="I39" s="3298"/>
      <c r="J39" s="3299"/>
    </row>
    <row r="40" spans="1:27" ht="30" customHeight="1" thickBot="1" x14ac:dyDescent="0.4">
      <c r="A40" s="155"/>
      <c r="B40" s="156"/>
      <c r="C40" s="3039"/>
      <c r="D40" s="3039"/>
      <c r="E40" s="3039"/>
      <c r="F40" s="3039"/>
      <c r="G40" s="3039"/>
      <c r="H40" s="3039"/>
      <c r="I40" s="3039"/>
      <c r="J40" s="3040"/>
      <c r="X40" s="2099"/>
    </row>
    <row r="41" spans="1:27" x14ac:dyDescent="0.35">
      <c r="A41" s="93" t="s">
        <v>3327</v>
      </c>
      <c r="B41" s="80"/>
      <c r="C41" s="80" t="s">
        <v>3403</v>
      </c>
      <c r="D41" s="80"/>
      <c r="E41" s="80"/>
      <c r="F41" s="80"/>
      <c r="G41" s="80"/>
      <c r="H41" s="80"/>
      <c r="I41" s="80"/>
      <c r="J41" s="81"/>
    </row>
    <row r="42" spans="1:27" x14ac:dyDescent="0.35">
      <c r="A42" s="254"/>
      <c r="C42" t="s">
        <v>3404</v>
      </c>
      <c r="J42" s="253"/>
    </row>
    <row r="43" spans="1:27" ht="15" thickBot="1" x14ac:dyDescent="0.4">
      <c r="A43" s="88" t="s">
        <v>2155</v>
      </c>
      <c r="B43" s="85"/>
      <c r="C43" s="85" t="s">
        <v>3405</v>
      </c>
      <c r="D43" s="85"/>
      <c r="E43" s="85"/>
      <c r="F43" s="85"/>
      <c r="G43" s="85"/>
      <c r="H43" s="85"/>
      <c r="I43" s="85"/>
      <c r="J43" s="86"/>
    </row>
    <row r="45" spans="1:27" ht="31.5" customHeight="1" x14ac:dyDescent="0.35"/>
    <row r="48" spans="1:27" ht="15" thickBot="1" x14ac:dyDescent="0.4"/>
    <row r="49" spans="1:13" ht="15" thickBot="1" x14ac:dyDescent="0.4">
      <c r="A49" s="97" t="s">
        <v>1257</v>
      </c>
      <c r="B49" s="98"/>
      <c r="C49" s="64"/>
      <c r="D49" s="64"/>
      <c r="E49" s="64"/>
      <c r="F49" s="64"/>
      <c r="G49" s="64"/>
      <c r="H49" s="64"/>
      <c r="I49" s="65"/>
    </row>
    <row r="51" spans="1:13" x14ac:dyDescent="0.35">
      <c r="A51" s="169" t="s">
        <v>1038</v>
      </c>
      <c r="B51" s="169"/>
      <c r="C51" s="169" t="s">
        <v>3406</v>
      </c>
      <c r="D51" s="169" t="s">
        <v>2412</v>
      </c>
    </row>
    <row r="52" spans="1:13" x14ac:dyDescent="0.35">
      <c r="A52" s="1" t="s">
        <v>1072</v>
      </c>
      <c r="B52" s="1" t="s">
        <v>2278</v>
      </c>
      <c r="C52" s="170" t="s">
        <v>1939</v>
      </c>
      <c r="D52" s="171">
        <v>0.8</v>
      </c>
    </row>
    <row r="53" spans="1:13" x14ac:dyDescent="0.35">
      <c r="A53" s="1" t="s">
        <v>2279</v>
      </c>
      <c r="B53" s="1" t="s">
        <v>2280</v>
      </c>
      <c r="C53" s="170" t="s">
        <v>3407</v>
      </c>
      <c r="D53" s="171"/>
      <c r="I53" s="3302" t="s">
        <v>3408</v>
      </c>
      <c r="J53" s="3303"/>
    </row>
    <row r="54" spans="1:13" x14ac:dyDescent="0.35">
      <c r="A54" s="1" t="s">
        <v>1825</v>
      </c>
      <c r="B54" s="1" t="s">
        <v>3409</v>
      </c>
      <c r="C54" s="1" t="s">
        <v>1825</v>
      </c>
      <c r="D54" s="172">
        <v>0.64</v>
      </c>
      <c r="I54" s="1" t="s">
        <v>3410</v>
      </c>
      <c r="J54" s="1">
        <f>40*2</f>
        <v>80</v>
      </c>
    </row>
    <row r="55" spans="1:13" x14ac:dyDescent="0.35">
      <c r="I55" s="1" t="s">
        <v>1842</v>
      </c>
      <c r="J55" s="1">
        <v>60</v>
      </c>
    </row>
    <row r="56" spans="1:13" x14ac:dyDescent="0.35">
      <c r="I56" s="1" t="s">
        <v>3411</v>
      </c>
      <c r="J56" s="1">
        <f>+SUM(J54:J55)</f>
        <v>140</v>
      </c>
    </row>
    <row r="57" spans="1:13" x14ac:dyDescent="0.35">
      <c r="A57" s="173" t="s">
        <v>2456</v>
      </c>
      <c r="B57" s="173" t="s">
        <v>1083</v>
      </c>
      <c r="C57" s="55"/>
      <c r="D57" s="169" t="s">
        <v>2456</v>
      </c>
      <c r="E57" s="169" t="s">
        <v>1083</v>
      </c>
      <c r="F57" s="169" t="s">
        <v>1846</v>
      </c>
      <c r="G57" s="169" t="s">
        <v>2369</v>
      </c>
    </row>
    <row r="58" spans="1:13" x14ac:dyDescent="0.35">
      <c r="A58" s="1" t="s">
        <v>1072</v>
      </c>
      <c r="B58" s="174">
        <v>20</v>
      </c>
      <c r="C58" s="55"/>
      <c r="D58" s="1"/>
      <c r="E58" s="175"/>
      <c r="F58" s="176"/>
      <c r="G58" s="1"/>
    </row>
    <row r="59" spans="1:13" x14ac:dyDescent="0.35">
      <c r="A59" s="1" t="s">
        <v>2279</v>
      </c>
      <c r="B59" s="174">
        <v>20</v>
      </c>
      <c r="C59" s="55"/>
      <c r="D59" s="1" t="s">
        <v>2361</v>
      </c>
      <c r="E59" s="175"/>
      <c r="F59" s="176">
        <f>F132</f>
        <v>0.64400000000000002</v>
      </c>
      <c r="G59" s="1">
        <v>0.95</v>
      </c>
    </row>
    <row r="60" spans="1:13" x14ac:dyDescent="0.35">
      <c r="A60" s="1" t="s">
        <v>1825</v>
      </c>
      <c r="B60" s="177">
        <v>6</v>
      </c>
      <c r="C60" s="178"/>
      <c r="D60" s="1" t="s">
        <v>3363</v>
      </c>
      <c r="E60" s="175"/>
      <c r="F60" s="176">
        <f>F132</f>
        <v>0.64400000000000002</v>
      </c>
      <c r="G60" s="1">
        <v>0.97</v>
      </c>
    </row>
    <row r="61" spans="1:13" x14ac:dyDescent="0.35">
      <c r="J61" s="179"/>
    </row>
    <row r="62" spans="1:13" ht="25.5" customHeight="1" thickBot="1" x14ac:dyDescent="0.4">
      <c r="B62" s="3169" t="s">
        <v>2369</v>
      </c>
      <c r="C62" s="3073" t="s">
        <v>1040</v>
      </c>
      <c r="D62" s="3074"/>
    </row>
    <row r="63" spans="1:13" ht="26" x14ac:dyDescent="0.35">
      <c r="B63" s="3169"/>
      <c r="C63" s="56" t="s">
        <v>3362</v>
      </c>
      <c r="D63" s="56" t="s">
        <v>3412</v>
      </c>
      <c r="G63" s="1542" t="s">
        <v>1684</v>
      </c>
      <c r="H63" s="1543" t="s">
        <v>2155</v>
      </c>
      <c r="J63" s="3300" t="s">
        <v>3413</v>
      </c>
      <c r="K63" s="3301"/>
      <c r="M63" s="60"/>
    </row>
    <row r="64" spans="1:13" x14ac:dyDescent="0.35">
      <c r="A64" t="s">
        <v>2291</v>
      </c>
      <c r="B64" s="181">
        <v>0.9</v>
      </c>
      <c r="C64" s="57">
        <v>630</v>
      </c>
      <c r="D64" s="57">
        <v>630</v>
      </c>
      <c r="G64" s="1540" t="s">
        <v>1705</v>
      </c>
      <c r="H64" s="1541">
        <v>1022</v>
      </c>
      <c r="J64" s="1536" t="s">
        <v>3330</v>
      </c>
      <c r="K64" s="1537">
        <v>1</v>
      </c>
      <c r="L64" s="184"/>
    </row>
    <row r="65" spans="1:13" x14ac:dyDescent="0.35">
      <c r="A65" t="s">
        <v>3414</v>
      </c>
      <c r="B65" s="181">
        <v>0.91</v>
      </c>
      <c r="C65" s="57">
        <v>716</v>
      </c>
      <c r="D65" s="57">
        <v>716</v>
      </c>
      <c r="E65" s="58"/>
      <c r="G65" s="1540" t="s">
        <v>1691</v>
      </c>
      <c r="H65" s="1541">
        <v>976</v>
      </c>
      <c r="J65" s="1536" t="s">
        <v>1864</v>
      </c>
      <c r="K65" s="1537">
        <v>0.65</v>
      </c>
      <c r="L65" s="184"/>
    </row>
    <row r="66" spans="1:13" ht="15" thickBot="1" x14ac:dyDescent="0.4">
      <c r="A66" t="s">
        <v>3415</v>
      </c>
      <c r="B66" s="181">
        <v>0.92</v>
      </c>
      <c r="C66" s="57">
        <v>802</v>
      </c>
      <c r="D66" s="57">
        <v>802</v>
      </c>
      <c r="G66" s="1540" t="s">
        <v>1706</v>
      </c>
      <c r="H66" s="1541">
        <v>836</v>
      </c>
      <c r="J66" s="1538" t="s">
        <v>1940</v>
      </c>
      <c r="K66" s="1539" t="s">
        <v>105</v>
      </c>
    </row>
    <row r="67" spans="1:13" x14ac:dyDescent="0.35">
      <c r="A67" t="s">
        <v>3416</v>
      </c>
      <c r="B67" s="181">
        <v>0.93</v>
      </c>
      <c r="C67" s="57">
        <v>1014</v>
      </c>
      <c r="D67" s="57">
        <v>1014</v>
      </c>
      <c r="G67" s="1540" t="s">
        <v>1707</v>
      </c>
      <c r="H67" s="1541">
        <v>645</v>
      </c>
    </row>
    <row r="68" spans="1:13" x14ac:dyDescent="0.35">
      <c r="A68" t="s">
        <v>3417</v>
      </c>
      <c r="B68" s="181">
        <v>0.94</v>
      </c>
      <c r="C68" s="57">
        <v>1226</v>
      </c>
      <c r="D68" s="57">
        <v>1226</v>
      </c>
      <c r="E68" s="58"/>
      <c r="G68" s="1540" t="s">
        <v>1708</v>
      </c>
      <c r="H68" s="1541">
        <v>656</v>
      </c>
    </row>
    <row r="69" spans="1:13" x14ac:dyDescent="0.35">
      <c r="A69" t="s">
        <v>2361</v>
      </c>
      <c r="B69" s="181">
        <v>0.95</v>
      </c>
      <c r="C69" s="57">
        <v>1438</v>
      </c>
      <c r="D69" s="57">
        <v>1438</v>
      </c>
      <c r="G69" s="1540" t="s">
        <v>1185</v>
      </c>
      <c r="H69" s="1541">
        <v>928</v>
      </c>
    </row>
    <row r="70" spans="1:13" x14ac:dyDescent="0.35">
      <c r="A70" t="s">
        <v>3418</v>
      </c>
      <c r="B70" s="181">
        <v>0.96</v>
      </c>
      <c r="C70" s="57">
        <v>1650</v>
      </c>
      <c r="D70" s="57">
        <v>1650</v>
      </c>
      <c r="G70" s="185"/>
      <c r="H70" s="186"/>
      <c r="M70" s="187"/>
    </row>
    <row r="71" spans="1:13" x14ac:dyDescent="0.35">
      <c r="A71" t="s">
        <v>1185</v>
      </c>
      <c r="B71" s="181">
        <v>0.95</v>
      </c>
      <c r="C71" s="57">
        <f>C70</f>
        <v>1650</v>
      </c>
      <c r="D71" s="57">
        <f>D70</f>
        <v>1650</v>
      </c>
      <c r="M71" s="187"/>
    </row>
    <row r="73" spans="1:13" ht="15" hidden="1" thickBot="1" x14ac:dyDescent="0.4">
      <c r="A73" s="188" t="s">
        <v>3419</v>
      </c>
    </row>
    <row r="74" spans="1:13" ht="15" hidden="1" thickBot="1" x14ac:dyDescent="0.4">
      <c r="A74" s="56" t="s">
        <v>2357</v>
      </c>
      <c r="B74" s="56" t="s">
        <v>3420</v>
      </c>
      <c r="D74" s="189" t="s">
        <v>3324</v>
      </c>
      <c r="E74" s="190" t="s">
        <v>3421</v>
      </c>
    </row>
    <row r="75" spans="1:13" ht="15" hidden="1" thickBot="1" x14ac:dyDescent="0.4">
      <c r="A75" s="191" t="s">
        <v>2291</v>
      </c>
      <c r="B75" s="191" t="s">
        <v>3422</v>
      </c>
      <c r="C75" s="192"/>
      <c r="D75" s="193" t="s">
        <v>3330</v>
      </c>
      <c r="E75" s="194">
        <v>1</v>
      </c>
    </row>
    <row r="76" spans="1:13" ht="15" hidden="1" thickBot="1" x14ac:dyDescent="0.4">
      <c r="A76" s="191" t="s">
        <v>3414</v>
      </c>
      <c r="B76" s="191" t="s">
        <v>3422</v>
      </c>
      <c r="C76" s="195"/>
      <c r="D76" s="193" t="s">
        <v>1864</v>
      </c>
      <c r="E76" s="196">
        <v>0.65</v>
      </c>
    </row>
    <row r="77" spans="1:13" ht="15" hidden="1" thickBot="1" x14ac:dyDescent="0.4">
      <c r="A77" s="191" t="s">
        <v>3415</v>
      </c>
      <c r="B77" s="191" t="s">
        <v>3423</v>
      </c>
      <c r="C77" s="197"/>
      <c r="D77" s="193" t="s">
        <v>1940</v>
      </c>
      <c r="E77" s="198" t="s">
        <v>105</v>
      </c>
    </row>
    <row r="78" spans="1:13" hidden="1" x14ac:dyDescent="0.35">
      <c r="A78" s="191" t="s">
        <v>3416</v>
      </c>
      <c r="B78" s="191" t="s">
        <v>3423</v>
      </c>
      <c r="C78" s="197"/>
      <c r="D78" s="197"/>
    </row>
    <row r="79" spans="1:13" hidden="1" x14ac:dyDescent="0.35">
      <c r="A79" s="191" t="s">
        <v>3417</v>
      </c>
      <c r="B79" s="191" t="s">
        <v>3423</v>
      </c>
      <c r="C79" s="197"/>
      <c r="D79" s="197"/>
    </row>
    <row r="80" spans="1:13" hidden="1" x14ac:dyDescent="0.35">
      <c r="A80" s="191" t="s">
        <v>2361</v>
      </c>
      <c r="B80" s="191" t="s">
        <v>3424</v>
      </c>
      <c r="C80" s="197"/>
      <c r="D80" s="197"/>
    </row>
    <row r="81" spans="1:15" hidden="1" x14ac:dyDescent="0.35">
      <c r="A81" s="191" t="s">
        <v>3418</v>
      </c>
      <c r="B81" s="191" t="s">
        <v>3424</v>
      </c>
      <c r="C81" s="197"/>
      <c r="D81" s="197"/>
    </row>
    <row r="82" spans="1:15" hidden="1" x14ac:dyDescent="0.35">
      <c r="A82" s="191" t="s">
        <v>3363</v>
      </c>
      <c r="B82" s="191" t="s">
        <v>3425</v>
      </c>
    </row>
    <row r="83" spans="1:15" ht="15" thickBot="1" x14ac:dyDescent="0.4">
      <c r="B83" s="199" t="s">
        <v>3426</v>
      </c>
    </row>
    <row r="84" spans="1:15" ht="39" x14ac:dyDescent="0.35">
      <c r="B84" s="200" t="s">
        <v>2369</v>
      </c>
      <c r="C84" s="200" t="s">
        <v>3427</v>
      </c>
      <c r="D84" s="200" t="s">
        <v>3428</v>
      </c>
      <c r="E84" s="200" t="s">
        <v>3429</v>
      </c>
      <c r="F84" s="200" t="s">
        <v>3430</v>
      </c>
      <c r="G84" s="201"/>
    </row>
    <row r="85" spans="1:15" ht="15" thickBot="1" x14ac:dyDescent="0.4">
      <c r="B85" s="202"/>
      <c r="C85" s="202"/>
      <c r="D85" s="202"/>
      <c r="E85" s="202"/>
      <c r="F85" s="202"/>
      <c r="G85" s="188"/>
    </row>
    <row r="86" spans="1:15" ht="15" thickBot="1" x14ac:dyDescent="0.4">
      <c r="B86" s="203">
        <v>0.8</v>
      </c>
      <c r="C86" s="204">
        <v>2011</v>
      </c>
      <c r="D86" s="205" t="s">
        <v>2453</v>
      </c>
      <c r="E86" s="205"/>
      <c r="F86" s="206"/>
      <c r="G86" s="207"/>
    </row>
    <row r="87" spans="1:15" ht="15" thickBot="1" x14ac:dyDescent="0.4">
      <c r="A87" t="s">
        <v>2291</v>
      </c>
      <c r="B87" s="203">
        <v>0.9</v>
      </c>
      <c r="C87" s="204">
        <v>2641</v>
      </c>
      <c r="D87" s="204">
        <f>D64</f>
        <v>630</v>
      </c>
      <c r="E87" s="204"/>
      <c r="F87" s="208"/>
      <c r="G87" s="207"/>
    </row>
    <row r="88" spans="1:15" ht="15" thickBot="1" x14ac:dyDescent="0.4">
      <c r="A88" t="s">
        <v>3414</v>
      </c>
      <c r="B88" s="203">
        <v>0.91</v>
      </c>
      <c r="C88" s="204">
        <v>2727</v>
      </c>
      <c r="D88" s="204">
        <f>D65</f>
        <v>716</v>
      </c>
      <c r="E88" s="204"/>
      <c r="F88" s="208"/>
      <c r="G88" s="188"/>
    </row>
    <row r="89" spans="1:15" ht="15" thickBot="1" x14ac:dyDescent="0.4">
      <c r="A89" t="s">
        <v>3415</v>
      </c>
      <c r="B89" s="203">
        <v>0.92</v>
      </c>
      <c r="C89" s="204">
        <v>2813</v>
      </c>
      <c r="D89" s="204">
        <f>D66</f>
        <v>802</v>
      </c>
      <c r="E89" s="204"/>
      <c r="F89" s="209"/>
      <c r="G89" s="207"/>
    </row>
    <row r="90" spans="1:15" ht="15" thickBot="1" x14ac:dyDescent="0.4">
      <c r="A90" t="s">
        <v>3416</v>
      </c>
      <c r="B90" s="210">
        <v>0.92500000000000004</v>
      </c>
      <c r="C90" s="204">
        <v>3025</v>
      </c>
      <c r="D90" s="1544">
        <v>1014</v>
      </c>
      <c r="E90" s="204"/>
      <c r="F90" s="209"/>
    </row>
    <row r="91" spans="1:15" ht="15" thickBot="1" x14ac:dyDescent="0.4">
      <c r="A91" t="s">
        <v>2361</v>
      </c>
      <c r="B91" s="203">
        <v>0.95</v>
      </c>
      <c r="C91" s="204">
        <v>3449</v>
      </c>
      <c r="D91" s="1544">
        <v>1438</v>
      </c>
      <c r="E91" s="204"/>
      <c r="F91" s="209"/>
      <c r="G91" s="207"/>
    </row>
    <row r="92" spans="1:15" ht="15" thickBot="1" x14ac:dyDescent="0.4">
      <c r="A92" t="s">
        <v>3418</v>
      </c>
      <c r="B92" s="203">
        <v>0.96</v>
      </c>
      <c r="C92" s="204">
        <v>3661</v>
      </c>
      <c r="D92" s="1544">
        <v>1650</v>
      </c>
      <c r="E92" s="204"/>
      <c r="F92" s="209"/>
      <c r="G92" s="188"/>
    </row>
    <row r="93" spans="1:15" ht="15" thickBot="1" x14ac:dyDescent="0.4">
      <c r="A93" t="s">
        <v>3363</v>
      </c>
      <c r="B93" s="203">
        <v>0.97</v>
      </c>
      <c r="C93" s="208">
        <f>C92+C92-C91</f>
        <v>3873</v>
      </c>
      <c r="D93" s="1545">
        <v>1650</v>
      </c>
      <c r="E93" s="208"/>
      <c r="F93" s="209"/>
      <c r="H93" s="188"/>
    </row>
    <row r="94" spans="1:15" x14ac:dyDescent="0.35">
      <c r="A94" t="s">
        <v>1185</v>
      </c>
      <c r="B94" s="211"/>
      <c r="C94" s="212"/>
      <c r="D94" s="212"/>
      <c r="E94" s="212"/>
      <c r="F94" s="213"/>
      <c r="H94" s="188"/>
    </row>
    <row r="95" spans="1:15" x14ac:dyDescent="0.35">
      <c r="B95" s="3297"/>
      <c r="C95" s="3297"/>
      <c r="D95" s="3297"/>
      <c r="E95" s="3297"/>
      <c r="F95" s="3297"/>
      <c r="G95" s="3297"/>
      <c r="H95" s="3297"/>
      <c r="I95" s="3297"/>
      <c r="N95" s="184"/>
      <c r="O95" s="58"/>
    </row>
    <row r="96" spans="1:15" x14ac:dyDescent="0.35">
      <c r="B96" s="1"/>
      <c r="C96" s="219" t="s">
        <v>3431</v>
      </c>
      <c r="D96" s="219"/>
      <c r="E96" s="2"/>
      <c r="N96" s="184"/>
      <c r="O96" s="58"/>
    </row>
    <row r="97" spans="2:18" ht="26" x14ac:dyDescent="0.35">
      <c r="B97" s="221" t="s">
        <v>2369</v>
      </c>
      <c r="C97" s="221" t="s">
        <v>3432</v>
      </c>
      <c r="D97" s="221" t="s">
        <v>3433</v>
      </c>
      <c r="E97" s="222" t="s">
        <v>3434</v>
      </c>
      <c r="F97" s="223"/>
      <c r="G97" s="223"/>
      <c r="H97" s="184"/>
      <c r="I97" s="214"/>
      <c r="N97" s="184"/>
      <c r="O97" s="58"/>
    </row>
    <row r="98" spans="2:18" x14ac:dyDescent="0.35">
      <c r="B98" s="225" t="s">
        <v>3435</v>
      </c>
      <c r="C98" s="225">
        <v>23</v>
      </c>
      <c r="D98" s="226">
        <v>7.0000000000000007E-2</v>
      </c>
      <c r="E98" s="227">
        <v>340</v>
      </c>
      <c r="F98" s="228"/>
      <c r="G98" s="228"/>
      <c r="H98" s="184"/>
      <c r="I98" s="214"/>
      <c r="N98" s="184"/>
      <c r="O98" s="58"/>
    </row>
    <row r="99" spans="2:18" x14ac:dyDescent="0.35">
      <c r="B99" s="225">
        <v>95</v>
      </c>
      <c r="C99" s="225">
        <v>146</v>
      </c>
      <c r="D99" s="226">
        <v>0.24</v>
      </c>
      <c r="E99" s="227">
        <v>617</v>
      </c>
      <c r="F99" s="228"/>
      <c r="G99" s="228"/>
      <c r="H99" s="184"/>
      <c r="I99" s="215"/>
      <c r="N99" s="184"/>
      <c r="O99" s="58"/>
    </row>
    <row r="100" spans="2:18" x14ac:dyDescent="0.35">
      <c r="B100" s="225">
        <v>96</v>
      </c>
      <c r="C100" s="225">
        <v>216</v>
      </c>
      <c r="D100" s="226">
        <v>0.73</v>
      </c>
      <c r="E100" s="227">
        <v>294</v>
      </c>
      <c r="F100" s="228"/>
      <c r="G100" s="228"/>
      <c r="H100" s="184"/>
      <c r="I100" s="184"/>
      <c r="N100" s="184"/>
      <c r="O100" s="58"/>
    </row>
    <row r="101" spans="2:18" x14ac:dyDescent="0.35">
      <c r="B101" s="225">
        <v>97</v>
      </c>
      <c r="C101" s="225">
        <v>123</v>
      </c>
      <c r="D101" s="226">
        <v>0.8</v>
      </c>
      <c r="E101" s="227">
        <v>153</v>
      </c>
      <c r="F101" s="228"/>
      <c r="G101" s="228"/>
      <c r="H101" s="184"/>
      <c r="I101" s="184"/>
    </row>
    <row r="102" spans="2:18" x14ac:dyDescent="0.35">
      <c r="B102" s="225">
        <v>98</v>
      </c>
      <c r="C102" s="225">
        <v>18</v>
      </c>
      <c r="D102" s="226">
        <v>0.95</v>
      </c>
      <c r="E102" s="227">
        <v>19</v>
      </c>
      <c r="F102" s="228"/>
      <c r="G102" s="228"/>
      <c r="L102" s="199"/>
      <c r="M102" s="199"/>
      <c r="N102" s="199"/>
      <c r="O102" s="199"/>
      <c r="P102" s="199"/>
      <c r="Q102" s="199"/>
      <c r="R102" s="199"/>
    </row>
    <row r="103" spans="2:18" x14ac:dyDescent="0.35">
      <c r="B103" s="188" t="s">
        <v>3436</v>
      </c>
      <c r="C103" s="188"/>
      <c r="D103" s="188"/>
      <c r="E103" s="188"/>
      <c r="F103" s="188"/>
      <c r="G103" s="188"/>
      <c r="N103" s="223"/>
    </row>
    <row r="104" spans="2:18" ht="15" thickBot="1" x14ac:dyDescent="0.4">
      <c r="N104" s="228"/>
      <c r="O104" s="199"/>
      <c r="P104" s="199"/>
      <c r="Q104" s="199"/>
      <c r="R104" s="199"/>
    </row>
    <row r="105" spans="2:18" ht="15" thickBot="1" x14ac:dyDescent="0.4">
      <c r="B105" s="241" t="s">
        <v>3437</v>
      </c>
      <c r="C105" s="242" t="s">
        <v>3438</v>
      </c>
      <c r="N105" s="228"/>
    </row>
    <row r="106" spans="2:18" ht="15" thickBot="1" x14ac:dyDescent="0.4">
      <c r="B106" s="243" t="s">
        <v>3439</v>
      </c>
      <c r="C106" s="244">
        <v>7.0000000000000007E-2</v>
      </c>
      <c r="N106" s="228"/>
    </row>
    <row r="107" spans="2:18" ht="26.5" thickBot="1" x14ac:dyDescent="0.4">
      <c r="B107" s="243" t="s">
        <v>3440</v>
      </c>
      <c r="C107" s="244">
        <v>0.14000000000000001</v>
      </c>
      <c r="D107" s="58"/>
      <c r="N107" s="228"/>
    </row>
    <row r="108" spans="2:18" ht="26.5" thickBot="1" x14ac:dyDescent="0.4">
      <c r="B108" s="243" t="s">
        <v>3441</v>
      </c>
      <c r="C108" s="244">
        <v>0.46</v>
      </c>
      <c r="D108" s="58"/>
      <c r="F108" s="199"/>
      <c r="G108" s="216"/>
      <c r="N108" s="228"/>
    </row>
    <row r="109" spans="2:18" x14ac:dyDescent="0.35">
      <c r="N109" s="188"/>
      <c r="O109" s="188"/>
      <c r="P109" s="188"/>
      <c r="Q109" s="188"/>
      <c r="R109" s="188"/>
    </row>
    <row r="111" spans="2:18" x14ac:dyDescent="0.35">
      <c r="G111" s="184"/>
    </row>
    <row r="112" spans="2:18" x14ac:dyDescent="0.35">
      <c r="G112" s="184"/>
    </row>
    <row r="113" spans="1:44" x14ac:dyDescent="0.35">
      <c r="G113" s="184"/>
    </row>
    <row r="114" spans="1:44" x14ac:dyDescent="0.35">
      <c r="G114" s="184"/>
      <c r="H114" s="119"/>
      <c r="I114" s="119"/>
      <c r="J114" s="119"/>
      <c r="K114" s="119"/>
      <c r="L114" s="119"/>
      <c r="M114" s="119"/>
      <c r="N114" s="119"/>
      <c r="O114" s="119"/>
      <c r="P114" s="119"/>
      <c r="Q114" s="119"/>
      <c r="R114" s="119"/>
    </row>
    <row r="116" spans="1:44" x14ac:dyDescent="0.35">
      <c r="B116" s="217"/>
      <c r="C116" s="218"/>
      <c r="D116" s="218"/>
      <c r="E116" s="199"/>
      <c r="F116" s="216"/>
      <c r="G116" s="216"/>
      <c r="AE116" s="199"/>
      <c r="AF116" s="199"/>
      <c r="AG116" s="199"/>
      <c r="AH116" s="199"/>
      <c r="AI116" s="199"/>
      <c r="AJ116" s="199"/>
    </row>
    <row r="117" spans="1:44" x14ac:dyDescent="0.35">
      <c r="A117" s="199"/>
      <c r="C117" s="220"/>
      <c r="E117" s="199"/>
    </row>
    <row r="118" spans="1:44" x14ac:dyDescent="0.35">
      <c r="A118" s="199"/>
      <c r="B118" s="199"/>
      <c r="C118" s="199"/>
      <c r="D118" s="199"/>
      <c r="E118" s="224"/>
      <c r="F118" s="224"/>
      <c r="G118" s="224"/>
      <c r="AE118" s="199"/>
      <c r="AF118" s="199"/>
      <c r="AG118" s="199"/>
      <c r="AH118" s="199"/>
    </row>
    <row r="119" spans="1:44" x14ac:dyDescent="0.35">
      <c r="A119" s="199"/>
      <c r="B119" s="199"/>
      <c r="C119" s="199"/>
      <c r="E119" s="224"/>
      <c r="F119" s="229"/>
      <c r="G119" s="229"/>
    </row>
    <row r="120" spans="1:44" x14ac:dyDescent="0.35">
      <c r="B120" s="230"/>
      <c r="C120" s="230"/>
      <c r="E120" s="184"/>
    </row>
    <row r="121" spans="1:44" x14ac:dyDescent="0.35">
      <c r="B121" s="230"/>
      <c r="C121" s="230"/>
      <c r="E121" s="115"/>
    </row>
    <row r="122" spans="1:44" x14ac:dyDescent="0.35">
      <c r="B122" s="230"/>
      <c r="C122" s="230"/>
      <c r="E122" s="115"/>
      <c r="F122" s="231"/>
      <c r="G122" s="231"/>
    </row>
    <row r="123" spans="1:44" x14ac:dyDescent="0.35">
      <c r="E123" s="115"/>
      <c r="F123" s="231"/>
      <c r="G123" s="231"/>
      <c r="AE123" s="188"/>
    </row>
    <row r="124" spans="1:44" hidden="1" x14ac:dyDescent="0.35"/>
    <row r="125" spans="1:44" hidden="1" x14ac:dyDescent="0.35">
      <c r="A125" t="s">
        <v>3442</v>
      </c>
    </row>
    <row r="126" spans="1:44" hidden="1" x14ac:dyDescent="0.35">
      <c r="G126" s="47"/>
    </row>
    <row r="127" spans="1:44" hidden="1" x14ac:dyDescent="0.35">
      <c r="A127" t="s">
        <v>2364</v>
      </c>
      <c r="F127">
        <v>2017</v>
      </c>
      <c r="G127">
        <v>2018</v>
      </c>
      <c r="AE127">
        <v>2043</v>
      </c>
      <c r="AF127">
        <v>2044</v>
      </c>
      <c r="AG127">
        <v>2045</v>
      </c>
      <c r="AH127">
        <v>2046</v>
      </c>
      <c r="AI127">
        <v>2047</v>
      </c>
      <c r="AJ127">
        <v>2048</v>
      </c>
      <c r="AK127">
        <v>2049</v>
      </c>
      <c r="AL127">
        <v>2050</v>
      </c>
      <c r="AM127">
        <v>2051</v>
      </c>
      <c r="AN127">
        <v>2052</v>
      </c>
      <c r="AO127">
        <v>2053</v>
      </c>
      <c r="AP127">
        <v>2054</v>
      </c>
      <c r="AQ127">
        <v>2055</v>
      </c>
      <c r="AR127">
        <v>2056</v>
      </c>
    </row>
    <row r="128" spans="1:44" hidden="1" x14ac:dyDescent="0.35">
      <c r="A128" t="s">
        <v>3443</v>
      </c>
      <c r="F128" s="119">
        <v>0.71104840886146892</v>
      </c>
      <c r="G128" s="119">
        <v>0.74302738318109951</v>
      </c>
      <c r="AE128" s="119">
        <v>1.9811844738034685</v>
      </c>
      <c r="AF128" s="119">
        <v>2.0419208091084871</v>
      </c>
      <c r="AG128" s="119">
        <v>2.1049729708866662</v>
      </c>
      <c r="AH128">
        <v>2.1714333009206834</v>
      </c>
      <c r="AI128">
        <v>2.2394659943681909</v>
      </c>
      <c r="AJ128">
        <v>2.3103373520014236</v>
      </c>
      <c r="AK128">
        <v>2.3802227665925115</v>
      </c>
      <c r="AL128">
        <v>2.4542353529335315</v>
      </c>
      <c r="AM128">
        <v>2.5295028948067828</v>
      </c>
      <c r="AN128">
        <v>2.6067650515512657</v>
      </c>
      <c r="AO128">
        <v>2.6861057951150413</v>
      </c>
      <c r="AP128">
        <v>2.7676104269623965</v>
      </c>
      <c r="AQ128">
        <v>2.8513652899839479</v>
      </c>
      <c r="AR128">
        <v>2.9374574428893712</v>
      </c>
    </row>
    <row r="129" spans="2:11" hidden="1" x14ac:dyDescent="0.35">
      <c r="F129" s="54" t="s">
        <v>3444</v>
      </c>
    </row>
    <row r="130" spans="2:11" hidden="1" x14ac:dyDescent="0.35">
      <c r="D130" s="232"/>
      <c r="E130" s="1"/>
      <c r="F130" s="1" t="s">
        <v>3445</v>
      </c>
      <c r="G130" s="1"/>
    </row>
    <row r="131" spans="2:11" ht="29" hidden="1" x14ac:dyDescent="0.35">
      <c r="D131" s="233"/>
      <c r="E131" s="233"/>
      <c r="F131" s="233" t="s">
        <v>3446</v>
      </c>
      <c r="G131" s="233" t="s">
        <v>3447</v>
      </c>
    </row>
    <row r="132" spans="2:11" hidden="1" x14ac:dyDescent="0.35">
      <c r="B132" t="s">
        <v>3448</v>
      </c>
      <c r="D132" s="234"/>
      <c r="E132" s="235"/>
      <c r="F132" s="234">
        <v>0.64400000000000002</v>
      </c>
      <c r="G132" s="236">
        <v>0.9</v>
      </c>
    </row>
    <row r="133" spans="2:11" hidden="1" x14ac:dyDescent="0.35">
      <c r="B133" t="s">
        <v>3449</v>
      </c>
      <c r="D133" s="234"/>
      <c r="E133" s="1"/>
      <c r="F133" s="234">
        <v>0.95</v>
      </c>
      <c r="G133" s="24"/>
    </row>
    <row r="134" spans="2:11" hidden="1" x14ac:dyDescent="0.35">
      <c r="B134" t="s">
        <v>3450</v>
      </c>
      <c r="D134" s="182"/>
      <c r="E134" s="1"/>
      <c r="F134" s="182">
        <f>H65</f>
        <v>976</v>
      </c>
      <c r="G134" s="24"/>
    </row>
    <row r="135" spans="2:11" hidden="1" x14ac:dyDescent="0.35">
      <c r="B135" t="s">
        <v>3451</v>
      </c>
      <c r="D135" s="237"/>
      <c r="E135" s="1"/>
      <c r="F135" s="238">
        <f>P7</f>
        <v>423.83720974677476</v>
      </c>
      <c r="G135" s="24">
        <f>ROUND(((1/G132)-(1/F133))*F134,0)</f>
        <v>57</v>
      </c>
    </row>
    <row r="136" spans="2:11" hidden="1" x14ac:dyDescent="0.35">
      <c r="B136" t="s">
        <v>1083</v>
      </c>
      <c r="D136" s="1"/>
      <c r="E136" s="1"/>
      <c r="F136" s="24">
        <v>6</v>
      </c>
      <c r="G136" s="24">
        <v>14</v>
      </c>
    </row>
    <row r="137" spans="2:11" hidden="1" x14ac:dyDescent="0.35">
      <c r="B137" t="s">
        <v>3452</v>
      </c>
      <c r="D137" s="239"/>
      <c r="E137" s="1"/>
      <c r="F137" s="240" t="e">
        <f>#REF!</f>
        <v>#REF!</v>
      </c>
      <c r="G137" s="24"/>
    </row>
    <row r="138" spans="2:11" hidden="1" x14ac:dyDescent="0.35">
      <c r="B138" t="s">
        <v>3453</v>
      </c>
      <c r="D138" s="239"/>
      <c r="E138" s="1"/>
      <c r="F138" s="240" t="e">
        <f>#REF!</f>
        <v>#REF!</v>
      </c>
      <c r="G138" s="24"/>
    </row>
    <row r="139" spans="2:11" hidden="1" x14ac:dyDescent="0.35">
      <c r="B139" t="s">
        <v>3454</v>
      </c>
      <c r="D139" s="239"/>
      <c r="E139" s="1"/>
      <c r="F139" s="240" t="e">
        <f>#REF!</f>
        <v>#REF!</v>
      </c>
      <c r="G139" s="24"/>
      <c r="H139" s="240" t="e">
        <f>#REF!</f>
        <v>#REF!</v>
      </c>
      <c r="I139" s="24"/>
    </row>
    <row r="140" spans="2:11" hidden="1" x14ac:dyDescent="0.35">
      <c r="B140" t="s">
        <v>3455</v>
      </c>
      <c r="D140" s="239"/>
      <c r="E140" s="239"/>
      <c r="F140" s="240">
        <f>C91</f>
        <v>3449</v>
      </c>
      <c r="G140" s="240">
        <f>PV($I$99,6,0,-$I$100)</f>
        <v>0</v>
      </c>
      <c r="H140" s="240">
        <v>3873</v>
      </c>
      <c r="I140" s="240">
        <f>PV($I$99,6,0,-$I$100)</f>
        <v>0</v>
      </c>
      <c r="K140" s="58"/>
    </row>
    <row r="141" spans="2:11" hidden="1" x14ac:dyDescent="0.35">
      <c r="B141" t="s">
        <v>3456</v>
      </c>
      <c r="D141" s="239"/>
      <c r="E141" s="1"/>
      <c r="F141" s="240">
        <f>F140-G140</f>
        <v>3449</v>
      </c>
      <c r="G141" s="24"/>
      <c r="H141" s="240">
        <f>H140-I140</f>
        <v>3873</v>
      </c>
      <c r="I141" s="24"/>
    </row>
    <row r="142" spans="2:11" hidden="1" x14ac:dyDescent="0.35">
      <c r="B142" t="s">
        <v>3457</v>
      </c>
      <c r="D142" s="239"/>
      <c r="E142" s="1"/>
      <c r="F142" s="240" t="e">
        <f>F141-F139</f>
        <v>#REF!</v>
      </c>
      <c r="G142" s="24"/>
      <c r="H142" s="240" t="e">
        <f>H141-H139</f>
        <v>#REF!</v>
      </c>
      <c r="I142" s="24"/>
    </row>
    <row r="143" spans="2:11" hidden="1" x14ac:dyDescent="0.35">
      <c r="B143" t="s">
        <v>3458</v>
      </c>
      <c r="D143" s="25"/>
      <c r="E143" s="25"/>
      <c r="F143" s="26">
        <f ca="1">ROUND(NPV($I$99,OFFSET($F$128,0,0,1,F$136))*F135,0)</f>
        <v>616</v>
      </c>
      <c r="G143" s="26">
        <f ca="1">ROUND(PV($I$99,F136,0,(-(NPV($I$99,OFFSET($F$128,0,F136,1,G136))*G135))),0)</f>
        <v>0</v>
      </c>
      <c r="H143" s="26" t="e">
        <f ca="1">ROUND(NPV($I$99,OFFSET($F$128,0,0,1,#REF!))*#REF!,0)</f>
        <v>#REF!</v>
      </c>
      <c r="I143" s="26" t="e">
        <f ca="1">ROUND(PV($I$99,#REF!,0,(-(NPV($I$99,OFFSET($F$128,0,#REF!,1,#REF!))*#REF!))),0)</f>
        <v>#REF!</v>
      </c>
    </row>
    <row r="144" spans="2:11" hidden="1" x14ac:dyDescent="0.35">
      <c r="D144" s="1"/>
      <c r="E144" s="1"/>
      <c r="F144" s="1"/>
      <c r="G144" s="1"/>
      <c r="H144" s="1"/>
      <c r="I144" s="1"/>
    </row>
    <row r="145" spans="2:41" hidden="1" x14ac:dyDescent="0.35">
      <c r="D145" s="1"/>
      <c r="E145" s="1"/>
      <c r="F145" s="1"/>
      <c r="G145" s="1"/>
      <c r="H145" s="1"/>
      <c r="I145" s="1"/>
    </row>
    <row r="146" spans="2:41" hidden="1" x14ac:dyDescent="0.35">
      <c r="D146" s="30"/>
    </row>
    <row r="147" spans="2:41" hidden="1" x14ac:dyDescent="0.35"/>
    <row r="148" spans="2:41" hidden="1" x14ac:dyDescent="0.35"/>
    <row r="149" spans="2:41" hidden="1" x14ac:dyDescent="0.35"/>
    <row r="154" spans="2:41" x14ac:dyDescent="0.35">
      <c r="D154" s="58"/>
    </row>
    <row r="155" spans="2:41" x14ac:dyDescent="0.35">
      <c r="B155" s="195"/>
      <c r="C155" s="195"/>
      <c r="D155" s="195"/>
      <c r="K155" s="199"/>
      <c r="L155" s="199"/>
      <c r="N155" s="199"/>
    </row>
    <row r="156" spans="2:41" x14ac:dyDescent="0.35">
      <c r="B156" s="195"/>
      <c r="C156" s="195"/>
      <c r="D156" s="195"/>
      <c r="K156" s="224"/>
      <c r="L156" s="224"/>
      <c r="M156" s="224"/>
      <c r="N156" s="224"/>
      <c r="O156" s="224"/>
      <c r="R156" s="58"/>
      <c r="AA156" s="184"/>
      <c r="AB156" s="220"/>
      <c r="AG156" s="184"/>
      <c r="AH156" s="58"/>
      <c r="AJ156" s="54"/>
      <c r="AO156" s="119"/>
    </row>
    <row r="157" spans="2:41" x14ac:dyDescent="0.35">
      <c r="D157" s="119"/>
      <c r="K157" s="224"/>
      <c r="L157" s="224"/>
      <c r="M157" s="229"/>
      <c r="N157" s="229"/>
      <c r="O157" s="224"/>
      <c r="R157" s="58"/>
      <c r="AA157" s="184"/>
      <c r="AB157" s="220"/>
      <c r="AG157" s="184"/>
      <c r="AH157" s="58"/>
      <c r="AJ157" s="54"/>
    </row>
    <row r="158" spans="2:41" x14ac:dyDescent="0.35">
      <c r="D158" s="119"/>
      <c r="K158" s="184"/>
      <c r="L158" s="184"/>
      <c r="O158" s="199"/>
      <c r="AA158" s="184"/>
      <c r="AB158" s="220"/>
      <c r="AC158" s="149"/>
    </row>
    <row r="159" spans="2:41" x14ac:dyDescent="0.35">
      <c r="D159" s="119"/>
      <c r="K159" s="115"/>
      <c r="L159" s="115"/>
      <c r="O159" s="199"/>
      <c r="AA159" s="184"/>
      <c r="AB159" s="220"/>
      <c r="AC159" s="149"/>
    </row>
    <row r="160" spans="2:41" x14ac:dyDescent="0.35">
      <c r="K160" s="115"/>
      <c r="L160" s="115"/>
      <c r="O160" s="199"/>
    </row>
    <row r="161" spans="11:15" x14ac:dyDescent="0.35">
      <c r="K161" s="115"/>
      <c r="L161" s="115"/>
      <c r="O161" s="199"/>
    </row>
  </sheetData>
  <dataConsolidate link="1"/>
  <customSheetViews>
    <customSheetView guid="{ECD6FE6A-9548-414E-B8AA-6998703C57E0}" scale="70" showPageBreaks="1" fitToPage="1" hiddenRows="1" view="pageBreakPreview" topLeftCell="H1">
      <selection activeCell="P7" sqref="P7"/>
      <pageMargins left="0" right="0" top="0" bottom="0" header="0" footer="0"/>
      <pageSetup scale="24" orientation="landscape" r:id="rId1"/>
    </customSheetView>
    <customSheetView guid="{11DE45F5-F478-4ED6-8DFF-12002C22A637}" scale="70" showPageBreaks="1" fitToPage="1" hiddenRows="1" view="pageBreakPreview" topLeftCell="H1">
      <selection activeCell="P7" sqref="P7"/>
      <pageMargins left="0" right="0" top="0" bottom="0" header="0" footer="0"/>
      <pageSetup scale="24" orientation="landscape" r:id="rId2"/>
    </customSheetView>
  </customSheetViews>
  <mergeCells count="15">
    <mergeCell ref="B95:I95"/>
    <mergeCell ref="N2:P2"/>
    <mergeCell ref="Q2:S2"/>
    <mergeCell ref="T2:V2"/>
    <mergeCell ref="C39:J39"/>
    <mergeCell ref="B62:B63"/>
    <mergeCell ref="C62:D62"/>
    <mergeCell ref="J63:K63"/>
    <mergeCell ref="I53:J53"/>
    <mergeCell ref="C40:J40"/>
    <mergeCell ref="U26:V26"/>
    <mergeCell ref="U27:V27"/>
    <mergeCell ref="U28:V28"/>
    <mergeCell ref="U29:V29"/>
    <mergeCell ref="U30:V30"/>
  </mergeCells>
  <dataValidations count="7">
    <dataValidation type="list" allowBlank="1" showInputMessage="1" showErrorMessage="1" sqref="I4:I13" xr:uid="{00000000-0002-0000-2400-000000000000}">
      <formula1>$A$87:$A$94</formula1>
    </dataValidation>
    <dataValidation type="list" allowBlank="1" showInputMessage="1" showErrorMessage="1" sqref="M4:M13" xr:uid="{00000000-0002-0000-2400-000001000000}">
      <formula1>$D$75:$D$76</formula1>
    </dataValidation>
    <dataValidation type="list" allowBlank="1" showInputMessage="1" showErrorMessage="1" sqref="J4:J13" xr:uid="{00000000-0002-0000-2400-000002000000}">
      <formula1>$C$52:$C$54</formula1>
    </dataValidation>
    <dataValidation type="list" allowBlank="1" showInputMessage="1" showErrorMessage="1" sqref="D4:D13" xr:uid="{00000000-0002-0000-2400-000003000000}">
      <formula1>MeasureType</formula1>
    </dataValidation>
    <dataValidation type="list" allowBlank="1" showInputMessage="1" showErrorMessage="1" sqref="K4:K13" xr:uid="{00000000-0002-0000-2400-000004000000}">
      <formula1>Climate1</formula1>
    </dataValidation>
    <dataValidation type="list" allowBlank="1" showInputMessage="1" showErrorMessage="1" sqref="H4:H13" xr:uid="{00000000-0002-0000-2400-000005000000}">
      <formula1>GHEF2</formula1>
    </dataValidation>
    <dataValidation type="list" allowBlank="1" showInputMessage="1" showErrorMessage="1" sqref="L4:L13" xr:uid="{00000000-0002-0000-2400-000006000000}">
      <formula1>GHEB2</formula1>
    </dataValidation>
  </dataValidations>
  <hyperlinks>
    <hyperlink ref="E76" location="_ftn1" display="_ftn1" xr:uid="{00000000-0004-0000-2400-000000000000}"/>
    <hyperlink ref="E77" location="_ftn2" display="_ftn2" xr:uid="{00000000-0004-0000-2400-000001000000}"/>
    <hyperlink ref="A1" location="'Measure-Level Adjustments'!Print_Titles" display="Measure Level Tab" xr:uid="{1776C8AA-149A-450C-8E94-25E73E19C216}"/>
  </hyperlinks>
  <pageMargins left="0.7" right="0.7" top="0.75" bottom="0.75" header="0.3" footer="0.3"/>
  <pageSetup scale="21" orientation="landscape"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pageSetUpPr fitToPage="1"/>
  </sheetPr>
  <dimension ref="A1:AD76"/>
  <sheetViews>
    <sheetView view="pageBreakPreview" zoomScale="70" zoomScaleNormal="100" zoomScaleSheetLayoutView="70" workbookViewId="0">
      <pane xSplit="1" ySplit="3" topLeftCell="B19" activePane="bottomRight" state="frozen"/>
      <selection pane="topRight" activeCell="B1" sqref="B1"/>
      <selection pane="bottomLeft" activeCell="A4" sqref="A4"/>
      <selection pane="bottomRight" activeCell="C70" sqref="C70"/>
    </sheetView>
  </sheetViews>
  <sheetFormatPr defaultRowHeight="14.5" x14ac:dyDescent="0.35"/>
  <cols>
    <col min="1" max="1" width="19.453125" customWidth="1"/>
    <col min="2" max="2" width="37.453125" customWidth="1"/>
    <col min="3" max="3" width="45.1796875" customWidth="1"/>
    <col min="4" max="4" width="20.26953125" customWidth="1"/>
    <col min="5" max="5" width="10.81640625" customWidth="1"/>
    <col min="6" max="7" width="14.54296875" customWidth="1"/>
    <col min="8" max="9" width="13" customWidth="1"/>
    <col min="10" max="10" width="10.81640625" customWidth="1"/>
    <col min="11" max="11" width="78.81640625" bestFit="1" customWidth="1"/>
    <col min="12" max="12" width="12.26953125" customWidth="1"/>
    <col min="14" max="14" width="10.54296875" customWidth="1"/>
    <col min="15" max="15" width="11.81640625" customWidth="1"/>
    <col min="17" max="17" width="9.54296875" bestFit="1" customWidth="1"/>
    <col min="18" max="18" width="11.453125" customWidth="1"/>
    <col min="20" max="20" width="11.26953125" customWidth="1"/>
    <col min="27" max="27" width="11.26953125" customWidth="1"/>
  </cols>
  <sheetData>
    <row r="1" spans="1:30" ht="35.25" customHeight="1" x14ac:dyDescent="0.35">
      <c r="A1" s="1799" t="s">
        <v>1031</v>
      </c>
    </row>
    <row r="2" spans="1:30" x14ac:dyDescent="0.35">
      <c r="A2" s="969" t="s">
        <v>708</v>
      </c>
      <c r="B2" s="968" t="s">
        <v>2806</v>
      </c>
      <c r="C2" s="968"/>
      <c r="D2" s="968"/>
      <c r="E2" s="967"/>
      <c r="F2" s="967"/>
      <c r="G2" s="967"/>
      <c r="H2" s="967"/>
      <c r="I2" s="967"/>
      <c r="J2" s="967"/>
      <c r="K2" s="967"/>
      <c r="L2" s="967"/>
      <c r="M2" s="967"/>
      <c r="N2" s="967"/>
      <c r="O2" s="3010" t="s">
        <v>1032</v>
      </c>
      <c r="P2" s="3011"/>
      <c r="Q2" s="3011"/>
      <c r="R2" s="3010" t="s">
        <v>1033</v>
      </c>
      <c r="S2" s="3011"/>
      <c r="T2" s="3011"/>
      <c r="U2" s="3305" t="s">
        <v>1158</v>
      </c>
      <c r="V2" s="3305"/>
      <c r="W2" s="3305"/>
      <c r="X2" s="3305"/>
      <c r="Y2" s="3305"/>
      <c r="Z2" s="3305"/>
      <c r="AA2" s="3305"/>
      <c r="AB2" s="3305"/>
    </row>
    <row r="3" spans="1:30" ht="36.5" x14ac:dyDescent="0.35">
      <c r="A3" s="969" t="s">
        <v>1035</v>
      </c>
      <c r="B3" s="969" t="s">
        <v>155</v>
      </c>
      <c r="C3" s="953" t="s">
        <v>1036</v>
      </c>
      <c r="D3" s="953" t="s">
        <v>1752</v>
      </c>
      <c r="E3" s="952" t="s">
        <v>1038</v>
      </c>
      <c r="F3" s="952" t="s">
        <v>1039</v>
      </c>
      <c r="G3" s="952" t="s">
        <v>2808</v>
      </c>
      <c r="H3" s="952" t="s">
        <v>1868</v>
      </c>
      <c r="I3" s="969" t="s">
        <v>1041</v>
      </c>
      <c r="J3" s="952" t="s">
        <v>2809</v>
      </c>
      <c r="K3" s="1037" t="s">
        <v>2810</v>
      </c>
      <c r="L3" s="952" t="s">
        <v>1684</v>
      </c>
      <c r="M3" s="952" t="s">
        <v>3459</v>
      </c>
      <c r="N3" s="952" t="s">
        <v>3324</v>
      </c>
      <c r="O3" s="970" t="s">
        <v>1044</v>
      </c>
      <c r="P3" s="970" t="s">
        <v>1045</v>
      </c>
      <c r="Q3" s="1038" t="s">
        <v>1046</v>
      </c>
      <c r="R3" s="970" t="s">
        <v>1044</v>
      </c>
      <c r="S3" s="970" t="s">
        <v>1045</v>
      </c>
      <c r="T3" s="971" t="s">
        <v>1046</v>
      </c>
      <c r="U3" s="59" t="s">
        <v>3460</v>
      </c>
      <c r="V3" s="59" t="s">
        <v>3461</v>
      </c>
      <c r="W3" s="59" t="s">
        <v>3462</v>
      </c>
      <c r="X3" s="59" t="s">
        <v>3421</v>
      </c>
      <c r="Y3" s="59" t="s">
        <v>3463</v>
      </c>
      <c r="Z3" s="59" t="s">
        <v>3210</v>
      </c>
      <c r="AA3" s="59" t="s">
        <v>3464</v>
      </c>
      <c r="AB3" s="59" t="s">
        <v>3465</v>
      </c>
      <c r="AD3" s="146"/>
    </row>
    <row r="4" spans="1:30" ht="52.5" x14ac:dyDescent="0.35">
      <c r="A4" s="966" t="s">
        <v>917</v>
      </c>
      <c r="B4" s="966" t="s">
        <v>3466</v>
      </c>
      <c r="C4" s="69" t="s">
        <v>916</v>
      </c>
      <c r="D4" s="957" t="s">
        <v>2828</v>
      </c>
      <c r="E4" s="69" t="s">
        <v>1583</v>
      </c>
      <c r="F4" s="974">
        <f>16*0.5</f>
        <v>8</v>
      </c>
      <c r="G4" s="1001">
        <v>55</v>
      </c>
      <c r="H4" s="1039" t="s">
        <v>3467</v>
      </c>
      <c r="I4" s="1040" t="s">
        <v>3468</v>
      </c>
      <c r="J4" s="1041" t="s">
        <v>2829</v>
      </c>
      <c r="K4" s="610" t="s">
        <v>1529</v>
      </c>
      <c r="L4" s="973" t="s">
        <v>1691</v>
      </c>
      <c r="M4" s="973" t="s">
        <v>1185</v>
      </c>
      <c r="N4" s="972" t="s">
        <v>3318</v>
      </c>
      <c r="O4" s="977"/>
      <c r="P4" s="978"/>
      <c r="Q4" s="977">
        <f>AA4*AB4*W4*X4*Y4</f>
        <v>62.31</v>
      </c>
      <c r="R4" s="977"/>
      <c r="S4" s="977"/>
      <c r="T4" s="979">
        <f>Q4*F4</f>
        <v>498.48</v>
      </c>
      <c r="U4" s="61">
        <f>VLOOKUP(K4,$B$51:$C$53,2,FALSE)</f>
        <v>0</v>
      </c>
      <c r="V4" s="49">
        <f>IF(AND(L4=$B$63,M4=$D$74)=TRUE,17734,VLOOKUP(L4,$B$58:$D$63,IF(M4=$B$74,2,3),FALSE))</f>
        <v>12218</v>
      </c>
      <c r="W4" s="262">
        <f>+$B$30</f>
        <v>6.2E-2</v>
      </c>
      <c r="X4" s="61">
        <f>VLOOKUP(N4,$B$67:$C$69,2,FALSE)</f>
        <v>1</v>
      </c>
      <c r="Y4" s="263">
        <f>VLOOKUP(E4,$G$66:$H$71,2,FALSE)</f>
        <v>1</v>
      </c>
      <c r="Z4" s="262">
        <f>+$B$36</f>
        <v>3.1399999999999997E-2</v>
      </c>
      <c r="AA4" s="49">
        <f>VLOOKUP(K4,$B$51:$D$53,3,FALSE)</f>
        <v>1</v>
      </c>
      <c r="AB4" s="49">
        <f>VLOOKUP(L4,$B$58:$E$63,4,FALSE)</f>
        <v>1005</v>
      </c>
      <c r="AD4" s="146"/>
    </row>
    <row r="5" spans="1:30" ht="52.5" x14ac:dyDescent="0.35">
      <c r="A5" s="966" t="s">
        <v>3469</v>
      </c>
      <c r="B5" s="966" t="s">
        <v>3470</v>
      </c>
      <c r="C5" s="69" t="s">
        <v>3471</v>
      </c>
      <c r="D5" s="957" t="s">
        <v>2828</v>
      </c>
      <c r="E5" s="69" t="s">
        <v>1072</v>
      </c>
      <c r="F5" s="974">
        <f>16*0.5</f>
        <v>8</v>
      </c>
      <c r="G5" s="1001">
        <v>30</v>
      </c>
      <c r="H5" s="1039" t="s">
        <v>1631</v>
      </c>
      <c r="I5" s="1040" t="s">
        <v>3468</v>
      </c>
      <c r="J5" s="1041" t="s">
        <v>2829</v>
      </c>
      <c r="K5" s="610" t="s">
        <v>1529</v>
      </c>
      <c r="L5" s="973" t="s">
        <v>1691</v>
      </c>
      <c r="M5" s="973" t="s">
        <v>1185</v>
      </c>
      <c r="N5" s="972" t="s">
        <v>3318</v>
      </c>
      <c r="O5" s="977"/>
      <c r="P5" s="978"/>
      <c r="Q5" s="977">
        <f>AA5*AB5*W5*X5*Y5</f>
        <v>34.893600000000006</v>
      </c>
      <c r="R5" s="977"/>
      <c r="S5" s="977"/>
      <c r="T5" s="979">
        <f>Q5*F5</f>
        <v>279.14880000000005</v>
      </c>
      <c r="U5" s="61">
        <f>VLOOKUP(K5,$B$51:$C$53,2,FALSE)</f>
        <v>0</v>
      </c>
      <c r="V5" s="49">
        <f>IF(AND(L5=$B$63,M5=$D$74)=TRUE,17734,VLOOKUP(L5,$B$58:$D$63,IF(M5=$B$74,2,3),FALSE))</f>
        <v>12218</v>
      </c>
      <c r="W5" s="262">
        <f>+$B$30</f>
        <v>6.2E-2</v>
      </c>
      <c r="X5" s="61">
        <f>VLOOKUP(N5,$B$67:$C$69,2,FALSE)</f>
        <v>1</v>
      </c>
      <c r="Y5" s="263">
        <f>VLOOKUP(E5,$G$66:$H$71,2,FALSE)</f>
        <v>0.56000000000000005</v>
      </c>
      <c r="Z5" s="262">
        <f>+$B$36</f>
        <v>3.1399999999999997E-2</v>
      </c>
      <c r="AA5" s="49">
        <f>VLOOKUP(K5,$B$51:$D$53,3,FALSE)</f>
        <v>1</v>
      </c>
      <c r="AB5" s="49">
        <f>VLOOKUP(L5,$B$58:$E$63,4,FALSE)</f>
        <v>1005</v>
      </c>
      <c r="AD5" s="146"/>
    </row>
    <row r="6" spans="1:30" ht="43.5" x14ac:dyDescent="0.35">
      <c r="A6" s="966" t="s">
        <v>3472</v>
      </c>
      <c r="B6" s="966" t="str">
        <f>$B$2&amp;" - ("&amp;E6&amp;" - "&amp;J6&amp;" - "&amp;N6&amp;")"</f>
        <v>Programmable Thermostats - (DI - Reprogramming existing thermostat - Single Family)</v>
      </c>
      <c r="C6" s="69" t="s">
        <v>3473</v>
      </c>
      <c r="D6" s="957" t="s">
        <v>2828</v>
      </c>
      <c r="E6" s="69" t="s">
        <v>1583</v>
      </c>
      <c r="F6" s="974">
        <f>+VLOOKUP(J6,$G$51:$H$52,2)</f>
        <v>2</v>
      </c>
      <c r="G6" s="1001"/>
      <c r="H6" s="1039"/>
      <c r="I6" s="1040" t="s">
        <v>3468</v>
      </c>
      <c r="J6" s="1041" t="s">
        <v>2891</v>
      </c>
      <c r="K6" s="610" t="s">
        <v>1529</v>
      </c>
      <c r="L6" s="973" t="s">
        <v>1691</v>
      </c>
      <c r="M6" s="973" t="s">
        <v>1185</v>
      </c>
      <c r="N6" s="972" t="s">
        <v>3318</v>
      </c>
      <c r="O6" s="977"/>
      <c r="P6" s="978"/>
      <c r="Q6" s="977">
        <f>AA6*AB6*W6*X6*Y6</f>
        <v>62.31</v>
      </c>
      <c r="R6" s="977"/>
      <c r="S6" s="977"/>
      <c r="T6" s="979">
        <f>Q6*F6</f>
        <v>124.62</v>
      </c>
      <c r="U6" s="61">
        <f>VLOOKUP(K6,$B$51:$C$53,2,FALSE)</f>
        <v>0</v>
      </c>
      <c r="V6" s="49">
        <f>IF(AND(L6=$B$63,M6=$D$74)=TRUE,17734,VLOOKUP(L6,$B$58:$D$63,IF(M6=$B$74,2,3),FALSE))</f>
        <v>12218</v>
      </c>
      <c r="W6" s="262">
        <f>+$B$30</f>
        <v>6.2E-2</v>
      </c>
      <c r="X6" s="61">
        <f>VLOOKUP(N6,$B$67:$C$69,2,FALSE)</f>
        <v>1</v>
      </c>
      <c r="Y6" s="263">
        <f>VLOOKUP(E6,$G$66:$H$71,2,FALSE)</f>
        <v>1</v>
      </c>
      <c r="Z6" s="262">
        <f>+$B$36</f>
        <v>3.1399999999999997E-2</v>
      </c>
      <c r="AA6" s="49">
        <f>VLOOKUP(K6,$B$51:$D$53,3,FALSE)</f>
        <v>1</v>
      </c>
      <c r="AB6" s="49">
        <f>VLOOKUP(L6,$B$58:$E$63,4,FALSE)</f>
        <v>1005</v>
      </c>
    </row>
    <row r="7" spans="1:30" ht="69.75" customHeight="1" x14ac:dyDescent="0.35">
      <c r="A7" s="966" t="s">
        <v>881</v>
      </c>
      <c r="B7" s="966" t="str">
        <f>$B$2&amp;" - ("&amp;E7&amp;" - "&amp;J7&amp;" - "&amp;N7&amp;")"</f>
        <v>Programmable Thermostats - (DI - New Programmable thermostat - Multifamily)</v>
      </c>
      <c r="C7" s="69" t="s">
        <v>880</v>
      </c>
      <c r="D7" s="957" t="s">
        <v>2828</v>
      </c>
      <c r="E7" s="69" t="s">
        <v>1583</v>
      </c>
      <c r="F7" s="974">
        <f>16*0.5</f>
        <v>8</v>
      </c>
      <c r="G7" s="1001"/>
      <c r="H7" s="1039"/>
      <c r="I7" s="1040" t="s">
        <v>3468</v>
      </c>
      <c r="J7" s="1041" t="s">
        <v>2829</v>
      </c>
      <c r="K7" s="610" t="s">
        <v>1529</v>
      </c>
      <c r="L7" s="973" t="s">
        <v>1691</v>
      </c>
      <c r="M7" s="973" t="s">
        <v>1185</v>
      </c>
      <c r="N7" s="972" t="s">
        <v>2556</v>
      </c>
      <c r="O7" s="977"/>
      <c r="P7" s="978"/>
      <c r="Q7" s="977">
        <f>AA7*AB7*W7*X7*Y7</f>
        <v>40.5015</v>
      </c>
      <c r="R7" s="977"/>
      <c r="S7" s="977"/>
      <c r="T7" s="979">
        <f>Q7*F7</f>
        <v>324.012</v>
      </c>
      <c r="U7" s="61">
        <f>VLOOKUP(K7,$B$51:$C$53,2,FALSE)</f>
        <v>0</v>
      </c>
      <c r="V7" s="49">
        <f>IF(AND(L7=$B$63,M7=$D$74)=TRUE,17734,VLOOKUP(L7,$B$58:$D$63,IF(M7=$B$74,2,3),FALSE))</f>
        <v>12218</v>
      </c>
      <c r="W7" s="262">
        <f>+$B$30</f>
        <v>6.2E-2</v>
      </c>
      <c r="X7" s="61">
        <f>VLOOKUP(N7,$B$67:$C$69,2,FALSE)</f>
        <v>0.65</v>
      </c>
      <c r="Y7" s="263">
        <f>VLOOKUP(E7,$G$66:$H$71,2,FALSE)</f>
        <v>1</v>
      </c>
      <c r="Z7" s="262">
        <f>+$B$36</f>
        <v>3.1399999999999997E-2</v>
      </c>
      <c r="AA7" s="49">
        <f>VLOOKUP(K7,$B$51:$D$53,3,FALSE)</f>
        <v>1</v>
      </c>
      <c r="AB7" s="49">
        <f>VLOOKUP(L7,$B$58:$E$63,4,FALSE)</f>
        <v>1005</v>
      </c>
    </row>
    <row r="8" spans="1:30" ht="78" customHeight="1" x14ac:dyDescent="0.35">
      <c r="A8" s="966" t="s">
        <v>3474</v>
      </c>
      <c r="B8" s="966" t="str">
        <f>$B$1&amp;" - ("&amp;E8&amp;" - "&amp;J8&amp;" - "&amp;N8&amp;")"</f>
        <v xml:space="preserve"> - (DI - Reprogramming existing thermostat - Multifamily)</v>
      </c>
      <c r="C8" s="69" t="s">
        <v>3475</v>
      </c>
      <c r="D8" s="957" t="s">
        <v>2828</v>
      </c>
      <c r="E8" s="69" t="s">
        <v>1583</v>
      </c>
      <c r="F8" s="974">
        <f>+VLOOKUP(J8,$G$51:$H$52,2)</f>
        <v>2</v>
      </c>
      <c r="G8" s="1001"/>
      <c r="H8" s="1039"/>
      <c r="I8" s="1040" t="s">
        <v>3468</v>
      </c>
      <c r="J8" s="1041" t="s">
        <v>2891</v>
      </c>
      <c r="K8" s="610" t="s">
        <v>1529</v>
      </c>
      <c r="L8" s="973" t="s">
        <v>1691</v>
      </c>
      <c r="M8" s="973" t="s">
        <v>1185</v>
      </c>
      <c r="N8" s="972" t="s">
        <v>2556</v>
      </c>
      <c r="O8" s="977"/>
      <c r="P8" s="978"/>
      <c r="Q8" s="977">
        <f>AA8*AB8*W8*X8*Y8</f>
        <v>40.5015</v>
      </c>
      <c r="R8" s="977"/>
      <c r="S8" s="977"/>
      <c r="T8" s="979">
        <f>Q8*F8</f>
        <v>81.003</v>
      </c>
      <c r="U8" s="61">
        <f>VLOOKUP(K8,$B$51:$C$53,2,FALSE)</f>
        <v>0</v>
      </c>
      <c r="V8" s="49">
        <f>IF(AND(L8=$B$67,M8=$D$78)=TRUE,17734,VLOOKUP(L8,$B$58:$D$63,IF(M8=$B$78,2,3),FALSE))</f>
        <v>12218</v>
      </c>
      <c r="W8" s="262">
        <f>+$B$30</f>
        <v>6.2E-2</v>
      </c>
      <c r="X8" s="61">
        <f>VLOOKUP(N8,$B$67:$C$69,2,FALSE)</f>
        <v>0.65</v>
      </c>
      <c r="Y8" s="263">
        <f>VLOOKUP(E8,$G$66:$H$71,2,FALSE)</f>
        <v>1</v>
      </c>
      <c r="Z8" s="262">
        <f>+$B$36</f>
        <v>3.1399999999999997E-2</v>
      </c>
      <c r="AA8" s="49">
        <f>VLOOKUP(K8,$B$51:$D$53,3,FALSE)</f>
        <v>1</v>
      </c>
      <c r="AB8" s="49">
        <f>VLOOKUP(L8,$B$58:$E$63,4,FALSE)</f>
        <v>1005</v>
      </c>
    </row>
    <row r="9" spans="1:30" ht="78" customHeight="1" x14ac:dyDescent="0.35">
      <c r="A9" s="966" t="s">
        <v>3476</v>
      </c>
      <c r="B9" s="956" t="s">
        <v>3477</v>
      </c>
      <c r="C9" s="69" t="s">
        <v>3478</v>
      </c>
      <c r="D9" s="956" t="s">
        <v>2828</v>
      </c>
      <c r="E9" s="69" t="s">
        <v>1583</v>
      </c>
      <c r="F9" s="2244">
        <v>2</v>
      </c>
      <c r="G9" s="1039"/>
      <c r="H9" s="1039"/>
      <c r="I9" s="1040" t="s">
        <v>3468</v>
      </c>
      <c r="J9" s="1041" t="s">
        <v>2891</v>
      </c>
      <c r="K9" s="610" t="s">
        <v>1529</v>
      </c>
      <c r="L9" s="973" t="s">
        <v>1691</v>
      </c>
      <c r="M9" s="973" t="s">
        <v>1185</v>
      </c>
      <c r="N9" s="972" t="s">
        <v>2556</v>
      </c>
      <c r="O9" s="986"/>
      <c r="P9" s="987"/>
      <c r="Q9" s="977">
        <f t="shared" ref="Q9:Q16" si="0">AA9*AB9*W9*X9*Y9</f>
        <v>40.5015</v>
      </c>
      <c r="R9" s="977"/>
      <c r="S9" s="977"/>
      <c r="T9" s="979">
        <f t="shared" ref="T9:T16" si="1">Q9*F9</f>
        <v>81.003</v>
      </c>
      <c r="U9" s="61">
        <f t="shared" ref="U9:U16" si="2">VLOOKUP(K9,$B$51:$C$53,2,FALSE)</f>
        <v>0</v>
      </c>
      <c r="V9" s="49">
        <f t="shared" ref="V9:V16" si="3">IF(AND(L9=$B$67,M9=$D$78)=TRUE,17734,VLOOKUP(L9,$B$58:$D$63,IF(M9=$B$78,2,3),FALSE))</f>
        <v>12218</v>
      </c>
      <c r="W9" s="262">
        <f t="shared" ref="W9:W16" si="4">+$B$30</f>
        <v>6.2E-2</v>
      </c>
      <c r="X9" s="61">
        <f t="shared" ref="X9:X16" si="5">VLOOKUP(N9,$B$67:$C$69,2,FALSE)</f>
        <v>0.65</v>
      </c>
      <c r="Y9" s="263">
        <f t="shared" ref="Y9:Y16" si="6">VLOOKUP(E9,$G$66:$H$71,2,FALSE)</f>
        <v>1</v>
      </c>
      <c r="Z9" s="262">
        <f t="shared" ref="Z9:Z16" si="7">+$B$36</f>
        <v>3.1399999999999997E-2</v>
      </c>
      <c r="AA9" s="49">
        <f t="shared" ref="AA9:AA16" si="8">VLOOKUP(K9,$B$51:$D$53,3,FALSE)</f>
        <v>1</v>
      </c>
      <c r="AB9" s="49">
        <f t="shared" ref="AB9:AB16" si="9">VLOOKUP(L9,$B$58:$E$63,4,FALSE)</f>
        <v>1005</v>
      </c>
    </row>
    <row r="10" spans="1:30" ht="78" customHeight="1" x14ac:dyDescent="0.35">
      <c r="A10" s="966" t="s">
        <v>707</v>
      </c>
      <c r="B10" s="956" t="s">
        <v>3479</v>
      </c>
      <c r="C10" s="69" t="s">
        <v>706</v>
      </c>
      <c r="D10" s="956" t="s">
        <v>2828</v>
      </c>
      <c r="E10" s="69" t="s">
        <v>1583</v>
      </c>
      <c r="F10" s="2244">
        <f>16*0.5</f>
        <v>8</v>
      </c>
      <c r="G10" s="1039"/>
      <c r="H10" s="1039"/>
      <c r="I10" s="1040" t="s">
        <v>3468</v>
      </c>
      <c r="J10" s="1041" t="s">
        <v>2829</v>
      </c>
      <c r="K10" s="610" t="s">
        <v>1529</v>
      </c>
      <c r="L10" s="973" t="s">
        <v>1691</v>
      </c>
      <c r="M10" s="973" t="s">
        <v>1185</v>
      </c>
      <c r="N10" s="972" t="s">
        <v>3318</v>
      </c>
      <c r="O10" s="986"/>
      <c r="P10" s="987"/>
      <c r="Q10" s="977">
        <f t="shared" si="0"/>
        <v>62.31</v>
      </c>
      <c r="R10" s="977"/>
      <c r="S10" s="977"/>
      <c r="T10" s="979">
        <f t="shared" si="1"/>
        <v>498.48</v>
      </c>
      <c r="U10" s="61">
        <f t="shared" si="2"/>
        <v>0</v>
      </c>
      <c r="V10" s="49">
        <f t="shared" si="3"/>
        <v>12218</v>
      </c>
      <c r="W10" s="262">
        <f t="shared" si="4"/>
        <v>6.2E-2</v>
      </c>
      <c r="X10" s="61">
        <f t="shared" si="5"/>
        <v>1</v>
      </c>
      <c r="Y10" s="263">
        <f t="shared" si="6"/>
        <v>1</v>
      </c>
      <c r="Z10" s="262">
        <f t="shared" si="7"/>
        <v>3.1399999999999997E-2</v>
      </c>
      <c r="AA10" s="49">
        <f t="shared" si="8"/>
        <v>1</v>
      </c>
      <c r="AB10" s="49">
        <f t="shared" si="9"/>
        <v>1005</v>
      </c>
    </row>
    <row r="11" spans="1:30" ht="78" customHeight="1" x14ac:dyDescent="0.35">
      <c r="A11" s="966" t="s">
        <v>711</v>
      </c>
      <c r="B11" s="956" t="s">
        <v>3480</v>
      </c>
      <c r="C11" s="69" t="s">
        <v>710</v>
      </c>
      <c r="D11" s="956" t="s">
        <v>2828</v>
      </c>
      <c r="E11" s="69" t="s">
        <v>1583</v>
      </c>
      <c r="F11" s="2244">
        <v>2</v>
      </c>
      <c r="G11" s="1039"/>
      <c r="H11" s="1039"/>
      <c r="I11" s="1040" t="s">
        <v>3468</v>
      </c>
      <c r="J11" s="1041" t="s">
        <v>2891</v>
      </c>
      <c r="K11" s="610" t="s">
        <v>1529</v>
      </c>
      <c r="L11" s="973" t="s">
        <v>1691</v>
      </c>
      <c r="M11" s="973" t="s">
        <v>1185</v>
      </c>
      <c r="N11" s="972" t="s">
        <v>3318</v>
      </c>
      <c r="O11" s="986"/>
      <c r="P11" s="987"/>
      <c r="Q11" s="977">
        <f t="shared" si="0"/>
        <v>62.31</v>
      </c>
      <c r="R11" s="977"/>
      <c r="S11" s="977"/>
      <c r="T11" s="979">
        <f t="shared" si="1"/>
        <v>124.62</v>
      </c>
      <c r="U11" s="61">
        <f t="shared" si="2"/>
        <v>0</v>
      </c>
      <c r="V11" s="49">
        <f t="shared" si="3"/>
        <v>12218</v>
      </c>
      <c r="W11" s="262">
        <f t="shared" si="4"/>
        <v>6.2E-2</v>
      </c>
      <c r="X11" s="61">
        <f t="shared" si="5"/>
        <v>1</v>
      </c>
      <c r="Y11" s="263">
        <f t="shared" si="6"/>
        <v>1</v>
      </c>
      <c r="Z11" s="262">
        <f t="shared" si="7"/>
        <v>3.1399999999999997E-2</v>
      </c>
      <c r="AA11" s="49">
        <f t="shared" si="8"/>
        <v>1</v>
      </c>
      <c r="AB11" s="49">
        <f t="shared" si="9"/>
        <v>1005</v>
      </c>
    </row>
    <row r="12" spans="1:30" ht="78" customHeight="1" x14ac:dyDescent="0.35">
      <c r="A12" s="966" t="s">
        <v>743</v>
      </c>
      <c r="B12" s="956" t="s">
        <v>3481</v>
      </c>
      <c r="C12" s="69" t="s">
        <v>742</v>
      </c>
      <c r="D12" s="956" t="s">
        <v>2828</v>
      </c>
      <c r="E12" s="69" t="s">
        <v>1583</v>
      </c>
      <c r="F12" s="2244">
        <f>16*0.5</f>
        <v>8</v>
      </c>
      <c r="G12" s="1039"/>
      <c r="H12" s="1039"/>
      <c r="I12" s="1040" t="s">
        <v>3468</v>
      </c>
      <c r="J12" s="1041" t="s">
        <v>2829</v>
      </c>
      <c r="K12" s="610" t="s">
        <v>1529</v>
      </c>
      <c r="L12" s="973" t="s">
        <v>1691</v>
      </c>
      <c r="M12" s="973" t="s">
        <v>1185</v>
      </c>
      <c r="N12" s="972" t="s">
        <v>2556</v>
      </c>
      <c r="O12" s="986"/>
      <c r="P12" s="987"/>
      <c r="Q12" s="977">
        <f t="shared" si="0"/>
        <v>40.5015</v>
      </c>
      <c r="R12" s="977"/>
      <c r="S12" s="977"/>
      <c r="T12" s="979">
        <f t="shared" si="1"/>
        <v>324.012</v>
      </c>
      <c r="U12" s="61">
        <f t="shared" si="2"/>
        <v>0</v>
      </c>
      <c r="V12" s="49">
        <f t="shared" si="3"/>
        <v>12218</v>
      </c>
      <c r="W12" s="262">
        <f t="shared" si="4"/>
        <v>6.2E-2</v>
      </c>
      <c r="X12" s="61">
        <f t="shared" si="5"/>
        <v>0.65</v>
      </c>
      <c r="Y12" s="263">
        <f t="shared" si="6"/>
        <v>1</v>
      </c>
      <c r="Z12" s="262">
        <f t="shared" si="7"/>
        <v>3.1399999999999997E-2</v>
      </c>
      <c r="AA12" s="49">
        <f t="shared" si="8"/>
        <v>1</v>
      </c>
      <c r="AB12" s="49">
        <f t="shared" si="9"/>
        <v>1005</v>
      </c>
    </row>
    <row r="13" spans="1:30" ht="78" customHeight="1" x14ac:dyDescent="0.35">
      <c r="A13" s="966" t="s">
        <v>931</v>
      </c>
      <c r="B13" s="956" t="s">
        <v>3482</v>
      </c>
      <c r="C13" s="69" t="s">
        <v>930</v>
      </c>
      <c r="D13" s="956" t="s">
        <v>2828</v>
      </c>
      <c r="E13" s="69" t="s">
        <v>1583</v>
      </c>
      <c r="F13" s="2244">
        <v>2</v>
      </c>
      <c r="G13" s="1039"/>
      <c r="H13" s="1039"/>
      <c r="I13" s="1040" t="s">
        <v>3468</v>
      </c>
      <c r="J13" s="1041" t="s">
        <v>2891</v>
      </c>
      <c r="K13" s="610" t="s">
        <v>1529</v>
      </c>
      <c r="L13" s="973" t="s">
        <v>1691</v>
      </c>
      <c r="M13" s="973" t="s">
        <v>1185</v>
      </c>
      <c r="N13" s="972" t="s">
        <v>2556</v>
      </c>
      <c r="O13" s="986"/>
      <c r="P13" s="987"/>
      <c r="Q13" s="977">
        <f t="shared" si="0"/>
        <v>40.5015</v>
      </c>
      <c r="R13" s="977"/>
      <c r="S13" s="977"/>
      <c r="T13" s="979">
        <f t="shared" si="1"/>
        <v>81.003</v>
      </c>
      <c r="U13" s="61">
        <f t="shared" si="2"/>
        <v>0</v>
      </c>
      <c r="V13" s="49">
        <f t="shared" si="3"/>
        <v>12218</v>
      </c>
      <c r="W13" s="262">
        <f t="shared" si="4"/>
        <v>6.2E-2</v>
      </c>
      <c r="X13" s="61">
        <f t="shared" si="5"/>
        <v>0.65</v>
      </c>
      <c r="Y13" s="263">
        <f t="shared" si="6"/>
        <v>1</v>
      </c>
      <c r="Z13" s="262">
        <f t="shared" si="7"/>
        <v>3.1399999999999997E-2</v>
      </c>
      <c r="AA13" s="49">
        <f t="shared" si="8"/>
        <v>1</v>
      </c>
      <c r="AB13" s="49">
        <f t="shared" si="9"/>
        <v>1005</v>
      </c>
    </row>
    <row r="14" spans="1:30" ht="78" customHeight="1" x14ac:dyDescent="0.35">
      <c r="A14" s="966" t="s">
        <v>3483</v>
      </c>
      <c r="B14" s="956" t="s">
        <v>3484</v>
      </c>
      <c r="C14" s="69" t="s">
        <v>3485</v>
      </c>
      <c r="D14" s="956" t="s">
        <v>2828</v>
      </c>
      <c r="E14" s="69" t="s">
        <v>1583</v>
      </c>
      <c r="F14" s="2244">
        <v>2</v>
      </c>
      <c r="G14" s="1039"/>
      <c r="H14" s="1039"/>
      <c r="I14" s="1040" t="s">
        <v>3468</v>
      </c>
      <c r="J14" s="1041" t="s">
        <v>2891</v>
      </c>
      <c r="K14" s="610" t="s">
        <v>1529</v>
      </c>
      <c r="L14" s="973" t="s">
        <v>1691</v>
      </c>
      <c r="M14" s="973" t="s">
        <v>1185</v>
      </c>
      <c r="N14" s="972" t="s">
        <v>2556</v>
      </c>
      <c r="O14" s="986"/>
      <c r="P14" s="987"/>
      <c r="Q14" s="977">
        <f t="shared" si="0"/>
        <v>40.5015</v>
      </c>
      <c r="R14" s="977"/>
      <c r="S14" s="977"/>
      <c r="T14" s="979">
        <f t="shared" si="1"/>
        <v>81.003</v>
      </c>
      <c r="U14" s="61">
        <f t="shared" si="2"/>
        <v>0</v>
      </c>
      <c r="V14" s="49">
        <f t="shared" si="3"/>
        <v>12218</v>
      </c>
      <c r="W14" s="262">
        <f t="shared" si="4"/>
        <v>6.2E-2</v>
      </c>
      <c r="X14" s="61">
        <f t="shared" si="5"/>
        <v>0.65</v>
      </c>
      <c r="Y14" s="263">
        <f t="shared" si="6"/>
        <v>1</v>
      </c>
      <c r="Z14" s="262">
        <f t="shared" si="7"/>
        <v>3.1399999999999997E-2</v>
      </c>
      <c r="AA14" s="49">
        <f t="shared" si="8"/>
        <v>1</v>
      </c>
      <c r="AB14" s="49">
        <f t="shared" si="9"/>
        <v>1005</v>
      </c>
    </row>
    <row r="15" spans="1:30" ht="78" customHeight="1" x14ac:dyDescent="0.35">
      <c r="A15" s="966" t="s">
        <v>899</v>
      </c>
      <c r="B15" s="956" t="s">
        <v>3486</v>
      </c>
      <c r="C15" s="69" t="s">
        <v>898</v>
      </c>
      <c r="D15" s="956" t="s">
        <v>2828</v>
      </c>
      <c r="E15" s="69" t="s">
        <v>1583</v>
      </c>
      <c r="F15" s="2244">
        <f>16*0.5</f>
        <v>8</v>
      </c>
      <c r="G15" s="1039"/>
      <c r="H15" s="1039"/>
      <c r="I15" s="1040" t="s">
        <v>3468</v>
      </c>
      <c r="J15" s="1041" t="s">
        <v>2829</v>
      </c>
      <c r="K15" s="610" t="s">
        <v>1529</v>
      </c>
      <c r="L15" s="973" t="s">
        <v>1691</v>
      </c>
      <c r="M15" s="973" t="s">
        <v>1185</v>
      </c>
      <c r="N15" s="972" t="s">
        <v>3318</v>
      </c>
      <c r="O15" s="986"/>
      <c r="P15" s="987"/>
      <c r="Q15" s="977">
        <f t="shared" si="0"/>
        <v>62.31</v>
      </c>
      <c r="R15" s="977"/>
      <c r="S15" s="977"/>
      <c r="T15" s="979">
        <f t="shared" si="1"/>
        <v>498.48</v>
      </c>
      <c r="U15" s="61">
        <f t="shared" si="2"/>
        <v>0</v>
      </c>
      <c r="V15" s="49">
        <f t="shared" si="3"/>
        <v>12218</v>
      </c>
      <c r="W15" s="262">
        <f t="shared" si="4"/>
        <v>6.2E-2</v>
      </c>
      <c r="X15" s="61">
        <f t="shared" si="5"/>
        <v>1</v>
      </c>
      <c r="Y15" s="263">
        <f t="shared" si="6"/>
        <v>1</v>
      </c>
      <c r="Z15" s="262">
        <f t="shared" si="7"/>
        <v>3.1399999999999997E-2</v>
      </c>
      <c r="AA15" s="49">
        <f t="shared" si="8"/>
        <v>1</v>
      </c>
      <c r="AB15" s="49">
        <f t="shared" si="9"/>
        <v>1005</v>
      </c>
    </row>
    <row r="16" spans="1:30" ht="78" customHeight="1" x14ac:dyDescent="0.35">
      <c r="A16" s="966" t="s">
        <v>865</v>
      </c>
      <c r="B16" s="956" t="s">
        <v>3487</v>
      </c>
      <c r="C16" s="69" t="s">
        <v>864</v>
      </c>
      <c r="D16" s="956" t="s">
        <v>2828</v>
      </c>
      <c r="E16" s="69" t="s">
        <v>1583</v>
      </c>
      <c r="F16" s="2244">
        <f>16*0.5</f>
        <v>8</v>
      </c>
      <c r="G16" s="1039"/>
      <c r="H16" s="1039"/>
      <c r="I16" s="1040" t="s">
        <v>3468</v>
      </c>
      <c r="J16" s="1041" t="s">
        <v>2829</v>
      </c>
      <c r="K16" s="610" t="s">
        <v>1529</v>
      </c>
      <c r="L16" s="973" t="s">
        <v>1691</v>
      </c>
      <c r="M16" s="973" t="s">
        <v>1185</v>
      </c>
      <c r="N16" s="972" t="s">
        <v>2556</v>
      </c>
      <c r="O16" s="986"/>
      <c r="P16" s="987"/>
      <c r="Q16" s="977">
        <f t="shared" si="0"/>
        <v>40.5015</v>
      </c>
      <c r="R16" s="977"/>
      <c r="S16" s="977"/>
      <c r="T16" s="979">
        <f t="shared" si="1"/>
        <v>324.012</v>
      </c>
      <c r="U16" s="61">
        <f t="shared" si="2"/>
        <v>0</v>
      </c>
      <c r="V16" s="49">
        <f t="shared" si="3"/>
        <v>12218</v>
      </c>
      <c r="W16" s="262">
        <f t="shared" si="4"/>
        <v>6.2E-2</v>
      </c>
      <c r="X16" s="61">
        <f t="shared" si="5"/>
        <v>0.65</v>
      </c>
      <c r="Y16" s="263">
        <f t="shared" si="6"/>
        <v>1</v>
      </c>
      <c r="Z16" s="262">
        <f t="shared" si="7"/>
        <v>3.1399999999999997E-2</v>
      </c>
      <c r="AA16" s="49">
        <f t="shared" si="8"/>
        <v>1</v>
      </c>
      <c r="AB16" s="49">
        <f t="shared" si="9"/>
        <v>1005</v>
      </c>
    </row>
    <row r="17" spans="1:28" x14ac:dyDescent="0.35">
      <c r="A17" s="956"/>
      <c r="B17" s="956"/>
      <c r="C17" s="69"/>
      <c r="D17" s="956"/>
      <c r="E17" s="69"/>
      <c r="F17" s="2244"/>
      <c r="G17" s="1039"/>
      <c r="H17" s="1039"/>
      <c r="I17" s="1040"/>
      <c r="J17" s="1041"/>
      <c r="K17" s="610"/>
      <c r="L17" s="973"/>
      <c r="M17" s="973"/>
      <c r="N17" s="972"/>
      <c r="O17" s="986"/>
      <c r="P17" s="987"/>
      <c r="Q17" s="986"/>
      <c r="R17" s="986"/>
      <c r="S17" s="986"/>
      <c r="T17" s="986"/>
      <c r="U17" s="429"/>
      <c r="V17" s="69"/>
      <c r="W17" s="2111"/>
      <c r="X17" s="429"/>
      <c r="Y17" s="472"/>
      <c r="Z17" s="2111"/>
      <c r="AA17" s="69"/>
      <c r="AB17" s="69"/>
    </row>
    <row r="18" spans="1:28" ht="15" thickBot="1" x14ac:dyDescent="0.4"/>
    <row r="19" spans="1:28" ht="15" thickBot="1" x14ac:dyDescent="0.4">
      <c r="A19" s="62" t="s">
        <v>1188</v>
      </c>
      <c r="B19" s="63"/>
      <c r="C19" s="64"/>
      <c r="D19" s="64"/>
      <c r="E19" s="64"/>
      <c r="F19" s="64"/>
      <c r="G19" s="64"/>
      <c r="H19" s="65"/>
      <c r="O19" s="66"/>
    </row>
    <row r="20" spans="1:28" x14ac:dyDescent="0.35">
      <c r="A20" s="67" t="s">
        <v>3488</v>
      </c>
      <c r="B20" s="68"/>
      <c r="C20" s="69"/>
      <c r="D20" s="69"/>
      <c r="E20" s="69"/>
      <c r="F20" s="69"/>
      <c r="G20" s="69"/>
      <c r="H20" s="70"/>
    </row>
    <row r="21" spans="1:28" ht="15" thickBot="1" x14ac:dyDescent="0.4">
      <c r="A21" s="71" t="s">
        <v>3489</v>
      </c>
      <c r="B21" s="72"/>
      <c r="C21" s="72"/>
      <c r="D21" s="72"/>
      <c r="E21" s="72"/>
      <c r="F21" s="72"/>
      <c r="G21" s="72"/>
      <c r="H21" s="73"/>
    </row>
    <row r="22" spans="1:28" ht="15" thickBot="1" x14ac:dyDescent="0.4">
      <c r="A22" s="154" t="s">
        <v>1078</v>
      </c>
      <c r="B22" s="1142">
        <f>'Measure-Level Adjustments'!A2</f>
        <v>44592</v>
      </c>
    </row>
    <row r="23" spans="1:28" ht="15" thickBot="1" x14ac:dyDescent="0.4">
      <c r="A23" s="154" t="s">
        <v>1079</v>
      </c>
      <c r="B23" s="577" t="s">
        <v>3490</v>
      </c>
    </row>
    <row r="24" spans="1:28" ht="15" thickBot="1" x14ac:dyDescent="0.4">
      <c r="A24" s="55"/>
    </row>
    <row r="25" spans="1:28" ht="15" thickBot="1" x14ac:dyDescent="0.4">
      <c r="A25" s="74" t="s">
        <v>1285</v>
      </c>
      <c r="B25" s="75" t="s">
        <v>1199</v>
      </c>
      <c r="C25" s="76" t="s">
        <v>1082</v>
      </c>
      <c r="D25" s="64"/>
      <c r="E25" s="64"/>
      <c r="F25" s="64"/>
      <c r="G25" s="64"/>
      <c r="H25" s="64"/>
      <c r="I25" s="64"/>
      <c r="J25" s="65"/>
    </row>
    <row r="26" spans="1:28" x14ac:dyDescent="0.35">
      <c r="A26" s="77" t="s">
        <v>3460</v>
      </c>
      <c r="B26" s="78"/>
      <c r="C26" s="79" t="s">
        <v>3491</v>
      </c>
      <c r="D26" s="80"/>
      <c r="E26" s="80"/>
      <c r="F26" s="80"/>
      <c r="G26" s="80"/>
      <c r="H26" s="80"/>
      <c r="I26" s="80"/>
      <c r="J26" s="81"/>
    </row>
    <row r="27" spans="1:28" ht="15" thickBot="1" x14ac:dyDescent="0.4">
      <c r="A27" s="82"/>
      <c r="B27" s="83"/>
      <c r="C27" s="84" t="s">
        <v>3492</v>
      </c>
      <c r="D27" s="85"/>
      <c r="E27" s="85"/>
      <c r="F27" s="85"/>
      <c r="G27" s="85"/>
      <c r="H27" s="85"/>
      <c r="I27" s="85"/>
      <c r="J27" s="86"/>
    </row>
    <row r="28" spans="1:28" x14ac:dyDescent="0.35">
      <c r="A28" s="77" t="s">
        <v>3461</v>
      </c>
      <c r="B28" s="87"/>
      <c r="C28" s="3051" t="s">
        <v>3493</v>
      </c>
      <c r="D28" s="3051"/>
      <c r="E28" s="3051"/>
      <c r="F28" s="3051"/>
      <c r="G28" s="3051"/>
      <c r="H28" s="80"/>
      <c r="I28" s="80"/>
      <c r="J28" s="81"/>
    </row>
    <row r="29" spans="1:28" ht="15" thickBot="1" x14ac:dyDescent="0.4">
      <c r="A29" s="82"/>
      <c r="B29" s="83"/>
      <c r="C29" s="84" t="s">
        <v>3494</v>
      </c>
      <c r="D29" s="85"/>
      <c r="E29" s="85"/>
      <c r="F29" s="85"/>
      <c r="G29" s="85"/>
      <c r="H29" s="85"/>
      <c r="I29" s="85"/>
      <c r="J29" s="86"/>
    </row>
    <row r="30" spans="1:28" x14ac:dyDescent="0.35">
      <c r="A30" s="77" t="s">
        <v>3462</v>
      </c>
      <c r="B30" s="266">
        <v>6.2E-2</v>
      </c>
      <c r="C30" s="3051" t="s">
        <v>3495</v>
      </c>
      <c r="D30" s="3051"/>
      <c r="E30" s="3051"/>
      <c r="F30" s="3051"/>
      <c r="G30" s="3051"/>
      <c r="H30" s="80"/>
      <c r="I30" s="80"/>
      <c r="J30" s="81"/>
    </row>
    <row r="31" spans="1:28" ht="15" thickBot="1" x14ac:dyDescent="0.4">
      <c r="A31" s="82"/>
      <c r="B31" s="83"/>
      <c r="C31" s="84" t="s">
        <v>3496</v>
      </c>
      <c r="D31" s="85"/>
      <c r="E31" s="85"/>
      <c r="F31" s="85"/>
      <c r="G31" s="85"/>
      <c r="H31" s="85"/>
      <c r="I31" s="85"/>
      <c r="J31" s="86"/>
    </row>
    <row r="32" spans="1:28" x14ac:dyDescent="0.35">
      <c r="A32" s="77" t="s">
        <v>3421</v>
      </c>
      <c r="B32" s="78"/>
      <c r="C32" s="79" t="s">
        <v>3497</v>
      </c>
      <c r="D32" s="80"/>
      <c r="E32" s="80"/>
      <c r="F32" s="80"/>
      <c r="G32" s="80"/>
      <c r="H32" s="80"/>
      <c r="I32" s="80"/>
      <c r="J32" s="81"/>
    </row>
    <row r="33" spans="1:10" ht="15" thickBot="1" x14ac:dyDescent="0.4">
      <c r="A33" s="82"/>
      <c r="B33" s="83"/>
      <c r="C33" s="84" t="s">
        <v>3498</v>
      </c>
      <c r="D33" s="85"/>
      <c r="E33" s="85"/>
      <c r="F33" s="85"/>
      <c r="G33" s="85"/>
      <c r="H33" s="85"/>
      <c r="I33" s="85"/>
      <c r="J33" s="86"/>
    </row>
    <row r="34" spans="1:10" x14ac:dyDescent="0.35">
      <c r="A34" s="77" t="s">
        <v>3463</v>
      </c>
      <c r="B34" s="78"/>
      <c r="C34" s="79" t="s">
        <v>3499</v>
      </c>
      <c r="D34" s="80"/>
      <c r="E34" s="80"/>
      <c r="F34" s="80"/>
      <c r="G34" s="80"/>
      <c r="H34" s="80"/>
      <c r="I34" s="80"/>
      <c r="J34" s="81"/>
    </row>
    <row r="35" spans="1:10" ht="26.25" customHeight="1" thickBot="1" x14ac:dyDescent="0.4">
      <c r="A35" s="88"/>
      <c r="B35" s="85"/>
      <c r="C35" s="84" t="s">
        <v>3500</v>
      </c>
      <c r="D35" s="85"/>
      <c r="E35" s="85"/>
      <c r="F35" s="85"/>
      <c r="G35" s="85"/>
      <c r="H35" s="85"/>
      <c r="I35" s="85"/>
      <c r="J35" s="86"/>
    </row>
    <row r="36" spans="1:10" x14ac:dyDescent="0.35">
      <c r="A36" s="77" t="s">
        <v>3210</v>
      </c>
      <c r="B36" s="89">
        <v>3.1399999999999997E-2</v>
      </c>
      <c r="C36" s="79" t="s">
        <v>3289</v>
      </c>
      <c r="D36" s="80"/>
      <c r="E36" s="80"/>
      <c r="F36" s="80"/>
      <c r="G36" s="80"/>
      <c r="H36" s="80"/>
      <c r="I36" s="80"/>
      <c r="J36" s="81"/>
    </row>
    <row r="37" spans="1:10" ht="15" thickBot="1" x14ac:dyDescent="0.4">
      <c r="A37" s="88"/>
      <c r="B37" s="85"/>
      <c r="C37" s="84" t="s">
        <v>3496</v>
      </c>
      <c r="D37" s="85"/>
      <c r="E37" s="85"/>
      <c r="F37" s="85"/>
      <c r="G37" s="85"/>
      <c r="H37" s="85"/>
      <c r="I37" s="85"/>
      <c r="J37" s="86"/>
    </row>
    <row r="38" spans="1:10" x14ac:dyDescent="0.35">
      <c r="A38" s="77" t="s">
        <v>3464</v>
      </c>
      <c r="B38" s="78"/>
      <c r="C38" s="79" t="s">
        <v>3501</v>
      </c>
      <c r="D38" s="80"/>
      <c r="E38" s="80"/>
      <c r="F38" s="80"/>
      <c r="G38" s="80"/>
      <c r="H38" s="80"/>
      <c r="I38" s="80"/>
      <c r="J38" s="81"/>
    </row>
    <row r="39" spans="1:10" ht="15" thickBot="1" x14ac:dyDescent="0.4">
      <c r="A39" s="88"/>
      <c r="B39" s="85"/>
      <c r="C39" s="84" t="s">
        <v>3502</v>
      </c>
      <c r="D39" s="85"/>
      <c r="E39" s="85"/>
      <c r="F39" s="85"/>
      <c r="G39" s="85"/>
      <c r="H39" s="85"/>
      <c r="I39" s="85"/>
      <c r="J39" s="86"/>
    </row>
    <row r="40" spans="1:10" x14ac:dyDescent="0.35">
      <c r="A40" s="77" t="s">
        <v>3465</v>
      </c>
      <c r="B40" s="90"/>
      <c r="C40" s="3051" t="s">
        <v>3503</v>
      </c>
      <c r="D40" s="3051"/>
      <c r="E40" s="3051"/>
      <c r="F40" s="3051"/>
      <c r="G40" s="3051"/>
      <c r="H40" s="80"/>
      <c r="I40" s="80"/>
      <c r="J40" s="81"/>
    </row>
    <row r="41" spans="1:10" ht="15" thickBot="1" x14ac:dyDescent="0.4">
      <c r="A41" s="82"/>
      <c r="B41" s="83"/>
      <c r="C41" s="84" t="s">
        <v>3492</v>
      </c>
      <c r="D41" s="85"/>
      <c r="E41" s="85"/>
      <c r="F41" s="85"/>
      <c r="G41" s="85"/>
      <c r="H41" s="85"/>
      <c r="I41" s="85"/>
      <c r="J41" s="86"/>
    </row>
    <row r="42" spans="1:10" ht="43.5" customHeight="1" x14ac:dyDescent="0.35">
      <c r="A42" s="93" t="s">
        <v>1083</v>
      </c>
      <c r="B42" s="80"/>
      <c r="C42" s="3019" t="s">
        <v>3504</v>
      </c>
      <c r="D42" s="3019"/>
      <c r="E42" s="3019"/>
      <c r="F42" s="3019"/>
      <c r="G42" s="3019"/>
      <c r="H42" s="3019"/>
      <c r="I42" s="3019"/>
      <c r="J42" s="81"/>
    </row>
    <row r="43" spans="1:10" ht="15" thickBot="1" x14ac:dyDescent="0.4">
      <c r="A43" s="88"/>
      <c r="B43" s="85"/>
      <c r="C43" s="84" t="s">
        <v>3505</v>
      </c>
      <c r="D43" s="85"/>
      <c r="E43" s="85"/>
      <c r="F43" s="85"/>
      <c r="G43" s="85"/>
      <c r="H43" s="85"/>
      <c r="I43" s="85"/>
      <c r="J43" s="86"/>
    </row>
    <row r="44" spans="1:10" ht="50.25" customHeight="1" x14ac:dyDescent="0.35">
      <c r="A44" s="93" t="s">
        <v>1040</v>
      </c>
      <c r="B44" s="80"/>
      <c r="C44" s="3019"/>
      <c r="D44" s="3019"/>
      <c r="E44" s="3019"/>
      <c r="F44" s="3019"/>
      <c r="G44" s="3019"/>
      <c r="H44" s="3019"/>
      <c r="I44" s="3019"/>
      <c r="J44" s="81"/>
    </row>
    <row r="45" spans="1:10" ht="15" thickBot="1" x14ac:dyDescent="0.4">
      <c r="A45" s="88"/>
      <c r="B45" s="85"/>
      <c r="C45" s="85"/>
      <c r="D45" s="85"/>
      <c r="E45" s="85"/>
      <c r="F45" s="85"/>
      <c r="G45" s="85"/>
      <c r="H45" s="85"/>
      <c r="I45" s="85"/>
      <c r="J45" s="86"/>
    </row>
    <row r="47" spans="1:10" ht="15" thickBot="1" x14ac:dyDescent="0.4"/>
    <row r="48" spans="1:10" ht="15" thickBot="1" x14ac:dyDescent="0.4">
      <c r="A48" s="97" t="s">
        <v>1129</v>
      </c>
      <c r="B48" s="98"/>
      <c r="C48" s="64"/>
      <c r="D48" s="64"/>
      <c r="E48" s="64"/>
      <c r="F48" s="64"/>
      <c r="G48" s="64"/>
      <c r="H48" s="64"/>
      <c r="I48" s="64"/>
      <c r="J48" s="65"/>
    </row>
    <row r="49" spans="1:11" x14ac:dyDescent="0.35">
      <c r="A49" s="99"/>
      <c r="B49" s="69"/>
      <c r="C49" s="69"/>
      <c r="D49" s="69"/>
      <c r="E49" s="69"/>
      <c r="F49" s="69"/>
      <c r="G49" s="69"/>
      <c r="H49" s="69"/>
      <c r="I49" s="69"/>
      <c r="J49" s="100"/>
    </row>
    <row r="50" spans="1:11" ht="27" customHeight="1" x14ac:dyDescent="0.35">
      <c r="A50" s="99"/>
      <c r="B50" s="56" t="s">
        <v>1568</v>
      </c>
      <c r="C50" s="56" t="s">
        <v>3506</v>
      </c>
      <c r="D50" s="56" t="s">
        <v>3507</v>
      </c>
      <c r="E50" s="69"/>
      <c r="F50" s="69"/>
      <c r="G50" s="56" t="s">
        <v>2890</v>
      </c>
      <c r="H50" s="56" t="s">
        <v>1083</v>
      </c>
      <c r="I50" s="69"/>
      <c r="J50" s="100"/>
    </row>
    <row r="51" spans="1:11" x14ac:dyDescent="0.35">
      <c r="A51" s="99"/>
      <c r="B51" s="101" t="s">
        <v>1566</v>
      </c>
      <c r="C51" s="102">
        <v>1</v>
      </c>
      <c r="D51" s="102">
        <v>0</v>
      </c>
      <c r="E51" s="69"/>
      <c r="F51" s="69"/>
      <c r="G51" s="49" t="s">
        <v>2829</v>
      </c>
      <c r="H51" s="49">
        <v>5</v>
      </c>
      <c r="I51" s="69"/>
      <c r="J51" s="100"/>
    </row>
    <row r="52" spans="1:11" x14ac:dyDescent="0.35">
      <c r="A52" s="99"/>
      <c r="B52" s="101" t="s">
        <v>1529</v>
      </c>
      <c r="C52" s="102">
        <v>0</v>
      </c>
      <c r="D52" s="102">
        <v>1</v>
      </c>
      <c r="E52" s="69"/>
      <c r="F52" s="69"/>
      <c r="G52" s="49" t="s">
        <v>2891</v>
      </c>
      <c r="H52" s="49">
        <v>2</v>
      </c>
      <c r="I52" s="69"/>
      <c r="J52" s="100"/>
    </row>
    <row r="53" spans="1:11" x14ac:dyDescent="0.35">
      <c r="A53" s="99"/>
      <c r="B53" s="101" t="s">
        <v>1185</v>
      </c>
      <c r="C53" s="2702">
        <v>0.03</v>
      </c>
      <c r="D53" s="2648">
        <v>0.97</v>
      </c>
      <c r="E53" s="69"/>
      <c r="F53" s="69"/>
      <c r="G53" s="69"/>
      <c r="H53" s="69"/>
      <c r="I53" s="69"/>
      <c r="J53" s="100"/>
    </row>
    <row r="54" spans="1:11" x14ac:dyDescent="0.35">
      <c r="A54" s="99"/>
      <c r="B54" s="69"/>
      <c r="C54" s="69"/>
      <c r="D54" s="69"/>
      <c r="E54" s="69"/>
      <c r="F54" s="69"/>
      <c r="G54" s="69"/>
      <c r="H54" s="69"/>
      <c r="I54" s="69"/>
      <c r="J54" s="100"/>
    </row>
    <row r="55" spans="1:11" x14ac:dyDescent="0.35">
      <c r="A55" s="99"/>
      <c r="B55" s="69"/>
      <c r="C55" s="69"/>
      <c r="D55" s="69"/>
      <c r="E55" s="69"/>
      <c r="F55" s="69"/>
      <c r="G55" s="69"/>
      <c r="H55" s="69"/>
      <c r="I55" s="69"/>
      <c r="J55" s="100"/>
    </row>
    <row r="56" spans="1:11" x14ac:dyDescent="0.35">
      <c r="A56" s="99"/>
      <c r="B56" s="69"/>
      <c r="C56" s="69"/>
      <c r="D56" s="69"/>
      <c r="E56" s="69"/>
      <c r="F56" s="69"/>
      <c r="G56" s="69"/>
      <c r="H56" s="69"/>
      <c r="I56" s="69"/>
      <c r="J56" s="100"/>
      <c r="K56" s="103"/>
    </row>
    <row r="57" spans="1:11" ht="52" x14ac:dyDescent="0.35">
      <c r="A57" s="99"/>
      <c r="B57" s="56" t="s">
        <v>1684</v>
      </c>
      <c r="C57" s="56" t="s">
        <v>3508</v>
      </c>
      <c r="D57" s="56" t="s">
        <v>3508</v>
      </c>
      <c r="E57" s="56" t="s">
        <v>3509</v>
      </c>
      <c r="F57" s="69"/>
      <c r="G57" s="69"/>
      <c r="H57" s="69"/>
      <c r="I57" s="104"/>
      <c r="J57" s="105"/>
    </row>
    <row r="58" spans="1:11" x14ac:dyDescent="0.35">
      <c r="A58" s="99"/>
      <c r="B58" s="106" t="s">
        <v>1705</v>
      </c>
      <c r="C58" s="107">
        <v>21741</v>
      </c>
      <c r="D58" s="108">
        <v>12789</v>
      </c>
      <c r="E58" s="109">
        <v>1052</v>
      </c>
      <c r="F58" s="69"/>
      <c r="G58" s="3073" t="s">
        <v>1040</v>
      </c>
      <c r="H58" s="3139"/>
      <c r="I58" s="3074"/>
      <c r="J58" s="100"/>
    </row>
    <row r="59" spans="1:11" ht="57" customHeight="1" x14ac:dyDescent="0.35">
      <c r="A59" s="99"/>
      <c r="B59" s="106" t="s">
        <v>1691</v>
      </c>
      <c r="C59" s="107">
        <v>20771</v>
      </c>
      <c r="D59" s="108">
        <v>12218</v>
      </c>
      <c r="E59" s="109">
        <v>1005</v>
      </c>
      <c r="F59" s="69"/>
      <c r="G59" s="56"/>
      <c r="H59" s="56" t="s">
        <v>2829</v>
      </c>
      <c r="I59" s="56" t="s">
        <v>2891</v>
      </c>
      <c r="J59" s="100"/>
    </row>
    <row r="60" spans="1:11" x14ac:dyDescent="0.35">
      <c r="A60" s="99"/>
      <c r="B60" s="106" t="s">
        <v>1706</v>
      </c>
      <c r="C60" s="107">
        <v>17789</v>
      </c>
      <c r="D60" s="108">
        <v>10464</v>
      </c>
      <c r="E60" s="109">
        <v>861</v>
      </c>
      <c r="F60" s="69"/>
      <c r="G60" s="49"/>
      <c r="H60" s="49"/>
      <c r="I60" s="49"/>
      <c r="J60" s="110"/>
    </row>
    <row r="61" spans="1:11" x14ac:dyDescent="0.35">
      <c r="A61" s="99"/>
      <c r="B61" s="106" t="s">
        <v>1707</v>
      </c>
      <c r="C61" s="107">
        <v>13722</v>
      </c>
      <c r="D61" s="108">
        <v>8072</v>
      </c>
      <c r="E61" s="109">
        <v>664</v>
      </c>
      <c r="F61" s="69"/>
      <c r="G61" s="49"/>
      <c r="H61" s="49"/>
      <c r="I61" s="49"/>
      <c r="J61" s="100"/>
    </row>
    <row r="62" spans="1:11" x14ac:dyDescent="0.35">
      <c r="A62" s="99"/>
      <c r="B62" s="106" t="s">
        <v>1708</v>
      </c>
      <c r="C62" s="107">
        <v>13966</v>
      </c>
      <c r="D62" s="108">
        <v>8215</v>
      </c>
      <c r="E62" s="109">
        <v>676</v>
      </c>
      <c r="F62" s="69"/>
      <c r="G62" s="49"/>
      <c r="H62" s="49"/>
      <c r="I62" s="49"/>
      <c r="J62" s="100"/>
    </row>
    <row r="63" spans="1:11" x14ac:dyDescent="0.35">
      <c r="A63" s="99"/>
      <c r="B63" s="106" t="s">
        <v>1185</v>
      </c>
      <c r="C63" s="107">
        <v>19743</v>
      </c>
      <c r="D63" s="108">
        <v>11613</v>
      </c>
      <c r="E63" s="109">
        <v>955</v>
      </c>
      <c r="F63" s="69"/>
      <c r="G63" s="69"/>
      <c r="H63" s="69"/>
      <c r="I63" s="104"/>
      <c r="J63" s="100"/>
    </row>
    <row r="64" spans="1:11" x14ac:dyDescent="0.35">
      <c r="A64" s="99"/>
      <c r="B64" s="69"/>
      <c r="C64" s="69"/>
      <c r="D64" s="69"/>
      <c r="E64" s="69"/>
      <c r="F64" s="69"/>
      <c r="G64" s="69"/>
      <c r="H64" s="69"/>
      <c r="I64" s="69"/>
      <c r="J64" s="100"/>
    </row>
    <row r="65" spans="1:10" ht="32.25" customHeight="1" x14ac:dyDescent="0.35">
      <c r="A65" s="99"/>
      <c r="B65" s="69"/>
      <c r="C65" s="69"/>
      <c r="D65" s="69"/>
      <c r="E65" s="69"/>
      <c r="F65" s="69"/>
      <c r="G65" s="56" t="s">
        <v>1038</v>
      </c>
      <c r="H65" s="56" t="s">
        <v>3463</v>
      </c>
      <c r="I65" s="69"/>
      <c r="J65" s="100"/>
    </row>
    <row r="66" spans="1:10" x14ac:dyDescent="0.35">
      <c r="A66" s="99"/>
      <c r="B66" s="56" t="s">
        <v>3324</v>
      </c>
      <c r="C66" s="56" t="s">
        <v>3421</v>
      </c>
      <c r="D66" s="69"/>
      <c r="E66" s="69"/>
      <c r="F66" s="69"/>
      <c r="G66" s="49" t="s">
        <v>1072</v>
      </c>
      <c r="H66" s="61">
        <v>0.56000000000000005</v>
      </c>
      <c r="I66" s="69"/>
      <c r="J66" s="100"/>
    </row>
    <row r="67" spans="1:10" x14ac:dyDescent="0.35">
      <c r="A67" s="99"/>
      <c r="B67" s="101" t="s">
        <v>3318</v>
      </c>
      <c r="C67" s="102">
        <v>1</v>
      </c>
      <c r="D67" s="69"/>
      <c r="E67" s="69"/>
      <c r="F67" s="69"/>
      <c r="G67" s="49" t="s">
        <v>2279</v>
      </c>
      <c r="H67" s="61">
        <v>0.56000000000000005</v>
      </c>
      <c r="I67" s="69"/>
      <c r="J67" s="100"/>
    </row>
    <row r="68" spans="1:10" x14ac:dyDescent="0.35">
      <c r="A68" s="99"/>
      <c r="B68" s="101" t="s">
        <v>3510</v>
      </c>
      <c r="C68" s="102">
        <v>0.83</v>
      </c>
      <c r="D68" s="69"/>
      <c r="E68" s="69"/>
      <c r="F68" s="69"/>
      <c r="G68" s="49" t="s">
        <v>1632</v>
      </c>
      <c r="H68" s="61">
        <v>0.56000000000000005</v>
      </c>
      <c r="I68" s="69"/>
      <c r="J68" s="100"/>
    </row>
    <row r="69" spans="1:10" x14ac:dyDescent="0.35">
      <c r="A69" s="99"/>
      <c r="B69" s="101" t="s">
        <v>2556</v>
      </c>
      <c r="C69" s="102">
        <v>0.65</v>
      </c>
      <c r="D69" s="69"/>
      <c r="E69" s="69"/>
      <c r="F69" s="69"/>
      <c r="G69" s="49" t="s">
        <v>1583</v>
      </c>
      <c r="H69" s="61">
        <v>1</v>
      </c>
      <c r="I69" s="69"/>
      <c r="J69" s="100"/>
    </row>
    <row r="70" spans="1:10" x14ac:dyDescent="0.35">
      <c r="A70" s="99"/>
      <c r="B70" s="101" t="s">
        <v>1185</v>
      </c>
      <c r="C70" s="2702">
        <v>0.96499999999999997</v>
      </c>
      <c r="D70" s="69"/>
      <c r="E70" s="69"/>
      <c r="F70" s="69"/>
      <c r="G70" s="69"/>
      <c r="H70" s="429"/>
      <c r="I70" s="69"/>
      <c r="J70" s="100"/>
    </row>
    <row r="71" spans="1:10" x14ac:dyDescent="0.35">
      <c r="A71" s="99"/>
      <c r="B71" s="101" t="s">
        <v>1940</v>
      </c>
      <c r="C71" s="102" t="s">
        <v>105</v>
      </c>
      <c r="D71" s="69"/>
      <c r="E71" s="69"/>
      <c r="F71" s="69"/>
      <c r="G71" s="69"/>
      <c r="H71" s="429"/>
      <c r="I71" s="69"/>
      <c r="J71" s="100"/>
    </row>
    <row r="72" spans="1:10" x14ac:dyDescent="0.35">
      <c r="A72" s="99"/>
      <c r="B72" s="69"/>
      <c r="C72" s="69"/>
      <c r="D72" s="69"/>
      <c r="E72" s="69"/>
      <c r="F72" s="69"/>
      <c r="G72" s="69"/>
      <c r="H72" s="69"/>
      <c r="I72" s="69"/>
      <c r="J72" s="100"/>
    </row>
    <row r="73" spans="1:10" x14ac:dyDescent="0.35">
      <c r="A73" s="99"/>
      <c r="B73" s="3073" t="s">
        <v>3461</v>
      </c>
      <c r="C73" s="3139"/>
      <c r="D73" s="3074"/>
      <c r="E73" s="69"/>
      <c r="F73" s="69"/>
      <c r="G73" s="69"/>
      <c r="H73" s="69"/>
      <c r="I73" s="69"/>
      <c r="J73" s="100"/>
    </row>
    <row r="74" spans="1:10" x14ac:dyDescent="0.35">
      <c r="A74" s="99"/>
      <c r="B74" s="101" t="s">
        <v>3173</v>
      </c>
      <c r="C74" s="101" t="s">
        <v>3511</v>
      </c>
      <c r="D74" s="101" t="s">
        <v>1185</v>
      </c>
      <c r="E74" s="69"/>
      <c r="F74" s="69"/>
      <c r="G74" s="69"/>
      <c r="H74" s="69"/>
      <c r="I74" s="69"/>
      <c r="J74" s="100"/>
    </row>
    <row r="75" spans="1:10" x14ac:dyDescent="0.35">
      <c r="A75" s="99"/>
      <c r="B75" s="69"/>
      <c r="C75" s="69"/>
      <c r="D75" s="69"/>
      <c r="E75" s="69"/>
      <c r="F75" s="69"/>
      <c r="G75" s="69"/>
      <c r="H75" s="69"/>
      <c r="I75" s="69"/>
      <c r="J75" s="100"/>
    </row>
    <row r="76" spans="1:10" ht="15" thickBot="1" x14ac:dyDescent="0.4">
      <c r="A76" s="261"/>
      <c r="B76" s="161"/>
      <c r="C76" s="161"/>
      <c r="D76" s="161"/>
      <c r="E76" s="161"/>
      <c r="F76" s="161"/>
      <c r="G76" s="161"/>
      <c r="H76" s="161"/>
      <c r="I76" s="161"/>
      <c r="J76" s="163"/>
    </row>
  </sheetData>
  <customSheetViews>
    <customSheetView guid="{ECD6FE6A-9548-414E-B8AA-6998703C57E0}" scale="60" showPageBreaks="1" fitToPage="1" view="pageBreakPreview">
      <selection activeCell="H52" sqref="H52"/>
      <pageMargins left="0" right="0" top="0" bottom="0" header="0" footer="0"/>
      <pageSetup scale="27" orientation="landscape" r:id="rId1"/>
    </customSheetView>
    <customSheetView guid="{11DE45F5-F478-4ED6-8DFF-12002C22A637}" scale="60" showPageBreaks="1" fitToPage="1" view="pageBreakPreview">
      <selection activeCell="H52" sqref="H52"/>
      <pageMargins left="0" right="0" top="0" bottom="0" header="0" footer="0"/>
      <pageSetup scale="27" orientation="landscape" r:id="rId2"/>
    </customSheetView>
  </customSheetViews>
  <mergeCells count="10">
    <mergeCell ref="R2:T2"/>
    <mergeCell ref="U2:AB2"/>
    <mergeCell ref="C28:G28"/>
    <mergeCell ref="C30:G30"/>
    <mergeCell ref="C40:G40"/>
    <mergeCell ref="C42:I42"/>
    <mergeCell ref="C44:I44"/>
    <mergeCell ref="G58:I58"/>
    <mergeCell ref="B73:D73"/>
    <mergeCell ref="O2:Q2"/>
  </mergeCells>
  <phoneticPr fontId="152" type="noConversion"/>
  <dataValidations count="9">
    <dataValidation type="list" allowBlank="1" showInputMessage="1" showErrorMessage="1" sqref="H4:H7" xr:uid="{00000000-0002-0000-2B00-000008000000}">
      <formula1>$G$60:$G$62</formula1>
    </dataValidation>
    <dataValidation type="list" allowBlank="1" showInputMessage="1" showErrorMessage="1" sqref="H8:H17" xr:uid="{00000000-0002-0000-2B00-000000000000}">
      <formula1>$G$64:$G$66</formula1>
    </dataValidation>
    <dataValidation type="list" allowBlank="1" showInputMessage="1" showErrorMessage="1" sqref="E4:E17" xr:uid="{00000000-0002-0000-2B00-000001000000}">
      <formula1>PgTs1</formula1>
    </dataValidation>
    <dataValidation type="list" allowBlank="1" showInputMessage="1" showErrorMessage="1" sqref="J4:J17" xr:uid="{00000000-0002-0000-2B00-000002000000}">
      <formula1>PgTs3</formula1>
    </dataValidation>
    <dataValidation type="list" allowBlank="1" showInputMessage="1" showErrorMessage="1" sqref="M4:M17" xr:uid="{00000000-0002-0000-2B00-000003000000}">
      <formula1>PgTs2</formula1>
    </dataValidation>
    <dataValidation type="list" allowBlank="1" showInputMessage="1" showErrorMessage="1" sqref="N4:N17" xr:uid="{00000000-0002-0000-2B00-000004000000}">
      <formula1>Unit1</formula1>
    </dataValidation>
    <dataValidation type="list" allowBlank="1" showInputMessage="1" showErrorMessage="1" sqref="L4:L17" xr:uid="{00000000-0002-0000-2B00-000005000000}">
      <formula1>Climate1</formula1>
    </dataValidation>
    <dataValidation type="list" allowBlank="1" showInputMessage="1" showErrorMessage="1" sqref="K4:K17" xr:uid="{00000000-0002-0000-2B00-000006000000}">
      <formula1>Fuel2</formula1>
    </dataValidation>
    <dataValidation type="list" allowBlank="1" showInputMessage="1" showErrorMessage="1" sqref="D4:D17" xr:uid="{00000000-0002-0000-2B00-000007000000}">
      <formula1>MeasureType</formula1>
    </dataValidation>
  </dataValidations>
  <hyperlinks>
    <hyperlink ref="A1" location="'Measure-Level Adjustments'!Print_Titles" display="Measure Level Tab" xr:uid="{B91ADA18-1BD1-4D2A-894E-9E73AD87BD0F}"/>
  </hyperlinks>
  <pageMargins left="0.7" right="0.7" top="0.75" bottom="0.75" header="0.3" footer="0.3"/>
  <pageSetup scale="24"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pageSetUpPr fitToPage="1"/>
  </sheetPr>
  <dimension ref="A1:AQ93"/>
  <sheetViews>
    <sheetView view="pageBreakPreview" topLeftCell="I1" zoomScale="85" zoomScaleNormal="100" zoomScaleSheetLayoutView="85" workbookViewId="0">
      <selection activeCell="B16" sqref="B16"/>
    </sheetView>
  </sheetViews>
  <sheetFormatPr defaultRowHeight="14.5" x14ac:dyDescent="0.35"/>
  <cols>
    <col min="1" max="1" width="17.26953125" customWidth="1"/>
    <col min="2" max="2" width="42.81640625" bestFit="1" customWidth="1"/>
    <col min="3" max="3" width="59.1796875" bestFit="1" customWidth="1"/>
    <col min="4" max="4" width="15.81640625" customWidth="1"/>
    <col min="5" max="5" width="10.453125" customWidth="1"/>
    <col min="6" max="6" width="14.1796875" bestFit="1" customWidth="1"/>
    <col min="7" max="7" width="16.1796875" bestFit="1" customWidth="1"/>
    <col min="8" max="10" width="26.81640625" customWidth="1"/>
    <col min="11" max="11" width="13.54296875" customWidth="1"/>
    <col min="12" max="12" width="15.1796875" customWidth="1"/>
    <col min="13" max="13" width="13.54296875" customWidth="1"/>
    <col min="14" max="14" width="12.54296875" bestFit="1" customWidth="1"/>
    <col min="15" max="15" width="15.1796875" customWidth="1"/>
    <col min="16" max="16" width="17" customWidth="1"/>
    <col min="17" max="17" width="12.7265625" bestFit="1" customWidth="1"/>
    <col min="18" max="18" width="12" customWidth="1"/>
    <col min="19" max="19" width="13.26953125" bestFit="1" customWidth="1"/>
    <col min="20" max="20" width="11.1796875" bestFit="1" customWidth="1"/>
    <col min="21" max="21" width="13.81640625" bestFit="1" customWidth="1"/>
    <col min="29" max="29" width="12.26953125" bestFit="1" customWidth="1"/>
    <col min="30" max="30" width="11.1796875" bestFit="1" customWidth="1"/>
    <col min="32" max="32" width="10.453125" bestFit="1" customWidth="1"/>
  </cols>
  <sheetData>
    <row r="1" spans="1:43" x14ac:dyDescent="0.35">
      <c r="A1" s="967" t="s">
        <v>374</v>
      </c>
      <c r="B1" s="968" t="s">
        <v>1157</v>
      </c>
      <c r="C1" s="968"/>
      <c r="D1" s="968"/>
      <c r="E1" s="967"/>
      <c r="F1" s="967"/>
      <c r="G1" s="967"/>
      <c r="H1" s="967"/>
      <c r="I1" s="967"/>
      <c r="J1" s="967"/>
      <c r="K1" s="967"/>
      <c r="L1" s="967"/>
      <c r="M1" s="967"/>
      <c r="N1" s="3010" t="s">
        <v>1032</v>
      </c>
      <c r="O1" s="3011"/>
      <c r="P1" s="3011"/>
      <c r="Q1" s="3012"/>
      <c r="R1" s="3013" t="s">
        <v>1033</v>
      </c>
      <c r="S1" s="3014"/>
      <c r="T1" s="3014"/>
      <c r="U1" s="3014"/>
      <c r="V1" s="3015" t="s">
        <v>1158</v>
      </c>
      <c r="W1" s="3015"/>
      <c r="X1" s="3015"/>
      <c r="Y1" s="3015"/>
      <c r="Z1" s="3015"/>
      <c r="AA1" s="3015"/>
      <c r="AB1" s="3015"/>
      <c r="AC1" s="3015"/>
      <c r="AD1" s="3015"/>
      <c r="AE1" s="3015"/>
      <c r="AF1" s="3015"/>
      <c r="AG1" s="3015"/>
      <c r="AH1" s="3015"/>
      <c r="AI1" s="3015"/>
      <c r="AJ1" s="3015"/>
      <c r="AK1" s="3015"/>
      <c r="AL1" s="3015"/>
      <c r="AM1" s="3015"/>
      <c r="AN1" s="3015"/>
    </row>
    <row r="2" spans="1:43" ht="29.5" x14ac:dyDescent="0.4">
      <c r="A2" s="969" t="s">
        <v>1035</v>
      </c>
      <c r="B2" s="969" t="s">
        <v>155</v>
      </c>
      <c r="C2" s="953" t="s">
        <v>1036</v>
      </c>
      <c r="D2" s="953" t="s">
        <v>1037</v>
      </c>
      <c r="E2" s="952" t="s">
        <v>1038</v>
      </c>
      <c r="F2" s="952" t="s">
        <v>1159</v>
      </c>
      <c r="G2" s="952" t="s">
        <v>1160</v>
      </c>
      <c r="H2" s="952" t="s">
        <v>1161</v>
      </c>
      <c r="I2" s="952" t="s">
        <v>1162</v>
      </c>
      <c r="J2" s="952" t="s">
        <v>1163</v>
      </c>
      <c r="K2" s="952" t="s">
        <v>1039</v>
      </c>
      <c r="L2" s="952" t="s">
        <v>1040</v>
      </c>
      <c r="M2" s="969" t="s">
        <v>1041</v>
      </c>
      <c r="N2" s="970" t="s">
        <v>1044</v>
      </c>
      <c r="O2" s="970" t="s">
        <v>1045</v>
      </c>
      <c r="P2" s="970" t="s">
        <v>1046</v>
      </c>
      <c r="Q2" s="970" t="s">
        <v>1164</v>
      </c>
      <c r="R2" s="970" t="s">
        <v>1044</v>
      </c>
      <c r="S2" s="970" t="s">
        <v>1045</v>
      </c>
      <c r="T2" s="970" t="s">
        <v>1046</v>
      </c>
      <c r="U2" s="971" t="s">
        <v>1164</v>
      </c>
      <c r="V2" s="578" t="s">
        <v>1165</v>
      </c>
      <c r="W2" s="578" t="s">
        <v>1166</v>
      </c>
      <c r="X2" s="578" t="s">
        <v>1167</v>
      </c>
      <c r="Y2" s="578" t="s">
        <v>1168</v>
      </c>
      <c r="Z2" s="578" t="s">
        <v>1169</v>
      </c>
      <c r="AA2" s="578" t="s">
        <v>1170</v>
      </c>
      <c r="AB2" s="578" t="s">
        <v>1171</v>
      </c>
      <c r="AC2" s="578" t="s">
        <v>1172</v>
      </c>
      <c r="AD2" s="578" t="s">
        <v>1173</v>
      </c>
      <c r="AE2" s="578" t="s">
        <v>1174</v>
      </c>
      <c r="AF2" s="578" t="s">
        <v>1175</v>
      </c>
      <c r="AG2" s="578" t="s">
        <v>1176</v>
      </c>
      <c r="AH2" s="578" t="s">
        <v>1177</v>
      </c>
      <c r="AI2" s="578" t="s">
        <v>1178</v>
      </c>
      <c r="AJ2" s="578" t="s">
        <v>1179</v>
      </c>
      <c r="AK2" s="578" t="s">
        <v>1180</v>
      </c>
      <c r="AL2" s="578" t="s">
        <v>1181</v>
      </c>
      <c r="AM2" s="578" t="s">
        <v>1182</v>
      </c>
      <c r="AN2" s="578" t="s">
        <v>1183</v>
      </c>
      <c r="AP2" s="55"/>
      <c r="AQ2" s="55"/>
    </row>
    <row r="3" spans="1:43" ht="39.5" x14ac:dyDescent="0.35">
      <c r="A3" s="966" t="s">
        <v>373</v>
      </c>
      <c r="B3" s="966" t="str">
        <f>$B$1&amp;"- "&amp;F3&amp;", "&amp;I3&amp;", "&amp;H3&amp;", "&amp;G3&amp;" pans"</f>
        <v>Commercial Steam Cooker- Natural Gas Steam Cooker, Avg Efficient, Unknown, 3 pans</v>
      </c>
      <c r="C3" s="972" t="s">
        <v>372</v>
      </c>
      <c r="D3" s="957" t="s">
        <v>1071</v>
      </c>
      <c r="E3" s="69" t="s">
        <v>1072</v>
      </c>
      <c r="F3" s="973" t="s">
        <v>1184</v>
      </c>
      <c r="G3" s="994">
        <v>3</v>
      </c>
      <c r="H3" s="972" t="s">
        <v>1185</v>
      </c>
      <c r="I3" s="972" t="s">
        <v>1186</v>
      </c>
      <c r="J3" s="69"/>
      <c r="K3" s="974">
        <f>$B$62</f>
        <v>12</v>
      </c>
      <c r="L3" s="975"/>
      <c r="M3" s="973" t="s">
        <v>1187</v>
      </c>
      <c r="N3" s="977">
        <f>IF(F3=$B$75,$H$75,0)</f>
        <v>0</v>
      </c>
      <c r="O3" s="978">
        <f>(N3/(AA3*AM3))*AJ3</f>
        <v>0</v>
      </c>
      <c r="P3" s="977">
        <f>IF(F3=$B$74,AN3,0)</f>
        <v>752.01231086676478</v>
      </c>
      <c r="Q3" s="977">
        <f>(AK3-AL3)*AA3*AM3</f>
        <v>65745</v>
      </c>
      <c r="R3" s="977">
        <f>N3*K3</f>
        <v>0</v>
      </c>
      <c r="S3" s="977">
        <f>O3</f>
        <v>0</v>
      </c>
      <c r="T3" s="977">
        <f>P3*K3</f>
        <v>9024.1477304011769</v>
      </c>
      <c r="U3" s="979">
        <f>Q3*K3</f>
        <v>788940</v>
      </c>
      <c r="V3" s="291">
        <f>+$B$19</f>
        <v>0.9</v>
      </c>
      <c r="W3" s="49">
        <f>IF(ISNUMBER(SEARCH("gas",F3))=TRUE,VLOOKUP(G3,$A$79:$C$82,2,FALSE),VLOOKUP(G3,$A$79:$C$82,3,FALSE))</f>
        <v>11000</v>
      </c>
      <c r="X3" s="49">
        <f>IF(ISNUMBER(SEARCH("gas",F3))=TRUE,VLOOKUP(G3,$A$79:$E$82,4,FALSE),VLOOKUP(G3,$A$79:$E$82,5,FALSE))</f>
        <v>65</v>
      </c>
      <c r="Y3" s="49">
        <f>VLOOKUP(F3,$B$74:$D$75,3,FALSE)</f>
        <v>105</v>
      </c>
      <c r="Z3" s="49">
        <f>VLOOKUP(F3,$B$74:$E$75,4,FALSE)</f>
        <v>0.15</v>
      </c>
      <c r="AA3" s="49">
        <f>VLOOKUP(H3,$A$86:$B$93,2,FALSE)</f>
        <v>6</v>
      </c>
      <c r="AB3" s="49">
        <f>+$B$33</f>
        <v>100</v>
      </c>
      <c r="AC3" s="291">
        <f>+$B$35</f>
        <v>0</v>
      </c>
      <c r="AD3" s="49">
        <f>IF(ISNUMBER(SEARCH("gas",F3))=TRUE,VLOOKUP(G3,$A$79:$G$82,6,FALSE),VLOOKUP(G3,$A$79:$G$82,7,FALSE))</f>
        <v>6250</v>
      </c>
      <c r="AE3" s="49">
        <f>IF(ISNUMBER(SEARCH("gas",F3))=TRUE,VLOOKUP(G3,$A$79:$I$82,8,FALSE),VLOOKUP(G3,$A$79:$I$82,9,FALSE))</f>
        <v>55</v>
      </c>
      <c r="AF3" s="49">
        <f>VLOOKUP(F3,$B$74:$F$75,5,FALSE)</f>
        <v>0.38</v>
      </c>
      <c r="AG3" s="124">
        <f>+$B$44</f>
        <v>1</v>
      </c>
      <c r="AH3" s="49">
        <f>VLOOKUP(F3,$B$74:$G$75,6,FALSE)</f>
        <v>11000</v>
      </c>
      <c r="AI3" s="124">
        <f>+$B$49</f>
        <v>365.25</v>
      </c>
      <c r="AJ3" s="579">
        <f>+VLOOKUP(H3,$A$86:$C$93,3,FALSE)</f>
        <v>0.4</v>
      </c>
      <c r="AK3" s="49">
        <f>+$B$54</f>
        <v>40</v>
      </c>
      <c r="AL3" s="49">
        <f>VLOOKUP(I3,$E$86:$F$89,2,FALSE)</f>
        <v>10</v>
      </c>
      <c r="AM3" s="124">
        <f>+$B$49</f>
        <v>365.25</v>
      </c>
      <c r="AN3" s="49">
        <f>(((((1-V3)*W3+V3*X3*Y3/Z3)*(AA3-(AB3/X3)-(AG3*0.25)))-(((1-AC3)*AD3+AC3*AE3*Y3/AF3)*(AA3-(AB3/AE3)-(AG3*0.25))))+(AG3*AH3)+(((1/Z3)-(1/AF3))*(AB3*Y3)))*AI3*1/100000</f>
        <v>752.01231086676478</v>
      </c>
    </row>
    <row r="4" spans="1:43" x14ac:dyDescent="0.35">
      <c r="A4" s="961"/>
      <c r="B4" s="961"/>
      <c r="C4" s="961"/>
      <c r="D4" s="961"/>
      <c r="E4" s="961"/>
      <c r="F4" s="961"/>
      <c r="G4" s="961"/>
      <c r="H4" s="961"/>
      <c r="I4" s="961"/>
      <c r="J4" s="961"/>
      <c r="K4" s="961"/>
      <c r="L4" s="961"/>
      <c r="M4" s="961"/>
      <c r="N4" s="961"/>
      <c r="O4" s="961"/>
      <c r="P4" s="961"/>
      <c r="Q4" s="961"/>
      <c r="R4" s="961"/>
      <c r="S4" s="961"/>
      <c r="T4" s="69"/>
      <c r="U4" s="69"/>
    </row>
    <row r="5" spans="1:43" ht="15" thickBot="1" x14ac:dyDescent="0.4"/>
    <row r="6" spans="1:43" ht="15" thickBot="1" x14ac:dyDescent="0.4">
      <c r="A6" s="62" t="s">
        <v>1188</v>
      </c>
      <c r="B6" s="63"/>
      <c r="C6" s="63"/>
      <c r="D6" s="63"/>
      <c r="E6" s="335"/>
    </row>
    <row r="7" spans="1:43" x14ac:dyDescent="0.35">
      <c r="A7" s="304" t="s">
        <v>1189</v>
      </c>
      <c r="B7" s="69"/>
      <c r="C7" s="69"/>
      <c r="D7" s="69"/>
      <c r="E7" s="100"/>
    </row>
    <row r="8" spans="1:43" x14ac:dyDescent="0.35">
      <c r="A8" s="304" t="s">
        <v>1190</v>
      </c>
      <c r="B8" s="69"/>
      <c r="C8" s="69"/>
      <c r="D8" s="69"/>
      <c r="E8" s="100"/>
    </row>
    <row r="9" spans="1:43" x14ac:dyDescent="0.35">
      <c r="A9" s="304" t="s">
        <v>1191</v>
      </c>
      <c r="B9" s="69"/>
      <c r="C9" s="69"/>
      <c r="D9" s="69"/>
      <c r="E9" s="100"/>
    </row>
    <row r="10" spans="1:43" x14ac:dyDescent="0.35">
      <c r="A10" s="3016" t="s">
        <v>1192</v>
      </c>
      <c r="B10" s="3017"/>
      <c r="C10" s="3017"/>
      <c r="D10" s="3017"/>
      <c r="E10" s="3018"/>
      <c r="R10" s="580"/>
      <c r="S10" s="580"/>
      <c r="T10" s="580"/>
    </row>
    <row r="11" spans="1:43" ht="15" x14ac:dyDescent="0.4">
      <c r="A11" s="304" t="s">
        <v>1193</v>
      </c>
      <c r="B11" s="69"/>
      <c r="C11" s="69"/>
      <c r="D11" s="69"/>
      <c r="E11" s="100"/>
    </row>
    <row r="12" spans="1:43" ht="15" x14ac:dyDescent="0.4">
      <c r="A12" s="304" t="s">
        <v>1194</v>
      </c>
      <c r="B12" s="69"/>
      <c r="C12" s="69"/>
      <c r="D12" s="69"/>
      <c r="E12" s="100"/>
    </row>
    <row r="13" spans="1:43" x14ac:dyDescent="0.35">
      <c r="A13" s="304" t="s">
        <v>1195</v>
      </c>
      <c r="B13" s="69"/>
      <c r="C13" s="69"/>
      <c r="D13" s="69"/>
      <c r="E13" s="100"/>
    </row>
    <row r="14" spans="1:43" ht="15.5" thickBot="1" x14ac:dyDescent="0.45">
      <c r="A14" s="309" t="s">
        <v>1196</v>
      </c>
      <c r="B14" s="161"/>
      <c r="C14" s="161"/>
      <c r="D14" s="161"/>
      <c r="E14" s="163"/>
    </row>
    <row r="15" spans="1:43" ht="15" thickBot="1" x14ac:dyDescent="0.4">
      <c r="A15" s="154" t="s">
        <v>1078</v>
      </c>
      <c r="B15" s="1142">
        <f>'Measure-Level Adjustments'!A2</f>
        <v>44592</v>
      </c>
    </row>
    <row r="16" spans="1:43" ht="15" thickBot="1" x14ac:dyDescent="0.4">
      <c r="A16" s="154" t="s">
        <v>1079</v>
      </c>
      <c r="B16" s="577" t="s">
        <v>1197</v>
      </c>
    </row>
    <row r="17" spans="1:20" ht="15" thickBot="1" x14ac:dyDescent="0.4"/>
    <row r="18" spans="1:20" ht="15" thickBot="1" x14ac:dyDescent="0.4">
      <c r="A18" s="74" t="s">
        <v>1198</v>
      </c>
      <c r="B18" s="75" t="s">
        <v>1199</v>
      </c>
      <c r="C18" s="76" t="s">
        <v>1082</v>
      </c>
      <c r="D18" s="76"/>
      <c r="E18" s="465"/>
    </row>
    <row r="19" spans="1:20" x14ac:dyDescent="0.35">
      <c r="A19" s="581" t="s">
        <v>1200</v>
      </c>
      <c r="B19" s="582">
        <v>0.9</v>
      </c>
      <c r="C19" s="583" t="s">
        <v>1201</v>
      </c>
      <c r="D19" s="380"/>
      <c r="E19" s="381"/>
      <c r="R19" s="584"/>
      <c r="S19" s="195"/>
      <c r="T19" s="195"/>
    </row>
    <row r="20" spans="1:20" ht="15" thickBot="1" x14ac:dyDescent="0.4">
      <c r="A20" s="585"/>
      <c r="B20" s="586"/>
      <c r="C20" s="587" t="s">
        <v>1202</v>
      </c>
      <c r="D20" s="161"/>
      <c r="E20" s="163"/>
      <c r="R20" s="588"/>
      <c r="S20" s="589"/>
      <c r="T20" s="588"/>
    </row>
    <row r="21" spans="1:20" ht="25.5" customHeight="1" x14ac:dyDescent="0.35">
      <c r="A21" s="581" t="s">
        <v>1203</v>
      </c>
      <c r="B21" s="590" t="s">
        <v>1204</v>
      </c>
      <c r="C21" s="583" t="s">
        <v>1205</v>
      </c>
      <c r="D21" s="591"/>
      <c r="E21" s="592"/>
      <c r="R21" s="588"/>
      <c r="S21" s="589"/>
      <c r="T21" s="588"/>
    </row>
    <row r="22" spans="1:20" ht="15" thickBot="1" x14ac:dyDescent="0.4">
      <c r="A22" s="585"/>
      <c r="B22" s="586"/>
      <c r="C22" s="587" t="s">
        <v>1206</v>
      </c>
      <c r="D22" s="161"/>
      <c r="E22" s="163"/>
      <c r="R22" s="588"/>
      <c r="S22" s="589"/>
      <c r="T22" s="588"/>
    </row>
    <row r="23" spans="1:20" x14ac:dyDescent="0.35">
      <c r="A23" s="581" t="s">
        <v>1207</v>
      </c>
      <c r="B23" s="590" t="s">
        <v>1204</v>
      </c>
      <c r="C23" s="583" t="s">
        <v>1208</v>
      </c>
      <c r="D23" s="380"/>
      <c r="E23" s="381"/>
      <c r="R23" s="588"/>
      <c r="S23" s="589"/>
      <c r="T23" s="588"/>
    </row>
    <row r="24" spans="1:20" ht="15" thickBot="1" x14ac:dyDescent="0.4">
      <c r="A24" s="585"/>
      <c r="B24" s="586"/>
      <c r="C24" s="587" t="s">
        <v>1206</v>
      </c>
      <c r="D24" s="161"/>
      <c r="E24" s="163"/>
    </row>
    <row r="25" spans="1:20" x14ac:dyDescent="0.35">
      <c r="A25" s="3006" t="s">
        <v>1209</v>
      </c>
      <c r="B25" s="593">
        <v>105</v>
      </c>
      <c r="C25" s="583" t="s">
        <v>1210</v>
      </c>
      <c r="D25" s="380"/>
      <c r="E25" s="381"/>
    </row>
    <row r="26" spans="1:20" x14ac:dyDescent="0.35">
      <c r="A26" s="3007"/>
      <c r="B26" s="594"/>
      <c r="C26" s="595" t="s">
        <v>1211</v>
      </c>
      <c r="D26" s="69"/>
      <c r="E26" s="100"/>
    </row>
    <row r="27" spans="1:20" ht="15" thickBot="1" x14ac:dyDescent="0.4">
      <c r="A27" s="3008"/>
      <c r="B27" s="586"/>
      <c r="C27" s="587" t="s">
        <v>1212</v>
      </c>
      <c r="D27" s="161"/>
      <c r="E27" s="163"/>
    </row>
    <row r="28" spans="1:20" x14ac:dyDescent="0.35">
      <c r="A28" s="3006" t="s">
        <v>1213</v>
      </c>
      <c r="B28" s="582">
        <v>0.15</v>
      </c>
      <c r="C28" s="583" t="s">
        <v>1214</v>
      </c>
      <c r="D28" s="380"/>
      <c r="E28" s="381"/>
    </row>
    <row r="29" spans="1:20" x14ac:dyDescent="0.35">
      <c r="A29" s="3007"/>
      <c r="B29" s="594"/>
      <c r="C29" s="595" t="s">
        <v>1211</v>
      </c>
      <c r="D29" s="69"/>
      <c r="E29" s="100"/>
    </row>
    <row r="30" spans="1:20" ht="15" thickBot="1" x14ac:dyDescent="0.4">
      <c r="A30" s="3008"/>
      <c r="B30" s="586"/>
      <c r="C30" s="587" t="s">
        <v>1215</v>
      </c>
      <c r="D30" s="161"/>
      <c r="E30" s="163"/>
    </row>
    <row r="31" spans="1:20" x14ac:dyDescent="0.35">
      <c r="A31" s="3006" t="s">
        <v>1216</v>
      </c>
      <c r="B31" s="590" t="s">
        <v>1204</v>
      </c>
      <c r="C31" s="583" t="s">
        <v>1217</v>
      </c>
      <c r="D31" s="380"/>
      <c r="E31" s="381"/>
    </row>
    <row r="32" spans="1:20" ht="15" thickBot="1" x14ac:dyDescent="0.4">
      <c r="A32" s="3008"/>
      <c r="B32" s="586"/>
      <c r="C32" s="587" t="s">
        <v>1218</v>
      </c>
      <c r="D32" s="161"/>
      <c r="E32" s="163"/>
    </row>
    <row r="33" spans="1:5" x14ac:dyDescent="0.35">
      <c r="A33" s="3006" t="s">
        <v>1171</v>
      </c>
      <c r="B33" s="596">
        <v>100</v>
      </c>
      <c r="C33" s="583" t="s">
        <v>1219</v>
      </c>
      <c r="D33" s="380"/>
      <c r="E33" s="381"/>
    </row>
    <row r="34" spans="1:5" ht="15" thickBot="1" x14ac:dyDescent="0.4">
      <c r="A34" s="3008"/>
      <c r="B34" s="586"/>
      <c r="C34" s="587" t="s">
        <v>1220</v>
      </c>
      <c r="D34" s="161"/>
      <c r="E34" s="163"/>
    </row>
    <row r="35" spans="1:5" x14ac:dyDescent="0.35">
      <c r="A35" s="3006" t="s">
        <v>1221</v>
      </c>
      <c r="B35" s="582">
        <v>0</v>
      </c>
      <c r="C35" s="583" t="s">
        <v>1222</v>
      </c>
      <c r="D35" s="380"/>
      <c r="E35" s="381"/>
    </row>
    <row r="36" spans="1:5" ht="15" thickBot="1" x14ac:dyDescent="0.4">
      <c r="A36" s="3008"/>
      <c r="B36" s="586"/>
      <c r="C36" s="587" t="s">
        <v>1223</v>
      </c>
      <c r="D36" s="161"/>
      <c r="E36" s="163"/>
    </row>
    <row r="37" spans="1:5" x14ac:dyDescent="0.35">
      <c r="A37" s="3006" t="s">
        <v>1224</v>
      </c>
      <c r="B37" s="590" t="s">
        <v>1204</v>
      </c>
      <c r="C37" s="583" t="s">
        <v>1225</v>
      </c>
      <c r="D37" s="380"/>
      <c r="E37" s="381"/>
    </row>
    <row r="38" spans="1:5" ht="15" thickBot="1" x14ac:dyDescent="0.4">
      <c r="A38" s="3008"/>
      <c r="B38" s="586"/>
      <c r="C38" s="587" t="s">
        <v>1226</v>
      </c>
      <c r="D38" s="161"/>
      <c r="E38" s="163"/>
    </row>
    <row r="39" spans="1:5" x14ac:dyDescent="0.35">
      <c r="A39" s="3006" t="s">
        <v>1227</v>
      </c>
      <c r="B39" s="590" t="s">
        <v>1204</v>
      </c>
      <c r="C39" s="583" t="s">
        <v>1228</v>
      </c>
      <c r="D39" s="380"/>
      <c r="E39" s="381"/>
    </row>
    <row r="40" spans="1:5" ht="15" thickBot="1" x14ac:dyDescent="0.4">
      <c r="A40" s="3008"/>
      <c r="B40" s="586"/>
      <c r="C40" s="587" t="s">
        <v>1226</v>
      </c>
      <c r="D40" s="161"/>
      <c r="E40" s="163"/>
    </row>
    <row r="41" spans="1:5" x14ac:dyDescent="0.35">
      <c r="A41" s="3006" t="s">
        <v>1229</v>
      </c>
      <c r="B41" s="582">
        <v>0.38</v>
      </c>
      <c r="C41" s="583" t="s">
        <v>1230</v>
      </c>
      <c r="D41" s="380"/>
      <c r="E41" s="381"/>
    </row>
    <row r="42" spans="1:5" x14ac:dyDescent="0.35">
      <c r="A42" s="3007"/>
      <c r="B42" s="594"/>
      <c r="C42" s="595" t="s">
        <v>1211</v>
      </c>
      <c r="D42" s="69"/>
      <c r="E42" s="100"/>
    </row>
    <row r="43" spans="1:5" ht="15" thickBot="1" x14ac:dyDescent="0.4">
      <c r="A43" s="3008"/>
      <c r="B43" s="586"/>
      <c r="C43" s="587" t="s">
        <v>1231</v>
      </c>
      <c r="D43" s="161"/>
      <c r="E43" s="163"/>
    </row>
    <row r="44" spans="1:5" x14ac:dyDescent="0.35">
      <c r="A44" s="3006" t="s">
        <v>1232</v>
      </c>
      <c r="B44" s="597">
        <v>1</v>
      </c>
      <c r="C44" s="583" t="s">
        <v>1233</v>
      </c>
      <c r="D44" s="380"/>
      <c r="E44" s="381"/>
    </row>
    <row r="45" spans="1:5" ht="15" thickBot="1" x14ac:dyDescent="0.4">
      <c r="A45" s="3008"/>
      <c r="B45" s="586"/>
      <c r="C45" s="587" t="s">
        <v>1234</v>
      </c>
      <c r="D45" s="161"/>
      <c r="E45" s="163"/>
    </row>
    <row r="46" spans="1:5" x14ac:dyDescent="0.35">
      <c r="A46" s="598" t="s">
        <v>1235</v>
      </c>
      <c r="B46" s="597">
        <v>11000</v>
      </c>
      <c r="C46" s="583" t="s">
        <v>1236</v>
      </c>
      <c r="D46" s="380"/>
      <c r="E46" s="381"/>
    </row>
    <row r="47" spans="1:5" x14ac:dyDescent="0.35">
      <c r="A47" s="599"/>
      <c r="B47" s="600"/>
      <c r="C47" s="595" t="s">
        <v>1211</v>
      </c>
      <c r="D47" s="69"/>
      <c r="E47" s="100"/>
    </row>
    <row r="48" spans="1:5" ht="15" thickBot="1" x14ac:dyDescent="0.4">
      <c r="A48" s="601"/>
      <c r="B48" s="602"/>
      <c r="C48" s="587" t="s">
        <v>1237</v>
      </c>
      <c r="D48" s="161"/>
      <c r="E48" s="163"/>
    </row>
    <row r="49" spans="1:5" ht="15" thickBot="1" x14ac:dyDescent="0.4">
      <c r="A49" s="603" t="s">
        <v>1178</v>
      </c>
      <c r="B49" s="604">
        <v>365.25</v>
      </c>
      <c r="C49" s="605" t="s">
        <v>1238</v>
      </c>
      <c r="D49" s="606"/>
      <c r="E49" s="607"/>
    </row>
    <row r="50" spans="1:5" x14ac:dyDescent="0.35">
      <c r="A50" s="3006" t="s">
        <v>1179</v>
      </c>
      <c r="B50" s="590" t="s">
        <v>1204</v>
      </c>
      <c r="C50" s="583" t="s">
        <v>1239</v>
      </c>
      <c r="D50" s="380"/>
      <c r="E50" s="381"/>
    </row>
    <row r="51" spans="1:5" x14ac:dyDescent="0.35">
      <c r="A51" s="3007"/>
      <c r="B51" s="594"/>
      <c r="C51" s="595" t="s">
        <v>1240</v>
      </c>
      <c r="D51" s="69"/>
      <c r="E51" s="100"/>
    </row>
    <row r="52" spans="1:5" x14ac:dyDescent="0.35">
      <c r="A52" s="3007"/>
      <c r="B52" s="594"/>
      <c r="C52" s="595" t="s">
        <v>1241</v>
      </c>
      <c r="D52" s="69"/>
      <c r="E52" s="100"/>
    </row>
    <row r="53" spans="1:5" ht="15" thickBot="1" x14ac:dyDescent="0.4">
      <c r="A53" s="3008"/>
      <c r="B53" s="586"/>
      <c r="C53" s="587" t="s">
        <v>1242</v>
      </c>
      <c r="D53" s="161"/>
      <c r="E53" s="163"/>
    </row>
    <row r="54" spans="1:5" x14ac:dyDescent="0.35">
      <c r="A54" s="3006" t="s">
        <v>1243</v>
      </c>
      <c r="B54" s="596">
        <v>40</v>
      </c>
      <c r="C54" s="583" t="s">
        <v>1244</v>
      </c>
      <c r="D54" s="380"/>
      <c r="E54" s="381"/>
    </row>
    <row r="55" spans="1:5" ht="15" thickBot="1" x14ac:dyDescent="0.4">
      <c r="A55" s="3008"/>
      <c r="B55" s="586"/>
      <c r="C55" s="587" t="s">
        <v>1245</v>
      </c>
      <c r="D55" s="161"/>
      <c r="E55" s="163"/>
    </row>
    <row r="56" spans="1:5" x14ac:dyDescent="0.35">
      <c r="A56" s="3006" t="s">
        <v>1246</v>
      </c>
      <c r="B56" s="590" t="s">
        <v>1204</v>
      </c>
      <c r="C56" s="583" t="s">
        <v>1247</v>
      </c>
      <c r="D56" s="380"/>
      <c r="E56" s="381"/>
    </row>
    <row r="57" spans="1:5" ht="15" thickBot="1" x14ac:dyDescent="0.4">
      <c r="A57" s="3008"/>
      <c r="B57" s="586"/>
      <c r="C57" s="587" t="s">
        <v>1248</v>
      </c>
      <c r="D57" s="161"/>
      <c r="E57" s="163"/>
    </row>
    <row r="58" spans="1:5" ht="15" thickBot="1" x14ac:dyDescent="0.4">
      <c r="A58" s="603" t="s">
        <v>1249</v>
      </c>
      <c r="B58" s="608">
        <v>365.25</v>
      </c>
      <c r="C58" s="605" t="s">
        <v>1250</v>
      </c>
      <c r="D58" s="606"/>
      <c r="E58" s="607"/>
    </row>
    <row r="59" spans="1:5" x14ac:dyDescent="0.35">
      <c r="A59" s="2996" t="s">
        <v>1040</v>
      </c>
      <c r="B59" s="609"/>
      <c r="C59" s="380"/>
      <c r="D59" s="380"/>
      <c r="E59" s="381"/>
    </row>
    <row r="60" spans="1:5" x14ac:dyDescent="0.35">
      <c r="A60" s="3009"/>
      <c r="B60" s="610"/>
      <c r="C60" s="69"/>
      <c r="D60" s="69"/>
      <c r="E60" s="100"/>
    </row>
    <row r="61" spans="1:5" ht="15" thickBot="1" x14ac:dyDescent="0.4">
      <c r="A61" s="2997"/>
      <c r="B61" s="611"/>
      <c r="C61" s="587"/>
      <c r="D61" s="161"/>
      <c r="E61" s="163"/>
    </row>
    <row r="62" spans="1:5" x14ac:dyDescent="0.35">
      <c r="A62" s="2996" t="s">
        <v>1083</v>
      </c>
      <c r="B62" s="609">
        <v>12</v>
      </c>
      <c r="C62" s="380" t="s">
        <v>1251</v>
      </c>
      <c r="D62" s="380"/>
      <c r="E62" s="381"/>
    </row>
    <row r="63" spans="1:5" ht="15" thickBot="1" x14ac:dyDescent="0.4">
      <c r="A63" s="2997"/>
      <c r="B63" s="611"/>
      <c r="C63" s="587" t="s">
        <v>1252</v>
      </c>
      <c r="D63" s="161"/>
      <c r="E63" s="163"/>
    </row>
    <row r="64" spans="1:5" x14ac:dyDescent="0.35">
      <c r="A64" s="612" t="s">
        <v>1253</v>
      </c>
      <c r="B64" s="380"/>
      <c r="C64" s="2998" t="s">
        <v>1254</v>
      </c>
      <c r="D64" s="2998"/>
      <c r="E64" s="2999"/>
    </row>
    <row r="65" spans="1:11" ht="29.25" customHeight="1" thickBot="1" x14ac:dyDescent="0.4">
      <c r="A65" s="613"/>
      <c r="B65" s="161"/>
      <c r="C65" s="3000"/>
      <c r="D65" s="3000"/>
      <c r="E65" s="3001"/>
    </row>
    <row r="66" spans="1:11" x14ac:dyDescent="0.35">
      <c r="A66" s="612" t="s">
        <v>1255</v>
      </c>
      <c r="B66" s="380"/>
      <c r="C66" s="3002" t="s">
        <v>1256</v>
      </c>
      <c r="D66" s="3002"/>
      <c r="E66" s="3003"/>
    </row>
    <row r="67" spans="1:11" ht="15" thickBot="1" x14ac:dyDescent="0.4">
      <c r="A67" s="613"/>
      <c r="B67" s="161"/>
      <c r="C67" s="3004"/>
      <c r="D67" s="3004"/>
      <c r="E67" s="3005"/>
    </row>
    <row r="68" spans="1:11" x14ac:dyDescent="0.35">
      <c r="A68" s="614"/>
    </row>
    <row r="69" spans="1:11" x14ac:dyDescent="0.35">
      <c r="A69" s="615"/>
    </row>
    <row r="70" spans="1:11" ht="15" thickBot="1" x14ac:dyDescent="0.4">
      <c r="A70" s="615"/>
    </row>
    <row r="71" spans="1:11" x14ac:dyDescent="0.35">
      <c r="A71" s="616" t="s">
        <v>1257</v>
      </c>
      <c r="B71" s="617"/>
      <c r="C71" s="617"/>
      <c r="D71" s="617"/>
      <c r="E71" s="617"/>
      <c r="F71" s="617"/>
      <c r="G71" s="617"/>
      <c r="H71" s="617"/>
      <c r="I71" s="618"/>
      <c r="K71" s="580"/>
    </row>
    <row r="72" spans="1:11" x14ac:dyDescent="0.35">
      <c r="A72" s="99"/>
      <c r="B72" s="69"/>
      <c r="C72" s="69"/>
      <c r="D72" s="69"/>
      <c r="E72" s="69"/>
      <c r="F72" s="69"/>
      <c r="G72" s="69"/>
      <c r="H72" s="69"/>
      <c r="I72" s="100"/>
    </row>
    <row r="73" spans="1:11" ht="15" x14ac:dyDescent="0.35">
      <c r="A73" s="99"/>
      <c r="B73" s="619"/>
      <c r="C73" s="619" t="s">
        <v>1040</v>
      </c>
      <c r="D73" s="619" t="s">
        <v>1258</v>
      </c>
      <c r="E73" s="619" t="s">
        <v>1259</v>
      </c>
      <c r="F73" s="619" t="s">
        <v>1260</v>
      </c>
      <c r="G73" s="619" t="s">
        <v>1261</v>
      </c>
      <c r="H73" s="619"/>
      <c r="I73" s="100"/>
    </row>
    <row r="74" spans="1:11" x14ac:dyDescent="0.35">
      <c r="A74" s="99"/>
      <c r="B74" s="260" t="s">
        <v>1184</v>
      </c>
      <c r="C74" s="620">
        <f>+$B$59</f>
        <v>0</v>
      </c>
      <c r="D74" s="49">
        <v>105</v>
      </c>
      <c r="E74" s="61">
        <v>0.15</v>
      </c>
      <c r="F74" s="61">
        <v>0.38</v>
      </c>
      <c r="G74" s="621">
        <v>11000</v>
      </c>
      <c r="H74" s="621"/>
      <c r="I74" s="100"/>
    </row>
    <row r="75" spans="1:11" x14ac:dyDescent="0.35">
      <c r="A75" s="99"/>
      <c r="B75" s="260" t="s">
        <v>1262</v>
      </c>
      <c r="C75" s="620">
        <f>+$B$60</f>
        <v>0</v>
      </c>
      <c r="D75" s="349">
        <v>3.0800000000000001E-2</v>
      </c>
      <c r="E75" s="61">
        <v>0.26</v>
      </c>
      <c r="F75" s="61">
        <v>0.5</v>
      </c>
      <c r="G75" s="49">
        <v>0.5</v>
      </c>
      <c r="H75" s="49"/>
      <c r="I75" s="100"/>
    </row>
    <row r="76" spans="1:11" x14ac:dyDescent="0.35">
      <c r="A76" s="304"/>
      <c r="B76" s="69"/>
      <c r="C76" s="69"/>
      <c r="D76" s="69"/>
      <c r="E76" s="69"/>
      <c r="F76" s="69"/>
      <c r="G76" s="69"/>
      <c r="H76" s="69"/>
      <c r="I76" s="100"/>
    </row>
    <row r="77" spans="1:11" x14ac:dyDescent="0.35">
      <c r="A77" s="622"/>
      <c r="B77" s="69"/>
      <c r="C77" s="69"/>
      <c r="D77" s="69"/>
      <c r="E77" s="69"/>
      <c r="F77" s="69"/>
      <c r="G77" s="69"/>
      <c r="H77" s="69"/>
      <c r="I77" s="100"/>
    </row>
    <row r="78" spans="1:11" ht="41" x14ac:dyDescent="0.35">
      <c r="A78" s="623" t="s">
        <v>1263</v>
      </c>
      <c r="B78" s="624" t="s">
        <v>1264</v>
      </c>
      <c r="C78" s="624" t="s">
        <v>1265</v>
      </c>
      <c r="D78" s="624" t="s">
        <v>1266</v>
      </c>
      <c r="E78" s="624" t="s">
        <v>1267</v>
      </c>
      <c r="F78" s="624" t="s">
        <v>1268</v>
      </c>
      <c r="G78" s="624" t="s">
        <v>1269</v>
      </c>
      <c r="H78" s="624" t="s">
        <v>1270</v>
      </c>
      <c r="I78" s="625" t="s">
        <v>1271</v>
      </c>
      <c r="K78" s="195"/>
    </row>
    <row r="79" spans="1:11" x14ac:dyDescent="0.35">
      <c r="A79" s="626">
        <v>3</v>
      </c>
      <c r="B79" s="627">
        <v>11000</v>
      </c>
      <c r="C79" s="255">
        <v>1</v>
      </c>
      <c r="D79" s="628">
        <v>65</v>
      </c>
      <c r="E79" s="255">
        <v>70</v>
      </c>
      <c r="F79" s="255">
        <v>6250</v>
      </c>
      <c r="G79" s="255">
        <v>0.4</v>
      </c>
      <c r="H79" s="628">
        <v>55</v>
      </c>
      <c r="I79" s="629">
        <v>50</v>
      </c>
      <c r="K79" s="589"/>
    </row>
    <row r="80" spans="1:11" x14ac:dyDescent="0.35">
      <c r="A80" s="626">
        <v>4</v>
      </c>
      <c r="B80" s="627">
        <v>14667</v>
      </c>
      <c r="C80" s="255">
        <v>1.33</v>
      </c>
      <c r="D80" s="628">
        <v>87</v>
      </c>
      <c r="E80" s="255">
        <v>93</v>
      </c>
      <c r="F80" s="255">
        <v>8333</v>
      </c>
      <c r="G80" s="255">
        <v>0.53</v>
      </c>
      <c r="H80" s="628">
        <v>73</v>
      </c>
      <c r="I80" s="629">
        <v>67</v>
      </c>
      <c r="K80" s="589"/>
    </row>
    <row r="81" spans="1:11" x14ac:dyDescent="0.35">
      <c r="A81" s="626">
        <v>5</v>
      </c>
      <c r="B81" s="627">
        <v>18333</v>
      </c>
      <c r="C81" s="255">
        <v>1.67</v>
      </c>
      <c r="D81" s="628">
        <v>108</v>
      </c>
      <c r="E81" s="255">
        <v>117</v>
      </c>
      <c r="F81" s="255">
        <v>10417</v>
      </c>
      <c r="G81" s="255">
        <v>0.67</v>
      </c>
      <c r="H81" s="628">
        <v>92</v>
      </c>
      <c r="I81" s="629">
        <v>83</v>
      </c>
      <c r="K81" s="589"/>
    </row>
    <row r="82" spans="1:11" x14ac:dyDescent="0.35">
      <c r="A82" s="626">
        <v>6</v>
      </c>
      <c r="B82" s="627">
        <v>22000</v>
      </c>
      <c r="C82" s="255">
        <v>2</v>
      </c>
      <c r="D82" s="628">
        <v>130</v>
      </c>
      <c r="E82" s="255">
        <v>140</v>
      </c>
      <c r="F82" s="255">
        <v>12500</v>
      </c>
      <c r="G82" s="255">
        <v>0.8</v>
      </c>
      <c r="H82" s="628">
        <v>110</v>
      </c>
      <c r="I82" s="629">
        <v>100</v>
      </c>
      <c r="K82" s="589"/>
    </row>
    <row r="83" spans="1:11" x14ac:dyDescent="0.35">
      <c r="A83" s="99"/>
      <c r="B83" s="69"/>
      <c r="C83" s="69"/>
      <c r="D83" s="69"/>
      <c r="E83" s="69"/>
      <c r="F83" s="69"/>
      <c r="G83" s="69"/>
      <c r="H83" s="69"/>
      <c r="I83" s="100"/>
    </row>
    <row r="84" spans="1:11" x14ac:dyDescent="0.35">
      <c r="A84" s="622"/>
      <c r="B84" s="69"/>
      <c r="C84" s="69"/>
      <c r="D84" s="69"/>
      <c r="E84" s="461"/>
      <c r="F84" s="69"/>
      <c r="G84" s="69"/>
      <c r="H84" s="69"/>
      <c r="I84" s="100"/>
    </row>
    <row r="85" spans="1:11" x14ac:dyDescent="0.35">
      <c r="A85" s="623" t="s">
        <v>1161</v>
      </c>
      <c r="B85" s="624" t="s">
        <v>1272</v>
      </c>
      <c r="C85" s="624" t="s">
        <v>1179</v>
      </c>
      <c r="D85" s="69"/>
      <c r="E85" s="624" t="s">
        <v>1162</v>
      </c>
      <c r="F85" s="624" t="s">
        <v>1273</v>
      </c>
      <c r="G85" s="69"/>
      <c r="H85" s="69"/>
      <c r="I85" s="100"/>
    </row>
    <row r="86" spans="1:11" ht="26" x14ac:dyDescent="0.35">
      <c r="A86" s="631" t="s">
        <v>1274</v>
      </c>
      <c r="B86" s="255">
        <v>4</v>
      </c>
      <c r="C86" s="255">
        <v>0.32</v>
      </c>
      <c r="D86" s="69"/>
      <c r="E86" s="255" t="s">
        <v>1275</v>
      </c>
      <c r="F86" s="255">
        <v>15</v>
      </c>
      <c r="G86" s="69"/>
      <c r="H86" s="69"/>
      <c r="I86" s="100"/>
    </row>
    <row r="87" spans="1:11" ht="26" x14ac:dyDescent="0.35">
      <c r="A87" s="631" t="s">
        <v>1276</v>
      </c>
      <c r="B87" s="255">
        <v>5</v>
      </c>
      <c r="C87" s="255">
        <v>0.41</v>
      </c>
      <c r="D87" s="69"/>
      <c r="E87" s="255" t="s">
        <v>1277</v>
      </c>
      <c r="F87" s="255">
        <v>4</v>
      </c>
      <c r="G87" s="69"/>
      <c r="H87" s="69"/>
      <c r="I87" s="100"/>
    </row>
    <row r="88" spans="1:11" x14ac:dyDescent="0.35">
      <c r="A88" s="626" t="s">
        <v>1278</v>
      </c>
      <c r="B88" s="255">
        <v>8</v>
      </c>
      <c r="C88" s="255">
        <v>0.46</v>
      </c>
      <c r="D88" s="69"/>
      <c r="E88" s="255" t="s">
        <v>1186</v>
      </c>
      <c r="F88" s="255">
        <v>10</v>
      </c>
      <c r="G88" s="69"/>
      <c r="H88" s="69"/>
      <c r="I88" s="100"/>
    </row>
    <row r="89" spans="1:11" ht="26" x14ac:dyDescent="0.35">
      <c r="A89" s="631" t="s">
        <v>1279</v>
      </c>
      <c r="B89" s="255">
        <v>8</v>
      </c>
      <c r="C89" s="255">
        <v>0.51</v>
      </c>
      <c r="D89" s="69"/>
      <c r="E89" s="255" t="s">
        <v>1280</v>
      </c>
      <c r="F89" s="255">
        <v>3</v>
      </c>
      <c r="G89" s="69"/>
      <c r="H89" s="69"/>
      <c r="I89" s="100"/>
    </row>
    <row r="90" spans="1:11" ht="26" x14ac:dyDescent="0.35">
      <c r="A90" s="631" t="s">
        <v>1281</v>
      </c>
      <c r="B90" s="255">
        <v>7</v>
      </c>
      <c r="C90" s="255">
        <v>0.36</v>
      </c>
      <c r="D90" s="69"/>
      <c r="E90" s="630"/>
      <c r="F90" s="630"/>
      <c r="G90" s="69"/>
      <c r="H90" s="69"/>
      <c r="I90" s="100"/>
    </row>
    <row r="91" spans="1:11" x14ac:dyDescent="0.35">
      <c r="A91" s="631" t="s">
        <v>1282</v>
      </c>
      <c r="B91" s="255">
        <v>6</v>
      </c>
      <c r="C91" s="255">
        <v>0.36</v>
      </c>
      <c r="D91" s="69"/>
      <c r="E91" s="69"/>
      <c r="F91" s="69"/>
      <c r="G91" s="69"/>
      <c r="H91" s="69"/>
      <c r="I91" s="100"/>
    </row>
    <row r="92" spans="1:11" x14ac:dyDescent="0.35">
      <c r="A92" s="631" t="s">
        <v>1185</v>
      </c>
      <c r="B92" s="49">
        <v>6</v>
      </c>
      <c r="C92" s="632">
        <v>0.4</v>
      </c>
      <c r="D92" s="69"/>
      <c r="E92" s="69"/>
      <c r="F92" s="69"/>
      <c r="G92" s="69"/>
      <c r="H92" s="69"/>
      <c r="I92" s="100"/>
    </row>
    <row r="93" spans="1:11" ht="15" thickBot="1" x14ac:dyDescent="0.4">
      <c r="A93" s="633" t="s">
        <v>105</v>
      </c>
      <c r="B93" s="634">
        <v>12</v>
      </c>
      <c r="C93" s="634">
        <v>0</v>
      </c>
      <c r="D93" s="161"/>
      <c r="E93" s="161"/>
      <c r="F93" s="161"/>
      <c r="G93" s="161"/>
      <c r="H93" s="161"/>
      <c r="I93" s="163"/>
    </row>
  </sheetData>
  <customSheetViews>
    <customSheetView guid="{ECD6FE6A-9548-414E-B8AA-6998703C57E0}" scale="85" showPageBreaks="1" fitToPage="1" view="pageBreakPreview">
      <pageMargins left="0" right="0" top="0" bottom="0" header="0" footer="0"/>
      <pageSetup scale="20" orientation="landscape" r:id="rId1"/>
    </customSheetView>
    <customSheetView guid="{11DE45F5-F478-4ED6-8DFF-12002C22A637}" scale="85" showPageBreaks="1" fitToPage="1" view="pageBreakPreview">
      <pageMargins left="0" right="0" top="0" bottom="0" header="0" footer="0"/>
      <pageSetup scale="20" orientation="landscape" r:id="rId2"/>
    </customSheetView>
  </customSheetViews>
  <mergeCells count="20">
    <mergeCell ref="A39:A40"/>
    <mergeCell ref="N1:Q1"/>
    <mergeCell ref="R1:U1"/>
    <mergeCell ref="V1:AN1"/>
    <mergeCell ref="A10:E10"/>
    <mergeCell ref="A25:A27"/>
    <mergeCell ref="A28:A30"/>
    <mergeCell ref="A31:A32"/>
    <mergeCell ref="A33:A34"/>
    <mergeCell ref="A35:A36"/>
    <mergeCell ref="A37:A38"/>
    <mergeCell ref="A62:A63"/>
    <mergeCell ref="C64:E65"/>
    <mergeCell ref="C66:E67"/>
    <mergeCell ref="A41:A43"/>
    <mergeCell ref="A44:A45"/>
    <mergeCell ref="A50:A53"/>
    <mergeCell ref="A54:A55"/>
    <mergeCell ref="A56:A57"/>
    <mergeCell ref="A59:A61"/>
  </mergeCells>
  <dataValidations count="5">
    <dataValidation type="list" allowBlank="1" showInputMessage="1" showErrorMessage="1" sqref="D3" xr:uid="{00000000-0002-0000-0400-000000000000}">
      <formula1>MeasureType</formula1>
    </dataValidation>
    <dataValidation type="list" allowBlank="1" showInputMessage="1" showErrorMessage="1" sqref="I3" xr:uid="{00000000-0002-0000-0400-000001000000}">
      <formula1>CSCr4</formula1>
    </dataValidation>
    <dataValidation type="list" allowBlank="1" showInputMessage="1" showErrorMessage="1" sqref="H3" xr:uid="{00000000-0002-0000-0400-000002000000}">
      <formula1>CSCr3</formula1>
    </dataValidation>
    <dataValidation type="list" allowBlank="1" showInputMessage="1" showErrorMessage="1" sqref="G3" xr:uid="{00000000-0002-0000-0400-000003000000}">
      <formula1>CSCr2</formula1>
    </dataValidation>
    <dataValidation type="list" allowBlank="1" showInputMessage="1" showErrorMessage="1" sqref="F3" xr:uid="{00000000-0002-0000-0400-000004000000}">
      <formula1>CSCr1</formula1>
    </dataValidation>
  </dataValidations>
  <pageMargins left="0.7" right="0.7" top="0.75" bottom="0.75" header="0.3" footer="0.3"/>
  <pageSetup scale="21" orientation="landscape"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59999389629810485"/>
    <pageSetUpPr fitToPage="1"/>
  </sheetPr>
  <dimension ref="A1:AG63"/>
  <sheetViews>
    <sheetView view="pageBreakPreview" zoomScale="90" zoomScaleNormal="100" zoomScaleSheetLayoutView="90" workbookViewId="0"/>
  </sheetViews>
  <sheetFormatPr defaultRowHeight="14.5" x14ac:dyDescent="0.35"/>
  <cols>
    <col min="1" max="1" width="28.54296875" customWidth="1"/>
    <col min="2" max="2" width="31.453125" customWidth="1"/>
    <col min="3" max="3" width="33.453125" customWidth="1"/>
    <col min="4" max="4" width="16.26953125" customWidth="1"/>
    <col min="6" max="6" width="12.453125" bestFit="1" customWidth="1"/>
    <col min="7" max="7" width="10.54296875" customWidth="1"/>
    <col min="8" max="8" width="12.453125" bestFit="1" customWidth="1"/>
    <col min="9" max="10" width="12.453125" customWidth="1"/>
    <col min="11" max="11" width="13.54296875" customWidth="1"/>
    <col min="12" max="12" width="11" customWidth="1"/>
    <col min="15" max="15" width="6.453125" bestFit="1" customWidth="1"/>
    <col min="16" max="16" width="5.26953125" bestFit="1" customWidth="1"/>
    <col min="17" max="17" width="14.81640625" bestFit="1" customWidth="1"/>
    <col min="18" max="18" width="10" bestFit="1" customWidth="1"/>
    <col min="21" max="21" width="9.26953125" bestFit="1" customWidth="1"/>
    <col min="22" max="22" width="13.26953125" bestFit="1" customWidth="1"/>
    <col min="23" max="23" width="9.7265625" bestFit="1" customWidth="1"/>
    <col min="24" max="24" width="9.26953125" bestFit="1" customWidth="1"/>
    <col min="25" max="25" width="12.81640625" bestFit="1" customWidth="1"/>
    <col min="26" max="26" width="12.54296875" bestFit="1" customWidth="1"/>
    <col min="27" max="27" width="12.453125" customWidth="1"/>
    <col min="28" max="28" width="16.7265625" customWidth="1"/>
    <col min="30" max="30" width="13" customWidth="1"/>
    <col min="33" max="33" width="12.26953125" bestFit="1" customWidth="1"/>
  </cols>
  <sheetData>
    <row r="1" spans="1:33" x14ac:dyDescent="0.35">
      <c r="A1" s="1799" t="s">
        <v>1031</v>
      </c>
    </row>
    <row r="2" spans="1:33" x14ac:dyDescent="0.35">
      <c r="A2" s="968" t="s">
        <v>739</v>
      </c>
      <c r="B2" s="948"/>
      <c r="C2" s="948"/>
      <c r="D2" s="948"/>
      <c r="E2" s="998"/>
      <c r="F2" s="998"/>
      <c r="G2" s="998"/>
      <c r="H2" s="998"/>
      <c r="I2" s="998"/>
      <c r="J2" s="998"/>
      <c r="K2" s="998"/>
      <c r="L2" s="998"/>
      <c r="M2" s="998"/>
      <c r="N2" s="1046"/>
      <c r="O2" s="3013" t="s">
        <v>1032</v>
      </c>
      <c r="P2" s="3014"/>
      <c r="Q2" s="3098"/>
      <c r="R2" s="3013" t="s">
        <v>1033</v>
      </c>
      <c r="S2" s="3014"/>
      <c r="T2" s="3014"/>
      <c r="U2" s="3306" t="s">
        <v>1158</v>
      </c>
      <c r="V2" s="3307"/>
      <c r="W2" s="3307"/>
      <c r="X2" s="3307"/>
      <c r="Y2" s="3307"/>
      <c r="Z2" s="3307"/>
      <c r="AA2" s="1687"/>
      <c r="AB2" s="1687"/>
    </row>
    <row r="3" spans="1:33" ht="58" x14ac:dyDescent="0.35">
      <c r="A3" s="969" t="s">
        <v>1035</v>
      </c>
      <c r="B3" s="953" t="s">
        <v>155</v>
      </c>
      <c r="C3" s="953" t="s">
        <v>1036</v>
      </c>
      <c r="D3" s="953" t="s">
        <v>1037</v>
      </c>
      <c r="E3" s="998" t="s">
        <v>1038</v>
      </c>
      <c r="F3" s="998" t="s">
        <v>1039</v>
      </c>
      <c r="G3" s="998" t="s">
        <v>1570</v>
      </c>
      <c r="H3" s="998" t="s">
        <v>1041</v>
      </c>
      <c r="I3" s="998" t="s">
        <v>3512</v>
      </c>
      <c r="J3" s="998" t="s">
        <v>3513</v>
      </c>
      <c r="K3" s="998" t="s">
        <v>3177</v>
      </c>
      <c r="L3" s="998" t="s">
        <v>1684</v>
      </c>
      <c r="M3" s="998" t="s">
        <v>3514</v>
      </c>
      <c r="N3" s="998" t="s">
        <v>2369</v>
      </c>
      <c r="O3" s="989" t="s">
        <v>1044</v>
      </c>
      <c r="P3" s="989" t="s">
        <v>1045</v>
      </c>
      <c r="Q3" s="989" t="s">
        <v>1046</v>
      </c>
      <c r="R3" s="989" t="s">
        <v>1044</v>
      </c>
      <c r="S3" s="989" t="s">
        <v>1045</v>
      </c>
      <c r="T3" s="988" t="s">
        <v>1046</v>
      </c>
      <c r="U3" s="109" t="s">
        <v>3210</v>
      </c>
      <c r="V3" s="2173" t="s">
        <v>3450</v>
      </c>
      <c r="W3" s="2173" t="s">
        <v>3421</v>
      </c>
      <c r="X3" s="683" t="s">
        <v>2156</v>
      </c>
      <c r="Y3" s="683" t="s">
        <v>3515</v>
      </c>
      <c r="Z3" s="2176" t="s">
        <v>3516</v>
      </c>
      <c r="AA3" s="2176" t="s">
        <v>2369</v>
      </c>
      <c r="AB3" s="2176" t="s">
        <v>3360</v>
      </c>
      <c r="AC3" s="2176" t="s">
        <v>3517</v>
      </c>
      <c r="AD3" s="2176" t="s">
        <v>2155</v>
      </c>
      <c r="AE3" s="2176" t="s">
        <v>2204</v>
      </c>
      <c r="AF3" s="2176" t="s">
        <v>3518</v>
      </c>
      <c r="AG3" s="2176" t="s">
        <v>3519</v>
      </c>
    </row>
    <row r="4" spans="1:33" ht="52.5" customHeight="1" x14ac:dyDescent="0.35">
      <c r="A4" s="955" t="s">
        <v>738</v>
      </c>
      <c r="B4" s="1448" t="s">
        <v>737</v>
      </c>
      <c r="C4" s="1448" t="s">
        <v>737</v>
      </c>
      <c r="D4" s="957" t="s">
        <v>2414</v>
      </c>
      <c r="E4" s="1449" t="s">
        <v>1632</v>
      </c>
      <c r="F4" s="1974">
        <v>3</v>
      </c>
      <c r="G4" s="1080"/>
      <c r="H4" s="1081" t="s">
        <v>3520</v>
      </c>
      <c r="I4" s="1450">
        <v>0.81399999999999995</v>
      </c>
      <c r="J4" s="1245">
        <v>1.9199999999999998E-2</v>
      </c>
      <c r="K4" s="50" t="s">
        <v>3313</v>
      </c>
      <c r="L4" s="972" t="s">
        <v>1691</v>
      </c>
      <c r="M4" s="610"/>
      <c r="N4" s="1451">
        <f>+$B$30</f>
        <v>0.8</v>
      </c>
      <c r="O4" s="1139"/>
      <c r="P4" s="1140"/>
      <c r="Q4" s="2518">
        <f>(AG4*AD4*(1/X4-1/(X4+Y4)))/100000</f>
        <v>15.182208249899112</v>
      </c>
      <c r="R4" s="1139"/>
      <c r="S4" s="1452"/>
      <c r="T4" s="1141">
        <f>Q4*F4</f>
        <v>45.546624749697337</v>
      </c>
      <c r="U4" s="2519">
        <f>B35</f>
        <v>3.1399999999999997E-2</v>
      </c>
      <c r="V4" s="2519">
        <f>VLOOKUP(L4,$A$50:$B$56,2,FALSE)</f>
        <v>834</v>
      </c>
      <c r="W4" s="2519">
        <f>+VLOOKUP(K4,$D$49:$E$51,2,FALSE)</f>
        <v>0.65</v>
      </c>
      <c r="X4" s="2520">
        <f>I4</f>
        <v>0.81399999999999995</v>
      </c>
      <c r="Y4" s="2520">
        <f>J4</f>
        <v>1.9199999999999998E-2</v>
      </c>
      <c r="Z4" s="2520">
        <f>+$B$33</f>
        <v>0</v>
      </c>
      <c r="AA4" s="2521">
        <f>VLOOKUP(L4, A50:C56, 3, FALSE)</f>
        <v>976</v>
      </c>
      <c r="AB4" s="2522">
        <v>83595.39</v>
      </c>
      <c r="AC4" s="2523"/>
      <c r="AD4" s="2524">
        <f>VLOOKUP(L4,$A$50:$C$56,3,FALSE)</f>
        <v>976</v>
      </c>
      <c r="AE4" s="2523"/>
      <c r="AF4" s="2523"/>
      <c r="AG4" s="2523">
        <v>54948.717948717946</v>
      </c>
    </row>
    <row r="5" spans="1:33" x14ac:dyDescent="0.35">
      <c r="A5" s="956"/>
      <c r="B5" s="956"/>
      <c r="C5" s="956"/>
      <c r="D5" s="956"/>
      <c r="E5" s="610"/>
      <c r="F5" s="1021"/>
      <c r="G5" s="1080"/>
      <c r="H5" s="1082"/>
      <c r="I5" s="1450"/>
      <c r="J5" s="1245"/>
      <c r="K5" s="973"/>
      <c r="L5" s="972"/>
      <c r="M5" s="610"/>
      <c r="N5" s="1451"/>
      <c r="O5" s="1453"/>
      <c r="P5" s="1452"/>
      <c r="Q5" s="1453"/>
      <c r="R5" s="1453"/>
      <c r="S5" s="1452"/>
      <c r="T5" s="1453"/>
      <c r="U5" s="1245"/>
      <c r="V5" s="69"/>
      <c r="W5" s="69"/>
      <c r="X5" s="429"/>
      <c r="Y5" s="472"/>
      <c r="Z5" s="429"/>
      <c r="AA5" s="429"/>
      <c r="AB5" s="429"/>
    </row>
    <row r="6" spans="1:33" ht="15" thickBot="1" x14ac:dyDescent="0.4"/>
    <row r="7" spans="1:33" ht="15" thickBot="1" x14ac:dyDescent="0.4">
      <c r="A7" s="62" t="s">
        <v>1188</v>
      </c>
      <c r="B7" s="64"/>
      <c r="C7" s="64"/>
      <c r="D7" s="64"/>
      <c r="E7" s="64"/>
      <c r="F7" s="64"/>
      <c r="G7" s="64"/>
      <c r="H7" s="64"/>
      <c r="I7" s="64"/>
      <c r="J7" s="64"/>
      <c r="K7" s="64"/>
      <c r="L7" s="65"/>
    </row>
    <row r="8" spans="1:33" ht="15" x14ac:dyDescent="0.4">
      <c r="A8" s="67" t="s">
        <v>3521</v>
      </c>
      <c r="B8" s="69"/>
      <c r="C8" s="68"/>
      <c r="D8" s="69"/>
      <c r="E8" s="69"/>
      <c r="F8" s="69"/>
      <c r="G8" s="69"/>
      <c r="H8" s="69"/>
      <c r="I8" s="69"/>
      <c r="J8" s="69"/>
      <c r="K8" s="69"/>
      <c r="L8" s="70"/>
    </row>
    <row r="9" spans="1:33" x14ac:dyDescent="0.35">
      <c r="A9" s="308" t="s">
        <v>3522</v>
      </c>
      <c r="B9" s="69"/>
      <c r="C9" s="68"/>
      <c r="D9" s="69"/>
      <c r="E9" s="69"/>
      <c r="F9" s="69"/>
      <c r="G9" s="69"/>
      <c r="H9" s="69"/>
      <c r="I9" s="69"/>
      <c r="J9" s="69"/>
      <c r="K9" s="69"/>
      <c r="L9" s="70"/>
    </row>
    <row r="10" spans="1:33" x14ac:dyDescent="0.35">
      <c r="A10" s="1688" t="s">
        <v>3523</v>
      </c>
      <c r="B10" s="1689"/>
      <c r="C10" s="1550"/>
      <c r="D10" s="1550"/>
      <c r="E10" s="1550"/>
      <c r="F10" s="1550"/>
      <c r="G10" s="1550"/>
      <c r="H10" s="1550"/>
      <c r="I10" s="1550"/>
      <c r="J10" s="1550"/>
      <c r="K10" s="1550"/>
      <c r="L10" s="1551"/>
    </row>
    <row r="11" spans="1:33" x14ac:dyDescent="0.35">
      <c r="A11" s="308" t="s">
        <v>3524</v>
      </c>
      <c r="B11" s="69"/>
      <c r="C11" s="68"/>
      <c r="D11" s="69"/>
      <c r="E11" s="69"/>
      <c r="F11" s="69"/>
      <c r="G11" s="69"/>
      <c r="H11" s="69"/>
      <c r="I11" s="69"/>
      <c r="J11" s="69"/>
      <c r="K11" s="69"/>
      <c r="L11" s="70"/>
    </row>
    <row r="12" spans="1:33" ht="15" thickBot="1" x14ac:dyDescent="0.4">
      <c r="A12" s="1688" t="s">
        <v>3525</v>
      </c>
      <c r="B12" s="1689"/>
      <c r="C12" s="1550"/>
      <c r="D12" s="1550"/>
      <c r="E12" s="1550"/>
      <c r="F12" s="1550"/>
      <c r="G12" s="1550"/>
      <c r="H12" s="1550"/>
      <c r="I12" s="1550"/>
      <c r="J12" s="1550"/>
      <c r="K12" s="1550"/>
      <c r="L12" s="1551"/>
    </row>
    <row r="13" spans="1:33" ht="15" thickBot="1" x14ac:dyDescent="0.4">
      <c r="A13" s="154" t="s">
        <v>1078</v>
      </c>
      <c r="B13" s="1142">
        <f>'Measure-Level Adjustments'!A2</f>
        <v>44592</v>
      </c>
    </row>
    <row r="14" spans="1:33" ht="15" thickBot="1" x14ac:dyDescent="0.4">
      <c r="A14" s="154" t="s">
        <v>1079</v>
      </c>
      <c r="B14" s="577" t="s">
        <v>740</v>
      </c>
    </row>
    <row r="15" spans="1:33" ht="15" thickBot="1" x14ac:dyDescent="0.4"/>
    <row r="16" spans="1:33" ht="15" thickBot="1" x14ac:dyDescent="0.4">
      <c r="A16" s="637" t="s">
        <v>1285</v>
      </c>
      <c r="B16" s="638" t="s">
        <v>1199</v>
      </c>
      <c r="C16" s="639" t="s">
        <v>1082</v>
      </c>
      <c r="D16" s="383"/>
      <c r="E16" s="383"/>
      <c r="F16" s="383"/>
      <c r="G16" s="383"/>
      <c r="H16" s="383"/>
      <c r="I16" s="383"/>
      <c r="J16" s="383"/>
      <c r="K16" s="383"/>
      <c r="L16" s="383"/>
      <c r="M16" s="383"/>
      <c r="N16" s="384"/>
    </row>
    <row r="17" spans="1:14" ht="29" x14ac:dyDescent="0.35">
      <c r="A17" s="1179" t="s">
        <v>3526</v>
      </c>
      <c r="B17" s="1440" t="s">
        <v>3527</v>
      </c>
      <c r="C17" s="1164" t="s">
        <v>3528</v>
      </c>
      <c r="D17" s="1164"/>
      <c r="E17" s="1164"/>
      <c r="F17" s="1164"/>
      <c r="G17" s="1164"/>
      <c r="H17" s="1164"/>
      <c r="I17" s="1164"/>
      <c r="J17" s="1164"/>
      <c r="K17" s="1164"/>
      <c r="L17" s="1164"/>
      <c r="M17" s="1164"/>
      <c r="N17" s="1183"/>
    </row>
    <row r="18" spans="1:14" x14ac:dyDescent="0.35">
      <c r="A18" s="1181"/>
      <c r="B18" s="1182"/>
      <c r="C18" s="1182" t="s">
        <v>3529</v>
      </c>
      <c r="D18" s="1182"/>
      <c r="E18" s="1182"/>
      <c r="F18" s="1182"/>
      <c r="G18" s="1182"/>
      <c r="H18" s="1182"/>
      <c r="I18" s="1182"/>
      <c r="J18" s="1182"/>
      <c r="K18" s="1182"/>
      <c r="L18" s="1182"/>
      <c r="M18" s="1182"/>
      <c r="N18" s="1185"/>
    </row>
    <row r="19" spans="1:14" ht="15" thickBot="1" x14ac:dyDescent="0.4">
      <c r="A19" s="1180"/>
      <c r="B19" s="1165"/>
      <c r="C19" s="1165" t="s">
        <v>3530</v>
      </c>
      <c r="D19" s="1165"/>
      <c r="E19" s="1165"/>
      <c r="F19" s="1165"/>
      <c r="G19" s="1165"/>
      <c r="H19" s="1165"/>
      <c r="I19" s="1165"/>
      <c r="J19" s="1165"/>
      <c r="K19" s="1165"/>
      <c r="L19" s="1165"/>
      <c r="M19" s="1165"/>
      <c r="N19" s="1184"/>
    </row>
    <row r="20" spans="1:14" x14ac:dyDescent="0.35">
      <c r="A20" s="1179" t="s">
        <v>3421</v>
      </c>
      <c r="B20" s="1164"/>
      <c r="C20" s="1164" t="s">
        <v>3531</v>
      </c>
      <c r="D20" s="1164"/>
      <c r="E20" s="1164"/>
      <c r="F20" s="1164"/>
      <c r="G20" s="1164"/>
      <c r="H20" s="1164"/>
      <c r="I20" s="1164"/>
      <c r="J20" s="1164"/>
      <c r="K20" s="1164"/>
      <c r="L20" s="1164"/>
      <c r="M20" s="1164"/>
      <c r="N20" s="1183"/>
    </row>
    <row r="21" spans="1:14" ht="15" thickBot="1" x14ac:dyDescent="0.4">
      <c r="A21" s="1180"/>
      <c r="B21" s="1165"/>
      <c r="C21" s="1165" t="s">
        <v>3532</v>
      </c>
      <c r="D21" s="1165"/>
      <c r="E21" s="1165"/>
      <c r="F21" s="1165"/>
      <c r="G21" s="1165"/>
      <c r="H21" s="1165"/>
      <c r="I21" s="1165"/>
      <c r="J21" s="1165"/>
      <c r="K21" s="1165"/>
      <c r="L21" s="1165"/>
      <c r="M21" s="1165"/>
      <c r="N21" s="1184"/>
    </row>
    <row r="22" spans="1:14" ht="30" customHeight="1" x14ac:dyDescent="0.35">
      <c r="A22" s="1179" t="s">
        <v>3533</v>
      </c>
      <c r="B22" s="1164"/>
      <c r="C22" s="1164" t="s">
        <v>3534</v>
      </c>
      <c r="D22" s="1164"/>
      <c r="E22" s="1164"/>
      <c r="F22" s="1164"/>
      <c r="G22" s="1164"/>
      <c r="H22" s="1164"/>
      <c r="I22" s="1164"/>
      <c r="J22" s="1164"/>
      <c r="K22" s="1164"/>
      <c r="L22" s="1164"/>
      <c r="M22" s="1164"/>
      <c r="N22" s="1183"/>
    </row>
    <row r="23" spans="1:14" ht="14.25" customHeight="1" x14ac:dyDescent="0.35">
      <c r="A23" s="1181"/>
      <c r="B23" s="1182"/>
      <c r="C23" s="1182" t="s">
        <v>3535</v>
      </c>
      <c r="D23" s="1182"/>
      <c r="E23" s="1182"/>
      <c r="F23" s="1182"/>
      <c r="G23" s="1182"/>
      <c r="H23" s="1182"/>
      <c r="I23" s="1182"/>
      <c r="J23" s="1182"/>
      <c r="K23" s="1182"/>
      <c r="L23" s="1182"/>
      <c r="M23" s="1182"/>
      <c r="N23" s="1185"/>
    </row>
    <row r="24" spans="1:14" x14ac:dyDescent="0.35">
      <c r="A24" s="1181"/>
      <c r="B24" s="1182"/>
      <c r="C24" s="1182" t="s">
        <v>3536</v>
      </c>
      <c r="D24" s="1182"/>
      <c r="E24" s="1182"/>
      <c r="F24" s="1182"/>
      <c r="G24" s="1182"/>
      <c r="H24" s="1182"/>
      <c r="I24" s="1182"/>
      <c r="J24" s="1182"/>
      <c r="K24" s="1182"/>
      <c r="L24" s="1182"/>
      <c r="M24" s="1182"/>
      <c r="N24" s="1185"/>
    </row>
    <row r="25" spans="1:14" ht="40.5" customHeight="1" thickBot="1" x14ac:dyDescent="0.4">
      <c r="A25" s="1180"/>
      <c r="B25" s="1165"/>
      <c r="C25" s="3311" t="s">
        <v>3537</v>
      </c>
      <c r="D25" s="3311"/>
      <c r="E25" s="3311"/>
      <c r="F25" s="3311"/>
      <c r="G25" s="3311"/>
      <c r="H25" s="3311"/>
      <c r="I25" s="3311"/>
      <c r="J25" s="3311"/>
      <c r="K25" s="3311"/>
      <c r="L25" s="3311"/>
      <c r="M25" s="3311"/>
      <c r="N25" s="1446"/>
    </row>
    <row r="26" spans="1:14" x14ac:dyDescent="0.35">
      <c r="A26" s="1179" t="s">
        <v>2157</v>
      </c>
      <c r="B26" s="1164"/>
      <c r="C26" s="1164" t="s">
        <v>3538</v>
      </c>
      <c r="D26" s="1164"/>
      <c r="E26" s="1164"/>
      <c r="F26" s="1164"/>
      <c r="G26" s="1164"/>
      <c r="H26" s="1164"/>
      <c r="I26" s="1164"/>
      <c r="J26" s="1164"/>
      <c r="K26" s="1164"/>
      <c r="L26" s="1164"/>
      <c r="M26" s="1164"/>
      <c r="N26" s="1183"/>
    </row>
    <row r="27" spans="1:14" ht="15" thickBot="1" x14ac:dyDescent="0.4">
      <c r="A27" s="1180"/>
      <c r="B27" s="1165"/>
      <c r="C27" s="1165" t="s">
        <v>3535</v>
      </c>
      <c r="D27" s="1165"/>
      <c r="E27" s="1165"/>
      <c r="F27" s="1165"/>
      <c r="G27" s="1165"/>
      <c r="H27" s="1165"/>
      <c r="I27" s="1165"/>
      <c r="J27" s="1165"/>
      <c r="K27" s="1165"/>
      <c r="L27" s="1165"/>
      <c r="M27" s="1165"/>
      <c r="N27" s="1184"/>
    </row>
    <row r="28" spans="1:14" ht="30" customHeight="1" x14ac:dyDescent="0.35">
      <c r="A28" s="1181" t="s">
        <v>2369</v>
      </c>
      <c r="B28" s="1182"/>
      <c r="C28" s="1182" t="s">
        <v>3539</v>
      </c>
      <c r="D28" s="1182"/>
      <c r="E28" s="1182"/>
      <c r="F28" s="1182"/>
      <c r="G28" s="1182"/>
      <c r="H28" s="1182"/>
      <c r="I28" s="1182"/>
      <c r="J28" s="1182"/>
      <c r="K28" s="1182"/>
      <c r="L28" s="1182"/>
      <c r="M28" s="1182"/>
      <c r="N28" s="1185"/>
    </row>
    <row r="29" spans="1:14" x14ac:dyDescent="0.35">
      <c r="A29" s="1181"/>
      <c r="B29" s="1182"/>
      <c r="C29" s="1182" t="s">
        <v>3540</v>
      </c>
      <c r="D29" s="1182"/>
      <c r="E29" s="1182"/>
      <c r="F29" s="1182"/>
      <c r="G29" s="1182"/>
      <c r="H29" s="1182"/>
      <c r="I29" s="1182"/>
      <c r="J29" s="1182"/>
      <c r="K29" s="1182"/>
      <c r="L29" s="1182"/>
      <c r="M29" s="1182"/>
      <c r="N29" s="1185"/>
    </row>
    <row r="30" spans="1:14" ht="15" thickBot="1" x14ac:dyDescent="0.4">
      <c r="A30" s="1181"/>
      <c r="B30" s="1441">
        <v>0.8</v>
      </c>
      <c r="C30" s="1182" t="s">
        <v>3541</v>
      </c>
      <c r="D30" s="1182"/>
      <c r="E30" s="1182"/>
      <c r="F30" s="1182"/>
      <c r="G30" s="1182"/>
      <c r="H30" s="1182"/>
      <c r="I30" s="1182"/>
      <c r="J30" s="1182"/>
      <c r="K30" s="1182"/>
      <c r="L30" s="1182"/>
      <c r="M30" s="1182"/>
      <c r="N30" s="1185"/>
    </row>
    <row r="31" spans="1:14" x14ac:dyDescent="0.35">
      <c r="A31" s="1179" t="s">
        <v>3360</v>
      </c>
      <c r="B31" s="1442">
        <v>6.4000000000000001E-2</v>
      </c>
      <c r="C31" s="1164" t="s">
        <v>3542</v>
      </c>
      <c r="D31" s="1164"/>
      <c r="E31" s="1164"/>
      <c r="F31" s="1164"/>
      <c r="G31" s="1164"/>
      <c r="H31" s="1164"/>
      <c r="I31" s="1164"/>
      <c r="J31" s="1164"/>
      <c r="K31" s="1164"/>
      <c r="L31" s="1164"/>
      <c r="M31" s="1164"/>
      <c r="N31" s="1183"/>
    </row>
    <row r="32" spans="1:14" ht="15" thickBot="1" x14ac:dyDescent="0.4">
      <c r="A32" s="1180"/>
      <c r="B32" s="1165"/>
      <c r="C32" s="1165" t="s">
        <v>3543</v>
      </c>
      <c r="D32" s="1165"/>
      <c r="E32" s="1165"/>
      <c r="F32" s="1165"/>
      <c r="G32" s="1165"/>
      <c r="H32" s="1165"/>
      <c r="I32" s="1165"/>
      <c r="J32" s="1165"/>
      <c r="K32" s="1165"/>
      <c r="L32" s="1165"/>
      <c r="M32" s="1165"/>
      <c r="N32" s="1184"/>
    </row>
    <row r="33" spans="1:14" x14ac:dyDescent="0.35">
      <c r="A33" s="1181" t="s">
        <v>3517</v>
      </c>
      <c r="B33" s="1441">
        <v>0</v>
      </c>
      <c r="C33" s="1182" t="s">
        <v>3544</v>
      </c>
      <c r="D33" s="1182"/>
      <c r="E33" s="1182"/>
      <c r="F33" s="1182"/>
      <c r="G33" s="1182"/>
      <c r="H33" s="1182"/>
      <c r="I33" s="1182"/>
      <c r="J33" s="1182"/>
      <c r="K33" s="1182"/>
      <c r="L33" s="1182"/>
      <c r="M33" s="1182"/>
      <c r="N33" s="1185"/>
    </row>
    <row r="34" spans="1:14" ht="15" thickBot="1" x14ac:dyDescent="0.4">
      <c r="A34" s="1181"/>
      <c r="B34" s="1182"/>
      <c r="C34" s="1182" t="s">
        <v>3545</v>
      </c>
      <c r="D34" s="1182"/>
      <c r="E34" s="1182"/>
      <c r="F34" s="1182"/>
      <c r="G34" s="1182"/>
      <c r="H34" s="1182"/>
      <c r="I34" s="1182"/>
      <c r="J34" s="1182"/>
      <c r="K34" s="1182"/>
      <c r="L34" s="1182"/>
      <c r="M34" s="1182"/>
      <c r="N34" s="1185"/>
    </row>
    <row r="35" spans="1:14" x14ac:dyDescent="0.35">
      <c r="A35" s="1179" t="s">
        <v>3210</v>
      </c>
      <c r="B35" s="1442">
        <v>3.1399999999999997E-2</v>
      </c>
      <c r="C35" s="1164" t="s">
        <v>3289</v>
      </c>
      <c r="D35" s="1164"/>
      <c r="E35" s="1164"/>
      <c r="F35" s="1164"/>
      <c r="G35" s="1164"/>
      <c r="H35" s="1164"/>
      <c r="I35" s="1164"/>
      <c r="J35" s="1164"/>
      <c r="K35" s="1164"/>
      <c r="L35" s="1164"/>
      <c r="M35" s="1164"/>
      <c r="N35" s="1183"/>
    </row>
    <row r="36" spans="1:14" ht="15" thickBot="1" x14ac:dyDescent="0.4">
      <c r="A36" s="1180"/>
      <c r="B36" s="1165"/>
      <c r="C36" s="1165" t="s">
        <v>3546</v>
      </c>
      <c r="D36" s="1165"/>
      <c r="E36" s="1165"/>
      <c r="F36" s="1165"/>
      <c r="G36" s="1165"/>
      <c r="H36" s="1165"/>
      <c r="I36" s="1165"/>
      <c r="J36" s="1165"/>
      <c r="K36" s="1165"/>
      <c r="L36" s="1165"/>
      <c r="M36" s="1165"/>
      <c r="N36" s="1184"/>
    </row>
    <row r="37" spans="1:14" x14ac:dyDescent="0.35">
      <c r="A37" s="1179" t="s">
        <v>1416</v>
      </c>
      <c r="B37" s="1164">
        <v>29.3</v>
      </c>
      <c r="C37" s="1164" t="s">
        <v>3547</v>
      </c>
      <c r="D37" s="1164"/>
      <c r="E37" s="1164"/>
      <c r="F37" s="1164"/>
      <c r="G37" s="1164"/>
      <c r="H37" s="1164"/>
      <c r="I37" s="1164"/>
      <c r="J37" s="1164"/>
      <c r="K37" s="1164"/>
      <c r="L37" s="1164"/>
      <c r="M37" s="1164"/>
      <c r="N37" s="1183"/>
    </row>
    <row r="38" spans="1:14" ht="15" thickBot="1" x14ac:dyDescent="0.4">
      <c r="A38" s="1180"/>
      <c r="B38" s="1165"/>
      <c r="C38" s="1165"/>
      <c r="D38" s="1165"/>
      <c r="E38" s="1165"/>
      <c r="F38" s="1165"/>
      <c r="G38" s="1165"/>
      <c r="H38" s="1165"/>
      <c r="I38" s="1165"/>
      <c r="J38" s="1165"/>
      <c r="K38" s="1165"/>
      <c r="L38" s="1165"/>
      <c r="M38" s="1165"/>
      <c r="N38" s="1184"/>
    </row>
    <row r="39" spans="1:14" x14ac:dyDescent="0.35">
      <c r="A39" s="1179" t="s">
        <v>3548</v>
      </c>
      <c r="B39" s="1164">
        <v>2</v>
      </c>
      <c r="C39" s="1164" t="s">
        <v>3549</v>
      </c>
      <c r="D39" s="1164"/>
      <c r="E39" s="1164"/>
      <c r="F39" s="1164"/>
      <c r="G39" s="1164"/>
      <c r="H39" s="1164"/>
      <c r="I39" s="1164"/>
      <c r="J39" s="1164"/>
      <c r="K39" s="1164"/>
      <c r="L39" s="1164"/>
      <c r="M39" s="1164"/>
      <c r="N39" s="1183"/>
    </row>
    <row r="40" spans="1:14" ht="15" thickBot="1" x14ac:dyDescent="0.4">
      <c r="A40" s="1180"/>
      <c r="B40" s="1165"/>
      <c r="C40" s="1165" t="s">
        <v>3550</v>
      </c>
      <c r="D40" s="1165"/>
      <c r="E40" s="1165"/>
      <c r="F40" s="1165"/>
      <c r="G40" s="1165"/>
      <c r="H40" s="1165"/>
      <c r="I40" s="1165"/>
      <c r="J40" s="1165"/>
      <c r="K40" s="1165"/>
      <c r="L40" s="1165"/>
      <c r="M40" s="1165"/>
      <c r="N40" s="1184"/>
    </row>
    <row r="41" spans="1:14" ht="31.5" customHeight="1" x14ac:dyDescent="0.35">
      <c r="A41" s="2273" t="s">
        <v>3551</v>
      </c>
      <c r="B41" s="152">
        <v>3</v>
      </c>
      <c r="C41" s="3019" t="s">
        <v>3552</v>
      </c>
      <c r="D41" s="3019"/>
      <c r="E41" s="3019"/>
      <c r="F41" s="3019"/>
      <c r="G41" s="3019"/>
      <c r="H41" s="3019"/>
      <c r="I41" s="3019"/>
      <c r="J41" s="3019"/>
      <c r="K41" s="3019"/>
      <c r="L41" s="3019"/>
      <c r="M41" s="3019"/>
      <c r="N41" s="1363"/>
    </row>
    <row r="42" spans="1:14" ht="15" thickBot="1" x14ac:dyDescent="0.4">
      <c r="A42" s="155"/>
      <c r="B42" s="156"/>
      <c r="C42" s="156" t="s">
        <v>3550</v>
      </c>
      <c r="D42" s="156"/>
      <c r="E42" s="156"/>
      <c r="F42" s="156"/>
      <c r="G42" s="156"/>
      <c r="H42" s="156"/>
      <c r="I42" s="156"/>
      <c r="J42" s="156"/>
      <c r="K42" s="156"/>
      <c r="L42" s="156"/>
      <c r="M42" s="156"/>
      <c r="N42" s="1184"/>
    </row>
    <row r="43" spans="1:14" ht="15" customHeight="1" x14ac:dyDescent="0.35">
      <c r="A43" s="1179" t="s">
        <v>3553</v>
      </c>
      <c r="B43" s="1164"/>
      <c r="C43" s="1164"/>
      <c r="D43" s="1164"/>
      <c r="E43" s="1164"/>
      <c r="F43" s="1164"/>
      <c r="G43" s="1164"/>
      <c r="H43" s="1164"/>
      <c r="I43" s="1164"/>
      <c r="J43" s="1164"/>
      <c r="K43" s="1164"/>
      <c r="L43" s="1164"/>
      <c r="M43" s="1164"/>
      <c r="N43" s="1185"/>
    </row>
    <row r="44" spans="1:14" x14ac:dyDescent="0.35">
      <c r="A44" s="1181"/>
      <c r="B44" s="1182"/>
      <c r="C44" s="1182"/>
      <c r="D44" s="1182"/>
      <c r="E44" s="1182"/>
      <c r="F44" s="1182"/>
      <c r="G44" s="1182"/>
      <c r="H44" s="1182"/>
      <c r="I44" s="1182"/>
      <c r="J44" s="1182"/>
      <c r="K44" s="1182"/>
      <c r="L44" s="1182"/>
      <c r="M44" s="1182"/>
      <c r="N44" s="1185"/>
    </row>
    <row r="45" spans="1:14" ht="15" thickBot="1" x14ac:dyDescent="0.4">
      <c r="A45" s="1180"/>
      <c r="B45" s="1165"/>
      <c r="C45" s="1165"/>
      <c r="D45" s="1165"/>
      <c r="E45" s="1165"/>
      <c r="F45" s="1165"/>
      <c r="G45" s="1165"/>
      <c r="H45" s="1165"/>
      <c r="I45" s="1165"/>
      <c r="J45" s="1165"/>
      <c r="K45" s="1165"/>
      <c r="L45" s="1165"/>
      <c r="M45" s="1165"/>
      <c r="N45" s="1184"/>
    </row>
    <row r="46" spans="1:14" ht="15" thickBot="1" x14ac:dyDescent="0.4"/>
    <row r="47" spans="1:14" ht="15" thickBot="1" x14ac:dyDescent="0.4">
      <c r="A47" s="97" t="s">
        <v>1129</v>
      </c>
      <c r="B47" s="98"/>
      <c r="C47" s="64"/>
      <c r="D47" s="64"/>
      <c r="E47" s="64"/>
      <c r="F47" s="64"/>
      <c r="G47" s="65"/>
    </row>
    <row r="48" spans="1:14" ht="35.25" customHeight="1" thickBot="1" x14ac:dyDescent="0.4">
      <c r="A48" s="1443" t="s">
        <v>1684</v>
      </c>
      <c r="B48" s="3308" t="s">
        <v>3554</v>
      </c>
      <c r="C48" s="3312" t="s">
        <v>2155</v>
      </c>
      <c r="D48" s="1696" t="s">
        <v>3555</v>
      </c>
      <c r="E48" s="1692" t="s">
        <v>3421</v>
      </c>
      <c r="F48" s="1692" t="s">
        <v>3556</v>
      </c>
      <c r="G48" s="100"/>
    </row>
    <row r="49" spans="1:7" ht="15" thickBot="1" x14ac:dyDescent="0.4">
      <c r="A49" s="1444" t="s">
        <v>3172</v>
      </c>
      <c r="B49" s="3309"/>
      <c r="C49" s="3313"/>
      <c r="D49" s="1697" t="s">
        <v>3224</v>
      </c>
      <c r="E49" s="1693">
        <v>1</v>
      </c>
      <c r="F49" s="1693" t="s">
        <v>3224</v>
      </c>
      <c r="G49" s="100"/>
    </row>
    <row r="50" spans="1:7" ht="15" thickBot="1" x14ac:dyDescent="0.4">
      <c r="A50" s="801" t="s">
        <v>1705</v>
      </c>
      <c r="B50" s="1690">
        <v>873</v>
      </c>
      <c r="C50" s="1532">
        <v>1022</v>
      </c>
      <c r="D50" s="1697" t="s">
        <v>3313</v>
      </c>
      <c r="E50" s="1694">
        <v>0.65</v>
      </c>
      <c r="F50" s="1694" t="s">
        <v>3557</v>
      </c>
      <c r="G50" s="100"/>
    </row>
    <row r="51" spans="1:7" ht="15" thickBot="1" x14ac:dyDescent="0.4">
      <c r="A51" s="801" t="s">
        <v>1691</v>
      </c>
      <c r="B51" s="1690">
        <v>834</v>
      </c>
      <c r="C51" s="1532">
        <v>976</v>
      </c>
      <c r="D51" s="1697" t="s">
        <v>2292</v>
      </c>
      <c r="E51" s="1695" t="s">
        <v>105</v>
      </c>
      <c r="F51" s="1546"/>
      <c r="G51" s="100"/>
    </row>
    <row r="52" spans="1:7" ht="15" thickBot="1" x14ac:dyDescent="0.4">
      <c r="A52" s="801" t="s">
        <v>1706</v>
      </c>
      <c r="B52" s="1690">
        <v>714</v>
      </c>
      <c r="C52" s="1532">
        <v>836</v>
      </c>
      <c r="D52" s="69"/>
      <c r="E52" s="69"/>
      <c r="F52" s="69"/>
      <c r="G52" s="100"/>
    </row>
    <row r="53" spans="1:7" ht="15" thickBot="1" x14ac:dyDescent="0.4">
      <c r="A53" s="801" t="s">
        <v>1707</v>
      </c>
      <c r="B53" s="1690">
        <v>551</v>
      </c>
      <c r="C53" s="1532">
        <v>645</v>
      </c>
      <c r="D53" s="69"/>
      <c r="E53" s="69"/>
      <c r="F53" s="69"/>
      <c r="G53" s="100"/>
    </row>
    <row r="54" spans="1:7" ht="15" thickBot="1" x14ac:dyDescent="0.4">
      <c r="A54" s="801" t="s">
        <v>1708</v>
      </c>
      <c r="B54" s="1690">
        <v>561</v>
      </c>
      <c r="C54" s="1532">
        <v>656</v>
      </c>
      <c r="D54" s="69"/>
      <c r="E54" s="1238"/>
      <c r="F54" s="69"/>
      <c r="G54" s="100"/>
    </row>
    <row r="55" spans="1:7" ht="15" thickBot="1" x14ac:dyDescent="0.4">
      <c r="A55" s="1445" t="s">
        <v>1185</v>
      </c>
      <c r="B55" s="1690">
        <v>793</v>
      </c>
      <c r="C55" s="1532">
        <v>928</v>
      </c>
      <c r="D55" s="69"/>
      <c r="E55" s="1238"/>
      <c r="F55" s="69"/>
      <c r="G55" s="100"/>
    </row>
    <row r="56" spans="1:7" ht="15" thickBot="1" x14ac:dyDescent="0.4">
      <c r="A56" s="801" t="s">
        <v>1696</v>
      </c>
      <c r="B56" s="1691">
        <f>B50*0.3+B51*0.6+B52*0.1</f>
        <v>833.69999999999993</v>
      </c>
      <c r="C56" s="1698">
        <f>C50*0.3+C51*0.6+C52*0.1</f>
        <v>975.80000000000007</v>
      </c>
      <c r="D56" s="69"/>
      <c r="E56" s="69"/>
      <c r="F56" s="69"/>
      <c r="G56" s="100"/>
    </row>
    <row r="57" spans="1:7" x14ac:dyDescent="0.35">
      <c r="A57" s="99"/>
      <c r="B57" s="69"/>
      <c r="C57" s="69"/>
      <c r="D57" s="69"/>
      <c r="E57" s="69"/>
      <c r="F57" s="69"/>
      <c r="G57" s="100"/>
    </row>
    <row r="58" spans="1:7" x14ac:dyDescent="0.35">
      <c r="A58" s="99"/>
      <c r="B58" s="69"/>
      <c r="C58" s="69"/>
      <c r="D58" s="69"/>
      <c r="E58" s="69"/>
      <c r="F58" s="69"/>
      <c r="G58" s="100"/>
    </row>
    <row r="59" spans="1:7" x14ac:dyDescent="0.35">
      <c r="A59" s="99"/>
      <c r="B59" s="69"/>
      <c r="C59" s="69"/>
      <c r="D59" s="69"/>
      <c r="E59" s="69"/>
      <c r="F59" s="69"/>
      <c r="G59" s="100"/>
    </row>
    <row r="60" spans="1:7" x14ac:dyDescent="0.35">
      <c r="A60" s="99"/>
      <c r="B60" s="69"/>
      <c r="C60" s="69"/>
      <c r="D60" s="69"/>
      <c r="E60" s="69"/>
      <c r="F60" s="69"/>
      <c r="G60" s="100"/>
    </row>
    <row r="61" spans="1:7" x14ac:dyDescent="0.35">
      <c r="A61" s="99"/>
      <c r="B61" s="69"/>
      <c r="C61" s="69"/>
      <c r="D61" s="69"/>
      <c r="E61" s="69"/>
      <c r="F61" s="69"/>
      <c r="G61" s="100"/>
    </row>
    <row r="62" spans="1:7" x14ac:dyDescent="0.35">
      <c r="A62" s="99" t="s">
        <v>3558</v>
      </c>
      <c r="B62" s="69"/>
      <c r="C62" s="69"/>
      <c r="D62" s="69"/>
      <c r="E62" s="69"/>
      <c r="F62" s="69"/>
      <c r="G62" s="100"/>
    </row>
    <row r="63" spans="1:7" ht="42.75" customHeight="1" thickBot="1" x14ac:dyDescent="0.4">
      <c r="A63" s="3310" t="s">
        <v>3559</v>
      </c>
      <c r="B63" s="3000"/>
      <c r="C63" s="3000"/>
      <c r="D63" s="3000"/>
      <c r="E63" s="3000"/>
      <c r="F63" s="3000"/>
      <c r="G63" s="3001"/>
    </row>
  </sheetData>
  <customSheetViews>
    <customSheetView guid="{ECD6FE6A-9548-414E-B8AA-6998703C57E0}" scale="60" showPageBreaks="1" fitToPage="1" view="pageBreakPreview">
      <pageMargins left="0" right="0" top="0" bottom="0" header="0" footer="0"/>
      <pageSetup scale="36" orientation="landscape" r:id="rId1"/>
    </customSheetView>
    <customSheetView guid="{11DE45F5-F478-4ED6-8DFF-12002C22A637}" scale="60" showPageBreaks="1" fitToPage="1" view="pageBreakPreview">
      <pageMargins left="0" right="0" top="0" bottom="0" header="0" footer="0"/>
      <pageSetup scale="36" orientation="landscape" r:id="rId2"/>
    </customSheetView>
  </customSheetViews>
  <mergeCells count="8">
    <mergeCell ref="R2:T2"/>
    <mergeCell ref="U2:Z2"/>
    <mergeCell ref="C41:M41"/>
    <mergeCell ref="B48:B49"/>
    <mergeCell ref="A63:G63"/>
    <mergeCell ref="C25:M25"/>
    <mergeCell ref="O2:Q2"/>
    <mergeCell ref="C48:C49"/>
  </mergeCells>
  <phoneticPr fontId="152" type="noConversion"/>
  <dataValidations count="4">
    <dataValidation type="list" allowBlank="1" showInputMessage="1" showErrorMessage="1" sqref="K5" xr:uid="{00000000-0002-0000-2500-000000000000}">
      <formula1>$D$49:$D$50</formula1>
    </dataValidation>
    <dataValidation type="list" allowBlank="1" showInputMessage="1" showErrorMessage="1" sqref="K4" xr:uid="{D0E78118-CA49-4C02-A097-838EF52CA572}">
      <formula1>DISl3</formula1>
    </dataValidation>
    <dataValidation type="list" allowBlank="1" showInputMessage="1" showErrorMessage="1" sqref="L4:L5" xr:uid="{00000000-0002-0000-2500-000001000000}">
      <formula1>$A$50:$A$56</formula1>
    </dataValidation>
    <dataValidation type="list" allowBlank="1" showInputMessage="1" showErrorMessage="1" sqref="D4:D5" xr:uid="{00000000-0002-0000-2500-000002000000}">
      <formula1>MeasureType</formula1>
    </dataValidation>
  </dataValidations>
  <hyperlinks>
    <hyperlink ref="A1" location="'Measure-Level Adjustments'!Print_Titles" display="Measure Level Tab" xr:uid="{EFC5F00A-39AA-4F35-8D2D-398C139EBCBF}"/>
  </hyperlinks>
  <pageMargins left="0.7" right="0.7" top="0.75" bottom="0.75" header="0.3" footer="0.3"/>
  <pageSetup scale="28" orientation="landscape" r:id="rId3"/>
  <legacyDrawing r:id="rId4"/>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5B7F5-5B1D-45F0-96D0-C3281D22D2F3}">
  <sheetPr>
    <tabColor rgb="FF00B050"/>
  </sheetPr>
  <dimension ref="A1:AR148"/>
  <sheetViews>
    <sheetView zoomScale="90" zoomScaleNormal="90" workbookViewId="0">
      <pane xSplit="3" ySplit="3" topLeftCell="D40" activePane="bottomRight" state="frozen"/>
      <selection pane="topRight" activeCell="D1" sqref="D1"/>
      <selection pane="bottomLeft" activeCell="A3" sqref="A3"/>
      <selection pane="bottomRight" activeCell="C128" sqref="C127:C128"/>
    </sheetView>
  </sheetViews>
  <sheetFormatPr defaultRowHeight="14.5" x14ac:dyDescent="0.35"/>
  <cols>
    <col min="1" max="1" width="13.1796875" customWidth="1"/>
    <col min="2" max="2" width="59.1796875" customWidth="1"/>
    <col min="3" max="3" width="49.26953125" customWidth="1"/>
    <col min="4" max="4" width="58.7265625" customWidth="1"/>
    <col min="5" max="5" width="10.81640625" customWidth="1"/>
    <col min="6" max="7" width="14.54296875" customWidth="1"/>
    <col min="8" max="8" width="22.453125" customWidth="1"/>
    <col min="9" max="9" width="24.1796875" customWidth="1"/>
    <col min="10" max="10" width="14" customWidth="1"/>
    <col min="11" max="11" width="62.26953125" customWidth="1"/>
    <col min="12" max="12" width="24.81640625" bestFit="1" customWidth="1"/>
    <col min="13" max="13" width="20.26953125" bestFit="1" customWidth="1"/>
    <col min="14" max="14" width="34.453125" bestFit="1" customWidth="1"/>
    <col min="15" max="15" width="30.1796875" bestFit="1" customWidth="1"/>
    <col min="16" max="16" width="25.453125" customWidth="1"/>
    <col min="17" max="17" width="16.26953125" customWidth="1"/>
    <col min="18" max="18" width="10.26953125" customWidth="1"/>
    <col min="19" max="19" width="11.453125" style="298" bestFit="1" customWidth="1"/>
    <col min="20" max="20" width="14.453125" customWidth="1"/>
    <col min="21" max="21" width="13.81640625" bestFit="1" customWidth="1"/>
    <col min="22" max="22" width="11.26953125" customWidth="1"/>
    <col min="23" max="23" width="15.453125" customWidth="1"/>
    <col min="24" max="26" width="11.26953125" customWidth="1"/>
    <col min="33" max="33" width="11.26953125" customWidth="1"/>
    <col min="34" max="34" width="12.81640625" customWidth="1"/>
    <col min="40" max="40" width="10.1796875" bestFit="1" customWidth="1"/>
    <col min="43" max="43" width="11.54296875" customWidth="1"/>
  </cols>
  <sheetData>
    <row r="1" spans="1:44" x14ac:dyDescent="0.35">
      <c r="A1" s="1799" t="s">
        <v>1031</v>
      </c>
    </row>
    <row r="2" spans="1:44" x14ac:dyDescent="0.35">
      <c r="A2" s="2060"/>
      <c r="B2" s="2112" t="s">
        <v>3560</v>
      </c>
      <c r="C2" s="2112"/>
      <c r="D2" s="2112"/>
      <c r="E2" s="2060"/>
      <c r="F2" s="2060"/>
      <c r="G2" s="2060"/>
      <c r="H2" s="2060"/>
      <c r="I2" s="2060"/>
      <c r="J2" s="2060"/>
      <c r="K2" s="2060"/>
      <c r="L2" s="2060"/>
      <c r="M2" s="2060"/>
      <c r="N2" s="2060"/>
      <c r="O2" s="2113"/>
      <c r="P2" s="2113"/>
      <c r="Q2" s="3154" t="s">
        <v>1032</v>
      </c>
      <c r="R2" s="3318"/>
      <c r="S2" s="3318"/>
      <c r="T2" s="3154" t="s">
        <v>1033</v>
      </c>
      <c r="U2" s="3318"/>
      <c r="V2" s="3318"/>
      <c r="W2" s="3154" t="s">
        <v>1350</v>
      </c>
      <c r="X2" s="3318"/>
      <c r="Y2" s="3318"/>
      <c r="Z2" s="3319"/>
      <c r="AA2" s="3094" t="s">
        <v>1158</v>
      </c>
      <c r="AB2" s="3095"/>
      <c r="AC2" s="3095"/>
      <c r="AD2" s="3095"/>
      <c r="AE2" s="3095"/>
      <c r="AF2" s="3095"/>
      <c r="AG2" s="3095"/>
      <c r="AH2" s="3095"/>
      <c r="AI2" s="3095"/>
      <c r="AJ2" s="3095"/>
      <c r="AK2" s="3095"/>
      <c r="AL2" s="3095"/>
      <c r="AM2" s="3095"/>
      <c r="AN2" s="3095"/>
      <c r="AO2" s="3095"/>
      <c r="AP2" s="3095"/>
      <c r="AQ2" s="3095"/>
    </row>
    <row r="3" spans="1:44" ht="36" x14ac:dyDescent="0.35">
      <c r="A3" s="1972" t="s">
        <v>1035</v>
      </c>
      <c r="B3" s="1972" t="s">
        <v>155</v>
      </c>
      <c r="C3" s="1822" t="s">
        <v>1036</v>
      </c>
      <c r="D3" s="1822" t="s">
        <v>1752</v>
      </c>
      <c r="E3" s="1821" t="s">
        <v>1038</v>
      </c>
      <c r="F3" s="1821" t="s">
        <v>1039</v>
      </c>
      <c r="G3" s="1821" t="s">
        <v>2808</v>
      </c>
      <c r="H3" s="1821" t="s">
        <v>1868</v>
      </c>
      <c r="I3" s="1972" t="s">
        <v>1041</v>
      </c>
      <c r="J3" s="1821" t="s">
        <v>2809</v>
      </c>
      <c r="K3" s="2114" t="s">
        <v>2810</v>
      </c>
      <c r="L3" s="1821" t="s">
        <v>1684</v>
      </c>
      <c r="M3" s="1821" t="s">
        <v>3459</v>
      </c>
      <c r="N3" s="1821" t="s">
        <v>3324</v>
      </c>
      <c r="O3" s="1821" t="s">
        <v>3561</v>
      </c>
      <c r="P3" s="1821" t="s">
        <v>3562</v>
      </c>
      <c r="Q3" s="48" t="s">
        <v>1044</v>
      </c>
      <c r="R3" s="48" t="s">
        <v>1045</v>
      </c>
      <c r="S3" s="2115" t="s">
        <v>1046</v>
      </c>
      <c r="T3" s="48" t="s">
        <v>1044</v>
      </c>
      <c r="U3" s="48" t="s">
        <v>1045</v>
      </c>
      <c r="V3" s="48" t="s">
        <v>1046</v>
      </c>
      <c r="W3" s="2116" t="s">
        <v>3563</v>
      </c>
      <c r="X3" s="2116" t="s">
        <v>1355</v>
      </c>
      <c r="Y3" s="2116" t="s">
        <v>1083</v>
      </c>
      <c r="Z3" s="2116" t="s">
        <v>1357</v>
      </c>
      <c r="AA3" s="2117" t="s">
        <v>3460</v>
      </c>
      <c r="AB3" s="2117" t="s">
        <v>3461</v>
      </c>
      <c r="AC3" s="2117" t="s">
        <v>3462</v>
      </c>
      <c r="AD3" s="2117" t="s">
        <v>3421</v>
      </c>
      <c r="AE3" s="2117" t="s">
        <v>3463</v>
      </c>
      <c r="AF3" s="2117" t="s">
        <v>3210</v>
      </c>
      <c r="AG3" s="2117" t="s">
        <v>3464</v>
      </c>
      <c r="AH3" s="2117" t="s">
        <v>3465</v>
      </c>
      <c r="AI3" s="2117" t="s">
        <v>3564</v>
      </c>
      <c r="AJ3" s="2117" t="s">
        <v>3565</v>
      </c>
      <c r="AK3" s="2117" t="s">
        <v>3566</v>
      </c>
      <c r="AL3" s="2117" t="s">
        <v>3567</v>
      </c>
      <c r="AM3" s="2117" t="s">
        <v>3568</v>
      </c>
      <c r="AN3" s="2117" t="s">
        <v>3569</v>
      </c>
      <c r="AO3" s="2117" t="s">
        <v>3570</v>
      </c>
      <c r="AP3" s="2117" t="s">
        <v>3293</v>
      </c>
      <c r="AQ3" s="2117" t="s">
        <v>3571</v>
      </c>
      <c r="AR3" s="2118" t="s">
        <v>3572</v>
      </c>
    </row>
    <row r="4" spans="1:44" ht="29" x14ac:dyDescent="0.35">
      <c r="A4" s="2112" t="s">
        <v>3573</v>
      </c>
      <c r="B4" s="2112" t="str">
        <f t="shared" ref="B4:B18" si="0">$B$2&amp;" - ("&amp;E4&amp;" - "&amp;J4&amp;" - "&amp;N4&amp;")"</f>
        <v>Advanced Thermostat - (TOS Joint - Manual - Single Family)</v>
      </c>
      <c r="C4" t="s">
        <v>3574</v>
      </c>
      <c r="D4" s="1825" t="s">
        <v>3575</v>
      </c>
      <c r="E4" t="s">
        <v>3576</v>
      </c>
      <c r="F4" s="2013">
        <f t="shared" ref="F4:F22" si="1">+$B$63</f>
        <v>11</v>
      </c>
      <c r="G4" s="2119"/>
      <c r="H4" s="2120"/>
      <c r="I4" s="2121" t="s">
        <v>3468</v>
      </c>
      <c r="J4" s="2122" t="s">
        <v>3577</v>
      </c>
      <c r="K4" s="1701" t="s">
        <v>1529</v>
      </c>
      <c r="L4" s="50" t="s">
        <v>2976</v>
      </c>
      <c r="M4" s="50" t="s">
        <v>1185</v>
      </c>
      <c r="N4" s="60" t="s">
        <v>3318</v>
      </c>
      <c r="O4" s="60" t="s">
        <v>3577</v>
      </c>
      <c r="P4" s="60" t="s">
        <v>3578</v>
      </c>
      <c r="Q4" s="2153"/>
      <c r="R4" s="2154"/>
      <c r="S4" s="2155">
        <f t="shared" ref="S4:S17" si="2">AG4*AH4*AC4*AD4*AE4</f>
        <v>102.47939999999998</v>
      </c>
      <c r="T4" s="2153"/>
      <c r="U4" s="2153"/>
      <c r="V4" s="2153">
        <f t="shared" ref="V4:V22" si="3">S4*F4</f>
        <v>1127.2733999999998</v>
      </c>
      <c r="W4" s="2124"/>
      <c r="X4" s="2124"/>
      <c r="Y4" s="2124"/>
      <c r="Z4" s="2124"/>
      <c r="AA4" s="61">
        <f t="shared" ref="AA4:AA22" si="4">VLOOKUP(K4,$B$75:$C$77,2,FALSE)</f>
        <v>0</v>
      </c>
      <c r="AB4" s="49">
        <f t="shared" ref="AB4:AB22" si="5">IF(AND(L4=$B$87,M4=$D$98)=TRUE,15678,VLOOKUP(L4,$B$82:$D$88,IF(M4=$B$98,2,3),FALSE))</f>
        <v>12217.8</v>
      </c>
      <c r="AC4" s="2156">
        <f t="shared" ref="AC4:AC22" si="6">+VLOOKUP(O4,$B$103:$C$105,2,FALSE)</f>
        <v>0.10199999999999999</v>
      </c>
      <c r="AD4" s="2157">
        <f t="shared" ref="AD4:AD22" si="7">VLOOKUP(N4,$B$91:$C$93,2,FALSE)</f>
        <v>1</v>
      </c>
      <c r="AE4" s="2100">
        <f t="shared" ref="AE4:AE13" si="8">VLOOKUP(E4,$E$120:$F$128,2,FALSE)</f>
        <v>1</v>
      </c>
      <c r="AF4" s="2156">
        <f t="shared" ref="AF4:AF22" si="9">+$B$45</f>
        <v>3.1399999999999997E-2</v>
      </c>
      <c r="AG4" s="1">
        <f t="shared" ref="AG4:AG22" si="10">VLOOKUP(K4,$B$75:$D$77,3,FALSE)</f>
        <v>1</v>
      </c>
      <c r="AH4" s="1">
        <f t="shared" ref="AH4:AH22" si="11">VLOOKUP(L4,$B$82:$E$88,4,FALSE)</f>
        <v>1004.6999999999999</v>
      </c>
      <c r="AI4" s="1">
        <f t="shared" ref="AI4:AI22" si="12">+VLOOKUP(P4,$H$103:$I$106,2,FALSE)</f>
        <v>0.99</v>
      </c>
      <c r="AJ4" s="1">
        <f t="shared" ref="AJ4:AJ22" si="13">+IF($N4="Single Family",VLOOKUP($L4,$B$109:$E$116,2,FALSE),VLOOKUP($L4,$B$109:$E$116,3,FALSE))</f>
        <v>568.6</v>
      </c>
      <c r="AK4" s="1">
        <f>+$C$123</f>
        <v>31864</v>
      </c>
      <c r="AL4" s="1">
        <f>+$C$128</f>
        <v>12</v>
      </c>
      <c r="AM4" s="2100">
        <f t="shared" ref="AM4:AM22" si="14">+$B$59</f>
        <v>8.4000000000000005E-2</v>
      </c>
      <c r="AN4" s="376">
        <f t="shared" ref="AN4:AN13" si="15">AA4*AB4*AC4*AD4*AE4+(S4*AF4*AP4)</f>
        <v>94.283097587999976</v>
      </c>
      <c r="AO4" s="49">
        <f t="shared" ref="AO4:AO12" si="16">+AI4*((AJ4*AK4*1/AL4)/1000)*AM4*AE4</f>
        <v>125.55684187200001</v>
      </c>
      <c r="AP4" s="376">
        <f t="shared" ref="AP4:AP22" si="17">+$B$62</f>
        <v>29.3</v>
      </c>
      <c r="AQ4" s="376">
        <f t="shared" ref="AQ4:AQ22" si="18">+$B$61</f>
        <v>1000</v>
      </c>
    </row>
    <row r="5" spans="1:44" ht="29" x14ac:dyDescent="0.35">
      <c r="A5" s="2112" t="s">
        <v>998</v>
      </c>
      <c r="B5" s="2112" t="str">
        <f t="shared" si="0"/>
        <v>Advanced Thermostat - (TOS Joint - Programmable - Single Family)</v>
      </c>
      <c r="C5" t="s">
        <v>997</v>
      </c>
      <c r="D5" s="1825" t="s">
        <v>3575</v>
      </c>
      <c r="E5" t="s">
        <v>3576</v>
      </c>
      <c r="F5" s="2013">
        <f t="shared" si="1"/>
        <v>11</v>
      </c>
      <c r="G5" s="2119"/>
      <c r="H5" s="2120"/>
      <c r="I5" s="2121" t="s">
        <v>3468</v>
      </c>
      <c r="J5" s="2122" t="s">
        <v>3579</v>
      </c>
      <c r="K5" s="1701" t="s">
        <v>1529</v>
      </c>
      <c r="L5" s="50" t="s">
        <v>2976</v>
      </c>
      <c r="M5" s="50" t="s">
        <v>1185</v>
      </c>
      <c r="N5" s="60" t="s">
        <v>3318</v>
      </c>
      <c r="O5" s="60" t="s">
        <v>3579</v>
      </c>
      <c r="P5" s="60" t="s">
        <v>3578</v>
      </c>
      <c r="Q5" s="2153"/>
      <c r="R5" s="2154"/>
      <c r="S5" s="2153">
        <f t="shared" si="2"/>
        <v>71.333699999999993</v>
      </c>
      <c r="T5" s="2153"/>
      <c r="U5" s="2153"/>
      <c r="V5" s="2153">
        <f t="shared" si="3"/>
        <v>784.6706999999999</v>
      </c>
      <c r="W5" s="2124"/>
      <c r="X5" s="2124"/>
      <c r="Y5" s="2124"/>
      <c r="Z5" s="2124"/>
      <c r="AA5" s="61">
        <f t="shared" si="4"/>
        <v>0</v>
      </c>
      <c r="AB5" s="49">
        <f t="shared" si="5"/>
        <v>12217.8</v>
      </c>
      <c r="AC5" s="2156">
        <f t="shared" si="6"/>
        <v>7.0999999999999994E-2</v>
      </c>
      <c r="AD5" s="2157">
        <f t="shared" si="7"/>
        <v>1</v>
      </c>
      <c r="AE5" s="2100">
        <f t="shared" si="8"/>
        <v>1</v>
      </c>
      <c r="AF5" s="2156">
        <f t="shared" si="9"/>
        <v>3.1399999999999997E-2</v>
      </c>
      <c r="AG5" s="1">
        <f t="shared" si="10"/>
        <v>1</v>
      </c>
      <c r="AH5" s="1">
        <f t="shared" si="11"/>
        <v>1004.6999999999999</v>
      </c>
      <c r="AI5" s="1">
        <f t="shared" si="12"/>
        <v>0.99</v>
      </c>
      <c r="AJ5" s="1">
        <f t="shared" si="13"/>
        <v>568.6</v>
      </c>
      <c r="AK5" s="1">
        <f t="shared" ref="AK5:AK22" si="19">+$C$123</f>
        <v>31864</v>
      </c>
      <c r="AL5" s="1">
        <f t="shared" ref="AL5:AL22" si="20">+$C$128</f>
        <v>12</v>
      </c>
      <c r="AM5" s="2100">
        <f t="shared" si="14"/>
        <v>8.4000000000000005E-2</v>
      </c>
      <c r="AN5" s="376">
        <f t="shared" si="15"/>
        <v>65.628430673999986</v>
      </c>
      <c r="AO5" s="49">
        <f t="shared" si="16"/>
        <v>125.55684187200001</v>
      </c>
      <c r="AP5" s="376">
        <f t="shared" si="17"/>
        <v>29.3</v>
      </c>
      <c r="AQ5" s="376">
        <f t="shared" si="18"/>
        <v>1000</v>
      </c>
    </row>
    <row r="6" spans="1:44" ht="29" x14ac:dyDescent="0.35">
      <c r="A6" s="2112" t="s">
        <v>3580</v>
      </c>
      <c r="B6" s="2112" t="str">
        <f t="shared" si="0"/>
        <v>Advanced Thermostat - (TOS Joint - Blended - Single Family)</v>
      </c>
      <c r="C6" t="s">
        <v>3581</v>
      </c>
      <c r="D6" s="1825" t="s">
        <v>3575</v>
      </c>
      <c r="E6" t="s">
        <v>3576</v>
      </c>
      <c r="F6" s="2013">
        <f t="shared" si="1"/>
        <v>11</v>
      </c>
      <c r="G6" s="2119"/>
      <c r="H6" s="2120"/>
      <c r="I6" s="2121" t="s">
        <v>3468</v>
      </c>
      <c r="J6" s="2122" t="s">
        <v>3582</v>
      </c>
      <c r="K6" s="1701" t="s">
        <v>1529</v>
      </c>
      <c r="L6" s="50" t="s">
        <v>2976</v>
      </c>
      <c r="M6" s="50" t="s">
        <v>1185</v>
      </c>
      <c r="N6" s="60" t="s">
        <v>3318</v>
      </c>
      <c r="O6" s="60" t="s">
        <v>3583</v>
      </c>
      <c r="P6" s="60" t="s">
        <v>3578</v>
      </c>
      <c r="Q6" s="2153"/>
      <c r="R6" s="2154"/>
      <c r="S6" s="2153">
        <f t="shared" si="2"/>
        <v>85.399500000000003</v>
      </c>
      <c r="T6" s="2153"/>
      <c r="U6" s="2153"/>
      <c r="V6" s="2153">
        <f t="shared" si="3"/>
        <v>939.39449999999999</v>
      </c>
      <c r="W6" s="2124"/>
      <c r="X6" s="2124"/>
      <c r="Y6" s="2124"/>
      <c r="Z6" s="2124"/>
      <c r="AA6" s="61">
        <f t="shared" si="4"/>
        <v>0</v>
      </c>
      <c r="AB6" s="49">
        <f t="shared" si="5"/>
        <v>12217.8</v>
      </c>
      <c r="AC6" s="2156">
        <f t="shared" si="6"/>
        <v>8.5000000000000006E-2</v>
      </c>
      <c r="AD6" s="2157">
        <f t="shared" si="7"/>
        <v>1</v>
      </c>
      <c r="AE6" s="2100">
        <f t="shared" si="8"/>
        <v>1</v>
      </c>
      <c r="AF6" s="2156">
        <f t="shared" si="9"/>
        <v>3.1399999999999997E-2</v>
      </c>
      <c r="AG6" s="1">
        <f t="shared" si="10"/>
        <v>1</v>
      </c>
      <c r="AH6" s="1">
        <f t="shared" si="11"/>
        <v>1004.6999999999999</v>
      </c>
      <c r="AI6" s="1">
        <f t="shared" si="12"/>
        <v>0.99</v>
      </c>
      <c r="AJ6" s="1">
        <f t="shared" si="13"/>
        <v>568.6</v>
      </c>
      <c r="AK6" s="1">
        <f t="shared" si="19"/>
        <v>31864</v>
      </c>
      <c r="AL6" s="1">
        <f t="shared" si="20"/>
        <v>12</v>
      </c>
      <c r="AM6" s="2100">
        <f t="shared" si="14"/>
        <v>8.4000000000000005E-2</v>
      </c>
      <c r="AN6" s="376">
        <f t="shared" si="15"/>
        <v>78.569247989999994</v>
      </c>
      <c r="AO6" s="49">
        <f t="shared" si="16"/>
        <v>125.55684187200001</v>
      </c>
      <c r="AP6" s="376">
        <f t="shared" si="17"/>
        <v>29.3</v>
      </c>
      <c r="AQ6" s="376">
        <f t="shared" si="18"/>
        <v>1000</v>
      </c>
    </row>
    <row r="7" spans="1:44" ht="29" x14ac:dyDescent="0.35">
      <c r="A7" s="2112" t="s">
        <v>907</v>
      </c>
      <c r="B7" s="2112" t="str">
        <f t="shared" si="0"/>
        <v>Advanced Thermostat - (DI - Manual - Single Family)</v>
      </c>
      <c r="C7" t="s">
        <v>906</v>
      </c>
      <c r="D7" s="1825" t="s">
        <v>3575</v>
      </c>
      <c r="E7" t="s">
        <v>1583</v>
      </c>
      <c r="F7" s="2013">
        <f t="shared" si="1"/>
        <v>11</v>
      </c>
      <c r="G7" s="2119"/>
      <c r="H7" s="2120"/>
      <c r="I7" s="2121" t="s">
        <v>3468</v>
      </c>
      <c r="J7" s="2122" t="s">
        <v>3577</v>
      </c>
      <c r="K7" s="1701" t="s">
        <v>1529</v>
      </c>
      <c r="L7" s="50" t="s">
        <v>2976</v>
      </c>
      <c r="M7" s="50" t="s">
        <v>1185</v>
      </c>
      <c r="N7" s="60" t="s">
        <v>3318</v>
      </c>
      <c r="O7" s="60" t="s">
        <v>3577</v>
      </c>
      <c r="P7" s="60" t="s">
        <v>3578</v>
      </c>
      <c r="Q7" s="2153"/>
      <c r="R7" s="2154"/>
      <c r="S7" s="2155">
        <f t="shared" si="2"/>
        <v>102.47939999999998</v>
      </c>
      <c r="T7" s="2153"/>
      <c r="U7" s="2153"/>
      <c r="V7" s="2153">
        <f t="shared" si="3"/>
        <v>1127.2733999999998</v>
      </c>
      <c r="W7" s="2124"/>
      <c r="X7" s="2124"/>
      <c r="Y7" s="2124"/>
      <c r="Z7" s="2124"/>
      <c r="AA7" s="61">
        <f t="shared" si="4"/>
        <v>0</v>
      </c>
      <c r="AB7" s="49">
        <f t="shared" si="5"/>
        <v>12217.8</v>
      </c>
      <c r="AC7" s="2156">
        <f t="shared" si="6"/>
        <v>0.10199999999999999</v>
      </c>
      <c r="AD7" s="2157">
        <f t="shared" si="7"/>
        <v>1</v>
      </c>
      <c r="AE7" s="2100">
        <f t="shared" si="8"/>
        <v>1</v>
      </c>
      <c r="AF7" s="2156">
        <f t="shared" si="9"/>
        <v>3.1399999999999997E-2</v>
      </c>
      <c r="AG7" s="1">
        <f t="shared" si="10"/>
        <v>1</v>
      </c>
      <c r="AH7" s="1">
        <f t="shared" si="11"/>
        <v>1004.6999999999999</v>
      </c>
      <c r="AI7" s="1">
        <f t="shared" si="12"/>
        <v>0.99</v>
      </c>
      <c r="AJ7" s="1">
        <f t="shared" si="13"/>
        <v>568.6</v>
      </c>
      <c r="AK7" s="1">
        <f t="shared" si="19"/>
        <v>31864</v>
      </c>
      <c r="AL7" s="1">
        <f t="shared" si="20"/>
        <v>12</v>
      </c>
      <c r="AM7" s="2100">
        <f t="shared" si="14"/>
        <v>8.4000000000000005E-2</v>
      </c>
      <c r="AN7" s="376">
        <f t="shared" si="15"/>
        <v>94.283097587999976</v>
      </c>
      <c r="AO7" s="49">
        <f t="shared" si="16"/>
        <v>125.55684187200001</v>
      </c>
      <c r="AP7" s="376">
        <f t="shared" si="17"/>
        <v>29.3</v>
      </c>
      <c r="AQ7" s="376">
        <f t="shared" si="18"/>
        <v>1000</v>
      </c>
    </row>
    <row r="8" spans="1:44" ht="29" x14ac:dyDescent="0.35">
      <c r="A8" s="2112" t="s">
        <v>909</v>
      </c>
      <c r="B8" s="2112" t="str">
        <f t="shared" si="0"/>
        <v>Advanced Thermostat - (DI - Programmable - Single Family)</v>
      </c>
      <c r="C8" t="s">
        <v>908</v>
      </c>
      <c r="D8" s="1825" t="s">
        <v>3575</v>
      </c>
      <c r="E8" t="s">
        <v>1583</v>
      </c>
      <c r="F8" s="2013">
        <f t="shared" si="1"/>
        <v>11</v>
      </c>
      <c r="G8" s="2119"/>
      <c r="H8" s="2120"/>
      <c r="I8" s="2121" t="s">
        <v>3468</v>
      </c>
      <c r="J8" s="2122" t="s">
        <v>3579</v>
      </c>
      <c r="K8" s="1701" t="s">
        <v>1529</v>
      </c>
      <c r="L8" s="50" t="s">
        <v>2976</v>
      </c>
      <c r="M8" s="50" t="s">
        <v>1185</v>
      </c>
      <c r="N8" s="60" t="s">
        <v>3318</v>
      </c>
      <c r="O8" s="60" t="s">
        <v>3579</v>
      </c>
      <c r="P8" s="60" t="s">
        <v>3578</v>
      </c>
      <c r="Q8" s="2153"/>
      <c r="R8" s="2154"/>
      <c r="S8" s="2153">
        <f t="shared" si="2"/>
        <v>71.333699999999993</v>
      </c>
      <c r="T8" s="2153"/>
      <c r="U8" s="2153"/>
      <c r="V8" s="2153">
        <f t="shared" si="3"/>
        <v>784.6706999999999</v>
      </c>
      <c r="W8" s="2124"/>
      <c r="X8" s="2124"/>
      <c r="Y8" s="2124"/>
      <c r="Z8" s="2124"/>
      <c r="AA8" s="61">
        <f t="shared" si="4"/>
        <v>0</v>
      </c>
      <c r="AB8" s="49">
        <f t="shared" si="5"/>
        <v>12217.8</v>
      </c>
      <c r="AC8" s="2156">
        <f t="shared" si="6"/>
        <v>7.0999999999999994E-2</v>
      </c>
      <c r="AD8" s="2157">
        <f t="shared" si="7"/>
        <v>1</v>
      </c>
      <c r="AE8" s="2100">
        <f t="shared" si="8"/>
        <v>1</v>
      </c>
      <c r="AF8" s="2156">
        <f t="shared" si="9"/>
        <v>3.1399999999999997E-2</v>
      </c>
      <c r="AG8" s="1">
        <f t="shared" si="10"/>
        <v>1</v>
      </c>
      <c r="AH8" s="1">
        <f t="shared" si="11"/>
        <v>1004.6999999999999</v>
      </c>
      <c r="AI8" s="1">
        <f t="shared" si="12"/>
        <v>0.99</v>
      </c>
      <c r="AJ8" s="1">
        <f t="shared" si="13"/>
        <v>568.6</v>
      </c>
      <c r="AK8" s="1">
        <f t="shared" si="19"/>
        <v>31864</v>
      </c>
      <c r="AL8" s="1">
        <f t="shared" si="20"/>
        <v>12</v>
      </c>
      <c r="AM8" s="2100">
        <f t="shared" si="14"/>
        <v>8.4000000000000005E-2</v>
      </c>
      <c r="AN8" s="376">
        <f t="shared" si="15"/>
        <v>65.628430673999986</v>
      </c>
      <c r="AO8" s="49">
        <f t="shared" si="16"/>
        <v>125.55684187200001</v>
      </c>
      <c r="AP8" s="376">
        <f t="shared" si="17"/>
        <v>29.3</v>
      </c>
      <c r="AQ8" s="376">
        <f t="shared" si="18"/>
        <v>1000</v>
      </c>
    </row>
    <row r="9" spans="1:44" ht="29" x14ac:dyDescent="0.35">
      <c r="A9" s="2112" t="s">
        <v>3584</v>
      </c>
      <c r="B9" s="2112" t="str">
        <f t="shared" si="0"/>
        <v>Advanced Thermostat - (DI - Blended - Single Family)</v>
      </c>
      <c r="C9" t="s">
        <v>3585</v>
      </c>
      <c r="D9" s="1825" t="s">
        <v>3575</v>
      </c>
      <c r="E9" t="s">
        <v>1583</v>
      </c>
      <c r="F9" s="2013">
        <f t="shared" si="1"/>
        <v>11</v>
      </c>
      <c r="G9" s="2119"/>
      <c r="H9" s="2120"/>
      <c r="I9" s="2121" t="s">
        <v>3468</v>
      </c>
      <c r="J9" s="2122" t="s">
        <v>3582</v>
      </c>
      <c r="K9" s="1701" t="s">
        <v>1529</v>
      </c>
      <c r="L9" s="50" t="s">
        <v>2976</v>
      </c>
      <c r="M9" s="50" t="s">
        <v>1185</v>
      </c>
      <c r="N9" s="60" t="s">
        <v>3318</v>
      </c>
      <c r="O9" s="60" t="s">
        <v>3583</v>
      </c>
      <c r="P9" s="60" t="s">
        <v>3578</v>
      </c>
      <c r="Q9" s="2153"/>
      <c r="R9" s="2154"/>
      <c r="S9" s="2153">
        <f t="shared" si="2"/>
        <v>85.399500000000003</v>
      </c>
      <c r="T9" s="2153"/>
      <c r="U9" s="2153"/>
      <c r="V9" s="2153">
        <f t="shared" si="3"/>
        <v>939.39449999999999</v>
      </c>
      <c r="W9" s="2124"/>
      <c r="X9" s="2124"/>
      <c r="Y9" s="2124"/>
      <c r="Z9" s="2124"/>
      <c r="AA9" s="61">
        <f t="shared" si="4"/>
        <v>0</v>
      </c>
      <c r="AB9" s="49">
        <f t="shared" si="5"/>
        <v>12217.8</v>
      </c>
      <c r="AC9" s="2156">
        <f t="shared" si="6"/>
        <v>8.5000000000000006E-2</v>
      </c>
      <c r="AD9" s="2157">
        <f t="shared" si="7"/>
        <v>1</v>
      </c>
      <c r="AE9" s="2100">
        <f t="shared" si="8"/>
        <v>1</v>
      </c>
      <c r="AF9" s="2156">
        <f t="shared" si="9"/>
        <v>3.1399999999999997E-2</v>
      </c>
      <c r="AG9" s="1">
        <f t="shared" si="10"/>
        <v>1</v>
      </c>
      <c r="AH9" s="1">
        <f t="shared" si="11"/>
        <v>1004.6999999999999</v>
      </c>
      <c r="AI9" s="1">
        <f t="shared" si="12"/>
        <v>0.99</v>
      </c>
      <c r="AJ9" s="1">
        <f t="shared" si="13"/>
        <v>568.6</v>
      </c>
      <c r="AK9" s="1">
        <f t="shared" si="19"/>
        <v>31864</v>
      </c>
      <c r="AL9" s="1">
        <f t="shared" si="20"/>
        <v>12</v>
      </c>
      <c r="AM9" s="2100">
        <f t="shared" si="14"/>
        <v>8.4000000000000005E-2</v>
      </c>
      <c r="AN9" s="376">
        <f t="shared" si="15"/>
        <v>78.569247989999994</v>
      </c>
      <c r="AO9" s="49">
        <f t="shared" si="16"/>
        <v>125.55684187200001</v>
      </c>
      <c r="AP9" s="376">
        <f t="shared" si="17"/>
        <v>29.3</v>
      </c>
      <c r="AQ9" s="376">
        <f t="shared" si="18"/>
        <v>1000</v>
      </c>
    </row>
    <row r="10" spans="1:44" ht="29" x14ac:dyDescent="0.35">
      <c r="A10" s="2112" t="s">
        <v>3586</v>
      </c>
      <c r="B10" s="2112" t="str">
        <f t="shared" si="0"/>
        <v>Advanced Thermostat - (DI - Manual - Multifamily)</v>
      </c>
      <c r="C10" t="s">
        <v>3587</v>
      </c>
      <c r="D10" s="1825" t="s">
        <v>3575</v>
      </c>
      <c r="E10" t="s">
        <v>1583</v>
      </c>
      <c r="F10" s="2013">
        <f t="shared" si="1"/>
        <v>11</v>
      </c>
      <c r="G10" s="2119"/>
      <c r="H10" s="2120"/>
      <c r="I10" s="2121" t="s">
        <v>3468</v>
      </c>
      <c r="J10" s="2122" t="s">
        <v>3577</v>
      </c>
      <c r="K10" s="1701" t="s">
        <v>1529</v>
      </c>
      <c r="L10" s="50" t="s">
        <v>2976</v>
      </c>
      <c r="M10" s="50" t="s">
        <v>1185</v>
      </c>
      <c r="N10" s="60" t="s">
        <v>2556</v>
      </c>
      <c r="O10" s="60" t="s">
        <v>3577</v>
      </c>
      <c r="P10" s="60" t="s">
        <v>3578</v>
      </c>
      <c r="Q10" s="2153"/>
      <c r="R10" s="2154"/>
      <c r="S10" s="2155">
        <f t="shared" si="2"/>
        <v>66.611609999999999</v>
      </c>
      <c r="T10" s="2153"/>
      <c r="U10" s="2153"/>
      <c r="V10" s="2153">
        <f t="shared" si="3"/>
        <v>732.72771</v>
      </c>
      <c r="W10" s="2124"/>
      <c r="X10" s="2124"/>
      <c r="Y10" s="2124"/>
      <c r="Z10" s="2124"/>
      <c r="AA10" s="61">
        <f t="shared" si="4"/>
        <v>0</v>
      </c>
      <c r="AB10" s="49">
        <f t="shared" si="5"/>
        <v>12217.8</v>
      </c>
      <c r="AC10" s="2156">
        <f t="shared" si="6"/>
        <v>0.10199999999999999</v>
      </c>
      <c r="AD10" s="2157">
        <f t="shared" si="7"/>
        <v>0.65</v>
      </c>
      <c r="AE10" s="2100">
        <f t="shared" si="8"/>
        <v>1</v>
      </c>
      <c r="AF10" s="2156">
        <f t="shared" si="9"/>
        <v>3.1399999999999997E-2</v>
      </c>
      <c r="AG10" s="1">
        <f t="shared" si="10"/>
        <v>1</v>
      </c>
      <c r="AH10" s="1">
        <f t="shared" si="11"/>
        <v>1004.6999999999999</v>
      </c>
      <c r="AI10" s="1">
        <f t="shared" si="12"/>
        <v>0.99</v>
      </c>
      <c r="AJ10" s="1">
        <f t="shared" si="13"/>
        <v>509.99999999999994</v>
      </c>
      <c r="AK10" s="1">
        <f t="shared" si="19"/>
        <v>31864</v>
      </c>
      <c r="AL10" s="1">
        <f t="shared" si="20"/>
        <v>12</v>
      </c>
      <c r="AM10" s="2100">
        <f t="shared" si="14"/>
        <v>8.4000000000000005E-2</v>
      </c>
      <c r="AN10" s="376">
        <f t="shared" si="15"/>
        <v>61.284013432199998</v>
      </c>
      <c r="AO10" s="49">
        <f t="shared" si="16"/>
        <v>112.61693519999999</v>
      </c>
      <c r="AP10" s="376">
        <f t="shared" si="17"/>
        <v>29.3</v>
      </c>
      <c r="AQ10" s="376">
        <f t="shared" si="18"/>
        <v>1000</v>
      </c>
    </row>
    <row r="11" spans="1:44" ht="29" x14ac:dyDescent="0.35">
      <c r="A11" s="2112" t="s">
        <v>3588</v>
      </c>
      <c r="B11" s="2112" t="str">
        <f t="shared" si="0"/>
        <v>Advanced Thermostat - (DI - Programmable - Multifamily)</v>
      </c>
      <c r="C11" t="s">
        <v>3589</v>
      </c>
      <c r="D11" s="1825" t="s">
        <v>3575</v>
      </c>
      <c r="E11" t="s">
        <v>1583</v>
      </c>
      <c r="F11" s="2013">
        <f t="shared" si="1"/>
        <v>11</v>
      </c>
      <c r="G11" s="2119"/>
      <c r="H11" s="2120"/>
      <c r="I11" s="2121" t="s">
        <v>3468</v>
      </c>
      <c r="J11" s="2122" t="s">
        <v>3579</v>
      </c>
      <c r="K11" s="1701" t="s">
        <v>1529</v>
      </c>
      <c r="L11" s="50" t="s">
        <v>2976</v>
      </c>
      <c r="M11" s="50" t="s">
        <v>1185</v>
      </c>
      <c r="N11" s="60" t="s">
        <v>2556</v>
      </c>
      <c r="O11" s="60" t="s">
        <v>3579</v>
      </c>
      <c r="P11" s="60" t="s">
        <v>3578</v>
      </c>
      <c r="Q11" s="2153"/>
      <c r="R11" s="2154"/>
      <c r="S11" s="2153">
        <f t="shared" si="2"/>
        <v>46.366904999999996</v>
      </c>
      <c r="T11" s="2153"/>
      <c r="U11" s="2153"/>
      <c r="V11" s="2153">
        <f t="shared" si="3"/>
        <v>510.03595499999994</v>
      </c>
      <c r="W11" s="2124"/>
      <c r="X11" s="2124"/>
      <c r="Y11" s="2124"/>
      <c r="Z11" s="2124"/>
      <c r="AA11" s="61">
        <f t="shared" si="4"/>
        <v>0</v>
      </c>
      <c r="AB11" s="49">
        <f t="shared" si="5"/>
        <v>12217.8</v>
      </c>
      <c r="AC11" s="2156">
        <f t="shared" si="6"/>
        <v>7.0999999999999994E-2</v>
      </c>
      <c r="AD11" s="2157">
        <f t="shared" si="7"/>
        <v>0.65</v>
      </c>
      <c r="AE11" s="2100">
        <f t="shared" si="8"/>
        <v>1</v>
      </c>
      <c r="AF11" s="2156">
        <f t="shared" si="9"/>
        <v>3.1399999999999997E-2</v>
      </c>
      <c r="AG11" s="1">
        <f t="shared" si="10"/>
        <v>1</v>
      </c>
      <c r="AH11" s="1">
        <f t="shared" si="11"/>
        <v>1004.6999999999999</v>
      </c>
      <c r="AI11" s="1">
        <f t="shared" si="12"/>
        <v>0.99</v>
      </c>
      <c r="AJ11" s="1">
        <f t="shared" si="13"/>
        <v>509.99999999999994</v>
      </c>
      <c r="AK11" s="1">
        <f t="shared" si="19"/>
        <v>31864</v>
      </c>
      <c r="AL11" s="1">
        <f t="shared" si="20"/>
        <v>12</v>
      </c>
      <c r="AM11" s="2100">
        <f t="shared" si="14"/>
        <v>8.4000000000000005E-2</v>
      </c>
      <c r="AN11" s="376">
        <f t="shared" si="15"/>
        <v>42.658479938099994</v>
      </c>
      <c r="AO11" s="49">
        <f t="shared" si="16"/>
        <v>112.61693519999999</v>
      </c>
      <c r="AP11" s="376">
        <f t="shared" si="17"/>
        <v>29.3</v>
      </c>
      <c r="AQ11" s="376">
        <f t="shared" si="18"/>
        <v>1000</v>
      </c>
    </row>
    <row r="12" spans="1:44" ht="29" x14ac:dyDescent="0.35">
      <c r="A12" s="2112" t="s">
        <v>870</v>
      </c>
      <c r="B12" s="2112" t="str">
        <f t="shared" si="0"/>
        <v>Advanced Thermostat - (DI - Blended - Multifamily)</v>
      </c>
      <c r="C12" t="s">
        <v>869</v>
      </c>
      <c r="D12" s="1825" t="s">
        <v>3575</v>
      </c>
      <c r="E12" t="s">
        <v>1583</v>
      </c>
      <c r="F12" s="2013">
        <f t="shared" si="1"/>
        <v>11</v>
      </c>
      <c r="G12" s="2119"/>
      <c r="H12" s="2120"/>
      <c r="I12" s="2121" t="s">
        <v>3468</v>
      </c>
      <c r="J12" s="2122" t="s">
        <v>3582</v>
      </c>
      <c r="K12" s="1701" t="s">
        <v>1529</v>
      </c>
      <c r="L12" s="50" t="s">
        <v>2976</v>
      </c>
      <c r="M12" s="50" t="s">
        <v>1185</v>
      </c>
      <c r="N12" s="60" t="s">
        <v>2556</v>
      </c>
      <c r="O12" s="60" t="s">
        <v>3583</v>
      </c>
      <c r="P12" s="60" t="s">
        <v>3578</v>
      </c>
      <c r="Q12" s="2153"/>
      <c r="R12" s="2154"/>
      <c r="S12" s="2153">
        <f t="shared" si="2"/>
        <v>55.509675000000001</v>
      </c>
      <c r="T12" s="2153"/>
      <c r="U12" s="2153"/>
      <c r="V12" s="2153">
        <f t="shared" si="3"/>
        <v>610.60642500000006</v>
      </c>
      <c r="W12" s="2124"/>
      <c r="X12" s="2124"/>
      <c r="Y12" s="2124"/>
      <c r="Z12" s="2124"/>
      <c r="AA12" s="61">
        <f t="shared" si="4"/>
        <v>0</v>
      </c>
      <c r="AB12" s="49">
        <f t="shared" si="5"/>
        <v>12217.8</v>
      </c>
      <c r="AC12" s="2156">
        <f t="shared" si="6"/>
        <v>8.5000000000000006E-2</v>
      </c>
      <c r="AD12" s="2157">
        <f t="shared" si="7"/>
        <v>0.65</v>
      </c>
      <c r="AE12" s="2100">
        <f t="shared" si="8"/>
        <v>1</v>
      </c>
      <c r="AF12" s="2156">
        <f t="shared" si="9"/>
        <v>3.1399999999999997E-2</v>
      </c>
      <c r="AG12" s="1">
        <f t="shared" si="10"/>
        <v>1</v>
      </c>
      <c r="AH12" s="1">
        <f t="shared" si="11"/>
        <v>1004.6999999999999</v>
      </c>
      <c r="AI12" s="1">
        <f t="shared" si="12"/>
        <v>0.99</v>
      </c>
      <c r="AJ12" s="1">
        <f t="shared" si="13"/>
        <v>509.99999999999994</v>
      </c>
      <c r="AK12" s="1">
        <f t="shared" si="19"/>
        <v>31864</v>
      </c>
      <c r="AL12" s="1">
        <f t="shared" si="20"/>
        <v>12</v>
      </c>
      <c r="AM12" s="2100">
        <f t="shared" si="14"/>
        <v>8.4000000000000005E-2</v>
      </c>
      <c r="AN12" s="376">
        <f t="shared" si="15"/>
        <v>51.070011193500001</v>
      </c>
      <c r="AO12" s="49">
        <f t="shared" si="16"/>
        <v>112.61693519999999</v>
      </c>
      <c r="AP12" s="376">
        <f t="shared" si="17"/>
        <v>29.3</v>
      </c>
      <c r="AQ12" s="376">
        <f t="shared" si="18"/>
        <v>1000</v>
      </c>
    </row>
    <row r="13" spans="1:44" ht="29" x14ac:dyDescent="0.35">
      <c r="A13" s="2152" t="s">
        <v>648</v>
      </c>
      <c r="B13" s="2152" t="str">
        <f>$B$2&amp;" - ("&amp;E13&amp;" - "&amp;J13&amp;" Nicor - "&amp;N13&amp;")"</f>
        <v>Advanced Thermostat - (TOS - Blended Nicor - Single Family)</v>
      </c>
      <c r="C13" t="s">
        <v>647</v>
      </c>
      <c r="D13" s="1825" t="s">
        <v>3575</v>
      </c>
      <c r="E13" t="s">
        <v>1072</v>
      </c>
      <c r="F13" s="2013">
        <f t="shared" si="1"/>
        <v>11</v>
      </c>
      <c r="G13" s="2119"/>
      <c r="H13" s="2120"/>
      <c r="I13" s="2121" t="s">
        <v>3468</v>
      </c>
      <c r="J13" s="2122" t="s">
        <v>3582</v>
      </c>
      <c r="K13" s="1701" t="s">
        <v>1529</v>
      </c>
      <c r="L13" s="50" t="s">
        <v>2976</v>
      </c>
      <c r="M13" s="50" t="s">
        <v>1185</v>
      </c>
      <c r="N13" s="60" t="s">
        <v>3318</v>
      </c>
      <c r="O13" s="60" t="s">
        <v>3583</v>
      </c>
      <c r="P13" s="60" t="s">
        <v>3578</v>
      </c>
      <c r="Q13" s="2153"/>
      <c r="R13" s="2154"/>
      <c r="S13" s="2153">
        <f>R118</f>
        <v>83.226504915628766</v>
      </c>
      <c r="T13" s="2153"/>
      <c r="U13" s="2153"/>
      <c r="V13" s="2153">
        <f t="shared" si="3"/>
        <v>915.49155407191643</v>
      </c>
      <c r="W13" s="2124"/>
      <c r="X13" s="2124"/>
      <c r="Y13" s="2124"/>
      <c r="Z13" s="2124"/>
      <c r="AA13" s="61">
        <f t="shared" si="4"/>
        <v>0</v>
      </c>
      <c r="AB13" s="49">
        <f t="shared" si="5"/>
        <v>12217.8</v>
      </c>
      <c r="AC13" s="2156">
        <f t="shared" si="6"/>
        <v>8.5000000000000006E-2</v>
      </c>
      <c r="AD13" s="2157">
        <v>1</v>
      </c>
      <c r="AE13" s="2100">
        <f t="shared" si="8"/>
        <v>1</v>
      </c>
      <c r="AF13" s="2156">
        <f t="shared" si="9"/>
        <v>3.1399999999999997E-2</v>
      </c>
      <c r="AG13" s="1">
        <f t="shared" si="10"/>
        <v>1</v>
      </c>
      <c r="AH13" s="1">
        <f t="shared" si="11"/>
        <v>1004.6999999999999</v>
      </c>
      <c r="AI13" s="1">
        <f t="shared" si="12"/>
        <v>0.99</v>
      </c>
      <c r="AJ13" s="1">
        <f t="shared" si="13"/>
        <v>568.6</v>
      </c>
      <c r="AK13" s="1">
        <f t="shared" si="19"/>
        <v>31864</v>
      </c>
      <c r="AL13" s="1">
        <f t="shared" si="20"/>
        <v>12</v>
      </c>
      <c r="AM13" s="2100">
        <f t="shared" si="14"/>
        <v>8.4000000000000005E-2</v>
      </c>
      <c r="AN13" s="376">
        <f t="shared" si="15"/>
        <v>76.570049052476776</v>
      </c>
      <c r="AO13" s="49">
        <f>+AI13*((AJ13*AK13*1/AL13)/1000)*AM13*AE13</f>
        <v>125.55684187200001</v>
      </c>
      <c r="AP13" s="376">
        <f t="shared" si="17"/>
        <v>29.3</v>
      </c>
      <c r="AQ13" s="376">
        <f t="shared" si="18"/>
        <v>1000</v>
      </c>
    </row>
    <row r="14" spans="1:44" ht="29" x14ac:dyDescent="0.35">
      <c r="A14" s="2152" t="s">
        <v>713</v>
      </c>
      <c r="B14" s="2152" t="str">
        <f t="shared" si="0"/>
        <v>Advanced Thermostat - (DI Joint - Blended - Single Family)</v>
      </c>
      <c r="C14" t="s">
        <v>712</v>
      </c>
      <c r="D14" s="1825" t="s">
        <v>3575</v>
      </c>
      <c r="E14" t="s">
        <v>3590</v>
      </c>
      <c r="F14" s="2013">
        <f t="shared" si="1"/>
        <v>11</v>
      </c>
      <c r="G14" s="2119"/>
      <c r="H14" s="2120"/>
      <c r="I14" s="2121" t="s">
        <v>3468</v>
      </c>
      <c r="J14" s="2122" t="s">
        <v>3582</v>
      </c>
      <c r="K14" s="1701" t="s">
        <v>1529</v>
      </c>
      <c r="L14" s="50" t="s">
        <v>2976</v>
      </c>
      <c r="M14" s="50" t="s">
        <v>1185</v>
      </c>
      <c r="N14" s="60" t="s">
        <v>3318</v>
      </c>
      <c r="O14" s="60" t="s">
        <v>3583</v>
      </c>
      <c r="P14" s="60" t="s">
        <v>3578</v>
      </c>
      <c r="Q14" s="2153"/>
      <c r="R14" s="2154"/>
      <c r="S14" s="2153">
        <f t="shared" si="2"/>
        <v>85.399500000000003</v>
      </c>
      <c r="T14" s="2153"/>
      <c r="U14" s="2153"/>
      <c r="V14" s="2153">
        <f t="shared" si="3"/>
        <v>939.39449999999999</v>
      </c>
      <c r="W14" s="2124"/>
      <c r="X14" s="2124"/>
      <c r="Y14" s="2124"/>
      <c r="Z14" s="2124"/>
      <c r="AA14" s="61">
        <f t="shared" si="4"/>
        <v>0</v>
      </c>
      <c r="AB14" s="49">
        <f t="shared" si="5"/>
        <v>12217.8</v>
      </c>
      <c r="AC14" s="2156">
        <f t="shared" si="6"/>
        <v>8.5000000000000006E-2</v>
      </c>
      <c r="AD14" s="2157">
        <f t="shared" si="7"/>
        <v>1</v>
      </c>
      <c r="AE14" s="2100">
        <f t="shared" ref="AE14:AE22" si="21">VLOOKUP(E14,$E$120:$F$130,2,FALSE)</f>
        <v>1</v>
      </c>
      <c r="AF14" s="2156">
        <f t="shared" si="9"/>
        <v>3.1399999999999997E-2</v>
      </c>
      <c r="AG14" s="1">
        <f t="shared" si="10"/>
        <v>1</v>
      </c>
      <c r="AH14" s="1">
        <f t="shared" si="11"/>
        <v>1004.6999999999999</v>
      </c>
      <c r="AI14" s="1">
        <f t="shared" si="12"/>
        <v>0.99</v>
      </c>
      <c r="AJ14" s="1">
        <f t="shared" si="13"/>
        <v>568.6</v>
      </c>
      <c r="AK14" s="1">
        <f t="shared" si="19"/>
        <v>31864</v>
      </c>
      <c r="AL14" s="1">
        <f t="shared" si="20"/>
        <v>12</v>
      </c>
      <c r="AM14" s="2100">
        <f t="shared" si="14"/>
        <v>8.4000000000000005E-2</v>
      </c>
      <c r="AN14" s="376">
        <f>AA14*AB14*AC14*AD14*AE14+(S14*AF14*AP14)</f>
        <v>78.569247989999994</v>
      </c>
      <c r="AO14" s="49">
        <f>+AI14*((AJ14*AK14*1/AL14)/1000)*AM14*AE14</f>
        <v>125.55684187200001</v>
      </c>
      <c r="AP14" s="376">
        <f t="shared" si="17"/>
        <v>29.3</v>
      </c>
      <c r="AQ14" s="376">
        <f t="shared" si="18"/>
        <v>1000</v>
      </c>
    </row>
    <row r="15" spans="1:44" ht="29" x14ac:dyDescent="0.35">
      <c r="A15" s="2152" t="s">
        <v>745</v>
      </c>
      <c r="B15" s="2152" t="str">
        <f t="shared" si="0"/>
        <v>Advanced Thermostat - (DI Joint - Blended - Multifamily)</v>
      </c>
      <c r="C15" t="s">
        <v>744</v>
      </c>
      <c r="D15" s="1825" t="s">
        <v>3575</v>
      </c>
      <c r="E15" t="s">
        <v>3590</v>
      </c>
      <c r="F15" s="2013">
        <f t="shared" si="1"/>
        <v>11</v>
      </c>
      <c r="G15" s="2119"/>
      <c r="H15" s="2120"/>
      <c r="I15" s="2121" t="s">
        <v>3468</v>
      </c>
      <c r="J15" s="2122" t="s">
        <v>3582</v>
      </c>
      <c r="K15" s="1701" t="s">
        <v>1529</v>
      </c>
      <c r="L15" s="50" t="s">
        <v>2976</v>
      </c>
      <c r="M15" s="50" t="s">
        <v>1185</v>
      </c>
      <c r="N15" s="60" t="s">
        <v>2556</v>
      </c>
      <c r="O15" s="60" t="s">
        <v>3583</v>
      </c>
      <c r="P15" s="60" t="s">
        <v>3578</v>
      </c>
      <c r="Q15" s="2153"/>
      <c r="R15" s="2154"/>
      <c r="S15" s="2153">
        <f t="shared" si="2"/>
        <v>55.509675000000001</v>
      </c>
      <c r="T15" s="2153"/>
      <c r="U15" s="2153"/>
      <c r="V15" s="2153">
        <f t="shared" si="3"/>
        <v>610.60642500000006</v>
      </c>
      <c r="W15" s="2124"/>
      <c r="X15" s="2124"/>
      <c r="Y15" s="2124"/>
      <c r="Z15" s="2124"/>
      <c r="AA15" s="61">
        <f t="shared" si="4"/>
        <v>0</v>
      </c>
      <c r="AB15" s="49">
        <f t="shared" si="5"/>
        <v>12217.8</v>
      </c>
      <c r="AC15" s="2156">
        <f t="shared" si="6"/>
        <v>8.5000000000000006E-2</v>
      </c>
      <c r="AD15" s="2157">
        <f t="shared" si="7"/>
        <v>0.65</v>
      </c>
      <c r="AE15" s="2100">
        <f t="shared" si="21"/>
        <v>1</v>
      </c>
      <c r="AF15" s="2156">
        <f t="shared" si="9"/>
        <v>3.1399999999999997E-2</v>
      </c>
      <c r="AG15" s="1">
        <f t="shared" si="10"/>
        <v>1</v>
      </c>
      <c r="AH15" s="1">
        <f t="shared" si="11"/>
        <v>1004.6999999999999</v>
      </c>
      <c r="AI15" s="1">
        <f t="shared" si="12"/>
        <v>0.99</v>
      </c>
      <c r="AJ15" s="1">
        <f t="shared" si="13"/>
        <v>509.99999999999994</v>
      </c>
      <c r="AK15" s="1">
        <f t="shared" si="19"/>
        <v>31864</v>
      </c>
      <c r="AL15" s="1">
        <f t="shared" si="20"/>
        <v>12</v>
      </c>
      <c r="AM15" s="2100">
        <f t="shared" si="14"/>
        <v>8.4000000000000005E-2</v>
      </c>
      <c r="AN15" s="376">
        <f>AA15*AB15*AC15*AD15*AE15+(S15*AF15*AP15)</f>
        <v>51.070011193500001</v>
      </c>
      <c r="AO15" s="49">
        <f>+AI15*((AJ15*AK15*1/AL15)/1000)*AM15*AE15</f>
        <v>112.61693519999999</v>
      </c>
      <c r="AP15" s="376">
        <f t="shared" si="17"/>
        <v>29.3</v>
      </c>
      <c r="AQ15" s="376">
        <f t="shared" si="18"/>
        <v>1000</v>
      </c>
    </row>
    <row r="16" spans="1:44" ht="29" x14ac:dyDescent="0.35">
      <c r="A16" s="2152" t="s">
        <v>3591</v>
      </c>
      <c r="B16" s="2152" t="str">
        <f t="shared" si="0"/>
        <v>Advanced Thermostat - (TOS - Manual - Multifamily)</v>
      </c>
      <c r="C16" t="s">
        <v>3592</v>
      </c>
      <c r="D16" s="1825" t="s">
        <v>3575</v>
      </c>
      <c r="E16" t="s">
        <v>1072</v>
      </c>
      <c r="F16" s="2013">
        <f t="shared" si="1"/>
        <v>11</v>
      </c>
      <c r="G16" s="2119"/>
      <c r="H16" s="2120"/>
      <c r="I16" s="2121" t="s">
        <v>3468</v>
      </c>
      <c r="J16" s="2122" t="s">
        <v>3577</v>
      </c>
      <c r="K16" s="1701" t="s">
        <v>1529</v>
      </c>
      <c r="L16" s="50" t="s">
        <v>2976</v>
      </c>
      <c r="M16" s="50" t="s">
        <v>1185</v>
      </c>
      <c r="N16" s="60" t="s">
        <v>2556</v>
      </c>
      <c r="O16" s="60" t="s">
        <v>3577</v>
      </c>
      <c r="P16" s="60" t="s">
        <v>3578</v>
      </c>
      <c r="Q16" s="2153"/>
      <c r="R16" s="2154"/>
      <c r="S16" s="2153">
        <f t="shared" si="2"/>
        <v>66.611609999999999</v>
      </c>
      <c r="T16" s="2153"/>
      <c r="U16" s="2153"/>
      <c r="V16" s="2153">
        <f t="shared" si="3"/>
        <v>732.72771</v>
      </c>
      <c r="W16" s="2124"/>
      <c r="X16" s="2124"/>
      <c r="Y16" s="2124"/>
      <c r="Z16" s="2124"/>
      <c r="AA16" s="61">
        <f t="shared" si="4"/>
        <v>0</v>
      </c>
      <c r="AB16" s="49">
        <f t="shared" si="5"/>
        <v>12217.8</v>
      </c>
      <c r="AC16" s="2156">
        <f t="shared" si="6"/>
        <v>0.10199999999999999</v>
      </c>
      <c r="AD16" s="2157">
        <f t="shared" si="7"/>
        <v>0.65</v>
      </c>
      <c r="AE16" s="2100">
        <f t="shared" si="21"/>
        <v>1</v>
      </c>
      <c r="AF16" s="2156">
        <f t="shared" si="9"/>
        <v>3.1399999999999997E-2</v>
      </c>
      <c r="AG16" s="1">
        <f t="shared" si="10"/>
        <v>1</v>
      </c>
      <c r="AH16" s="1">
        <f t="shared" si="11"/>
        <v>1004.6999999999999</v>
      </c>
      <c r="AI16" s="1">
        <f t="shared" si="12"/>
        <v>0.99</v>
      </c>
      <c r="AJ16" s="1">
        <f t="shared" si="13"/>
        <v>509.99999999999994</v>
      </c>
      <c r="AK16" s="1">
        <f t="shared" si="19"/>
        <v>31864</v>
      </c>
      <c r="AL16" s="1">
        <f t="shared" si="20"/>
        <v>12</v>
      </c>
      <c r="AM16" s="2100">
        <f t="shared" si="14"/>
        <v>8.4000000000000005E-2</v>
      </c>
      <c r="AN16" s="376">
        <f t="shared" ref="AN16:AN22" si="22">AA16*AB16*AC16*AD16*AE16+(S16*AF16*AP16)</f>
        <v>61.284013432199998</v>
      </c>
      <c r="AO16" s="49">
        <f t="shared" ref="AO16:AO22" si="23">+AI16*((AJ16*AK16*1/AL16)/1000)*AM16*AE16</f>
        <v>112.61693519999999</v>
      </c>
      <c r="AP16" s="376">
        <f t="shared" si="17"/>
        <v>29.3</v>
      </c>
      <c r="AQ16" s="376">
        <f t="shared" si="18"/>
        <v>1000</v>
      </c>
    </row>
    <row r="17" spans="1:44" ht="29" x14ac:dyDescent="0.35">
      <c r="A17" s="2152" t="s">
        <v>3593</v>
      </c>
      <c r="B17" s="2152" t="str">
        <f t="shared" si="0"/>
        <v>Advanced Thermostat - (TOS - Programmable - Multifamily)</v>
      </c>
      <c r="C17" t="s">
        <v>3594</v>
      </c>
      <c r="D17" s="1825" t="s">
        <v>3575</v>
      </c>
      <c r="E17" t="s">
        <v>1072</v>
      </c>
      <c r="F17" s="2013">
        <f t="shared" si="1"/>
        <v>11</v>
      </c>
      <c r="G17" s="2119"/>
      <c r="H17" s="2120"/>
      <c r="I17" s="2121" t="s">
        <v>3468</v>
      </c>
      <c r="J17" s="2122" t="s">
        <v>3579</v>
      </c>
      <c r="K17" s="1701" t="s">
        <v>1529</v>
      </c>
      <c r="L17" s="50" t="s">
        <v>2976</v>
      </c>
      <c r="M17" s="50" t="s">
        <v>1185</v>
      </c>
      <c r="N17" s="60" t="s">
        <v>2556</v>
      </c>
      <c r="O17" s="60" t="s">
        <v>3579</v>
      </c>
      <c r="P17" s="60" t="s">
        <v>3578</v>
      </c>
      <c r="Q17" s="2153"/>
      <c r="R17" s="2154"/>
      <c r="S17" s="2153">
        <f t="shared" si="2"/>
        <v>46.366904999999996</v>
      </c>
      <c r="T17" s="2153"/>
      <c r="U17" s="2153"/>
      <c r="V17" s="2153">
        <f t="shared" si="3"/>
        <v>510.03595499999994</v>
      </c>
      <c r="W17" s="2124"/>
      <c r="X17" s="2124"/>
      <c r="Y17" s="2124"/>
      <c r="Z17" s="2124"/>
      <c r="AA17" s="61">
        <f t="shared" si="4"/>
        <v>0</v>
      </c>
      <c r="AB17" s="49">
        <f t="shared" si="5"/>
        <v>12217.8</v>
      </c>
      <c r="AC17" s="2156">
        <f t="shared" si="6"/>
        <v>7.0999999999999994E-2</v>
      </c>
      <c r="AD17" s="2157">
        <f t="shared" si="7"/>
        <v>0.65</v>
      </c>
      <c r="AE17" s="2100">
        <f t="shared" si="21"/>
        <v>1</v>
      </c>
      <c r="AF17" s="2156">
        <f t="shared" si="9"/>
        <v>3.1399999999999997E-2</v>
      </c>
      <c r="AG17" s="1">
        <f t="shared" si="10"/>
        <v>1</v>
      </c>
      <c r="AH17" s="1">
        <f t="shared" si="11"/>
        <v>1004.6999999999999</v>
      </c>
      <c r="AI17" s="1">
        <f t="shared" si="12"/>
        <v>0.99</v>
      </c>
      <c r="AJ17" s="1">
        <f t="shared" si="13"/>
        <v>509.99999999999994</v>
      </c>
      <c r="AK17" s="1">
        <f t="shared" si="19"/>
        <v>31864</v>
      </c>
      <c r="AL17" s="1">
        <f t="shared" si="20"/>
        <v>12</v>
      </c>
      <c r="AM17" s="2100">
        <f t="shared" si="14"/>
        <v>8.4000000000000005E-2</v>
      </c>
      <c r="AN17" s="376">
        <f t="shared" si="22"/>
        <v>42.658479938099994</v>
      </c>
      <c r="AO17" s="49">
        <f t="shared" si="23"/>
        <v>112.61693519999999</v>
      </c>
      <c r="AP17" s="376">
        <f t="shared" si="17"/>
        <v>29.3</v>
      </c>
      <c r="AQ17" s="376">
        <f t="shared" si="18"/>
        <v>1000</v>
      </c>
    </row>
    <row r="18" spans="1:44" ht="29" x14ac:dyDescent="0.35">
      <c r="A18" s="2152" t="s">
        <v>3595</v>
      </c>
      <c r="B18" s="2152" t="str">
        <f t="shared" si="0"/>
        <v>Advanced Thermostat - (TOS - Blended - Multifamily)</v>
      </c>
      <c r="C18" t="s">
        <v>3596</v>
      </c>
      <c r="D18" s="1825" t="s">
        <v>3575</v>
      </c>
      <c r="E18" t="s">
        <v>1072</v>
      </c>
      <c r="F18" s="2013">
        <f t="shared" si="1"/>
        <v>11</v>
      </c>
      <c r="G18" s="2119"/>
      <c r="H18" s="2120"/>
      <c r="I18" s="2121" t="s">
        <v>3468</v>
      </c>
      <c r="J18" s="2122" t="s">
        <v>3582</v>
      </c>
      <c r="K18" s="1701" t="s">
        <v>1529</v>
      </c>
      <c r="L18" s="50" t="s">
        <v>2976</v>
      </c>
      <c r="M18" s="50" t="s">
        <v>1185</v>
      </c>
      <c r="N18" s="60" t="s">
        <v>2556</v>
      </c>
      <c r="O18" s="60" t="s">
        <v>3583</v>
      </c>
      <c r="P18" s="60" t="s">
        <v>3578</v>
      </c>
      <c r="Q18" s="2153"/>
      <c r="R18" s="2154"/>
      <c r="S18" s="2153">
        <f>AG18*AH18*AC18*AD18*AE18</f>
        <v>55.509675000000001</v>
      </c>
      <c r="T18" s="2153"/>
      <c r="U18" s="2153"/>
      <c r="V18" s="2153">
        <f t="shared" si="3"/>
        <v>610.60642500000006</v>
      </c>
      <c r="W18" s="2124"/>
      <c r="X18" s="2124"/>
      <c r="Y18" s="2124"/>
      <c r="Z18" s="2124"/>
      <c r="AA18" s="61">
        <f t="shared" si="4"/>
        <v>0</v>
      </c>
      <c r="AB18" s="49">
        <f t="shared" si="5"/>
        <v>12217.8</v>
      </c>
      <c r="AC18" s="2156">
        <f t="shared" si="6"/>
        <v>8.5000000000000006E-2</v>
      </c>
      <c r="AD18" s="2157">
        <f t="shared" si="7"/>
        <v>0.65</v>
      </c>
      <c r="AE18" s="2100">
        <f t="shared" si="21"/>
        <v>1</v>
      </c>
      <c r="AF18" s="2156">
        <f t="shared" si="9"/>
        <v>3.1399999999999997E-2</v>
      </c>
      <c r="AG18" s="1">
        <f t="shared" si="10"/>
        <v>1</v>
      </c>
      <c r="AH18" s="1">
        <f t="shared" si="11"/>
        <v>1004.6999999999999</v>
      </c>
      <c r="AI18" s="1">
        <f t="shared" si="12"/>
        <v>0.99</v>
      </c>
      <c r="AJ18" s="1">
        <f t="shared" si="13"/>
        <v>509.99999999999994</v>
      </c>
      <c r="AK18" s="1">
        <f t="shared" si="19"/>
        <v>31864</v>
      </c>
      <c r="AL18" s="1">
        <f t="shared" si="20"/>
        <v>12</v>
      </c>
      <c r="AM18" s="2100">
        <f t="shared" si="14"/>
        <v>8.4000000000000005E-2</v>
      </c>
      <c r="AN18" s="376">
        <f t="shared" si="22"/>
        <v>51.070011193500001</v>
      </c>
      <c r="AO18" s="49">
        <f t="shared" si="23"/>
        <v>112.61693519999999</v>
      </c>
      <c r="AP18" s="376">
        <f t="shared" si="17"/>
        <v>29.3</v>
      </c>
      <c r="AQ18" s="376">
        <f t="shared" si="18"/>
        <v>1000</v>
      </c>
    </row>
    <row r="19" spans="1:44" ht="29" x14ac:dyDescent="0.35">
      <c r="A19" s="2152" t="s">
        <v>886</v>
      </c>
      <c r="B19" s="2152" t="str">
        <f>$B$2&amp;" - ("&amp;"All "&amp;E19&amp;" - "&amp;J19&amp;" - "&amp;N19&amp;")"</f>
        <v>Advanced Thermostat - (All DI Joint - Blended - Single Family)</v>
      </c>
      <c r="C19" t="s">
        <v>885</v>
      </c>
      <c r="D19" s="1825" t="s">
        <v>3575</v>
      </c>
      <c r="E19" t="s">
        <v>3590</v>
      </c>
      <c r="F19" s="2013">
        <f t="shared" si="1"/>
        <v>11</v>
      </c>
      <c r="G19" s="2119"/>
      <c r="H19" s="2120"/>
      <c r="I19" s="2121" t="s">
        <v>3468</v>
      </c>
      <c r="J19" s="2122" t="s">
        <v>3582</v>
      </c>
      <c r="K19" s="1701" t="s">
        <v>1529</v>
      </c>
      <c r="L19" s="50" t="s">
        <v>2976</v>
      </c>
      <c r="M19" s="50" t="s">
        <v>1185</v>
      </c>
      <c r="N19" s="60" t="s">
        <v>3318</v>
      </c>
      <c r="O19" s="60" t="s">
        <v>3583</v>
      </c>
      <c r="P19" s="60" t="s">
        <v>3578</v>
      </c>
      <c r="Q19" s="2153"/>
      <c r="R19" s="2154"/>
      <c r="S19" s="2153">
        <f>AG19*AH19*AC19*AD19*AE19</f>
        <v>85.399500000000003</v>
      </c>
      <c r="T19" s="2153"/>
      <c r="U19" s="2153"/>
      <c r="V19" s="2153">
        <f t="shared" si="3"/>
        <v>939.39449999999999</v>
      </c>
      <c r="W19" s="2124"/>
      <c r="X19" s="2124"/>
      <c r="Y19" s="2124"/>
      <c r="Z19" s="2124"/>
      <c r="AA19" s="61">
        <f t="shared" si="4"/>
        <v>0</v>
      </c>
      <c r="AB19" s="49">
        <f t="shared" si="5"/>
        <v>12217.8</v>
      </c>
      <c r="AC19" s="2156">
        <f t="shared" si="6"/>
        <v>8.5000000000000006E-2</v>
      </c>
      <c r="AD19" s="2157">
        <f t="shared" si="7"/>
        <v>1</v>
      </c>
      <c r="AE19" s="2100">
        <f t="shared" si="21"/>
        <v>1</v>
      </c>
      <c r="AF19" s="2156">
        <f t="shared" si="9"/>
        <v>3.1399999999999997E-2</v>
      </c>
      <c r="AG19" s="1">
        <f t="shared" si="10"/>
        <v>1</v>
      </c>
      <c r="AH19" s="1">
        <f t="shared" si="11"/>
        <v>1004.6999999999999</v>
      </c>
      <c r="AI19" s="1">
        <f t="shared" si="12"/>
        <v>0.99</v>
      </c>
      <c r="AJ19" s="1">
        <f t="shared" si="13"/>
        <v>568.6</v>
      </c>
      <c r="AK19" s="1">
        <f t="shared" si="19"/>
        <v>31864</v>
      </c>
      <c r="AL19" s="1">
        <f t="shared" si="20"/>
        <v>12</v>
      </c>
      <c r="AM19" s="2100">
        <f t="shared" si="14"/>
        <v>8.4000000000000005E-2</v>
      </c>
      <c r="AN19" s="376">
        <f t="shared" si="22"/>
        <v>78.569247989999994</v>
      </c>
      <c r="AO19" s="49">
        <f t="shared" si="23"/>
        <v>125.55684187200001</v>
      </c>
      <c r="AP19" s="376">
        <f t="shared" si="17"/>
        <v>29.3</v>
      </c>
      <c r="AQ19" s="376">
        <f t="shared" si="18"/>
        <v>1000</v>
      </c>
    </row>
    <row r="20" spans="1:44" ht="29" x14ac:dyDescent="0.35">
      <c r="A20" s="2152" t="s">
        <v>843</v>
      </c>
      <c r="B20" s="2152" t="str">
        <f>$B$2&amp;" - ("&amp;"All "&amp;E20&amp;" - "&amp;J20&amp;" - "&amp;N20&amp;")"</f>
        <v>Advanced Thermostat - (All DI Joint - Blended - Multifamily)</v>
      </c>
      <c r="C20" t="s">
        <v>842</v>
      </c>
      <c r="D20" s="1825" t="s">
        <v>3575</v>
      </c>
      <c r="E20" t="s">
        <v>3590</v>
      </c>
      <c r="F20" s="2013">
        <f t="shared" si="1"/>
        <v>11</v>
      </c>
      <c r="G20" s="2119"/>
      <c r="H20" s="2120"/>
      <c r="I20" s="2121" t="s">
        <v>3468</v>
      </c>
      <c r="J20" s="2122" t="s">
        <v>3582</v>
      </c>
      <c r="K20" s="1701" t="s">
        <v>1529</v>
      </c>
      <c r="L20" s="50" t="s">
        <v>2976</v>
      </c>
      <c r="M20" s="50" t="s">
        <v>1185</v>
      </c>
      <c r="N20" s="60" t="s">
        <v>2556</v>
      </c>
      <c r="O20" s="60" t="s">
        <v>3583</v>
      </c>
      <c r="P20" s="60" t="s">
        <v>3578</v>
      </c>
      <c r="Q20" s="2153"/>
      <c r="R20" s="2154"/>
      <c r="S20" s="2153">
        <f>AG20*AH20*AC20*AD20*AE20</f>
        <v>55.509675000000001</v>
      </c>
      <c r="T20" s="2153"/>
      <c r="U20" s="2153"/>
      <c r="V20" s="2153">
        <f t="shared" si="3"/>
        <v>610.60642500000006</v>
      </c>
      <c r="W20" s="2124"/>
      <c r="X20" s="2124"/>
      <c r="Y20" s="2124"/>
      <c r="Z20" s="2124"/>
      <c r="AA20" s="61">
        <f t="shared" si="4"/>
        <v>0</v>
      </c>
      <c r="AB20" s="49">
        <f t="shared" si="5"/>
        <v>12217.8</v>
      </c>
      <c r="AC20" s="2156">
        <f t="shared" si="6"/>
        <v>8.5000000000000006E-2</v>
      </c>
      <c r="AD20" s="2157">
        <f t="shared" si="7"/>
        <v>0.65</v>
      </c>
      <c r="AE20" s="2100">
        <f t="shared" si="21"/>
        <v>1</v>
      </c>
      <c r="AF20" s="2156">
        <f t="shared" si="9"/>
        <v>3.1399999999999997E-2</v>
      </c>
      <c r="AG20" s="1">
        <f t="shared" si="10"/>
        <v>1</v>
      </c>
      <c r="AH20" s="1">
        <f t="shared" si="11"/>
        <v>1004.6999999999999</v>
      </c>
      <c r="AI20" s="1">
        <f t="shared" si="12"/>
        <v>0.99</v>
      </c>
      <c r="AJ20" s="1">
        <f t="shared" si="13"/>
        <v>509.99999999999994</v>
      </c>
      <c r="AK20" s="1">
        <f t="shared" si="19"/>
        <v>31864</v>
      </c>
      <c r="AL20" s="1">
        <f t="shared" si="20"/>
        <v>12</v>
      </c>
      <c r="AM20" s="2100">
        <f t="shared" si="14"/>
        <v>8.4000000000000005E-2</v>
      </c>
      <c r="AN20" s="376">
        <f t="shared" si="22"/>
        <v>51.070011193500001</v>
      </c>
      <c r="AO20" s="49">
        <f t="shared" si="23"/>
        <v>112.61693519999999</v>
      </c>
      <c r="AP20" s="376">
        <f t="shared" si="17"/>
        <v>29.3</v>
      </c>
      <c r="AQ20" s="376">
        <f t="shared" si="18"/>
        <v>1000</v>
      </c>
    </row>
    <row r="21" spans="1:44" ht="29" x14ac:dyDescent="0.35">
      <c r="A21" s="2152" t="s">
        <v>783</v>
      </c>
      <c r="B21" s="2152" t="str">
        <f>$B$2&amp;" - ("&amp;E21&amp;" - "&amp;J21&amp;" - "&amp;N21&amp;")"</f>
        <v>Advanced Thermostat - (DI Joint - Manual - Single Family)</v>
      </c>
      <c r="C21" t="s">
        <v>782</v>
      </c>
      <c r="D21" s="1825" t="s">
        <v>3575</v>
      </c>
      <c r="E21" t="s">
        <v>3590</v>
      </c>
      <c r="F21" s="2013">
        <f t="shared" si="1"/>
        <v>11</v>
      </c>
      <c r="G21" s="2119"/>
      <c r="H21" s="2120"/>
      <c r="I21" s="2121" t="s">
        <v>3468</v>
      </c>
      <c r="J21" s="2122" t="s">
        <v>3577</v>
      </c>
      <c r="K21" s="1701" t="s">
        <v>1529</v>
      </c>
      <c r="L21" s="50" t="s">
        <v>2976</v>
      </c>
      <c r="M21" s="50" t="s">
        <v>1185</v>
      </c>
      <c r="N21" s="60" t="s">
        <v>3318</v>
      </c>
      <c r="O21" s="60" t="s">
        <v>3577</v>
      </c>
      <c r="P21" s="60" t="s">
        <v>3578</v>
      </c>
      <c r="Q21" s="2153"/>
      <c r="R21" s="2154"/>
      <c r="S21" s="2153">
        <f>AG21*AH21*AC21*AD21*AE21</f>
        <v>102.47939999999998</v>
      </c>
      <c r="T21" s="2153"/>
      <c r="U21" s="2153"/>
      <c r="V21" s="2153">
        <f t="shared" si="3"/>
        <v>1127.2733999999998</v>
      </c>
      <c r="W21" s="2124"/>
      <c r="X21" s="2124"/>
      <c r="Y21" s="2124"/>
      <c r="Z21" s="2124"/>
      <c r="AA21" s="61">
        <f t="shared" si="4"/>
        <v>0</v>
      </c>
      <c r="AB21" s="49">
        <f t="shared" si="5"/>
        <v>12217.8</v>
      </c>
      <c r="AC21" s="2156">
        <f t="shared" si="6"/>
        <v>0.10199999999999999</v>
      </c>
      <c r="AD21" s="2157">
        <f t="shared" si="7"/>
        <v>1</v>
      </c>
      <c r="AE21" s="2100">
        <f t="shared" si="21"/>
        <v>1</v>
      </c>
      <c r="AF21" s="2156">
        <f t="shared" si="9"/>
        <v>3.1399999999999997E-2</v>
      </c>
      <c r="AG21" s="1">
        <f t="shared" si="10"/>
        <v>1</v>
      </c>
      <c r="AH21" s="1">
        <f t="shared" si="11"/>
        <v>1004.6999999999999</v>
      </c>
      <c r="AI21" s="1">
        <f t="shared" si="12"/>
        <v>0.99</v>
      </c>
      <c r="AJ21" s="1">
        <f t="shared" si="13"/>
        <v>568.6</v>
      </c>
      <c r="AK21" s="1">
        <f t="shared" si="19"/>
        <v>31864</v>
      </c>
      <c r="AL21" s="1">
        <f t="shared" si="20"/>
        <v>12</v>
      </c>
      <c r="AM21" s="2100">
        <f t="shared" si="14"/>
        <v>8.4000000000000005E-2</v>
      </c>
      <c r="AN21" s="376">
        <f t="shared" si="22"/>
        <v>94.283097587999976</v>
      </c>
      <c r="AO21" s="49">
        <f t="shared" si="23"/>
        <v>125.55684187200001</v>
      </c>
      <c r="AP21" s="376">
        <f t="shared" si="17"/>
        <v>29.3</v>
      </c>
      <c r="AQ21" s="376">
        <f t="shared" si="18"/>
        <v>1000</v>
      </c>
      <c r="AR21">
        <v>0.03</v>
      </c>
    </row>
    <row r="22" spans="1:44" ht="29" x14ac:dyDescent="0.35">
      <c r="A22" s="2152" t="s">
        <v>786</v>
      </c>
      <c r="B22" s="2152" t="str">
        <f>$B$2&amp;" - ("&amp;E22&amp;" - "&amp;J22&amp;" - "&amp;N22&amp;")"</f>
        <v>Advanced Thermostat - (DI Joint - Programmable - Single Family)</v>
      </c>
      <c r="C22" t="s">
        <v>785</v>
      </c>
      <c r="D22" s="1825" t="s">
        <v>3575</v>
      </c>
      <c r="E22" t="s">
        <v>3590</v>
      </c>
      <c r="F22" s="2013">
        <f t="shared" si="1"/>
        <v>11</v>
      </c>
      <c r="G22" s="2119"/>
      <c r="H22" s="2120"/>
      <c r="I22" s="2121" t="s">
        <v>3468</v>
      </c>
      <c r="J22" s="2122" t="s">
        <v>3579</v>
      </c>
      <c r="K22" s="1701" t="s">
        <v>1529</v>
      </c>
      <c r="L22" s="50" t="s">
        <v>2976</v>
      </c>
      <c r="M22" s="50" t="s">
        <v>1185</v>
      </c>
      <c r="N22" s="60" t="s">
        <v>3318</v>
      </c>
      <c r="O22" s="60" t="s">
        <v>3579</v>
      </c>
      <c r="P22" s="60" t="s">
        <v>3578</v>
      </c>
      <c r="Q22" s="2153"/>
      <c r="R22" s="2154"/>
      <c r="S22" s="2153">
        <f>AG22*AH22*AC22*AD22*AE22</f>
        <v>71.333699999999993</v>
      </c>
      <c r="T22" s="2153"/>
      <c r="U22" s="2153"/>
      <c r="V22" s="2153">
        <f t="shared" si="3"/>
        <v>784.6706999999999</v>
      </c>
      <c r="W22" s="2124"/>
      <c r="X22" s="2124"/>
      <c r="Y22" s="2124"/>
      <c r="Z22" s="2124"/>
      <c r="AA22" s="61">
        <f t="shared" si="4"/>
        <v>0</v>
      </c>
      <c r="AB22" s="49">
        <f t="shared" si="5"/>
        <v>12217.8</v>
      </c>
      <c r="AC22" s="2156">
        <f t="shared" si="6"/>
        <v>7.0999999999999994E-2</v>
      </c>
      <c r="AD22" s="2157">
        <f t="shared" si="7"/>
        <v>1</v>
      </c>
      <c r="AE22" s="2100">
        <f t="shared" si="21"/>
        <v>1</v>
      </c>
      <c r="AF22" s="2156">
        <f t="shared" si="9"/>
        <v>3.1399999999999997E-2</v>
      </c>
      <c r="AG22" s="1">
        <f t="shared" si="10"/>
        <v>1</v>
      </c>
      <c r="AH22" s="1">
        <f t="shared" si="11"/>
        <v>1004.6999999999999</v>
      </c>
      <c r="AI22" s="1">
        <f t="shared" si="12"/>
        <v>0.99</v>
      </c>
      <c r="AJ22" s="1">
        <f t="shared" si="13"/>
        <v>568.6</v>
      </c>
      <c r="AK22" s="1">
        <f t="shared" si="19"/>
        <v>31864</v>
      </c>
      <c r="AL22" s="1">
        <f t="shared" si="20"/>
        <v>12</v>
      </c>
      <c r="AM22" s="2100">
        <f t="shared" si="14"/>
        <v>8.4000000000000005E-2</v>
      </c>
      <c r="AN22" s="376">
        <f t="shared" si="22"/>
        <v>65.628430673999986</v>
      </c>
      <c r="AO22" s="49">
        <f t="shared" si="23"/>
        <v>125.55684187200001</v>
      </c>
      <c r="AP22" s="376">
        <f t="shared" si="17"/>
        <v>29.3</v>
      </c>
      <c r="AQ22" s="376">
        <f t="shared" si="18"/>
        <v>1000</v>
      </c>
      <c r="AR22">
        <v>0.03</v>
      </c>
    </row>
    <row r="23" spans="1:44" x14ac:dyDescent="0.35">
      <c r="A23" s="2112"/>
      <c r="B23" s="2112"/>
      <c r="D23" s="1825"/>
      <c r="F23" s="2013"/>
      <c r="G23" s="2119"/>
      <c r="H23" s="2120"/>
      <c r="I23" s="2121"/>
      <c r="J23" s="2122"/>
      <c r="K23" s="1701"/>
      <c r="L23" s="50"/>
      <c r="M23" s="50"/>
      <c r="N23" s="60"/>
      <c r="O23" s="60"/>
      <c r="P23" s="60"/>
      <c r="Q23" s="2153"/>
      <c r="R23" s="2154"/>
      <c r="S23" s="2153"/>
      <c r="T23" s="2153"/>
      <c r="U23" s="2153"/>
      <c r="V23" s="2153"/>
      <c r="W23" s="2124"/>
      <c r="X23" s="2124"/>
      <c r="Y23" s="2124"/>
      <c r="Z23" s="2124"/>
      <c r="AA23" s="61"/>
      <c r="AB23" s="49"/>
      <c r="AC23" s="2156"/>
      <c r="AD23" s="2157"/>
      <c r="AE23" s="2100"/>
      <c r="AF23" s="2156"/>
      <c r="AG23" s="1"/>
      <c r="AH23" s="1"/>
      <c r="AI23" s="1"/>
      <c r="AJ23" s="1"/>
      <c r="AK23" s="1"/>
      <c r="AL23" s="1"/>
      <c r="AM23" s="2100"/>
      <c r="AN23" s="376"/>
      <c r="AO23" s="49"/>
      <c r="AP23" s="376"/>
      <c r="AQ23" s="376"/>
    </row>
    <row r="24" spans="1:44" x14ac:dyDescent="0.35">
      <c r="A24" s="2112"/>
      <c r="B24" s="2112"/>
      <c r="D24" s="1825"/>
      <c r="F24" s="2013"/>
      <c r="G24" s="2119"/>
      <c r="H24" s="2120"/>
      <c r="I24" s="2121"/>
      <c r="J24" s="2122"/>
      <c r="K24" s="1701"/>
      <c r="L24" s="50"/>
      <c r="M24" s="50"/>
      <c r="N24" s="60"/>
      <c r="O24" s="60"/>
      <c r="P24" s="60"/>
      <c r="Q24" s="2123"/>
      <c r="R24" s="51"/>
      <c r="S24" s="2123"/>
      <c r="T24" s="2123"/>
      <c r="U24" s="2123"/>
      <c r="V24" s="2123"/>
      <c r="W24" s="2124"/>
      <c r="X24" s="2124"/>
      <c r="Y24" s="2124"/>
      <c r="Z24" s="2124"/>
      <c r="AA24" s="61"/>
      <c r="AB24" s="49"/>
      <c r="AC24" s="262"/>
      <c r="AD24" s="61"/>
      <c r="AE24" s="263"/>
      <c r="AF24" s="262"/>
      <c r="AG24" s="49"/>
      <c r="AH24" s="49"/>
      <c r="AI24" s="49"/>
      <c r="AJ24" s="49"/>
      <c r="AK24" s="49"/>
      <c r="AL24" s="49"/>
      <c r="AM24" s="263"/>
      <c r="AN24" s="376"/>
      <c r="AO24" s="49"/>
      <c r="AP24" s="376"/>
      <c r="AQ24" s="376"/>
    </row>
    <row r="25" spans="1:44" x14ac:dyDescent="0.35">
      <c r="A25" s="1798"/>
      <c r="B25" s="1798"/>
      <c r="D25" s="1798"/>
      <c r="F25" s="2125"/>
      <c r="G25" s="2126"/>
      <c r="H25" s="2120"/>
      <c r="I25" s="2121"/>
      <c r="J25" s="2122"/>
      <c r="K25" s="1701"/>
      <c r="L25" s="50"/>
      <c r="M25" s="50"/>
      <c r="N25" s="60"/>
      <c r="O25" s="60"/>
      <c r="P25" s="60"/>
      <c r="Q25" s="2124"/>
      <c r="R25" s="1639"/>
      <c r="S25" s="2124"/>
      <c r="T25" s="2124"/>
      <c r="U25" s="2124"/>
      <c r="V25" s="2124"/>
      <c r="W25" s="2124"/>
      <c r="X25" s="2124"/>
      <c r="Y25" s="2124"/>
      <c r="Z25" s="2124"/>
      <c r="AA25" s="429"/>
      <c r="AB25" s="69"/>
      <c r="AC25" s="2111"/>
      <c r="AD25" s="429"/>
      <c r="AE25" s="472"/>
      <c r="AF25" s="2111"/>
      <c r="AG25" s="69"/>
      <c r="AH25" s="69"/>
      <c r="AI25" s="69"/>
      <c r="AJ25" s="69"/>
      <c r="AK25" s="69"/>
      <c r="AL25" s="69"/>
      <c r="AM25" s="472"/>
      <c r="AN25" s="2127"/>
      <c r="AO25" s="69"/>
      <c r="AP25" s="2127"/>
      <c r="AQ25" s="2127"/>
    </row>
    <row r="27" spans="1:44" ht="15" thickBot="1" x14ac:dyDescent="0.4"/>
    <row r="28" spans="1:44" ht="15" thickBot="1" x14ac:dyDescent="0.4">
      <c r="A28" s="62" t="s">
        <v>1188</v>
      </c>
      <c r="B28" s="63"/>
      <c r="C28" s="64"/>
      <c r="D28" s="64"/>
      <c r="E28" s="64"/>
      <c r="F28" s="64"/>
      <c r="G28" s="64"/>
      <c r="H28" s="65"/>
      <c r="Q28" s="66"/>
      <c r="AB28" s="2142"/>
    </row>
    <row r="29" spans="1:44" x14ac:dyDescent="0.35">
      <c r="A29" s="67" t="s">
        <v>3597</v>
      </c>
      <c r="B29" s="68"/>
      <c r="C29" s="69"/>
      <c r="D29" s="69"/>
      <c r="E29" s="69"/>
      <c r="F29" s="69"/>
      <c r="G29" s="69"/>
      <c r="H29" s="70"/>
      <c r="Q29" s="66"/>
      <c r="AB29" s="2142"/>
    </row>
    <row r="30" spans="1:44" x14ac:dyDescent="0.35">
      <c r="A30" s="67" t="s">
        <v>3598</v>
      </c>
      <c r="B30" s="68"/>
      <c r="C30" s="69"/>
      <c r="D30" s="69"/>
      <c r="E30" s="69"/>
      <c r="F30" s="69"/>
      <c r="G30" s="69"/>
      <c r="H30" s="70"/>
    </row>
    <row r="31" spans="1:44" x14ac:dyDescent="0.35">
      <c r="A31" s="67" t="s">
        <v>3599</v>
      </c>
      <c r="B31" s="68"/>
      <c r="C31" s="69"/>
      <c r="D31" s="69"/>
      <c r="E31" s="69"/>
      <c r="F31" s="69"/>
      <c r="G31" s="69"/>
      <c r="H31" s="70"/>
    </row>
    <row r="32" spans="1:44" x14ac:dyDescent="0.35">
      <c r="A32" s="71" t="s">
        <v>3600</v>
      </c>
      <c r="B32" s="72"/>
      <c r="C32" s="72"/>
      <c r="D32" s="72"/>
      <c r="E32" s="72"/>
      <c r="F32" s="72"/>
      <c r="G32" s="72"/>
      <c r="H32" s="73"/>
    </row>
    <row r="33" spans="1:28" ht="15" thickBot="1" x14ac:dyDescent="0.4">
      <c r="A33" s="55"/>
      <c r="K33" s="3320"/>
      <c r="L33" s="3320"/>
      <c r="M33" s="3320"/>
    </row>
    <row r="34" spans="1:28" ht="15" thickBot="1" x14ac:dyDescent="0.4">
      <c r="A34" s="74" t="s">
        <v>1285</v>
      </c>
      <c r="B34" s="75" t="s">
        <v>1199</v>
      </c>
      <c r="C34" s="76" t="s">
        <v>1646</v>
      </c>
      <c r="D34" s="64"/>
      <c r="E34" s="64"/>
      <c r="F34" s="64"/>
      <c r="G34" s="64"/>
      <c r="H34" s="64"/>
      <c r="I34" s="64"/>
      <c r="J34" s="65"/>
      <c r="K34" s="523"/>
      <c r="L34" s="721"/>
      <c r="M34" s="721"/>
    </row>
    <row r="35" spans="1:28" x14ac:dyDescent="0.35">
      <c r="A35" s="2128" t="s">
        <v>3460</v>
      </c>
      <c r="B35" s="643"/>
      <c r="C35" s="641" t="s">
        <v>3491</v>
      </c>
      <c r="D35" s="380"/>
      <c r="E35" s="380"/>
      <c r="F35" s="380"/>
      <c r="G35" s="380"/>
      <c r="H35" s="380"/>
      <c r="I35" s="380"/>
      <c r="J35" s="381"/>
      <c r="K35" s="3186"/>
      <c r="L35" s="3186"/>
      <c r="M35" s="3186"/>
    </row>
    <row r="36" spans="1:28" ht="15" thickBot="1" x14ac:dyDescent="0.4">
      <c r="A36" s="2129"/>
      <c r="B36" s="1234"/>
      <c r="C36" s="642" t="s">
        <v>3492</v>
      </c>
      <c r="D36" s="161"/>
      <c r="E36" s="161"/>
      <c r="F36" s="161"/>
      <c r="G36" s="161"/>
      <c r="H36" s="161"/>
      <c r="I36" s="161"/>
      <c r="J36" s="163"/>
      <c r="K36" s="3186"/>
      <c r="L36" s="3186"/>
      <c r="M36" s="3186"/>
    </row>
    <row r="37" spans="1:28" ht="24.5" x14ac:dyDescent="0.35">
      <c r="A37" s="2128" t="s">
        <v>3461</v>
      </c>
      <c r="B37" s="673"/>
      <c r="C37" s="3059" t="s">
        <v>3493</v>
      </c>
      <c r="D37" s="3059"/>
      <c r="E37" s="3059"/>
      <c r="F37" s="3059"/>
      <c r="G37" s="3059"/>
      <c r="H37" s="380"/>
      <c r="I37" s="380"/>
      <c r="J37" s="381"/>
      <c r="K37" s="3186"/>
      <c r="L37" s="3186"/>
      <c r="M37" s="3186"/>
      <c r="AB37" s="2143"/>
    </row>
    <row r="38" spans="1:28" ht="15" thickBot="1" x14ac:dyDescent="0.4">
      <c r="A38" s="2129"/>
      <c r="B38" s="1234"/>
      <c r="C38" s="642" t="s">
        <v>3494</v>
      </c>
      <c r="D38" s="161"/>
      <c r="E38" s="161"/>
      <c r="F38" s="161"/>
      <c r="G38" s="161"/>
      <c r="H38" s="161"/>
      <c r="I38" s="161"/>
      <c r="J38" s="163"/>
      <c r="K38" s="3186"/>
      <c r="L38" s="3186"/>
      <c r="M38" s="3186"/>
    </row>
    <row r="39" spans="1:28" ht="24.5" x14ac:dyDescent="0.35">
      <c r="A39" s="2128" t="s">
        <v>3462</v>
      </c>
      <c r="B39" s="2130" t="s">
        <v>3601</v>
      </c>
      <c r="C39" s="3059" t="s">
        <v>3495</v>
      </c>
      <c r="D39" s="3059"/>
      <c r="E39" s="3059"/>
      <c r="F39" s="3059"/>
      <c r="G39" s="3059"/>
      <c r="H39" s="380"/>
      <c r="I39" s="380"/>
      <c r="J39" s="381"/>
      <c r="K39" s="3186"/>
      <c r="L39" s="3186"/>
      <c r="M39" s="3186"/>
    </row>
    <row r="40" spans="1:28" ht="15" thickBot="1" x14ac:dyDescent="0.4">
      <c r="A40" s="2129"/>
      <c r="B40" s="1234"/>
      <c r="C40" s="642" t="s">
        <v>3602</v>
      </c>
      <c r="D40" s="161"/>
      <c r="E40" s="161"/>
      <c r="F40" s="161"/>
      <c r="G40" s="161"/>
      <c r="H40" s="161"/>
      <c r="I40" s="161"/>
      <c r="J40" s="163"/>
      <c r="K40" s="3186"/>
      <c r="L40" s="3186"/>
      <c r="M40" s="3186"/>
    </row>
    <row r="41" spans="1:28" x14ac:dyDescent="0.35">
      <c r="A41" s="2128" t="s">
        <v>3421</v>
      </c>
      <c r="B41" s="643"/>
      <c r="C41" s="641" t="s">
        <v>3497</v>
      </c>
      <c r="D41" s="380"/>
      <c r="E41" s="380"/>
      <c r="F41" s="380"/>
      <c r="G41" s="380"/>
      <c r="H41" s="380"/>
      <c r="I41" s="380"/>
      <c r="J41" s="381"/>
      <c r="K41" s="3186"/>
      <c r="L41" s="3186"/>
      <c r="M41" s="3186"/>
    </row>
    <row r="42" spans="1:28" ht="15" thickBot="1" x14ac:dyDescent="0.4">
      <c r="A42" s="2129"/>
      <c r="B42" s="1234"/>
      <c r="C42" s="642" t="s">
        <v>3498</v>
      </c>
      <c r="D42" s="161"/>
      <c r="E42" s="161"/>
      <c r="F42" s="161"/>
      <c r="G42" s="161"/>
      <c r="H42" s="161"/>
      <c r="I42" s="161"/>
      <c r="J42" s="163"/>
      <c r="K42" s="3186"/>
      <c r="L42" s="3186"/>
      <c r="M42" s="3186"/>
    </row>
    <row r="43" spans="1:28" x14ac:dyDescent="0.35">
      <c r="A43" s="2866" t="s">
        <v>3603</v>
      </c>
      <c r="B43" s="643" t="s">
        <v>3601</v>
      </c>
      <c r="C43" s="641" t="s">
        <v>3499</v>
      </c>
      <c r="D43" s="380"/>
      <c r="E43" s="380"/>
      <c r="F43" s="380"/>
      <c r="G43" s="380"/>
      <c r="H43" s="380"/>
      <c r="I43" s="380"/>
      <c r="J43" s="381"/>
      <c r="K43" s="3186"/>
      <c r="L43" s="3186"/>
      <c r="M43" s="3186"/>
    </row>
    <row r="44" spans="1:28" x14ac:dyDescent="0.35">
      <c r="A44" s="2867" t="s">
        <v>3604</v>
      </c>
      <c r="B44" s="161" t="s">
        <v>3601</v>
      </c>
      <c r="C44" s="642" t="s">
        <v>3605</v>
      </c>
      <c r="D44" s="161"/>
      <c r="E44" s="161"/>
      <c r="F44" s="161"/>
      <c r="G44" s="161"/>
      <c r="H44" s="161"/>
      <c r="I44" s="161"/>
      <c r="J44" s="163"/>
      <c r="K44" s="3186"/>
      <c r="L44" s="3186"/>
      <c r="M44" s="3186"/>
    </row>
    <row r="45" spans="1:28" x14ac:dyDescent="0.35">
      <c r="A45" s="2128" t="s">
        <v>3210</v>
      </c>
      <c r="B45" s="2131">
        <v>3.1399999999999997E-2</v>
      </c>
      <c r="C45" s="641" t="s">
        <v>3289</v>
      </c>
      <c r="D45" s="380"/>
      <c r="E45" s="380"/>
      <c r="F45" s="380"/>
      <c r="G45" s="380"/>
      <c r="H45" s="380"/>
      <c r="I45" s="380"/>
      <c r="J45" s="381"/>
      <c r="K45" s="3186"/>
      <c r="L45" s="3186"/>
      <c r="M45" s="3186"/>
    </row>
    <row r="46" spans="1:28" ht="15" thickBot="1" x14ac:dyDescent="0.4">
      <c r="A46" s="261"/>
      <c r="B46" s="161"/>
      <c r="C46" s="642" t="s">
        <v>3496</v>
      </c>
      <c r="D46" s="161"/>
      <c r="E46" s="161"/>
      <c r="F46" s="161"/>
      <c r="G46" s="161"/>
      <c r="H46" s="161"/>
      <c r="I46" s="161"/>
      <c r="J46" s="163"/>
      <c r="K46" s="3186"/>
      <c r="L46" s="3186"/>
      <c r="M46" s="3186"/>
    </row>
    <row r="47" spans="1:28" x14ac:dyDescent="0.35">
      <c r="A47" s="2128" t="s">
        <v>3464</v>
      </c>
      <c r="B47" s="643"/>
      <c r="C47" s="641" t="s">
        <v>3501</v>
      </c>
      <c r="D47" s="380"/>
      <c r="E47" s="380"/>
      <c r="F47" s="380"/>
      <c r="G47" s="380"/>
      <c r="H47" s="380"/>
      <c r="I47" s="380"/>
      <c r="J47" s="381"/>
      <c r="K47" s="3186"/>
      <c r="L47" s="3186"/>
      <c r="M47" s="3186"/>
    </row>
    <row r="48" spans="1:28" ht="15" thickBot="1" x14ac:dyDescent="0.4">
      <c r="A48" s="261"/>
      <c r="B48" s="161"/>
      <c r="C48" s="642" t="s">
        <v>3502</v>
      </c>
      <c r="D48" s="161"/>
      <c r="E48" s="161"/>
      <c r="F48" s="161"/>
      <c r="G48" s="161"/>
      <c r="H48" s="161"/>
      <c r="I48" s="161"/>
      <c r="J48" s="163"/>
      <c r="K48" s="3186"/>
      <c r="L48" s="3186"/>
      <c r="M48" s="3186"/>
    </row>
    <row r="49" spans="1:13" ht="24.5" x14ac:dyDescent="0.35">
      <c r="A49" s="2128" t="s">
        <v>3465</v>
      </c>
      <c r="B49" s="2132"/>
      <c r="C49" s="3059" t="s">
        <v>3503</v>
      </c>
      <c r="D49" s="3059"/>
      <c r="E49" s="3059"/>
      <c r="F49" s="3059"/>
      <c r="G49" s="3059"/>
      <c r="H49" s="380"/>
      <c r="I49" s="380"/>
      <c r="J49" s="381"/>
      <c r="K49" s="3186"/>
      <c r="L49" s="3186"/>
      <c r="M49" s="3186"/>
    </row>
    <row r="50" spans="1:13" ht="15" thickBot="1" x14ac:dyDescent="0.4">
      <c r="A50" s="2129"/>
      <c r="B50" s="1234"/>
      <c r="C50" s="642" t="s">
        <v>3492</v>
      </c>
      <c r="D50" s="161"/>
      <c r="E50" s="161"/>
      <c r="F50" s="161"/>
      <c r="G50" s="161"/>
      <c r="H50" s="161"/>
      <c r="I50" s="161"/>
      <c r="J50" s="163"/>
      <c r="K50" s="3186"/>
      <c r="L50" s="3186"/>
      <c r="M50" s="3186"/>
    </row>
    <row r="51" spans="1:13" x14ac:dyDescent="0.35">
      <c r="A51" s="2128" t="s">
        <v>3564</v>
      </c>
      <c r="B51" s="673"/>
      <c r="C51" s="641" t="s">
        <v>3606</v>
      </c>
      <c r="D51" s="380"/>
      <c r="E51" s="380"/>
      <c r="F51" s="380"/>
      <c r="G51" s="380"/>
      <c r="H51" s="380"/>
      <c r="I51" s="380"/>
      <c r="J51" s="381"/>
      <c r="K51" s="3186"/>
      <c r="L51" s="3186"/>
      <c r="M51" s="3186"/>
    </row>
    <row r="52" spans="1:13" ht="15" thickBot="1" x14ac:dyDescent="0.4">
      <c r="A52" s="2129"/>
      <c r="B52" s="499"/>
      <c r="C52" s="642" t="s">
        <v>3607</v>
      </c>
      <c r="D52" s="161"/>
      <c r="E52" s="161"/>
      <c r="F52" s="161"/>
      <c r="G52" s="161"/>
      <c r="H52" s="161"/>
      <c r="I52" s="161"/>
      <c r="J52" s="163"/>
      <c r="K52" s="3186"/>
      <c r="L52" s="3186"/>
      <c r="M52" s="3186"/>
    </row>
    <row r="53" spans="1:13" x14ac:dyDescent="0.35">
      <c r="A53" s="2128" t="s">
        <v>3565</v>
      </c>
      <c r="B53" s="673"/>
      <c r="C53" s="641" t="s">
        <v>3608</v>
      </c>
      <c r="D53" s="380"/>
      <c r="E53" s="380"/>
      <c r="F53" s="380"/>
      <c r="G53" s="380"/>
      <c r="H53" s="380"/>
      <c r="I53" s="380"/>
      <c r="J53" s="381"/>
      <c r="K53" s="3186"/>
      <c r="L53" s="3186"/>
      <c r="M53" s="3186"/>
    </row>
    <row r="54" spans="1:13" ht="15" thickBot="1" x14ac:dyDescent="0.4">
      <c r="A54" s="2129"/>
      <c r="B54" s="499"/>
      <c r="C54" s="642" t="s">
        <v>3609</v>
      </c>
      <c r="D54" s="161"/>
      <c r="E54" s="161"/>
      <c r="F54" s="161"/>
      <c r="G54" s="161"/>
      <c r="H54" s="161"/>
      <c r="I54" s="161"/>
      <c r="J54" s="163"/>
      <c r="K54" s="3186"/>
      <c r="L54" s="3186"/>
      <c r="M54" s="3186"/>
    </row>
    <row r="55" spans="1:13" x14ac:dyDescent="0.35">
      <c r="A55" s="2128" t="s">
        <v>3566</v>
      </c>
      <c r="B55" s="673"/>
      <c r="C55" s="641" t="s">
        <v>3610</v>
      </c>
      <c r="D55" s="380"/>
      <c r="E55" s="380"/>
      <c r="F55" s="380"/>
      <c r="G55" s="380"/>
      <c r="H55" s="380"/>
      <c r="I55" s="380"/>
      <c r="J55" s="381"/>
      <c r="K55" s="3186"/>
      <c r="L55" s="3186"/>
      <c r="M55" s="3186"/>
    </row>
    <row r="56" spans="1:13" ht="15" thickBot="1" x14ac:dyDescent="0.4">
      <c r="A56" s="2129"/>
      <c r="B56" s="499"/>
      <c r="C56" s="642" t="s">
        <v>3611</v>
      </c>
      <c r="D56" s="161"/>
      <c r="E56" s="161"/>
      <c r="F56" s="161"/>
      <c r="G56" s="161"/>
      <c r="H56" s="161"/>
      <c r="I56" s="161"/>
      <c r="J56" s="163"/>
      <c r="K56" s="3186"/>
      <c r="L56" s="3186"/>
      <c r="M56" s="3186"/>
    </row>
    <row r="57" spans="1:13" x14ac:dyDescent="0.35">
      <c r="A57" s="2128" t="s">
        <v>3567</v>
      </c>
      <c r="B57" s="673"/>
      <c r="C57" s="641" t="s">
        <v>3612</v>
      </c>
      <c r="D57" s="380"/>
      <c r="E57" s="380"/>
      <c r="F57" s="380"/>
      <c r="G57" s="380"/>
      <c r="H57" s="380"/>
      <c r="I57" s="380"/>
      <c r="J57" s="381"/>
      <c r="K57" s="3186"/>
      <c r="L57" s="3186"/>
      <c r="M57" s="3186"/>
    </row>
    <row r="58" spans="1:13" ht="15" thickBot="1" x14ac:dyDescent="0.4">
      <c r="A58" s="2129"/>
      <c r="B58" s="499"/>
      <c r="C58" s="642" t="s">
        <v>3613</v>
      </c>
      <c r="D58" s="161"/>
      <c r="E58" s="161"/>
      <c r="F58" s="161"/>
      <c r="G58" s="161"/>
      <c r="H58" s="161"/>
      <c r="I58" s="161"/>
      <c r="J58" s="163"/>
      <c r="K58" s="3186"/>
      <c r="L58" s="3186"/>
      <c r="M58" s="3186"/>
    </row>
    <row r="59" spans="1:13" ht="24.5" x14ac:dyDescent="0.35">
      <c r="A59" s="2128" t="s">
        <v>3568</v>
      </c>
      <c r="B59" s="2130">
        <v>8.4000000000000005E-2</v>
      </c>
      <c r="C59" s="641" t="s">
        <v>3614</v>
      </c>
      <c r="D59" s="380"/>
      <c r="E59" s="380"/>
      <c r="F59" s="380"/>
      <c r="G59" s="380"/>
      <c r="H59" s="380"/>
      <c r="I59" s="380"/>
      <c r="J59" s="381"/>
      <c r="K59" s="3186"/>
      <c r="L59" s="3186"/>
      <c r="M59" s="3186"/>
    </row>
    <row r="60" spans="1:13" ht="15" thickBot="1" x14ac:dyDescent="0.4">
      <c r="A60" s="2129"/>
      <c r="B60" s="499"/>
      <c r="C60" s="642" t="s">
        <v>3615</v>
      </c>
      <c r="D60" s="161"/>
      <c r="E60" s="161"/>
      <c r="F60" s="161"/>
      <c r="G60" s="161"/>
      <c r="H60" s="161"/>
      <c r="I60" s="161"/>
      <c r="J60" s="163"/>
      <c r="K60" s="3186"/>
      <c r="L60" s="3186"/>
      <c r="M60" s="3186"/>
    </row>
    <row r="61" spans="1:13" ht="24.5" x14ac:dyDescent="0.35">
      <c r="A61" s="2128" t="s">
        <v>3616</v>
      </c>
      <c r="B61" s="673">
        <v>1000</v>
      </c>
      <c r="C61" s="641" t="s">
        <v>3571</v>
      </c>
      <c r="D61" s="380"/>
      <c r="E61" s="380"/>
      <c r="F61" s="380"/>
      <c r="G61" s="380"/>
      <c r="H61" s="380"/>
      <c r="I61" s="380"/>
      <c r="J61" s="381"/>
      <c r="K61" s="3186"/>
      <c r="L61" s="3186"/>
      <c r="M61" s="3186"/>
    </row>
    <row r="62" spans="1:13" ht="15" thickBot="1" x14ac:dyDescent="0.4">
      <c r="A62" s="2129"/>
      <c r="B62" s="2133">
        <v>29.3</v>
      </c>
      <c r="C62" s="642" t="s">
        <v>3617</v>
      </c>
      <c r="D62" s="161"/>
      <c r="E62" s="161"/>
      <c r="F62" s="161"/>
      <c r="G62" s="161"/>
      <c r="H62" s="161"/>
      <c r="I62" s="161"/>
      <c r="J62" s="163"/>
      <c r="K62" s="3186"/>
      <c r="L62" s="3186"/>
      <c r="M62" s="3186"/>
    </row>
    <row r="63" spans="1:13" x14ac:dyDescent="0.35">
      <c r="A63" s="379" t="s">
        <v>1083</v>
      </c>
      <c r="B63" s="380">
        <v>11</v>
      </c>
      <c r="C63" s="2998" t="s">
        <v>3618</v>
      </c>
      <c r="D63" s="2998"/>
      <c r="E63" s="2998"/>
      <c r="F63" s="2998"/>
      <c r="G63" s="2998"/>
      <c r="H63" s="2998"/>
      <c r="I63" s="2998"/>
      <c r="J63" s="381"/>
      <c r="K63" s="3186"/>
      <c r="L63" s="3186"/>
      <c r="M63" s="3186"/>
    </row>
    <row r="64" spans="1:13" ht="15" thickBot="1" x14ac:dyDescent="0.4">
      <c r="A64" s="261"/>
      <c r="B64" s="161"/>
      <c r="C64" s="642" t="s">
        <v>3505</v>
      </c>
      <c r="D64" s="161"/>
      <c r="E64" s="161"/>
      <c r="F64" s="161"/>
      <c r="G64" s="161"/>
      <c r="H64" s="161"/>
      <c r="I64" s="161"/>
      <c r="J64" s="163"/>
      <c r="K64" s="3186"/>
      <c r="L64" s="3186"/>
      <c r="M64" s="3186"/>
    </row>
    <row r="65" spans="1:13" x14ac:dyDescent="0.35">
      <c r="A65" s="379" t="s">
        <v>1040</v>
      </c>
      <c r="B65" s="1119"/>
      <c r="C65" s="2998"/>
      <c r="D65" s="2998"/>
      <c r="E65" s="2998"/>
      <c r="F65" s="2998"/>
      <c r="G65" s="2998"/>
      <c r="H65" s="2998"/>
      <c r="I65" s="2998"/>
      <c r="J65" s="381"/>
      <c r="K65" s="3186"/>
      <c r="L65" s="3186"/>
      <c r="M65" s="3186"/>
    </row>
    <row r="66" spans="1:13" x14ac:dyDescent="0.35">
      <c r="A66" s="99"/>
      <c r="B66" s="69"/>
      <c r="C66" s="1204"/>
      <c r="D66" s="1366"/>
      <c r="E66" s="1366"/>
      <c r="F66" s="1366"/>
      <c r="G66" s="1366"/>
      <c r="H66" s="1366"/>
      <c r="I66" s="1366"/>
      <c r="J66" s="100"/>
      <c r="K66" s="3186"/>
      <c r="L66" s="3186"/>
      <c r="M66" s="3186"/>
    </row>
    <row r="67" spans="1:13" ht="15" thickBot="1" x14ac:dyDescent="0.4">
      <c r="A67" s="261"/>
      <c r="B67" s="161"/>
      <c r="C67" s="161"/>
      <c r="D67" s="161"/>
      <c r="E67" s="161"/>
      <c r="F67" s="161"/>
      <c r="G67" s="161"/>
      <c r="H67" s="161"/>
      <c r="I67" s="161"/>
      <c r="J67" s="163"/>
      <c r="K67" s="1415"/>
      <c r="L67" s="1415"/>
      <c r="M67" s="1415"/>
    </row>
    <row r="68" spans="1:13" x14ac:dyDescent="0.35">
      <c r="A68" s="379" t="s">
        <v>3619</v>
      </c>
      <c r="B68" s="380"/>
      <c r="C68" s="380"/>
      <c r="D68" s="380"/>
      <c r="E68" s="380"/>
      <c r="F68" s="380"/>
      <c r="G68" s="380"/>
      <c r="H68" s="380"/>
      <c r="I68" s="380"/>
      <c r="J68" s="381"/>
      <c r="L68" s="3186"/>
    </row>
    <row r="69" spans="1:13" x14ac:dyDescent="0.35">
      <c r="A69" s="99"/>
      <c r="B69" s="69"/>
      <c r="C69" s="69"/>
      <c r="D69" s="69"/>
      <c r="E69" s="69"/>
      <c r="F69" s="69"/>
      <c r="G69" s="69"/>
      <c r="H69" s="69"/>
      <c r="I69" s="69"/>
      <c r="J69" s="100"/>
      <c r="L69" s="3186"/>
    </row>
    <row r="70" spans="1:13" ht="15" thickBot="1" x14ac:dyDescent="0.4">
      <c r="A70" s="261"/>
      <c r="B70" s="161"/>
      <c r="C70" s="161"/>
      <c r="D70" s="161"/>
      <c r="E70" s="161"/>
      <c r="F70" s="161"/>
      <c r="G70" s="161"/>
      <c r="H70" s="161"/>
      <c r="I70" s="161"/>
      <c r="J70" s="163"/>
      <c r="L70" s="3186"/>
    </row>
    <row r="71" spans="1:13" ht="15" thickBot="1" x14ac:dyDescent="0.4"/>
    <row r="72" spans="1:13" ht="15" thickBot="1" x14ac:dyDescent="0.4">
      <c r="A72" s="97" t="s">
        <v>1129</v>
      </c>
      <c r="B72" s="98"/>
      <c r="C72" s="64"/>
      <c r="D72" s="64"/>
      <c r="E72" s="64"/>
      <c r="F72" s="64"/>
      <c r="G72" s="64"/>
      <c r="H72" s="64"/>
      <c r="I72" s="64"/>
      <c r="J72" s="65"/>
    </row>
    <row r="73" spans="1:13" x14ac:dyDescent="0.35">
      <c r="A73" s="99"/>
      <c r="B73" s="69"/>
      <c r="C73" s="69"/>
      <c r="D73" s="69"/>
      <c r="E73" s="69"/>
      <c r="F73" s="69"/>
      <c r="G73" s="69"/>
      <c r="H73" s="69"/>
      <c r="I73" s="69"/>
      <c r="J73" s="100"/>
    </row>
    <row r="74" spans="1:13" ht="30" customHeight="1" x14ac:dyDescent="0.35">
      <c r="A74" s="99"/>
      <c r="B74" s="56" t="s">
        <v>1568</v>
      </c>
      <c r="C74" s="56" t="s">
        <v>3506</v>
      </c>
      <c r="D74" s="56" t="s">
        <v>3507</v>
      </c>
      <c r="E74" s="69"/>
      <c r="F74" s="69"/>
      <c r="G74" s="56" t="s">
        <v>2890</v>
      </c>
      <c r="H74" s="56" t="s">
        <v>1083</v>
      </c>
      <c r="I74" s="69"/>
      <c r="J74" s="100"/>
    </row>
    <row r="75" spans="1:13" x14ac:dyDescent="0.35">
      <c r="A75" s="99"/>
      <c r="B75" s="101" t="s">
        <v>1566</v>
      </c>
      <c r="C75" s="102">
        <v>1</v>
      </c>
      <c r="D75" s="102">
        <v>0</v>
      </c>
      <c r="E75" s="69"/>
      <c r="F75" s="69"/>
      <c r="G75" s="49" t="s">
        <v>2829</v>
      </c>
      <c r="H75" s="49">
        <v>5</v>
      </c>
      <c r="I75" s="69"/>
      <c r="J75" s="100"/>
    </row>
    <row r="76" spans="1:13" x14ac:dyDescent="0.35">
      <c r="A76" s="99"/>
      <c r="B76" s="101" t="s">
        <v>1529</v>
      </c>
      <c r="C76" s="102">
        <v>0</v>
      </c>
      <c r="D76" s="102">
        <v>1</v>
      </c>
      <c r="E76" s="69"/>
      <c r="F76" s="69"/>
      <c r="G76" s="49" t="s">
        <v>2891</v>
      </c>
      <c r="H76" s="49">
        <v>2</v>
      </c>
      <c r="I76" s="69"/>
      <c r="J76" s="100"/>
    </row>
    <row r="77" spans="1:13" x14ac:dyDescent="0.35">
      <c r="A77" s="99"/>
      <c r="B77" s="101" t="s">
        <v>1185</v>
      </c>
      <c r="C77" s="102">
        <v>0.03</v>
      </c>
      <c r="D77" s="2702">
        <v>0.97</v>
      </c>
      <c r="E77" s="69"/>
      <c r="F77" s="69"/>
      <c r="G77" s="69"/>
      <c r="H77" s="69"/>
      <c r="I77" s="69"/>
      <c r="J77" s="100"/>
    </row>
    <row r="78" spans="1:13" x14ac:dyDescent="0.35">
      <c r="A78" s="99"/>
      <c r="B78" s="69"/>
      <c r="C78" s="69"/>
      <c r="D78" s="69"/>
      <c r="E78" s="69"/>
      <c r="F78" s="69"/>
      <c r="G78" s="69"/>
      <c r="H78" s="69"/>
      <c r="I78" s="69"/>
      <c r="J78" s="100"/>
    </row>
    <row r="79" spans="1:13" x14ac:dyDescent="0.35">
      <c r="A79" s="99"/>
      <c r="B79" s="69"/>
      <c r="C79" s="69"/>
      <c r="D79" s="69"/>
      <c r="E79" s="69"/>
      <c r="F79" s="69"/>
      <c r="G79" s="69"/>
      <c r="H79" s="69"/>
      <c r="I79" s="69"/>
      <c r="J79" s="100"/>
    </row>
    <row r="80" spans="1:13" x14ac:dyDescent="0.35">
      <c r="A80" s="99"/>
      <c r="B80" s="69"/>
      <c r="C80" s="69"/>
      <c r="D80" s="69"/>
      <c r="E80" s="69"/>
      <c r="F80" s="69"/>
      <c r="G80" s="69"/>
      <c r="H80" s="69"/>
      <c r="I80" s="69"/>
      <c r="J80" s="100"/>
      <c r="K80" s="103"/>
    </row>
    <row r="81" spans="1:10" ht="52" x14ac:dyDescent="0.35">
      <c r="A81" s="99"/>
      <c r="B81" s="56" t="s">
        <v>1684</v>
      </c>
      <c r="C81" s="56" t="s">
        <v>3508</v>
      </c>
      <c r="D81" s="56" t="s">
        <v>3508</v>
      </c>
      <c r="E81" s="56" t="s">
        <v>3509</v>
      </c>
      <c r="F81" s="69"/>
      <c r="G81" s="56" t="s">
        <v>3620</v>
      </c>
      <c r="H81" s="56"/>
      <c r="I81" s="104"/>
      <c r="J81" s="105"/>
    </row>
    <row r="82" spans="1:10" x14ac:dyDescent="0.35">
      <c r="A82" s="99"/>
      <c r="B82" s="106" t="s">
        <v>1705</v>
      </c>
      <c r="C82" s="107">
        <v>21748</v>
      </c>
      <c r="D82" s="108">
        <v>12793</v>
      </c>
      <c r="E82" s="109">
        <v>1052</v>
      </c>
      <c r="F82" s="69"/>
      <c r="G82" s="49" t="s">
        <v>3068</v>
      </c>
      <c r="H82" s="61">
        <v>0.3</v>
      </c>
      <c r="I82" s="69"/>
      <c r="J82" s="100"/>
    </row>
    <row r="83" spans="1:10" x14ac:dyDescent="0.35">
      <c r="A83" s="99"/>
      <c r="B83" s="106" t="s">
        <v>1691</v>
      </c>
      <c r="C83" s="107">
        <v>20778</v>
      </c>
      <c r="D83" s="108">
        <v>12222</v>
      </c>
      <c r="E83" s="109">
        <v>1005</v>
      </c>
      <c r="F83" s="69"/>
      <c r="G83" s="49" t="s">
        <v>2389</v>
      </c>
      <c r="H83" s="61">
        <v>0.6</v>
      </c>
      <c r="I83" s="69"/>
      <c r="J83" s="100"/>
    </row>
    <row r="84" spans="1:10" x14ac:dyDescent="0.35">
      <c r="A84" s="99"/>
      <c r="B84" s="106" t="s">
        <v>1706</v>
      </c>
      <c r="C84" s="107">
        <v>17794</v>
      </c>
      <c r="D84" s="108">
        <v>10467</v>
      </c>
      <c r="E84" s="109">
        <v>861</v>
      </c>
      <c r="F84" s="69"/>
      <c r="G84" s="49" t="s">
        <v>2390</v>
      </c>
      <c r="H84" s="61">
        <v>0.1</v>
      </c>
      <c r="I84" s="69"/>
      <c r="J84" s="110"/>
    </row>
    <row r="85" spans="1:10" x14ac:dyDescent="0.35">
      <c r="A85" s="99"/>
      <c r="B85" s="106" t="s">
        <v>1707</v>
      </c>
      <c r="C85" s="107">
        <v>13726</v>
      </c>
      <c r="D85" s="108">
        <v>8074</v>
      </c>
      <c r="E85" s="109">
        <v>664</v>
      </c>
      <c r="F85" s="69"/>
      <c r="G85" s="69"/>
      <c r="H85" s="69"/>
      <c r="I85" s="69"/>
      <c r="J85" s="100"/>
    </row>
    <row r="86" spans="1:10" x14ac:dyDescent="0.35">
      <c r="A86" s="99"/>
      <c r="B86" s="106" t="s">
        <v>1708</v>
      </c>
      <c r="C86" s="107">
        <v>13970</v>
      </c>
      <c r="D86" s="108">
        <v>8218</v>
      </c>
      <c r="E86" s="109">
        <v>676</v>
      </c>
      <c r="F86" s="69"/>
      <c r="G86" s="69"/>
      <c r="H86" s="69"/>
      <c r="I86" s="69"/>
      <c r="J86" s="100"/>
    </row>
    <row r="87" spans="1:10" x14ac:dyDescent="0.35">
      <c r="A87" s="99"/>
      <c r="B87" s="106" t="s">
        <v>1185</v>
      </c>
      <c r="C87" s="107">
        <v>19749</v>
      </c>
      <c r="D87" s="108">
        <v>11617</v>
      </c>
      <c r="E87" s="109">
        <v>955</v>
      </c>
      <c r="F87" s="69"/>
      <c r="G87" s="69"/>
      <c r="H87" s="69"/>
      <c r="I87" s="104"/>
      <c r="J87" s="100"/>
    </row>
    <row r="88" spans="1:10" x14ac:dyDescent="0.35">
      <c r="A88" s="99"/>
      <c r="B88" s="106" t="s">
        <v>2976</v>
      </c>
      <c r="C88" s="107">
        <f>C82*$H$82+C83*$H$83+C84*$H$84</f>
        <v>20770.599999999999</v>
      </c>
      <c r="D88" s="108">
        <f>D82*$H$82+D83*$H$83+D84*$H$84</f>
        <v>12217.8</v>
      </c>
      <c r="E88" s="109">
        <f>E82*$H$82+E83*$H$83+E84*$H$84</f>
        <v>1004.6999999999999</v>
      </c>
      <c r="F88" s="69"/>
      <c r="G88" s="3073" t="s">
        <v>1040</v>
      </c>
      <c r="H88" s="3139"/>
      <c r="I88" s="3074"/>
      <c r="J88" s="100"/>
    </row>
    <row r="89" spans="1:10" ht="26" x14ac:dyDescent="0.35">
      <c r="A89" s="99"/>
      <c r="B89" s="69"/>
      <c r="C89" s="69"/>
      <c r="D89" s="69"/>
      <c r="E89" s="69"/>
      <c r="F89" s="69"/>
      <c r="G89" s="56"/>
      <c r="H89" s="56" t="s">
        <v>2829</v>
      </c>
      <c r="I89" s="56" t="s">
        <v>2891</v>
      </c>
      <c r="J89" s="100"/>
    </row>
    <row r="90" spans="1:10" x14ac:dyDescent="0.35">
      <c r="A90" s="99"/>
      <c r="B90" s="56" t="s">
        <v>3324</v>
      </c>
      <c r="C90" s="56" t="s">
        <v>3421</v>
      </c>
      <c r="D90" s="69"/>
      <c r="E90" s="69"/>
      <c r="F90" s="69"/>
      <c r="G90" s="49" t="s">
        <v>1631</v>
      </c>
      <c r="H90" s="49">
        <v>30</v>
      </c>
      <c r="I90" s="49">
        <v>10</v>
      </c>
      <c r="J90" s="100"/>
    </row>
    <row r="91" spans="1:10" x14ac:dyDescent="0.35">
      <c r="A91" s="99"/>
      <c r="B91" s="101" t="s">
        <v>3318</v>
      </c>
      <c r="C91" s="102">
        <v>1</v>
      </c>
      <c r="D91" s="69"/>
      <c r="E91" s="69"/>
      <c r="F91" s="69"/>
      <c r="G91" s="49" t="s">
        <v>3467</v>
      </c>
      <c r="H91" s="49">
        <v>55</v>
      </c>
      <c r="I91" s="49">
        <v>25</v>
      </c>
      <c r="J91" s="100"/>
    </row>
    <row r="92" spans="1:10" x14ac:dyDescent="0.35">
      <c r="A92" s="99"/>
      <c r="B92" s="101" t="s">
        <v>3510</v>
      </c>
      <c r="C92" s="102">
        <v>0.83</v>
      </c>
      <c r="D92" s="69"/>
      <c r="E92" s="69"/>
      <c r="F92" s="69"/>
      <c r="G92" s="49"/>
      <c r="H92" s="49"/>
      <c r="I92" s="49"/>
      <c r="J92" s="100"/>
    </row>
    <row r="93" spans="1:10" x14ac:dyDescent="0.35">
      <c r="A93" s="99"/>
      <c r="B93" s="101" t="s">
        <v>2556</v>
      </c>
      <c r="C93" s="102">
        <v>0.65</v>
      </c>
      <c r="D93" s="69"/>
      <c r="E93" s="69"/>
      <c r="F93" s="69"/>
      <c r="G93" s="49" t="s">
        <v>3621</v>
      </c>
      <c r="H93" s="49">
        <v>55</v>
      </c>
      <c r="I93" s="49">
        <v>25</v>
      </c>
      <c r="J93" s="100"/>
    </row>
    <row r="94" spans="1:10" x14ac:dyDescent="0.35">
      <c r="A94" s="99"/>
      <c r="B94" s="101" t="s">
        <v>1940</v>
      </c>
      <c r="C94" s="2135" t="s">
        <v>105</v>
      </c>
      <c r="D94" s="69"/>
      <c r="E94" s="69"/>
      <c r="F94" s="69"/>
      <c r="G94" s="69"/>
      <c r="H94" s="69"/>
      <c r="I94" s="69"/>
      <c r="J94" s="100"/>
    </row>
    <row r="95" spans="1:10" x14ac:dyDescent="0.35">
      <c r="A95" s="99"/>
      <c r="B95" s="101" t="s">
        <v>1185</v>
      </c>
      <c r="C95" s="2134">
        <v>0.96499999999999997</v>
      </c>
      <c r="D95" s="69"/>
      <c r="E95" s="69"/>
      <c r="F95" s="69"/>
      <c r="G95" s="69"/>
      <c r="H95" s="69"/>
      <c r="I95" s="69"/>
      <c r="J95" s="100"/>
    </row>
    <row r="96" spans="1:10" x14ac:dyDescent="0.35">
      <c r="A96" s="99"/>
      <c r="B96" s="69"/>
      <c r="C96" s="69"/>
      <c r="D96" s="69"/>
      <c r="E96" s="69"/>
      <c r="F96" s="69"/>
      <c r="G96" s="69"/>
      <c r="H96" s="69"/>
      <c r="I96" s="69"/>
      <c r="J96" s="100"/>
    </row>
    <row r="97" spans="1:23" x14ac:dyDescent="0.35">
      <c r="A97" s="99"/>
      <c r="B97" s="3073" t="s">
        <v>3461</v>
      </c>
      <c r="C97" s="3139"/>
      <c r="D97" s="3074"/>
      <c r="E97" s="69"/>
      <c r="F97" s="69"/>
      <c r="G97" s="69"/>
      <c r="H97" s="69"/>
      <c r="I97" s="69"/>
      <c r="J97" s="100"/>
    </row>
    <row r="98" spans="1:23" x14ac:dyDescent="0.35">
      <c r="A98" s="99"/>
      <c r="B98" s="101" t="s">
        <v>3173</v>
      </c>
      <c r="C98" s="101" t="s">
        <v>3511</v>
      </c>
      <c r="D98" s="101" t="s">
        <v>1185</v>
      </c>
      <c r="E98" s="69"/>
      <c r="F98" s="69"/>
      <c r="G98" s="69"/>
      <c r="H98" s="69"/>
      <c r="I98" s="69"/>
      <c r="J98" s="100"/>
    </row>
    <row r="99" spans="1:23" x14ac:dyDescent="0.35">
      <c r="A99" s="99"/>
      <c r="B99" s="69"/>
      <c r="C99" s="69"/>
      <c r="D99" s="69"/>
      <c r="E99" s="69"/>
      <c r="F99" s="69"/>
      <c r="G99" s="69"/>
      <c r="H99" s="69"/>
      <c r="I99" s="69"/>
      <c r="J99" s="100"/>
    </row>
    <row r="100" spans="1:23" x14ac:dyDescent="0.35">
      <c r="A100" s="99"/>
      <c r="B100" s="69"/>
      <c r="C100" s="69"/>
      <c r="D100" s="69"/>
      <c r="E100" s="69"/>
      <c r="F100" s="69"/>
      <c r="G100" s="69"/>
      <c r="H100" s="69"/>
      <c r="I100" s="69"/>
      <c r="J100" s="100"/>
    </row>
    <row r="101" spans="1:23" ht="15" thickBot="1" x14ac:dyDescent="0.4">
      <c r="A101" s="99"/>
      <c r="B101" s="161"/>
      <c r="C101" s="161"/>
      <c r="D101" s="69"/>
      <c r="E101" s="69"/>
      <c r="F101" s="69"/>
      <c r="G101" s="69"/>
      <c r="H101" s="161"/>
      <c r="I101" s="161"/>
      <c r="J101" s="100"/>
    </row>
    <row r="102" spans="1:23" ht="26" x14ac:dyDescent="0.35">
      <c r="A102" s="70"/>
      <c r="B102" s="112" t="s">
        <v>3561</v>
      </c>
      <c r="C102" s="112" t="s">
        <v>3622</v>
      </c>
      <c r="D102" s="707"/>
      <c r="E102" s="69"/>
      <c r="F102" s="69"/>
      <c r="G102" s="69"/>
      <c r="H102" s="112" t="s">
        <v>3623</v>
      </c>
      <c r="I102" s="112" t="s">
        <v>3564</v>
      </c>
      <c r="J102" s="707"/>
    </row>
    <row r="103" spans="1:23" x14ac:dyDescent="0.35">
      <c r="A103" s="69"/>
      <c r="B103" s="101" t="s">
        <v>3577</v>
      </c>
      <c r="C103" s="2868">
        <v>0.10199999999999999</v>
      </c>
      <c r="D103" s="69"/>
      <c r="E103" s="69"/>
      <c r="F103" s="69"/>
      <c r="G103" s="69"/>
      <c r="H103" s="113" t="s">
        <v>3624</v>
      </c>
      <c r="I103" s="113">
        <v>1</v>
      </c>
      <c r="J103" s="69"/>
    </row>
    <row r="104" spans="1:23" x14ac:dyDescent="0.35">
      <c r="A104" s="69"/>
      <c r="B104" s="101" t="s">
        <v>3579</v>
      </c>
      <c r="C104" s="2868">
        <v>7.0999999999999994E-2</v>
      </c>
      <c r="D104" s="69"/>
      <c r="E104" s="69"/>
      <c r="F104" s="69"/>
      <c r="G104" s="69"/>
      <c r="H104" s="113" t="s">
        <v>3625</v>
      </c>
      <c r="I104" s="113">
        <v>0</v>
      </c>
      <c r="J104" s="69"/>
    </row>
    <row r="105" spans="1:23" ht="26" x14ac:dyDescent="0.35">
      <c r="A105" s="69"/>
      <c r="B105" s="101" t="s">
        <v>3583</v>
      </c>
      <c r="C105" s="2869">
        <v>8.5000000000000006E-2</v>
      </c>
      <c r="D105" s="69"/>
      <c r="E105" s="69"/>
      <c r="F105" s="69"/>
      <c r="G105" s="69"/>
      <c r="H105" s="113" t="s">
        <v>3578</v>
      </c>
      <c r="I105" s="113">
        <v>0.99</v>
      </c>
      <c r="J105" s="69"/>
    </row>
    <row r="106" spans="1:23" x14ac:dyDescent="0.35">
      <c r="A106" s="69"/>
      <c r="B106" s="2136"/>
      <c r="C106" s="69"/>
      <c r="D106" s="69"/>
      <c r="E106" s="69"/>
      <c r="F106" s="69"/>
      <c r="G106" s="69"/>
      <c r="H106" s="113" t="s">
        <v>3626</v>
      </c>
      <c r="I106" s="113">
        <v>0.82499999999999996</v>
      </c>
      <c r="J106" s="69"/>
    </row>
    <row r="107" spans="1:23" x14ac:dyDescent="0.35">
      <c r="A107" s="69"/>
      <c r="B107" s="2137"/>
      <c r="C107" s="69"/>
      <c r="D107" s="69"/>
      <c r="E107" s="2137"/>
      <c r="F107" s="69"/>
      <c r="G107" s="69"/>
      <c r="H107" s="113"/>
      <c r="I107" s="113"/>
      <c r="J107" s="69"/>
      <c r="K107" t="s">
        <v>3627</v>
      </c>
    </row>
    <row r="108" spans="1:23" ht="52" x14ac:dyDescent="0.35">
      <c r="A108" s="69"/>
      <c r="B108" s="112" t="s">
        <v>3518</v>
      </c>
      <c r="C108" s="112" t="s">
        <v>3628</v>
      </c>
      <c r="D108" s="112" t="s">
        <v>3628</v>
      </c>
      <c r="E108" s="112" t="s">
        <v>3629</v>
      </c>
      <c r="F108" s="69"/>
      <c r="G108" s="69"/>
      <c r="H108" s="69"/>
      <c r="I108" s="69"/>
      <c r="J108" s="69"/>
      <c r="K108" s="1647" t="s">
        <v>3630</v>
      </c>
      <c r="L108" t="s" vm="1">
        <v>3631</v>
      </c>
      <c r="N108" t="s">
        <v>3632</v>
      </c>
    </row>
    <row r="109" spans="1:23" x14ac:dyDescent="0.35">
      <c r="A109" s="69"/>
      <c r="B109" s="112" t="s">
        <v>3633</v>
      </c>
      <c r="C109" s="112" t="s">
        <v>3634</v>
      </c>
      <c r="D109" s="112" t="s">
        <v>3635</v>
      </c>
      <c r="E109" s="112"/>
      <c r="F109" s="69"/>
      <c r="G109" s="69"/>
      <c r="H109" s="69"/>
      <c r="I109" s="69"/>
      <c r="J109" s="69"/>
      <c r="K109" s="1647" t="s">
        <v>3323</v>
      </c>
      <c r="L109" t="s" vm="2">
        <v>3636</v>
      </c>
    </row>
    <row r="110" spans="1:23" x14ac:dyDescent="0.35">
      <c r="A110" s="69"/>
      <c r="B110" s="101" t="s">
        <v>1705</v>
      </c>
      <c r="C110" s="101">
        <v>512</v>
      </c>
      <c r="D110" s="101">
        <v>467</v>
      </c>
      <c r="E110" s="101">
        <v>243</v>
      </c>
      <c r="F110" s="69"/>
      <c r="G110" s="69"/>
      <c r="H110" s="69"/>
      <c r="I110" s="69"/>
      <c r="J110" s="69"/>
      <c r="O110" s="2108" t="s">
        <v>3637</v>
      </c>
    </row>
    <row r="111" spans="1:23" x14ac:dyDescent="0.35">
      <c r="A111" s="69"/>
      <c r="B111" s="101" t="s">
        <v>1691</v>
      </c>
      <c r="C111" s="101">
        <v>570</v>
      </c>
      <c r="D111" s="101">
        <v>506</v>
      </c>
      <c r="E111" s="101">
        <v>263</v>
      </c>
      <c r="F111" s="69"/>
      <c r="G111" s="69"/>
      <c r="H111" s="2136"/>
      <c r="I111" s="69"/>
      <c r="J111" s="69"/>
      <c r="K111" s="1647" t="s">
        <v>3638</v>
      </c>
      <c r="L111" s="1647" t="s">
        <v>3639</v>
      </c>
      <c r="M111" t="s">
        <v>3640</v>
      </c>
      <c r="N111" t="s">
        <v>3641</v>
      </c>
      <c r="O111" t="s">
        <v>3642</v>
      </c>
      <c r="P111" t="s">
        <v>3643</v>
      </c>
      <c r="Q111" t="s">
        <v>1355</v>
      </c>
      <c r="T111" t="s">
        <v>1044</v>
      </c>
      <c r="U111" t="s">
        <v>3644</v>
      </c>
    </row>
    <row r="112" spans="1:23" x14ac:dyDescent="0.35">
      <c r="A112" s="69"/>
      <c r="B112" s="101" t="s">
        <v>1706</v>
      </c>
      <c r="C112" s="101">
        <v>730</v>
      </c>
      <c r="D112" s="101">
        <v>663</v>
      </c>
      <c r="E112" s="101">
        <v>345</v>
      </c>
      <c r="F112" s="69"/>
      <c r="G112" s="69"/>
      <c r="H112" s="2136"/>
      <c r="I112" s="69"/>
      <c r="J112" s="69"/>
      <c r="K112" t="s">
        <v>3645</v>
      </c>
      <c r="L112" t="s">
        <v>3646</v>
      </c>
      <c r="M112">
        <v>331</v>
      </c>
      <c r="N112">
        <v>331</v>
      </c>
      <c r="O112" s="2109">
        <v>2.2164189098700951E-2</v>
      </c>
      <c r="P112" s="298">
        <f>S16</f>
        <v>66.611609999999999</v>
      </c>
      <c r="Q112" s="298">
        <f t="shared" ref="Q112:Q117" si="24">P112*N112</f>
        <v>22048.442909999998</v>
      </c>
      <c r="T112" s="298">
        <f>Q16</f>
        <v>0</v>
      </c>
      <c r="U112" s="298">
        <f t="shared" ref="U112:U117" si="25">N112*T112</f>
        <v>0</v>
      </c>
      <c r="W112" s="298"/>
    </row>
    <row r="113" spans="1:24" x14ac:dyDescent="0.35">
      <c r="A113" s="69"/>
      <c r="B113" s="101" t="s">
        <v>1707</v>
      </c>
      <c r="C113" s="101">
        <v>1035</v>
      </c>
      <c r="D113" s="101">
        <v>940</v>
      </c>
      <c r="E113" s="101">
        <v>489</v>
      </c>
      <c r="F113" s="69"/>
      <c r="G113" s="69"/>
      <c r="H113" s="69"/>
      <c r="I113" s="69"/>
      <c r="J113" s="69"/>
      <c r="L113" t="s">
        <v>3647</v>
      </c>
      <c r="M113">
        <v>5833</v>
      </c>
      <c r="N113">
        <v>5929</v>
      </c>
      <c r="O113" s="2109">
        <v>0.39701352618186686</v>
      </c>
      <c r="P113" s="298">
        <f>S4</f>
        <v>102.47939999999998</v>
      </c>
      <c r="Q113" s="298">
        <f t="shared" si="24"/>
        <v>607600.36259999988</v>
      </c>
      <c r="T113" s="298">
        <f>Q4</f>
        <v>0</v>
      </c>
      <c r="U113" s="298">
        <f t="shared" si="25"/>
        <v>0</v>
      </c>
      <c r="W113" s="298"/>
    </row>
    <row r="114" spans="1:24" x14ac:dyDescent="0.35">
      <c r="A114" s="69"/>
      <c r="B114" s="101" t="s">
        <v>1708</v>
      </c>
      <c r="C114" s="101">
        <v>903</v>
      </c>
      <c r="D114" s="101">
        <v>820</v>
      </c>
      <c r="E114" s="101">
        <v>426</v>
      </c>
      <c r="F114" s="69"/>
      <c r="G114" s="69"/>
      <c r="H114" s="69"/>
      <c r="I114" s="69"/>
      <c r="J114" s="69"/>
      <c r="K114" t="s">
        <v>3648</v>
      </c>
      <c r="L114" t="s">
        <v>3646</v>
      </c>
      <c r="M114">
        <v>415</v>
      </c>
      <c r="N114">
        <v>415</v>
      </c>
      <c r="O114" s="2109">
        <v>2.7788937993839562E-2</v>
      </c>
      <c r="P114" s="298">
        <f>S17</f>
        <v>46.366904999999996</v>
      </c>
      <c r="Q114" s="298">
        <f t="shared" si="24"/>
        <v>19242.265574999998</v>
      </c>
      <c r="T114" s="298">
        <f>Q17</f>
        <v>0</v>
      </c>
      <c r="U114" s="298">
        <f t="shared" si="25"/>
        <v>0</v>
      </c>
      <c r="W114" s="298"/>
    </row>
    <row r="115" spans="1:24" x14ac:dyDescent="0.35">
      <c r="A115" s="69"/>
      <c r="B115" s="101" t="s">
        <v>3649</v>
      </c>
      <c r="C115" s="101">
        <v>629</v>
      </c>
      <c r="D115" s="101">
        <v>564</v>
      </c>
      <c r="E115" s="101">
        <v>293</v>
      </c>
      <c r="F115" s="69"/>
      <c r="G115" s="69"/>
      <c r="H115" s="69"/>
      <c r="I115" s="69"/>
      <c r="J115" s="69"/>
      <c r="L115" t="s">
        <v>3647</v>
      </c>
      <c r="M115">
        <v>7737</v>
      </c>
      <c r="N115">
        <v>7847</v>
      </c>
      <c r="O115" s="2109">
        <v>0.52544529262086515</v>
      </c>
      <c r="P115" s="298">
        <f>S5</f>
        <v>71.333699999999993</v>
      </c>
      <c r="Q115" s="298">
        <f t="shared" si="24"/>
        <v>559755.54389999993</v>
      </c>
      <c r="T115" s="298">
        <f>Q5</f>
        <v>0</v>
      </c>
      <c r="U115" s="298">
        <f t="shared" si="25"/>
        <v>0</v>
      </c>
      <c r="W115" s="298"/>
    </row>
    <row r="116" spans="1:24" x14ac:dyDescent="0.35">
      <c r="A116" s="69"/>
      <c r="B116" s="101" t="s">
        <v>2976</v>
      </c>
      <c r="C116" s="101">
        <f>+C110*$H$82+C111*$H$83+C112*$H$84</f>
        <v>568.6</v>
      </c>
      <c r="D116" s="101">
        <f>+D110*$H$82+D111*$H$83+D112*$H$84</f>
        <v>509.99999999999994</v>
      </c>
      <c r="E116" s="101">
        <f>+E110*$H$82+E111*$H$83+E112*$H$84</f>
        <v>265.2</v>
      </c>
      <c r="F116" s="69"/>
      <c r="G116" s="69"/>
      <c r="H116" s="69"/>
      <c r="I116" s="69"/>
      <c r="J116" s="69"/>
      <c r="K116" t="s">
        <v>3650</v>
      </c>
      <c r="L116" t="s">
        <v>3646</v>
      </c>
      <c r="M116">
        <v>31</v>
      </c>
      <c r="N116">
        <v>31</v>
      </c>
      <c r="O116" s="2109">
        <v>2.0758001874916299E-3</v>
      </c>
      <c r="P116" s="298">
        <f>S18</f>
        <v>55.509675000000001</v>
      </c>
      <c r="Q116" s="298">
        <f t="shared" si="24"/>
        <v>1720.799925</v>
      </c>
      <c r="T116" s="298">
        <f>Q18</f>
        <v>0</v>
      </c>
      <c r="U116" s="298">
        <f t="shared" si="25"/>
        <v>0</v>
      </c>
      <c r="W116" s="298"/>
    </row>
    <row r="117" spans="1:24" ht="43.5" x14ac:dyDescent="0.35">
      <c r="A117" s="69"/>
      <c r="B117" s="69"/>
      <c r="C117" s="69"/>
      <c r="D117" s="69"/>
      <c r="E117" s="69"/>
      <c r="F117" s="69"/>
      <c r="G117" s="69"/>
      <c r="H117" s="69"/>
      <c r="I117" s="69"/>
      <c r="J117" s="69"/>
      <c r="L117" t="s">
        <v>3647</v>
      </c>
      <c r="M117">
        <v>381</v>
      </c>
      <c r="N117">
        <v>381</v>
      </c>
      <c r="O117" s="2109">
        <v>2.5512253917235838E-2</v>
      </c>
      <c r="P117" s="298">
        <f>S6</f>
        <v>85.399500000000003</v>
      </c>
      <c r="Q117" s="298">
        <f t="shared" si="24"/>
        <v>32537.209500000001</v>
      </c>
      <c r="R117" s="1973" t="s">
        <v>3651</v>
      </c>
      <c r="T117" s="298">
        <f>Q6</f>
        <v>0</v>
      </c>
      <c r="U117" s="298">
        <f t="shared" si="25"/>
        <v>0</v>
      </c>
      <c r="V117" s="1973" t="s">
        <v>3651</v>
      </c>
      <c r="W117" s="298"/>
      <c r="X117" s="199"/>
    </row>
    <row r="118" spans="1:24" x14ac:dyDescent="0.35">
      <c r="A118" s="69"/>
      <c r="B118" s="3316" t="s">
        <v>3652</v>
      </c>
      <c r="C118" s="3317"/>
      <c r="D118" s="69"/>
      <c r="E118" s="69"/>
      <c r="F118" s="69"/>
      <c r="G118" s="69"/>
      <c r="H118" s="69"/>
      <c r="I118" s="69"/>
      <c r="J118" s="69"/>
      <c r="K118" t="s">
        <v>3653</v>
      </c>
      <c r="M118">
        <v>14728</v>
      </c>
      <c r="N118">
        <v>14934</v>
      </c>
      <c r="O118" s="118">
        <v>1</v>
      </c>
      <c r="Q118" s="298">
        <f>SUM(Q112:Q117)</f>
        <v>1242904.6244099999</v>
      </c>
      <c r="R118" s="2110">
        <f>Q118/N118</f>
        <v>83.226504915628766</v>
      </c>
      <c r="U118" s="298">
        <f>SUM(U112:U117)</f>
        <v>0</v>
      </c>
      <c r="V118" s="2110">
        <f>U118/N118</f>
        <v>0</v>
      </c>
      <c r="X118" s="298"/>
    </row>
    <row r="119" spans="1:24" ht="26" x14ac:dyDescent="0.35">
      <c r="A119" s="69"/>
      <c r="B119" s="112" t="s">
        <v>3654</v>
      </c>
      <c r="C119" s="112" t="s">
        <v>3566</v>
      </c>
      <c r="D119" s="69"/>
      <c r="E119" s="56" t="s">
        <v>1038</v>
      </c>
      <c r="F119" s="56" t="s">
        <v>3655</v>
      </c>
      <c r="G119" s="56" t="s">
        <v>3603</v>
      </c>
      <c r="H119" s="69"/>
      <c r="I119" s="69"/>
      <c r="J119" s="69"/>
    </row>
    <row r="120" spans="1:24" x14ac:dyDescent="0.35">
      <c r="A120" s="69"/>
      <c r="B120" s="101" t="s">
        <v>3656</v>
      </c>
      <c r="C120" s="101">
        <v>33600</v>
      </c>
      <c r="D120" s="69"/>
      <c r="E120" s="49" t="s">
        <v>1583</v>
      </c>
      <c r="F120" s="61">
        <v>1</v>
      </c>
      <c r="G120" s="2863">
        <v>1</v>
      </c>
      <c r="H120" s="69"/>
      <c r="I120" s="69"/>
      <c r="J120" s="69"/>
    </row>
    <row r="121" spans="1:24" x14ac:dyDescent="0.35">
      <c r="A121" s="69"/>
      <c r="B121" s="101" t="s">
        <v>3657</v>
      </c>
      <c r="C121" s="101">
        <v>28000</v>
      </c>
      <c r="D121" s="69"/>
      <c r="E121" s="49" t="s">
        <v>1976</v>
      </c>
      <c r="F121" s="61">
        <v>1</v>
      </c>
      <c r="G121" s="2863">
        <v>0.9</v>
      </c>
      <c r="H121" s="69"/>
      <c r="I121" s="69"/>
      <c r="J121" s="69"/>
    </row>
    <row r="122" spans="1:24" x14ac:dyDescent="0.35">
      <c r="A122" s="69"/>
      <c r="B122" s="101" t="s">
        <v>3658</v>
      </c>
      <c r="C122" s="101">
        <v>24000</v>
      </c>
      <c r="D122" s="69"/>
      <c r="E122" s="69"/>
      <c r="F122" s="429"/>
      <c r="G122" s="69"/>
      <c r="H122" s="69"/>
      <c r="I122" s="69"/>
      <c r="J122" s="69"/>
      <c r="Q122" s="199"/>
      <c r="R122" s="199"/>
      <c r="S122" s="2147"/>
      <c r="T122" s="199"/>
    </row>
    <row r="123" spans="1:24" x14ac:dyDescent="0.35">
      <c r="A123" s="69"/>
      <c r="B123" s="101" t="s">
        <v>1185</v>
      </c>
      <c r="C123" s="101">
        <v>31864</v>
      </c>
      <c r="D123" s="69"/>
      <c r="E123" s="69"/>
      <c r="F123" s="429"/>
      <c r="G123" s="69"/>
      <c r="H123" s="69"/>
      <c r="I123" s="69"/>
      <c r="J123" s="69"/>
      <c r="Q123" s="2148"/>
      <c r="R123" s="2148"/>
      <c r="S123" s="2148"/>
    </row>
    <row r="124" spans="1:24" ht="26" x14ac:dyDescent="0.35">
      <c r="A124" s="69"/>
      <c r="B124" s="114"/>
      <c r="D124" s="69"/>
      <c r="E124" s="56" t="s">
        <v>1038</v>
      </c>
      <c r="F124" s="56" t="s">
        <v>3655</v>
      </c>
      <c r="G124" s="56" t="s">
        <v>1040</v>
      </c>
      <c r="H124" s="56" t="s">
        <v>1082</v>
      </c>
      <c r="I124" s="69"/>
      <c r="J124" s="69"/>
      <c r="Q124" s="117"/>
      <c r="R124" s="117"/>
      <c r="S124" s="117"/>
    </row>
    <row r="125" spans="1:24" x14ac:dyDescent="0.35">
      <c r="A125" s="69"/>
      <c r="B125" s="3160" t="s">
        <v>3659</v>
      </c>
      <c r="C125" s="3161"/>
      <c r="D125" s="69"/>
      <c r="E125" s="49" t="s">
        <v>1072</v>
      </c>
      <c r="F125" s="61">
        <f t="shared" ref="F125:F130" si="26">+$F$121</f>
        <v>1</v>
      </c>
      <c r="G125" s="2138"/>
      <c r="H125" s="49"/>
      <c r="I125" s="69"/>
      <c r="J125" s="69"/>
      <c r="L125" s="2144"/>
      <c r="M125" s="2144"/>
      <c r="Q125" s="2149"/>
      <c r="R125" s="2149"/>
      <c r="S125" s="2149"/>
      <c r="T125" s="2149"/>
    </row>
    <row r="126" spans="1:24" x14ac:dyDescent="0.35">
      <c r="A126" s="69"/>
      <c r="B126" s="112" t="s">
        <v>3660</v>
      </c>
      <c r="C126" s="112" t="s">
        <v>3661</v>
      </c>
      <c r="D126" s="69"/>
      <c r="E126" s="49" t="s">
        <v>3576</v>
      </c>
      <c r="F126" s="61">
        <f t="shared" si="26"/>
        <v>1</v>
      </c>
      <c r="G126" s="116"/>
      <c r="H126" s="49"/>
      <c r="I126" s="69"/>
      <c r="J126" s="69"/>
      <c r="L126" s="1701"/>
      <c r="M126" s="1701"/>
      <c r="Q126" s="2150"/>
      <c r="R126" s="2150"/>
      <c r="S126" s="2150"/>
    </row>
    <row r="127" spans="1:24" x14ac:dyDescent="0.35">
      <c r="A127" s="69"/>
      <c r="B127" s="101" t="s">
        <v>3662</v>
      </c>
      <c r="C127" s="2139">
        <v>12</v>
      </c>
      <c r="D127" s="69"/>
      <c r="E127" s="49" t="s">
        <v>2279</v>
      </c>
      <c r="F127" s="61">
        <f t="shared" si="26"/>
        <v>1</v>
      </c>
      <c r="G127" s="116"/>
      <c r="H127" s="49"/>
      <c r="I127" s="69"/>
      <c r="J127" s="69"/>
      <c r="L127" s="2145"/>
      <c r="M127" s="2146"/>
      <c r="Q127" s="2149"/>
      <c r="R127" s="2149"/>
      <c r="S127" s="2149"/>
      <c r="T127" s="2149"/>
    </row>
    <row r="128" spans="1:24" x14ac:dyDescent="0.35">
      <c r="A128" s="69"/>
      <c r="B128" s="101" t="s">
        <v>3663</v>
      </c>
      <c r="C128" s="2139">
        <v>12</v>
      </c>
      <c r="D128" s="69"/>
      <c r="E128" s="49" t="s">
        <v>1632</v>
      </c>
      <c r="F128" s="61">
        <f t="shared" si="26"/>
        <v>1</v>
      </c>
      <c r="G128" s="116"/>
      <c r="H128" s="49"/>
      <c r="I128" s="69"/>
      <c r="J128" s="69"/>
      <c r="L128" s="115"/>
      <c r="M128" s="115"/>
      <c r="Q128" s="2151"/>
      <c r="R128" s="2151"/>
      <c r="S128" s="2151"/>
      <c r="T128" s="2151"/>
    </row>
    <row r="129" spans="1:15" x14ac:dyDescent="0.35">
      <c r="E129" s="49" t="s">
        <v>1583</v>
      </c>
      <c r="F129" s="61">
        <f t="shared" si="26"/>
        <v>1</v>
      </c>
      <c r="G129" s="116"/>
      <c r="H129" s="2140"/>
    </row>
    <row r="130" spans="1:15" x14ac:dyDescent="0.35">
      <c r="E130" s="49" t="s">
        <v>3590</v>
      </c>
      <c r="F130" s="61">
        <f t="shared" si="26"/>
        <v>1</v>
      </c>
      <c r="G130" s="116"/>
      <c r="H130" s="2140"/>
    </row>
    <row r="131" spans="1:15" x14ac:dyDescent="0.35">
      <c r="B131" s="103"/>
    </row>
    <row r="133" spans="1:15" x14ac:dyDescent="0.35">
      <c r="D133" s="2141"/>
    </row>
    <row r="135" spans="1:15" x14ac:dyDescent="0.35">
      <c r="B135" s="3314" t="s">
        <v>3664</v>
      </c>
      <c r="C135" s="3315"/>
      <c r="E135" t="s">
        <v>3665</v>
      </c>
      <c r="F135" t="s">
        <v>3666</v>
      </c>
      <c r="G135" t="s">
        <v>3667</v>
      </c>
      <c r="H135" t="s">
        <v>3668</v>
      </c>
      <c r="I135" t="s">
        <v>3669</v>
      </c>
      <c r="J135" t="s">
        <v>3670</v>
      </c>
      <c r="K135" t="s">
        <v>3671</v>
      </c>
      <c r="L135" t="s">
        <v>3672</v>
      </c>
      <c r="M135" t="s">
        <v>3673</v>
      </c>
      <c r="N135" t="s">
        <v>3674</v>
      </c>
      <c r="O135" t="s">
        <v>3675</v>
      </c>
    </row>
    <row r="136" spans="1:15" x14ac:dyDescent="0.35">
      <c r="B136" t="s">
        <v>3676</v>
      </c>
      <c r="C136" s="117">
        <v>0.10876731997839081</v>
      </c>
      <c r="F136" s="117">
        <f>C136</f>
        <v>0.10876731997839081</v>
      </c>
      <c r="G136" s="117">
        <f>F136*(1+$C$138)</f>
        <v>0.11084477578997806</v>
      </c>
      <c r="H136" s="117">
        <f t="shared" ref="H136:O136" si="27">G136*(1+$C$138)</f>
        <v>0.11296191100756663</v>
      </c>
      <c r="I136" s="117">
        <f t="shared" si="27"/>
        <v>0.11511948350781114</v>
      </c>
      <c r="J136" s="117">
        <f t="shared" si="27"/>
        <v>0.11731826564281031</v>
      </c>
      <c r="K136" s="117">
        <f t="shared" si="27"/>
        <v>0.11955904451658797</v>
      </c>
      <c r="L136" s="117">
        <f t="shared" si="27"/>
        <v>0.12184262226685479</v>
      </c>
      <c r="M136" s="117">
        <f t="shared" si="27"/>
        <v>0.1241698163521517</v>
      </c>
      <c r="N136" s="117">
        <f t="shared" si="27"/>
        <v>0.12654145984447779</v>
      </c>
      <c r="O136" s="117">
        <f t="shared" si="27"/>
        <v>0.1289584017275073</v>
      </c>
    </row>
    <row r="137" spans="1:15" x14ac:dyDescent="0.35">
      <c r="B137" t="s">
        <v>3677</v>
      </c>
      <c r="C137" s="149">
        <f>$Y$5</f>
        <v>0</v>
      </c>
    </row>
    <row r="138" spans="1:15" x14ac:dyDescent="0.35">
      <c r="B138" t="s">
        <v>3678</v>
      </c>
      <c r="C138" s="118">
        <v>1.9099999999999999E-2</v>
      </c>
    </row>
    <row r="139" spans="1:15" x14ac:dyDescent="0.35">
      <c r="B139" t="s">
        <v>3679</v>
      </c>
      <c r="C139" s="118">
        <v>7.4399999999999994E-2</v>
      </c>
    </row>
    <row r="140" spans="1:15" x14ac:dyDescent="0.35">
      <c r="A140" s="2112" t="s">
        <v>3573</v>
      </c>
      <c r="B140" t="s">
        <v>1286</v>
      </c>
      <c r="C140" s="117">
        <f t="shared" ref="C140:C148" si="28">VLOOKUP(A140,$A$4:$Q$26,17,FALSE)</f>
        <v>0</v>
      </c>
      <c r="E140" s="119">
        <f>NPV($C$139,F140:O140)</f>
        <v>0</v>
      </c>
      <c r="F140" s="117">
        <f>$C140*F$136</f>
        <v>0</v>
      </c>
      <c r="G140" s="117">
        <f t="shared" ref="G140:O140" si="29">$C140*G$136</f>
        <v>0</v>
      </c>
      <c r="H140" s="117">
        <f t="shared" si="29"/>
        <v>0</v>
      </c>
      <c r="I140" s="117">
        <f t="shared" si="29"/>
        <v>0</v>
      </c>
      <c r="J140" s="117">
        <f t="shared" si="29"/>
        <v>0</v>
      </c>
      <c r="K140" s="117">
        <f t="shared" si="29"/>
        <v>0</v>
      </c>
      <c r="L140" s="117">
        <f t="shared" si="29"/>
        <v>0</v>
      </c>
      <c r="M140" s="117">
        <f t="shared" si="29"/>
        <v>0</v>
      </c>
      <c r="N140" s="117">
        <f t="shared" si="29"/>
        <v>0</v>
      </c>
      <c r="O140" s="117">
        <f t="shared" si="29"/>
        <v>0</v>
      </c>
    </row>
    <row r="141" spans="1:15" x14ac:dyDescent="0.35">
      <c r="A141" s="2112" t="s">
        <v>998</v>
      </c>
      <c r="B141" t="s">
        <v>1286</v>
      </c>
      <c r="C141" s="117">
        <f t="shared" si="28"/>
        <v>0</v>
      </c>
      <c r="E141" s="119">
        <f t="shared" ref="E141:E148" si="30">NPV($C$139,F141:O141)</f>
        <v>0</v>
      </c>
      <c r="F141" s="117">
        <f t="shared" ref="F141:O148" si="31">$C141*F$136</f>
        <v>0</v>
      </c>
      <c r="G141" s="117">
        <f t="shared" si="31"/>
        <v>0</v>
      </c>
      <c r="H141" s="117">
        <f t="shared" si="31"/>
        <v>0</v>
      </c>
      <c r="I141" s="117">
        <f t="shared" si="31"/>
        <v>0</v>
      </c>
      <c r="J141" s="117">
        <f t="shared" si="31"/>
        <v>0</v>
      </c>
      <c r="K141" s="117">
        <f t="shared" si="31"/>
        <v>0</v>
      </c>
      <c r="L141" s="117">
        <f t="shared" si="31"/>
        <v>0</v>
      </c>
      <c r="M141" s="117">
        <f t="shared" si="31"/>
        <v>0</v>
      </c>
      <c r="N141" s="117">
        <f t="shared" si="31"/>
        <v>0</v>
      </c>
      <c r="O141" s="117">
        <f t="shared" si="31"/>
        <v>0</v>
      </c>
    </row>
    <row r="142" spans="1:15" x14ac:dyDescent="0.35">
      <c r="A142" s="2112" t="s">
        <v>3580</v>
      </c>
      <c r="B142" t="s">
        <v>1286</v>
      </c>
      <c r="C142" s="117">
        <f t="shared" si="28"/>
        <v>0</v>
      </c>
      <c r="E142" s="119">
        <f t="shared" si="30"/>
        <v>0</v>
      </c>
      <c r="F142" s="117">
        <f t="shared" si="31"/>
        <v>0</v>
      </c>
      <c r="G142" s="117">
        <f t="shared" si="31"/>
        <v>0</v>
      </c>
      <c r="H142" s="117">
        <f t="shared" si="31"/>
        <v>0</v>
      </c>
      <c r="I142" s="117">
        <f t="shared" si="31"/>
        <v>0</v>
      </c>
      <c r="J142" s="117">
        <f t="shared" si="31"/>
        <v>0</v>
      </c>
      <c r="K142" s="117">
        <f t="shared" si="31"/>
        <v>0</v>
      </c>
      <c r="L142" s="117">
        <f t="shared" si="31"/>
        <v>0</v>
      </c>
      <c r="M142" s="117">
        <f t="shared" si="31"/>
        <v>0</v>
      </c>
      <c r="N142" s="117">
        <f t="shared" si="31"/>
        <v>0</v>
      </c>
      <c r="O142" s="117">
        <f t="shared" si="31"/>
        <v>0</v>
      </c>
    </row>
    <row r="143" spans="1:15" x14ac:dyDescent="0.35">
      <c r="A143" s="2112" t="s">
        <v>907</v>
      </c>
      <c r="B143" t="s">
        <v>1286</v>
      </c>
      <c r="C143" s="117">
        <f t="shared" si="28"/>
        <v>0</v>
      </c>
      <c r="E143" s="119">
        <f t="shared" si="30"/>
        <v>0</v>
      </c>
      <c r="F143" s="117">
        <f t="shared" si="31"/>
        <v>0</v>
      </c>
      <c r="G143" s="117">
        <f t="shared" si="31"/>
        <v>0</v>
      </c>
      <c r="H143" s="117">
        <f t="shared" si="31"/>
        <v>0</v>
      </c>
      <c r="I143" s="117">
        <f t="shared" si="31"/>
        <v>0</v>
      </c>
      <c r="J143" s="117">
        <f t="shared" si="31"/>
        <v>0</v>
      </c>
      <c r="K143" s="117">
        <f t="shared" si="31"/>
        <v>0</v>
      </c>
      <c r="L143" s="117">
        <f t="shared" si="31"/>
        <v>0</v>
      </c>
      <c r="M143" s="117">
        <f t="shared" si="31"/>
        <v>0</v>
      </c>
      <c r="N143" s="117">
        <f t="shared" si="31"/>
        <v>0</v>
      </c>
      <c r="O143" s="117">
        <f t="shared" si="31"/>
        <v>0</v>
      </c>
    </row>
    <row r="144" spans="1:15" x14ac:dyDescent="0.35">
      <c r="A144" s="2112" t="s">
        <v>909</v>
      </c>
      <c r="B144" t="s">
        <v>1286</v>
      </c>
      <c r="C144" s="117">
        <f t="shared" si="28"/>
        <v>0</v>
      </c>
      <c r="E144" s="119">
        <f t="shared" si="30"/>
        <v>0</v>
      </c>
      <c r="F144" s="117">
        <f t="shared" si="31"/>
        <v>0</v>
      </c>
      <c r="G144" s="117">
        <f t="shared" si="31"/>
        <v>0</v>
      </c>
      <c r="H144" s="117">
        <f t="shared" si="31"/>
        <v>0</v>
      </c>
      <c r="I144" s="117">
        <f t="shared" si="31"/>
        <v>0</v>
      </c>
      <c r="J144" s="117">
        <f t="shared" si="31"/>
        <v>0</v>
      </c>
      <c r="K144" s="117">
        <f t="shared" si="31"/>
        <v>0</v>
      </c>
      <c r="L144" s="117">
        <f t="shared" si="31"/>
        <v>0</v>
      </c>
      <c r="M144" s="117">
        <f t="shared" si="31"/>
        <v>0</v>
      </c>
      <c r="N144" s="117">
        <f t="shared" si="31"/>
        <v>0</v>
      </c>
      <c r="O144" s="117">
        <f t="shared" si="31"/>
        <v>0</v>
      </c>
    </row>
    <row r="145" spans="1:15" x14ac:dyDescent="0.35">
      <c r="A145" s="2112" t="s">
        <v>3584</v>
      </c>
      <c r="B145" t="s">
        <v>1286</v>
      </c>
      <c r="C145" s="117">
        <f t="shared" si="28"/>
        <v>0</v>
      </c>
      <c r="E145" s="119">
        <f t="shared" si="30"/>
        <v>0</v>
      </c>
      <c r="F145" s="117">
        <f t="shared" si="31"/>
        <v>0</v>
      </c>
      <c r="G145" s="117">
        <f t="shared" si="31"/>
        <v>0</v>
      </c>
      <c r="H145" s="117">
        <f t="shared" si="31"/>
        <v>0</v>
      </c>
      <c r="I145" s="117">
        <f t="shared" si="31"/>
        <v>0</v>
      </c>
      <c r="J145" s="117">
        <f t="shared" si="31"/>
        <v>0</v>
      </c>
      <c r="K145" s="117">
        <f t="shared" si="31"/>
        <v>0</v>
      </c>
      <c r="L145" s="117">
        <f t="shared" si="31"/>
        <v>0</v>
      </c>
      <c r="M145" s="117">
        <f t="shared" si="31"/>
        <v>0</v>
      </c>
      <c r="N145" s="117">
        <f t="shared" si="31"/>
        <v>0</v>
      </c>
      <c r="O145" s="117">
        <f t="shared" si="31"/>
        <v>0</v>
      </c>
    </row>
    <row r="146" spans="1:15" x14ac:dyDescent="0.35">
      <c r="A146" s="2112" t="s">
        <v>3586</v>
      </c>
      <c r="B146" t="s">
        <v>1286</v>
      </c>
      <c r="C146" s="117">
        <f t="shared" si="28"/>
        <v>0</v>
      </c>
      <c r="E146" s="119">
        <f t="shared" si="30"/>
        <v>0</v>
      </c>
      <c r="F146" s="117">
        <f t="shared" si="31"/>
        <v>0</v>
      </c>
      <c r="G146" s="117">
        <f t="shared" si="31"/>
        <v>0</v>
      </c>
      <c r="H146" s="117">
        <f t="shared" si="31"/>
        <v>0</v>
      </c>
      <c r="I146" s="117">
        <f t="shared" si="31"/>
        <v>0</v>
      </c>
      <c r="J146" s="117">
        <f t="shared" si="31"/>
        <v>0</v>
      </c>
      <c r="K146" s="117">
        <f t="shared" si="31"/>
        <v>0</v>
      </c>
      <c r="L146" s="117">
        <f t="shared" si="31"/>
        <v>0</v>
      </c>
      <c r="M146" s="117">
        <f t="shared" si="31"/>
        <v>0</v>
      </c>
      <c r="N146" s="117">
        <f t="shared" si="31"/>
        <v>0</v>
      </c>
      <c r="O146" s="117">
        <f t="shared" si="31"/>
        <v>0</v>
      </c>
    </row>
    <row r="147" spans="1:15" x14ac:dyDescent="0.35">
      <c r="A147" s="2112" t="s">
        <v>3588</v>
      </c>
      <c r="B147" t="s">
        <v>1286</v>
      </c>
      <c r="C147" s="117">
        <f t="shared" si="28"/>
        <v>0</v>
      </c>
      <c r="E147" s="119">
        <f t="shared" si="30"/>
        <v>0</v>
      </c>
      <c r="F147" s="117">
        <f t="shared" si="31"/>
        <v>0</v>
      </c>
      <c r="G147" s="117">
        <f t="shared" si="31"/>
        <v>0</v>
      </c>
      <c r="H147" s="117">
        <f t="shared" si="31"/>
        <v>0</v>
      </c>
      <c r="I147" s="117">
        <f t="shared" si="31"/>
        <v>0</v>
      </c>
      <c r="J147" s="117">
        <f t="shared" si="31"/>
        <v>0</v>
      </c>
      <c r="K147" s="117">
        <f t="shared" si="31"/>
        <v>0</v>
      </c>
      <c r="L147" s="117">
        <f t="shared" si="31"/>
        <v>0</v>
      </c>
      <c r="M147" s="117">
        <f t="shared" si="31"/>
        <v>0</v>
      </c>
      <c r="N147" s="117">
        <f t="shared" si="31"/>
        <v>0</v>
      </c>
      <c r="O147" s="117">
        <f t="shared" si="31"/>
        <v>0</v>
      </c>
    </row>
    <row r="148" spans="1:15" x14ac:dyDescent="0.35">
      <c r="A148" s="2112" t="s">
        <v>870</v>
      </c>
      <c r="B148" t="s">
        <v>1286</v>
      </c>
      <c r="C148" s="117">
        <f t="shared" si="28"/>
        <v>0</v>
      </c>
      <c r="E148" s="119">
        <f t="shared" si="30"/>
        <v>0</v>
      </c>
      <c r="F148" s="117">
        <f t="shared" si="31"/>
        <v>0</v>
      </c>
      <c r="G148" s="117">
        <f t="shared" si="31"/>
        <v>0</v>
      </c>
      <c r="H148" s="117">
        <f t="shared" si="31"/>
        <v>0</v>
      </c>
      <c r="I148" s="117">
        <f t="shared" si="31"/>
        <v>0</v>
      </c>
      <c r="J148" s="117">
        <f t="shared" si="31"/>
        <v>0</v>
      </c>
      <c r="K148" s="117">
        <f t="shared" si="31"/>
        <v>0</v>
      </c>
      <c r="L148" s="117">
        <f t="shared" si="31"/>
        <v>0</v>
      </c>
      <c r="M148" s="117">
        <f t="shared" si="31"/>
        <v>0</v>
      </c>
      <c r="N148" s="117">
        <f t="shared" si="31"/>
        <v>0</v>
      </c>
      <c r="O148" s="117">
        <f t="shared" si="31"/>
        <v>0</v>
      </c>
    </row>
  </sheetData>
  <mergeCells count="64">
    <mergeCell ref="W2:Z2"/>
    <mergeCell ref="AA2:AQ2"/>
    <mergeCell ref="K33:M33"/>
    <mergeCell ref="C37:G37"/>
    <mergeCell ref="K37:K38"/>
    <mergeCell ref="L37:L38"/>
    <mergeCell ref="M37:M38"/>
    <mergeCell ref="K35:K36"/>
    <mergeCell ref="L35:L36"/>
    <mergeCell ref="M35:M36"/>
    <mergeCell ref="Q2:S2"/>
    <mergeCell ref="T2:V2"/>
    <mergeCell ref="C39:G39"/>
    <mergeCell ref="K39:K40"/>
    <mergeCell ref="L39:L40"/>
    <mergeCell ref="M39:M40"/>
    <mergeCell ref="K41:K42"/>
    <mergeCell ref="L41:L42"/>
    <mergeCell ref="M41:M42"/>
    <mergeCell ref="K43:K44"/>
    <mergeCell ref="L43:L44"/>
    <mergeCell ref="M43:M44"/>
    <mergeCell ref="K45:K46"/>
    <mergeCell ref="L45:L46"/>
    <mergeCell ref="M45:M46"/>
    <mergeCell ref="K47:K48"/>
    <mergeCell ref="L47:L48"/>
    <mergeCell ref="M47:M48"/>
    <mergeCell ref="C49:G49"/>
    <mergeCell ref="K49:K50"/>
    <mergeCell ref="L49:L50"/>
    <mergeCell ref="M49:M50"/>
    <mergeCell ref="K51:K52"/>
    <mergeCell ref="L51:L52"/>
    <mergeCell ref="M51:M52"/>
    <mergeCell ref="K53:K54"/>
    <mergeCell ref="L53:L54"/>
    <mergeCell ref="M53:M54"/>
    <mergeCell ref="K55:K56"/>
    <mergeCell ref="L55:L56"/>
    <mergeCell ref="M55:M56"/>
    <mergeCell ref="K57:K58"/>
    <mergeCell ref="L57:L58"/>
    <mergeCell ref="M57:M58"/>
    <mergeCell ref="K59:K60"/>
    <mergeCell ref="L59:L60"/>
    <mergeCell ref="M59:M60"/>
    <mergeCell ref="K61:K62"/>
    <mergeCell ref="L61:L62"/>
    <mergeCell ref="M61:M62"/>
    <mergeCell ref="C63:I63"/>
    <mergeCell ref="K63:K64"/>
    <mergeCell ref="L63:L64"/>
    <mergeCell ref="M63:M64"/>
    <mergeCell ref="K65:K66"/>
    <mergeCell ref="L65:L66"/>
    <mergeCell ref="M65:M66"/>
    <mergeCell ref="B135:C135"/>
    <mergeCell ref="C65:I65"/>
    <mergeCell ref="L68:L70"/>
    <mergeCell ref="G88:I88"/>
    <mergeCell ref="B97:D97"/>
    <mergeCell ref="B118:C118"/>
    <mergeCell ref="B125:C125"/>
  </mergeCells>
  <dataValidations count="10">
    <dataValidation type="list" allowBlank="1" showInputMessage="1" showErrorMessage="1" sqref="N13" xr:uid="{5E5C183F-78FB-43A1-B92E-D551221F9B39}">
      <formula1>$B$91:$B$94</formula1>
    </dataValidation>
    <dataValidation type="list" allowBlank="1" showInputMessage="1" showErrorMessage="1" sqref="E4 E13:E25" xr:uid="{BCD4F992-A8F9-41BC-AAEC-49132177E5A7}">
      <formula1>$E$125:$E$130</formula1>
    </dataValidation>
    <dataValidation type="list" allowBlank="1" showInputMessage="1" showErrorMessage="1" sqref="N4:N12 N14:N25" xr:uid="{B7CDE69D-8D75-4E7E-A8C6-1C5DAA91D6E1}">
      <formula1>$B$91:$B$93</formula1>
    </dataValidation>
    <dataValidation type="list" allowBlank="1" showInputMessage="1" showErrorMessage="1" sqref="L4:L25" xr:uid="{D589E255-916B-4D3C-ACF4-ABC58176B14A}">
      <formula1>$B$82:$B$88</formula1>
    </dataValidation>
    <dataValidation type="list" allowBlank="1" showInputMessage="1" showErrorMessage="1" sqref="M4:M25" xr:uid="{16C5AF13-4741-4D71-BE5E-5B18E80F9D6E}">
      <formula1>PgTs2</formula1>
    </dataValidation>
    <dataValidation type="list" allowBlank="1" showInputMessage="1" showErrorMessage="1" sqref="K4:K25" xr:uid="{0682467A-400F-4AB3-ACBF-4EF2AC54F5CA}">
      <formula1>Fuel2</formula1>
    </dataValidation>
    <dataValidation type="list" allowBlank="1" showInputMessage="1" showErrorMessage="1" sqref="H4:H25" xr:uid="{5E1FC231-5567-4B4B-9AB8-EADD39689F6E}">
      <formula1>$G$90:$G$93</formula1>
    </dataValidation>
    <dataValidation type="list" allowBlank="1" showInputMessage="1" showErrorMessage="1" sqref="E5:E12" xr:uid="{6599CE00-68B5-492B-BBA8-62B11C0F97DF}">
      <formula1>PgTs1</formula1>
    </dataValidation>
    <dataValidation type="list" allowBlank="1" showInputMessage="1" showErrorMessage="1" sqref="J4:J25" xr:uid="{84B71236-6D58-4533-9F48-3A278E745881}">
      <formula1>PgTs3</formula1>
    </dataValidation>
    <dataValidation type="list" allowBlank="1" showInputMessage="1" showErrorMessage="1" sqref="D4:D25" xr:uid="{EEF56577-7714-4EF3-894C-1206049451EF}">
      <formula1>MeasureType</formula1>
    </dataValidation>
  </dataValidations>
  <hyperlinks>
    <hyperlink ref="C109" location="_ftn1" display="_ftn1" xr:uid="{3A2EC3A9-01CE-416B-9FF7-B46819F3D5AB}"/>
    <hyperlink ref="D109" location="_ftn2" display="_ftn2" xr:uid="{6E874E0C-5DC4-41E3-A36F-D5A3310D48BF}"/>
    <hyperlink ref="E108" location="_ftn3" display="_ftn3" xr:uid="{0DC7FD82-EA5C-4285-ACFE-6502BF8A5519}"/>
    <hyperlink ref="B115" location="_ftn4" display="_ftn4" xr:uid="{95271591-D6DC-4074-8CA2-306076B356C7}"/>
    <hyperlink ref="C126" location="_ftn1" display="_ftn1" xr:uid="{5721C2D5-FF10-4AF4-BF14-8CD1464F8A3E}"/>
    <hyperlink ref="A1" location="'Measure-Level Adjustments'!Print_Titles" display="Measure Level Tab" xr:uid="{5A1AA294-BD70-461E-BAC3-0FE2E693A9EF}"/>
  </hyperlinks>
  <pageMargins left="0.7" right="0.7" top="0.75" bottom="0.75" header="0.3" footer="0.3"/>
  <pageSetup orientation="portrait"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8FDD9-BAA0-4543-B9DE-DA6ED75533B1}">
  <sheetPr>
    <tabColor rgb="FF00B050"/>
  </sheetPr>
  <dimension ref="A1:P29"/>
  <sheetViews>
    <sheetView topLeftCell="D1" workbookViewId="0">
      <selection activeCell="M4" sqref="M4"/>
    </sheetView>
  </sheetViews>
  <sheetFormatPr defaultRowHeight="14.5" x14ac:dyDescent="0.35"/>
  <cols>
    <col min="2" max="2" width="58.1796875" bestFit="1" customWidth="1"/>
    <col min="3" max="3" width="45.453125" customWidth="1"/>
    <col min="4" max="4" width="16.26953125" customWidth="1"/>
    <col min="5" max="5" width="23" customWidth="1"/>
    <col min="6" max="6" width="21.453125" customWidth="1"/>
    <col min="7" max="7" width="17.81640625" customWidth="1"/>
    <col min="8" max="8" width="17.26953125" customWidth="1"/>
    <col min="9" max="9" width="13.1796875" customWidth="1"/>
    <col min="10" max="10" width="15.7265625" customWidth="1"/>
    <col min="16" max="16" width="9.54296875" bestFit="1" customWidth="1"/>
  </cols>
  <sheetData>
    <row r="1" spans="1:16" x14ac:dyDescent="0.35">
      <c r="A1" s="1799" t="s">
        <v>1031</v>
      </c>
    </row>
    <row r="2" spans="1:16" x14ac:dyDescent="0.35">
      <c r="A2" s="2705"/>
      <c r="B2" s="2706" t="s">
        <v>3680</v>
      </c>
      <c r="C2" s="2706"/>
      <c r="D2" s="2706"/>
      <c r="E2" s="2706"/>
      <c r="F2" s="2706"/>
      <c r="G2" s="2706"/>
      <c r="H2" s="2706"/>
      <c r="I2" s="2706"/>
      <c r="J2" s="2707"/>
      <c r="K2" s="3321" t="s">
        <v>1032</v>
      </c>
      <c r="L2" s="3322"/>
      <c r="M2" s="3322"/>
      <c r="N2" s="3321" t="s">
        <v>1033</v>
      </c>
      <c r="O2" s="3322"/>
      <c r="P2" s="3323"/>
    </row>
    <row r="3" spans="1:16" x14ac:dyDescent="0.35">
      <c r="A3" s="2708" t="s">
        <v>1035</v>
      </c>
      <c r="B3" s="2248" t="s">
        <v>155</v>
      </c>
      <c r="C3" s="2249" t="s">
        <v>1036</v>
      </c>
      <c r="D3" s="2249" t="s">
        <v>1752</v>
      </c>
      <c r="E3" s="2325" t="s">
        <v>1039</v>
      </c>
      <c r="F3" s="2325" t="s">
        <v>1040</v>
      </c>
      <c r="G3" s="2325" t="s">
        <v>1038</v>
      </c>
      <c r="H3" s="2325" t="s">
        <v>3322</v>
      </c>
      <c r="I3" s="2325" t="s">
        <v>1684</v>
      </c>
      <c r="J3" s="2325" t="s">
        <v>3324</v>
      </c>
      <c r="K3" s="2326" t="s">
        <v>1044</v>
      </c>
      <c r="L3" s="2326" t="s">
        <v>1045</v>
      </c>
      <c r="M3" s="2326" t="s">
        <v>1046</v>
      </c>
      <c r="N3" s="2326" t="s">
        <v>1044</v>
      </c>
      <c r="O3" s="2326" t="s">
        <v>1045</v>
      </c>
      <c r="P3" s="2709" t="s">
        <v>1046</v>
      </c>
    </row>
    <row r="4" spans="1:16" x14ac:dyDescent="0.35">
      <c r="A4" s="2710" t="s">
        <v>816</v>
      </c>
      <c r="B4" t="s">
        <v>3681</v>
      </c>
      <c r="C4" t="s">
        <v>815</v>
      </c>
      <c r="D4" t="s">
        <v>2158</v>
      </c>
      <c r="E4">
        <f>E27</f>
        <v>21.5</v>
      </c>
      <c r="F4" s="2711"/>
      <c r="G4" t="s">
        <v>1072</v>
      </c>
      <c r="H4" t="s">
        <v>2361</v>
      </c>
      <c r="I4" t="s">
        <v>1691</v>
      </c>
      <c r="J4" t="s">
        <v>3330</v>
      </c>
      <c r="M4" s="2870">
        <f>'5.3.6'!P4+'5.4.2'!O4</f>
        <v>247.46647284694677</v>
      </c>
      <c r="P4" s="2712">
        <f>M4*E4</f>
        <v>5320.5291662093559</v>
      </c>
    </row>
    <row r="5" spans="1:16" x14ac:dyDescent="0.35">
      <c r="A5" s="2713" t="s">
        <v>3682</v>
      </c>
      <c r="B5" s="2714" t="s">
        <v>3683</v>
      </c>
      <c r="C5" s="2714" t="s">
        <v>3684</v>
      </c>
      <c r="D5" s="2714" t="s">
        <v>2158</v>
      </c>
      <c r="E5" s="2714">
        <f>E27</f>
        <v>21.5</v>
      </c>
      <c r="F5" s="2715"/>
      <c r="G5" s="2714" t="s">
        <v>1072</v>
      </c>
      <c r="H5" s="2714" t="s">
        <v>2361</v>
      </c>
      <c r="I5" s="2714" t="s">
        <v>1691</v>
      </c>
      <c r="J5" s="2714" t="s">
        <v>1864</v>
      </c>
      <c r="K5" s="2714"/>
      <c r="L5" s="2714"/>
      <c r="M5" s="2716">
        <f>'5.3.6'!P5+'5.4.2'!O6</f>
        <v>214.30685328370151</v>
      </c>
      <c r="N5" s="2714"/>
      <c r="O5" s="2714"/>
      <c r="P5" s="2717">
        <f>M5*E5</f>
        <v>4607.5973455995827</v>
      </c>
    </row>
    <row r="7" spans="1:16" ht="15" thickBot="1" x14ac:dyDescent="0.4"/>
    <row r="8" spans="1:16" x14ac:dyDescent="0.35">
      <c r="D8" s="828" t="s">
        <v>1188</v>
      </c>
      <c r="E8" s="377"/>
      <c r="F8" s="383"/>
      <c r="G8" s="383"/>
      <c r="H8" s="384"/>
    </row>
    <row r="9" spans="1:16" x14ac:dyDescent="0.35">
      <c r="D9" s="2703" t="s">
        <v>3685</v>
      </c>
      <c r="E9" s="881"/>
      <c r="F9" s="881"/>
      <c r="G9" s="881"/>
      <c r="H9" s="2704"/>
    </row>
    <row r="10" spans="1:16" x14ac:dyDescent="0.35">
      <c r="D10" s="99" t="s">
        <v>3339</v>
      </c>
      <c r="E10" s="69"/>
      <c r="F10" s="69"/>
      <c r="G10" s="69"/>
      <c r="H10" s="100"/>
      <c r="I10" t="s">
        <v>3686</v>
      </c>
    </row>
    <row r="11" spans="1:16" ht="15" thickBot="1" x14ac:dyDescent="0.4">
      <c r="D11" s="261" t="s">
        <v>3687</v>
      </c>
      <c r="E11" s="161"/>
      <c r="F11" s="161"/>
      <c r="G11" s="161"/>
      <c r="H11" s="163"/>
      <c r="I11" t="s">
        <v>3688</v>
      </c>
    </row>
    <row r="13" spans="1:16" x14ac:dyDescent="0.35">
      <c r="D13" s="332" t="s">
        <v>1684</v>
      </c>
      <c r="E13" s="2308" t="s">
        <v>2155</v>
      </c>
    </row>
    <row r="14" spans="1:16" x14ac:dyDescent="0.35">
      <c r="D14" s="2327" t="s">
        <v>1705</v>
      </c>
      <c r="E14" s="109">
        <v>1022</v>
      </c>
    </row>
    <row r="15" spans="1:16" x14ac:dyDescent="0.35">
      <c r="D15" s="2327" t="s">
        <v>1691</v>
      </c>
      <c r="E15" s="109">
        <v>976</v>
      </c>
    </row>
    <row r="16" spans="1:16" x14ac:dyDescent="0.35">
      <c r="D16" s="2327" t="s">
        <v>1706</v>
      </c>
      <c r="E16" s="109">
        <v>836</v>
      </c>
    </row>
    <row r="17" spans="4:13" x14ac:dyDescent="0.35">
      <c r="D17" s="2327" t="s">
        <v>1707</v>
      </c>
      <c r="E17" s="109">
        <v>645</v>
      </c>
    </row>
    <row r="18" spans="4:13" x14ac:dyDescent="0.35">
      <c r="D18" s="2327" t="s">
        <v>1708</v>
      </c>
      <c r="E18" s="109">
        <v>656</v>
      </c>
    </row>
    <row r="19" spans="4:13" x14ac:dyDescent="0.35">
      <c r="D19" s="2327" t="s">
        <v>3689</v>
      </c>
      <c r="E19" s="109">
        <v>928</v>
      </c>
    </row>
    <row r="21" spans="4:13" ht="15" thickBot="1" x14ac:dyDescent="0.4"/>
    <row r="22" spans="4:13" ht="15" thickBot="1" x14ac:dyDescent="0.4">
      <c r="D22" s="74" t="s">
        <v>1285</v>
      </c>
      <c r="E22" s="75" t="s">
        <v>1199</v>
      </c>
      <c r="F22" s="76" t="s">
        <v>1646</v>
      </c>
      <c r="G22" s="64"/>
      <c r="H22" s="64"/>
      <c r="I22" s="64"/>
      <c r="J22" s="64"/>
      <c r="K22" s="64"/>
      <c r="L22" s="64"/>
      <c r="M22" s="65"/>
    </row>
    <row r="23" spans="4:13" x14ac:dyDescent="0.35">
      <c r="D23" s="640" t="s">
        <v>3325</v>
      </c>
      <c r="E23" s="1195">
        <v>0.84</v>
      </c>
      <c r="F23" s="641" t="s">
        <v>3340</v>
      </c>
      <c r="G23" s="380"/>
      <c r="H23" s="380"/>
      <c r="I23" s="380"/>
      <c r="J23" s="380"/>
      <c r="K23" s="380"/>
      <c r="L23" s="380"/>
      <c r="M23" s="381"/>
    </row>
    <row r="24" spans="4:13" ht="27.75" customHeight="1" thickBot="1" x14ac:dyDescent="0.4">
      <c r="D24" s="2129"/>
      <c r="E24" s="161"/>
      <c r="F24" s="3324" t="s">
        <v>3690</v>
      </c>
      <c r="G24" s="3324"/>
      <c r="H24" s="3324"/>
      <c r="I24" s="3324"/>
      <c r="J24" s="3324"/>
      <c r="K24" s="3324"/>
      <c r="L24" s="3324"/>
      <c r="M24" s="3325"/>
    </row>
    <row r="25" spans="4:13" x14ac:dyDescent="0.35">
      <c r="D25" s="640" t="s">
        <v>3326</v>
      </c>
      <c r="E25" s="2130">
        <v>0.95</v>
      </c>
      <c r="F25" s="641" t="s">
        <v>3691</v>
      </c>
      <c r="G25" s="380"/>
      <c r="H25" s="380"/>
      <c r="I25" s="380"/>
      <c r="J25" s="380"/>
      <c r="K25" s="380"/>
      <c r="L25" s="380"/>
      <c r="M25" s="381"/>
    </row>
    <row r="26" spans="4:13" ht="15" thickBot="1" x14ac:dyDescent="0.4">
      <c r="D26" s="2129"/>
      <c r="E26" s="161"/>
      <c r="F26" s="2328" t="s">
        <v>3692</v>
      </c>
      <c r="G26" s="161"/>
      <c r="H26" s="161"/>
      <c r="I26" s="161"/>
      <c r="J26" s="161"/>
      <c r="K26" s="161"/>
      <c r="L26" s="161"/>
      <c r="M26" s="163"/>
    </row>
    <row r="27" spans="4:13" x14ac:dyDescent="0.35">
      <c r="D27" s="379" t="s">
        <v>1083</v>
      </c>
      <c r="E27" s="380">
        <v>21.5</v>
      </c>
      <c r="F27" s="380" t="s">
        <v>3693</v>
      </c>
      <c r="G27" s="380"/>
      <c r="H27" s="380"/>
      <c r="I27" s="380"/>
      <c r="J27" s="380"/>
      <c r="K27" s="380"/>
      <c r="L27" s="380"/>
      <c r="M27" s="381"/>
    </row>
    <row r="28" spans="4:13" ht="15" thickBot="1" x14ac:dyDescent="0.4">
      <c r="D28" s="99"/>
      <c r="E28" s="69"/>
      <c r="F28" s="69"/>
      <c r="G28" s="69"/>
      <c r="H28" s="69"/>
      <c r="I28" s="69"/>
      <c r="J28" s="69"/>
      <c r="K28" s="69"/>
      <c r="L28" s="69"/>
      <c r="M28" s="100"/>
    </row>
    <row r="29" spans="4:13" ht="15" thickBot="1" x14ac:dyDescent="0.4">
      <c r="D29" s="662" t="s">
        <v>1040</v>
      </c>
      <c r="E29" s="2329"/>
      <c r="F29" s="606"/>
      <c r="G29" s="606"/>
      <c r="H29" s="606"/>
      <c r="I29" s="606"/>
      <c r="J29" s="606"/>
      <c r="K29" s="606"/>
      <c r="L29" s="606"/>
      <c r="M29" s="607"/>
    </row>
  </sheetData>
  <mergeCells count="3">
    <mergeCell ref="K2:M2"/>
    <mergeCell ref="N2:P2"/>
    <mergeCell ref="F24:M24"/>
  </mergeCells>
  <dataValidations count="1">
    <dataValidation type="list" allowBlank="1" showInputMessage="1" showErrorMessage="1" sqref="I4:I5" xr:uid="{8B366C11-FF6C-4694-A529-775E35788E91}">
      <formula1>$D$14:$D$19</formula1>
    </dataValidation>
  </dataValidations>
  <hyperlinks>
    <hyperlink ref="A1" location="'Measure-Level Adjustments'!Print_Titles" display="Measure Level Tab" xr:uid="{155D769B-7A85-4C91-BDA2-A02A3DB5B672}"/>
  </hyperlinks>
  <pageMargins left="0.7" right="0.7" top="0.75" bottom="0.75" header="0.3" footer="0.3"/>
  <pageSetup orientation="portrait" horizontalDpi="4294967293"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E52C1-B47D-4D2D-9747-6A488E494883}">
  <sheetPr>
    <tabColor theme="6" tint="0.59999389629810485"/>
    <pageSetUpPr fitToPage="1"/>
  </sheetPr>
  <dimension ref="A1:R38"/>
  <sheetViews>
    <sheetView topLeftCell="F1" workbookViewId="0"/>
  </sheetViews>
  <sheetFormatPr defaultRowHeight="14.5" x14ac:dyDescent="0.35"/>
  <cols>
    <col min="1" max="1" width="34.7265625" bestFit="1" customWidth="1"/>
    <col min="2" max="2" width="33.453125" customWidth="1"/>
    <col min="3" max="3" width="33.1796875" customWidth="1"/>
    <col min="4" max="4" width="24" customWidth="1"/>
    <col min="5" max="5" width="22" customWidth="1"/>
    <col min="6" max="6" width="23.1796875" customWidth="1"/>
    <col min="7" max="7" width="17.7265625" customWidth="1"/>
    <col min="8" max="8" width="21.7265625" customWidth="1"/>
    <col min="9" max="9" width="14.1796875" customWidth="1"/>
    <col min="10" max="10" width="17" customWidth="1"/>
    <col min="11" max="11" width="13.54296875" customWidth="1"/>
  </cols>
  <sheetData>
    <row r="1" spans="1:18" x14ac:dyDescent="0.35">
      <c r="A1" s="1799" t="s">
        <v>1031</v>
      </c>
    </row>
    <row r="2" spans="1:18" x14ac:dyDescent="0.35">
      <c r="A2" s="1702"/>
      <c r="B2" s="1703"/>
      <c r="C2" s="1703"/>
      <c r="D2" s="1703"/>
      <c r="E2" s="1704"/>
      <c r="F2" s="1704"/>
      <c r="G2" s="1704"/>
      <c r="H2" s="1704"/>
      <c r="I2" s="1704"/>
      <c r="J2" s="1704"/>
      <c r="K2" s="1704"/>
      <c r="L2" s="1704"/>
      <c r="M2" s="3147" t="s">
        <v>1032</v>
      </c>
      <c r="N2" s="3148"/>
      <c r="O2" s="3264"/>
      <c r="P2" s="3147" t="s">
        <v>1033</v>
      </c>
      <c r="Q2" s="3148"/>
      <c r="R2" s="3264"/>
    </row>
    <row r="3" spans="1:18" ht="25.5" customHeight="1" x14ac:dyDescent="0.35">
      <c r="A3" s="2248" t="s">
        <v>1035</v>
      </c>
      <c r="B3" s="2249" t="s">
        <v>155</v>
      </c>
      <c r="C3" s="2249" t="s">
        <v>1036</v>
      </c>
      <c r="D3" s="2249" t="s">
        <v>1037</v>
      </c>
      <c r="E3" s="2058" t="s">
        <v>1038</v>
      </c>
      <c r="F3" s="2058" t="s">
        <v>1039</v>
      </c>
      <c r="G3" s="2058" t="s">
        <v>1040</v>
      </c>
      <c r="H3" s="2059" t="s">
        <v>3694</v>
      </c>
      <c r="I3" s="2058" t="s">
        <v>3695</v>
      </c>
      <c r="J3" s="2058" t="s">
        <v>3696</v>
      </c>
      <c r="K3" s="2059" t="s">
        <v>3697</v>
      </c>
      <c r="L3" s="2059"/>
      <c r="M3" s="1976" t="s">
        <v>1044</v>
      </c>
      <c r="N3" s="1976" t="s">
        <v>1045</v>
      </c>
      <c r="O3" s="1976" t="s">
        <v>1046</v>
      </c>
      <c r="P3" s="1976" t="s">
        <v>1044</v>
      </c>
      <c r="Q3" s="1976" t="s">
        <v>1045</v>
      </c>
      <c r="R3" s="1976" t="s">
        <v>1046</v>
      </c>
    </row>
    <row r="4" spans="1:18" ht="19.5" customHeight="1" x14ac:dyDescent="0.35">
      <c r="A4" s="2250" t="s">
        <v>775</v>
      </c>
      <c r="B4" s="2250" t="s">
        <v>774</v>
      </c>
      <c r="C4" s="2250" t="s">
        <v>774</v>
      </c>
      <c r="D4" s="2250" t="s">
        <v>2158</v>
      </c>
      <c r="E4" s="2060" t="s">
        <v>1632</v>
      </c>
      <c r="F4" s="2251">
        <v>15</v>
      </c>
      <c r="G4" s="2252"/>
      <c r="H4" s="2060">
        <v>542</v>
      </c>
      <c r="I4" s="2284">
        <f>B31</f>
        <v>0.75</v>
      </c>
      <c r="J4" s="2060">
        <f>B34</f>
        <v>5</v>
      </c>
      <c r="K4" s="2284">
        <f>B38</f>
        <v>0.15</v>
      </c>
      <c r="L4" s="2060"/>
      <c r="M4" s="2228"/>
      <c r="N4" s="2229"/>
      <c r="O4" s="2230">
        <f>H4/(I4*J4)*K4</f>
        <v>21.68</v>
      </c>
      <c r="P4" s="2230"/>
      <c r="Q4" s="2229"/>
      <c r="R4" s="2230">
        <f>O4*F4</f>
        <v>325.2</v>
      </c>
    </row>
    <row r="7" spans="1:18" x14ac:dyDescent="0.35">
      <c r="A7" s="2259" t="s">
        <v>3086</v>
      </c>
      <c r="B7" s="881"/>
      <c r="C7" s="881"/>
      <c r="D7" s="881"/>
      <c r="E7" s="881"/>
      <c r="F7" s="881"/>
      <c r="G7" s="881"/>
      <c r="H7" s="881"/>
    </row>
    <row r="8" spans="1:18" x14ac:dyDescent="0.35">
      <c r="A8" s="69"/>
      <c r="B8" s="881"/>
      <c r="C8" s="881"/>
      <c r="D8" s="881"/>
      <c r="E8" s="881"/>
      <c r="F8" s="881"/>
      <c r="G8" s="881"/>
      <c r="H8" s="881"/>
    </row>
    <row r="9" spans="1:18" x14ac:dyDescent="0.35">
      <c r="A9" s="69" t="s">
        <v>3698</v>
      </c>
      <c r="B9" s="881"/>
      <c r="C9" s="881"/>
      <c r="D9" s="881"/>
      <c r="E9" s="881"/>
      <c r="F9" s="881"/>
      <c r="G9" s="881"/>
      <c r="H9" s="881"/>
    </row>
    <row r="10" spans="1:18" x14ac:dyDescent="0.35">
      <c r="A10" s="2260"/>
      <c r="B10" s="881"/>
      <c r="C10" s="881"/>
      <c r="D10" s="881"/>
      <c r="E10" s="881"/>
      <c r="F10" s="881"/>
      <c r="G10" s="881"/>
      <c r="H10" s="881"/>
    </row>
    <row r="13" spans="1:18" x14ac:dyDescent="0.35">
      <c r="A13" s="1248" t="s">
        <v>3078</v>
      </c>
    </row>
    <row r="14" spans="1:18" x14ac:dyDescent="0.35">
      <c r="A14" t="s">
        <v>3699</v>
      </c>
    </row>
    <row r="15" spans="1:18" x14ac:dyDescent="0.35">
      <c r="A15" s="2067"/>
    </row>
    <row r="16" spans="1:18" x14ac:dyDescent="0.35">
      <c r="A16" s="1248" t="s">
        <v>3082</v>
      </c>
    </row>
    <row r="18" spans="1:2" x14ac:dyDescent="0.35">
      <c r="B18" s="2261"/>
    </row>
    <row r="19" spans="1:2" x14ac:dyDescent="0.35">
      <c r="B19" s="2261"/>
    </row>
    <row r="20" spans="1:2" x14ac:dyDescent="0.35">
      <c r="A20" s="1248" t="s">
        <v>3113</v>
      </c>
    </row>
    <row r="21" spans="1:2" ht="15" thickBot="1" x14ac:dyDescent="0.4"/>
    <row r="22" spans="1:2" x14ac:dyDescent="0.35">
      <c r="A22" s="2285" t="s">
        <v>1684</v>
      </c>
      <c r="B22" s="2286" t="s">
        <v>3700</v>
      </c>
    </row>
    <row r="23" spans="1:2" ht="15" thickBot="1" x14ac:dyDescent="0.4">
      <c r="A23" s="2287" t="s">
        <v>3172</v>
      </c>
      <c r="B23" s="2288" t="s">
        <v>3701</v>
      </c>
    </row>
    <row r="24" spans="1:2" ht="15" thickBot="1" x14ac:dyDescent="0.4">
      <c r="A24" s="2289" t="s">
        <v>1705</v>
      </c>
      <c r="B24" s="2290">
        <v>567</v>
      </c>
    </row>
    <row r="25" spans="1:2" ht="15" thickBot="1" x14ac:dyDescent="0.4">
      <c r="A25" s="2289" t="s">
        <v>1691</v>
      </c>
      <c r="B25" s="2290">
        <v>542</v>
      </c>
    </row>
    <row r="26" spans="1:2" ht="15" thickBot="1" x14ac:dyDescent="0.4">
      <c r="A26" s="2289" t="s">
        <v>1706</v>
      </c>
      <c r="B26" s="2290">
        <v>464</v>
      </c>
    </row>
    <row r="27" spans="1:2" ht="15" thickBot="1" x14ac:dyDescent="0.4">
      <c r="A27" s="2289" t="s">
        <v>1707</v>
      </c>
      <c r="B27" s="2290">
        <v>358</v>
      </c>
    </row>
    <row r="28" spans="1:2" ht="15" thickBot="1" x14ac:dyDescent="0.4">
      <c r="A28" s="2289" t="s">
        <v>1708</v>
      </c>
      <c r="B28" s="2290">
        <v>365</v>
      </c>
    </row>
    <row r="29" spans="1:2" ht="15" thickBot="1" x14ac:dyDescent="0.4">
      <c r="A29" s="2289" t="s">
        <v>1363</v>
      </c>
      <c r="B29" s="2291">
        <v>515</v>
      </c>
    </row>
    <row r="31" spans="1:2" x14ac:dyDescent="0.35">
      <c r="A31" s="2292" t="s">
        <v>3695</v>
      </c>
      <c r="B31" s="115">
        <v>0.75</v>
      </c>
    </row>
    <row r="33" spans="1:2" x14ac:dyDescent="0.35">
      <c r="A33" s="2292" t="s">
        <v>3696</v>
      </c>
      <c r="B33" t="s">
        <v>3702</v>
      </c>
    </row>
    <row r="34" spans="1:2" x14ac:dyDescent="0.35">
      <c r="B34">
        <v>5</v>
      </c>
    </row>
    <row r="35" spans="1:2" x14ac:dyDescent="0.35">
      <c r="A35" t="s">
        <v>3697</v>
      </c>
      <c r="B35" t="s">
        <v>3703</v>
      </c>
    </row>
    <row r="36" spans="1:2" x14ac:dyDescent="0.35">
      <c r="B36" t="s">
        <v>3704</v>
      </c>
    </row>
    <row r="37" spans="1:2" x14ac:dyDescent="0.35">
      <c r="B37" t="s">
        <v>3705</v>
      </c>
    </row>
    <row r="38" spans="1:2" x14ac:dyDescent="0.35">
      <c r="B38" s="115">
        <v>0.15</v>
      </c>
    </row>
  </sheetData>
  <mergeCells count="2">
    <mergeCell ref="M2:O2"/>
    <mergeCell ref="P2:R2"/>
  </mergeCells>
  <dataValidations count="2">
    <dataValidation type="list" allowBlank="1" showInputMessage="1" showErrorMessage="1" sqref="E4" xr:uid="{491779AA-EDDB-415B-89F7-249064D26B0D}">
      <formula1>#REF!</formula1>
    </dataValidation>
    <dataValidation type="list" allowBlank="1" showInputMessage="1" showErrorMessage="1" sqref="D4" xr:uid="{74755E01-1502-46D7-BC19-D460C20B7D5A}">
      <formula1>MeasureType</formula1>
    </dataValidation>
  </dataValidations>
  <hyperlinks>
    <hyperlink ref="A1" location="'Measure-Level Adjustments'!Print_Titles" display="Measure Level Tab" xr:uid="{EF4F0098-8FB6-4589-9241-101CCAB7D3E4}"/>
  </hyperlinks>
  <pageMargins left="0.7" right="0.7" top="0.75" bottom="0.75" header="0.3" footer="0.3"/>
  <pageSetup scale="38" orientation="landscape" horizontalDpi="4294967293"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pageSetUpPr fitToPage="1"/>
  </sheetPr>
  <dimension ref="A1:AD66"/>
  <sheetViews>
    <sheetView zoomScaleNormal="100" zoomScaleSheetLayoutView="85" workbookViewId="0"/>
  </sheetViews>
  <sheetFormatPr defaultRowHeight="14.5" x14ac:dyDescent="0.35"/>
  <cols>
    <col min="1" max="1" width="20.81640625" customWidth="1"/>
    <col min="2" max="2" width="27.81640625" customWidth="1"/>
    <col min="3" max="3" width="29.1796875" customWidth="1"/>
    <col min="4" max="4" width="22.453125" customWidth="1"/>
    <col min="5" max="5" width="19.54296875" customWidth="1"/>
    <col min="6" max="6" width="18.54296875" customWidth="1"/>
    <col min="7" max="7" width="10" customWidth="1"/>
    <col min="8" max="8" width="10.26953125" customWidth="1"/>
    <col min="9" max="9" width="10.453125" customWidth="1"/>
    <col min="12" max="12" width="9.54296875" customWidth="1"/>
    <col min="14" max="14" width="10.7265625" customWidth="1"/>
    <col min="22" max="22" width="9.7265625" bestFit="1" customWidth="1"/>
    <col min="26" max="26" width="22.81640625" bestFit="1" customWidth="1"/>
    <col min="27" max="27" width="12.26953125" bestFit="1" customWidth="1"/>
    <col min="28" max="28" width="14.453125" customWidth="1"/>
    <col min="29" max="29" width="13.7265625" customWidth="1"/>
  </cols>
  <sheetData>
    <row r="1" spans="1:30" x14ac:dyDescent="0.35">
      <c r="A1" s="1799" t="s">
        <v>1031</v>
      </c>
    </row>
    <row r="2" spans="1:30" ht="29" x14ac:dyDescent="0.35">
      <c r="A2" s="1428" t="s">
        <v>703</v>
      </c>
      <c r="B2" s="993" t="s">
        <v>3706</v>
      </c>
      <c r="C2" s="997"/>
      <c r="D2" s="997"/>
      <c r="E2" s="998"/>
      <c r="F2" s="998"/>
      <c r="G2" s="998"/>
      <c r="H2" s="998"/>
      <c r="I2" s="998"/>
      <c r="J2" s="998"/>
      <c r="K2" s="998"/>
      <c r="L2" s="998"/>
      <c r="M2" s="998"/>
      <c r="N2" s="3013" t="s">
        <v>1032</v>
      </c>
      <c r="O2" s="3014"/>
      <c r="P2" s="3098"/>
      <c r="Q2" s="3013" t="s">
        <v>1033</v>
      </c>
      <c r="R2" s="3014"/>
      <c r="S2" s="3014"/>
      <c r="T2" s="3326" t="s">
        <v>1158</v>
      </c>
      <c r="U2" s="3327"/>
      <c r="V2" s="3327"/>
      <c r="W2" s="3327"/>
      <c r="X2" s="3327"/>
      <c r="Y2" s="3327"/>
      <c r="Z2" s="3327"/>
      <c r="AA2" s="3327"/>
      <c r="AB2" s="3327"/>
      <c r="AC2" s="3327"/>
    </row>
    <row r="3" spans="1:30" ht="72.5" x14ac:dyDescent="0.35">
      <c r="A3" s="969" t="s">
        <v>1035</v>
      </c>
      <c r="B3" s="953" t="s">
        <v>155</v>
      </c>
      <c r="C3" s="953" t="s">
        <v>1036</v>
      </c>
      <c r="D3" s="953" t="s">
        <v>1037</v>
      </c>
      <c r="E3" s="998" t="s">
        <v>1038</v>
      </c>
      <c r="F3" s="998" t="s">
        <v>1039</v>
      </c>
      <c r="G3" s="998" t="s">
        <v>1570</v>
      </c>
      <c r="H3" s="998" t="s">
        <v>1868</v>
      </c>
      <c r="I3" s="998" t="s">
        <v>1041</v>
      </c>
      <c r="J3" s="998" t="s">
        <v>1867</v>
      </c>
      <c r="K3" s="998" t="s">
        <v>3707</v>
      </c>
      <c r="L3" s="998" t="s">
        <v>3708</v>
      </c>
      <c r="M3" s="998" t="s">
        <v>3709</v>
      </c>
      <c r="N3" s="989" t="s">
        <v>1044</v>
      </c>
      <c r="O3" s="989" t="s">
        <v>1045</v>
      </c>
      <c r="P3" s="989" t="s">
        <v>1046</v>
      </c>
      <c r="Q3" s="989" t="s">
        <v>1044</v>
      </c>
      <c r="R3" s="2728" t="s">
        <v>1045</v>
      </c>
      <c r="S3" s="988" t="s">
        <v>1046</v>
      </c>
      <c r="T3" s="2729" t="s">
        <v>3710</v>
      </c>
      <c r="U3" s="2729" t="s">
        <v>3711</v>
      </c>
      <c r="V3" s="2730" t="s">
        <v>3712</v>
      </c>
      <c r="W3" s="2730" t="s">
        <v>3713</v>
      </c>
      <c r="X3" s="2729" t="s">
        <v>3714</v>
      </c>
      <c r="Y3" s="2729" t="s">
        <v>1580</v>
      </c>
      <c r="Z3" s="2729" t="s">
        <v>3715</v>
      </c>
      <c r="AA3" s="2729" t="s">
        <v>3716</v>
      </c>
      <c r="AB3" s="2874" t="s">
        <v>3717</v>
      </c>
      <c r="AC3" s="2874" t="s">
        <v>3718</v>
      </c>
      <c r="AD3" s="274"/>
    </row>
    <row r="4" spans="1:30" ht="43.5" x14ac:dyDescent="0.35">
      <c r="A4" s="955" t="s">
        <v>3719</v>
      </c>
      <c r="B4" s="955" t="str">
        <f>$B$2&amp;"/ "&amp;K4&amp;" ft./ "&amp;L4&amp;" R-value/ "&amp;FIXED(M4,2)&amp;" in. dia. - "&amp;IF(E4="RF","DI",E4)&amp;", "&amp;IF(H4="Actual -SF","SF",IF(H4="Actual - MF","MF",""))</f>
        <v xml:space="preserve">Domestic Hot Water Pipe insulation/ 3 ft./ 4 R-value/ 0.75 in. dia. - DI, </v>
      </c>
      <c r="C4" s="69" t="s">
        <v>3720</v>
      </c>
      <c r="D4" s="957" t="s">
        <v>2536</v>
      </c>
      <c r="E4" s="69" t="s">
        <v>1632</v>
      </c>
      <c r="F4" s="1000">
        <f>+$B$33</f>
        <v>15</v>
      </c>
      <c r="G4" s="1080"/>
      <c r="H4" s="1080"/>
      <c r="I4" s="1081" t="s">
        <v>3721</v>
      </c>
      <c r="J4" s="69" t="s">
        <v>1529</v>
      </c>
      <c r="K4" s="1138">
        <v>3</v>
      </c>
      <c r="L4" s="1138">
        <v>4</v>
      </c>
      <c r="M4" s="1138">
        <v>0.75</v>
      </c>
      <c r="N4" s="1139"/>
      <c r="O4" s="1140"/>
      <c r="P4" s="2871">
        <f>IF(J4=$A$62,((1/T4-1/U4)*V4*W4*X4*Y4*8766)/AA4/100000,0)</f>
        <v>6.469019249664651</v>
      </c>
      <c r="Q4" s="1139"/>
      <c r="R4" s="1140"/>
      <c r="S4" s="2872">
        <f>P4*F4</f>
        <v>97.035288744969762</v>
      </c>
      <c r="T4" s="2772">
        <f>$F$45</f>
        <v>0.44750000000000001</v>
      </c>
      <c r="U4" s="2731">
        <f>L4+T4</f>
        <v>4.4474999999999998</v>
      </c>
      <c r="V4" s="1486">
        <f>AB4+$F$53*AC4</f>
        <v>2.4874499999999999</v>
      </c>
      <c r="W4" s="2873">
        <f>$C$45</f>
        <v>0.19189999999999999</v>
      </c>
      <c r="X4" s="961">
        <f>+$B$27</f>
        <v>60</v>
      </c>
      <c r="Y4" s="2727">
        <f>$B$52</f>
        <v>1</v>
      </c>
      <c r="Z4" s="961">
        <f>+$B$29</f>
        <v>0.98</v>
      </c>
      <c r="AA4" s="961">
        <f>+$B$31</f>
        <v>0.78</v>
      </c>
      <c r="AB4" s="2641">
        <f>K4-AC4</f>
        <v>0.98999999999999977</v>
      </c>
      <c r="AC4" s="2641">
        <f>K4*0.67</f>
        <v>2.0100000000000002</v>
      </c>
    </row>
    <row r="5" spans="1:30" ht="39" customHeight="1" x14ac:dyDescent="0.35">
      <c r="A5" s="955" t="s">
        <v>861</v>
      </c>
      <c r="B5" s="956" t="s">
        <v>3722</v>
      </c>
      <c r="C5" s="69" t="s">
        <v>860</v>
      </c>
      <c r="D5" s="956" t="s">
        <v>2536</v>
      </c>
      <c r="E5" s="69" t="s">
        <v>1632</v>
      </c>
      <c r="F5" s="1021">
        <v>15</v>
      </c>
      <c r="G5" s="1080"/>
      <c r="H5" s="1080"/>
      <c r="I5" s="1082" t="s">
        <v>3721</v>
      </c>
      <c r="J5" s="69" t="s">
        <v>1529</v>
      </c>
      <c r="K5" s="1138">
        <v>1</v>
      </c>
      <c r="L5" s="1138">
        <v>3</v>
      </c>
      <c r="M5" s="1138">
        <v>0.75</v>
      </c>
      <c r="N5" s="1453"/>
      <c r="O5" s="1452"/>
      <c r="P5" s="2871">
        <f t="shared" ref="P5:P7" si="0">IF(J5=$A$62,((1/T5-1/U5)*V5*W5*X5*Y5*8766)/AA5/100000,0)</f>
        <v>2.086364257642026</v>
      </c>
      <c r="Q5" s="1139"/>
      <c r="R5" s="1140"/>
      <c r="S5" s="2872">
        <f>P5*F5</f>
        <v>31.295463864630392</v>
      </c>
      <c r="T5" s="2772">
        <f t="shared" ref="T5:T7" si="1">$F$45</f>
        <v>0.44750000000000001</v>
      </c>
      <c r="U5" s="2731">
        <f t="shared" ref="U5:U7" si="2">L5+T5</f>
        <v>3.4474999999999998</v>
      </c>
      <c r="V5" s="1486">
        <f t="shared" ref="V5:V7" si="3">AB5+$F$53*AC5</f>
        <v>0.82915000000000005</v>
      </c>
      <c r="W5" s="2873">
        <f t="shared" ref="W5:W7" si="4">$C$45</f>
        <v>0.19189999999999999</v>
      </c>
      <c r="X5" s="961">
        <f>+$B$27</f>
        <v>60</v>
      </c>
      <c r="Y5" s="2727">
        <f t="shared" ref="Y5:Y7" si="5">$B$52</f>
        <v>1</v>
      </c>
      <c r="Z5" s="961">
        <f>+$B$29</f>
        <v>0.98</v>
      </c>
      <c r="AA5" s="961">
        <f>+$B$31</f>
        <v>0.78</v>
      </c>
      <c r="AB5" s="2641">
        <f t="shared" ref="AB5:AB7" si="6">K5-AC5</f>
        <v>0.32999999999999996</v>
      </c>
      <c r="AC5" s="2641">
        <f t="shared" ref="AC5:AC7" si="7">K5*0.67</f>
        <v>0.67</v>
      </c>
    </row>
    <row r="6" spans="1:30" ht="43.5" x14ac:dyDescent="0.35">
      <c r="A6" s="955" t="s">
        <v>3723</v>
      </c>
      <c r="B6" s="956" t="s">
        <v>3724</v>
      </c>
      <c r="C6" s="69" t="s">
        <v>3725</v>
      </c>
      <c r="D6" s="956" t="s">
        <v>2536</v>
      </c>
      <c r="E6" s="69" t="s">
        <v>1632</v>
      </c>
      <c r="F6" s="1021">
        <v>15</v>
      </c>
      <c r="G6" s="1080"/>
      <c r="H6" s="1080"/>
      <c r="I6" s="1082" t="s">
        <v>3721</v>
      </c>
      <c r="J6" s="69" t="s">
        <v>1529</v>
      </c>
      <c r="K6" s="1138">
        <v>6</v>
      </c>
      <c r="L6" s="1138">
        <v>4</v>
      </c>
      <c r="M6" s="1138">
        <v>0.75</v>
      </c>
      <c r="N6" s="1453"/>
      <c r="O6" s="1452"/>
      <c r="P6" s="2871">
        <f t="shared" si="0"/>
        <v>12.938038499329302</v>
      </c>
      <c r="Q6" s="1139"/>
      <c r="R6" s="1140"/>
      <c r="S6" s="2872">
        <f>P6*F6</f>
        <v>194.07057748993952</v>
      </c>
      <c r="T6" s="2772">
        <f t="shared" si="1"/>
        <v>0.44750000000000001</v>
      </c>
      <c r="U6" s="2731">
        <f t="shared" si="2"/>
        <v>4.4474999999999998</v>
      </c>
      <c r="V6" s="1486">
        <f t="shared" si="3"/>
        <v>4.9748999999999999</v>
      </c>
      <c r="W6" s="2873">
        <f t="shared" si="4"/>
        <v>0.19189999999999999</v>
      </c>
      <c r="X6" s="961">
        <f>+$B$27</f>
        <v>60</v>
      </c>
      <c r="Y6" s="2727">
        <f t="shared" si="5"/>
        <v>1</v>
      </c>
      <c r="Z6" s="961">
        <f>+$B$29</f>
        <v>0.98</v>
      </c>
      <c r="AA6" s="961">
        <f>+$B$31</f>
        <v>0.78</v>
      </c>
      <c r="AB6" s="2641">
        <f t="shared" si="6"/>
        <v>1.9799999999999995</v>
      </c>
      <c r="AC6" s="2641">
        <f t="shared" si="7"/>
        <v>4.0200000000000005</v>
      </c>
    </row>
    <row r="7" spans="1:30" ht="43.5" x14ac:dyDescent="0.35">
      <c r="A7" s="955" t="s">
        <v>702</v>
      </c>
      <c r="B7" s="956" t="s">
        <v>3726</v>
      </c>
      <c r="C7" s="69" t="s">
        <v>701</v>
      </c>
      <c r="D7" s="956" t="s">
        <v>2536</v>
      </c>
      <c r="E7" s="69" t="s">
        <v>1632</v>
      </c>
      <c r="F7" s="1021">
        <v>15</v>
      </c>
      <c r="G7" s="1080"/>
      <c r="H7" s="1080"/>
      <c r="I7" s="1082" t="s">
        <v>3721</v>
      </c>
      <c r="J7" s="69" t="s">
        <v>1529</v>
      </c>
      <c r="K7" s="1138">
        <v>1</v>
      </c>
      <c r="L7" s="1138">
        <v>4</v>
      </c>
      <c r="M7" s="1138">
        <v>0.75</v>
      </c>
      <c r="N7" s="1453"/>
      <c r="O7" s="1452"/>
      <c r="P7" s="2871">
        <f t="shared" si="0"/>
        <v>2.1563397498882169</v>
      </c>
      <c r="Q7" s="1139"/>
      <c r="R7" s="1140"/>
      <c r="S7" s="2872">
        <f>P7*F7</f>
        <v>32.345096248323252</v>
      </c>
      <c r="T7" s="2772">
        <f t="shared" si="1"/>
        <v>0.44750000000000001</v>
      </c>
      <c r="U7" s="2731">
        <f t="shared" si="2"/>
        <v>4.4474999999999998</v>
      </c>
      <c r="V7" s="1486">
        <f t="shared" si="3"/>
        <v>0.82915000000000005</v>
      </c>
      <c r="W7" s="2873">
        <f t="shared" si="4"/>
        <v>0.19189999999999999</v>
      </c>
      <c r="X7" s="961">
        <f>+$B$27</f>
        <v>60</v>
      </c>
      <c r="Y7" s="2727">
        <f t="shared" si="5"/>
        <v>1</v>
      </c>
      <c r="Z7" s="961">
        <f>+$B$29</f>
        <v>0.98</v>
      </c>
      <c r="AA7" s="961">
        <f>+$B$31</f>
        <v>0.78</v>
      </c>
      <c r="AB7" s="2641">
        <f t="shared" si="6"/>
        <v>0.32999999999999996</v>
      </c>
      <c r="AC7" s="2641">
        <f t="shared" si="7"/>
        <v>0.67</v>
      </c>
    </row>
    <row r="9" spans="1:30" x14ac:dyDescent="0.35">
      <c r="A9" s="62" t="s">
        <v>1188</v>
      </c>
      <c r="B9" s="64"/>
      <c r="C9" s="64"/>
      <c r="D9" s="64"/>
      <c r="E9" s="64"/>
      <c r="F9" s="65"/>
    </row>
    <row r="10" spans="1:30" x14ac:dyDescent="0.35">
      <c r="A10" s="272" t="s">
        <v>3727</v>
      </c>
      <c r="B10" s="461"/>
      <c r="C10" s="461"/>
      <c r="D10" s="69"/>
      <c r="E10" s="69"/>
      <c r="F10" s="70"/>
    </row>
    <row r="11" spans="1:30" x14ac:dyDescent="0.35">
      <c r="A11" s="2718" t="s">
        <v>3728</v>
      </c>
      <c r="B11" s="2642"/>
      <c r="C11" s="2641"/>
      <c r="D11" s="2641"/>
      <c r="E11" s="2641"/>
      <c r="F11" s="2719"/>
    </row>
    <row r="12" spans="1:30" x14ac:dyDescent="0.35">
      <c r="A12" s="67" t="s">
        <v>3729</v>
      </c>
      <c r="B12" s="308"/>
      <c r="C12" s="69"/>
      <c r="D12" s="69"/>
      <c r="E12" s="69"/>
      <c r="F12" s="70"/>
    </row>
    <row r="13" spans="1:30" x14ac:dyDescent="0.35">
      <c r="A13" s="272" t="s">
        <v>3730</v>
      </c>
      <c r="B13" s="69"/>
      <c r="C13" s="69"/>
      <c r="D13" s="69"/>
      <c r="E13" s="69"/>
      <c r="F13" s="70"/>
    </row>
    <row r="14" spans="1:30" x14ac:dyDescent="0.35">
      <c r="A14" s="2720" t="s">
        <v>3731</v>
      </c>
      <c r="B14" s="2721"/>
      <c r="C14" s="2722"/>
      <c r="D14" s="2721"/>
      <c r="E14" s="2721"/>
      <c r="F14" s="2723"/>
    </row>
    <row r="15" spans="1:30" x14ac:dyDescent="0.35">
      <c r="A15" s="154" t="s">
        <v>1078</v>
      </c>
      <c r="B15" s="1142">
        <f>'Measure-Level Adjustments'!A2</f>
        <v>44592</v>
      </c>
    </row>
    <row r="16" spans="1:30" x14ac:dyDescent="0.35">
      <c r="A16" s="154" t="s">
        <v>1079</v>
      </c>
      <c r="B16" s="577" t="s">
        <v>704</v>
      </c>
    </row>
    <row r="18" spans="1:8" x14ac:dyDescent="0.35">
      <c r="A18" s="74" t="s">
        <v>1285</v>
      </c>
      <c r="B18" s="75" t="s">
        <v>1199</v>
      </c>
      <c r="C18" s="76" t="s">
        <v>1082</v>
      </c>
      <c r="D18" s="64"/>
      <c r="E18" s="64"/>
      <c r="F18" s="64"/>
      <c r="G18" s="64"/>
      <c r="H18" s="65"/>
    </row>
    <row r="19" spans="1:8" ht="15" x14ac:dyDescent="0.35">
      <c r="A19" s="1133" t="s">
        <v>3710</v>
      </c>
      <c r="B19" s="80"/>
      <c r="C19" s="79" t="s">
        <v>3732</v>
      </c>
      <c r="D19" s="80"/>
      <c r="E19" s="80"/>
      <c r="F19" s="80"/>
      <c r="G19" s="80"/>
      <c r="H19" s="81"/>
    </row>
    <row r="20" spans="1:8" x14ac:dyDescent="0.35">
      <c r="A20" s="1134"/>
      <c r="B20" s="85"/>
      <c r="C20" s="84" t="s">
        <v>3733</v>
      </c>
      <c r="D20" s="85"/>
      <c r="E20" s="85"/>
      <c r="F20" s="85"/>
      <c r="G20" s="85"/>
      <c r="H20" s="86"/>
    </row>
    <row r="21" spans="1:8" ht="15" x14ac:dyDescent="0.35">
      <c r="A21" s="1133" t="s">
        <v>3711</v>
      </c>
      <c r="B21" s="80"/>
      <c r="C21" s="79" t="s">
        <v>3734</v>
      </c>
      <c r="D21" s="80"/>
      <c r="E21" s="80"/>
      <c r="F21" s="80"/>
      <c r="G21" s="80"/>
      <c r="H21" s="81"/>
    </row>
    <row r="22" spans="1:8" x14ac:dyDescent="0.35">
      <c r="A22" s="1134"/>
      <c r="B22" s="85"/>
      <c r="C22" s="84" t="s">
        <v>3735</v>
      </c>
      <c r="D22" s="85"/>
      <c r="E22" s="85"/>
      <c r="F22" s="85"/>
      <c r="G22" s="85"/>
      <c r="H22" s="86"/>
    </row>
    <row r="23" spans="1:8" x14ac:dyDescent="0.35">
      <c r="A23" s="93" t="s">
        <v>3713</v>
      </c>
      <c r="B23" s="80"/>
      <c r="C23" s="79" t="s">
        <v>3736</v>
      </c>
      <c r="D23" s="80"/>
      <c r="E23" s="80"/>
      <c r="F23" s="80"/>
      <c r="G23" s="80"/>
      <c r="H23" s="81"/>
    </row>
    <row r="24" spans="1:8" x14ac:dyDescent="0.35">
      <c r="A24" s="1134"/>
      <c r="B24" s="85"/>
      <c r="C24" s="84" t="s">
        <v>3733</v>
      </c>
      <c r="D24" s="85"/>
      <c r="E24" s="85"/>
      <c r="F24" s="85"/>
      <c r="G24" s="85"/>
      <c r="H24" s="86"/>
    </row>
    <row r="25" spans="1:8" x14ac:dyDescent="0.35">
      <c r="A25" s="93" t="s">
        <v>3737</v>
      </c>
      <c r="B25" s="1135"/>
      <c r="C25" s="79" t="s">
        <v>3738</v>
      </c>
      <c r="D25" s="80"/>
      <c r="E25" s="80"/>
      <c r="F25" s="80"/>
      <c r="G25" s="80"/>
      <c r="H25" s="81"/>
    </row>
    <row r="26" spans="1:8" x14ac:dyDescent="0.35">
      <c r="A26" s="1134"/>
      <c r="B26" s="85"/>
      <c r="C26" s="84" t="s">
        <v>3739</v>
      </c>
      <c r="D26" s="85"/>
      <c r="E26" s="85"/>
      <c r="F26" s="85"/>
      <c r="G26" s="85"/>
      <c r="H26" s="86"/>
    </row>
    <row r="27" spans="1:8" x14ac:dyDescent="0.35">
      <c r="A27" s="1133" t="s">
        <v>3714</v>
      </c>
      <c r="B27" s="80">
        <v>60</v>
      </c>
      <c r="C27" s="79" t="s">
        <v>3740</v>
      </c>
      <c r="D27" s="80"/>
      <c r="E27" s="80"/>
      <c r="F27" s="80"/>
      <c r="G27" s="80"/>
      <c r="H27" s="81"/>
    </row>
    <row r="28" spans="1:8" x14ac:dyDescent="0.35">
      <c r="A28" s="88"/>
      <c r="B28" s="85"/>
      <c r="C28" s="84" t="s">
        <v>1287</v>
      </c>
      <c r="D28" s="85"/>
      <c r="E28" s="85"/>
      <c r="F28" s="85"/>
      <c r="G28" s="85"/>
      <c r="H28" s="86"/>
    </row>
    <row r="29" spans="1:8" x14ac:dyDescent="0.35">
      <c r="A29" s="1133" t="s">
        <v>3741</v>
      </c>
      <c r="B29" s="80">
        <v>0.98</v>
      </c>
      <c r="C29" s="79" t="s">
        <v>3742</v>
      </c>
      <c r="D29" s="80"/>
      <c r="E29" s="80"/>
      <c r="F29" s="80"/>
      <c r="G29" s="80"/>
      <c r="H29" s="81"/>
    </row>
    <row r="30" spans="1:8" x14ac:dyDescent="0.35">
      <c r="A30" s="88"/>
      <c r="B30" s="85"/>
      <c r="C30" s="84" t="s">
        <v>1287</v>
      </c>
      <c r="D30" s="85"/>
      <c r="E30" s="85"/>
      <c r="F30" s="85"/>
      <c r="G30" s="85"/>
      <c r="H30" s="86"/>
    </row>
    <row r="31" spans="1:8" x14ac:dyDescent="0.35">
      <c r="A31" s="1133" t="s">
        <v>3743</v>
      </c>
      <c r="B31" s="80">
        <v>0.78</v>
      </c>
      <c r="C31" s="79" t="s">
        <v>3744</v>
      </c>
      <c r="D31" s="80"/>
      <c r="E31" s="80"/>
      <c r="F31" s="80"/>
      <c r="G31" s="80"/>
      <c r="H31" s="81"/>
    </row>
    <row r="32" spans="1:8" x14ac:dyDescent="0.35">
      <c r="A32" s="88"/>
      <c r="B32" s="85"/>
      <c r="C32" s="84" t="s">
        <v>1287</v>
      </c>
      <c r="D32" s="85"/>
      <c r="E32" s="85"/>
      <c r="F32" s="85"/>
      <c r="G32" s="85"/>
      <c r="H32" s="86"/>
    </row>
    <row r="33" spans="1:27" x14ac:dyDescent="0.35">
      <c r="A33" s="93" t="s">
        <v>1083</v>
      </c>
      <c r="B33" s="80">
        <v>15</v>
      </c>
      <c r="C33" s="80" t="s">
        <v>3745</v>
      </c>
      <c r="D33" s="80"/>
      <c r="E33" s="80"/>
      <c r="F33" s="80"/>
      <c r="G33" s="80"/>
      <c r="H33" s="81"/>
    </row>
    <row r="34" spans="1:27" x14ac:dyDescent="0.35">
      <c r="A34" s="88"/>
      <c r="B34" s="85"/>
      <c r="C34" s="84" t="s">
        <v>1287</v>
      </c>
      <c r="D34" s="85"/>
      <c r="E34" s="85"/>
      <c r="F34" s="85"/>
      <c r="G34" s="85"/>
      <c r="H34" s="86"/>
    </row>
    <row r="35" spans="1:27" x14ac:dyDescent="0.35">
      <c r="A35" s="2606" t="s">
        <v>3746</v>
      </c>
      <c r="B35" s="2875">
        <f>B52</f>
        <v>1</v>
      </c>
      <c r="C35" s="80" t="s">
        <v>3747</v>
      </c>
      <c r="D35" s="80"/>
      <c r="E35" s="80"/>
      <c r="F35" s="80"/>
      <c r="G35" s="80"/>
      <c r="H35" s="81"/>
    </row>
    <row r="36" spans="1:27" x14ac:dyDescent="0.35">
      <c r="A36" s="88"/>
      <c r="B36" s="85"/>
      <c r="C36" s="84" t="s">
        <v>3748</v>
      </c>
      <c r="D36" s="85"/>
      <c r="E36" s="85"/>
      <c r="F36" s="85"/>
      <c r="G36" s="85"/>
      <c r="H36" s="86"/>
    </row>
    <row r="37" spans="1:27" x14ac:dyDescent="0.35">
      <c r="A37" s="2606" t="s">
        <v>1040</v>
      </c>
      <c r="B37" s="2876" t="s">
        <v>3749</v>
      </c>
      <c r="C37" s="80"/>
      <c r="D37" s="80"/>
      <c r="E37" s="80"/>
      <c r="F37" s="80"/>
      <c r="G37" s="80"/>
      <c r="H37" s="81"/>
    </row>
    <row r="38" spans="1:27" x14ac:dyDescent="0.35">
      <c r="A38" s="88"/>
      <c r="B38" s="85"/>
      <c r="C38" s="84"/>
      <c r="D38" s="85"/>
      <c r="E38" s="85"/>
      <c r="F38" s="85"/>
      <c r="G38" s="85"/>
      <c r="H38" s="86"/>
    </row>
    <row r="40" spans="1:27" x14ac:dyDescent="0.35">
      <c r="A40" s="97" t="s">
        <v>1129</v>
      </c>
      <c r="B40" s="98"/>
      <c r="C40" s="64"/>
      <c r="D40" s="64"/>
      <c r="E40" s="64"/>
      <c r="F40" s="65"/>
    </row>
    <row r="41" spans="1:27" x14ac:dyDescent="0.35">
      <c r="A41" s="99"/>
      <c r="B41" s="69"/>
      <c r="C41" s="69"/>
      <c r="D41" s="69"/>
      <c r="E41" s="69"/>
      <c r="F41" s="100"/>
    </row>
    <row r="42" spans="1:27" x14ac:dyDescent="0.35">
      <c r="A42" s="3328" t="s">
        <v>3750</v>
      </c>
      <c r="B42" s="3329"/>
      <c r="C42" s="69"/>
      <c r="D42" s="3328" t="s">
        <v>3751</v>
      </c>
      <c r="E42" s="3329"/>
      <c r="F42" s="100"/>
    </row>
    <row r="43" spans="1:27" ht="13" customHeight="1" x14ac:dyDescent="0.35">
      <c r="A43" s="2724" t="s">
        <v>3752</v>
      </c>
      <c r="B43" s="2601" t="s">
        <v>3753</v>
      </c>
      <c r="C43" s="69"/>
      <c r="D43" s="2724" t="s">
        <v>3752</v>
      </c>
      <c r="E43" s="2601" t="s">
        <v>3754</v>
      </c>
      <c r="F43" s="100"/>
      <c r="AA43" t="s">
        <v>3755</v>
      </c>
    </row>
    <row r="44" spans="1:27" x14ac:dyDescent="0.35">
      <c r="A44" s="2724" t="s">
        <v>3756</v>
      </c>
      <c r="B44" s="2601">
        <v>0.14269999999999999</v>
      </c>
      <c r="C44" s="2725" t="s">
        <v>3757</v>
      </c>
      <c r="D44" s="2724" t="s">
        <v>3756</v>
      </c>
      <c r="E44" s="2601">
        <v>0.44400000000000001</v>
      </c>
      <c r="F44" s="2725" t="s">
        <v>3758</v>
      </c>
    </row>
    <row r="45" spans="1:27" x14ac:dyDescent="0.35">
      <c r="A45" s="2724" t="s">
        <v>3759</v>
      </c>
      <c r="B45" s="2601">
        <v>0.20549999999999999</v>
      </c>
      <c r="C45" s="2726">
        <f>AVERAGE(B45,B47)</f>
        <v>0.19189999999999999</v>
      </c>
      <c r="D45" s="2851" t="s">
        <v>3759</v>
      </c>
      <c r="E45" s="2601">
        <v>0.52100000000000002</v>
      </c>
      <c r="F45" s="2726">
        <f>AVERAGE(E45,E47)</f>
        <v>0.44750000000000001</v>
      </c>
    </row>
    <row r="46" spans="1:27" x14ac:dyDescent="0.35">
      <c r="A46" s="2724" t="s">
        <v>3760</v>
      </c>
      <c r="B46" s="122">
        <v>0.127</v>
      </c>
      <c r="C46" s="69"/>
      <c r="D46" s="2851" t="s">
        <v>3760</v>
      </c>
      <c r="E46" s="122">
        <v>0.33200000000000002</v>
      </c>
      <c r="F46" s="100"/>
    </row>
    <row r="47" spans="1:27" x14ac:dyDescent="0.35">
      <c r="A47" s="2724" t="s">
        <v>3761</v>
      </c>
      <c r="B47" s="122">
        <v>0.17829999999999999</v>
      </c>
      <c r="C47" s="69"/>
      <c r="D47" s="2724" t="s">
        <v>3761</v>
      </c>
      <c r="E47" s="122">
        <v>0.374</v>
      </c>
      <c r="F47" s="100"/>
    </row>
    <row r="48" spans="1:27" x14ac:dyDescent="0.35">
      <c r="A48" s="99"/>
      <c r="B48" s="69"/>
      <c r="C48" s="69"/>
      <c r="D48" s="69"/>
      <c r="E48" s="69"/>
      <c r="F48" s="100"/>
    </row>
    <row r="49" spans="1:6" x14ac:dyDescent="0.35">
      <c r="A49" s="99"/>
      <c r="B49" s="69"/>
      <c r="C49" s="69"/>
      <c r="D49" s="69"/>
      <c r="E49" s="69"/>
      <c r="F49" s="100"/>
    </row>
    <row r="50" spans="1:6" x14ac:dyDescent="0.35">
      <c r="A50" s="1077" t="s">
        <v>1580</v>
      </c>
      <c r="B50" s="1078"/>
      <c r="C50" s="69"/>
      <c r="D50" s="3328" t="s">
        <v>3762</v>
      </c>
      <c r="E50" s="3329"/>
      <c r="F50" s="100"/>
    </row>
    <row r="51" spans="1:6" x14ac:dyDescent="0.35">
      <c r="A51" s="1136" t="s">
        <v>3763</v>
      </c>
      <c r="B51" s="291">
        <v>0.56000000000000005</v>
      </c>
      <c r="C51" s="69"/>
      <c r="D51" s="2724" t="s">
        <v>3752</v>
      </c>
      <c r="E51" s="2852" t="s">
        <v>3764</v>
      </c>
      <c r="F51" s="100"/>
    </row>
    <row r="52" spans="1:6" x14ac:dyDescent="0.35">
      <c r="A52" s="1137" t="s">
        <v>3765</v>
      </c>
      <c r="B52" s="291">
        <v>1</v>
      </c>
      <c r="C52" s="69"/>
      <c r="D52" s="2724" t="s">
        <v>3756</v>
      </c>
      <c r="E52" s="2891">
        <v>0.67</v>
      </c>
      <c r="F52" s="2725" t="s">
        <v>3766</v>
      </c>
    </row>
    <row r="53" spans="1:6" x14ac:dyDescent="0.35">
      <c r="A53" s="2830" t="s">
        <v>3767</v>
      </c>
      <c r="B53" s="2831">
        <v>0.78</v>
      </c>
      <c r="C53" s="69"/>
      <c r="D53" s="2724" t="s">
        <v>3759</v>
      </c>
      <c r="E53" s="2891">
        <v>0.72</v>
      </c>
      <c r="F53" s="2726">
        <f>AVERAGE(E53,E55)</f>
        <v>0.745</v>
      </c>
    </row>
    <row r="54" spans="1:6" x14ac:dyDescent="0.35">
      <c r="A54" s="99"/>
      <c r="B54" s="69"/>
      <c r="C54" s="69"/>
      <c r="D54" s="2724" t="s">
        <v>3760</v>
      </c>
      <c r="E54" s="2892">
        <v>0.73</v>
      </c>
      <c r="F54" s="100"/>
    </row>
    <row r="55" spans="1:6" x14ac:dyDescent="0.35">
      <c r="A55" s="1077" t="s">
        <v>1038</v>
      </c>
      <c r="B55" s="1078"/>
      <c r="C55" s="69"/>
      <c r="D55" s="2724" t="s">
        <v>3761</v>
      </c>
      <c r="E55" s="2892">
        <v>0.77</v>
      </c>
      <c r="F55" s="100"/>
    </row>
    <row r="56" spans="1:6" x14ac:dyDescent="0.35">
      <c r="A56" s="290" t="s">
        <v>1072</v>
      </c>
      <c r="B56" s="49" t="s">
        <v>2278</v>
      </c>
      <c r="C56" s="69"/>
      <c r="D56" s="69"/>
      <c r="E56" s="69"/>
      <c r="F56" s="100"/>
    </row>
    <row r="57" spans="1:6" x14ac:dyDescent="0.35">
      <c r="A57" s="290" t="s">
        <v>2279</v>
      </c>
      <c r="B57" s="49" t="s">
        <v>2280</v>
      </c>
      <c r="C57" s="69"/>
      <c r="D57" s="69"/>
      <c r="E57" s="69"/>
      <c r="F57" s="100"/>
    </row>
    <row r="58" spans="1:6" x14ac:dyDescent="0.35">
      <c r="A58" s="290" t="s">
        <v>1632</v>
      </c>
      <c r="B58" s="49" t="s">
        <v>2456</v>
      </c>
      <c r="C58" s="69"/>
      <c r="D58" s="69"/>
      <c r="E58" s="69"/>
      <c r="F58" s="100"/>
    </row>
    <row r="59" spans="1:6" x14ac:dyDescent="0.35">
      <c r="A59" s="99"/>
      <c r="B59" s="69"/>
      <c r="C59" s="69"/>
      <c r="D59" s="69"/>
      <c r="E59" s="69"/>
      <c r="F59" s="100"/>
    </row>
    <row r="60" spans="1:6" x14ac:dyDescent="0.35">
      <c r="A60" s="1077" t="s">
        <v>3309</v>
      </c>
      <c r="B60" s="1078"/>
      <c r="C60" s="69"/>
      <c r="D60" s="69"/>
      <c r="E60" s="69"/>
      <c r="F60" s="100"/>
    </row>
    <row r="61" spans="1:6" x14ac:dyDescent="0.35">
      <c r="A61" s="290" t="s">
        <v>1566</v>
      </c>
      <c r="B61" s="49"/>
      <c r="C61" s="69"/>
      <c r="D61" s="69"/>
      <c r="E61" s="69"/>
      <c r="F61" s="100"/>
    </row>
    <row r="62" spans="1:6" x14ac:dyDescent="0.35">
      <c r="A62" s="290" t="s">
        <v>1529</v>
      </c>
      <c r="B62" s="49"/>
      <c r="C62" s="69"/>
      <c r="D62" s="69"/>
      <c r="E62" s="69"/>
      <c r="F62" s="100"/>
    </row>
    <row r="63" spans="1:6" x14ac:dyDescent="0.35">
      <c r="A63" s="99"/>
      <c r="B63" s="69"/>
      <c r="C63" s="69"/>
      <c r="D63" s="69"/>
      <c r="E63" s="69"/>
      <c r="F63" s="100"/>
    </row>
    <row r="64" spans="1:6" x14ac:dyDescent="0.35">
      <c r="A64" s="99"/>
      <c r="B64" s="69"/>
      <c r="C64" s="69"/>
      <c r="D64" s="69"/>
      <c r="E64" s="69"/>
      <c r="F64" s="100"/>
    </row>
    <row r="65" spans="1:6" x14ac:dyDescent="0.35">
      <c r="A65" s="99"/>
      <c r="B65" s="69"/>
      <c r="C65" s="69"/>
      <c r="D65" s="69"/>
      <c r="E65" s="69"/>
      <c r="F65" s="100"/>
    </row>
    <row r="66" spans="1:6" x14ac:dyDescent="0.35">
      <c r="A66" s="261"/>
      <c r="B66" s="161"/>
      <c r="C66" s="161"/>
      <c r="D66" s="161"/>
      <c r="E66" s="161"/>
      <c r="F66" s="163"/>
    </row>
  </sheetData>
  <customSheetViews>
    <customSheetView guid="{ECD6FE6A-9548-414E-B8AA-6998703C57E0}" scale="60" showPageBreaks="1" fitToPage="1" view="pageBreakPreview">
      <selection activeCell="T13" sqref="T13"/>
      <pageMargins left="0" right="0" top="0" bottom="0" header="0" footer="0"/>
      <pageSetup scale="35" orientation="landscape" verticalDpi="300" r:id="rId1"/>
    </customSheetView>
    <customSheetView guid="{11DE45F5-F478-4ED6-8DFF-12002C22A637}" scale="60" showPageBreaks="1" fitToPage="1" view="pageBreakPreview">
      <selection activeCell="T13" sqref="T13"/>
      <pageMargins left="0" right="0" top="0" bottom="0" header="0" footer="0"/>
      <pageSetup scale="35" orientation="landscape" verticalDpi="300" r:id="rId2"/>
    </customSheetView>
  </customSheetViews>
  <mergeCells count="6">
    <mergeCell ref="T2:AC2"/>
    <mergeCell ref="D50:E50"/>
    <mergeCell ref="N2:P2"/>
    <mergeCell ref="Q2:S2"/>
    <mergeCell ref="A42:B42"/>
    <mergeCell ref="D42:E42"/>
  </mergeCells>
  <phoneticPr fontId="152" type="noConversion"/>
  <dataValidations disablePrompts="1" count="4">
    <dataValidation type="list" allowBlank="1" showInputMessage="1" showErrorMessage="1" sqref="H4:H7" xr:uid="{00000000-0002-0000-2600-000000000000}">
      <formula1>$A$51:$A$53</formula1>
    </dataValidation>
    <dataValidation type="list" allowBlank="1" showInputMessage="1" showErrorMessage="1" sqref="D4:D7" xr:uid="{00000000-0002-0000-2600-000001000000}">
      <formula1>MeasureType</formula1>
    </dataValidation>
    <dataValidation type="list" allowBlank="1" showInputMessage="1" showErrorMessage="1" sqref="E4:E7" xr:uid="{00000000-0002-0000-2600-000002000000}">
      <formula1>HEBEF1</formula1>
    </dataValidation>
    <dataValidation type="list" allowBlank="1" showInputMessage="1" showErrorMessage="1" sqref="J4:J7" xr:uid="{00000000-0002-0000-2600-000003000000}">
      <formula1>Fuel2</formula1>
    </dataValidation>
  </dataValidations>
  <hyperlinks>
    <hyperlink ref="A1" location="'Measure-Level Adjustments'!Print_Titles" display="Measure Level Tab" xr:uid="{F09D2AE9-A0CA-47F9-A0EE-A644E474824F}"/>
  </hyperlinks>
  <pageMargins left="0.7" right="0.7" top="0.75" bottom="0.75" header="0.3" footer="0.3"/>
  <pageSetup scale="37" orientation="landscape" verticalDpi="300" r:id="rId3"/>
  <legacyDrawing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A1:AA69"/>
  <sheetViews>
    <sheetView view="pageBreakPreview" topLeftCell="A25" zoomScale="85" zoomScaleNormal="100" zoomScaleSheetLayoutView="85" workbookViewId="0"/>
  </sheetViews>
  <sheetFormatPr defaultRowHeight="14.5" x14ac:dyDescent="0.35"/>
  <cols>
    <col min="1" max="1" width="23.54296875" customWidth="1"/>
    <col min="2" max="2" width="31.54296875" customWidth="1"/>
    <col min="3" max="5" width="22.81640625" customWidth="1"/>
    <col min="6" max="6" width="21.54296875" customWidth="1"/>
    <col min="7" max="7" width="11.453125" customWidth="1"/>
    <col min="8" max="8" width="24.1796875" customWidth="1"/>
    <col min="9" max="9" width="18.453125" customWidth="1"/>
    <col min="10" max="10" width="17" customWidth="1"/>
    <col min="14" max="14" width="10" bestFit="1" customWidth="1"/>
    <col min="15" max="15" width="12.26953125" customWidth="1"/>
    <col min="16" max="16" width="10.7265625" customWidth="1"/>
    <col min="18" max="18" width="14.54296875" customWidth="1"/>
    <col min="20" max="27" width="13.453125" customWidth="1"/>
  </cols>
  <sheetData>
    <row r="1" spans="1:27" x14ac:dyDescent="0.35">
      <c r="A1" s="1799" t="s">
        <v>1031</v>
      </c>
    </row>
    <row r="2" spans="1:27" x14ac:dyDescent="0.35">
      <c r="A2" s="1428" t="s">
        <v>642</v>
      </c>
      <c r="B2" s="968" t="s">
        <v>3768</v>
      </c>
      <c r="C2" s="968"/>
      <c r="D2" s="968"/>
      <c r="E2" s="968"/>
      <c r="F2" s="967"/>
      <c r="G2" s="967"/>
      <c r="H2" s="967"/>
      <c r="I2" s="967"/>
      <c r="J2" s="967"/>
      <c r="K2" s="1043"/>
      <c r="L2" s="1043"/>
      <c r="M2" s="3010" t="s">
        <v>1032</v>
      </c>
      <c r="N2" s="3011"/>
      <c r="O2" s="3011"/>
      <c r="P2" s="3014" t="s">
        <v>1033</v>
      </c>
      <c r="Q2" s="3014"/>
      <c r="R2" s="3014"/>
      <c r="S2" s="2993" t="s">
        <v>1158</v>
      </c>
      <c r="T2" s="2993"/>
      <c r="U2" s="2993"/>
      <c r="V2" s="2993"/>
      <c r="W2" s="2993"/>
      <c r="X2" s="2993"/>
      <c r="Y2" s="2993"/>
      <c r="Z2" s="2993"/>
      <c r="AA2" s="2993"/>
    </row>
    <row r="3" spans="1:27" ht="42.75" customHeight="1" x14ac:dyDescent="0.35">
      <c r="A3" s="969" t="s">
        <v>1035</v>
      </c>
      <c r="B3" s="969" t="s">
        <v>155</v>
      </c>
      <c r="C3" s="953" t="s">
        <v>1036</v>
      </c>
      <c r="D3" s="953" t="s">
        <v>1752</v>
      </c>
      <c r="E3" s="953" t="s">
        <v>3769</v>
      </c>
      <c r="F3" s="952" t="s">
        <v>1038</v>
      </c>
      <c r="G3" s="952" t="s">
        <v>1039</v>
      </c>
      <c r="H3" s="952" t="s">
        <v>3770</v>
      </c>
      <c r="I3" s="952" t="s">
        <v>1040</v>
      </c>
      <c r="J3" s="969" t="s">
        <v>1041</v>
      </c>
      <c r="K3" s="952" t="s">
        <v>3771</v>
      </c>
      <c r="L3" s="952" t="s">
        <v>1043</v>
      </c>
      <c r="M3" s="970" t="s">
        <v>1044</v>
      </c>
      <c r="N3" s="970" t="s">
        <v>1045</v>
      </c>
      <c r="O3" s="970" t="s">
        <v>1046</v>
      </c>
      <c r="P3" s="970" t="s">
        <v>1044</v>
      </c>
      <c r="Q3" s="970" t="s">
        <v>1045</v>
      </c>
      <c r="R3" s="970" t="s">
        <v>1046</v>
      </c>
      <c r="S3" s="1447" t="s">
        <v>3772</v>
      </c>
      <c r="T3" s="1447" t="s">
        <v>3773</v>
      </c>
      <c r="U3" s="1447" t="s">
        <v>3774</v>
      </c>
      <c r="V3" s="1447" t="s">
        <v>3775</v>
      </c>
      <c r="W3" s="1447" t="s">
        <v>3776</v>
      </c>
      <c r="X3" s="1447" t="s">
        <v>1571</v>
      </c>
      <c r="Y3" s="1447" t="s">
        <v>1572</v>
      </c>
      <c r="Z3" s="1447" t="s">
        <v>3777</v>
      </c>
      <c r="AA3" s="1447" t="s">
        <v>1754</v>
      </c>
    </row>
    <row r="4" spans="1:27" ht="42.75" customHeight="1" x14ac:dyDescent="0.35">
      <c r="A4" s="966" t="s">
        <v>833</v>
      </c>
      <c r="B4" s="966" t="s">
        <v>3778</v>
      </c>
      <c r="C4" s="1798" t="s">
        <v>832</v>
      </c>
      <c r="D4" s="957" t="s">
        <v>1771</v>
      </c>
      <c r="E4" s="956" t="s">
        <v>3330</v>
      </c>
      <c r="F4" s="69" t="s">
        <v>1072</v>
      </c>
      <c r="G4" s="974">
        <v>13</v>
      </c>
      <c r="H4" s="1827" t="s">
        <v>3779</v>
      </c>
      <c r="I4" s="976"/>
      <c r="J4" s="972" t="s">
        <v>1284</v>
      </c>
      <c r="K4" s="610">
        <v>40</v>
      </c>
      <c r="L4" s="610"/>
      <c r="M4" s="986"/>
      <c r="N4" s="987"/>
      <c r="O4" s="2732">
        <f>IF(F4=$I$62,((1/S4-1/T4)*(V4*Z4*365.25*W4*(X4-Y4)*1)/100000),(IF(F4=$I$63,(((1/U4-1/T4)*V4*Z4*365.25*W4*(X4-Y4)*1)/100000)+((1/S4-1/T4)*(V4*Z4*365.25*W4*(X4-Y4)*1)/100000))))</f>
        <v>46.590292982243291</v>
      </c>
      <c r="P4" s="147"/>
      <c r="Q4" s="147"/>
      <c r="R4" s="2733">
        <f>O4*G4</f>
        <v>605.67380876916275</v>
      </c>
      <c r="S4" s="1">
        <f>IF(AA4=$C$62,0.6483-(0.0017*K4),0.7897-(0.0004*K4))</f>
        <v>0.58030000000000004</v>
      </c>
      <c r="T4" s="49">
        <f>VLOOKUP(H4,$B$55:$E$58,4,FALSE)</f>
        <v>0.79</v>
      </c>
      <c r="U4" s="49">
        <v>0.52</v>
      </c>
      <c r="V4" s="49">
        <v>17.600000000000001</v>
      </c>
      <c r="W4" s="49">
        <v>8.33</v>
      </c>
      <c r="X4" s="49">
        <v>125</v>
      </c>
      <c r="Y4" s="2649">
        <f>$B$39</f>
        <v>50.7</v>
      </c>
      <c r="Z4" s="49">
        <f>VLOOKUP(E4,$I$55:$J$57,2,FALSE)</f>
        <v>2.56</v>
      </c>
      <c r="AA4" s="49" t="str">
        <f>IF(AND(K4&gt;20,K4&lt;54),"20-55","55-100")</f>
        <v>20-55</v>
      </c>
    </row>
    <row r="5" spans="1:27" ht="29" x14ac:dyDescent="0.35">
      <c r="A5" s="966" t="s">
        <v>641</v>
      </c>
      <c r="B5" s="966" t="str">
        <f>$B$2&amp;"-  "&amp;E5&amp;" - "&amp;H5&amp;" - "&amp;K5&amp;" gals"</f>
        <v>Gas Water heater-  Single-Family - Tankless whole-house unit - 40 gals</v>
      </c>
      <c r="C5" s="1798" t="str">
        <f>"WH -"&amp;IF(E5="Single-Family"," SF"," MF")&amp;IF(H5=$B$75," Storage ",IF(H5=$B$77," Condensing "," Tankless "))&amp;K5&amp;" gal"</f>
        <v>WH - SF Tankless 40 gal</v>
      </c>
      <c r="D5" s="957" t="s">
        <v>1771</v>
      </c>
      <c r="E5" s="956" t="s">
        <v>3330</v>
      </c>
      <c r="F5" s="69" t="s">
        <v>1072</v>
      </c>
      <c r="G5" s="974">
        <v>13</v>
      </c>
      <c r="H5" s="1827" t="s">
        <v>3780</v>
      </c>
      <c r="I5" s="976"/>
      <c r="J5" s="972"/>
      <c r="K5" s="610">
        <v>40</v>
      </c>
      <c r="L5" s="610"/>
      <c r="M5" s="986"/>
      <c r="N5" s="987"/>
      <c r="O5" s="2732">
        <f>IF(F5=$I$62,((1/S5-1/T5)*(V5*Z5*365.25*W5*(X5-Y5)*1)/100000),(IF(F5=$I$63,(((1/U5-1/T5)*V5*Z5*365.25*W5*(X5-Y5)*1)/100000)+((1/S5-1/T5)*(V5*Z5*365.25*W5*(X5-Y5)*1)/100000))))</f>
        <v>58.445805024118449</v>
      </c>
      <c r="P5" s="147"/>
      <c r="Q5" s="147"/>
      <c r="R5" s="2733">
        <f>O5*G5</f>
        <v>759.79546531353981</v>
      </c>
      <c r="S5" s="1">
        <f>IF(AA5=$C$62,0.6483-(0.0017*K5),0.7897-(0.0004*K5))</f>
        <v>0.58030000000000004</v>
      </c>
      <c r="T5" s="49">
        <f>VLOOKUP(H5,$B$55:$E$58,4,FALSE)</f>
        <v>0.87</v>
      </c>
      <c r="U5" s="49">
        <v>0.52</v>
      </c>
      <c r="V5" s="49">
        <v>17.600000000000001</v>
      </c>
      <c r="W5" s="49">
        <v>8.33</v>
      </c>
      <c r="X5" s="49">
        <v>125</v>
      </c>
      <c r="Y5" s="2649">
        <f t="shared" ref="Y5:Y6" si="0">$B$39</f>
        <v>50.7</v>
      </c>
      <c r="Z5" s="49">
        <f>VLOOKUP(E5,$I$55:$J$57,2,FALSE)</f>
        <v>2.56</v>
      </c>
      <c r="AA5" s="49" t="str">
        <f>IF(AND(K5&gt;20,K5&lt;54),"20-55","55-100")</f>
        <v>20-55</v>
      </c>
    </row>
    <row r="6" spans="1:27" ht="29" x14ac:dyDescent="0.35">
      <c r="A6" s="956" t="s">
        <v>823</v>
      </c>
      <c r="B6" s="956" t="s">
        <v>3781</v>
      </c>
      <c r="C6" s="1798" t="s">
        <v>822</v>
      </c>
      <c r="D6" s="956" t="s">
        <v>1771</v>
      </c>
      <c r="E6" s="956" t="s">
        <v>1864</v>
      </c>
      <c r="F6" s="69" t="s">
        <v>1072</v>
      </c>
      <c r="G6" s="2244">
        <v>13</v>
      </c>
      <c r="H6" s="1827" t="s">
        <v>3782</v>
      </c>
      <c r="I6" s="976">
        <v>400</v>
      </c>
      <c r="J6" s="972" t="s">
        <v>1284</v>
      </c>
      <c r="K6" s="610">
        <v>40</v>
      </c>
      <c r="L6" s="610"/>
      <c r="M6" s="986"/>
      <c r="N6" s="987"/>
      <c r="O6" s="2732">
        <f>IF(F6=$I$62,((1/S6-1/T6)*(V6*Z6*365.25*W6*(X6-Y6)*1)/100000),(IF(F6=$I$63,(((1/U6-1/T6)*V6*Z6*365.25*W6*(X6-Y6)*1)/100000)+((1/S6-1/T6)*(V6*Z6*365.25*W6*(X6-Y6)*1)/100000))))</f>
        <v>13.430673418998024</v>
      </c>
      <c r="P6" s="147"/>
      <c r="Q6" s="147"/>
      <c r="R6" s="2733">
        <f>O6*G6</f>
        <v>174.59875444697431</v>
      </c>
      <c r="S6" s="1">
        <f>IF(AA6=$C$62,0.6483-(0.0017*K6),0.7897-(0.0004*K6))</f>
        <v>0.58030000000000004</v>
      </c>
      <c r="T6" s="49">
        <f>VLOOKUP(H6,$B$55:$E$58,4,FALSE)</f>
        <v>0.64</v>
      </c>
      <c r="U6" s="49">
        <v>0.52</v>
      </c>
      <c r="V6" s="49">
        <v>17.600000000000001</v>
      </c>
      <c r="W6" s="49">
        <v>8.33</v>
      </c>
      <c r="X6" s="49">
        <v>125</v>
      </c>
      <c r="Y6" s="2649">
        <f t="shared" si="0"/>
        <v>50.7</v>
      </c>
      <c r="Z6" s="49">
        <f>VLOOKUP(E6,$I$55:$J$57,2,FALSE)</f>
        <v>2.1</v>
      </c>
      <c r="AA6" s="49" t="str">
        <f>IF(AND(K6&gt;20,K6&lt;54),"20-55","55-100")</f>
        <v>20-55</v>
      </c>
    </row>
    <row r="7" spans="1:27" ht="15" thickBot="1" x14ac:dyDescent="0.4"/>
    <row r="8" spans="1:27" ht="15" thickBot="1" x14ac:dyDescent="0.4">
      <c r="A8" s="62" t="s">
        <v>1188</v>
      </c>
      <c r="B8" s="63"/>
      <c r="C8" s="64"/>
      <c r="D8" s="64"/>
      <c r="E8" s="64"/>
      <c r="F8" s="64"/>
      <c r="G8" s="64"/>
      <c r="H8" s="65"/>
    </row>
    <row r="9" spans="1:27" x14ac:dyDescent="0.35">
      <c r="A9" s="304" t="s">
        <v>3783</v>
      </c>
      <c r="B9" s="52"/>
      <c r="C9" s="52"/>
      <c r="D9" s="52"/>
      <c r="E9" s="52"/>
      <c r="F9" s="52"/>
      <c r="G9" s="52"/>
      <c r="H9" s="1454"/>
      <c r="J9" s="53"/>
    </row>
    <row r="10" spans="1:27" ht="15" x14ac:dyDescent="0.4">
      <c r="A10" s="304" t="s">
        <v>3784</v>
      </c>
      <c r="B10" s="52"/>
      <c r="C10" s="52"/>
      <c r="D10" s="52"/>
      <c r="E10" s="52"/>
      <c r="F10" s="52"/>
      <c r="G10" s="52"/>
      <c r="H10" s="1454"/>
      <c r="J10" s="53"/>
    </row>
    <row r="11" spans="1:27" x14ac:dyDescent="0.35">
      <c r="A11" s="304" t="s">
        <v>3785</v>
      </c>
      <c r="B11" s="52"/>
      <c r="C11" s="52"/>
      <c r="D11" s="52"/>
      <c r="E11" s="52"/>
      <c r="F11" s="52"/>
      <c r="G11" s="52"/>
      <c r="H11" s="1454"/>
      <c r="J11" s="53"/>
    </row>
    <row r="12" spans="1:27" x14ac:dyDescent="0.35">
      <c r="A12" s="304" t="s">
        <v>3786</v>
      </c>
      <c r="B12" s="52"/>
      <c r="C12" s="52"/>
      <c r="D12" s="52"/>
      <c r="E12" s="52"/>
      <c r="F12" s="52"/>
      <c r="G12" s="52"/>
      <c r="H12" s="1454"/>
      <c r="J12" s="53"/>
    </row>
    <row r="13" spans="1:27" x14ac:dyDescent="0.35">
      <c r="A13" s="304"/>
      <c r="B13" s="52" t="s">
        <v>3787</v>
      </c>
      <c r="C13" s="52"/>
      <c r="D13" s="52"/>
      <c r="E13" s="52"/>
      <c r="F13" s="52"/>
      <c r="G13" s="52"/>
      <c r="H13" s="1454"/>
      <c r="J13" s="53"/>
    </row>
    <row r="14" spans="1:27" x14ac:dyDescent="0.35">
      <c r="A14" s="304" t="s">
        <v>3788</v>
      </c>
      <c r="B14" s="52"/>
      <c r="C14" s="52"/>
      <c r="D14" s="52"/>
      <c r="E14" s="52"/>
      <c r="F14" s="52"/>
      <c r="G14" s="52"/>
      <c r="H14" s="1454"/>
      <c r="J14" s="53"/>
    </row>
    <row r="15" spans="1:27" ht="15" thickBot="1" x14ac:dyDescent="0.4">
      <c r="A15" s="309"/>
      <c r="B15" s="642" t="s">
        <v>3789</v>
      </c>
      <c r="C15" s="642"/>
      <c r="D15" s="642"/>
      <c r="E15" s="642"/>
      <c r="F15" s="642"/>
      <c r="G15" s="642"/>
      <c r="H15" s="1455"/>
      <c r="J15" s="53"/>
    </row>
    <row r="16" spans="1:27" ht="15" thickBot="1" x14ac:dyDescent="0.4">
      <c r="A16" s="154" t="s">
        <v>1078</v>
      </c>
      <c r="B16" s="1142">
        <f>'Measure-Level Adjustments'!A2</f>
        <v>44592</v>
      </c>
      <c r="J16" s="53"/>
    </row>
    <row r="17" spans="1:13" ht="15" thickBot="1" x14ac:dyDescent="0.4">
      <c r="A17" s="154" t="s">
        <v>1079</v>
      </c>
      <c r="B17" s="577" t="s">
        <v>3790</v>
      </c>
      <c r="J17" s="53"/>
    </row>
    <row r="18" spans="1:13" x14ac:dyDescent="0.35">
      <c r="J18" s="53"/>
      <c r="M18" s="54"/>
    </row>
    <row r="19" spans="1:13" ht="15" thickBot="1" x14ac:dyDescent="0.4">
      <c r="H19" s="53"/>
      <c r="I19" s="53"/>
      <c r="J19" s="53"/>
      <c r="M19" s="54"/>
    </row>
    <row r="20" spans="1:13" ht="15" thickBot="1" x14ac:dyDescent="0.4">
      <c r="A20" s="637" t="s">
        <v>1285</v>
      </c>
      <c r="B20" s="638" t="s">
        <v>1199</v>
      </c>
      <c r="C20" s="639" t="s">
        <v>1646</v>
      </c>
      <c r="D20" s="639"/>
      <c r="E20" s="639"/>
      <c r="F20" s="639"/>
      <c r="G20" s="639"/>
      <c r="H20" s="53"/>
      <c r="I20" s="53"/>
      <c r="J20" s="53"/>
      <c r="M20" s="54"/>
    </row>
    <row r="21" spans="1:13" ht="15" customHeight="1" x14ac:dyDescent="0.35">
      <c r="A21" s="93" t="s">
        <v>3772</v>
      </c>
      <c r="B21" s="80">
        <f>(0.6483-(0.0017*40))</f>
        <v>0.58030000000000004</v>
      </c>
      <c r="C21" s="79" t="s">
        <v>3791</v>
      </c>
      <c r="D21" s="80"/>
      <c r="E21" s="80"/>
      <c r="F21" s="80"/>
      <c r="G21" s="81"/>
      <c r="H21" s="53"/>
      <c r="I21" s="53"/>
      <c r="J21" s="53"/>
      <c r="M21" s="54"/>
    </row>
    <row r="22" spans="1:13" x14ac:dyDescent="0.35">
      <c r="A22" s="254"/>
      <c r="C22" s="1558" t="s">
        <v>3792</v>
      </c>
      <c r="D22" s="47"/>
      <c r="E22" s="47"/>
      <c r="F22" s="47"/>
      <c r="G22" s="1559"/>
      <c r="H22" s="53"/>
      <c r="I22" s="53"/>
      <c r="J22" s="53"/>
      <c r="M22" s="54"/>
    </row>
    <row r="23" spans="1:13" x14ac:dyDescent="0.35">
      <c r="A23" s="254"/>
      <c r="C23" s="1558" t="s">
        <v>3793</v>
      </c>
      <c r="D23" s="47"/>
      <c r="E23" s="47"/>
      <c r="F23" s="47"/>
      <c r="G23" s="1559"/>
      <c r="H23" s="53"/>
      <c r="I23" s="53"/>
      <c r="J23" s="53"/>
      <c r="M23" s="54"/>
    </row>
    <row r="24" spans="1:13" ht="15" thickBot="1" x14ac:dyDescent="0.4">
      <c r="A24" s="88"/>
      <c r="B24" s="85"/>
      <c r="C24" s="1565" t="s">
        <v>3794</v>
      </c>
      <c r="D24" s="1560"/>
      <c r="E24" s="1560"/>
      <c r="F24" s="1560"/>
      <c r="G24" s="1561"/>
      <c r="H24" s="53"/>
      <c r="I24" s="53"/>
      <c r="J24" s="53"/>
      <c r="M24" s="54"/>
    </row>
    <row r="25" spans="1:13" ht="24" customHeight="1" x14ac:dyDescent="0.35">
      <c r="A25" s="93" t="s">
        <v>3773</v>
      </c>
      <c r="B25" s="3331" t="s">
        <v>3795</v>
      </c>
      <c r="C25" s="79" t="s">
        <v>3796</v>
      </c>
      <c r="D25" s="80"/>
      <c r="E25" s="80"/>
      <c r="F25" s="80"/>
      <c r="G25" s="81"/>
      <c r="H25" s="53"/>
      <c r="I25" s="53"/>
      <c r="J25" s="53"/>
      <c r="M25" s="54"/>
    </row>
    <row r="26" spans="1:13" ht="22.5" customHeight="1" x14ac:dyDescent="0.35">
      <c r="A26" s="254"/>
      <c r="B26" s="3332"/>
      <c r="C26" s="55" t="s">
        <v>3797</v>
      </c>
      <c r="G26" s="253"/>
      <c r="H26" s="53"/>
      <c r="I26" s="53"/>
      <c r="J26" s="53"/>
      <c r="M26" s="54"/>
    </row>
    <row r="27" spans="1:13" ht="30" customHeight="1" thickBot="1" x14ac:dyDescent="0.4">
      <c r="A27" s="88"/>
      <c r="B27" s="3333"/>
      <c r="C27" s="84" t="s">
        <v>3795</v>
      </c>
      <c r="D27" s="85"/>
      <c r="E27" s="85"/>
      <c r="F27" s="85"/>
      <c r="G27" s="86"/>
      <c r="H27" s="53"/>
      <c r="I27" s="53"/>
      <c r="J27" s="53"/>
      <c r="M27" s="54"/>
    </row>
    <row r="28" spans="1:13" ht="15" customHeight="1" x14ac:dyDescent="0.35">
      <c r="A28" s="93" t="s">
        <v>3775</v>
      </c>
      <c r="B28" s="1456">
        <v>17.600000000000001</v>
      </c>
      <c r="C28" s="79" t="s">
        <v>3798</v>
      </c>
      <c r="D28" s="80"/>
      <c r="E28" s="80"/>
      <c r="F28" s="80"/>
      <c r="G28" s="81"/>
      <c r="H28" s="53"/>
      <c r="I28" s="53"/>
      <c r="J28" s="53"/>
      <c r="M28" s="54"/>
    </row>
    <row r="29" spans="1:13" x14ac:dyDescent="0.35">
      <c r="A29" s="254"/>
      <c r="C29" s="55" t="s">
        <v>3799</v>
      </c>
      <c r="G29" s="253"/>
      <c r="H29" s="53"/>
      <c r="I29" s="53"/>
      <c r="J29" s="53"/>
      <c r="M29" s="54"/>
    </row>
    <row r="30" spans="1:13" ht="15" thickBot="1" x14ac:dyDescent="0.4">
      <c r="A30" s="88"/>
      <c r="B30" s="85"/>
      <c r="C30" s="84" t="s">
        <v>3800</v>
      </c>
      <c r="D30" s="85"/>
      <c r="E30" s="85"/>
      <c r="F30" s="85"/>
      <c r="G30" s="86"/>
      <c r="H30" s="53"/>
      <c r="I30" s="53"/>
      <c r="J30" s="53"/>
      <c r="M30" s="54"/>
    </row>
    <row r="31" spans="1:13" ht="15" customHeight="1" x14ac:dyDescent="0.35">
      <c r="A31" s="93" t="s">
        <v>3777</v>
      </c>
      <c r="B31" s="80"/>
      <c r="C31" s="79" t="s">
        <v>3801</v>
      </c>
      <c r="D31" s="80"/>
      <c r="E31" s="80"/>
      <c r="F31" s="80"/>
      <c r="G31" s="81"/>
      <c r="H31" s="53"/>
      <c r="I31" s="53"/>
      <c r="J31" s="53"/>
      <c r="M31" s="54"/>
    </row>
    <row r="32" spans="1:13" ht="30.75" customHeight="1" thickBot="1" x14ac:dyDescent="0.4">
      <c r="A32" s="88"/>
      <c r="B32" s="85"/>
      <c r="C32" s="84" t="s">
        <v>3802</v>
      </c>
      <c r="D32" s="85"/>
      <c r="E32" s="85"/>
      <c r="F32" s="85"/>
      <c r="G32" s="86"/>
      <c r="H32" s="53"/>
      <c r="I32" s="53"/>
      <c r="J32" s="53"/>
      <c r="M32" s="54"/>
    </row>
    <row r="33" spans="1:10" ht="15" customHeight="1" x14ac:dyDescent="0.35">
      <c r="A33" s="93" t="s">
        <v>3776</v>
      </c>
      <c r="B33" s="80">
        <v>8.33</v>
      </c>
      <c r="C33" s="79" t="s">
        <v>3803</v>
      </c>
      <c r="D33" s="80"/>
      <c r="E33" s="80"/>
      <c r="F33" s="80"/>
      <c r="G33" s="81"/>
      <c r="H33" s="53"/>
      <c r="I33" s="53"/>
      <c r="J33" s="53"/>
    </row>
    <row r="34" spans="1:10" ht="15" thickBot="1" x14ac:dyDescent="0.4">
      <c r="A34" s="88"/>
      <c r="B34" s="85"/>
      <c r="C34" s="84" t="s">
        <v>3800</v>
      </c>
      <c r="D34" s="85"/>
      <c r="E34" s="85"/>
      <c r="F34" s="85"/>
      <c r="G34" s="86"/>
      <c r="H34" s="53"/>
      <c r="I34" s="53"/>
      <c r="J34" s="53"/>
    </row>
    <row r="35" spans="1:10" ht="15" customHeight="1" x14ac:dyDescent="0.35">
      <c r="A35" s="93" t="s">
        <v>3804</v>
      </c>
      <c r="B35" s="80">
        <v>365.25</v>
      </c>
      <c r="C35" s="79" t="s">
        <v>3805</v>
      </c>
      <c r="D35" s="80"/>
      <c r="E35" s="80"/>
      <c r="F35" s="80"/>
      <c r="G35" s="81"/>
      <c r="H35" s="53"/>
      <c r="I35" s="53"/>
      <c r="J35" s="53"/>
    </row>
    <row r="36" spans="1:10" ht="15" thickBot="1" x14ac:dyDescent="0.4">
      <c r="A36" s="88"/>
      <c r="B36" s="85"/>
      <c r="C36" s="84" t="s">
        <v>3800</v>
      </c>
      <c r="D36" s="85"/>
      <c r="E36" s="85"/>
      <c r="F36" s="85"/>
      <c r="G36" s="253"/>
      <c r="H36" s="53"/>
      <c r="I36" s="53"/>
      <c r="J36" s="53"/>
    </row>
    <row r="37" spans="1:10" ht="15" customHeight="1" x14ac:dyDescent="0.35">
      <c r="A37" s="93" t="s">
        <v>1571</v>
      </c>
      <c r="B37" s="80">
        <v>125</v>
      </c>
      <c r="C37" s="79" t="s">
        <v>1790</v>
      </c>
      <c r="D37" s="80"/>
      <c r="E37" s="80"/>
      <c r="F37" s="80"/>
      <c r="G37" s="81"/>
      <c r="H37" s="53"/>
      <c r="I37" s="53"/>
      <c r="J37" s="53"/>
    </row>
    <row r="38" spans="1:10" ht="40.5" customHeight="1" thickBot="1" x14ac:dyDescent="0.4">
      <c r="A38" s="88"/>
      <c r="B38" s="85"/>
      <c r="C38" s="1457" t="s">
        <v>3800</v>
      </c>
      <c r="D38" s="85"/>
      <c r="E38" s="85"/>
      <c r="F38" s="85"/>
      <c r="G38" s="86"/>
      <c r="H38" s="53"/>
      <c r="I38" s="53"/>
      <c r="J38" s="53"/>
    </row>
    <row r="39" spans="1:10" ht="15" customHeight="1" x14ac:dyDescent="0.35">
      <c r="A39" s="93" t="s">
        <v>1572</v>
      </c>
      <c r="B39" s="2595">
        <v>50.7</v>
      </c>
      <c r="C39" s="79" t="s">
        <v>1791</v>
      </c>
      <c r="D39" s="80"/>
      <c r="E39" s="80"/>
      <c r="F39" s="80"/>
      <c r="G39" s="81"/>
      <c r="H39" s="53"/>
      <c r="I39" s="53"/>
      <c r="J39" s="53"/>
    </row>
    <row r="40" spans="1:10" ht="30.75" customHeight="1" thickBot="1" x14ac:dyDescent="0.4">
      <c r="A40" s="88"/>
      <c r="B40" s="85"/>
      <c r="C40" s="84" t="s">
        <v>3800</v>
      </c>
      <c r="D40" s="85"/>
      <c r="E40" s="85"/>
      <c r="F40" s="85"/>
      <c r="G40" s="86"/>
      <c r="H40" s="53"/>
      <c r="I40" s="53"/>
      <c r="J40" s="53"/>
    </row>
    <row r="41" spans="1:10" ht="15" customHeight="1" x14ac:dyDescent="0.35">
      <c r="A41" s="93" t="s">
        <v>3806</v>
      </c>
      <c r="B41" s="80">
        <v>1</v>
      </c>
      <c r="C41" s="79" t="s">
        <v>3807</v>
      </c>
      <c r="D41" s="80"/>
      <c r="E41" s="80"/>
      <c r="F41" s="80"/>
      <c r="G41" s="81"/>
      <c r="H41" s="53"/>
      <c r="I41" s="53"/>
      <c r="J41" s="53"/>
    </row>
    <row r="42" spans="1:10" ht="15" thickBot="1" x14ac:dyDescent="0.4">
      <c r="A42" s="88"/>
      <c r="B42" s="85"/>
      <c r="C42" s="84" t="s">
        <v>3800</v>
      </c>
      <c r="D42" s="85"/>
      <c r="E42" s="85"/>
      <c r="F42" s="85"/>
      <c r="G42" s="86"/>
      <c r="H42" s="53"/>
      <c r="I42" s="53"/>
      <c r="J42" s="53"/>
    </row>
    <row r="43" spans="1:10" x14ac:dyDescent="0.35">
      <c r="A43" s="93" t="s">
        <v>1083</v>
      </c>
      <c r="B43" s="80">
        <v>13</v>
      </c>
      <c r="C43" s="80" t="s">
        <v>3808</v>
      </c>
      <c r="D43" s="80"/>
      <c r="E43" s="80"/>
      <c r="F43" s="80"/>
      <c r="G43" s="81"/>
      <c r="H43" s="53"/>
      <c r="I43" s="53"/>
      <c r="J43" s="53"/>
    </row>
    <row r="44" spans="1:10" x14ac:dyDescent="0.35">
      <c r="A44" s="254"/>
      <c r="B44">
        <v>4</v>
      </c>
      <c r="C44" t="s">
        <v>3809</v>
      </c>
      <c r="G44" s="253"/>
      <c r="H44" s="53"/>
      <c r="I44" s="53"/>
      <c r="J44" s="53"/>
    </row>
    <row r="45" spans="1:10" ht="15" thickBot="1" x14ac:dyDescent="0.4">
      <c r="A45" s="88"/>
      <c r="B45" s="85"/>
      <c r="C45" s="84" t="s">
        <v>3810</v>
      </c>
      <c r="D45" s="85"/>
      <c r="E45" s="85"/>
      <c r="F45" s="85"/>
      <c r="G45" s="86"/>
      <c r="H45" s="53"/>
      <c r="I45" s="53"/>
      <c r="J45" s="53"/>
    </row>
    <row r="46" spans="1:10" ht="15" customHeight="1" x14ac:dyDescent="0.35">
      <c r="A46" s="93" t="s">
        <v>1040</v>
      </c>
      <c r="B46" s="80"/>
      <c r="C46" s="79"/>
      <c r="D46" s="80"/>
      <c r="E46" s="80"/>
      <c r="F46" s="80"/>
      <c r="G46" s="81"/>
      <c r="H46" s="53"/>
      <c r="I46" s="53"/>
      <c r="J46" s="53"/>
    </row>
    <row r="47" spans="1:10" x14ac:dyDescent="0.35">
      <c r="A47" s="254"/>
      <c r="C47" s="3164"/>
      <c r="D47" s="3164"/>
      <c r="E47" s="3164"/>
      <c r="F47" s="3164"/>
      <c r="G47" s="3165"/>
      <c r="H47" s="53"/>
      <c r="I47" s="53"/>
      <c r="J47" s="53"/>
    </row>
    <row r="48" spans="1:10" ht="15" customHeight="1" x14ac:dyDescent="0.35">
      <c r="A48" s="254"/>
      <c r="C48" s="3164"/>
      <c r="D48" s="3164"/>
      <c r="E48" s="3164"/>
      <c r="F48" s="3164"/>
      <c r="G48" s="3165"/>
      <c r="H48" s="53"/>
      <c r="I48" s="53"/>
      <c r="J48" s="53"/>
    </row>
    <row r="49" spans="1:10" ht="15" thickBot="1" x14ac:dyDescent="0.4">
      <c r="A49" s="88"/>
      <c r="B49" s="85"/>
      <c r="C49" s="3054"/>
      <c r="D49" s="3054"/>
      <c r="E49" s="3054"/>
      <c r="F49" s="3054"/>
      <c r="G49" s="3055"/>
      <c r="H49" s="53"/>
      <c r="I49" s="53"/>
      <c r="J49" s="53"/>
    </row>
    <row r="52" spans="1:10" ht="15" thickBot="1" x14ac:dyDescent="0.4"/>
    <row r="53" spans="1:10" ht="15" thickBot="1" x14ac:dyDescent="0.4">
      <c r="A53" s="97" t="s">
        <v>1129</v>
      </c>
      <c r="B53" s="98"/>
      <c r="C53" s="64"/>
      <c r="D53" s="64"/>
      <c r="E53" s="64"/>
      <c r="F53" s="64"/>
      <c r="G53" s="64"/>
      <c r="H53" s="64"/>
      <c r="I53" s="64"/>
      <c r="J53" s="65"/>
    </row>
    <row r="54" spans="1:10" ht="38.25" customHeight="1" x14ac:dyDescent="0.35">
      <c r="A54" s="99"/>
      <c r="B54" s="56" t="s">
        <v>3811</v>
      </c>
      <c r="C54" s="56" t="s">
        <v>1040</v>
      </c>
      <c r="D54" s="56" t="s">
        <v>3812</v>
      </c>
      <c r="E54" s="56" t="s">
        <v>3773</v>
      </c>
      <c r="F54" s="69"/>
      <c r="G54" s="69"/>
      <c r="H54" s="69"/>
      <c r="I54" s="56" t="s">
        <v>3769</v>
      </c>
      <c r="J54" s="667" t="s">
        <v>3777</v>
      </c>
    </row>
    <row r="55" spans="1:10" ht="25.5" customHeight="1" x14ac:dyDescent="0.35">
      <c r="A55" s="99"/>
      <c r="B55" s="2173" t="s">
        <v>3813</v>
      </c>
      <c r="C55" s="57">
        <v>400</v>
      </c>
      <c r="D55" s="57">
        <v>1014</v>
      </c>
      <c r="E55" s="2174">
        <v>0.64</v>
      </c>
      <c r="F55" s="69"/>
      <c r="G55" s="69"/>
      <c r="H55" s="69"/>
      <c r="I55" s="101" t="s">
        <v>3330</v>
      </c>
      <c r="J55" s="1458">
        <v>2.56</v>
      </c>
    </row>
    <row r="56" spans="1:10" x14ac:dyDescent="0.35">
      <c r="A56" s="99"/>
      <c r="B56" s="2173" t="s">
        <v>3814</v>
      </c>
      <c r="C56" s="57">
        <v>400</v>
      </c>
      <c r="D56" s="57">
        <v>1014</v>
      </c>
      <c r="E56" s="2174">
        <v>0.78</v>
      </c>
      <c r="F56" s="1459"/>
      <c r="G56" s="1459"/>
      <c r="H56" s="69"/>
      <c r="I56" s="101" t="s">
        <v>1864</v>
      </c>
      <c r="J56" s="1458">
        <v>2.1</v>
      </c>
    </row>
    <row r="57" spans="1:10" ht="39" x14ac:dyDescent="0.35">
      <c r="A57" s="99"/>
      <c r="B57" s="2173" t="s">
        <v>3779</v>
      </c>
      <c r="C57" s="57">
        <v>685</v>
      </c>
      <c r="D57" s="57">
        <v>1299</v>
      </c>
      <c r="E57" s="2174">
        <v>0.79</v>
      </c>
      <c r="F57" s="69"/>
      <c r="G57" s="69"/>
      <c r="H57" s="69"/>
      <c r="I57" s="101" t="s">
        <v>105</v>
      </c>
      <c r="J57" s="1458" t="s">
        <v>3815</v>
      </c>
    </row>
    <row r="58" spans="1:10" x14ac:dyDescent="0.35">
      <c r="A58" s="99"/>
      <c r="B58" s="2173" t="s">
        <v>3780</v>
      </c>
      <c r="C58" s="57">
        <v>605</v>
      </c>
      <c r="D58" s="57">
        <v>1219</v>
      </c>
      <c r="E58" s="2174">
        <v>0.87</v>
      </c>
      <c r="F58" s="69"/>
      <c r="G58" s="69"/>
      <c r="H58" s="69"/>
      <c r="I58" s="331"/>
      <c r="J58" s="1108"/>
    </row>
    <row r="59" spans="1:10" x14ac:dyDescent="0.35">
      <c r="A59" s="99"/>
      <c r="B59" s="109"/>
      <c r="C59" s="2172"/>
      <c r="D59" s="1054"/>
      <c r="E59" s="69"/>
      <c r="F59" s="69"/>
      <c r="G59" s="69"/>
      <c r="H59" s="69"/>
      <c r="I59" s="69"/>
      <c r="J59" s="100"/>
    </row>
    <row r="60" spans="1:10" x14ac:dyDescent="0.35">
      <c r="A60" s="99"/>
      <c r="B60" s="3330" t="s">
        <v>1846</v>
      </c>
      <c r="C60" s="3330"/>
      <c r="D60" s="3330"/>
      <c r="E60" s="3330"/>
      <c r="F60" s="69"/>
      <c r="G60" s="69"/>
      <c r="H60" s="69"/>
      <c r="I60" s="69"/>
      <c r="J60" s="100"/>
    </row>
    <row r="61" spans="1:10" x14ac:dyDescent="0.35">
      <c r="A61" s="99"/>
      <c r="B61" s="1460" t="s">
        <v>3816</v>
      </c>
      <c r="C61" s="945"/>
      <c r="D61" s="945"/>
      <c r="E61" s="945"/>
      <c r="F61" s="69"/>
      <c r="G61" s="69" t="s">
        <v>2592</v>
      </c>
      <c r="H61" s="69"/>
      <c r="I61" s="56" t="s">
        <v>1038</v>
      </c>
      <c r="J61" s="100"/>
    </row>
    <row r="62" spans="1:10" x14ac:dyDescent="0.35">
      <c r="A62" s="99"/>
      <c r="B62" s="49">
        <v>55</v>
      </c>
      <c r="C62" s="101" t="s">
        <v>3817</v>
      </c>
      <c r="D62" s="349" t="s">
        <v>3818</v>
      </c>
      <c r="E62" s="49"/>
      <c r="F62" s="69"/>
      <c r="G62" s="69"/>
      <c r="H62" s="69"/>
      <c r="I62" s="49" t="s">
        <v>1072</v>
      </c>
      <c r="J62" s="100"/>
    </row>
    <row r="63" spans="1:10" x14ac:dyDescent="0.35">
      <c r="A63" s="99"/>
      <c r="B63" s="49">
        <v>100</v>
      </c>
      <c r="C63" s="101" t="s">
        <v>3819</v>
      </c>
      <c r="D63" s="349" t="s">
        <v>3820</v>
      </c>
      <c r="E63" s="125"/>
      <c r="F63" s="69"/>
      <c r="G63" s="69"/>
      <c r="H63" s="69"/>
      <c r="I63" s="49" t="s">
        <v>1825</v>
      </c>
      <c r="J63" s="100"/>
    </row>
    <row r="64" spans="1:10" x14ac:dyDescent="0.35">
      <c r="A64" s="99"/>
      <c r="B64" s="1461" t="s">
        <v>1825</v>
      </c>
      <c r="C64" s="945"/>
      <c r="D64" s="1384"/>
      <c r="E64" s="945"/>
      <c r="F64" s="69"/>
      <c r="G64" s="69"/>
      <c r="H64" s="69"/>
      <c r="I64" s="69"/>
      <c r="J64" s="100"/>
    </row>
    <row r="65" spans="1:10" x14ac:dyDescent="0.35">
      <c r="A65" s="99"/>
      <c r="B65" s="49"/>
      <c r="C65" s="349" t="s">
        <v>3821</v>
      </c>
      <c r="D65" s="349" t="s">
        <v>3822</v>
      </c>
      <c r="E65" s="49"/>
      <c r="F65" s="69"/>
      <c r="G65" s="69"/>
      <c r="H65" s="69"/>
      <c r="I65" s="69"/>
      <c r="J65" s="100"/>
    </row>
    <row r="66" spans="1:10" x14ac:dyDescent="0.35">
      <c r="A66" s="99"/>
      <c r="B66" s="49"/>
      <c r="C66" s="349" t="s">
        <v>3823</v>
      </c>
      <c r="D66" s="349" t="s">
        <v>3824</v>
      </c>
      <c r="E66" s="49"/>
      <c r="F66" s="69"/>
      <c r="G66" s="69"/>
      <c r="H66" s="69"/>
      <c r="I66" s="69"/>
      <c r="J66" s="100"/>
    </row>
    <row r="67" spans="1:10" x14ac:dyDescent="0.35">
      <c r="A67" s="99"/>
      <c r="B67" s="69"/>
      <c r="C67" s="69"/>
      <c r="D67" s="69"/>
      <c r="E67" s="69"/>
      <c r="F67" s="69"/>
      <c r="G67" s="69"/>
      <c r="H67" s="69"/>
      <c r="I67" s="69"/>
      <c r="J67" s="100"/>
    </row>
    <row r="68" spans="1:10" x14ac:dyDescent="0.35">
      <c r="A68" s="99"/>
      <c r="B68" s="69"/>
      <c r="C68" s="69"/>
      <c r="D68" s="69"/>
      <c r="E68" s="69"/>
      <c r="F68" s="69"/>
      <c r="G68" s="69"/>
      <c r="H68" s="69"/>
      <c r="I68" s="69"/>
      <c r="J68" s="100"/>
    </row>
    <row r="69" spans="1:10" ht="15" thickBot="1" x14ac:dyDescent="0.4">
      <c r="A69" s="261"/>
      <c r="B69" s="161"/>
      <c r="C69" s="161"/>
      <c r="D69" s="161"/>
      <c r="E69" s="161"/>
      <c r="F69" s="161"/>
      <c r="G69" s="161"/>
      <c r="H69" s="161"/>
      <c r="I69" s="161"/>
      <c r="J69" s="163"/>
    </row>
  </sheetData>
  <dataConsolidate link="1"/>
  <customSheetViews>
    <customSheetView guid="{ECD6FE6A-9548-414E-B8AA-6998703C57E0}" scale="60" showPageBreaks="1" fitToPage="1" view="pageBreakPreview">
      <selection activeCell="S4" sqref="S4"/>
      <pageMargins left="0" right="0" top="0" bottom="0" header="0" footer="0"/>
      <pageSetup scale="29" orientation="landscape" r:id="rId1"/>
    </customSheetView>
    <customSheetView guid="{11DE45F5-F478-4ED6-8DFF-12002C22A637}" scale="60" showPageBreaks="1" fitToPage="1" view="pageBreakPreview">
      <selection activeCell="S4" sqref="S4"/>
      <pageMargins left="0" right="0" top="0" bottom="0" header="0" footer="0"/>
      <pageSetup scale="29" orientation="landscape" r:id="rId2"/>
    </customSheetView>
  </customSheetViews>
  <mergeCells count="6">
    <mergeCell ref="S2:AA2"/>
    <mergeCell ref="C47:G49"/>
    <mergeCell ref="B60:E60"/>
    <mergeCell ref="B25:B27"/>
    <mergeCell ref="M2:O2"/>
    <mergeCell ref="P2:R2"/>
  </mergeCells>
  <phoneticPr fontId="152" type="noConversion"/>
  <dataValidations count="4">
    <dataValidation type="list" allowBlank="1" showInputMessage="1" showErrorMessage="1" sqref="F4:F6" xr:uid="{00000000-0002-0000-2700-000000000000}">
      <formula1>GWHr1</formula1>
    </dataValidation>
    <dataValidation type="list" allowBlank="1" showInputMessage="1" showErrorMessage="1" sqref="D4:D6" xr:uid="{00000000-0002-0000-2700-000001000000}">
      <formula1>MeasureType</formula1>
    </dataValidation>
    <dataValidation type="list" allowBlank="1" showInputMessage="1" showErrorMessage="1" sqref="E4:E6" xr:uid="{00000000-0002-0000-2700-000002000000}">
      <formula1>$I$55:$I$57</formula1>
    </dataValidation>
    <dataValidation type="list" allowBlank="1" showInputMessage="1" showErrorMessage="1" sqref="H4:H6" xr:uid="{00000000-0002-0000-2700-000003000000}">
      <formula1>GWHr2</formula1>
    </dataValidation>
  </dataValidations>
  <hyperlinks>
    <hyperlink ref="A1" location="'Measure-Level Adjustments'!Print_Titles" display="Measure Level Tab" xr:uid="{385D845B-DE98-4431-A6E8-E9158474D867}"/>
  </hyperlinks>
  <pageMargins left="0.7" right="0.7" top="0.75" bottom="0.75" header="0.3" footer="0.3"/>
  <pageSetup scale="29" orientation="landscape"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pageSetUpPr fitToPage="1"/>
  </sheetPr>
  <dimension ref="A1:AI140"/>
  <sheetViews>
    <sheetView view="pageBreakPreview" zoomScale="85" zoomScaleNormal="100" zoomScaleSheetLayoutView="85" workbookViewId="0">
      <pane xSplit="1" ySplit="3" topLeftCell="B122" activePane="bottomRight" state="frozen"/>
      <selection pane="topRight" activeCell="B1" sqref="B1"/>
      <selection pane="bottomLeft" activeCell="A4" sqref="A4"/>
      <selection pane="bottomRight" activeCell="D132" sqref="D132"/>
    </sheetView>
  </sheetViews>
  <sheetFormatPr defaultRowHeight="14.5" x14ac:dyDescent="0.35"/>
  <cols>
    <col min="1" max="1" width="15" customWidth="1"/>
    <col min="2" max="2" width="29.26953125" customWidth="1"/>
    <col min="3" max="3" width="35.81640625" customWidth="1"/>
    <col min="4" max="4" width="37.1796875" customWidth="1"/>
    <col min="5" max="5" width="11.7265625" customWidth="1"/>
    <col min="6" max="6" width="18" bestFit="1" customWidth="1"/>
    <col min="7" max="7" width="12.81640625" bestFit="1" customWidth="1"/>
    <col min="8" max="8" width="14.453125" bestFit="1" customWidth="1"/>
    <col min="9" max="9" width="16.81640625" customWidth="1"/>
    <col min="11" max="11" width="12.26953125" customWidth="1"/>
    <col min="12" max="12" width="10.26953125" customWidth="1"/>
    <col min="13" max="13" width="11.26953125" customWidth="1"/>
    <col min="14" max="14" width="13.26953125" customWidth="1"/>
    <col min="15" max="15" width="10.54296875" customWidth="1"/>
    <col min="16" max="16" width="10.453125" customWidth="1"/>
    <col min="17" max="17" width="10.81640625" customWidth="1"/>
    <col min="18" max="18" width="13.453125" customWidth="1"/>
    <col min="20" max="20" width="11.81640625" customWidth="1"/>
    <col min="35" max="35" width="21.7265625" bestFit="1" customWidth="1"/>
  </cols>
  <sheetData>
    <row r="1" spans="1:35" x14ac:dyDescent="0.35">
      <c r="A1" s="1799" t="s">
        <v>1031</v>
      </c>
    </row>
    <row r="2" spans="1:35" x14ac:dyDescent="0.35">
      <c r="A2" s="967" t="s">
        <v>697</v>
      </c>
      <c r="B2" s="968" t="s">
        <v>1866</v>
      </c>
      <c r="C2" s="968"/>
      <c r="D2" s="968"/>
      <c r="E2" s="967"/>
      <c r="F2" s="967"/>
      <c r="G2" s="967"/>
      <c r="H2" s="967"/>
      <c r="I2" s="967"/>
      <c r="J2" s="1043"/>
      <c r="K2" s="1043"/>
      <c r="L2" s="1043"/>
      <c r="M2" s="3013" t="s">
        <v>1032</v>
      </c>
      <c r="N2" s="3014"/>
      <c r="O2" s="3014"/>
      <c r="P2" s="3014"/>
      <c r="Q2" s="3327" t="s">
        <v>1033</v>
      </c>
      <c r="R2" s="3327"/>
      <c r="S2" s="3327"/>
      <c r="T2" s="3327"/>
      <c r="U2" s="3334" t="s">
        <v>1158</v>
      </c>
      <c r="V2" s="3335"/>
      <c r="W2" s="3335"/>
      <c r="X2" s="3335"/>
      <c r="Y2" s="3335"/>
      <c r="Z2" s="3335"/>
      <c r="AA2" s="3335"/>
      <c r="AB2" s="3335"/>
      <c r="AC2" s="3335"/>
      <c r="AD2" s="3335"/>
      <c r="AE2" s="3335"/>
      <c r="AF2" s="3335"/>
      <c r="AG2" s="3335"/>
      <c r="AH2" s="3336"/>
      <c r="AI2" s="1069"/>
    </row>
    <row r="3" spans="1:35" ht="29" x14ac:dyDescent="0.35">
      <c r="A3" s="969" t="s">
        <v>1035</v>
      </c>
      <c r="B3" s="969" t="s">
        <v>155</v>
      </c>
      <c r="C3" s="953" t="s">
        <v>1036</v>
      </c>
      <c r="D3" s="953" t="s">
        <v>1752</v>
      </c>
      <c r="E3" s="952" t="s">
        <v>1038</v>
      </c>
      <c r="F3" s="952" t="s">
        <v>1039</v>
      </c>
      <c r="G3" s="952" t="s">
        <v>1040</v>
      </c>
      <c r="H3" s="952" t="s">
        <v>1290</v>
      </c>
      <c r="I3" s="969" t="s">
        <v>1041</v>
      </c>
      <c r="J3" s="952" t="s">
        <v>1867</v>
      </c>
      <c r="K3" s="1075" t="s">
        <v>3769</v>
      </c>
      <c r="L3" s="952" t="s">
        <v>3825</v>
      </c>
      <c r="M3" s="970" t="s">
        <v>1044</v>
      </c>
      <c r="N3" s="970" t="s">
        <v>1045</v>
      </c>
      <c r="O3" s="970" t="s">
        <v>1046</v>
      </c>
      <c r="P3" s="970" t="s">
        <v>1869</v>
      </c>
      <c r="Q3" s="970" t="s">
        <v>1044</v>
      </c>
      <c r="R3" s="970" t="s">
        <v>1045</v>
      </c>
      <c r="S3" s="970" t="s">
        <v>1046</v>
      </c>
      <c r="T3" s="971" t="s">
        <v>1869</v>
      </c>
      <c r="U3" s="1053" t="s">
        <v>1871</v>
      </c>
      <c r="V3" s="122" t="s">
        <v>1872</v>
      </c>
      <c r="W3" s="122" t="s">
        <v>1873</v>
      </c>
      <c r="X3" s="122" t="s">
        <v>1981</v>
      </c>
      <c r="Y3" s="122" t="s">
        <v>1982</v>
      </c>
      <c r="Z3" s="122" t="s">
        <v>3777</v>
      </c>
      <c r="AA3" s="122" t="s">
        <v>3826</v>
      </c>
      <c r="AB3" s="122" t="s">
        <v>3827</v>
      </c>
      <c r="AC3" s="122" t="s">
        <v>1874</v>
      </c>
      <c r="AD3" s="122" t="s">
        <v>1580</v>
      </c>
      <c r="AE3" s="122" t="s">
        <v>1641</v>
      </c>
      <c r="AF3" s="122" t="s">
        <v>1179</v>
      </c>
      <c r="AG3" s="122" t="s">
        <v>3828</v>
      </c>
      <c r="AH3" s="122" t="s">
        <v>1876</v>
      </c>
      <c r="AI3" s="122" t="s">
        <v>3829</v>
      </c>
    </row>
    <row r="4" spans="1:35" ht="29" x14ac:dyDescent="0.35">
      <c r="A4" s="966" t="s">
        <v>911</v>
      </c>
      <c r="B4" s="966" t="str">
        <f t="shared" ref="B4:B9" si="0">$B$2&amp;"- "&amp;E4&amp;", "&amp;K4&amp;", "&amp;L4&amp;" "&amp;IF(K4=$B$99, RIGHT(C4, 2), "")</f>
        <v xml:space="preserve">Low Flow Faucet Aerators- DI, Single Family, Bath </v>
      </c>
      <c r="C4" s="956" t="s">
        <v>910</v>
      </c>
      <c r="D4" s="957" t="s">
        <v>1582</v>
      </c>
      <c r="E4" s="69" t="s">
        <v>1583</v>
      </c>
      <c r="F4" s="974">
        <f t="shared" ref="F4:F21" si="1">+$B$77</f>
        <v>10</v>
      </c>
      <c r="G4" s="1018"/>
      <c r="H4" s="976"/>
      <c r="I4" s="972" t="s">
        <v>3830</v>
      </c>
      <c r="J4" s="69" t="s">
        <v>1529</v>
      </c>
      <c r="K4" s="972" t="s">
        <v>3318</v>
      </c>
      <c r="L4" s="69" t="s">
        <v>1882</v>
      </c>
      <c r="M4" s="977"/>
      <c r="N4" s="978"/>
      <c r="O4" s="2733">
        <f t="shared" ref="O4:O9" si="2">AG4*((V4*X4-W4*Y4)*Z4*365.25*AA4/AB4)*AH4*AD4</f>
        <v>0.9635545569243823</v>
      </c>
      <c r="P4" s="2153">
        <f t="shared" ref="P4:P9" si="3">((V4*X4-W4*Y4)*Z4*365.25*AA4/AB4)*AD4</f>
        <v>253.56698866431111</v>
      </c>
      <c r="Q4" s="2153"/>
      <c r="R4" s="2165"/>
      <c r="S4" s="2153">
        <f t="shared" ref="S4:S9" si="4">O4*F4</f>
        <v>9.6355455692438223</v>
      </c>
      <c r="T4" s="2166">
        <f t="shared" ref="T4:T9" si="5">P4*F4</f>
        <v>2535.6698866431111</v>
      </c>
      <c r="U4" s="1">
        <f t="shared" ref="U4:U9" si="6">VLOOKUP(J4,$B$92:$C$94,2,FALSE)</f>
        <v>0</v>
      </c>
      <c r="V4" s="1">
        <f>IF(K4=$B$105,VLOOKUP(L4,$C$105:$G$107,5,FALSE),VLOOKUP(L4,$C$108:$G$110,5,FALSE))</f>
        <v>1.53</v>
      </c>
      <c r="W4" s="1">
        <v>0.96899999999999997</v>
      </c>
      <c r="X4" s="1">
        <f t="shared" ref="X4:X9" si="7">IF(K4=$B$105,VLOOKUP(L4,$C$105:$F$107,4,FALSE),VLOOKUP(L4,$C$108:$F$110,4,FALSE))</f>
        <v>1.6</v>
      </c>
      <c r="Y4" s="1">
        <f t="shared" ref="Y4:Y9" si="8">IF(K4=$B$105,VLOOKUP(L4,$C$105:$F$107,4,FALSE),VLOOKUP(L4,$C$108:$F$110,4,FALSE))</f>
        <v>1.6</v>
      </c>
      <c r="Z4" s="1">
        <f t="shared" ref="Z4:Z9" si="9">VLOOKUP(K4,$B$98:$C$101,2,FALSE)</f>
        <v>2.56</v>
      </c>
      <c r="AA4" s="1">
        <f t="shared" ref="AA4:AA9" si="10">VLOOKUP(L4,$B$87:$C$89,2,FALSE)</f>
        <v>0.9</v>
      </c>
      <c r="AB4" s="1">
        <f t="shared" ref="AB4:AB9" si="11">IF(K4=$B$99,VLOOKUP(L4,$B$87:$E$89,4,FALSE),VLOOKUP(L4,$B$87:$E$89,3,FALSE))</f>
        <v>2.83</v>
      </c>
      <c r="AC4" s="1">
        <f t="shared" ref="AC4:AC9" si="12">VLOOKUP(L4,$B$87:$F$89,5,FALSE)</f>
        <v>8.7900000000000006E-2</v>
      </c>
      <c r="AD4" s="1">
        <f>+VLOOKUP(AI4,$B$122:$D$131,3,FALSE)</f>
        <v>0.95</v>
      </c>
      <c r="AE4" s="2821">
        <f t="shared" ref="AE4:AE9" si="13">IF(K4=$B$105,VLOOKUP(L4,$C$105:$D$107,2,FALSE),VLOOKUP(L4,$C$108:$D$110,2,FALSE))</f>
        <v>60</v>
      </c>
      <c r="AF4" s="49">
        <f t="shared" ref="AF4:AF21" si="14">+$B$66</f>
        <v>2.1999999999999999E-2</v>
      </c>
      <c r="AG4" s="49">
        <f t="shared" ref="AG4:AG9" si="15">VLOOKUP(J4,$B$92:$D$94,3,FALSE)</f>
        <v>1</v>
      </c>
      <c r="AH4" s="2649">
        <f t="shared" ref="AH4:AH9" si="16">IF(K4=$B$105,VLOOKUP(L4,$C$105:$E$107,3,FALSE),VLOOKUP(L4,$C$108:$E$110,3,FALSE))</f>
        <v>3.8E-3</v>
      </c>
      <c r="AI4" s="49" t="str">
        <f t="shared" ref="AI4:AI9" si="17">+CONCATENATE(E4,K4,L4)</f>
        <v>DISingle FamilyBath</v>
      </c>
    </row>
    <row r="5" spans="1:35" ht="29" x14ac:dyDescent="0.35">
      <c r="A5" s="966" t="s">
        <v>915</v>
      </c>
      <c r="B5" s="966" t="str">
        <f t="shared" si="0"/>
        <v xml:space="preserve">Low Flow Faucet Aerators- DI, Single Family, Kitchen </v>
      </c>
      <c r="C5" s="956" t="s">
        <v>914</v>
      </c>
      <c r="D5" s="957" t="s">
        <v>1582</v>
      </c>
      <c r="E5" s="69" t="s">
        <v>1583</v>
      </c>
      <c r="F5" s="974">
        <f t="shared" si="1"/>
        <v>10</v>
      </c>
      <c r="G5" s="1018"/>
      <c r="H5" s="976"/>
      <c r="I5" s="972" t="s">
        <v>3830</v>
      </c>
      <c r="J5" s="69" t="s">
        <v>1529</v>
      </c>
      <c r="K5" s="972" t="s">
        <v>3318</v>
      </c>
      <c r="L5" s="69" t="s">
        <v>1883</v>
      </c>
      <c r="M5" s="977"/>
      <c r="N5" s="978"/>
      <c r="O5" s="2733">
        <f t="shared" si="2"/>
        <v>3.0219557759999969</v>
      </c>
      <c r="P5" s="2153">
        <f t="shared" si="3"/>
        <v>671.54572799999937</v>
      </c>
      <c r="Q5" s="2153"/>
      <c r="R5" s="2165"/>
      <c r="S5" s="2153">
        <f t="shared" si="4"/>
        <v>30.219557759999969</v>
      </c>
      <c r="T5" s="2166">
        <f t="shared" si="5"/>
        <v>6715.4572799999933</v>
      </c>
      <c r="U5" s="1">
        <f t="shared" si="6"/>
        <v>0</v>
      </c>
      <c r="V5" s="1">
        <f t="shared" ref="V5:V21" si="18">IF(K5=$B$105,VLOOKUP(L5,$C$105:$G$107,5,FALSE),VLOOKUP(L5,$C$108:$G$110,5,FALSE))</f>
        <v>1.63</v>
      </c>
      <c r="W5" s="1">
        <v>1.4059999999999999</v>
      </c>
      <c r="X5" s="1">
        <f t="shared" si="7"/>
        <v>4.5</v>
      </c>
      <c r="Y5" s="1">
        <f t="shared" si="8"/>
        <v>4.5</v>
      </c>
      <c r="Z5" s="1">
        <f t="shared" si="9"/>
        <v>2.56</v>
      </c>
      <c r="AA5" s="1">
        <f t="shared" si="10"/>
        <v>0.75</v>
      </c>
      <c r="AB5" s="1">
        <f t="shared" si="11"/>
        <v>1</v>
      </c>
      <c r="AC5" s="1">
        <f t="shared" si="12"/>
        <v>0.10539999999999999</v>
      </c>
      <c r="AD5" s="1">
        <f t="shared" ref="AD5:AD9" si="19">+VLOOKUP(AI5,$B$122:$D$131,3,FALSE)</f>
        <v>0.95</v>
      </c>
      <c r="AE5" s="2821">
        <f t="shared" si="13"/>
        <v>112</v>
      </c>
      <c r="AF5" s="49">
        <f t="shared" si="14"/>
        <v>2.1999999999999999E-2</v>
      </c>
      <c r="AG5" s="49">
        <f t="shared" si="15"/>
        <v>1</v>
      </c>
      <c r="AH5" s="2649">
        <f t="shared" si="16"/>
        <v>4.4999999999999997E-3</v>
      </c>
      <c r="AI5" s="49" t="str">
        <f t="shared" si="17"/>
        <v>DISingle FamilyKitchen</v>
      </c>
    </row>
    <row r="6" spans="1:35" ht="29" x14ac:dyDescent="0.35">
      <c r="A6" s="966" t="s">
        <v>3831</v>
      </c>
      <c r="B6" s="966" t="str">
        <f t="shared" si="0"/>
        <v>Low Flow Faucet Aerators- DI, Multifamily, Bath CA</v>
      </c>
      <c r="C6" s="956" t="s">
        <v>3832</v>
      </c>
      <c r="D6" s="957" t="s">
        <v>1582</v>
      </c>
      <c r="E6" s="69" t="s">
        <v>1583</v>
      </c>
      <c r="F6" s="974">
        <f t="shared" si="1"/>
        <v>10</v>
      </c>
      <c r="G6" s="1018"/>
      <c r="H6" s="976"/>
      <c r="I6" s="972" t="s">
        <v>3830</v>
      </c>
      <c r="J6" s="69" t="s">
        <v>1529</v>
      </c>
      <c r="K6" s="972" t="s">
        <v>2556</v>
      </c>
      <c r="L6" s="69" t="s">
        <v>1882</v>
      </c>
      <c r="M6" s="977"/>
      <c r="N6" s="978"/>
      <c r="O6" s="2733">
        <f t="shared" si="2"/>
        <v>1.7267119531200008</v>
      </c>
      <c r="P6" s="2153">
        <f t="shared" si="3"/>
        <v>392.43453480000016</v>
      </c>
      <c r="Q6" s="2153"/>
      <c r="R6" s="2165"/>
      <c r="S6" s="2153">
        <f t="shared" si="4"/>
        <v>17.267119531200009</v>
      </c>
      <c r="T6" s="2166">
        <f t="shared" si="5"/>
        <v>3924.3453480000016</v>
      </c>
      <c r="U6" s="1">
        <f t="shared" si="6"/>
        <v>0</v>
      </c>
      <c r="V6" s="1">
        <f t="shared" si="18"/>
        <v>1.53</v>
      </c>
      <c r="W6" s="1">
        <v>0.96899999999999997</v>
      </c>
      <c r="X6" s="1">
        <f t="shared" si="7"/>
        <v>1.6</v>
      </c>
      <c r="Y6" s="1">
        <f t="shared" si="8"/>
        <v>1.6</v>
      </c>
      <c r="Z6" s="1">
        <f t="shared" si="9"/>
        <v>2.1</v>
      </c>
      <c r="AA6" s="1">
        <f t="shared" si="10"/>
        <v>0.9</v>
      </c>
      <c r="AB6" s="1">
        <f t="shared" si="11"/>
        <v>1.5</v>
      </c>
      <c r="AC6" s="1">
        <f t="shared" si="12"/>
        <v>8.7900000000000006E-2</v>
      </c>
      <c r="AD6" s="1">
        <f t="shared" si="19"/>
        <v>0.95</v>
      </c>
      <c r="AE6" s="2821">
        <f t="shared" si="13"/>
        <v>24</v>
      </c>
      <c r="AF6" s="49">
        <f t="shared" si="14"/>
        <v>2.1999999999999999E-2</v>
      </c>
      <c r="AG6" s="49">
        <f t="shared" si="15"/>
        <v>1</v>
      </c>
      <c r="AH6" s="2649">
        <f t="shared" si="16"/>
        <v>4.4000000000000003E-3</v>
      </c>
      <c r="AI6" s="49" t="str">
        <f t="shared" si="17"/>
        <v>DIMultifamilyBath</v>
      </c>
    </row>
    <row r="7" spans="1:35" ht="29" x14ac:dyDescent="0.35">
      <c r="A7" s="966" t="s">
        <v>874</v>
      </c>
      <c r="B7" s="966" t="str">
        <f t="shared" si="0"/>
        <v>Low Flow Faucet Aerators- DI, Multifamily, Bath IU</v>
      </c>
      <c r="C7" s="956" t="s">
        <v>873</v>
      </c>
      <c r="D7" s="957" t="s">
        <v>1582</v>
      </c>
      <c r="E7" s="69" t="s">
        <v>1583</v>
      </c>
      <c r="F7" s="974">
        <f t="shared" si="1"/>
        <v>10</v>
      </c>
      <c r="G7" s="1018"/>
      <c r="H7" s="976"/>
      <c r="I7" s="972" t="s">
        <v>3830</v>
      </c>
      <c r="J7" s="69" t="s">
        <v>1529</v>
      </c>
      <c r="K7" s="972" t="s">
        <v>2556</v>
      </c>
      <c r="L7" s="69" t="s">
        <v>1882</v>
      </c>
      <c r="M7" s="977"/>
      <c r="N7" s="978"/>
      <c r="O7" s="2733">
        <f t="shared" si="2"/>
        <v>1.7267119531200008</v>
      </c>
      <c r="P7" s="2153">
        <f t="shared" si="3"/>
        <v>392.43453480000016</v>
      </c>
      <c r="Q7" s="2153"/>
      <c r="R7" s="2165"/>
      <c r="S7" s="2153">
        <f t="shared" si="4"/>
        <v>17.267119531200009</v>
      </c>
      <c r="T7" s="2166">
        <f t="shared" si="5"/>
        <v>3924.3453480000016</v>
      </c>
      <c r="U7" s="1">
        <f t="shared" si="6"/>
        <v>0</v>
      </c>
      <c r="V7" s="1">
        <f t="shared" si="18"/>
        <v>1.53</v>
      </c>
      <c r="W7" s="1">
        <v>0.96899999999999997</v>
      </c>
      <c r="X7" s="1">
        <f t="shared" si="7"/>
        <v>1.6</v>
      </c>
      <c r="Y7" s="1">
        <f t="shared" si="8"/>
        <v>1.6</v>
      </c>
      <c r="Z7" s="1">
        <f t="shared" si="9"/>
        <v>2.1</v>
      </c>
      <c r="AA7" s="1">
        <f t="shared" si="10"/>
        <v>0.9</v>
      </c>
      <c r="AB7" s="1">
        <f t="shared" si="11"/>
        <v>1.5</v>
      </c>
      <c r="AC7" s="1">
        <f t="shared" si="12"/>
        <v>8.7900000000000006E-2</v>
      </c>
      <c r="AD7" s="1">
        <f t="shared" si="19"/>
        <v>0.95</v>
      </c>
      <c r="AE7" s="2821">
        <f t="shared" si="13"/>
        <v>24</v>
      </c>
      <c r="AF7" s="49">
        <f t="shared" si="14"/>
        <v>2.1999999999999999E-2</v>
      </c>
      <c r="AG7" s="49">
        <f t="shared" si="15"/>
        <v>1</v>
      </c>
      <c r="AH7" s="2649">
        <f t="shared" si="16"/>
        <v>4.4000000000000003E-3</v>
      </c>
      <c r="AI7" s="49" t="str">
        <f t="shared" si="17"/>
        <v>DIMultifamilyBath</v>
      </c>
    </row>
    <row r="8" spans="1:35" ht="29" x14ac:dyDescent="0.35">
      <c r="A8" s="966" t="s">
        <v>879</v>
      </c>
      <c r="B8" s="966" t="str">
        <f t="shared" si="0"/>
        <v>Low Flow Faucet Aerators- DI, Multifamily, Kitchen IU</v>
      </c>
      <c r="C8" s="956" t="s">
        <v>878</v>
      </c>
      <c r="D8" s="957" t="s">
        <v>1582</v>
      </c>
      <c r="E8" s="69" t="s">
        <v>1583</v>
      </c>
      <c r="F8" s="974">
        <f t="shared" si="1"/>
        <v>10</v>
      </c>
      <c r="G8" s="1018"/>
      <c r="H8" s="976"/>
      <c r="I8" s="972" t="s">
        <v>3830</v>
      </c>
      <c r="J8" s="69" t="s">
        <v>1529</v>
      </c>
      <c r="K8" s="972" t="s">
        <v>2556</v>
      </c>
      <c r="L8" s="69" t="s">
        <v>1883</v>
      </c>
      <c r="M8" s="977"/>
      <c r="N8" s="978"/>
      <c r="O8" s="2733">
        <f t="shared" si="2"/>
        <v>2.7967173506999976</v>
      </c>
      <c r="P8" s="2153">
        <f t="shared" si="3"/>
        <v>527.6825189999995</v>
      </c>
      <c r="Q8" s="2153"/>
      <c r="R8" s="2165"/>
      <c r="S8" s="2153">
        <f t="shared" si="4"/>
        <v>27.967173506999977</v>
      </c>
      <c r="T8" s="2166">
        <f t="shared" si="5"/>
        <v>5276.825189999995</v>
      </c>
      <c r="U8" s="1">
        <f t="shared" si="6"/>
        <v>0</v>
      </c>
      <c r="V8" s="1">
        <f t="shared" si="18"/>
        <v>1.63</v>
      </c>
      <c r="W8" s="1">
        <v>1.4059999999999999</v>
      </c>
      <c r="X8" s="1">
        <f t="shared" si="7"/>
        <v>4.5</v>
      </c>
      <c r="Y8" s="1">
        <f t="shared" si="8"/>
        <v>4.5</v>
      </c>
      <c r="Z8" s="1">
        <f t="shared" si="9"/>
        <v>2.1</v>
      </c>
      <c r="AA8" s="1">
        <f t="shared" si="10"/>
        <v>0.75</v>
      </c>
      <c r="AB8" s="1">
        <f t="shared" si="11"/>
        <v>1</v>
      </c>
      <c r="AC8" s="1">
        <f t="shared" si="12"/>
        <v>0.10539999999999999</v>
      </c>
      <c r="AD8" s="1">
        <f t="shared" si="19"/>
        <v>0.91</v>
      </c>
      <c r="AE8" s="2821">
        <f t="shared" si="13"/>
        <v>92</v>
      </c>
      <c r="AF8" s="49">
        <f t="shared" si="14"/>
        <v>2.1999999999999999E-2</v>
      </c>
      <c r="AG8" s="49">
        <f t="shared" si="15"/>
        <v>1</v>
      </c>
      <c r="AH8" s="2649">
        <f t="shared" si="16"/>
        <v>5.3E-3</v>
      </c>
      <c r="AI8" s="49" t="str">
        <f t="shared" si="17"/>
        <v>DIMultifamilyKitchen</v>
      </c>
    </row>
    <row r="9" spans="1:35" ht="29" x14ac:dyDescent="0.35">
      <c r="A9" s="966" t="s">
        <v>3833</v>
      </c>
      <c r="B9" s="966" t="str">
        <f t="shared" si="0"/>
        <v>Low Flow Faucet Aerators- DI, Multifamily, Kitchen CA</v>
      </c>
      <c r="C9" s="956" t="s">
        <v>3834</v>
      </c>
      <c r="D9" s="957" t="s">
        <v>1582</v>
      </c>
      <c r="E9" s="69" t="s">
        <v>1583</v>
      </c>
      <c r="F9" s="974">
        <f t="shared" si="1"/>
        <v>10</v>
      </c>
      <c r="G9" s="1018"/>
      <c r="H9" s="976"/>
      <c r="I9" s="972" t="s">
        <v>3830</v>
      </c>
      <c r="J9" s="69" t="s">
        <v>1529</v>
      </c>
      <c r="K9" s="972" t="s">
        <v>2556</v>
      </c>
      <c r="L9" s="69" t="s">
        <v>1883</v>
      </c>
      <c r="M9" s="977"/>
      <c r="N9" s="978"/>
      <c r="O9" s="2733">
        <f t="shared" si="2"/>
        <v>2.7967173506999976</v>
      </c>
      <c r="P9" s="2153">
        <f t="shared" si="3"/>
        <v>527.6825189999995</v>
      </c>
      <c r="Q9" s="2153"/>
      <c r="R9" s="2165"/>
      <c r="S9" s="2153">
        <f t="shared" si="4"/>
        <v>27.967173506999977</v>
      </c>
      <c r="T9" s="2166">
        <f t="shared" si="5"/>
        <v>5276.825189999995</v>
      </c>
      <c r="U9" s="1">
        <f t="shared" si="6"/>
        <v>0</v>
      </c>
      <c r="V9" s="1">
        <f t="shared" si="18"/>
        <v>1.63</v>
      </c>
      <c r="W9" s="1">
        <v>1.4059999999999999</v>
      </c>
      <c r="X9" s="1">
        <f t="shared" si="7"/>
        <v>4.5</v>
      </c>
      <c r="Y9" s="1">
        <f t="shared" si="8"/>
        <v>4.5</v>
      </c>
      <c r="Z9" s="1">
        <f t="shared" si="9"/>
        <v>2.1</v>
      </c>
      <c r="AA9" s="1">
        <f t="shared" si="10"/>
        <v>0.75</v>
      </c>
      <c r="AB9" s="1">
        <f t="shared" si="11"/>
        <v>1</v>
      </c>
      <c r="AC9" s="1">
        <f t="shared" si="12"/>
        <v>0.10539999999999999</v>
      </c>
      <c r="AD9" s="1">
        <f t="shared" si="19"/>
        <v>0.91</v>
      </c>
      <c r="AE9" s="2821">
        <f t="shared" si="13"/>
        <v>92</v>
      </c>
      <c r="AF9" s="49">
        <f t="shared" si="14"/>
        <v>2.1999999999999999E-2</v>
      </c>
      <c r="AG9" s="49">
        <f t="shared" si="15"/>
        <v>1</v>
      </c>
      <c r="AH9" s="2649">
        <f t="shared" si="16"/>
        <v>5.3E-3</v>
      </c>
      <c r="AI9" s="49" t="str">
        <f t="shared" si="17"/>
        <v>DIMultifamilyKitchen</v>
      </c>
    </row>
    <row r="10" spans="1:35" ht="29" x14ac:dyDescent="0.35">
      <c r="A10" s="966" t="s">
        <v>3835</v>
      </c>
      <c r="B10" s="966" t="s">
        <v>3836</v>
      </c>
      <c r="C10" s="956" t="s">
        <v>3837</v>
      </c>
      <c r="D10" s="957" t="s">
        <v>1582</v>
      </c>
      <c r="E10" s="69" t="s">
        <v>1583</v>
      </c>
      <c r="F10" s="974">
        <f t="shared" si="1"/>
        <v>10</v>
      </c>
      <c r="G10" s="1018"/>
      <c r="H10" s="976"/>
      <c r="I10" s="972" t="s">
        <v>3830</v>
      </c>
      <c r="J10" s="69" t="s">
        <v>1529</v>
      </c>
      <c r="K10" s="972" t="s">
        <v>3318</v>
      </c>
      <c r="L10" s="69" t="s">
        <v>1883</v>
      </c>
      <c r="M10" s="977"/>
      <c r="N10" s="978"/>
      <c r="O10" s="2733">
        <f t="shared" ref="O10:O21" si="20">AG10*((V10*X10-W10*Y10)*Z10*365.25*AA10/AB10)*AH10*AD10</f>
        <v>9.3087030599999991</v>
      </c>
      <c r="P10" s="2153">
        <f t="shared" ref="P10:P21" si="21">((V10*X10-W10*Y10)*Z10*365.25*AA10/AB10)*AD10</f>
        <v>2068.60068</v>
      </c>
      <c r="Q10" s="2153"/>
      <c r="R10" s="2165"/>
      <c r="S10" s="2153">
        <f t="shared" ref="S10:S21" si="22">O10*F10</f>
        <v>93.087030599999991</v>
      </c>
      <c r="T10" s="2166">
        <f t="shared" ref="T10:T21" si="23">P10*F10</f>
        <v>20686.006799999999</v>
      </c>
      <c r="U10" s="1">
        <f t="shared" ref="U10:U21" si="24">VLOOKUP(J10,$B$92:$C$94,2,FALSE)</f>
        <v>0</v>
      </c>
      <c r="V10" s="1">
        <f t="shared" si="18"/>
        <v>1.63</v>
      </c>
      <c r="W10" s="1">
        <v>0.94</v>
      </c>
      <c r="X10" s="1">
        <f t="shared" ref="X10:X21" si="25">IF(K10=$B$105,VLOOKUP(L10,$C$105:$F$107,4,FALSE),VLOOKUP(L10,$C$108:$F$110,4,FALSE))</f>
        <v>4.5</v>
      </c>
      <c r="Y10" s="1">
        <f t="shared" ref="Y10:Y21" si="26">IF(K10=$B$105,VLOOKUP(L10,$C$105:$F$107,4,FALSE),VLOOKUP(L10,$C$108:$F$110,4,FALSE))</f>
        <v>4.5</v>
      </c>
      <c r="Z10" s="1">
        <f t="shared" ref="Z10:Z21" si="27">VLOOKUP(K10,$B$98:$C$101,2,FALSE)</f>
        <v>2.56</v>
      </c>
      <c r="AA10" s="1">
        <f t="shared" ref="AA10:AA21" si="28">VLOOKUP(L10,$B$87:$C$89,2,FALSE)</f>
        <v>0.75</v>
      </c>
      <c r="AB10" s="1">
        <f t="shared" ref="AB10:AB21" si="29">IF(K10=$B$99,VLOOKUP(L10,$B$87:$E$89,4,FALSE),VLOOKUP(L10,$B$87:$E$89,3,FALSE))</f>
        <v>1</v>
      </c>
      <c r="AC10" s="1">
        <f t="shared" ref="AC10:AC21" si="30">VLOOKUP(L10,$B$87:$F$89,5,FALSE)</f>
        <v>0.10539999999999999</v>
      </c>
      <c r="AD10" s="1">
        <f t="shared" ref="AD10:AD21" si="31">+VLOOKUP(AI10,$B$122:$D$131,3,FALSE)</f>
        <v>0.95</v>
      </c>
      <c r="AE10" s="2821">
        <f t="shared" ref="AE10:AE21" si="32">IF(K10=$B$105,VLOOKUP(L10,$C$105:$D$107,2,FALSE),VLOOKUP(L10,$C$108:$D$110,2,FALSE))</f>
        <v>112</v>
      </c>
      <c r="AF10" s="49">
        <f t="shared" si="14"/>
        <v>2.1999999999999999E-2</v>
      </c>
      <c r="AG10" s="49">
        <f t="shared" ref="AG10:AG21" si="33">VLOOKUP(J10,$B$92:$D$94,3,FALSE)</f>
        <v>1</v>
      </c>
      <c r="AH10" s="2649">
        <f t="shared" ref="AH10:AH21" si="34">IF(K10=$B$105,VLOOKUP(L10,$C$105:$E$107,3,FALSE),VLOOKUP(L10,$C$108:$E$110,3,FALSE))</f>
        <v>4.4999999999999997E-3</v>
      </c>
      <c r="AI10" s="49" t="str">
        <f t="shared" ref="AI10:AI21" si="35">+CONCATENATE(E10,K10,L10)</f>
        <v>DISingle FamilyKitchen</v>
      </c>
    </row>
    <row r="11" spans="1:35" ht="29" x14ac:dyDescent="0.35">
      <c r="A11" s="966" t="s">
        <v>696</v>
      </c>
      <c r="B11" s="966" t="s">
        <v>3838</v>
      </c>
      <c r="C11" s="956" t="s">
        <v>695</v>
      </c>
      <c r="D11" s="957" t="s">
        <v>1582</v>
      </c>
      <c r="E11" s="69" t="s">
        <v>1583</v>
      </c>
      <c r="F11" s="974">
        <f t="shared" si="1"/>
        <v>10</v>
      </c>
      <c r="G11" s="1018"/>
      <c r="H11" s="976"/>
      <c r="I11" s="972" t="s">
        <v>3830</v>
      </c>
      <c r="J11" s="69" t="s">
        <v>1529</v>
      </c>
      <c r="K11" s="972" t="s">
        <v>3318</v>
      </c>
      <c r="L11" s="69" t="s">
        <v>1882</v>
      </c>
      <c r="M11" s="977"/>
      <c r="N11" s="978"/>
      <c r="O11" s="2733">
        <f t="shared" si="20"/>
        <v>0.9635545569243823</v>
      </c>
      <c r="P11" s="2153">
        <f t="shared" si="21"/>
        <v>253.56698866431111</v>
      </c>
      <c r="Q11" s="2153"/>
      <c r="R11" s="2165"/>
      <c r="S11" s="2153">
        <f t="shared" si="22"/>
        <v>9.6355455692438223</v>
      </c>
      <c r="T11" s="2166">
        <f t="shared" si="23"/>
        <v>2535.6698866431111</v>
      </c>
      <c r="U11" s="1">
        <f t="shared" si="24"/>
        <v>0</v>
      </c>
      <c r="V11" s="1">
        <f t="shared" si="18"/>
        <v>1.53</v>
      </c>
      <c r="W11" s="1">
        <v>0.96899999999999997</v>
      </c>
      <c r="X11" s="1">
        <f t="shared" si="25"/>
        <v>1.6</v>
      </c>
      <c r="Y11" s="1">
        <f t="shared" si="26"/>
        <v>1.6</v>
      </c>
      <c r="Z11" s="1">
        <f t="shared" si="27"/>
        <v>2.56</v>
      </c>
      <c r="AA11" s="1">
        <f t="shared" si="28"/>
        <v>0.9</v>
      </c>
      <c r="AB11" s="1">
        <f t="shared" si="29"/>
        <v>2.83</v>
      </c>
      <c r="AC11" s="1">
        <f t="shared" si="30"/>
        <v>8.7900000000000006E-2</v>
      </c>
      <c r="AD11" s="1">
        <f t="shared" si="31"/>
        <v>0.95</v>
      </c>
      <c r="AE11" s="2821">
        <f t="shared" si="32"/>
        <v>60</v>
      </c>
      <c r="AF11" s="49">
        <f t="shared" si="14"/>
        <v>2.1999999999999999E-2</v>
      </c>
      <c r="AG11" s="49">
        <f t="shared" si="33"/>
        <v>1</v>
      </c>
      <c r="AH11" s="2649">
        <f t="shared" si="34"/>
        <v>3.8E-3</v>
      </c>
      <c r="AI11" s="49" t="str">
        <f t="shared" si="35"/>
        <v>DISingle FamilyBath</v>
      </c>
    </row>
    <row r="12" spans="1:35" ht="29" x14ac:dyDescent="0.35">
      <c r="A12" s="966" t="s">
        <v>700</v>
      </c>
      <c r="B12" s="966" t="s">
        <v>3839</v>
      </c>
      <c r="C12" s="956" t="s">
        <v>699</v>
      </c>
      <c r="D12" s="957" t="s">
        <v>1582</v>
      </c>
      <c r="E12" s="69" t="s">
        <v>1583</v>
      </c>
      <c r="F12" s="974">
        <f t="shared" si="1"/>
        <v>10</v>
      </c>
      <c r="G12" s="1018"/>
      <c r="H12" s="976"/>
      <c r="I12" s="972" t="s">
        <v>3830</v>
      </c>
      <c r="J12" s="69" t="s">
        <v>1529</v>
      </c>
      <c r="K12" s="972" t="s">
        <v>3318</v>
      </c>
      <c r="L12" s="69" t="s">
        <v>1883</v>
      </c>
      <c r="M12" s="977"/>
      <c r="N12" s="978"/>
      <c r="O12" s="2733">
        <f t="shared" si="20"/>
        <v>3.0219557759999969</v>
      </c>
      <c r="P12" s="2153">
        <f t="shared" si="21"/>
        <v>671.54572799999937</v>
      </c>
      <c r="Q12" s="2153"/>
      <c r="R12" s="2165"/>
      <c r="S12" s="2153">
        <f t="shared" si="22"/>
        <v>30.219557759999969</v>
      </c>
      <c r="T12" s="2166">
        <f t="shared" si="23"/>
        <v>6715.4572799999933</v>
      </c>
      <c r="U12" s="1">
        <f t="shared" si="24"/>
        <v>0</v>
      </c>
      <c r="V12" s="1">
        <f t="shared" si="18"/>
        <v>1.63</v>
      </c>
      <c r="W12" s="1">
        <v>1.4059999999999999</v>
      </c>
      <c r="X12" s="1">
        <f t="shared" si="25"/>
        <v>4.5</v>
      </c>
      <c r="Y12" s="1">
        <f t="shared" si="26"/>
        <v>4.5</v>
      </c>
      <c r="Z12" s="1">
        <f t="shared" si="27"/>
        <v>2.56</v>
      </c>
      <c r="AA12" s="1">
        <f t="shared" si="28"/>
        <v>0.75</v>
      </c>
      <c r="AB12" s="1">
        <f t="shared" si="29"/>
        <v>1</v>
      </c>
      <c r="AC12" s="1">
        <f t="shared" si="30"/>
        <v>0.10539999999999999</v>
      </c>
      <c r="AD12" s="1">
        <f t="shared" si="31"/>
        <v>0.95</v>
      </c>
      <c r="AE12" s="2821">
        <f t="shared" si="32"/>
        <v>112</v>
      </c>
      <c r="AF12" s="49">
        <f t="shared" si="14"/>
        <v>2.1999999999999999E-2</v>
      </c>
      <c r="AG12" s="49">
        <f t="shared" si="33"/>
        <v>1</v>
      </c>
      <c r="AH12" s="2649">
        <f t="shared" si="34"/>
        <v>4.4999999999999997E-3</v>
      </c>
      <c r="AI12" s="49" t="str">
        <f t="shared" si="35"/>
        <v>DISingle FamilyKitchen</v>
      </c>
    </row>
    <row r="13" spans="1:35" ht="29" x14ac:dyDescent="0.35">
      <c r="A13" s="966" t="s">
        <v>3840</v>
      </c>
      <c r="B13" s="966" t="s">
        <v>3841</v>
      </c>
      <c r="C13" s="956" t="s">
        <v>3842</v>
      </c>
      <c r="D13" s="957" t="s">
        <v>1582</v>
      </c>
      <c r="E13" s="69" t="s">
        <v>1583</v>
      </c>
      <c r="F13" s="974">
        <f t="shared" si="1"/>
        <v>10</v>
      </c>
      <c r="G13" s="1018"/>
      <c r="H13" s="976"/>
      <c r="I13" s="972" t="s">
        <v>3830</v>
      </c>
      <c r="J13" s="69" t="s">
        <v>1529</v>
      </c>
      <c r="K13" s="972" t="s">
        <v>2556</v>
      </c>
      <c r="L13" s="69" t="s">
        <v>1882</v>
      </c>
      <c r="M13" s="977"/>
      <c r="N13" s="978"/>
      <c r="O13" s="2733">
        <f t="shared" si="20"/>
        <v>1.7267119531200008</v>
      </c>
      <c r="P13" s="2153">
        <f t="shared" si="21"/>
        <v>392.43453480000016</v>
      </c>
      <c r="Q13" s="2153"/>
      <c r="R13" s="2165"/>
      <c r="S13" s="2153">
        <f t="shared" si="22"/>
        <v>17.267119531200009</v>
      </c>
      <c r="T13" s="2166">
        <f t="shared" si="23"/>
        <v>3924.3453480000016</v>
      </c>
      <c r="U13" s="1">
        <f t="shared" si="24"/>
        <v>0</v>
      </c>
      <c r="V13" s="1">
        <f t="shared" si="18"/>
        <v>1.53</v>
      </c>
      <c r="W13" s="1">
        <v>0.96899999999999997</v>
      </c>
      <c r="X13" s="1">
        <f t="shared" si="25"/>
        <v>1.6</v>
      </c>
      <c r="Y13" s="1">
        <f t="shared" si="26"/>
        <v>1.6</v>
      </c>
      <c r="Z13" s="1">
        <f t="shared" si="27"/>
        <v>2.1</v>
      </c>
      <c r="AA13" s="1">
        <f t="shared" si="28"/>
        <v>0.9</v>
      </c>
      <c r="AB13" s="1">
        <f t="shared" si="29"/>
        <v>1.5</v>
      </c>
      <c r="AC13" s="1">
        <f t="shared" si="30"/>
        <v>8.7900000000000006E-2</v>
      </c>
      <c r="AD13" s="1">
        <f t="shared" si="31"/>
        <v>0.95</v>
      </c>
      <c r="AE13" s="2821">
        <f t="shared" si="32"/>
        <v>24</v>
      </c>
      <c r="AF13" s="49">
        <f t="shared" si="14"/>
        <v>2.1999999999999999E-2</v>
      </c>
      <c r="AG13" s="49">
        <f t="shared" si="33"/>
        <v>1</v>
      </c>
      <c r="AH13" s="2649">
        <f t="shared" si="34"/>
        <v>4.4000000000000003E-3</v>
      </c>
      <c r="AI13" s="49" t="str">
        <f t="shared" si="35"/>
        <v>DIMultifamilyBath</v>
      </c>
    </row>
    <row r="14" spans="1:35" ht="29" x14ac:dyDescent="0.35">
      <c r="A14" s="966" t="s">
        <v>727</v>
      </c>
      <c r="B14" s="966" t="s">
        <v>3843</v>
      </c>
      <c r="C14" s="956" t="s">
        <v>726</v>
      </c>
      <c r="D14" s="957" t="s">
        <v>1582</v>
      </c>
      <c r="E14" s="69" t="s">
        <v>1583</v>
      </c>
      <c r="F14" s="974">
        <f t="shared" si="1"/>
        <v>10</v>
      </c>
      <c r="G14" s="1018"/>
      <c r="H14" s="976"/>
      <c r="I14" s="972" t="s">
        <v>3830</v>
      </c>
      <c r="J14" s="69" t="s">
        <v>1529</v>
      </c>
      <c r="K14" s="972" t="s">
        <v>2556</v>
      </c>
      <c r="L14" s="69" t="s">
        <v>1882</v>
      </c>
      <c r="M14" s="977"/>
      <c r="N14" s="978"/>
      <c r="O14" s="2733">
        <f t="shared" si="20"/>
        <v>1.7267119531200008</v>
      </c>
      <c r="P14" s="2153">
        <f t="shared" si="21"/>
        <v>392.43453480000016</v>
      </c>
      <c r="Q14" s="2153"/>
      <c r="R14" s="2165"/>
      <c r="S14" s="2153">
        <f t="shared" si="22"/>
        <v>17.267119531200009</v>
      </c>
      <c r="T14" s="2166">
        <f t="shared" si="23"/>
        <v>3924.3453480000016</v>
      </c>
      <c r="U14" s="1">
        <f t="shared" si="24"/>
        <v>0</v>
      </c>
      <c r="V14" s="1">
        <f t="shared" si="18"/>
        <v>1.53</v>
      </c>
      <c r="W14" s="1">
        <v>0.96899999999999997</v>
      </c>
      <c r="X14" s="1">
        <f t="shared" si="25"/>
        <v>1.6</v>
      </c>
      <c r="Y14" s="1">
        <f t="shared" si="26"/>
        <v>1.6</v>
      </c>
      <c r="Z14" s="1">
        <f t="shared" si="27"/>
        <v>2.1</v>
      </c>
      <c r="AA14" s="1">
        <f t="shared" si="28"/>
        <v>0.9</v>
      </c>
      <c r="AB14" s="1">
        <f t="shared" si="29"/>
        <v>1.5</v>
      </c>
      <c r="AC14" s="1">
        <f t="shared" si="30"/>
        <v>8.7900000000000006E-2</v>
      </c>
      <c r="AD14" s="1">
        <f t="shared" si="31"/>
        <v>0.95</v>
      </c>
      <c r="AE14" s="2821">
        <f t="shared" si="32"/>
        <v>24</v>
      </c>
      <c r="AF14" s="49">
        <f t="shared" si="14"/>
        <v>2.1999999999999999E-2</v>
      </c>
      <c r="AG14" s="49">
        <f t="shared" si="33"/>
        <v>1</v>
      </c>
      <c r="AH14" s="2649">
        <f t="shared" si="34"/>
        <v>4.4000000000000003E-3</v>
      </c>
      <c r="AI14" s="49" t="str">
        <f t="shared" si="35"/>
        <v>DIMultifamilyBath</v>
      </c>
    </row>
    <row r="15" spans="1:35" ht="29" x14ac:dyDescent="0.35">
      <c r="A15" s="966" t="s">
        <v>729</v>
      </c>
      <c r="B15" s="966" t="s">
        <v>3844</v>
      </c>
      <c r="C15" s="956" t="s">
        <v>728</v>
      </c>
      <c r="D15" s="957" t="s">
        <v>1582</v>
      </c>
      <c r="E15" s="69" t="s">
        <v>1583</v>
      </c>
      <c r="F15" s="974">
        <f t="shared" si="1"/>
        <v>10</v>
      </c>
      <c r="G15" s="1018"/>
      <c r="H15" s="976"/>
      <c r="I15" s="972" t="s">
        <v>3830</v>
      </c>
      <c r="J15" s="69" t="s">
        <v>1529</v>
      </c>
      <c r="K15" s="972" t="s">
        <v>2556</v>
      </c>
      <c r="L15" s="69" t="s">
        <v>1883</v>
      </c>
      <c r="M15" s="977"/>
      <c r="N15" s="978"/>
      <c r="O15" s="2733">
        <f t="shared" si="20"/>
        <v>2.7967173506999976</v>
      </c>
      <c r="P15" s="2153">
        <f t="shared" si="21"/>
        <v>527.6825189999995</v>
      </c>
      <c r="Q15" s="2153"/>
      <c r="R15" s="2165"/>
      <c r="S15" s="2153">
        <f t="shared" si="22"/>
        <v>27.967173506999977</v>
      </c>
      <c r="T15" s="2166">
        <f t="shared" si="23"/>
        <v>5276.825189999995</v>
      </c>
      <c r="U15" s="1">
        <f t="shared" si="24"/>
        <v>0</v>
      </c>
      <c r="V15" s="1">
        <f t="shared" si="18"/>
        <v>1.63</v>
      </c>
      <c r="W15" s="1">
        <v>1.4059999999999999</v>
      </c>
      <c r="X15" s="1">
        <f t="shared" si="25"/>
        <v>4.5</v>
      </c>
      <c r="Y15" s="1">
        <f t="shared" si="26"/>
        <v>4.5</v>
      </c>
      <c r="Z15" s="1">
        <f t="shared" si="27"/>
        <v>2.1</v>
      </c>
      <c r="AA15" s="1">
        <f t="shared" si="28"/>
        <v>0.75</v>
      </c>
      <c r="AB15" s="1">
        <f t="shared" si="29"/>
        <v>1</v>
      </c>
      <c r="AC15" s="1">
        <f t="shared" si="30"/>
        <v>0.10539999999999999</v>
      </c>
      <c r="AD15" s="1">
        <f t="shared" si="31"/>
        <v>0.91</v>
      </c>
      <c r="AE15" s="2821">
        <f t="shared" si="32"/>
        <v>92</v>
      </c>
      <c r="AF15" s="49">
        <f t="shared" si="14"/>
        <v>2.1999999999999999E-2</v>
      </c>
      <c r="AG15" s="49">
        <f t="shared" si="33"/>
        <v>1</v>
      </c>
      <c r="AH15" s="2649">
        <f t="shared" si="34"/>
        <v>5.3E-3</v>
      </c>
      <c r="AI15" s="49" t="str">
        <f t="shared" si="35"/>
        <v>DIMultifamilyKitchen</v>
      </c>
    </row>
    <row r="16" spans="1:35" ht="29" x14ac:dyDescent="0.35">
      <c r="A16" s="966" t="s">
        <v>3845</v>
      </c>
      <c r="B16" s="966" t="s">
        <v>3846</v>
      </c>
      <c r="C16" s="956" t="s">
        <v>3847</v>
      </c>
      <c r="D16" s="957" t="s">
        <v>1582</v>
      </c>
      <c r="E16" s="69" t="s">
        <v>1583</v>
      </c>
      <c r="F16" s="974">
        <f t="shared" si="1"/>
        <v>10</v>
      </c>
      <c r="G16" s="1018"/>
      <c r="H16" s="976"/>
      <c r="I16" s="972" t="s">
        <v>3830</v>
      </c>
      <c r="J16" s="69" t="s">
        <v>1529</v>
      </c>
      <c r="K16" s="972" t="s">
        <v>2556</v>
      </c>
      <c r="L16" s="69" t="s">
        <v>1883</v>
      </c>
      <c r="M16" s="977"/>
      <c r="N16" s="978"/>
      <c r="O16" s="2733">
        <f t="shared" si="20"/>
        <v>2.7967173506999976</v>
      </c>
      <c r="P16" s="2153">
        <f t="shared" si="21"/>
        <v>527.6825189999995</v>
      </c>
      <c r="Q16" s="2153"/>
      <c r="R16" s="2165"/>
      <c r="S16" s="2153">
        <f t="shared" si="22"/>
        <v>27.967173506999977</v>
      </c>
      <c r="T16" s="2166">
        <f t="shared" si="23"/>
        <v>5276.825189999995</v>
      </c>
      <c r="U16" s="1">
        <f t="shared" si="24"/>
        <v>0</v>
      </c>
      <c r="V16" s="1">
        <f t="shared" si="18"/>
        <v>1.63</v>
      </c>
      <c r="W16" s="1">
        <v>1.4059999999999999</v>
      </c>
      <c r="X16" s="1">
        <f t="shared" si="25"/>
        <v>4.5</v>
      </c>
      <c r="Y16" s="1">
        <f t="shared" si="26"/>
        <v>4.5</v>
      </c>
      <c r="Z16" s="1">
        <f t="shared" si="27"/>
        <v>2.1</v>
      </c>
      <c r="AA16" s="1">
        <f t="shared" si="28"/>
        <v>0.75</v>
      </c>
      <c r="AB16" s="1">
        <f t="shared" si="29"/>
        <v>1</v>
      </c>
      <c r="AC16" s="1">
        <f t="shared" si="30"/>
        <v>0.10539999999999999</v>
      </c>
      <c r="AD16" s="1">
        <f t="shared" si="31"/>
        <v>0.91</v>
      </c>
      <c r="AE16" s="2821">
        <f t="shared" si="32"/>
        <v>92</v>
      </c>
      <c r="AF16" s="49">
        <f t="shared" si="14"/>
        <v>2.1999999999999999E-2</v>
      </c>
      <c r="AG16" s="49">
        <f t="shared" si="33"/>
        <v>1</v>
      </c>
      <c r="AH16" s="2649">
        <f t="shared" si="34"/>
        <v>5.3E-3</v>
      </c>
      <c r="AI16" s="49" t="str">
        <f t="shared" si="35"/>
        <v>DIMultifamilyKitchen</v>
      </c>
    </row>
    <row r="17" spans="1:35" ht="29" x14ac:dyDescent="0.35">
      <c r="A17" s="966" t="s">
        <v>3848</v>
      </c>
      <c r="B17" s="966" t="s">
        <v>3849</v>
      </c>
      <c r="C17" s="956" t="s">
        <v>3850</v>
      </c>
      <c r="D17" s="957" t="s">
        <v>1582</v>
      </c>
      <c r="E17" s="69" t="s">
        <v>1583</v>
      </c>
      <c r="F17" s="974">
        <f t="shared" si="1"/>
        <v>10</v>
      </c>
      <c r="G17" s="1018"/>
      <c r="H17" s="976"/>
      <c r="I17" s="972" t="s">
        <v>3830</v>
      </c>
      <c r="J17" s="69" t="s">
        <v>1529</v>
      </c>
      <c r="K17" s="972" t="s">
        <v>3318</v>
      </c>
      <c r="L17" s="69" t="s">
        <v>1883</v>
      </c>
      <c r="M17" s="977"/>
      <c r="N17" s="978"/>
      <c r="O17" s="2733">
        <f t="shared" si="20"/>
        <v>9.3087030599999991</v>
      </c>
      <c r="P17" s="2153">
        <f t="shared" si="21"/>
        <v>2068.60068</v>
      </c>
      <c r="Q17" s="2153"/>
      <c r="R17" s="2165"/>
      <c r="S17" s="2153">
        <f t="shared" si="22"/>
        <v>93.087030599999991</v>
      </c>
      <c r="T17" s="2166">
        <f t="shared" si="23"/>
        <v>20686.006799999999</v>
      </c>
      <c r="U17" s="1">
        <f t="shared" si="24"/>
        <v>0</v>
      </c>
      <c r="V17" s="1">
        <f t="shared" si="18"/>
        <v>1.63</v>
      </c>
      <c r="W17" s="1">
        <v>0.94</v>
      </c>
      <c r="X17" s="1">
        <f t="shared" si="25"/>
        <v>4.5</v>
      </c>
      <c r="Y17" s="1">
        <f t="shared" si="26"/>
        <v>4.5</v>
      </c>
      <c r="Z17" s="1">
        <f t="shared" si="27"/>
        <v>2.56</v>
      </c>
      <c r="AA17" s="1">
        <f t="shared" si="28"/>
        <v>0.75</v>
      </c>
      <c r="AB17" s="1">
        <f t="shared" si="29"/>
        <v>1</v>
      </c>
      <c r="AC17" s="1">
        <f t="shared" si="30"/>
        <v>0.10539999999999999</v>
      </c>
      <c r="AD17" s="1">
        <f t="shared" si="31"/>
        <v>0.95</v>
      </c>
      <c r="AE17" s="2821">
        <f t="shared" si="32"/>
        <v>112</v>
      </c>
      <c r="AF17" s="49">
        <f t="shared" si="14"/>
        <v>2.1999999999999999E-2</v>
      </c>
      <c r="AG17" s="49">
        <f t="shared" si="33"/>
        <v>1</v>
      </c>
      <c r="AH17" s="2649">
        <f t="shared" si="34"/>
        <v>4.4999999999999997E-3</v>
      </c>
      <c r="AI17" s="49" t="str">
        <f t="shared" si="35"/>
        <v>DISingle FamilyKitchen</v>
      </c>
    </row>
    <row r="18" spans="1:35" ht="29" x14ac:dyDescent="0.35">
      <c r="A18" s="966" t="s">
        <v>892</v>
      </c>
      <c r="B18" s="966" t="s">
        <v>3851</v>
      </c>
      <c r="C18" s="956" t="s">
        <v>891</v>
      </c>
      <c r="D18" s="957" t="s">
        <v>1582</v>
      </c>
      <c r="E18" s="69" t="s">
        <v>1583</v>
      </c>
      <c r="F18" s="974">
        <f t="shared" si="1"/>
        <v>10</v>
      </c>
      <c r="G18" s="1018"/>
      <c r="H18" s="976"/>
      <c r="I18" s="972" t="s">
        <v>3830</v>
      </c>
      <c r="J18" s="69" t="s">
        <v>1529</v>
      </c>
      <c r="K18" s="972" t="s">
        <v>3318</v>
      </c>
      <c r="L18" s="69" t="s">
        <v>1882</v>
      </c>
      <c r="M18" s="977"/>
      <c r="N18" s="978"/>
      <c r="O18" s="2733">
        <f t="shared" si="20"/>
        <v>0.9635545569243823</v>
      </c>
      <c r="P18" s="2153">
        <f t="shared" si="21"/>
        <v>253.56698866431111</v>
      </c>
      <c r="Q18" s="2153"/>
      <c r="R18" s="2165"/>
      <c r="S18" s="2153">
        <f t="shared" si="22"/>
        <v>9.6355455692438223</v>
      </c>
      <c r="T18" s="2166">
        <f t="shared" si="23"/>
        <v>2535.6698866431111</v>
      </c>
      <c r="U18" s="1">
        <f t="shared" si="24"/>
        <v>0</v>
      </c>
      <c r="V18" s="1">
        <f t="shared" si="18"/>
        <v>1.53</v>
      </c>
      <c r="W18" s="1">
        <v>0.96899999999999997</v>
      </c>
      <c r="X18" s="1">
        <f t="shared" si="25"/>
        <v>1.6</v>
      </c>
      <c r="Y18" s="1">
        <f t="shared" si="26"/>
        <v>1.6</v>
      </c>
      <c r="Z18" s="1">
        <f t="shared" si="27"/>
        <v>2.56</v>
      </c>
      <c r="AA18" s="1">
        <f t="shared" si="28"/>
        <v>0.9</v>
      </c>
      <c r="AB18" s="1">
        <f t="shared" si="29"/>
        <v>2.83</v>
      </c>
      <c r="AC18" s="1">
        <f t="shared" si="30"/>
        <v>8.7900000000000006E-2</v>
      </c>
      <c r="AD18" s="1">
        <f t="shared" si="31"/>
        <v>0.95</v>
      </c>
      <c r="AE18" s="2821">
        <f t="shared" si="32"/>
        <v>60</v>
      </c>
      <c r="AF18" s="49">
        <f t="shared" si="14"/>
        <v>2.1999999999999999E-2</v>
      </c>
      <c r="AG18" s="49">
        <f t="shared" si="33"/>
        <v>1</v>
      </c>
      <c r="AH18" s="2649">
        <f t="shared" si="34"/>
        <v>3.8E-3</v>
      </c>
      <c r="AI18" s="49" t="str">
        <f t="shared" si="35"/>
        <v>DISingle FamilyBath</v>
      </c>
    </row>
    <row r="19" spans="1:35" ht="29" x14ac:dyDescent="0.35">
      <c r="A19" s="966" t="s">
        <v>897</v>
      </c>
      <c r="B19" s="966" t="s">
        <v>3852</v>
      </c>
      <c r="C19" s="956" t="s">
        <v>896</v>
      </c>
      <c r="D19" s="957" t="s">
        <v>1582</v>
      </c>
      <c r="E19" s="69" t="s">
        <v>1583</v>
      </c>
      <c r="F19" s="974">
        <f t="shared" si="1"/>
        <v>10</v>
      </c>
      <c r="G19" s="1018"/>
      <c r="H19" s="976"/>
      <c r="I19" s="972" t="s">
        <v>3830</v>
      </c>
      <c r="J19" s="69" t="s">
        <v>1529</v>
      </c>
      <c r="K19" s="972" t="s">
        <v>3318</v>
      </c>
      <c r="L19" s="69" t="s">
        <v>1883</v>
      </c>
      <c r="M19" s="977"/>
      <c r="N19" s="978"/>
      <c r="O19" s="2733">
        <f t="shared" si="20"/>
        <v>3.0219557759999969</v>
      </c>
      <c r="P19" s="2153">
        <f t="shared" si="21"/>
        <v>671.54572799999937</v>
      </c>
      <c r="Q19" s="2153"/>
      <c r="R19" s="2165"/>
      <c r="S19" s="2153">
        <f t="shared" si="22"/>
        <v>30.219557759999969</v>
      </c>
      <c r="T19" s="2166">
        <f t="shared" si="23"/>
        <v>6715.4572799999933</v>
      </c>
      <c r="U19" s="1">
        <f t="shared" si="24"/>
        <v>0</v>
      </c>
      <c r="V19" s="1">
        <f t="shared" si="18"/>
        <v>1.63</v>
      </c>
      <c r="W19" s="1">
        <v>1.4059999999999999</v>
      </c>
      <c r="X19" s="1">
        <f t="shared" si="25"/>
        <v>4.5</v>
      </c>
      <c r="Y19" s="1">
        <f t="shared" si="26"/>
        <v>4.5</v>
      </c>
      <c r="Z19" s="1">
        <f t="shared" si="27"/>
        <v>2.56</v>
      </c>
      <c r="AA19" s="1">
        <f t="shared" si="28"/>
        <v>0.75</v>
      </c>
      <c r="AB19" s="1">
        <f t="shared" si="29"/>
        <v>1</v>
      </c>
      <c r="AC19" s="1">
        <f t="shared" si="30"/>
        <v>0.10539999999999999</v>
      </c>
      <c r="AD19" s="1">
        <f t="shared" si="31"/>
        <v>0.95</v>
      </c>
      <c r="AE19" s="2821">
        <f t="shared" si="32"/>
        <v>112</v>
      </c>
      <c r="AF19" s="49">
        <f t="shared" si="14"/>
        <v>2.1999999999999999E-2</v>
      </c>
      <c r="AG19" s="49">
        <f t="shared" si="33"/>
        <v>1</v>
      </c>
      <c r="AH19" s="2649">
        <f t="shared" si="34"/>
        <v>4.4999999999999997E-3</v>
      </c>
      <c r="AI19" s="49" t="str">
        <f t="shared" si="35"/>
        <v>DISingle FamilyKitchen</v>
      </c>
    </row>
    <row r="20" spans="1:35" ht="29" x14ac:dyDescent="0.35">
      <c r="A20" s="966" t="s">
        <v>851</v>
      </c>
      <c r="B20" s="966" t="s">
        <v>3853</v>
      </c>
      <c r="C20" s="956" t="s">
        <v>850</v>
      </c>
      <c r="D20" s="957" t="s">
        <v>1582</v>
      </c>
      <c r="E20" s="69" t="s">
        <v>1583</v>
      </c>
      <c r="F20" s="974">
        <f t="shared" si="1"/>
        <v>10</v>
      </c>
      <c r="G20" s="1018"/>
      <c r="H20" s="976"/>
      <c r="I20" s="972" t="s">
        <v>3830</v>
      </c>
      <c r="J20" s="69" t="s">
        <v>1529</v>
      </c>
      <c r="K20" s="972" t="s">
        <v>2556</v>
      </c>
      <c r="L20" s="69" t="s">
        <v>1882</v>
      </c>
      <c r="M20" s="977"/>
      <c r="N20" s="978"/>
      <c r="O20" s="2733">
        <f t="shared" si="20"/>
        <v>1.7267119531200008</v>
      </c>
      <c r="P20" s="2153">
        <f t="shared" si="21"/>
        <v>392.43453480000016</v>
      </c>
      <c r="Q20" s="2153"/>
      <c r="R20" s="2165"/>
      <c r="S20" s="2153">
        <f t="shared" si="22"/>
        <v>17.267119531200009</v>
      </c>
      <c r="T20" s="2166">
        <f t="shared" si="23"/>
        <v>3924.3453480000016</v>
      </c>
      <c r="U20" s="1">
        <f t="shared" si="24"/>
        <v>0</v>
      </c>
      <c r="V20" s="1">
        <f t="shared" si="18"/>
        <v>1.53</v>
      </c>
      <c r="W20" s="1">
        <v>0.96899999999999997</v>
      </c>
      <c r="X20" s="1">
        <f t="shared" si="25"/>
        <v>1.6</v>
      </c>
      <c r="Y20" s="1">
        <f t="shared" si="26"/>
        <v>1.6</v>
      </c>
      <c r="Z20" s="1">
        <f t="shared" si="27"/>
        <v>2.1</v>
      </c>
      <c r="AA20" s="1">
        <f t="shared" si="28"/>
        <v>0.9</v>
      </c>
      <c r="AB20" s="1">
        <f t="shared" si="29"/>
        <v>1.5</v>
      </c>
      <c r="AC20" s="1">
        <f t="shared" si="30"/>
        <v>8.7900000000000006E-2</v>
      </c>
      <c r="AD20" s="1">
        <f t="shared" si="31"/>
        <v>0.95</v>
      </c>
      <c r="AE20" s="2821">
        <f t="shared" si="32"/>
        <v>24</v>
      </c>
      <c r="AF20" s="49">
        <f t="shared" si="14"/>
        <v>2.1999999999999999E-2</v>
      </c>
      <c r="AG20" s="49">
        <f t="shared" si="33"/>
        <v>1</v>
      </c>
      <c r="AH20" s="2649">
        <f t="shared" si="34"/>
        <v>4.4000000000000003E-3</v>
      </c>
      <c r="AI20" s="49" t="str">
        <f t="shared" si="35"/>
        <v>DIMultifamilyBath</v>
      </c>
    </row>
    <row r="21" spans="1:35" ht="29" x14ac:dyDescent="0.35">
      <c r="A21" s="966" t="s">
        <v>863</v>
      </c>
      <c r="B21" s="966" t="s">
        <v>3854</v>
      </c>
      <c r="C21" s="956" t="s">
        <v>862</v>
      </c>
      <c r="D21" s="957" t="s">
        <v>1582</v>
      </c>
      <c r="E21" s="69" t="s">
        <v>1583</v>
      </c>
      <c r="F21" s="974">
        <f t="shared" si="1"/>
        <v>10</v>
      </c>
      <c r="G21" s="1018"/>
      <c r="H21" s="976"/>
      <c r="I21" s="972" t="s">
        <v>3830</v>
      </c>
      <c r="J21" s="69" t="s">
        <v>1529</v>
      </c>
      <c r="K21" s="972" t="s">
        <v>2556</v>
      </c>
      <c r="L21" s="69" t="s">
        <v>1883</v>
      </c>
      <c r="M21" s="977"/>
      <c r="N21" s="978"/>
      <c r="O21" s="2733">
        <f t="shared" si="20"/>
        <v>2.7967173506999976</v>
      </c>
      <c r="P21" s="2153">
        <f t="shared" si="21"/>
        <v>527.6825189999995</v>
      </c>
      <c r="Q21" s="2153"/>
      <c r="R21" s="2165"/>
      <c r="S21" s="2153">
        <f t="shared" si="22"/>
        <v>27.967173506999977</v>
      </c>
      <c r="T21" s="2166">
        <f t="shared" si="23"/>
        <v>5276.825189999995</v>
      </c>
      <c r="U21" s="1">
        <f t="shared" si="24"/>
        <v>0</v>
      </c>
      <c r="V21" s="1">
        <f t="shared" si="18"/>
        <v>1.63</v>
      </c>
      <c r="W21" s="1">
        <v>1.4059999999999999</v>
      </c>
      <c r="X21" s="1">
        <f t="shared" si="25"/>
        <v>4.5</v>
      </c>
      <c r="Y21" s="1">
        <f t="shared" si="26"/>
        <v>4.5</v>
      </c>
      <c r="Z21" s="1">
        <f t="shared" si="27"/>
        <v>2.1</v>
      </c>
      <c r="AA21" s="1">
        <f t="shared" si="28"/>
        <v>0.75</v>
      </c>
      <c r="AB21" s="1">
        <f t="shared" si="29"/>
        <v>1</v>
      </c>
      <c r="AC21" s="1">
        <f t="shared" si="30"/>
        <v>0.10539999999999999</v>
      </c>
      <c r="AD21" s="1">
        <f t="shared" si="31"/>
        <v>0.91</v>
      </c>
      <c r="AE21" s="2821">
        <f t="shared" si="32"/>
        <v>92</v>
      </c>
      <c r="AF21" s="49">
        <f t="shared" si="14"/>
        <v>2.1999999999999999E-2</v>
      </c>
      <c r="AG21" s="49">
        <f t="shared" si="33"/>
        <v>1</v>
      </c>
      <c r="AH21" s="2649">
        <f t="shared" si="34"/>
        <v>5.3E-3</v>
      </c>
      <c r="AI21" s="49" t="str">
        <f t="shared" si="35"/>
        <v>DIMultifamilyKitchen</v>
      </c>
    </row>
    <row r="22" spans="1:35" x14ac:dyDescent="0.35">
      <c r="A22" s="966"/>
      <c r="B22" s="966"/>
      <c r="C22" s="956"/>
      <c r="D22" s="957"/>
      <c r="E22" s="69"/>
      <c r="F22" s="974"/>
      <c r="G22" s="1018"/>
      <c r="H22" s="976"/>
      <c r="I22" s="972"/>
      <c r="J22" s="69"/>
      <c r="K22" s="972"/>
      <c r="L22" s="69"/>
      <c r="M22" s="977"/>
      <c r="N22" s="978"/>
      <c r="O22" s="2153"/>
      <c r="P22" s="2153"/>
      <c r="Q22" s="2153"/>
      <c r="R22" s="2165"/>
      <c r="S22" s="2153"/>
      <c r="T22" s="2166"/>
      <c r="AE22" s="69"/>
      <c r="AF22" s="69"/>
      <c r="AG22" s="69"/>
      <c r="AH22" s="69"/>
      <c r="AI22" s="69"/>
    </row>
    <row r="23" spans="1:35" x14ac:dyDescent="0.35">
      <c r="A23" s="961"/>
      <c r="B23" s="961"/>
      <c r="C23" s="961"/>
      <c r="D23" s="974"/>
      <c r="E23" s="961"/>
      <c r="F23" s="961"/>
      <c r="G23" s="961"/>
      <c r="H23" s="961"/>
      <c r="I23" s="961"/>
      <c r="J23" s="961"/>
      <c r="K23" s="961"/>
      <c r="L23" s="961"/>
      <c r="M23" s="961"/>
      <c r="N23" s="961"/>
      <c r="O23" s="961"/>
      <c r="P23" s="961"/>
      <c r="Q23" s="961"/>
      <c r="R23" s="961"/>
      <c r="S23" s="961"/>
      <c r="T23" s="961"/>
    </row>
    <row r="24" spans="1:35" ht="15" thickBot="1" x14ac:dyDescent="0.4"/>
    <row r="25" spans="1:35" x14ac:dyDescent="0.35">
      <c r="A25" s="62" t="s">
        <v>1188</v>
      </c>
      <c r="B25" s="63"/>
      <c r="C25" s="64"/>
      <c r="D25" s="64"/>
      <c r="E25" s="64"/>
      <c r="F25" s="64"/>
      <c r="G25" s="64"/>
      <c r="H25" s="64"/>
      <c r="I25" s="65"/>
    </row>
    <row r="26" spans="1:35" x14ac:dyDescent="0.35">
      <c r="A26" s="3337" t="s">
        <v>3855</v>
      </c>
      <c r="B26" s="3338"/>
      <c r="C26" s="3338"/>
      <c r="D26" s="3338"/>
      <c r="E26" s="3338"/>
      <c r="F26" s="3338"/>
      <c r="G26" s="3338"/>
      <c r="H26" s="3338"/>
      <c r="I26" s="3339"/>
    </row>
    <row r="27" spans="1:35" x14ac:dyDescent="0.35">
      <c r="A27" s="3104" t="s">
        <v>3856</v>
      </c>
      <c r="B27" s="3105"/>
      <c r="C27" s="3105"/>
      <c r="D27" s="3105"/>
      <c r="E27" s="3105"/>
      <c r="F27" s="3105"/>
      <c r="G27" s="3105"/>
      <c r="H27" s="3105"/>
      <c r="I27" s="3106"/>
    </row>
    <row r="28" spans="1:35" x14ac:dyDescent="0.35">
      <c r="A28" s="3104" t="s">
        <v>3857</v>
      </c>
      <c r="B28" s="3105"/>
      <c r="C28" s="3105"/>
      <c r="D28" s="3105"/>
      <c r="E28" s="3105"/>
      <c r="F28" s="3105"/>
      <c r="G28" s="3105"/>
      <c r="H28" s="3105"/>
      <c r="I28" s="3106"/>
    </row>
    <row r="29" spans="1:35" x14ac:dyDescent="0.35">
      <c r="A29" s="71" t="s">
        <v>3858</v>
      </c>
      <c r="B29" s="249"/>
      <c r="C29" s="72"/>
      <c r="D29" s="72"/>
      <c r="E29" s="72"/>
      <c r="F29" s="72"/>
      <c r="G29" s="72"/>
      <c r="H29" s="72"/>
      <c r="I29" s="73"/>
    </row>
    <row r="30" spans="1:35" ht="15" thickBot="1" x14ac:dyDescent="0.4">
      <c r="A30" s="154" t="s">
        <v>1078</v>
      </c>
      <c r="B30" s="1556">
        <f>'Measure-Level Adjustments'!A2</f>
        <v>44592</v>
      </c>
    </row>
    <row r="31" spans="1:35" ht="15" thickBot="1" x14ac:dyDescent="0.4">
      <c r="A31" s="154" t="s">
        <v>1079</v>
      </c>
      <c r="B31" s="1557" t="s">
        <v>698</v>
      </c>
    </row>
    <row r="32" spans="1:35" ht="15" thickBot="1" x14ac:dyDescent="0.4"/>
    <row r="33" spans="1:13" ht="15" thickBot="1" x14ac:dyDescent="0.4">
      <c r="A33" s="74" t="s">
        <v>1285</v>
      </c>
      <c r="B33" s="75" t="s">
        <v>1199</v>
      </c>
      <c r="C33" s="76" t="s">
        <v>1082</v>
      </c>
      <c r="D33" s="64"/>
      <c r="E33" s="64"/>
      <c r="F33" s="64"/>
      <c r="G33" s="64"/>
      <c r="H33" s="64"/>
      <c r="I33" s="64"/>
      <c r="J33" s="64"/>
      <c r="K33" s="64"/>
      <c r="L33" s="64"/>
      <c r="M33" s="65"/>
    </row>
    <row r="34" spans="1:13" x14ac:dyDescent="0.35">
      <c r="A34" s="358" t="s">
        <v>1871</v>
      </c>
      <c r="B34" s="78"/>
      <c r="C34" s="79" t="s">
        <v>1896</v>
      </c>
      <c r="D34" s="80"/>
      <c r="E34" s="80"/>
      <c r="F34" s="80"/>
      <c r="G34" s="80"/>
      <c r="H34" s="80"/>
      <c r="I34" s="80"/>
      <c r="J34" s="80"/>
      <c r="K34" s="80"/>
      <c r="L34" s="80"/>
      <c r="M34" s="81"/>
    </row>
    <row r="35" spans="1:13" ht="15" thickBot="1" x14ac:dyDescent="0.4">
      <c r="A35" s="360"/>
      <c r="B35" s="83"/>
      <c r="C35" s="84" t="s">
        <v>2743</v>
      </c>
      <c r="D35" s="85"/>
      <c r="E35" s="85"/>
      <c r="F35" s="85"/>
      <c r="G35" s="85"/>
      <c r="H35" s="85"/>
      <c r="I35" s="85"/>
      <c r="J35" s="85"/>
      <c r="K35" s="85"/>
      <c r="L35" s="85"/>
      <c r="M35" s="86"/>
    </row>
    <row r="36" spans="1:13" x14ac:dyDescent="0.35">
      <c r="A36" s="93" t="s">
        <v>1872</v>
      </c>
      <c r="B36" s="80"/>
      <c r="C36" s="79" t="s">
        <v>3859</v>
      </c>
      <c r="D36" s="80"/>
      <c r="E36" s="80"/>
      <c r="F36" s="80"/>
      <c r="G36" s="80"/>
      <c r="H36" s="80"/>
      <c r="I36" s="80"/>
      <c r="J36" s="80"/>
      <c r="K36" s="80"/>
      <c r="L36" s="80"/>
      <c r="M36" s="81"/>
    </row>
    <row r="37" spans="1:13" ht="15" thickBot="1" x14ac:dyDescent="0.4">
      <c r="A37" s="360"/>
      <c r="B37" s="83"/>
      <c r="C37" s="84" t="s">
        <v>3860</v>
      </c>
      <c r="D37" s="85"/>
      <c r="E37" s="85"/>
      <c r="F37" s="85"/>
      <c r="G37" s="85"/>
      <c r="H37" s="85"/>
      <c r="I37" s="85"/>
      <c r="J37" s="85"/>
      <c r="K37" s="85"/>
      <c r="L37" s="85"/>
      <c r="M37" s="86"/>
    </row>
    <row r="38" spans="1:13" x14ac:dyDescent="0.35">
      <c r="A38" s="93" t="s">
        <v>1873</v>
      </c>
      <c r="B38" s="80">
        <v>0.94</v>
      </c>
      <c r="C38" s="79" t="s">
        <v>1901</v>
      </c>
      <c r="D38" s="80"/>
      <c r="E38" s="80"/>
      <c r="F38" s="80"/>
      <c r="G38" s="80"/>
      <c r="H38" s="80"/>
      <c r="I38" s="80"/>
      <c r="J38" s="80"/>
      <c r="K38" s="80"/>
      <c r="L38" s="80"/>
      <c r="M38" s="81"/>
    </row>
    <row r="39" spans="1:13" ht="15" thickBot="1" x14ac:dyDescent="0.4">
      <c r="A39" s="360"/>
      <c r="B39" s="83"/>
      <c r="C39" s="84" t="s">
        <v>3861</v>
      </c>
      <c r="D39" s="85"/>
      <c r="E39" s="85"/>
      <c r="F39" s="85"/>
      <c r="G39" s="85"/>
      <c r="H39" s="85"/>
      <c r="I39" s="85"/>
      <c r="J39" s="85"/>
      <c r="K39" s="85"/>
      <c r="L39" s="85"/>
      <c r="M39" s="86"/>
    </row>
    <row r="40" spans="1:13" x14ac:dyDescent="0.35">
      <c r="A40" s="93" t="s">
        <v>1981</v>
      </c>
      <c r="B40" s="80"/>
      <c r="C40" s="80" t="s">
        <v>3862</v>
      </c>
      <c r="D40" s="80"/>
      <c r="E40" s="80"/>
      <c r="F40" s="80"/>
      <c r="G40" s="80"/>
      <c r="H40" s="80"/>
      <c r="I40" s="80"/>
      <c r="J40" s="80"/>
      <c r="K40" s="80"/>
      <c r="L40" s="80"/>
      <c r="M40" s="81"/>
    </row>
    <row r="41" spans="1:13" ht="15" thickBot="1" x14ac:dyDescent="0.4">
      <c r="A41" s="360"/>
      <c r="B41" s="83"/>
      <c r="C41" s="84" t="s">
        <v>3863</v>
      </c>
      <c r="D41" s="85"/>
      <c r="E41" s="85"/>
      <c r="F41" s="85"/>
      <c r="G41" s="85"/>
      <c r="H41" s="85"/>
      <c r="I41" s="85"/>
      <c r="J41" s="85"/>
      <c r="K41" s="85"/>
      <c r="L41" s="85"/>
      <c r="M41" s="86"/>
    </row>
    <row r="42" spans="1:13" x14ac:dyDescent="0.35">
      <c r="A42" s="93" t="s">
        <v>1982</v>
      </c>
      <c r="B42" s="80"/>
      <c r="C42" s="79" t="s">
        <v>3864</v>
      </c>
      <c r="D42" s="80"/>
      <c r="E42" s="80"/>
      <c r="F42" s="80"/>
      <c r="G42" s="80"/>
      <c r="H42" s="80"/>
      <c r="I42" s="80"/>
      <c r="J42" s="80"/>
      <c r="K42" s="80"/>
      <c r="L42" s="80"/>
      <c r="M42" s="81"/>
    </row>
    <row r="43" spans="1:13" ht="15" thickBot="1" x14ac:dyDescent="0.4">
      <c r="A43" s="360"/>
      <c r="B43" s="83"/>
      <c r="C43" s="84" t="s">
        <v>3863</v>
      </c>
      <c r="D43" s="85"/>
      <c r="E43" s="85"/>
      <c r="F43" s="85"/>
      <c r="G43" s="85"/>
      <c r="H43" s="85"/>
      <c r="I43" s="85"/>
      <c r="J43" s="85"/>
      <c r="K43" s="85"/>
      <c r="L43" s="85"/>
      <c r="M43" s="86"/>
    </row>
    <row r="44" spans="1:13" x14ac:dyDescent="0.35">
      <c r="A44" s="93" t="s">
        <v>3777</v>
      </c>
      <c r="B44" s="80"/>
      <c r="C44" s="79" t="s">
        <v>3865</v>
      </c>
      <c r="D44" s="80"/>
      <c r="E44" s="80"/>
      <c r="F44" s="80"/>
      <c r="G44" s="80"/>
      <c r="H44" s="80"/>
      <c r="I44" s="80"/>
      <c r="J44" s="80"/>
      <c r="K44" s="80"/>
      <c r="L44" s="80"/>
      <c r="M44" s="81"/>
    </row>
    <row r="45" spans="1:13" ht="15" thickBot="1" x14ac:dyDescent="0.4">
      <c r="A45" s="360"/>
      <c r="B45" s="83"/>
      <c r="C45" s="84" t="s">
        <v>3866</v>
      </c>
      <c r="D45" s="85"/>
      <c r="E45" s="85"/>
      <c r="F45" s="85"/>
      <c r="G45" s="85"/>
      <c r="H45" s="85"/>
      <c r="I45" s="85"/>
      <c r="J45" s="85"/>
      <c r="K45" s="85"/>
      <c r="L45" s="85"/>
      <c r="M45" s="86"/>
    </row>
    <row r="46" spans="1:13" x14ac:dyDescent="0.35">
      <c r="A46" s="358" t="s">
        <v>3867</v>
      </c>
      <c r="B46" s="362">
        <v>365.25</v>
      </c>
      <c r="C46" s="79" t="s">
        <v>3868</v>
      </c>
      <c r="D46" s="80"/>
      <c r="E46" s="80"/>
      <c r="F46" s="80"/>
      <c r="G46" s="80"/>
      <c r="H46" s="80"/>
      <c r="I46" s="80"/>
      <c r="J46" s="80"/>
      <c r="K46" s="80"/>
      <c r="L46" s="80"/>
      <c r="M46" s="81"/>
    </row>
    <row r="47" spans="1:13" ht="15" thickBot="1" x14ac:dyDescent="0.4">
      <c r="A47" s="360"/>
      <c r="B47" s="83"/>
      <c r="C47" s="84" t="s">
        <v>1084</v>
      </c>
      <c r="D47" s="85"/>
      <c r="E47" s="85"/>
      <c r="F47" s="85"/>
      <c r="G47" s="85"/>
      <c r="H47" s="85"/>
      <c r="I47" s="85"/>
      <c r="J47" s="85"/>
      <c r="K47" s="85"/>
      <c r="L47" s="85"/>
      <c r="M47" s="86"/>
    </row>
    <row r="48" spans="1:13" x14ac:dyDescent="0.35">
      <c r="A48" s="93" t="s">
        <v>3826</v>
      </c>
      <c r="B48" s="266"/>
      <c r="C48" s="79" t="s">
        <v>3869</v>
      </c>
      <c r="D48" s="80"/>
      <c r="E48" s="80"/>
      <c r="F48" s="80"/>
      <c r="G48" s="80"/>
      <c r="H48" s="80"/>
      <c r="I48" s="80"/>
      <c r="J48" s="80"/>
      <c r="K48" s="80"/>
      <c r="L48" s="80"/>
      <c r="M48" s="81"/>
    </row>
    <row r="49" spans="1:13" ht="15" thickBot="1" x14ac:dyDescent="0.4">
      <c r="A49" s="360"/>
      <c r="B49" s="83"/>
      <c r="C49" s="84" t="s">
        <v>3870</v>
      </c>
      <c r="D49" s="85"/>
      <c r="E49" s="85"/>
      <c r="F49" s="85"/>
      <c r="G49" s="85"/>
      <c r="H49" s="85"/>
      <c r="I49" s="85"/>
      <c r="J49" s="85"/>
      <c r="K49" s="85"/>
      <c r="L49" s="85"/>
      <c r="M49" s="86"/>
    </row>
    <row r="50" spans="1:13" x14ac:dyDescent="0.35">
      <c r="A50" s="93" t="s">
        <v>3827</v>
      </c>
      <c r="B50" s="80"/>
      <c r="C50" s="79" t="s">
        <v>3871</v>
      </c>
      <c r="D50" s="80"/>
      <c r="E50" s="80"/>
      <c r="F50" s="80"/>
      <c r="G50" s="80"/>
      <c r="H50" s="80"/>
      <c r="I50" s="80"/>
      <c r="J50" s="80"/>
      <c r="K50" s="80"/>
      <c r="L50" s="80"/>
      <c r="M50" s="81"/>
    </row>
    <row r="51" spans="1:13" ht="15" thickBot="1" x14ac:dyDescent="0.4">
      <c r="A51" s="88"/>
      <c r="B51" s="85"/>
      <c r="C51" s="84" t="s">
        <v>3872</v>
      </c>
      <c r="D51" s="85"/>
      <c r="E51" s="85"/>
      <c r="F51" s="85"/>
      <c r="G51" s="85"/>
      <c r="H51" s="85"/>
      <c r="I51" s="85"/>
      <c r="J51" s="85"/>
      <c r="K51" s="85"/>
      <c r="L51" s="85"/>
      <c r="M51" s="86"/>
    </row>
    <row r="52" spans="1:13" x14ac:dyDescent="0.35">
      <c r="A52" s="93" t="s">
        <v>1874</v>
      </c>
      <c r="B52" s="80"/>
      <c r="C52" s="79" t="s">
        <v>3873</v>
      </c>
      <c r="D52" s="80"/>
      <c r="E52" s="80"/>
      <c r="F52" s="80"/>
      <c r="G52" s="80"/>
      <c r="H52" s="80"/>
      <c r="I52" s="80"/>
      <c r="J52" s="80"/>
      <c r="K52" s="80"/>
      <c r="L52" s="80"/>
      <c r="M52" s="81"/>
    </row>
    <row r="53" spans="1:13" x14ac:dyDescent="0.35">
      <c r="A53" s="254"/>
      <c r="C53" t="s">
        <v>3874</v>
      </c>
      <c r="M53" s="253"/>
    </row>
    <row r="54" spans="1:13" x14ac:dyDescent="0.35">
      <c r="A54" s="254"/>
      <c r="C54" s="2641" t="s">
        <v>3875</v>
      </c>
      <c r="D54" s="2641"/>
      <c r="M54" s="253"/>
    </row>
    <row r="55" spans="1:13" x14ac:dyDescent="0.35">
      <c r="A55" s="254"/>
      <c r="C55" t="s">
        <v>3876</v>
      </c>
      <c r="M55" s="253"/>
    </row>
    <row r="56" spans="1:13" x14ac:dyDescent="0.35">
      <c r="A56" s="254"/>
      <c r="C56" t="s">
        <v>3877</v>
      </c>
      <c r="M56" s="253"/>
    </row>
    <row r="57" spans="1:13" x14ac:dyDescent="0.35">
      <c r="A57" s="254"/>
      <c r="C57" t="s">
        <v>3878</v>
      </c>
      <c r="M57" s="253"/>
    </row>
    <row r="58" spans="1:13" x14ac:dyDescent="0.35">
      <c r="A58" s="254"/>
      <c r="C58" t="s">
        <v>3879</v>
      </c>
      <c r="M58" s="253"/>
    </row>
    <row r="59" spans="1:13" x14ac:dyDescent="0.35">
      <c r="A59" s="254"/>
      <c r="C59" t="s">
        <v>3880</v>
      </c>
      <c r="M59" s="253"/>
    </row>
    <row r="60" spans="1:13" x14ac:dyDescent="0.35">
      <c r="A60" s="254"/>
      <c r="C60" t="s">
        <v>3881</v>
      </c>
      <c r="M60" s="253"/>
    </row>
    <row r="61" spans="1:13" ht="15" thickBot="1" x14ac:dyDescent="0.4">
      <c r="A61" s="88"/>
      <c r="B61" s="85"/>
      <c r="C61" s="85" t="s">
        <v>3882</v>
      </c>
      <c r="D61" s="85"/>
      <c r="E61" s="85"/>
      <c r="F61" s="85"/>
      <c r="G61" s="85"/>
      <c r="H61" s="85"/>
      <c r="I61" s="85"/>
      <c r="J61" s="85"/>
      <c r="K61" s="85"/>
      <c r="L61" s="85"/>
      <c r="M61" s="86"/>
    </row>
    <row r="62" spans="1:13" x14ac:dyDescent="0.35">
      <c r="A62" s="93" t="s">
        <v>1580</v>
      </c>
      <c r="B62" s="80">
        <f>IF(E4=B117,IF(K4=B98,0.95,IF(L4=B87,0.91,0.95)),1)</f>
        <v>0.95</v>
      </c>
      <c r="C62" s="79" t="s">
        <v>3883</v>
      </c>
      <c r="D62" s="80"/>
      <c r="E62" s="80"/>
      <c r="F62" s="80"/>
      <c r="G62" s="80"/>
      <c r="H62" s="80"/>
      <c r="I62" s="80"/>
      <c r="J62" s="80"/>
      <c r="K62" s="80"/>
      <c r="L62" s="80"/>
      <c r="M62" s="81"/>
    </row>
    <row r="63" spans="1:13" ht="15" thickBot="1" x14ac:dyDescent="0.4">
      <c r="A63" s="88"/>
      <c r="B63" s="85">
        <v>0.91</v>
      </c>
      <c r="C63" s="84" t="s">
        <v>3884</v>
      </c>
      <c r="D63" s="85"/>
      <c r="E63" s="85"/>
      <c r="F63" s="85"/>
      <c r="G63" s="85"/>
      <c r="H63" s="85"/>
      <c r="I63" s="85"/>
      <c r="J63" s="85"/>
      <c r="K63" s="85"/>
      <c r="L63" s="85"/>
      <c r="M63" s="86"/>
    </row>
    <row r="64" spans="1:13" x14ac:dyDescent="0.35">
      <c r="A64" s="93" t="s">
        <v>1641</v>
      </c>
      <c r="B64" s="80"/>
      <c r="C64" s="79" t="s">
        <v>3885</v>
      </c>
      <c r="D64" s="80"/>
      <c r="E64" s="80"/>
      <c r="F64" s="80"/>
      <c r="G64" s="80"/>
      <c r="H64" s="80"/>
      <c r="I64" s="80"/>
      <c r="J64" s="80"/>
      <c r="K64" s="80"/>
      <c r="L64" s="80"/>
      <c r="M64" s="81"/>
    </row>
    <row r="65" spans="1:13" ht="15" thickBot="1" x14ac:dyDescent="0.4">
      <c r="A65" s="88"/>
      <c r="B65" s="85"/>
      <c r="C65" s="2610" t="s">
        <v>3886</v>
      </c>
      <c r="D65" s="2611"/>
      <c r="E65" s="2611"/>
      <c r="F65" s="2611"/>
      <c r="G65" s="2611"/>
      <c r="H65" s="2611"/>
      <c r="I65" s="85"/>
      <c r="J65" s="85"/>
      <c r="K65" s="85"/>
      <c r="L65" s="85"/>
      <c r="M65" s="86"/>
    </row>
    <row r="66" spans="1:13" x14ac:dyDescent="0.35">
      <c r="A66" s="93" t="s">
        <v>1179</v>
      </c>
      <c r="B66" s="80">
        <v>2.1999999999999999E-2</v>
      </c>
      <c r="C66" s="79" t="s">
        <v>1923</v>
      </c>
      <c r="D66" s="80"/>
      <c r="E66" s="80"/>
      <c r="F66" s="80"/>
      <c r="G66" s="80"/>
      <c r="H66" s="80"/>
      <c r="I66" s="80"/>
      <c r="J66" s="80"/>
      <c r="K66" s="80"/>
      <c r="L66" s="80"/>
      <c r="M66" s="81"/>
    </row>
    <row r="67" spans="1:13" ht="15" thickBot="1" x14ac:dyDescent="0.4">
      <c r="A67" s="88"/>
      <c r="B67" s="85"/>
      <c r="C67" s="84" t="s">
        <v>3887</v>
      </c>
      <c r="D67" s="85"/>
      <c r="E67" s="85"/>
      <c r="F67" s="85"/>
      <c r="G67" s="85"/>
      <c r="H67" s="85"/>
      <c r="I67" s="85"/>
      <c r="J67" s="85"/>
      <c r="K67" s="85"/>
      <c r="L67" s="85"/>
      <c r="M67" s="86"/>
    </row>
    <row r="68" spans="1:13" x14ac:dyDescent="0.35">
      <c r="A68" s="93" t="s">
        <v>3828</v>
      </c>
      <c r="B68" s="78"/>
      <c r="C68" s="79" t="s">
        <v>3888</v>
      </c>
      <c r="D68" s="80"/>
      <c r="E68" s="80"/>
      <c r="F68" s="80"/>
      <c r="G68" s="80"/>
      <c r="H68" s="80"/>
      <c r="I68" s="80"/>
      <c r="J68" s="80"/>
      <c r="K68" s="80"/>
      <c r="L68" s="80"/>
      <c r="M68" s="81"/>
    </row>
    <row r="69" spans="1:13" ht="15" thickBot="1" x14ac:dyDescent="0.4">
      <c r="A69" s="88"/>
      <c r="B69" s="85"/>
      <c r="C69" s="84" t="s">
        <v>3889</v>
      </c>
      <c r="D69" s="85"/>
      <c r="E69" s="85"/>
      <c r="F69" s="85"/>
      <c r="G69" s="85"/>
      <c r="H69" s="85"/>
      <c r="I69" s="85"/>
      <c r="J69" s="85"/>
      <c r="K69" s="85"/>
      <c r="L69" s="85"/>
      <c r="M69" s="86"/>
    </row>
    <row r="70" spans="1:13" x14ac:dyDescent="0.35">
      <c r="A70" s="93" t="s">
        <v>1876</v>
      </c>
      <c r="B70" s="80"/>
      <c r="C70" s="79" t="s">
        <v>3890</v>
      </c>
      <c r="D70" s="80"/>
      <c r="E70" s="80"/>
      <c r="F70" s="80"/>
      <c r="G70" s="80"/>
      <c r="H70" s="80"/>
      <c r="I70" s="80"/>
      <c r="J70" s="80"/>
      <c r="K70" s="80"/>
      <c r="L70" s="80"/>
      <c r="M70" s="81"/>
    </row>
    <row r="71" spans="1:13" x14ac:dyDescent="0.35">
      <c r="A71" s="254"/>
      <c r="C71" t="s">
        <v>3891</v>
      </c>
      <c r="M71" s="253"/>
    </row>
    <row r="72" spans="1:13" x14ac:dyDescent="0.35">
      <c r="A72" s="254"/>
      <c r="C72" t="s">
        <v>3348</v>
      </c>
      <c r="M72" s="253"/>
    </row>
    <row r="73" spans="1:13" x14ac:dyDescent="0.35">
      <c r="A73" s="254"/>
      <c r="C73" t="s">
        <v>3892</v>
      </c>
      <c r="M73" s="253"/>
    </row>
    <row r="74" spans="1:13" x14ac:dyDescent="0.35">
      <c r="A74" s="254"/>
      <c r="C74" t="s">
        <v>3893</v>
      </c>
      <c r="M74" s="253"/>
    </row>
    <row r="75" spans="1:13" x14ac:dyDescent="0.35">
      <c r="A75" s="254"/>
      <c r="C75" t="s">
        <v>3894</v>
      </c>
      <c r="M75" s="253"/>
    </row>
    <row r="76" spans="1:13" ht="15" thickBot="1" x14ac:dyDescent="0.4">
      <c r="A76" s="88"/>
      <c r="B76" s="85"/>
      <c r="C76" s="85" t="s">
        <v>3895</v>
      </c>
      <c r="D76" s="85"/>
      <c r="E76" s="85"/>
      <c r="F76" s="85"/>
      <c r="G76" s="85"/>
      <c r="H76" s="85"/>
      <c r="I76" s="85"/>
      <c r="J76" s="85"/>
      <c r="K76" s="85"/>
      <c r="L76" s="85"/>
      <c r="M76" s="86"/>
    </row>
    <row r="77" spans="1:13" x14ac:dyDescent="0.35">
      <c r="A77" s="93" t="s">
        <v>1083</v>
      </c>
      <c r="B77" s="1553">
        <v>10</v>
      </c>
      <c r="C77" s="80" t="s">
        <v>3896</v>
      </c>
      <c r="D77" s="80"/>
      <c r="E77" s="80"/>
      <c r="F77" s="80"/>
      <c r="G77" s="80"/>
      <c r="H77" s="80"/>
      <c r="I77" s="80"/>
      <c r="J77" s="80"/>
      <c r="K77" s="80"/>
      <c r="L77" s="80"/>
      <c r="M77" s="81"/>
    </row>
    <row r="78" spans="1:13" ht="15" thickBot="1" x14ac:dyDescent="0.4">
      <c r="A78" s="88"/>
      <c r="B78" s="85"/>
      <c r="C78" s="85" t="s">
        <v>1084</v>
      </c>
      <c r="D78" s="85"/>
      <c r="E78" s="85"/>
      <c r="F78" s="85"/>
      <c r="G78" s="85"/>
      <c r="H78" s="85"/>
      <c r="I78" s="85"/>
      <c r="J78" s="85"/>
      <c r="K78" s="85"/>
      <c r="L78" s="85"/>
      <c r="M78" s="86"/>
    </row>
    <row r="79" spans="1:13" x14ac:dyDescent="0.35">
      <c r="A79" s="93" t="s">
        <v>1040</v>
      </c>
      <c r="B79" s="80"/>
      <c r="C79" s="80"/>
      <c r="D79" s="80"/>
      <c r="E79" s="80"/>
      <c r="F79" s="80"/>
      <c r="G79" s="80"/>
      <c r="H79" s="80"/>
      <c r="I79" s="80"/>
      <c r="J79" s="80"/>
      <c r="K79" s="80"/>
      <c r="L79" s="80"/>
      <c r="M79" s="81"/>
    </row>
    <row r="80" spans="1:13" x14ac:dyDescent="0.35">
      <c r="A80" s="254"/>
      <c r="M80" s="253"/>
    </row>
    <row r="81" spans="1:13" ht="15" thickBot="1" x14ac:dyDescent="0.4">
      <c r="A81" s="88"/>
      <c r="B81" s="85"/>
      <c r="C81" s="85"/>
      <c r="D81" s="85"/>
      <c r="E81" s="85"/>
      <c r="F81" s="85"/>
      <c r="G81" s="85"/>
      <c r="H81" s="85"/>
      <c r="I81" s="85"/>
      <c r="J81" s="85"/>
      <c r="K81" s="85"/>
      <c r="L81" s="85"/>
      <c r="M81" s="86"/>
    </row>
    <row r="82" spans="1:13" ht="15" thickBot="1" x14ac:dyDescent="0.4"/>
    <row r="83" spans="1:13" ht="15" thickBot="1" x14ac:dyDescent="0.4">
      <c r="A83" s="97" t="s">
        <v>1129</v>
      </c>
      <c r="B83" s="98"/>
      <c r="C83" s="64"/>
      <c r="D83" s="64"/>
      <c r="E83" s="64"/>
      <c r="F83" s="64"/>
      <c r="G83" s="64"/>
      <c r="H83" s="64"/>
      <c r="I83" s="65"/>
    </row>
    <row r="84" spans="1:13" x14ac:dyDescent="0.35">
      <c r="A84" s="99"/>
      <c r="B84" s="69"/>
      <c r="C84" s="69"/>
      <c r="D84" s="69"/>
      <c r="E84" s="69"/>
      <c r="F84" s="69"/>
      <c r="G84" s="69"/>
      <c r="H84" s="69"/>
      <c r="I84" s="100"/>
    </row>
    <row r="85" spans="1:13" x14ac:dyDescent="0.35">
      <c r="A85" s="99"/>
      <c r="B85" s="69"/>
      <c r="C85" s="69"/>
      <c r="D85" s="69"/>
      <c r="E85" s="69"/>
      <c r="F85" s="69"/>
      <c r="G85" s="69"/>
      <c r="H85" s="69"/>
      <c r="I85" s="100"/>
    </row>
    <row r="86" spans="1:13" ht="26" x14ac:dyDescent="0.35">
      <c r="A86" s="99"/>
      <c r="B86" s="56" t="s">
        <v>3825</v>
      </c>
      <c r="C86" s="56" t="s">
        <v>3869</v>
      </c>
      <c r="D86" s="56" t="s">
        <v>3897</v>
      </c>
      <c r="E86" s="56" t="s">
        <v>3898</v>
      </c>
      <c r="F86" s="2734" t="s">
        <v>1874</v>
      </c>
      <c r="G86" s="1554" t="s">
        <v>1872</v>
      </c>
      <c r="H86" s="69"/>
      <c r="I86" s="100"/>
    </row>
    <row r="87" spans="1:13" x14ac:dyDescent="0.35">
      <c r="A87" s="99"/>
      <c r="B87" s="101" t="s">
        <v>1883</v>
      </c>
      <c r="C87" s="102">
        <v>0.75</v>
      </c>
      <c r="D87" s="49">
        <v>1</v>
      </c>
      <c r="E87" s="49">
        <v>1</v>
      </c>
      <c r="F87" s="2735">
        <v>0.10539999999999999</v>
      </c>
      <c r="G87" s="1552">
        <v>1.63</v>
      </c>
      <c r="H87" s="69"/>
      <c r="I87" s="100"/>
    </row>
    <row r="88" spans="1:13" x14ac:dyDescent="0.35">
      <c r="A88" s="99"/>
      <c r="B88" s="101" t="s">
        <v>1882</v>
      </c>
      <c r="C88" s="102">
        <v>0.9</v>
      </c>
      <c r="D88" s="781">
        <v>2.83</v>
      </c>
      <c r="E88" s="49">
        <v>1.5</v>
      </c>
      <c r="F88" s="2624">
        <v>8.7900000000000006E-2</v>
      </c>
      <c r="G88" s="1552">
        <v>1.53</v>
      </c>
      <c r="H88" s="69"/>
      <c r="I88" s="100"/>
    </row>
    <row r="89" spans="1:13" x14ac:dyDescent="0.35">
      <c r="A89" s="99"/>
      <c r="B89" s="101" t="s">
        <v>1185</v>
      </c>
      <c r="C89" s="1070">
        <v>0.79500000000000004</v>
      </c>
      <c r="D89" s="49">
        <f>SUM(D87:D88)</f>
        <v>3.83</v>
      </c>
      <c r="E89" s="49">
        <f>SUM(E87:E88)</f>
        <v>2.5</v>
      </c>
      <c r="F89" s="2624">
        <v>0.1004</v>
      </c>
      <c r="G89" s="1552">
        <v>1.58</v>
      </c>
      <c r="H89" s="69"/>
      <c r="I89" s="100"/>
    </row>
    <row r="90" spans="1:13" x14ac:dyDescent="0.35">
      <c r="A90" s="99"/>
      <c r="B90" s="69"/>
      <c r="C90" s="69"/>
      <c r="D90" s="69"/>
      <c r="E90" s="69"/>
      <c r="F90" s="69"/>
      <c r="G90" s="69"/>
      <c r="H90" s="69"/>
      <c r="I90" s="100"/>
    </row>
    <row r="91" spans="1:13" x14ac:dyDescent="0.35">
      <c r="A91" s="99"/>
      <c r="B91" s="56" t="s">
        <v>1937</v>
      </c>
      <c r="C91" s="56" t="s">
        <v>3899</v>
      </c>
      <c r="D91" s="56" t="s">
        <v>3900</v>
      </c>
      <c r="E91" s="69"/>
      <c r="F91" s="69"/>
      <c r="G91" s="69"/>
      <c r="H91" s="69"/>
      <c r="I91" s="100"/>
    </row>
    <row r="92" spans="1:13" x14ac:dyDescent="0.35">
      <c r="A92" s="99"/>
      <c r="B92" s="101" t="s">
        <v>1566</v>
      </c>
      <c r="C92" s="102">
        <v>1</v>
      </c>
      <c r="D92" s="102">
        <v>0</v>
      </c>
      <c r="E92" s="69"/>
      <c r="F92" s="1071"/>
      <c r="G92" s="69"/>
      <c r="H92" s="69"/>
      <c r="I92" s="100"/>
    </row>
    <row r="93" spans="1:13" x14ac:dyDescent="0.35">
      <c r="A93" s="99"/>
      <c r="B93" s="101" t="s">
        <v>1529</v>
      </c>
      <c r="C93" s="102">
        <v>0</v>
      </c>
      <c r="D93" s="102">
        <v>1</v>
      </c>
      <c r="E93" s="69"/>
      <c r="F93" s="69"/>
      <c r="G93" s="69"/>
      <c r="H93" s="69"/>
      <c r="I93" s="100"/>
    </row>
    <row r="94" spans="1:13" x14ac:dyDescent="0.35">
      <c r="A94" s="99"/>
      <c r="B94" s="101" t="s">
        <v>1185</v>
      </c>
      <c r="C94" s="102">
        <v>0.16</v>
      </c>
      <c r="D94" s="102">
        <v>0.84</v>
      </c>
      <c r="E94" s="69"/>
      <c r="F94" s="69"/>
      <c r="G94" s="69"/>
      <c r="H94" s="69"/>
      <c r="I94" s="100"/>
    </row>
    <row r="95" spans="1:13" x14ac:dyDescent="0.35">
      <c r="A95" s="99"/>
      <c r="B95" s="69"/>
      <c r="C95" s="69"/>
      <c r="D95" s="69"/>
      <c r="E95" s="69"/>
      <c r="F95" s="69"/>
      <c r="G95" s="69"/>
      <c r="H95" s="69"/>
      <c r="I95" s="100"/>
    </row>
    <row r="96" spans="1:13" x14ac:dyDescent="0.35">
      <c r="A96" s="99"/>
      <c r="B96" s="69"/>
      <c r="C96" s="69"/>
      <c r="D96" s="69"/>
      <c r="E96" s="69"/>
      <c r="F96" s="69"/>
      <c r="G96" s="69"/>
      <c r="H96" s="69"/>
      <c r="I96" s="100"/>
    </row>
    <row r="97" spans="1:9" x14ac:dyDescent="0.35">
      <c r="A97" s="99"/>
      <c r="B97" s="56" t="s">
        <v>3769</v>
      </c>
      <c r="C97" s="56" t="s">
        <v>3901</v>
      </c>
      <c r="D97" s="69"/>
      <c r="E97" s="69"/>
      <c r="F97" s="69"/>
      <c r="G97" s="69"/>
      <c r="H97" s="69"/>
      <c r="I97" s="100"/>
    </row>
    <row r="98" spans="1:9" x14ac:dyDescent="0.35">
      <c r="A98" s="99"/>
      <c r="B98" s="101" t="s">
        <v>3318</v>
      </c>
      <c r="C98" s="49">
        <v>2.56</v>
      </c>
      <c r="D98" s="69"/>
      <c r="E98" s="69"/>
      <c r="F98" s="69"/>
      <c r="G98" s="69"/>
      <c r="H98" s="69"/>
      <c r="I98" s="100"/>
    </row>
    <row r="99" spans="1:9" x14ac:dyDescent="0.35">
      <c r="A99" s="99"/>
      <c r="B99" s="101" t="s">
        <v>3902</v>
      </c>
      <c r="C99" s="49">
        <v>2.1</v>
      </c>
      <c r="D99" s="69"/>
      <c r="E99" s="69"/>
      <c r="F99" s="69"/>
      <c r="G99" s="69"/>
      <c r="H99" s="69"/>
      <c r="I99" s="100"/>
    </row>
    <row r="100" spans="1:9" x14ac:dyDescent="0.35">
      <c r="A100" s="99"/>
      <c r="B100" s="1555" t="s">
        <v>3903</v>
      </c>
      <c r="C100" s="1552">
        <v>2.42</v>
      </c>
      <c r="D100" s="69"/>
      <c r="E100" s="69"/>
      <c r="F100" s="69"/>
      <c r="G100" s="69"/>
      <c r="H100" s="69"/>
      <c r="I100" s="100"/>
    </row>
    <row r="101" spans="1:9" x14ac:dyDescent="0.35">
      <c r="A101" s="99"/>
      <c r="B101" s="101" t="s">
        <v>105</v>
      </c>
      <c r="C101" s="101" t="s">
        <v>3904</v>
      </c>
      <c r="D101" s="69"/>
      <c r="E101" s="69"/>
      <c r="F101" s="69"/>
      <c r="G101" s="69"/>
      <c r="H101" s="69"/>
      <c r="I101" s="100"/>
    </row>
    <row r="102" spans="1:9" x14ac:dyDescent="0.35">
      <c r="A102" s="99"/>
      <c r="B102" s="69"/>
      <c r="C102" s="69"/>
      <c r="D102" s="69"/>
      <c r="E102" s="69"/>
      <c r="F102" s="69"/>
      <c r="G102" s="69"/>
      <c r="H102" s="69"/>
      <c r="I102" s="100"/>
    </row>
    <row r="103" spans="1:9" x14ac:dyDescent="0.35">
      <c r="A103" s="99"/>
      <c r="B103" s="69"/>
      <c r="C103" s="69"/>
      <c r="D103" s="69"/>
      <c r="E103" s="69"/>
      <c r="F103" s="69"/>
      <c r="G103" s="69"/>
      <c r="H103" s="69"/>
      <c r="I103" s="100"/>
    </row>
    <row r="104" spans="1:9" x14ac:dyDescent="0.35">
      <c r="A104" s="99"/>
      <c r="B104" s="56" t="s">
        <v>1360</v>
      </c>
      <c r="C104" s="56" t="s">
        <v>3905</v>
      </c>
      <c r="D104" s="56" t="s">
        <v>3906</v>
      </c>
      <c r="E104" s="2734" t="s">
        <v>3907</v>
      </c>
      <c r="F104" s="56" t="s">
        <v>3908</v>
      </c>
      <c r="G104" s="56" t="s">
        <v>3909</v>
      </c>
      <c r="H104" s="69"/>
      <c r="I104" s="100"/>
    </row>
    <row r="105" spans="1:9" x14ac:dyDescent="0.35">
      <c r="A105" s="99"/>
      <c r="B105" s="1072" t="s">
        <v>3318</v>
      </c>
      <c r="C105" s="101" t="s">
        <v>1883</v>
      </c>
      <c r="D105" s="2893">
        <v>112</v>
      </c>
      <c r="E105" s="2649">
        <v>4.4999999999999997E-3</v>
      </c>
      <c r="F105" s="49">
        <v>4.5</v>
      </c>
      <c r="G105" s="49">
        <v>1.63</v>
      </c>
      <c r="H105" s="69"/>
      <c r="I105" s="100"/>
    </row>
    <row r="106" spans="1:9" x14ac:dyDescent="0.35">
      <c r="A106" s="99"/>
      <c r="B106" s="1073"/>
      <c r="C106" s="101" t="s">
        <v>1882</v>
      </c>
      <c r="D106" s="2893">
        <v>60</v>
      </c>
      <c r="E106" s="2649">
        <v>3.8E-3</v>
      </c>
      <c r="F106" s="49">
        <v>1.6</v>
      </c>
      <c r="G106" s="49">
        <v>1.53</v>
      </c>
      <c r="H106" s="69"/>
      <c r="I106" s="100"/>
    </row>
    <row r="107" spans="1:9" x14ac:dyDescent="0.35">
      <c r="A107" s="99"/>
      <c r="B107" s="1074"/>
      <c r="C107" s="101" t="s">
        <v>1185</v>
      </c>
      <c r="D107" s="2893">
        <v>16</v>
      </c>
      <c r="E107" s="2649">
        <v>4.3E-3</v>
      </c>
      <c r="F107" s="49">
        <v>9</v>
      </c>
      <c r="G107" s="49">
        <v>1.58</v>
      </c>
      <c r="H107" s="69"/>
      <c r="I107" s="100"/>
    </row>
    <row r="108" spans="1:9" x14ac:dyDescent="0.35">
      <c r="A108" s="99"/>
      <c r="B108" s="1072" t="s">
        <v>3313</v>
      </c>
      <c r="C108" s="101" t="s">
        <v>1883</v>
      </c>
      <c r="D108" s="2893">
        <v>92</v>
      </c>
      <c r="E108" s="2649">
        <v>5.3E-3</v>
      </c>
      <c r="F108" s="49">
        <v>4.5</v>
      </c>
      <c r="G108" s="49">
        <v>1.63</v>
      </c>
      <c r="H108" s="69"/>
      <c r="I108" s="100"/>
    </row>
    <row r="109" spans="1:9" x14ac:dyDescent="0.35">
      <c r="A109" s="99"/>
      <c r="B109" s="1073"/>
      <c r="C109" s="101" t="s">
        <v>1882</v>
      </c>
      <c r="D109" s="2893">
        <v>24</v>
      </c>
      <c r="E109" s="2649">
        <v>4.4000000000000003E-3</v>
      </c>
      <c r="F109" s="49">
        <v>1.6</v>
      </c>
      <c r="G109" s="49">
        <v>1.53</v>
      </c>
      <c r="H109" s="69"/>
      <c r="I109" s="100"/>
    </row>
    <row r="110" spans="1:9" x14ac:dyDescent="0.35">
      <c r="A110" s="99"/>
      <c r="B110" s="1074"/>
      <c r="C110" s="101" t="s">
        <v>1185</v>
      </c>
      <c r="D110" s="2832">
        <v>58</v>
      </c>
      <c r="E110" s="2649">
        <v>5.0000000000000001E-3</v>
      </c>
      <c r="F110" s="49">
        <v>6.9</v>
      </c>
      <c r="G110" s="49">
        <v>1.58</v>
      </c>
      <c r="H110" s="69"/>
      <c r="I110" s="100"/>
    </row>
    <row r="111" spans="1:9" x14ac:dyDescent="0.35">
      <c r="A111" s="99"/>
      <c r="B111" s="69"/>
      <c r="C111" s="69"/>
      <c r="D111" s="69"/>
      <c r="E111" s="69"/>
      <c r="F111" s="69"/>
      <c r="G111" s="69"/>
      <c r="H111" s="69"/>
      <c r="I111" s="100"/>
    </row>
    <row r="112" spans="1:9" x14ac:dyDescent="0.35">
      <c r="A112" s="99"/>
      <c r="B112" s="69"/>
      <c r="C112" s="69"/>
      <c r="D112" s="69"/>
      <c r="E112" s="69"/>
      <c r="F112" s="69"/>
      <c r="G112" s="69"/>
      <c r="H112" s="69"/>
      <c r="I112" s="100"/>
    </row>
    <row r="113" spans="1:10" x14ac:dyDescent="0.35">
      <c r="A113" s="99"/>
      <c r="B113" s="56"/>
      <c r="C113" s="56"/>
      <c r="D113" s="56" t="s">
        <v>1040</v>
      </c>
      <c r="E113" s="56"/>
      <c r="F113" s="707"/>
      <c r="G113" s="69"/>
      <c r="H113" s="69"/>
      <c r="I113" s="100"/>
    </row>
    <row r="114" spans="1:10" x14ac:dyDescent="0.35">
      <c r="A114" s="111"/>
      <c r="B114" s="49" t="s">
        <v>1072</v>
      </c>
      <c r="C114" s="49"/>
      <c r="D114" s="49"/>
      <c r="E114" s="124"/>
      <c r="F114" s="69"/>
      <c r="G114" s="69"/>
      <c r="H114" s="69"/>
      <c r="I114" s="100"/>
    </row>
    <row r="115" spans="1:10" x14ac:dyDescent="0.35">
      <c r="A115" s="99"/>
      <c r="B115" s="49" t="s">
        <v>2279</v>
      </c>
      <c r="C115" s="49"/>
      <c r="D115" s="49"/>
      <c r="E115" s="124"/>
      <c r="F115" s="69"/>
      <c r="G115" s="69"/>
      <c r="H115" s="69"/>
      <c r="I115" s="100"/>
    </row>
    <row r="116" spans="1:10" x14ac:dyDescent="0.35">
      <c r="A116" s="99"/>
      <c r="B116" s="49" t="s">
        <v>1632</v>
      </c>
      <c r="C116" s="49"/>
      <c r="D116" s="49"/>
      <c r="E116" s="124"/>
      <c r="F116" s="69"/>
      <c r="G116" s="69"/>
      <c r="H116" s="69"/>
      <c r="I116" s="100"/>
    </row>
    <row r="117" spans="1:10" x14ac:dyDescent="0.35">
      <c r="A117" s="99"/>
      <c r="B117" s="49" t="s">
        <v>1583</v>
      </c>
      <c r="C117" s="49"/>
      <c r="D117" s="49"/>
      <c r="E117" s="124"/>
      <c r="F117" s="69"/>
      <c r="G117" s="69"/>
      <c r="H117" s="69"/>
      <c r="I117" s="100"/>
    </row>
    <row r="118" spans="1:10" x14ac:dyDescent="0.35">
      <c r="A118" s="99"/>
      <c r="B118" s="49" t="s">
        <v>3910</v>
      </c>
      <c r="C118" s="49"/>
      <c r="D118" s="49"/>
      <c r="E118" s="124"/>
      <c r="F118" s="69"/>
      <c r="G118" s="69"/>
      <c r="H118" s="69"/>
      <c r="I118" s="100"/>
    </row>
    <row r="119" spans="1:10" x14ac:dyDescent="0.35">
      <c r="A119" s="99"/>
      <c r="B119" s="69"/>
      <c r="C119" s="69"/>
      <c r="D119" s="69"/>
      <c r="E119" s="69"/>
      <c r="F119" s="69"/>
      <c r="G119" s="69"/>
      <c r="H119" s="69"/>
      <c r="I119" s="100"/>
    </row>
    <row r="120" spans="1:10" x14ac:dyDescent="0.35">
      <c r="A120" s="99"/>
      <c r="B120" s="56"/>
      <c r="C120" s="56" t="s">
        <v>3911</v>
      </c>
      <c r="D120" s="56"/>
      <c r="E120" s="69"/>
      <c r="F120" s="69"/>
      <c r="G120" s="69"/>
      <c r="H120" s="69"/>
      <c r="I120" s="100"/>
    </row>
    <row r="121" spans="1:10" x14ac:dyDescent="0.35">
      <c r="A121" s="99"/>
      <c r="B121" s="56" t="s">
        <v>3829</v>
      </c>
      <c r="C121" s="56" t="s">
        <v>3912</v>
      </c>
      <c r="D121" s="56" t="s">
        <v>1580</v>
      </c>
      <c r="E121" s="69"/>
      <c r="F121" s="69"/>
      <c r="G121" s="69"/>
      <c r="H121" s="69"/>
      <c r="I121" s="100"/>
      <c r="J121" s="60"/>
    </row>
    <row r="122" spans="1:10" x14ac:dyDescent="0.35">
      <c r="A122" s="99"/>
      <c r="B122" s="49" t="s">
        <v>3913</v>
      </c>
      <c r="C122" s="49" t="s">
        <v>3914</v>
      </c>
      <c r="D122" s="49">
        <v>0.95</v>
      </c>
      <c r="E122" s="69"/>
      <c r="F122" s="69"/>
      <c r="G122" s="69"/>
      <c r="H122" s="69"/>
      <c r="I122" s="100"/>
      <c r="J122" s="60"/>
    </row>
    <row r="123" spans="1:10" x14ac:dyDescent="0.35">
      <c r="A123" s="99"/>
      <c r="B123" s="49" t="s">
        <v>3915</v>
      </c>
      <c r="C123" s="49" t="s">
        <v>3914</v>
      </c>
      <c r="D123" s="49">
        <v>0.95</v>
      </c>
      <c r="E123" s="69"/>
      <c r="F123" s="69"/>
      <c r="G123" s="69"/>
      <c r="H123" s="69"/>
      <c r="I123" s="100"/>
    </row>
    <row r="124" spans="1:10" x14ac:dyDescent="0.35">
      <c r="A124" s="99"/>
      <c r="B124" s="49" t="s">
        <v>3916</v>
      </c>
      <c r="C124" s="49" t="s">
        <v>3917</v>
      </c>
      <c r="D124" s="49">
        <v>0.91</v>
      </c>
      <c r="E124" s="69"/>
      <c r="F124" s="69"/>
      <c r="G124" s="69"/>
      <c r="H124" s="69"/>
      <c r="I124" s="100"/>
    </row>
    <row r="125" spans="1:10" x14ac:dyDescent="0.35">
      <c r="A125" s="99"/>
      <c r="B125" s="49" t="s">
        <v>3918</v>
      </c>
      <c r="C125" s="49" t="s">
        <v>3919</v>
      </c>
      <c r="D125" s="124">
        <v>0.95</v>
      </c>
      <c r="E125" s="69"/>
      <c r="F125" s="69"/>
      <c r="G125" s="69"/>
      <c r="H125" s="69"/>
      <c r="I125" s="100"/>
    </row>
    <row r="126" spans="1:10" x14ac:dyDescent="0.35">
      <c r="A126" s="99"/>
      <c r="B126" s="49" t="s">
        <v>3920</v>
      </c>
      <c r="C126" s="49" t="s">
        <v>3921</v>
      </c>
      <c r="D126" s="124">
        <v>0.95</v>
      </c>
      <c r="E126" s="69"/>
      <c r="F126" s="69"/>
      <c r="G126" s="69"/>
      <c r="H126" s="69"/>
      <c r="I126" s="100"/>
    </row>
    <row r="127" spans="1:10" x14ac:dyDescent="0.35">
      <c r="A127" s="99"/>
      <c r="B127" s="49" t="s">
        <v>3922</v>
      </c>
      <c r="C127" s="49" t="s">
        <v>3923</v>
      </c>
      <c r="D127" s="124">
        <v>0.93</v>
      </c>
      <c r="E127" s="69"/>
      <c r="F127" s="69"/>
      <c r="G127" s="69"/>
      <c r="H127" s="69"/>
      <c r="I127" s="100"/>
    </row>
    <row r="128" spans="1:10" x14ac:dyDescent="0.35">
      <c r="A128" s="99"/>
      <c r="B128" s="49"/>
      <c r="C128" s="49"/>
      <c r="D128" s="890"/>
      <c r="E128" s="69"/>
      <c r="F128" s="69"/>
      <c r="G128" s="69"/>
      <c r="H128" s="69"/>
      <c r="I128" s="100"/>
    </row>
    <row r="129" spans="1:9" x14ac:dyDescent="0.35">
      <c r="A129" s="99"/>
      <c r="B129" s="49" t="s">
        <v>3924</v>
      </c>
      <c r="C129" s="49"/>
      <c r="D129" s="124">
        <v>0.61</v>
      </c>
      <c r="E129" s="69"/>
      <c r="F129" s="69"/>
      <c r="G129" s="69"/>
      <c r="H129" s="69"/>
      <c r="I129" s="100"/>
    </row>
    <row r="130" spans="1:9" x14ac:dyDescent="0.35">
      <c r="A130" s="99"/>
      <c r="B130" s="49" t="s">
        <v>3925</v>
      </c>
      <c r="C130" s="49"/>
      <c r="D130" s="124">
        <v>0.57999999999999996</v>
      </c>
      <c r="E130" s="69"/>
      <c r="F130" s="69"/>
      <c r="G130" s="69"/>
      <c r="H130" s="69"/>
      <c r="I130" s="100"/>
    </row>
    <row r="131" spans="1:9" x14ac:dyDescent="0.35">
      <c r="A131" s="99"/>
      <c r="B131" s="2649" t="s">
        <v>3926</v>
      </c>
      <c r="C131" s="2649"/>
      <c r="D131" s="2885">
        <v>0.27</v>
      </c>
      <c r="E131" s="69"/>
      <c r="F131" s="69"/>
      <c r="G131" s="69"/>
      <c r="H131" s="69"/>
      <c r="I131" s="100"/>
    </row>
    <row r="132" spans="1:9" ht="43.5" x14ac:dyDescent="0.35">
      <c r="A132" s="99"/>
      <c r="B132" s="2746" t="s">
        <v>3927</v>
      </c>
      <c r="C132" s="2649"/>
      <c r="D132" s="2885">
        <v>0.78</v>
      </c>
      <c r="E132" s="69"/>
      <c r="F132" s="69"/>
      <c r="G132" s="69"/>
      <c r="H132" s="69"/>
      <c r="I132" s="100"/>
    </row>
    <row r="133" spans="1:9" ht="43.5" x14ac:dyDescent="0.35">
      <c r="A133" s="99"/>
      <c r="B133" s="2746" t="s">
        <v>3928</v>
      </c>
      <c r="C133" s="2649"/>
      <c r="D133" s="2885">
        <v>0.76500000000000001</v>
      </c>
      <c r="E133" s="69"/>
      <c r="F133" s="69"/>
      <c r="G133" s="69"/>
      <c r="H133" s="69"/>
      <c r="I133" s="100"/>
    </row>
    <row r="134" spans="1:9" ht="43.5" x14ac:dyDescent="0.35">
      <c r="A134" s="99"/>
      <c r="B134" s="2746" t="s">
        <v>3929</v>
      </c>
      <c r="C134" s="2649"/>
      <c r="D134" s="2885">
        <v>0.78</v>
      </c>
      <c r="E134" s="69"/>
      <c r="F134" s="69"/>
      <c r="G134" s="69"/>
      <c r="H134" s="69"/>
      <c r="I134" s="100"/>
    </row>
    <row r="135" spans="1:9" ht="43.5" x14ac:dyDescent="0.35">
      <c r="A135" s="99"/>
      <c r="B135" s="2746" t="s">
        <v>3930</v>
      </c>
      <c r="C135" s="2649"/>
      <c r="D135" s="2885">
        <v>0.745</v>
      </c>
      <c r="E135" s="69"/>
      <c r="F135" s="69"/>
      <c r="G135" s="69"/>
      <c r="H135" s="69"/>
      <c r="I135" s="100"/>
    </row>
    <row r="136" spans="1:9" ht="43.5" x14ac:dyDescent="0.35">
      <c r="A136" s="99"/>
      <c r="B136" s="2746" t="s">
        <v>3931</v>
      </c>
      <c r="C136" s="2649"/>
      <c r="D136" s="2885">
        <v>0.56999999999999995</v>
      </c>
      <c r="E136" s="69"/>
      <c r="F136" s="69"/>
      <c r="G136" s="69"/>
      <c r="H136" s="69"/>
      <c r="I136" s="100"/>
    </row>
    <row r="137" spans="1:9" ht="29" x14ac:dyDescent="0.35">
      <c r="A137" s="99"/>
      <c r="B137" s="2746" t="s">
        <v>3932</v>
      </c>
      <c r="C137" s="2649"/>
      <c r="D137" s="2885">
        <v>0.55000000000000004</v>
      </c>
      <c r="E137" s="69"/>
      <c r="F137" s="69"/>
      <c r="G137" s="69"/>
      <c r="H137" s="69"/>
      <c r="I137" s="100"/>
    </row>
    <row r="138" spans="1:9" ht="29" x14ac:dyDescent="0.35">
      <c r="A138" s="99"/>
      <c r="B138" s="2746" t="s">
        <v>3933</v>
      </c>
      <c r="C138" s="2649"/>
      <c r="D138" s="2885">
        <v>0.45</v>
      </c>
      <c r="E138" s="69"/>
      <c r="F138" s="69"/>
      <c r="G138" s="69"/>
      <c r="H138" s="69"/>
      <c r="I138" s="100"/>
    </row>
    <row r="139" spans="1:9" x14ac:dyDescent="0.35">
      <c r="A139" s="99"/>
      <c r="B139" s="69"/>
      <c r="C139" s="69"/>
      <c r="D139" s="69"/>
      <c r="E139" s="69"/>
      <c r="F139" s="69"/>
      <c r="G139" s="69"/>
      <c r="H139" s="69"/>
      <c r="I139" s="100"/>
    </row>
    <row r="140" spans="1:9" ht="15" thickBot="1" x14ac:dyDescent="0.4">
      <c r="A140" s="261"/>
      <c r="B140" s="161"/>
      <c r="C140" s="161"/>
      <c r="D140" s="161"/>
      <c r="E140" s="161"/>
      <c r="F140" s="161"/>
      <c r="G140" s="161"/>
      <c r="H140" s="161"/>
      <c r="I140" s="163"/>
    </row>
  </sheetData>
  <customSheetViews>
    <customSheetView guid="{ECD6FE6A-9548-414E-B8AA-6998703C57E0}" scale="85" showPageBreaks="1" fitToPage="1" view="pageBreakPreview">
      <selection activeCell="B16" sqref="B16:B17"/>
      <pageMargins left="0" right="0" top="0" bottom="0" header="0" footer="0"/>
      <pageSetup scale="19" orientation="portrait" r:id="rId1"/>
    </customSheetView>
    <customSheetView guid="{11DE45F5-F478-4ED6-8DFF-12002C22A637}" scale="85" showPageBreaks="1" fitToPage="1" view="pageBreakPreview">
      <selection activeCell="B16" sqref="B16:B17"/>
      <pageMargins left="0" right="0" top="0" bottom="0" header="0" footer="0"/>
      <pageSetup scale="19" orientation="portrait" r:id="rId2"/>
    </customSheetView>
  </customSheetViews>
  <mergeCells count="6">
    <mergeCell ref="A28:I28"/>
    <mergeCell ref="M2:P2"/>
    <mergeCell ref="Q2:T2"/>
    <mergeCell ref="U2:AH2"/>
    <mergeCell ref="A26:I26"/>
    <mergeCell ref="A27:I27"/>
  </mergeCells>
  <phoneticPr fontId="152" type="noConversion"/>
  <dataValidations disablePrompts="1" count="7">
    <dataValidation type="list" allowBlank="1" showInputMessage="1" showErrorMessage="1" sqref="H4:H22" xr:uid="{00000000-0002-0000-2800-000000000000}">
      <formula1>$D$114:$D$118</formula1>
    </dataValidation>
    <dataValidation type="list" allowBlank="1" showInputMessage="1" showErrorMessage="1" sqref="K5:K22 J121:J122" xr:uid="{00000000-0002-0000-2800-000001000000}">
      <formula1>Unit1</formula1>
    </dataValidation>
    <dataValidation type="list" allowBlank="1" showInputMessage="1" showErrorMessage="1" sqref="K4" xr:uid="{00000000-0002-0000-2800-000002000000}">
      <formula1>$B$98:$B$101</formula1>
    </dataValidation>
    <dataValidation type="list" allowBlank="1" showInputMessage="1" showErrorMessage="1" sqref="J4:J22" xr:uid="{00000000-0002-0000-2800-000003000000}">
      <formula1>$B$92:$B$94</formula1>
    </dataValidation>
    <dataValidation type="list" allowBlank="1" showInputMessage="1" showErrorMessage="1" sqref="D4:D22" xr:uid="{00000000-0002-0000-2800-000004000000}">
      <formula1>MeasureType</formula1>
    </dataValidation>
    <dataValidation type="list" allowBlank="1" showInputMessage="1" showErrorMessage="1" sqref="L4:L22" xr:uid="{00000000-0002-0000-2800-000005000000}">
      <formula1>LFFA1</formula1>
    </dataValidation>
    <dataValidation type="list" allowBlank="1" showInputMessage="1" showErrorMessage="1" sqref="E4:E22" xr:uid="{00000000-0002-0000-2800-000006000000}">
      <formula1>LFFA2</formula1>
    </dataValidation>
  </dataValidations>
  <hyperlinks>
    <hyperlink ref="A1" location="'Measure-Level Adjustments'!Print_Titles" display="Measure Level Tab" xr:uid="{95B294E5-0F68-4899-B1A9-3EB835C4FB56}"/>
  </hyperlinks>
  <pageMargins left="0.7" right="0.7" top="0.75" bottom="0.75" header="0.3" footer="0.3"/>
  <pageSetup scale="19" orientation="portrait" r:id="rId3"/>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pageSetUpPr fitToPage="1"/>
  </sheetPr>
  <dimension ref="A1:AL115"/>
  <sheetViews>
    <sheetView view="pageBreakPreview" zoomScaleNormal="90" zoomScaleSheetLayoutView="100" workbookViewId="0">
      <pane xSplit="1" ySplit="3" topLeftCell="E92" activePane="bottomRight" state="frozen"/>
      <selection pane="topRight" activeCell="B1" sqref="B1"/>
      <selection pane="bottomLeft" activeCell="A4" sqref="A4"/>
      <selection pane="bottomRight" activeCell="J94" sqref="J94"/>
    </sheetView>
  </sheetViews>
  <sheetFormatPr defaultRowHeight="14.5" x14ac:dyDescent="0.35"/>
  <cols>
    <col min="1" max="1" width="21" customWidth="1"/>
    <col min="2" max="2" width="44.453125" customWidth="1"/>
    <col min="3" max="3" width="29" customWidth="1"/>
    <col min="6" max="6" width="14" customWidth="1"/>
    <col min="7" max="7" width="11.1796875" bestFit="1" customWidth="1"/>
    <col min="9" max="9" width="11.453125" customWidth="1"/>
    <col min="10" max="10" width="23.1796875" customWidth="1"/>
    <col min="11" max="11" width="14.26953125" customWidth="1"/>
    <col min="13" max="13" width="12.81640625" bestFit="1" customWidth="1"/>
    <col min="14" max="14" width="11.1796875" bestFit="1" customWidth="1"/>
    <col min="15" max="16" width="11.81640625" customWidth="1"/>
    <col min="17" max="17" width="12.7265625" customWidth="1"/>
    <col min="18" max="18" width="11.81640625" customWidth="1"/>
    <col min="19" max="19" width="10" bestFit="1" customWidth="1"/>
    <col min="20" max="20" width="10.81640625" customWidth="1"/>
    <col min="21" max="21" width="12.453125" bestFit="1" customWidth="1"/>
  </cols>
  <sheetData>
    <row r="1" spans="1:38" x14ac:dyDescent="0.35">
      <c r="A1" s="1799" t="s">
        <v>1031</v>
      </c>
    </row>
    <row r="2" spans="1:38" x14ac:dyDescent="0.35">
      <c r="A2" s="969" t="s">
        <v>691</v>
      </c>
      <c r="B2" s="968" t="s">
        <v>1977</v>
      </c>
      <c r="C2" s="968"/>
      <c r="D2" s="968"/>
      <c r="E2" s="967"/>
      <c r="F2" s="967"/>
      <c r="G2" s="967"/>
      <c r="H2" s="967"/>
      <c r="I2" s="967"/>
      <c r="J2" s="967"/>
      <c r="K2" s="1043"/>
      <c r="L2" s="1043"/>
      <c r="M2" s="1043"/>
      <c r="N2" s="3013" t="s">
        <v>1032</v>
      </c>
      <c r="O2" s="3014"/>
      <c r="P2" s="3014"/>
      <c r="Q2" s="3014"/>
      <c r="R2" s="3327" t="s">
        <v>1033</v>
      </c>
      <c r="S2" s="3327"/>
      <c r="T2" s="3327"/>
      <c r="U2" s="3327"/>
      <c r="V2" s="2993" t="s">
        <v>1158</v>
      </c>
      <c r="W2" s="2993"/>
      <c r="X2" s="2993"/>
      <c r="Y2" s="2993"/>
      <c r="Z2" s="2993"/>
      <c r="AA2" s="2993"/>
      <c r="AB2" s="2993"/>
      <c r="AC2" s="2993"/>
      <c r="AD2" s="2993"/>
      <c r="AE2" s="2993"/>
      <c r="AF2" s="2993"/>
      <c r="AG2" s="2993"/>
      <c r="AH2" s="2993"/>
      <c r="AI2" s="2993"/>
    </row>
    <row r="3" spans="1:38" ht="43.5" x14ac:dyDescent="0.35">
      <c r="A3" s="969" t="s">
        <v>1035</v>
      </c>
      <c r="B3" s="969" t="s">
        <v>155</v>
      </c>
      <c r="C3" s="953" t="s">
        <v>1036</v>
      </c>
      <c r="D3" s="953" t="s">
        <v>1752</v>
      </c>
      <c r="E3" s="952" t="s">
        <v>3934</v>
      </c>
      <c r="F3" s="952" t="s">
        <v>1038</v>
      </c>
      <c r="G3" s="952" t="s">
        <v>1039</v>
      </c>
      <c r="H3" s="952" t="s">
        <v>1040</v>
      </c>
      <c r="I3" s="952" t="s">
        <v>1868</v>
      </c>
      <c r="J3" s="969" t="s">
        <v>1041</v>
      </c>
      <c r="K3" s="952" t="s">
        <v>1867</v>
      </c>
      <c r="L3" s="952" t="s">
        <v>3935</v>
      </c>
      <c r="M3" s="1037" t="s">
        <v>3769</v>
      </c>
      <c r="N3" s="970" t="s">
        <v>1044</v>
      </c>
      <c r="O3" s="970" t="s">
        <v>1045</v>
      </c>
      <c r="P3" s="970" t="s">
        <v>1046</v>
      </c>
      <c r="Q3" s="970" t="s">
        <v>1869</v>
      </c>
      <c r="R3" s="970" t="s">
        <v>1044</v>
      </c>
      <c r="S3" s="970" t="s">
        <v>1045</v>
      </c>
      <c r="T3" s="970" t="s">
        <v>1046</v>
      </c>
      <c r="U3" s="971" t="s">
        <v>1869</v>
      </c>
      <c r="V3" s="245" t="s">
        <v>1871</v>
      </c>
      <c r="W3" s="245" t="s">
        <v>1872</v>
      </c>
      <c r="X3" s="245" t="s">
        <v>1981</v>
      </c>
      <c r="Y3" s="245" t="s">
        <v>1873</v>
      </c>
      <c r="Z3" s="245" t="s">
        <v>1982</v>
      </c>
      <c r="AA3" s="245" t="s">
        <v>3777</v>
      </c>
      <c r="AB3" s="245" t="s">
        <v>3936</v>
      </c>
      <c r="AC3" s="245" t="s">
        <v>3937</v>
      </c>
      <c r="AD3" s="245" t="s">
        <v>1874</v>
      </c>
      <c r="AE3" s="245" t="s">
        <v>1580</v>
      </c>
      <c r="AF3" s="245" t="s">
        <v>1641</v>
      </c>
      <c r="AG3" s="245" t="s">
        <v>1179</v>
      </c>
      <c r="AH3" s="245" t="s">
        <v>3828</v>
      </c>
      <c r="AI3" s="245" t="s">
        <v>1876</v>
      </c>
      <c r="AK3" s="246"/>
      <c r="AL3" s="246"/>
    </row>
    <row r="4" spans="1:38" ht="29" x14ac:dyDescent="0.35">
      <c r="A4" s="966" t="s">
        <v>921</v>
      </c>
      <c r="B4" s="966" t="str">
        <f>$B$2&amp;" "&amp;IF(I4="Actual- handheld showerhead", "handheld","")&amp;"- "&amp;F4&amp;", "&amp;K4&amp;", Flow = "&amp;L4&amp;", "&amp;E4&amp;", "&amp;M4</f>
        <v>Low Flow Showerheads - DI, Natural Gas, Flow = 1.5, IU, Single-Family</v>
      </c>
      <c r="C4" s="956" t="s">
        <v>920</v>
      </c>
      <c r="D4" s="957" t="s">
        <v>1582</v>
      </c>
      <c r="E4" s="69" t="s">
        <v>3938</v>
      </c>
      <c r="F4" s="69" t="s">
        <v>1583</v>
      </c>
      <c r="G4" s="974">
        <f t="shared" ref="G4:G21" si="0">+$B$79</f>
        <v>10</v>
      </c>
      <c r="H4" s="1018"/>
      <c r="I4" s="976"/>
      <c r="J4" s="972" t="s">
        <v>3830</v>
      </c>
      <c r="K4" s="69" t="s">
        <v>1529</v>
      </c>
      <c r="L4" s="610">
        <v>1.5</v>
      </c>
      <c r="M4" s="972" t="s">
        <v>3330</v>
      </c>
      <c r="N4" s="977"/>
      <c r="O4" s="978"/>
      <c r="P4" s="2733">
        <f>AH4*((W4*X4-Y4*Z4)*AA4*AB4*365.25/AC4)*AI4*AE4</f>
        <v>9.4758946959016797</v>
      </c>
      <c r="Q4" s="2153">
        <f>((W4*X4-Y4*Z4)*AA4*AB4*365.25/AC4)*AE4</f>
        <v>1754.7953140558664</v>
      </c>
      <c r="R4" s="2153"/>
      <c r="S4" s="2153"/>
      <c r="T4" s="2733">
        <f>P4*G4</f>
        <v>94.758946959016797</v>
      </c>
      <c r="U4" s="2166">
        <f>Q4*G4</f>
        <v>17547.953140558664</v>
      </c>
      <c r="V4" s="49">
        <f>VLOOKUP(K4,$B$88:$C$91,2,FALSE)</f>
        <v>0</v>
      </c>
      <c r="W4" s="49">
        <f>VLOOKUP(F4,$B$110:$C$114,2,FALSE)</f>
        <v>2.2400000000000002</v>
      </c>
      <c r="X4" s="49">
        <f t="shared" ref="X4:X22" si="1">+$B$39</f>
        <v>7.8</v>
      </c>
      <c r="Y4" s="49">
        <f>L4</f>
        <v>1.5</v>
      </c>
      <c r="Z4" s="49">
        <f>+$B$43</f>
        <v>7.8</v>
      </c>
      <c r="AA4" s="49">
        <f>VLOOKUP(M4,$I$88:$J$91,2,FALSE)</f>
        <v>2.56</v>
      </c>
      <c r="AB4" s="49">
        <f t="shared" ref="AB4:AB22" si="2">+$B$47</f>
        <v>0.6</v>
      </c>
      <c r="AC4" s="49">
        <f>VLOOKUP(M4,$I$88:$K$91,3,FALSE)</f>
        <v>1.79</v>
      </c>
      <c r="AD4" s="49">
        <f t="shared" ref="AD4:AD22" si="3">+$B$51</f>
        <v>0.125</v>
      </c>
      <c r="AE4" s="49">
        <f>VLOOKUP(M4,$I$88:$L$89,4,FALSE)</f>
        <v>0.97</v>
      </c>
      <c r="AF4" s="49">
        <f>VLOOKUP(F4,$B$110:$E$114,IF(M4=$I$88,3,4),FALSE)</f>
        <v>273</v>
      </c>
      <c r="AG4" s="247">
        <f t="shared" ref="AG4:AG22" si="4">+$B$67</f>
        <v>2.7799999999999998E-2</v>
      </c>
      <c r="AH4" s="49">
        <f>VLOOKUP(K4,$B$88:$D$91,3,FALSE)</f>
        <v>1</v>
      </c>
      <c r="AI4" s="2649">
        <f>+VLOOKUP(M4,$B$95:$C$96,2,FALSE)</f>
        <v>5.4000000000000003E-3</v>
      </c>
    </row>
    <row r="5" spans="1:38" ht="29" x14ac:dyDescent="0.35">
      <c r="A5" s="966" t="s">
        <v>913</v>
      </c>
      <c r="B5" s="966" t="str">
        <f>$B$2&amp;" "&amp;IF(I5="Actual- handheld showerhead", "handheld","")&amp;"- "&amp;F5&amp;", "&amp;K5&amp;", Flow = "&amp;L5&amp;", "&amp;E5&amp;", "&amp;M5</f>
        <v>Low Flow Showerheads - DI, Natural Gas, Flow = 1.5, IU, Single-Family</v>
      </c>
      <c r="C5" s="956" t="s">
        <v>912</v>
      </c>
      <c r="D5" s="957" t="s">
        <v>1582</v>
      </c>
      <c r="E5" s="69" t="s">
        <v>3938</v>
      </c>
      <c r="F5" s="69" t="s">
        <v>1583</v>
      </c>
      <c r="G5" s="974">
        <f t="shared" si="0"/>
        <v>10</v>
      </c>
      <c r="H5" s="1018"/>
      <c r="I5" s="976"/>
      <c r="J5" s="972" t="s">
        <v>3830</v>
      </c>
      <c r="K5" s="69" t="s">
        <v>1529</v>
      </c>
      <c r="L5" s="610">
        <v>1.5</v>
      </c>
      <c r="M5" s="972" t="s">
        <v>3330</v>
      </c>
      <c r="N5" s="977"/>
      <c r="O5" s="978"/>
      <c r="P5" s="2733">
        <f>AH5*((W5*X5-Y5*Z5)*AA5*AB5*365.25/AC5)*AI5*AE5</f>
        <v>9.4758946959016797</v>
      </c>
      <c r="Q5" s="2153">
        <f>((W5*X5-Y5*Z5)*AA5*AB5*365.25/AC5)*AE5</f>
        <v>1754.7953140558664</v>
      </c>
      <c r="R5" s="2153"/>
      <c r="S5" s="2153"/>
      <c r="T5" s="2733">
        <f>P5*G5</f>
        <v>94.758946959016797</v>
      </c>
      <c r="U5" s="2166">
        <f>Q5*G5</f>
        <v>17547.953140558664</v>
      </c>
      <c r="V5" s="49">
        <f>VLOOKUP(K5,$B$88:$C$91,2,FALSE)</f>
        <v>0</v>
      </c>
      <c r="W5" s="49">
        <f>VLOOKUP(F5,$B$110:$C$114,2,FALSE)</f>
        <v>2.2400000000000002</v>
      </c>
      <c r="X5" s="49">
        <f t="shared" si="1"/>
        <v>7.8</v>
      </c>
      <c r="Y5" s="49">
        <f>L5</f>
        <v>1.5</v>
      </c>
      <c r="Z5" s="49">
        <v>7.8</v>
      </c>
      <c r="AA5" s="49">
        <f>VLOOKUP(M5,$I$88:$J$91,2,FALSE)</f>
        <v>2.56</v>
      </c>
      <c r="AB5" s="49">
        <f t="shared" si="2"/>
        <v>0.6</v>
      </c>
      <c r="AC5" s="49">
        <f>VLOOKUP(M5,$I$88:$K$91,3,FALSE)</f>
        <v>1.79</v>
      </c>
      <c r="AD5" s="49">
        <f t="shared" si="3"/>
        <v>0.125</v>
      </c>
      <c r="AE5" s="49">
        <f>VLOOKUP(M5,$I$88:$L$89,4,FALSE)</f>
        <v>0.97</v>
      </c>
      <c r="AF5" s="49">
        <f>VLOOKUP(F5,$B$110:$E$114,IF(M5=$I$88,3,4),FALSE)</f>
        <v>273</v>
      </c>
      <c r="AG5" s="247">
        <f t="shared" si="4"/>
        <v>2.7799999999999998E-2</v>
      </c>
      <c r="AH5" s="49">
        <f>VLOOKUP(K5,$B$88:$D$91,3,FALSE)</f>
        <v>1</v>
      </c>
      <c r="AI5" s="2649">
        <f>+VLOOKUP(M5,$B$95:$C$96,2,FALSE)</f>
        <v>5.4000000000000003E-3</v>
      </c>
    </row>
    <row r="6" spans="1:38" ht="29" x14ac:dyDescent="0.35">
      <c r="A6" s="966" t="s">
        <v>3939</v>
      </c>
      <c r="B6" s="966" t="str">
        <f>$B$2&amp;" "&amp;IF(I6="Actual- handheld showerhead", "handheld","")&amp;"- "&amp;F6&amp;", "&amp;K6&amp;", Flow = "&amp;L6&amp;", "&amp;E6&amp;", "&amp;M6</f>
        <v>Low Flow Showerheads - DI Custom, Natural Gas, Flow = 1.5, CA, Multi-Family</v>
      </c>
      <c r="C6" s="956" t="s">
        <v>3940</v>
      </c>
      <c r="D6" s="957" t="s">
        <v>1582</v>
      </c>
      <c r="E6" s="69" t="s">
        <v>3941</v>
      </c>
      <c r="F6" s="69" t="s">
        <v>3942</v>
      </c>
      <c r="G6" s="974">
        <f t="shared" si="0"/>
        <v>10</v>
      </c>
      <c r="H6" s="1018"/>
      <c r="I6" s="976"/>
      <c r="J6" s="972" t="s">
        <v>3830</v>
      </c>
      <c r="K6" s="69" t="s">
        <v>1529</v>
      </c>
      <c r="L6" s="610">
        <v>1.5</v>
      </c>
      <c r="M6" s="972" t="s">
        <v>1864</v>
      </c>
      <c r="N6" s="977"/>
      <c r="O6" s="978"/>
      <c r="P6" s="2733">
        <f>AH6*((W6*X6-Y6*Z6)*AA6*AB6*365.25/AC6)*AI6*AE6</f>
        <v>12.229477281000005</v>
      </c>
      <c r="Q6" s="2153">
        <f>((W6*X6-Y6*Z6)*AA6*AB6*365.25/AC6)*AE6</f>
        <v>1941.1868700000009</v>
      </c>
      <c r="R6" s="2153"/>
      <c r="S6" s="2153"/>
      <c r="T6" s="2733">
        <f>P6*G6</f>
        <v>122.29477281000004</v>
      </c>
      <c r="U6" s="2166">
        <f>Q6*G6</f>
        <v>19411.86870000001</v>
      </c>
      <c r="V6" s="49">
        <f>VLOOKUP(K6,$B$88:$C$91,2,FALSE)</f>
        <v>0</v>
      </c>
      <c r="W6" s="49">
        <f>VLOOKUP(F6,$B$110:$C$114,2,FALSE)</f>
        <v>2.2400000000000002</v>
      </c>
      <c r="X6" s="49">
        <f t="shared" si="1"/>
        <v>7.8</v>
      </c>
      <c r="Y6" s="49">
        <f>L6</f>
        <v>1.5</v>
      </c>
      <c r="Z6" s="49">
        <v>7.8</v>
      </c>
      <c r="AA6" s="49">
        <f>VLOOKUP(M6,$I$88:$J$91,2,FALSE)</f>
        <v>2.1</v>
      </c>
      <c r="AB6" s="49">
        <f t="shared" si="2"/>
        <v>0.6</v>
      </c>
      <c r="AC6" s="49">
        <f>VLOOKUP(M6,$I$88:$K$91,3,FALSE)</f>
        <v>1.3</v>
      </c>
      <c r="AD6" s="49">
        <f t="shared" si="3"/>
        <v>0.125</v>
      </c>
      <c r="AE6" s="49">
        <f>VLOOKUP(M6,$I$88:$L$89,4,FALSE)</f>
        <v>0.95</v>
      </c>
      <c r="AF6" s="49">
        <f>VLOOKUP(F6,$B$110:$E$114,IF(M6=$I$88,3,4),FALSE)</f>
        <v>224</v>
      </c>
      <c r="AG6" s="247">
        <f t="shared" si="4"/>
        <v>2.7799999999999998E-2</v>
      </c>
      <c r="AH6" s="49">
        <f>VLOOKUP(K6,$B$88:$D$91,3,FALSE)</f>
        <v>1</v>
      </c>
      <c r="AI6" s="2649">
        <f>+VLOOKUP(M6,$B$95:$C$96,2,FALSE)</f>
        <v>6.3E-3</v>
      </c>
    </row>
    <row r="7" spans="1:38" ht="29" x14ac:dyDescent="0.35">
      <c r="A7" s="966" t="s">
        <v>883</v>
      </c>
      <c r="B7" s="1902" t="str">
        <f>$B$2&amp;" "&amp;IF(I7="Actual- handheld showerhead", "handheld","")&amp;"- "&amp;F7&amp;", "&amp;K7&amp;", Flow = "&amp;L7&amp;", "&amp;E7&amp;", "&amp;M7</f>
        <v>Low Flow Showerheads - DI Custom, Natural Gas, Flow = 1.5, IU, Multi-Family</v>
      </c>
      <c r="C7" s="143" t="s">
        <v>882</v>
      </c>
      <c r="D7" s="143" t="s">
        <v>1582</v>
      </c>
      <c r="E7" t="s">
        <v>3938</v>
      </c>
      <c r="F7" t="s">
        <v>3942</v>
      </c>
      <c r="G7" s="2244">
        <f t="shared" si="0"/>
        <v>10</v>
      </c>
      <c r="H7" s="2243"/>
      <c r="I7" s="976"/>
      <c r="J7" s="972" t="s">
        <v>3830</v>
      </c>
      <c r="K7" s="69" t="s">
        <v>1529</v>
      </c>
      <c r="L7" s="610">
        <v>1.5</v>
      </c>
      <c r="M7" s="972" t="s">
        <v>1864</v>
      </c>
      <c r="N7" s="977"/>
      <c r="O7" s="978"/>
      <c r="P7" s="2733">
        <f>AH7*((W7*X7-Y7*Z7)*AA7*AB7*365.25/AC7)*AI7*AE7</f>
        <v>12.229477281000005</v>
      </c>
      <c r="Q7" s="2153">
        <f>((W7*X7-Y7*Z7)*AA7*AB7*365.25/AC7)*AE7</f>
        <v>1941.1868700000009</v>
      </c>
      <c r="R7" s="2153"/>
      <c r="S7" s="2153"/>
      <c r="T7" s="2733">
        <f>P7*G7</f>
        <v>122.29477281000004</v>
      </c>
      <c r="U7" s="2166">
        <f>Q7*G7</f>
        <v>19411.86870000001</v>
      </c>
      <c r="V7" s="49">
        <f>VLOOKUP(K7,$B$88:$C$91,2,FALSE)</f>
        <v>0</v>
      </c>
      <c r="W7" s="49">
        <f>VLOOKUP(F7,$B$110:$C$114,2,FALSE)</f>
        <v>2.2400000000000002</v>
      </c>
      <c r="X7" s="49">
        <f t="shared" si="1"/>
        <v>7.8</v>
      </c>
      <c r="Y7" s="49">
        <f>L7</f>
        <v>1.5</v>
      </c>
      <c r="Z7" s="49">
        <v>7.8</v>
      </c>
      <c r="AA7" s="49">
        <f>VLOOKUP(M7,$I$88:$J$91,2,FALSE)</f>
        <v>2.1</v>
      </c>
      <c r="AB7" s="49">
        <f t="shared" si="2"/>
        <v>0.6</v>
      </c>
      <c r="AC7" s="49">
        <f>VLOOKUP(M7,$I$88:$K$91,3,FALSE)</f>
        <v>1.3</v>
      </c>
      <c r="AD7" s="49">
        <f t="shared" si="3"/>
        <v>0.125</v>
      </c>
      <c r="AE7" s="49">
        <f>VLOOKUP(M7,$I$88:$L$89,4,FALSE)</f>
        <v>0.95</v>
      </c>
      <c r="AF7" s="49">
        <f>VLOOKUP(F7,$B$110:$E$114,IF(M7=$I$88,3,4),FALSE)</f>
        <v>224</v>
      </c>
      <c r="AG7" s="247">
        <f t="shared" si="4"/>
        <v>2.7799999999999998E-2</v>
      </c>
      <c r="AH7" s="49">
        <f>VLOOKUP(K7,$B$88:$D$91,3,FALSE)</f>
        <v>1</v>
      </c>
      <c r="AI7" s="2649">
        <f>+VLOOKUP(M7,$B$95:$C$96,2,FALSE)</f>
        <v>6.3E-3</v>
      </c>
    </row>
    <row r="8" spans="1:38" ht="29" x14ac:dyDescent="0.35">
      <c r="A8" s="966" t="s">
        <v>877</v>
      </c>
      <c r="B8" s="1902" t="str">
        <f>$B$1&amp;" "&amp;IF(I8="Actual- handheld showerhead", "handheld","")&amp;"- "&amp;F8&amp;", "&amp;K8&amp;", Flow = "&amp;L8&amp;", "&amp;E8&amp;", "&amp;M8</f>
        <v xml:space="preserve"> - DI, Natural Gas, Flow = 1.5, IU, Multi-Family</v>
      </c>
      <c r="C8" s="143" t="s">
        <v>876</v>
      </c>
      <c r="D8" s="143" t="s">
        <v>1582</v>
      </c>
      <c r="E8" t="s">
        <v>3938</v>
      </c>
      <c r="F8" t="s">
        <v>1583</v>
      </c>
      <c r="G8" s="2244">
        <f t="shared" si="0"/>
        <v>10</v>
      </c>
      <c r="H8" s="2243"/>
      <c r="I8" s="976"/>
      <c r="J8" s="972" t="s">
        <v>3830</v>
      </c>
      <c r="K8" s="69" t="s">
        <v>1529</v>
      </c>
      <c r="L8" s="610">
        <v>1.5</v>
      </c>
      <c r="M8" s="972" t="s">
        <v>1864</v>
      </c>
      <c r="N8" s="977"/>
      <c r="O8" s="978"/>
      <c r="P8" s="2733">
        <f t="shared" ref="P8:P14" si="5">AH8*((W8*X8-Y8*Z8)*AA8*AB8*365.25/AC8)*AI8*AE8</f>
        <v>12.229477281000005</v>
      </c>
      <c r="Q8" s="2153">
        <f t="shared" ref="Q8:Q14" si="6">((W8*X8-Y8*Z8)*AA8*AB8*365.25/AC8)*AE8</f>
        <v>1941.1868700000009</v>
      </c>
      <c r="R8" s="2153"/>
      <c r="S8" s="2153"/>
      <c r="T8" s="2733">
        <f t="shared" ref="T8:T14" si="7">P8*G8</f>
        <v>122.29477281000004</v>
      </c>
      <c r="U8" s="2166">
        <f t="shared" ref="U8:U14" si="8">Q8*G8</f>
        <v>19411.86870000001</v>
      </c>
      <c r="V8" s="49">
        <f t="shared" ref="V8:V14" si="9">VLOOKUP(K8,$B$88:$C$91,2,FALSE)</f>
        <v>0</v>
      </c>
      <c r="W8" s="49">
        <f t="shared" ref="W8:W14" si="10">VLOOKUP(F8,$B$110:$C$114,2,FALSE)</f>
        <v>2.2400000000000002</v>
      </c>
      <c r="X8" s="49">
        <f t="shared" si="1"/>
        <v>7.8</v>
      </c>
      <c r="Y8" s="49">
        <f t="shared" ref="Y8:Y14" si="11">L8</f>
        <v>1.5</v>
      </c>
      <c r="Z8" s="49">
        <v>7.8</v>
      </c>
      <c r="AA8" s="49">
        <f t="shared" ref="AA8:AA14" si="12">VLOOKUP(M8,$I$88:$J$91,2,FALSE)</f>
        <v>2.1</v>
      </c>
      <c r="AB8" s="49">
        <f t="shared" si="2"/>
        <v>0.6</v>
      </c>
      <c r="AC8" s="49">
        <f t="shared" ref="AC8:AC14" si="13">VLOOKUP(M8,$I$88:$K$91,3,FALSE)</f>
        <v>1.3</v>
      </c>
      <c r="AD8" s="49">
        <f t="shared" si="3"/>
        <v>0.125</v>
      </c>
      <c r="AE8" s="49">
        <f t="shared" ref="AE8:AE14" si="14">VLOOKUP(M8,$I$88:$L$89,4,FALSE)</f>
        <v>0.95</v>
      </c>
      <c r="AF8" s="49">
        <f t="shared" ref="AF8:AF14" si="15">VLOOKUP(F8,$B$110:$E$114,IF(M8=$I$88,3,4),FALSE)</f>
        <v>224</v>
      </c>
      <c r="AG8" s="247">
        <f t="shared" si="4"/>
        <v>2.7799999999999998E-2</v>
      </c>
      <c r="AH8" s="49">
        <f t="shared" ref="AH8:AH14" si="16">VLOOKUP(K8,$B$88:$D$91,3,FALSE)</f>
        <v>1</v>
      </c>
      <c r="AI8" s="2649">
        <f t="shared" ref="AI8:AI14" si="17">+VLOOKUP(M8,$B$95:$C$96,2,FALSE)</f>
        <v>6.3E-3</v>
      </c>
    </row>
    <row r="9" spans="1:38" ht="29" x14ac:dyDescent="0.35">
      <c r="A9" s="966" t="s">
        <v>3943</v>
      </c>
      <c r="B9" s="1902" t="str">
        <f>$B$1&amp;" "&amp;IF(I9="Actual- handheld showerhead", "handheld","")&amp;"- "&amp;F9&amp;", "&amp;K9&amp;", Flow = "&amp;L9&amp;", "&amp;E9&amp;", "&amp;M9</f>
        <v xml:space="preserve"> - DI, Natural Gas, Flow = 1.5, CA, Multi-Family</v>
      </c>
      <c r="C9" s="143" t="s">
        <v>3944</v>
      </c>
      <c r="D9" s="143" t="s">
        <v>1582</v>
      </c>
      <c r="E9" t="s">
        <v>3941</v>
      </c>
      <c r="F9" t="s">
        <v>1583</v>
      </c>
      <c r="G9" s="2244">
        <f t="shared" si="0"/>
        <v>10</v>
      </c>
      <c r="H9" s="2243"/>
      <c r="I9" s="976"/>
      <c r="J9" s="972" t="s">
        <v>3830</v>
      </c>
      <c r="K9" s="69" t="s">
        <v>1529</v>
      </c>
      <c r="L9" s="610">
        <v>1.5</v>
      </c>
      <c r="M9" s="972" t="s">
        <v>1864</v>
      </c>
      <c r="N9" s="977"/>
      <c r="O9" s="978"/>
      <c r="P9" s="2733">
        <f t="shared" si="5"/>
        <v>12.229477281000005</v>
      </c>
      <c r="Q9" s="2153">
        <f t="shared" si="6"/>
        <v>1941.1868700000009</v>
      </c>
      <c r="R9" s="2153"/>
      <c r="S9" s="2153"/>
      <c r="T9" s="2733">
        <f t="shared" si="7"/>
        <v>122.29477281000004</v>
      </c>
      <c r="U9" s="2166">
        <f t="shared" si="8"/>
        <v>19411.86870000001</v>
      </c>
      <c r="V9" s="49">
        <f t="shared" si="9"/>
        <v>0</v>
      </c>
      <c r="W9" s="49">
        <f t="shared" si="10"/>
        <v>2.2400000000000002</v>
      </c>
      <c r="X9" s="49">
        <f t="shared" si="1"/>
        <v>7.8</v>
      </c>
      <c r="Y9" s="49">
        <f t="shared" si="11"/>
        <v>1.5</v>
      </c>
      <c r="Z9" s="49">
        <v>7.8</v>
      </c>
      <c r="AA9" s="49">
        <f t="shared" si="12"/>
        <v>2.1</v>
      </c>
      <c r="AB9" s="49">
        <f t="shared" si="2"/>
        <v>0.6</v>
      </c>
      <c r="AC9" s="49">
        <f t="shared" si="13"/>
        <v>1.3</v>
      </c>
      <c r="AD9" s="49">
        <f t="shared" si="3"/>
        <v>0.125</v>
      </c>
      <c r="AE9" s="49">
        <f t="shared" si="14"/>
        <v>0.95</v>
      </c>
      <c r="AF9" s="49">
        <f t="shared" si="15"/>
        <v>224</v>
      </c>
      <c r="AG9" s="247">
        <f t="shared" si="4"/>
        <v>2.7799999999999998E-2</v>
      </c>
      <c r="AH9" s="49">
        <f t="shared" si="16"/>
        <v>1</v>
      </c>
      <c r="AI9" s="2649">
        <f t="shared" si="17"/>
        <v>6.3E-3</v>
      </c>
    </row>
    <row r="10" spans="1:38" ht="29" x14ac:dyDescent="0.35">
      <c r="A10" s="966" t="s">
        <v>3945</v>
      </c>
      <c r="B10" s="1902" t="s">
        <v>3946</v>
      </c>
      <c r="C10" s="143" t="s">
        <v>3947</v>
      </c>
      <c r="D10" s="143" t="s">
        <v>1582</v>
      </c>
      <c r="E10" t="s">
        <v>3938</v>
      </c>
      <c r="F10" t="s">
        <v>1583</v>
      </c>
      <c r="G10" s="2244">
        <f t="shared" si="0"/>
        <v>10</v>
      </c>
      <c r="H10" s="2243"/>
      <c r="I10" s="976"/>
      <c r="J10" s="972" t="s">
        <v>3830</v>
      </c>
      <c r="K10" s="69" t="s">
        <v>1529</v>
      </c>
      <c r="L10" s="610">
        <v>2</v>
      </c>
      <c r="M10" s="972" t="s">
        <v>3330</v>
      </c>
      <c r="N10" s="977"/>
      <c r="O10" s="978"/>
      <c r="P10" s="2733">
        <f t="shared" si="5"/>
        <v>3.0732631446167629</v>
      </c>
      <c r="Q10" s="2153">
        <f t="shared" si="6"/>
        <v>569.12280455865971</v>
      </c>
      <c r="R10" s="2153"/>
      <c r="S10" s="2153"/>
      <c r="T10" s="2733">
        <f t="shared" si="7"/>
        <v>30.73263144616763</v>
      </c>
      <c r="U10" s="2166">
        <f t="shared" si="8"/>
        <v>5691.2280455865966</v>
      </c>
      <c r="V10" s="49">
        <f t="shared" si="9"/>
        <v>0</v>
      </c>
      <c r="W10" s="49">
        <f t="shared" si="10"/>
        <v>2.2400000000000002</v>
      </c>
      <c r="X10" s="49">
        <f t="shared" si="1"/>
        <v>7.8</v>
      </c>
      <c r="Y10" s="49">
        <f t="shared" si="11"/>
        <v>2</v>
      </c>
      <c r="Z10" s="49">
        <v>7.8</v>
      </c>
      <c r="AA10" s="49">
        <f t="shared" si="12"/>
        <v>2.56</v>
      </c>
      <c r="AB10" s="49">
        <f t="shared" si="2"/>
        <v>0.6</v>
      </c>
      <c r="AC10" s="49">
        <f t="shared" si="13"/>
        <v>1.79</v>
      </c>
      <c r="AD10" s="49">
        <f t="shared" si="3"/>
        <v>0.125</v>
      </c>
      <c r="AE10" s="49">
        <f t="shared" si="14"/>
        <v>0.97</v>
      </c>
      <c r="AF10" s="49">
        <f t="shared" si="15"/>
        <v>273</v>
      </c>
      <c r="AG10" s="247">
        <f t="shared" si="4"/>
        <v>2.7799999999999998E-2</v>
      </c>
      <c r="AH10" s="49">
        <f t="shared" si="16"/>
        <v>1</v>
      </c>
      <c r="AI10" s="2649">
        <f t="shared" si="17"/>
        <v>5.4000000000000003E-3</v>
      </c>
    </row>
    <row r="11" spans="1:38" ht="29" x14ac:dyDescent="0.35">
      <c r="A11" s="966" t="s">
        <v>3948</v>
      </c>
      <c r="B11" s="1902" t="s">
        <v>3949</v>
      </c>
      <c r="C11" s="143" t="s">
        <v>3950</v>
      </c>
      <c r="D11" s="143" t="s">
        <v>1582</v>
      </c>
      <c r="E11" t="s">
        <v>3938</v>
      </c>
      <c r="F11" t="s">
        <v>1583</v>
      </c>
      <c r="G11" s="2244">
        <f t="shared" si="0"/>
        <v>10</v>
      </c>
      <c r="H11" s="2243"/>
      <c r="I11" s="976"/>
      <c r="J11" s="972" t="s">
        <v>3830</v>
      </c>
      <c r="K11" s="69" t="s">
        <v>1529</v>
      </c>
      <c r="L11" s="610">
        <v>2</v>
      </c>
      <c r="M11" s="972" t="s">
        <v>3330</v>
      </c>
      <c r="N11" s="977"/>
      <c r="O11" s="978"/>
      <c r="P11" s="2733">
        <f t="shared" si="5"/>
        <v>3.0732631446167629</v>
      </c>
      <c r="Q11" s="2153">
        <f t="shared" si="6"/>
        <v>569.12280455865971</v>
      </c>
      <c r="R11" s="2153"/>
      <c r="S11" s="2153"/>
      <c r="T11" s="2733">
        <f t="shared" si="7"/>
        <v>30.73263144616763</v>
      </c>
      <c r="U11" s="2166">
        <f t="shared" si="8"/>
        <v>5691.2280455865966</v>
      </c>
      <c r="V11" s="49">
        <f t="shared" si="9"/>
        <v>0</v>
      </c>
      <c r="W11" s="49">
        <f t="shared" si="10"/>
        <v>2.2400000000000002</v>
      </c>
      <c r="X11" s="49">
        <f t="shared" si="1"/>
        <v>7.8</v>
      </c>
      <c r="Y11" s="49">
        <f t="shared" si="11"/>
        <v>2</v>
      </c>
      <c r="Z11" s="49">
        <v>7.8</v>
      </c>
      <c r="AA11" s="49">
        <f t="shared" si="12"/>
        <v>2.56</v>
      </c>
      <c r="AB11" s="49">
        <f t="shared" si="2"/>
        <v>0.6</v>
      </c>
      <c r="AC11" s="49">
        <f t="shared" si="13"/>
        <v>1.79</v>
      </c>
      <c r="AD11" s="49">
        <f t="shared" si="3"/>
        <v>0.125</v>
      </c>
      <c r="AE11" s="49">
        <f t="shared" si="14"/>
        <v>0.97</v>
      </c>
      <c r="AF11" s="49">
        <f t="shared" si="15"/>
        <v>273</v>
      </c>
      <c r="AG11" s="247">
        <f t="shared" si="4"/>
        <v>2.7799999999999998E-2</v>
      </c>
      <c r="AH11" s="49">
        <f t="shared" si="16"/>
        <v>1</v>
      </c>
      <c r="AI11" s="2649">
        <f t="shared" si="17"/>
        <v>5.4000000000000003E-3</v>
      </c>
    </row>
    <row r="12" spans="1:38" ht="29" x14ac:dyDescent="0.35">
      <c r="A12" s="966" t="s">
        <v>690</v>
      </c>
      <c r="B12" s="1902" t="str">
        <f>$B$1&amp;" "&amp;IF(I12="Actual- handheld showerhead", "handheld","")&amp;"- "&amp;F12&amp;", "&amp;K12&amp;", Flow = "&amp;L12&amp;", "&amp;E12&amp;", "&amp;M12 &amp;" Joint"</f>
        <v xml:space="preserve"> - DI, Natural Gas, Flow = 1.5, IU, Single-Family Joint</v>
      </c>
      <c r="C12" s="143" t="s">
        <v>689</v>
      </c>
      <c r="D12" s="143" t="s">
        <v>1582</v>
      </c>
      <c r="E12" t="s">
        <v>3938</v>
      </c>
      <c r="F12" t="s">
        <v>1583</v>
      </c>
      <c r="G12" s="2244">
        <f t="shared" si="0"/>
        <v>10</v>
      </c>
      <c r="H12" s="2243"/>
      <c r="I12" s="976"/>
      <c r="J12" s="972" t="s">
        <v>3830</v>
      </c>
      <c r="K12" s="69" t="s">
        <v>1529</v>
      </c>
      <c r="L12" s="610">
        <v>1.5</v>
      </c>
      <c r="M12" s="972" t="s">
        <v>3330</v>
      </c>
      <c r="N12" s="977"/>
      <c r="O12" s="978"/>
      <c r="P12" s="2733">
        <f t="shared" si="5"/>
        <v>9.4758946959016797</v>
      </c>
      <c r="Q12" s="2153">
        <f t="shared" si="6"/>
        <v>1754.7953140558664</v>
      </c>
      <c r="R12" s="2153"/>
      <c r="S12" s="2153"/>
      <c r="T12" s="2733">
        <f t="shared" si="7"/>
        <v>94.758946959016797</v>
      </c>
      <c r="U12" s="2166">
        <f t="shared" si="8"/>
        <v>17547.953140558664</v>
      </c>
      <c r="V12" s="49">
        <f t="shared" si="9"/>
        <v>0</v>
      </c>
      <c r="W12" s="49">
        <f t="shared" si="10"/>
        <v>2.2400000000000002</v>
      </c>
      <c r="X12" s="49">
        <f t="shared" si="1"/>
        <v>7.8</v>
      </c>
      <c r="Y12" s="49">
        <f t="shared" si="11"/>
        <v>1.5</v>
      </c>
      <c r="Z12" s="49">
        <v>7.8</v>
      </c>
      <c r="AA12" s="49">
        <f t="shared" si="12"/>
        <v>2.56</v>
      </c>
      <c r="AB12" s="49">
        <f t="shared" si="2"/>
        <v>0.6</v>
      </c>
      <c r="AC12" s="49">
        <f t="shared" si="13"/>
        <v>1.79</v>
      </c>
      <c r="AD12" s="49">
        <f t="shared" si="3"/>
        <v>0.125</v>
      </c>
      <c r="AE12" s="49">
        <f t="shared" si="14"/>
        <v>0.97</v>
      </c>
      <c r="AF12" s="49">
        <f t="shared" si="15"/>
        <v>273</v>
      </c>
      <c r="AG12" s="247">
        <f t="shared" si="4"/>
        <v>2.7799999999999998E-2</v>
      </c>
      <c r="AH12" s="49">
        <f t="shared" si="16"/>
        <v>1</v>
      </c>
      <c r="AI12" s="2649">
        <f t="shared" si="17"/>
        <v>5.4000000000000003E-3</v>
      </c>
    </row>
    <row r="13" spans="1:38" ht="29" x14ac:dyDescent="0.35">
      <c r="A13" s="966" t="s">
        <v>694</v>
      </c>
      <c r="B13" s="1902" t="str">
        <f t="shared" ref="B13:B18" si="18">$B$1&amp;" "&amp;IF(I13="Actual- handheld showerhead", "handheld","")&amp;"- "&amp;F13&amp;", "&amp;K13&amp;", Flow = "&amp;L13&amp;", "&amp;E13&amp;", "&amp;M13 &amp;" Joint"</f>
        <v xml:space="preserve"> - DI, Natural Gas, Flow = 1.5, IU, Single-Family Joint</v>
      </c>
      <c r="C13" s="143" t="s">
        <v>693</v>
      </c>
      <c r="D13" s="143" t="s">
        <v>1582</v>
      </c>
      <c r="E13" t="s">
        <v>3938</v>
      </c>
      <c r="F13" t="s">
        <v>1583</v>
      </c>
      <c r="G13" s="2244">
        <f t="shared" si="0"/>
        <v>10</v>
      </c>
      <c r="H13" s="2243"/>
      <c r="I13" s="976"/>
      <c r="J13" s="972" t="s">
        <v>3830</v>
      </c>
      <c r="K13" s="69" t="s">
        <v>1529</v>
      </c>
      <c r="L13" s="610">
        <v>1.5</v>
      </c>
      <c r="M13" s="972" t="s">
        <v>3330</v>
      </c>
      <c r="N13" s="977"/>
      <c r="O13" s="978"/>
      <c r="P13" s="2733">
        <f t="shared" si="5"/>
        <v>9.4758946959016797</v>
      </c>
      <c r="Q13" s="2153">
        <f t="shared" si="6"/>
        <v>1754.7953140558664</v>
      </c>
      <c r="R13" s="2153"/>
      <c r="S13" s="2153"/>
      <c r="T13" s="2733">
        <f t="shared" si="7"/>
        <v>94.758946959016797</v>
      </c>
      <c r="U13" s="2166">
        <f t="shared" si="8"/>
        <v>17547.953140558664</v>
      </c>
      <c r="V13" s="49">
        <f t="shared" si="9"/>
        <v>0</v>
      </c>
      <c r="W13" s="49">
        <f t="shared" si="10"/>
        <v>2.2400000000000002</v>
      </c>
      <c r="X13" s="49">
        <f t="shared" si="1"/>
        <v>7.8</v>
      </c>
      <c r="Y13" s="49">
        <f t="shared" si="11"/>
        <v>1.5</v>
      </c>
      <c r="Z13" s="49">
        <v>7.8</v>
      </c>
      <c r="AA13" s="49">
        <f t="shared" si="12"/>
        <v>2.56</v>
      </c>
      <c r="AB13" s="49">
        <f t="shared" si="2"/>
        <v>0.6</v>
      </c>
      <c r="AC13" s="49">
        <f t="shared" si="13"/>
        <v>1.79</v>
      </c>
      <c r="AD13" s="49">
        <f t="shared" si="3"/>
        <v>0.125</v>
      </c>
      <c r="AE13" s="49">
        <f t="shared" si="14"/>
        <v>0.97</v>
      </c>
      <c r="AF13" s="49">
        <f t="shared" si="15"/>
        <v>273</v>
      </c>
      <c r="AG13" s="247">
        <f t="shared" si="4"/>
        <v>2.7799999999999998E-2</v>
      </c>
      <c r="AH13" s="49">
        <f t="shared" si="16"/>
        <v>1</v>
      </c>
      <c r="AI13" s="2649">
        <f t="shared" si="17"/>
        <v>5.4000000000000003E-3</v>
      </c>
    </row>
    <row r="14" spans="1:38" ht="29" x14ac:dyDescent="0.35">
      <c r="A14" s="966" t="s">
        <v>956</v>
      </c>
      <c r="B14" s="1902" t="str">
        <f t="shared" si="18"/>
        <v xml:space="preserve"> - DI Custom, Natural Gas, Flow = 1.5, CA, Multi-Family Joint</v>
      </c>
      <c r="C14" s="143" t="s">
        <v>955</v>
      </c>
      <c r="D14" s="143" t="s">
        <v>1582</v>
      </c>
      <c r="E14" t="s">
        <v>3941</v>
      </c>
      <c r="F14" t="s">
        <v>3942</v>
      </c>
      <c r="G14" s="2244">
        <f t="shared" si="0"/>
        <v>10</v>
      </c>
      <c r="H14" s="2243"/>
      <c r="I14" s="976"/>
      <c r="J14" s="972" t="s">
        <v>3830</v>
      </c>
      <c r="K14" s="69" t="s">
        <v>1529</v>
      </c>
      <c r="L14" s="610">
        <v>1.5</v>
      </c>
      <c r="M14" s="972" t="s">
        <v>1864</v>
      </c>
      <c r="N14" s="977"/>
      <c r="O14" s="978"/>
      <c r="P14" s="2733">
        <f t="shared" si="5"/>
        <v>12.229477281000005</v>
      </c>
      <c r="Q14" s="2153">
        <f t="shared" si="6"/>
        <v>1941.1868700000009</v>
      </c>
      <c r="R14" s="2153"/>
      <c r="S14" s="2153"/>
      <c r="T14" s="2733">
        <f t="shared" si="7"/>
        <v>122.29477281000004</v>
      </c>
      <c r="U14" s="2166">
        <f t="shared" si="8"/>
        <v>19411.86870000001</v>
      </c>
      <c r="V14" s="49">
        <f t="shared" si="9"/>
        <v>0</v>
      </c>
      <c r="W14" s="49">
        <f t="shared" si="10"/>
        <v>2.2400000000000002</v>
      </c>
      <c r="X14" s="49">
        <f t="shared" si="1"/>
        <v>7.8</v>
      </c>
      <c r="Y14" s="49">
        <f t="shared" si="11"/>
        <v>1.5</v>
      </c>
      <c r="Z14" s="49">
        <v>7.8</v>
      </c>
      <c r="AA14" s="49">
        <f t="shared" si="12"/>
        <v>2.1</v>
      </c>
      <c r="AB14" s="49">
        <f t="shared" si="2"/>
        <v>0.6</v>
      </c>
      <c r="AC14" s="49">
        <f t="shared" si="13"/>
        <v>1.3</v>
      </c>
      <c r="AD14" s="49">
        <f t="shared" si="3"/>
        <v>0.125</v>
      </c>
      <c r="AE14" s="49">
        <f t="shared" si="14"/>
        <v>0.95</v>
      </c>
      <c r="AF14" s="49">
        <f t="shared" si="15"/>
        <v>224</v>
      </c>
      <c r="AG14" s="247">
        <f t="shared" si="4"/>
        <v>2.7799999999999998E-2</v>
      </c>
      <c r="AH14" s="49">
        <f t="shared" si="16"/>
        <v>1</v>
      </c>
      <c r="AI14" s="2649">
        <f t="shared" si="17"/>
        <v>6.3E-3</v>
      </c>
    </row>
    <row r="15" spans="1:38" ht="29" x14ac:dyDescent="0.35">
      <c r="A15" s="966" t="s">
        <v>725</v>
      </c>
      <c r="B15" s="1902" t="str">
        <f t="shared" si="18"/>
        <v xml:space="preserve"> - DI Custom, Natural Gas, Flow = 1.5, IU, Multi-Family Joint</v>
      </c>
      <c r="C15" s="143" t="s">
        <v>724</v>
      </c>
      <c r="D15" s="143" t="s">
        <v>1582</v>
      </c>
      <c r="E15" t="s">
        <v>3938</v>
      </c>
      <c r="F15" t="s">
        <v>3942</v>
      </c>
      <c r="G15" s="2244">
        <f t="shared" si="0"/>
        <v>10</v>
      </c>
      <c r="H15" s="2243"/>
      <c r="I15" s="976"/>
      <c r="J15" s="972" t="s">
        <v>3830</v>
      </c>
      <c r="K15" s="69" t="s">
        <v>1529</v>
      </c>
      <c r="L15" s="610">
        <v>1.5</v>
      </c>
      <c r="M15" s="972" t="s">
        <v>1864</v>
      </c>
      <c r="N15" s="977"/>
      <c r="O15" s="978"/>
      <c r="P15" s="2733">
        <f t="shared" ref="P15:P21" si="19">AH15*((W15*X15-Y15*Z15)*AA15*AB15*365.25/AC15)*AI15*AE15</f>
        <v>12.229477281000005</v>
      </c>
      <c r="Q15" s="2153">
        <f t="shared" ref="Q15:Q21" si="20">((W15*X15-Y15*Z15)*AA15*AB15*365.25/AC15)*AE15</f>
        <v>1941.1868700000009</v>
      </c>
      <c r="R15" s="2153"/>
      <c r="S15" s="2153"/>
      <c r="T15" s="2733">
        <f t="shared" ref="T15:T21" si="21">P15*G15</f>
        <v>122.29477281000004</v>
      </c>
      <c r="U15" s="2166">
        <f t="shared" ref="U15:U21" si="22">Q15*G15</f>
        <v>19411.86870000001</v>
      </c>
      <c r="V15" s="49">
        <f t="shared" ref="V15:V21" si="23">VLOOKUP(K15,$B$88:$C$91,2,FALSE)</f>
        <v>0</v>
      </c>
      <c r="W15" s="49">
        <f t="shared" ref="W15:W21" si="24">VLOOKUP(F15,$B$110:$C$114,2,FALSE)</f>
        <v>2.2400000000000002</v>
      </c>
      <c r="X15" s="49">
        <f t="shared" si="1"/>
        <v>7.8</v>
      </c>
      <c r="Y15" s="49">
        <f t="shared" ref="Y15:Y21" si="25">L15</f>
        <v>1.5</v>
      </c>
      <c r="Z15" s="49">
        <v>7.8</v>
      </c>
      <c r="AA15" s="49">
        <f t="shared" ref="AA15:AA21" si="26">VLOOKUP(M15,$I$88:$J$91,2,FALSE)</f>
        <v>2.1</v>
      </c>
      <c r="AB15" s="49">
        <f t="shared" si="2"/>
        <v>0.6</v>
      </c>
      <c r="AC15" s="49">
        <f t="shared" ref="AC15:AC21" si="27">VLOOKUP(M15,$I$88:$K$91,3,FALSE)</f>
        <v>1.3</v>
      </c>
      <c r="AD15" s="49">
        <f t="shared" si="3"/>
        <v>0.125</v>
      </c>
      <c r="AE15" s="49">
        <f t="shared" ref="AE15:AE21" si="28">VLOOKUP(M15,$I$88:$L$89,4,FALSE)</f>
        <v>0.95</v>
      </c>
      <c r="AF15" s="49">
        <f t="shared" ref="AF15:AF21" si="29">VLOOKUP(F15,$B$110:$E$114,IF(M15=$I$88,3,4),FALSE)</f>
        <v>224</v>
      </c>
      <c r="AG15" s="247">
        <f t="shared" si="4"/>
        <v>2.7799999999999998E-2</v>
      </c>
      <c r="AH15" s="49">
        <f t="shared" ref="AH15:AH21" si="30">VLOOKUP(K15,$B$88:$D$91,3,FALSE)</f>
        <v>1</v>
      </c>
      <c r="AI15" s="2649">
        <f t="shared" ref="AI15:AI21" si="31">+VLOOKUP(M15,$B$95:$C$96,2,FALSE)</f>
        <v>6.3E-3</v>
      </c>
    </row>
    <row r="16" spans="1:38" ht="29" x14ac:dyDescent="0.35">
      <c r="A16" s="966" t="s">
        <v>821</v>
      </c>
      <c r="B16" s="1902" t="str">
        <f t="shared" si="18"/>
        <v xml:space="preserve"> - DI, Natural Gas, Flow = 1.5, IU, Multi-Family Joint</v>
      </c>
      <c r="C16" s="143" t="s">
        <v>820</v>
      </c>
      <c r="D16" s="143" t="s">
        <v>1582</v>
      </c>
      <c r="E16" t="s">
        <v>3938</v>
      </c>
      <c r="F16" t="s">
        <v>1583</v>
      </c>
      <c r="G16" s="2244">
        <f t="shared" si="0"/>
        <v>10</v>
      </c>
      <c r="H16" s="2243"/>
      <c r="I16" s="976"/>
      <c r="J16" s="972" t="s">
        <v>3830</v>
      </c>
      <c r="K16" s="69" t="s">
        <v>1529</v>
      </c>
      <c r="L16" s="610">
        <v>1.5</v>
      </c>
      <c r="M16" s="972" t="s">
        <v>1864</v>
      </c>
      <c r="N16" s="977"/>
      <c r="O16" s="978"/>
      <c r="P16" s="2733">
        <f t="shared" si="19"/>
        <v>12.229477281000005</v>
      </c>
      <c r="Q16" s="2153">
        <f t="shared" si="20"/>
        <v>1941.1868700000009</v>
      </c>
      <c r="R16" s="2153"/>
      <c r="S16" s="2153"/>
      <c r="T16" s="2733">
        <f t="shared" si="21"/>
        <v>122.29477281000004</v>
      </c>
      <c r="U16" s="2166">
        <f t="shared" si="22"/>
        <v>19411.86870000001</v>
      </c>
      <c r="V16" s="49">
        <f t="shared" si="23"/>
        <v>0</v>
      </c>
      <c r="W16" s="49">
        <f t="shared" si="24"/>
        <v>2.2400000000000002</v>
      </c>
      <c r="X16" s="49">
        <f t="shared" si="1"/>
        <v>7.8</v>
      </c>
      <c r="Y16" s="49">
        <f t="shared" si="25"/>
        <v>1.5</v>
      </c>
      <c r="Z16" s="49">
        <v>7.8</v>
      </c>
      <c r="AA16" s="49">
        <f t="shared" si="26"/>
        <v>2.1</v>
      </c>
      <c r="AB16" s="49">
        <f t="shared" si="2"/>
        <v>0.6</v>
      </c>
      <c r="AC16" s="49">
        <f t="shared" si="27"/>
        <v>1.3</v>
      </c>
      <c r="AD16" s="49">
        <f t="shared" si="3"/>
        <v>0.125</v>
      </c>
      <c r="AE16" s="49">
        <f t="shared" si="28"/>
        <v>0.95</v>
      </c>
      <c r="AF16" s="49">
        <f t="shared" si="29"/>
        <v>224</v>
      </c>
      <c r="AG16" s="247">
        <f t="shared" si="4"/>
        <v>2.7799999999999998E-2</v>
      </c>
      <c r="AH16" s="49">
        <f t="shared" si="30"/>
        <v>1</v>
      </c>
      <c r="AI16" s="2649">
        <f t="shared" si="31"/>
        <v>6.3E-3</v>
      </c>
    </row>
    <row r="17" spans="1:35" ht="29" x14ac:dyDescent="0.35">
      <c r="A17" s="966" t="s">
        <v>3951</v>
      </c>
      <c r="B17" s="1902" t="str">
        <f t="shared" si="18"/>
        <v xml:space="preserve"> - DI, Natural Gas, Flow = 1.5, CA, Multi-Family Joint</v>
      </c>
      <c r="C17" s="143" t="s">
        <v>3952</v>
      </c>
      <c r="D17" s="143" t="s">
        <v>1582</v>
      </c>
      <c r="E17" t="s">
        <v>3941</v>
      </c>
      <c r="F17" t="s">
        <v>1583</v>
      </c>
      <c r="G17" s="2244">
        <f t="shared" si="0"/>
        <v>10</v>
      </c>
      <c r="H17" s="2243"/>
      <c r="I17" s="976"/>
      <c r="J17" s="972" t="s">
        <v>3830</v>
      </c>
      <c r="K17" s="69" t="s">
        <v>1529</v>
      </c>
      <c r="L17" s="610">
        <v>1.5</v>
      </c>
      <c r="M17" s="972" t="s">
        <v>1864</v>
      </c>
      <c r="N17" s="977"/>
      <c r="O17" s="978"/>
      <c r="P17" s="2733">
        <f t="shared" si="19"/>
        <v>12.229477281000005</v>
      </c>
      <c r="Q17" s="2153">
        <f t="shared" si="20"/>
        <v>1941.1868700000009</v>
      </c>
      <c r="R17" s="2153"/>
      <c r="S17" s="2153"/>
      <c r="T17" s="2733">
        <f t="shared" si="21"/>
        <v>122.29477281000004</v>
      </c>
      <c r="U17" s="2166">
        <f t="shared" si="22"/>
        <v>19411.86870000001</v>
      </c>
      <c r="V17" s="49">
        <f t="shared" si="23"/>
        <v>0</v>
      </c>
      <c r="W17" s="49">
        <f t="shared" si="24"/>
        <v>2.2400000000000002</v>
      </c>
      <c r="X17" s="49">
        <f t="shared" si="1"/>
        <v>7.8</v>
      </c>
      <c r="Y17" s="49">
        <f t="shared" si="25"/>
        <v>1.5</v>
      </c>
      <c r="Z17" s="49">
        <v>7.8</v>
      </c>
      <c r="AA17" s="49">
        <f t="shared" si="26"/>
        <v>2.1</v>
      </c>
      <c r="AB17" s="49">
        <f t="shared" si="2"/>
        <v>0.6</v>
      </c>
      <c r="AC17" s="49">
        <f t="shared" si="27"/>
        <v>1.3</v>
      </c>
      <c r="AD17" s="49">
        <f t="shared" si="3"/>
        <v>0.125</v>
      </c>
      <c r="AE17" s="49">
        <f t="shared" si="28"/>
        <v>0.95</v>
      </c>
      <c r="AF17" s="49">
        <f t="shared" si="29"/>
        <v>224</v>
      </c>
      <c r="AG17" s="247">
        <f t="shared" si="4"/>
        <v>2.7799999999999998E-2</v>
      </c>
      <c r="AH17" s="49">
        <f t="shared" si="30"/>
        <v>1</v>
      </c>
      <c r="AI17" s="2649">
        <f t="shared" si="31"/>
        <v>6.3E-3</v>
      </c>
    </row>
    <row r="18" spans="1:35" ht="29" x14ac:dyDescent="0.35">
      <c r="A18" s="966" t="s">
        <v>797</v>
      </c>
      <c r="B18" s="1902" t="str">
        <f t="shared" si="18"/>
        <v xml:space="preserve"> - DI, Natural Gas, Flow = 2, IU, Single-Family Joint</v>
      </c>
      <c r="C18" s="143" t="s">
        <v>796</v>
      </c>
      <c r="D18" s="143" t="s">
        <v>1582</v>
      </c>
      <c r="E18" t="s">
        <v>3938</v>
      </c>
      <c r="F18" t="s">
        <v>1583</v>
      </c>
      <c r="G18" s="2244">
        <f t="shared" si="0"/>
        <v>10</v>
      </c>
      <c r="H18" s="2243"/>
      <c r="I18" s="976"/>
      <c r="J18" s="972" t="s">
        <v>3830</v>
      </c>
      <c r="K18" s="69" t="s">
        <v>1529</v>
      </c>
      <c r="L18" s="610">
        <v>2</v>
      </c>
      <c r="M18" s="972" t="s">
        <v>3330</v>
      </c>
      <c r="N18" s="977"/>
      <c r="O18" s="978"/>
      <c r="P18" s="2733">
        <f t="shared" si="19"/>
        <v>3.0732631446167629</v>
      </c>
      <c r="Q18" s="2153">
        <f t="shared" si="20"/>
        <v>569.12280455865971</v>
      </c>
      <c r="R18" s="2153"/>
      <c r="S18" s="2153"/>
      <c r="T18" s="2733">
        <f t="shared" si="21"/>
        <v>30.73263144616763</v>
      </c>
      <c r="U18" s="2166">
        <f t="shared" si="22"/>
        <v>5691.2280455865966</v>
      </c>
      <c r="V18" s="49">
        <f t="shared" si="23"/>
        <v>0</v>
      </c>
      <c r="W18" s="49">
        <f t="shared" si="24"/>
        <v>2.2400000000000002</v>
      </c>
      <c r="X18" s="49">
        <f t="shared" si="1"/>
        <v>7.8</v>
      </c>
      <c r="Y18" s="49">
        <f t="shared" si="25"/>
        <v>2</v>
      </c>
      <c r="Z18" s="49">
        <v>7.8</v>
      </c>
      <c r="AA18" s="49">
        <f t="shared" si="26"/>
        <v>2.56</v>
      </c>
      <c r="AB18" s="49">
        <f t="shared" si="2"/>
        <v>0.6</v>
      </c>
      <c r="AC18" s="49">
        <f t="shared" si="27"/>
        <v>1.79</v>
      </c>
      <c r="AD18" s="49">
        <f t="shared" si="3"/>
        <v>0.125</v>
      </c>
      <c r="AE18" s="49">
        <f t="shared" si="28"/>
        <v>0.97</v>
      </c>
      <c r="AF18" s="49">
        <f t="shared" si="29"/>
        <v>273</v>
      </c>
      <c r="AG18" s="247">
        <f t="shared" si="4"/>
        <v>2.7799999999999998E-2</v>
      </c>
      <c r="AH18" s="49">
        <f t="shared" si="30"/>
        <v>1</v>
      </c>
      <c r="AI18" s="2649">
        <f t="shared" si="31"/>
        <v>5.4000000000000003E-3</v>
      </c>
    </row>
    <row r="19" spans="1:35" ht="29" x14ac:dyDescent="0.35">
      <c r="A19" s="966" t="s">
        <v>3953</v>
      </c>
      <c r="B19" s="1902" t="str">
        <f>$B$1&amp;" "&amp;IF(I19="Actual- handheld showerhead", "handheld","")&amp;"- "&amp;F19&amp;", "&amp;K19&amp;", Flow = "&amp;L19&amp;", "&amp;E19&amp;", "&amp;M19 &amp;"IQ Joint"</f>
        <v xml:space="preserve"> - DI, Natural Gas, Flow = 2, IU, Single-FamilyIQ Joint</v>
      </c>
      <c r="C19" s="143" t="s">
        <v>3954</v>
      </c>
      <c r="D19" s="143" t="s">
        <v>1582</v>
      </c>
      <c r="E19" t="s">
        <v>3938</v>
      </c>
      <c r="F19" t="s">
        <v>1583</v>
      </c>
      <c r="G19" s="2244">
        <f t="shared" si="0"/>
        <v>10</v>
      </c>
      <c r="H19" s="2243"/>
      <c r="I19" s="976"/>
      <c r="J19" s="972" t="s">
        <v>3830</v>
      </c>
      <c r="K19" s="69" t="s">
        <v>1529</v>
      </c>
      <c r="L19" s="610">
        <v>2</v>
      </c>
      <c r="M19" s="972" t="s">
        <v>3330</v>
      </c>
      <c r="N19" s="977"/>
      <c r="O19" s="978"/>
      <c r="P19" s="2733">
        <f t="shared" si="19"/>
        <v>3.0732631446167629</v>
      </c>
      <c r="Q19" s="2153">
        <f t="shared" si="20"/>
        <v>569.12280455865971</v>
      </c>
      <c r="R19" s="2153"/>
      <c r="S19" s="2153"/>
      <c r="T19" s="2733">
        <f t="shared" si="21"/>
        <v>30.73263144616763</v>
      </c>
      <c r="U19" s="2166">
        <f t="shared" si="22"/>
        <v>5691.2280455865966</v>
      </c>
      <c r="V19" s="49">
        <f t="shared" si="23"/>
        <v>0</v>
      </c>
      <c r="W19" s="49">
        <f t="shared" si="24"/>
        <v>2.2400000000000002</v>
      </c>
      <c r="X19" s="49">
        <f t="shared" si="1"/>
        <v>7.8</v>
      </c>
      <c r="Y19" s="49">
        <f t="shared" si="25"/>
        <v>2</v>
      </c>
      <c r="Z19" s="49">
        <v>7.8</v>
      </c>
      <c r="AA19" s="49">
        <f t="shared" si="26"/>
        <v>2.56</v>
      </c>
      <c r="AB19" s="49">
        <f t="shared" si="2"/>
        <v>0.6</v>
      </c>
      <c r="AC19" s="49">
        <f t="shared" si="27"/>
        <v>1.79</v>
      </c>
      <c r="AD19" s="49">
        <f t="shared" si="3"/>
        <v>0.125</v>
      </c>
      <c r="AE19" s="49">
        <f t="shared" si="28"/>
        <v>0.97</v>
      </c>
      <c r="AF19" s="49">
        <f t="shared" si="29"/>
        <v>273</v>
      </c>
      <c r="AG19" s="247">
        <f t="shared" si="4"/>
        <v>2.7799999999999998E-2</v>
      </c>
      <c r="AH19" s="49">
        <f t="shared" si="30"/>
        <v>1</v>
      </c>
      <c r="AI19" s="2649">
        <f t="shared" si="31"/>
        <v>5.4000000000000003E-3</v>
      </c>
    </row>
    <row r="20" spans="1:35" ht="29" x14ac:dyDescent="0.35">
      <c r="A20" s="966" t="s">
        <v>903</v>
      </c>
      <c r="B20" s="1902" t="str">
        <f>$B$1&amp;" "&amp;IF(I20="Actual- handheld showerhead", "handheld","")&amp;"- "&amp;F20&amp;", "&amp;K20&amp;", Flow = "&amp;L20&amp;", "&amp;E20&amp;", "&amp;M20 &amp;" All Joint"</f>
        <v xml:space="preserve"> - DI, Natural Gas, Flow = 2, IU, Single-Family All Joint</v>
      </c>
      <c r="C20" s="143" t="s">
        <v>902</v>
      </c>
      <c r="D20" s="143" t="s">
        <v>1582</v>
      </c>
      <c r="E20" t="s">
        <v>3938</v>
      </c>
      <c r="F20" t="s">
        <v>1583</v>
      </c>
      <c r="G20" s="2244">
        <f t="shared" si="0"/>
        <v>10</v>
      </c>
      <c r="H20" s="2243"/>
      <c r="I20" s="976"/>
      <c r="J20" s="972" t="s">
        <v>3830</v>
      </c>
      <c r="K20" s="69" t="s">
        <v>1529</v>
      </c>
      <c r="L20" s="610">
        <v>2</v>
      </c>
      <c r="M20" s="972" t="s">
        <v>3330</v>
      </c>
      <c r="N20" s="977"/>
      <c r="O20" s="978"/>
      <c r="P20" s="2733">
        <f t="shared" si="19"/>
        <v>3.0732631446167629</v>
      </c>
      <c r="Q20" s="2153">
        <f t="shared" si="20"/>
        <v>569.12280455865971</v>
      </c>
      <c r="R20" s="2153"/>
      <c r="S20" s="2153"/>
      <c r="T20" s="2733">
        <f t="shared" si="21"/>
        <v>30.73263144616763</v>
      </c>
      <c r="U20" s="2166">
        <f t="shared" si="22"/>
        <v>5691.2280455865966</v>
      </c>
      <c r="V20" s="49">
        <f t="shared" si="23"/>
        <v>0</v>
      </c>
      <c r="W20" s="49">
        <f t="shared" si="24"/>
        <v>2.2400000000000002</v>
      </c>
      <c r="X20" s="49">
        <f t="shared" si="1"/>
        <v>7.8</v>
      </c>
      <c r="Y20" s="49">
        <f t="shared" si="25"/>
        <v>2</v>
      </c>
      <c r="Z20" s="49">
        <v>7.8</v>
      </c>
      <c r="AA20" s="49">
        <f t="shared" si="26"/>
        <v>2.56</v>
      </c>
      <c r="AB20" s="49">
        <f t="shared" si="2"/>
        <v>0.6</v>
      </c>
      <c r="AC20" s="49">
        <f t="shared" si="27"/>
        <v>1.79</v>
      </c>
      <c r="AD20" s="49">
        <f t="shared" si="3"/>
        <v>0.125</v>
      </c>
      <c r="AE20" s="49">
        <f t="shared" si="28"/>
        <v>0.97</v>
      </c>
      <c r="AF20" s="49">
        <f t="shared" si="29"/>
        <v>273</v>
      </c>
      <c r="AG20" s="247">
        <f t="shared" si="4"/>
        <v>2.7799999999999998E-2</v>
      </c>
      <c r="AH20" s="49">
        <f t="shared" si="30"/>
        <v>1</v>
      </c>
      <c r="AI20" s="2649">
        <f t="shared" si="31"/>
        <v>5.4000000000000003E-3</v>
      </c>
    </row>
    <row r="21" spans="1:35" ht="29" x14ac:dyDescent="0.35">
      <c r="A21" s="966" t="s">
        <v>867</v>
      </c>
      <c r="B21" s="1902" t="str">
        <f>$B$1&amp;" "&amp;IF(I21="Actual- handheld showerhead", "handheld","")&amp;"- "&amp;F21&amp;", "&amp;K21&amp;", Flow = "&amp;L21&amp;", "&amp;E21&amp;", "&amp;M21 &amp;"IQ All Joint"</f>
        <v xml:space="preserve"> - DI, Natural Gas, Flow = 2, IU, Single-FamilyIQ All Joint</v>
      </c>
      <c r="C21" s="143" t="s">
        <v>866</v>
      </c>
      <c r="D21" s="143" t="s">
        <v>1582</v>
      </c>
      <c r="E21" t="s">
        <v>3938</v>
      </c>
      <c r="F21" t="s">
        <v>1583</v>
      </c>
      <c r="G21" s="2244">
        <f t="shared" si="0"/>
        <v>10</v>
      </c>
      <c r="H21" s="2243"/>
      <c r="I21" s="976"/>
      <c r="J21" s="972" t="s">
        <v>3830</v>
      </c>
      <c r="K21" s="69" t="s">
        <v>1529</v>
      </c>
      <c r="L21" s="610">
        <v>2</v>
      </c>
      <c r="M21" s="972" t="s">
        <v>3330</v>
      </c>
      <c r="N21" s="977"/>
      <c r="O21" s="978"/>
      <c r="P21" s="2733">
        <f t="shared" si="19"/>
        <v>3.0732631446167629</v>
      </c>
      <c r="Q21" s="2153">
        <f t="shared" si="20"/>
        <v>569.12280455865971</v>
      </c>
      <c r="R21" s="2153"/>
      <c r="S21" s="2153"/>
      <c r="T21" s="2733">
        <f t="shared" si="21"/>
        <v>30.73263144616763</v>
      </c>
      <c r="U21" s="2166">
        <f t="shared" si="22"/>
        <v>5691.2280455865966</v>
      </c>
      <c r="V21" s="49">
        <f t="shared" si="23"/>
        <v>0</v>
      </c>
      <c r="W21" s="49">
        <f t="shared" si="24"/>
        <v>2.2400000000000002</v>
      </c>
      <c r="X21" s="49">
        <f t="shared" si="1"/>
        <v>7.8</v>
      </c>
      <c r="Y21" s="49">
        <f t="shared" si="25"/>
        <v>2</v>
      </c>
      <c r="Z21" s="49">
        <v>7.8</v>
      </c>
      <c r="AA21" s="49">
        <f t="shared" si="26"/>
        <v>2.56</v>
      </c>
      <c r="AB21" s="49">
        <f t="shared" si="2"/>
        <v>0.6</v>
      </c>
      <c r="AC21" s="49">
        <f t="shared" si="27"/>
        <v>1.79</v>
      </c>
      <c r="AD21" s="49">
        <f t="shared" si="3"/>
        <v>0.125</v>
      </c>
      <c r="AE21" s="49">
        <f t="shared" si="28"/>
        <v>0.97</v>
      </c>
      <c r="AF21" s="49">
        <f t="shared" si="29"/>
        <v>273</v>
      </c>
      <c r="AG21" s="247">
        <f t="shared" si="4"/>
        <v>2.7799999999999998E-2</v>
      </c>
      <c r="AH21" s="49">
        <f t="shared" si="30"/>
        <v>1</v>
      </c>
      <c r="AI21" s="2649">
        <f t="shared" si="31"/>
        <v>5.4000000000000003E-3</v>
      </c>
    </row>
    <row r="22" spans="1:35" ht="43.5" x14ac:dyDescent="0.35">
      <c r="A22" s="966" t="s">
        <v>859</v>
      </c>
      <c r="B22" s="966" t="s">
        <v>3955</v>
      </c>
      <c r="C22" s="956" t="s">
        <v>858</v>
      </c>
      <c r="D22" s="1641" t="s">
        <v>1582</v>
      </c>
      <c r="E22" s="69" t="s">
        <v>3938</v>
      </c>
      <c r="F22" s="69" t="s">
        <v>1583</v>
      </c>
      <c r="G22" s="1642">
        <v>10</v>
      </c>
      <c r="H22" s="1018">
        <v>12</v>
      </c>
      <c r="I22" s="976" t="s">
        <v>3956</v>
      </c>
      <c r="J22" s="972" t="s">
        <v>3830</v>
      </c>
      <c r="K22" s="69" t="s">
        <v>1529</v>
      </c>
      <c r="L22" s="610">
        <v>1.5</v>
      </c>
      <c r="M22" s="972" t="s">
        <v>1864</v>
      </c>
      <c r="N22" s="977"/>
      <c r="O22" s="978"/>
      <c r="P22" s="2733">
        <f>AH22*((W22*X22-Y22*Z22)*AA22*AB22*365.25/AC22)*AI22*AE22</f>
        <v>12.229477281000005</v>
      </c>
      <c r="Q22" s="2153">
        <f>((W22*X22-Y22*Z22)*AA22*AB22*365.25/AC22)*AE22</f>
        <v>1941.1868700000009</v>
      </c>
      <c r="R22" s="2153"/>
      <c r="S22" s="2153"/>
      <c r="T22" s="2733">
        <f>P22*G22</f>
        <v>122.29477281000004</v>
      </c>
      <c r="U22" s="2166">
        <f>Q22*G22</f>
        <v>19411.86870000001</v>
      </c>
      <c r="V22" s="49">
        <f>VLOOKUP(K22,$B$88:$C$91,2,FALSE)</f>
        <v>0</v>
      </c>
      <c r="W22" s="49">
        <f>VLOOKUP(F22,$B$110:$C$114,2,FALSE)</f>
        <v>2.2400000000000002</v>
      </c>
      <c r="X22" s="49">
        <f t="shared" si="1"/>
        <v>7.8</v>
      </c>
      <c r="Y22" s="49">
        <f>L22</f>
        <v>1.5</v>
      </c>
      <c r="Z22" s="49">
        <v>7.8</v>
      </c>
      <c r="AA22" s="49">
        <f>VLOOKUP(M22,$I$88:$J$91,2,FALSE)</f>
        <v>2.1</v>
      </c>
      <c r="AB22" s="49">
        <f t="shared" si="2"/>
        <v>0.6</v>
      </c>
      <c r="AC22" s="49">
        <f>VLOOKUP(M22,$I$88:$K$91,3,FALSE)</f>
        <v>1.3</v>
      </c>
      <c r="AD22" s="49">
        <f t="shared" si="3"/>
        <v>0.125</v>
      </c>
      <c r="AE22" s="49">
        <f>VLOOKUP(M22,$I$88:$L$89,4,FALSE)</f>
        <v>0.95</v>
      </c>
      <c r="AF22" s="49">
        <f>VLOOKUP(F22,$B$110:$E$114,IF(M22=$I$88,3,4),FALSE)</f>
        <v>224</v>
      </c>
      <c r="AG22" s="247">
        <f t="shared" si="4"/>
        <v>2.7799999999999998E-2</v>
      </c>
      <c r="AH22" s="49">
        <f>VLOOKUP(K22,$B$88:$D$91,3,FALSE)</f>
        <v>1</v>
      </c>
      <c r="AI22" s="2649">
        <f>+VLOOKUP(M22,$B$95:$C$96,2,FALSE)</f>
        <v>6.3E-3</v>
      </c>
    </row>
    <row r="23" spans="1:35" x14ac:dyDescent="0.35">
      <c r="A23" s="966"/>
      <c r="B23" s="966"/>
      <c r="C23" s="956"/>
      <c r="D23" s="957"/>
      <c r="E23" s="69"/>
      <c r="F23" s="69"/>
      <c r="G23" s="974"/>
      <c r="H23" s="1018"/>
      <c r="I23" s="976"/>
      <c r="J23" s="972"/>
      <c r="K23" s="69"/>
      <c r="L23" s="610"/>
      <c r="M23" s="972"/>
      <c r="N23" s="977"/>
      <c r="O23" s="978"/>
      <c r="P23" s="2153"/>
      <c r="Q23" s="2153"/>
      <c r="R23" s="2153"/>
      <c r="S23" s="2153"/>
      <c r="T23" s="2153"/>
      <c r="U23" s="2166"/>
      <c r="V23" s="69"/>
      <c r="W23" s="69"/>
      <c r="X23" s="69"/>
      <c r="Y23" s="69"/>
      <c r="Z23" s="69"/>
      <c r="AA23" s="69"/>
      <c r="AB23" s="69"/>
      <c r="AC23" s="69"/>
      <c r="AD23" s="69"/>
      <c r="AE23" s="69"/>
      <c r="AF23" s="69"/>
      <c r="AG23" s="1245"/>
      <c r="AH23" s="69"/>
      <c r="AI23" s="69"/>
    </row>
    <row r="24" spans="1:35" x14ac:dyDescent="0.35">
      <c r="A24" s="961"/>
      <c r="B24" s="961"/>
      <c r="C24" s="961"/>
      <c r="D24" s="961"/>
      <c r="E24" s="961"/>
      <c r="F24" s="961"/>
      <c r="G24" s="961"/>
      <c r="H24" s="961"/>
      <c r="I24" s="961"/>
      <c r="J24" s="961"/>
      <c r="K24" s="961"/>
      <c r="L24" s="961"/>
      <c r="M24" s="961"/>
      <c r="N24" s="961"/>
      <c r="O24" s="961"/>
      <c r="P24" s="1188"/>
      <c r="Q24" s="1188"/>
      <c r="R24" s="1188"/>
      <c r="S24" s="1188"/>
      <c r="T24" s="1188"/>
      <c r="U24" s="1188"/>
    </row>
    <row r="25" spans="1:35" ht="15" thickBot="1" x14ac:dyDescent="0.4"/>
    <row r="26" spans="1:35" ht="15" thickBot="1" x14ac:dyDescent="0.4">
      <c r="A26" s="62" t="s">
        <v>1188</v>
      </c>
      <c r="B26" s="63"/>
      <c r="C26" s="64"/>
      <c r="D26" s="64"/>
      <c r="E26" s="64"/>
      <c r="F26" s="64"/>
      <c r="G26" s="64"/>
      <c r="H26" s="64"/>
      <c r="I26" s="64"/>
      <c r="J26" s="65"/>
      <c r="X26" s="248"/>
    </row>
    <row r="27" spans="1:35" x14ac:dyDescent="0.35">
      <c r="A27" s="67" t="s">
        <v>3957</v>
      </c>
      <c r="B27" s="68"/>
      <c r="C27" s="69"/>
      <c r="D27" s="69"/>
      <c r="E27" s="69"/>
      <c r="F27" s="69"/>
      <c r="G27" s="69"/>
      <c r="H27" s="69"/>
      <c r="I27" s="69"/>
      <c r="J27" s="70"/>
      <c r="Y27" s="3340"/>
    </row>
    <row r="28" spans="1:35" x14ac:dyDescent="0.35">
      <c r="A28" s="67" t="s">
        <v>1988</v>
      </c>
      <c r="B28" s="69"/>
      <c r="C28" s="69"/>
      <c r="D28" s="69"/>
      <c r="E28" s="69"/>
      <c r="F28" s="69"/>
      <c r="G28" s="69"/>
      <c r="H28" s="69"/>
      <c r="I28" s="69"/>
      <c r="J28" s="70"/>
      <c r="Y28" s="3340"/>
    </row>
    <row r="29" spans="1:35" x14ac:dyDescent="0.35">
      <c r="A29" s="67" t="s">
        <v>3958</v>
      </c>
      <c r="B29" s="68"/>
      <c r="C29" s="69"/>
      <c r="D29" s="69"/>
      <c r="E29" s="69"/>
      <c r="F29" s="69"/>
      <c r="G29" s="69"/>
      <c r="H29" s="69"/>
      <c r="I29" s="69"/>
      <c r="J29" s="70"/>
      <c r="Y29" s="3340"/>
    </row>
    <row r="30" spans="1:35" ht="15" thickBot="1" x14ac:dyDescent="0.4">
      <c r="A30" s="71" t="s">
        <v>3959</v>
      </c>
      <c r="B30" s="72"/>
      <c r="C30" s="249"/>
      <c r="D30" s="72"/>
      <c r="E30" s="72"/>
      <c r="F30" s="72"/>
      <c r="G30" s="72"/>
      <c r="H30" s="72"/>
      <c r="I30" s="72"/>
      <c r="J30" s="73"/>
      <c r="Y30" s="3340"/>
    </row>
    <row r="31" spans="1:35" ht="15" thickBot="1" x14ac:dyDescent="0.4">
      <c r="A31" s="154" t="s">
        <v>1078</v>
      </c>
      <c r="B31" s="2788">
        <f>'Measure-Level Adjustments'!A2</f>
        <v>44592</v>
      </c>
    </row>
    <row r="32" spans="1:35" ht="15" thickBot="1" x14ac:dyDescent="0.4">
      <c r="A32" s="154" t="s">
        <v>1079</v>
      </c>
      <c r="B32" s="2789" t="s">
        <v>692</v>
      </c>
    </row>
    <row r="33" spans="1:12" ht="15" thickBot="1" x14ac:dyDescent="0.4"/>
    <row r="34" spans="1:12" ht="15" thickBot="1" x14ac:dyDescent="0.4">
      <c r="A34" s="74" t="s">
        <v>1285</v>
      </c>
      <c r="B34" s="75" t="s">
        <v>1199</v>
      </c>
      <c r="C34" s="76" t="s">
        <v>1082</v>
      </c>
      <c r="D34" s="64"/>
      <c r="E34" s="64"/>
      <c r="F34" s="64"/>
      <c r="G34" s="64"/>
      <c r="H34" s="64"/>
      <c r="I34" s="64"/>
      <c r="J34" s="64"/>
      <c r="K34" s="64"/>
      <c r="L34" s="65"/>
    </row>
    <row r="35" spans="1:12" x14ac:dyDescent="0.35">
      <c r="A35" s="250" t="s">
        <v>1871</v>
      </c>
      <c r="B35" s="80"/>
      <c r="C35" s="79" t="s">
        <v>1896</v>
      </c>
      <c r="D35" s="80"/>
      <c r="E35" s="80"/>
      <c r="F35" s="80"/>
      <c r="G35" s="80"/>
      <c r="H35" s="80"/>
      <c r="I35" s="80"/>
      <c r="J35" s="80"/>
      <c r="K35" s="80"/>
      <c r="L35" s="81"/>
    </row>
    <row r="36" spans="1:12" ht="15" thickBot="1" x14ac:dyDescent="0.4">
      <c r="A36" s="251"/>
      <c r="B36" s="85"/>
      <c r="C36" s="84" t="s">
        <v>3960</v>
      </c>
      <c r="D36" s="85"/>
      <c r="E36" s="85"/>
      <c r="F36" s="85"/>
      <c r="G36" s="85"/>
      <c r="H36" s="85"/>
      <c r="I36" s="85"/>
      <c r="J36" s="85"/>
      <c r="K36" s="85"/>
      <c r="L36" s="86"/>
    </row>
    <row r="37" spans="1:12" x14ac:dyDescent="0.35">
      <c r="A37" s="252" t="s">
        <v>1872</v>
      </c>
      <c r="C37" s="55" t="s">
        <v>1993</v>
      </c>
      <c r="L37" s="253"/>
    </row>
    <row r="38" spans="1:12" ht="15" thickBot="1" x14ac:dyDescent="0.4">
      <c r="A38" s="251"/>
      <c r="B38" s="85"/>
      <c r="C38" s="84" t="s">
        <v>3961</v>
      </c>
      <c r="D38" s="85"/>
      <c r="E38" s="85"/>
      <c r="F38" s="85"/>
      <c r="G38" s="85"/>
      <c r="H38" s="85"/>
      <c r="I38" s="85"/>
      <c r="J38" s="85"/>
      <c r="K38" s="85"/>
      <c r="L38" s="86"/>
    </row>
    <row r="39" spans="1:12" x14ac:dyDescent="0.35">
      <c r="A39" s="250" t="s">
        <v>1981</v>
      </c>
      <c r="B39" s="80">
        <v>7.8</v>
      </c>
      <c r="C39" s="79" t="s">
        <v>1997</v>
      </c>
      <c r="D39" s="80"/>
      <c r="E39" s="80"/>
      <c r="F39" s="80"/>
      <c r="G39" s="80"/>
      <c r="H39" s="80"/>
      <c r="I39" s="80"/>
      <c r="L39" s="253"/>
    </row>
    <row r="40" spans="1:12" ht="15" thickBot="1" x14ac:dyDescent="0.4">
      <c r="A40" s="251"/>
      <c r="B40" s="85"/>
      <c r="C40" s="84" t="s">
        <v>1626</v>
      </c>
      <c r="D40" s="85"/>
      <c r="E40" s="85"/>
      <c r="F40" s="85"/>
      <c r="G40" s="85"/>
      <c r="H40" s="85"/>
      <c r="I40" s="85"/>
      <c r="J40" s="85"/>
      <c r="K40" s="85"/>
      <c r="L40" s="86"/>
    </row>
    <row r="41" spans="1:12" x14ac:dyDescent="0.35">
      <c r="A41" s="250" t="s">
        <v>1873</v>
      </c>
      <c r="B41" s="80"/>
      <c r="C41" s="79" t="s">
        <v>1995</v>
      </c>
      <c r="D41" s="80"/>
      <c r="E41" s="80"/>
      <c r="F41" s="80"/>
      <c r="G41" s="80"/>
      <c r="H41" s="80"/>
      <c r="I41" s="80"/>
      <c r="L41" s="253"/>
    </row>
    <row r="42" spans="1:12" ht="15" thickBot="1" x14ac:dyDescent="0.4">
      <c r="A42" s="251"/>
      <c r="B42" s="85"/>
      <c r="C42" s="84" t="s">
        <v>3962</v>
      </c>
      <c r="D42" s="85"/>
      <c r="E42" s="85"/>
      <c r="F42" s="85"/>
      <c r="G42" s="85"/>
      <c r="H42" s="85"/>
      <c r="I42" s="85"/>
      <c r="J42" s="85"/>
      <c r="K42" s="85"/>
      <c r="L42" s="86"/>
    </row>
    <row r="43" spans="1:12" x14ac:dyDescent="0.35">
      <c r="A43" s="250" t="s">
        <v>1982</v>
      </c>
      <c r="B43" s="80">
        <v>7.8</v>
      </c>
      <c r="C43" s="79" t="s">
        <v>3963</v>
      </c>
      <c r="D43" s="80"/>
      <c r="E43" s="80"/>
      <c r="F43" s="80"/>
      <c r="G43" s="80"/>
      <c r="H43" s="80"/>
      <c r="I43" s="80"/>
      <c r="L43" s="253"/>
    </row>
    <row r="44" spans="1:12" ht="15" thickBot="1" x14ac:dyDescent="0.4">
      <c r="A44" s="251"/>
      <c r="B44" s="85"/>
      <c r="C44" s="84" t="s">
        <v>1626</v>
      </c>
      <c r="D44" s="85"/>
      <c r="E44" s="85"/>
      <c r="F44" s="85"/>
      <c r="G44" s="85"/>
      <c r="H44" s="85"/>
      <c r="I44" s="85"/>
      <c r="J44" s="85"/>
      <c r="K44" s="85"/>
      <c r="L44" s="86"/>
    </row>
    <row r="45" spans="1:12" x14ac:dyDescent="0.35">
      <c r="A45" s="250" t="s">
        <v>3777</v>
      </c>
      <c r="B45" s="80"/>
      <c r="C45" s="79" t="s">
        <v>3865</v>
      </c>
      <c r="D45" s="80"/>
      <c r="E45" s="80"/>
      <c r="F45" s="80"/>
      <c r="G45" s="80"/>
      <c r="H45" s="80"/>
      <c r="I45" s="80"/>
      <c r="L45" s="253"/>
    </row>
    <row r="46" spans="1:12" ht="15" thickBot="1" x14ac:dyDescent="0.4">
      <c r="A46" s="251"/>
      <c r="B46" s="85"/>
      <c r="C46" s="84" t="s">
        <v>3866</v>
      </c>
      <c r="D46" s="85"/>
      <c r="E46" s="85"/>
      <c r="F46" s="85"/>
      <c r="G46" s="85"/>
      <c r="H46" s="85"/>
      <c r="I46" s="85"/>
      <c r="J46" s="85"/>
      <c r="K46" s="85"/>
      <c r="L46" s="86"/>
    </row>
    <row r="47" spans="1:12" x14ac:dyDescent="0.35">
      <c r="A47" s="250" t="s">
        <v>3936</v>
      </c>
      <c r="B47" s="80">
        <v>0.6</v>
      </c>
      <c r="C47" s="79" t="s">
        <v>3964</v>
      </c>
      <c r="D47" s="80"/>
      <c r="E47" s="80"/>
      <c r="F47" s="80"/>
      <c r="G47" s="80"/>
      <c r="H47" s="80"/>
      <c r="I47" s="80"/>
      <c r="L47" s="253"/>
    </row>
    <row r="48" spans="1:12" ht="15" thickBot="1" x14ac:dyDescent="0.4">
      <c r="A48" s="251"/>
      <c r="B48" s="85"/>
      <c r="C48" s="84" t="s">
        <v>1626</v>
      </c>
      <c r="D48" s="85"/>
      <c r="E48" s="85"/>
      <c r="F48" s="85"/>
      <c r="G48" s="85"/>
      <c r="H48" s="85"/>
      <c r="I48" s="85"/>
      <c r="J48" s="85"/>
      <c r="K48" s="85"/>
      <c r="L48" s="86"/>
    </row>
    <row r="49" spans="1:12" x14ac:dyDescent="0.35">
      <c r="A49" s="250" t="s">
        <v>3937</v>
      </c>
      <c r="B49" s="80"/>
      <c r="C49" s="79" t="s">
        <v>3965</v>
      </c>
      <c r="D49" s="80"/>
      <c r="E49" s="80"/>
      <c r="F49" s="80"/>
      <c r="G49" s="80"/>
      <c r="H49" s="80"/>
      <c r="I49" s="80"/>
      <c r="L49" s="253"/>
    </row>
    <row r="50" spans="1:12" ht="15" thickBot="1" x14ac:dyDescent="0.4">
      <c r="A50" s="251"/>
      <c r="B50" s="85"/>
      <c r="C50" s="84" t="s">
        <v>3866</v>
      </c>
      <c r="D50" s="85"/>
      <c r="E50" s="85"/>
      <c r="F50" s="85"/>
      <c r="G50" s="85"/>
      <c r="H50" s="85"/>
      <c r="I50" s="85"/>
      <c r="J50" s="85"/>
      <c r="K50" s="85"/>
      <c r="L50" s="86"/>
    </row>
    <row r="51" spans="1:12" x14ac:dyDescent="0.35">
      <c r="A51" s="250" t="s">
        <v>1874</v>
      </c>
      <c r="B51" s="2595">
        <v>0.125</v>
      </c>
      <c r="C51" s="79" t="s">
        <v>3966</v>
      </c>
      <c r="D51" s="80"/>
      <c r="E51" s="80"/>
      <c r="F51" s="80"/>
      <c r="G51" s="80"/>
      <c r="H51" s="80"/>
      <c r="I51" s="80"/>
      <c r="L51" s="253"/>
    </row>
    <row r="52" spans="1:12" x14ac:dyDescent="0.35">
      <c r="A52" s="252"/>
      <c r="C52" s="55" t="s">
        <v>3967</v>
      </c>
      <c r="L52" s="253"/>
    </row>
    <row r="53" spans="1:12" x14ac:dyDescent="0.35">
      <c r="A53" s="252"/>
      <c r="C53" s="2736" t="s">
        <v>3968</v>
      </c>
      <c r="D53" s="2641"/>
      <c r="E53" s="2641"/>
      <c r="F53" s="2641"/>
      <c r="G53" s="2641"/>
      <c r="H53" s="2641"/>
      <c r="I53" s="2641"/>
      <c r="J53" s="2641"/>
      <c r="K53" s="2641"/>
      <c r="L53" s="2643"/>
    </row>
    <row r="54" spans="1:12" x14ac:dyDescent="0.35">
      <c r="A54" s="252"/>
      <c r="C54" s="55" t="s">
        <v>3969</v>
      </c>
      <c r="L54" s="253"/>
    </row>
    <row r="55" spans="1:12" x14ac:dyDescent="0.35">
      <c r="A55" s="252"/>
      <c r="C55" t="s">
        <v>3877</v>
      </c>
      <c r="L55" s="253"/>
    </row>
    <row r="56" spans="1:12" x14ac:dyDescent="0.35">
      <c r="A56" s="252"/>
      <c r="C56" t="s">
        <v>3878</v>
      </c>
      <c r="L56" s="253"/>
    </row>
    <row r="57" spans="1:12" x14ac:dyDescent="0.35">
      <c r="A57" s="252"/>
      <c r="C57" s="55" t="s">
        <v>3970</v>
      </c>
      <c r="L57" s="253"/>
    </row>
    <row r="58" spans="1:12" x14ac:dyDescent="0.35">
      <c r="A58" s="254"/>
      <c r="C58" t="s">
        <v>3880</v>
      </c>
      <c r="L58" s="253"/>
    </row>
    <row r="59" spans="1:12" x14ac:dyDescent="0.35">
      <c r="A59" s="254"/>
      <c r="C59" t="s">
        <v>3971</v>
      </c>
      <c r="L59" s="253"/>
    </row>
    <row r="60" spans="1:12" ht="15" thickBot="1" x14ac:dyDescent="0.4">
      <c r="A60" s="88"/>
      <c r="B60" s="85"/>
      <c r="C60" s="85" t="s">
        <v>3882</v>
      </c>
      <c r="D60" s="85"/>
      <c r="E60" s="85"/>
      <c r="F60" s="85"/>
      <c r="G60" s="85"/>
      <c r="H60" s="85"/>
      <c r="I60" s="85"/>
      <c r="J60" s="85"/>
      <c r="K60" s="85"/>
      <c r="L60" s="86"/>
    </row>
    <row r="61" spans="1:12" x14ac:dyDescent="0.35">
      <c r="A61" s="250" t="s">
        <v>1580</v>
      </c>
      <c r="B61" s="80"/>
      <c r="C61" s="79" t="s">
        <v>2007</v>
      </c>
      <c r="D61" s="80"/>
      <c r="E61" s="80"/>
      <c r="F61" s="80"/>
      <c r="G61" s="80"/>
      <c r="H61" s="80"/>
      <c r="I61" s="80"/>
      <c r="L61" s="253"/>
    </row>
    <row r="62" spans="1:12" ht="15" thickBot="1" x14ac:dyDescent="0.4">
      <c r="A62" s="88"/>
      <c r="B62" s="85"/>
      <c r="C62" s="85" t="s">
        <v>3972</v>
      </c>
      <c r="D62" s="85"/>
      <c r="E62" s="85"/>
      <c r="F62" s="85"/>
      <c r="G62" s="85"/>
      <c r="H62" s="85"/>
      <c r="I62" s="85"/>
      <c r="J62" s="85"/>
      <c r="K62" s="85"/>
      <c r="L62" s="86"/>
    </row>
    <row r="63" spans="1:12" x14ac:dyDescent="0.35">
      <c r="A63" s="250" t="s">
        <v>1641</v>
      </c>
      <c r="B63" s="80"/>
      <c r="C63" s="79" t="s">
        <v>2009</v>
      </c>
      <c r="D63" s="80"/>
      <c r="E63" s="80"/>
      <c r="F63" s="80"/>
      <c r="G63" s="80"/>
      <c r="H63" s="80"/>
      <c r="I63" s="80"/>
      <c r="L63" s="253"/>
    </row>
    <row r="64" spans="1:12" x14ac:dyDescent="0.35">
      <c r="A64" s="254"/>
      <c r="C64" s="2736" t="s">
        <v>3973</v>
      </c>
      <c r="D64" s="2641"/>
      <c r="E64" s="2641"/>
      <c r="F64" s="2641"/>
      <c r="G64" s="2641"/>
      <c r="H64" s="2641"/>
      <c r="I64" s="2641"/>
      <c r="J64" s="2641"/>
      <c r="K64" s="2641"/>
      <c r="L64" s="2643"/>
    </row>
    <row r="65" spans="1:12" x14ac:dyDescent="0.35">
      <c r="A65" s="254"/>
      <c r="C65" s="55" t="s">
        <v>3974</v>
      </c>
      <c r="L65" s="253"/>
    </row>
    <row r="66" spans="1:12" ht="15" thickBot="1" x14ac:dyDescent="0.4">
      <c r="A66" s="254"/>
      <c r="C66" s="55" t="s">
        <v>3975</v>
      </c>
      <c r="J66" s="85"/>
      <c r="K66" s="85"/>
      <c r="L66" s="86"/>
    </row>
    <row r="67" spans="1:12" x14ac:dyDescent="0.35">
      <c r="A67" s="250" t="s">
        <v>1179</v>
      </c>
      <c r="B67" s="2246">
        <v>2.7799999999999998E-2</v>
      </c>
      <c r="C67" s="79" t="s">
        <v>1923</v>
      </c>
      <c r="D67" s="80"/>
      <c r="E67" s="80"/>
      <c r="F67" s="80"/>
      <c r="G67" s="80"/>
      <c r="H67" s="80"/>
      <c r="I67" s="80"/>
      <c r="L67" s="253"/>
    </row>
    <row r="68" spans="1:12" ht="15" thickBot="1" x14ac:dyDescent="0.4">
      <c r="A68" s="88"/>
      <c r="B68" s="85"/>
      <c r="C68" s="84" t="s">
        <v>3976</v>
      </c>
      <c r="D68" s="85"/>
      <c r="E68" s="85"/>
      <c r="F68" s="85"/>
      <c r="G68" s="85"/>
      <c r="H68" s="85"/>
      <c r="I68" s="85"/>
      <c r="J68" s="85"/>
      <c r="K68" s="85"/>
      <c r="L68" s="86"/>
    </row>
    <row r="69" spans="1:12" x14ac:dyDescent="0.35">
      <c r="A69" s="250" t="s">
        <v>3828</v>
      </c>
      <c r="B69" s="80"/>
      <c r="C69" s="79" t="s">
        <v>3888</v>
      </c>
      <c r="D69" s="80"/>
      <c r="E69" s="80"/>
      <c r="F69" s="80"/>
      <c r="G69" s="80"/>
      <c r="H69" s="80"/>
      <c r="I69" s="80"/>
      <c r="L69" s="253"/>
    </row>
    <row r="70" spans="1:12" ht="15" thickBot="1" x14ac:dyDescent="0.4">
      <c r="A70" s="88"/>
      <c r="B70" s="85"/>
      <c r="C70" s="84" t="s">
        <v>3889</v>
      </c>
      <c r="D70" s="85"/>
      <c r="E70" s="85"/>
      <c r="F70" s="85"/>
      <c r="G70" s="85"/>
      <c r="H70" s="85"/>
      <c r="I70" s="85"/>
      <c r="J70" s="85"/>
      <c r="K70" s="85"/>
      <c r="L70" s="86"/>
    </row>
    <row r="71" spans="1:12" x14ac:dyDescent="0.35">
      <c r="A71" s="250" t="s">
        <v>1876</v>
      </c>
      <c r="B71" s="2595">
        <f>IF(M4=I88,0.0054,0.0063)</f>
        <v>5.4000000000000003E-3</v>
      </c>
      <c r="C71" s="79" t="s">
        <v>1927</v>
      </c>
      <c r="D71" s="80"/>
      <c r="E71" s="80"/>
      <c r="F71" s="80"/>
      <c r="G71" s="80"/>
      <c r="H71" s="80"/>
      <c r="I71" s="80"/>
      <c r="L71" s="253"/>
    </row>
    <row r="72" spans="1:12" x14ac:dyDescent="0.35">
      <c r="A72" s="252"/>
      <c r="C72" t="s">
        <v>3977</v>
      </c>
      <c r="L72" s="253"/>
    </row>
    <row r="73" spans="1:12" x14ac:dyDescent="0.35">
      <c r="A73" s="252"/>
      <c r="C73" t="s">
        <v>3978</v>
      </c>
      <c r="L73" s="253"/>
    </row>
    <row r="74" spans="1:12" x14ac:dyDescent="0.35">
      <c r="A74" s="252"/>
      <c r="C74" t="s">
        <v>3893</v>
      </c>
      <c r="L74" s="253"/>
    </row>
    <row r="75" spans="1:12" x14ac:dyDescent="0.35">
      <c r="A75" s="252"/>
      <c r="C75" t="s">
        <v>3894</v>
      </c>
      <c r="L75" s="253"/>
    </row>
    <row r="76" spans="1:12" x14ac:dyDescent="0.35">
      <c r="A76" s="252"/>
      <c r="C76" t="s">
        <v>3895</v>
      </c>
      <c r="L76" s="253"/>
    </row>
    <row r="77" spans="1:12" x14ac:dyDescent="0.35">
      <c r="A77" s="252"/>
      <c r="C77" s="2736" t="s">
        <v>3979</v>
      </c>
      <c r="L77" s="253"/>
    </row>
    <row r="78" spans="1:12" ht="15" thickBot="1" x14ac:dyDescent="0.4">
      <c r="A78" s="251"/>
      <c r="B78" s="85"/>
      <c r="C78" s="2611" t="s">
        <v>3980</v>
      </c>
      <c r="D78" s="85"/>
      <c r="E78" s="85"/>
      <c r="F78" s="85"/>
      <c r="G78" s="85"/>
      <c r="H78" s="85"/>
      <c r="I78" s="85"/>
      <c r="J78" s="85"/>
      <c r="K78" s="85"/>
      <c r="L78" s="86"/>
    </row>
    <row r="79" spans="1:12" x14ac:dyDescent="0.35">
      <c r="A79" s="93" t="s">
        <v>1083</v>
      </c>
      <c r="B79" s="80">
        <v>10</v>
      </c>
      <c r="C79" s="80" t="s">
        <v>3981</v>
      </c>
      <c r="D79" s="80"/>
      <c r="E79" s="80"/>
      <c r="F79" s="80"/>
      <c r="G79" s="80"/>
      <c r="H79" s="80"/>
      <c r="I79" s="80"/>
      <c r="J79" s="80"/>
      <c r="K79" s="80"/>
      <c r="L79" s="81"/>
    </row>
    <row r="80" spans="1:12" ht="15" thickBot="1" x14ac:dyDescent="0.4">
      <c r="A80" s="88"/>
      <c r="B80" s="85"/>
      <c r="C80" s="85" t="s">
        <v>3976</v>
      </c>
      <c r="D80" s="85"/>
      <c r="E80" s="85"/>
      <c r="F80" s="85"/>
      <c r="G80" s="85"/>
      <c r="H80" s="85"/>
      <c r="I80" s="85"/>
      <c r="J80" s="85"/>
      <c r="K80" s="85"/>
      <c r="L80" s="86"/>
    </row>
    <row r="81" spans="1:13" x14ac:dyDescent="0.35">
      <c r="A81" s="93" t="s">
        <v>1040</v>
      </c>
      <c r="B81" s="80"/>
      <c r="C81" s="80"/>
      <c r="D81" s="80"/>
      <c r="E81" s="80"/>
      <c r="F81" s="80"/>
      <c r="G81" s="80"/>
      <c r="H81" s="80"/>
      <c r="I81" s="80"/>
      <c r="J81" s="80"/>
      <c r="K81" s="80"/>
      <c r="L81" s="81"/>
    </row>
    <row r="82" spans="1:13" x14ac:dyDescent="0.35">
      <c r="A82" s="254"/>
      <c r="L82" s="253"/>
    </row>
    <row r="83" spans="1:13" ht="15" thickBot="1" x14ac:dyDescent="0.4">
      <c r="A83" s="88"/>
      <c r="B83" s="85"/>
      <c r="C83" s="85"/>
      <c r="D83" s="85"/>
      <c r="E83" s="85"/>
      <c r="F83" s="85"/>
      <c r="G83" s="85"/>
      <c r="H83" s="85"/>
      <c r="I83" s="85"/>
      <c r="J83" s="85"/>
      <c r="K83" s="85"/>
      <c r="L83" s="86"/>
    </row>
    <row r="84" spans="1:13" ht="15" thickBot="1" x14ac:dyDescent="0.4"/>
    <row r="85" spans="1:13" ht="15" thickBot="1" x14ac:dyDescent="0.4">
      <c r="A85" s="97" t="s">
        <v>1129</v>
      </c>
      <c r="B85" s="98"/>
      <c r="C85" s="64"/>
      <c r="D85" s="64"/>
      <c r="E85" s="64"/>
      <c r="F85" s="64"/>
      <c r="G85" s="64"/>
      <c r="H85" s="64"/>
      <c r="I85" s="64"/>
      <c r="J85" s="64"/>
      <c r="K85" s="64"/>
      <c r="L85" s="64"/>
      <c r="M85" s="65"/>
    </row>
    <row r="86" spans="1:13" x14ac:dyDescent="0.35">
      <c r="A86" s="99"/>
      <c r="B86" s="69"/>
      <c r="C86" s="69"/>
      <c r="D86" s="69"/>
      <c r="E86" s="69"/>
      <c r="F86" s="112" t="s">
        <v>3982</v>
      </c>
      <c r="G86" s="69"/>
      <c r="H86" s="69"/>
      <c r="I86" s="69"/>
      <c r="J86" s="69"/>
      <c r="K86" s="69"/>
      <c r="L86" s="69"/>
      <c r="M86" s="100"/>
    </row>
    <row r="87" spans="1:13" ht="26" x14ac:dyDescent="0.35">
      <c r="A87" s="99"/>
      <c r="B87" s="56" t="s">
        <v>1937</v>
      </c>
      <c r="C87" s="56" t="s">
        <v>3899</v>
      </c>
      <c r="D87" s="56" t="s">
        <v>3900</v>
      </c>
      <c r="E87" s="69"/>
      <c r="F87" s="56" t="s">
        <v>1979</v>
      </c>
      <c r="G87" s="69"/>
      <c r="H87" s="69"/>
      <c r="I87" s="56" t="s">
        <v>3769</v>
      </c>
      <c r="J87" s="56" t="s">
        <v>3777</v>
      </c>
      <c r="K87" s="56" t="s">
        <v>3937</v>
      </c>
      <c r="L87" s="56" t="s">
        <v>1580</v>
      </c>
      <c r="M87" s="100"/>
    </row>
    <row r="88" spans="1:13" x14ac:dyDescent="0.35">
      <c r="A88" s="99"/>
      <c r="B88" s="101" t="s">
        <v>1566</v>
      </c>
      <c r="C88" s="102">
        <v>1</v>
      </c>
      <c r="D88" s="102">
        <v>0</v>
      </c>
      <c r="E88" s="69"/>
      <c r="F88" s="255">
        <v>2</v>
      </c>
      <c r="G88" s="69"/>
      <c r="H88" s="69"/>
      <c r="I88" s="101" t="s">
        <v>3330</v>
      </c>
      <c r="J88" s="49">
        <v>2.56</v>
      </c>
      <c r="K88" s="49">
        <v>1.79</v>
      </c>
      <c r="L88" s="49">
        <v>0.97</v>
      </c>
      <c r="M88" s="100"/>
    </row>
    <row r="89" spans="1:13" x14ac:dyDescent="0.35">
      <c r="A89" s="99"/>
      <c r="B89" s="101" t="s">
        <v>1529</v>
      </c>
      <c r="C89" s="102">
        <v>0</v>
      </c>
      <c r="D89" s="102">
        <v>1</v>
      </c>
      <c r="E89" s="69"/>
      <c r="F89" s="255">
        <v>1.75</v>
      </c>
      <c r="G89" s="69"/>
      <c r="H89" s="69"/>
      <c r="I89" s="101" t="s">
        <v>1864</v>
      </c>
      <c r="J89" s="49">
        <v>2.1</v>
      </c>
      <c r="K89" s="49">
        <v>1.3</v>
      </c>
      <c r="L89" s="49">
        <v>0.95</v>
      </c>
      <c r="M89" s="100"/>
    </row>
    <row r="90" spans="1:13" ht="39" x14ac:dyDescent="0.35">
      <c r="A90" s="99"/>
      <c r="B90" s="101" t="s">
        <v>1185</v>
      </c>
      <c r="C90" s="102">
        <v>0.16</v>
      </c>
      <c r="D90" s="102">
        <v>0.84</v>
      </c>
      <c r="E90" s="69"/>
      <c r="F90" s="255">
        <v>1.5</v>
      </c>
      <c r="G90" s="69"/>
      <c r="H90" s="69"/>
      <c r="I90" s="2173" t="s">
        <v>3903</v>
      </c>
      <c r="J90" s="1">
        <v>2.42</v>
      </c>
      <c r="K90" s="1">
        <v>1.64</v>
      </c>
      <c r="L90" s="1">
        <v>0.96</v>
      </c>
      <c r="M90" s="100"/>
    </row>
    <row r="91" spans="1:13" ht="26" x14ac:dyDescent="0.35">
      <c r="A91" s="99"/>
      <c r="B91" s="331"/>
      <c r="C91" s="1563"/>
      <c r="D91" s="1563"/>
      <c r="E91" s="69"/>
      <c r="F91" s="630"/>
      <c r="G91" s="69"/>
      <c r="H91" s="69"/>
      <c r="I91" s="2173" t="s">
        <v>105</v>
      </c>
      <c r="J91" s="2173" t="s">
        <v>3983</v>
      </c>
      <c r="K91" s="1" t="s">
        <v>1940</v>
      </c>
      <c r="L91" s="1"/>
      <c r="M91" s="100"/>
    </row>
    <row r="92" spans="1:13" ht="52" x14ac:dyDescent="0.35">
      <c r="A92" s="99"/>
      <c r="B92" s="69"/>
      <c r="C92" s="69"/>
      <c r="D92" s="69"/>
      <c r="E92" s="69"/>
      <c r="F92" s="69"/>
      <c r="G92" s="69"/>
      <c r="H92" s="69"/>
      <c r="I92" s="2173" t="s">
        <v>3984</v>
      </c>
      <c r="J92" s="2173"/>
      <c r="K92" s="1"/>
      <c r="L92" s="1">
        <v>0.62</v>
      </c>
      <c r="M92" s="100"/>
    </row>
    <row r="93" spans="1:13" ht="52" x14ac:dyDescent="0.35">
      <c r="A93" s="99"/>
      <c r="B93" s="69"/>
      <c r="C93" s="69"/>
      <c r="D93" s="69"/>
      <c r="E93" s="69"/>
      <c r="F93" s="69"/>
      <c r="G93" s="69"/>
      <c r="H93" s="69"/>
      <c r="I93" s="2173" t="s">
        <v>3985</v>
      </c>
      <c r="J93" s="2173"/>
      <c r="K93" s="1"/>
      <c r="L93" s="1">
        <v>0.67</v>
      </c>
      <c r="M93" s="100"/>
    </row>
    <row r="94" spans="1:13" ht="52" x14ac:dyDescent="0.35">
      <c r="A94" s="99"/>
      <c r="B94" s="56" t="s">
        <v>1876</v>
      </c>
      <c r="C94" s="56"/>
      <c r="D94" s="69"/>
      <c r="E94" s="69"/>
      <c r="F94" s="69"/>
      <c r="G94" s="69"/>
      <c r="H94" s="256"/>
      <c r="I94" s="2636" t="s">
        <v>3986</v>
      </c>
      <c r="J94" s="2636"/>
      <c r="K94" s="2649"/>
      <c r="L94" s="2746">
        <v>0.25</v>
      </c>
      <c r="M94" s="100"/>
    </row>
    <row r="95" spans="1:13" ht="91" x14ac:dyDescent="0.35">
      <c r="A95" s="99"/>
      <c r="B95" s="49" t="s">
        <v>3330</v>
      </c>
      <c r="C95" s="2649">
        <v>5.4000000000000003E-3</v>
      </c>
      <c r="D95" s="69"/>
      <c r="E95" s="69"/>
      <c r="F95" s="69"/>
      <c r="G95" s="69"/>
      <c r="H95" s="256"/>
      <c r="I95" s="2636" t="s">
        <v>3987</v>
      </c>
      <c r="J95" s="2649"/>
      <c r="K95" s="2649"/>
      <c r="L95" s="2649">
        <v>0.79500000000000004</v>
      </c>
      <c r="M95" s="100"/>
    </row>
    <row r="96" spans="1:13" ht="91" x14ac:dyDescent="0.35">
      <c r="A96" s="99"/>
      <c r="B96" s="49" t="s">
        <v>1864</v>
      </c>
      <c r="C96" s="2649">
        <v>6.3E-3</v>
      </c>
      <c r="D96" s="69"/>
      <c r="E96" s="69"/>
      <c r="F96" s="69"/>
      <c r="G96" s="69"/>
      <c r="H96" s="256"/>
      <c r="I96" s="2636" t="s">
        <v>3988</v>
      </c>
      <c r="J96" s="2649"/>
      <c r="K96" s="2649"/>
      <c r="L96" s="2649">
        <v>0.82</v>
      </c>
      <c r="M96" s="100"/>
    </row>
    <row r="97" spans="1:13" ht="91" x14ac:dyDescent="0.35">
      <c r="A97" s="99"/>
      <c r="B97" s="69"/>
      <c r="C97" s="69"/>
      <c r="D97" s="69"/>
      <c r="E97" s="69"/>
      <c r="F97" s="69"/>
      <c r="G97" s="69"/>
      <c r="H97" s="69"/>
      <c r="I97" s="2636" t="s">
        <v>3989</v>
      </c>
      <c r="J97" s="2649"/>
      <c r="K97" s="2649"/>
      <c r="L97" s="2649">
        <v>0.78500000000000003</v>
      </c>
      <c r="M97" s="100"/>
    </row>
    <row r="98" spans="1:13" ht="91" x14ac:dyDescent="0.35">
      <c r="A98" s="99"/>
      <c r="B98" s="69"/>
      <c r="C98" s="69"/>
      <c r="D98" s="69"/>
      <c r="E98" s="69"/>
      <c r="F98" s="69"/>
      <c r="G98" s="69"/>
      <c r="H98" s="69"/>
      <c r="I98" s="2636" t="s">
        <v>3990</v>
      </c>
      <c r="J98" s="2649"/>
      <c r="K98" s="2649"/>
      <c r="L98" s="2649">
        <v>0.81</v>
      </c>
      <c r="M98" s="100"/>
    </row>
    <row r="99" spans="1:13" ht="78" x14ac:dyDescent="0.35">
      <c r="A99" s="99"/>
      <c r="B99" s="69"/>
      <c r="C99" s="69"/>
      <c r="D99" s="69"/>
      <c r="E99" s="69"/>
      <c r="F99" s="69"/>
      <c r="G99" s="69"/>
      <c r="H99" s="69"/>
      <c r="I99" s="2636" t="s">
        <v>3991</v>
      </c>
      <c r="J99" s="2649"/>
      <c r="K99" s="2649"/>
      <c r="L99" s="2649">
        <v>0.56999999999999995</v>
      </c>
      <c r="M99" s="100"/>
    </row>
    <row r="100" spans="1:13" x14ac:dyDescent="0.35">
      <c r="A100" s="99"/>
      <c r="B100" s="56" t="s">
        <v>3992</v>
      </c>
      <c r="C100" s="56"/>
      <c r="D100" s="69"/>
      <c r="E100" s="69"/>
      <c r="F100" s="69"/>
      <c r="G100" s="69"/>
      <c r="H100" s="69"/>
      <c r="I100" s="69"/>
      <c r="J100" s="69"/>
      <c r="K100" s="69"/>
      <c r="L100" s="69"/>
      <c r="M100" s="100"/>
    </row>
    <row r="101" spans="1:13" x14ac:dyDescent="0.35">
      <c r="A101" s="99"/>
      <c r="B101" s="49"/>
      <c r="C101" s="49"/>
      <c r="D101" s="69"/>
      <c r="E101" s="69"/>
      <c r="F101" s="69"/>
      <c r="G101" s="69"/>
      <c r="H101" s="69"/>
      <c r="I101" s="69"/>
      <c r="J101" s="69"/>
      <c r="K101" s="69"/>
      <c r="L101" s="69"/>
      <c r="M101" s="100"/>
    </row>
    <row r="102" spans="1:13" x14ac:dyDescent="0.35">
      <c r="A102" s="99"/>
      <c r="B102" s="257"/>
      <c r="C102" s="49"/>
      <c r="D102" s="69"/>
      <c r="E102" s="69"/>
      <c r="F102" s="69"/>
      <c r="G102" s="69"/>
      <c r="H102" s="69"/>
      <c r="I102" s="69"/>
      <c r="J102" s="69"/>
      <c r="K102" s="69"/>
      <c r="L102" s="69"/>
      <c r="M102" s="100"/>
    </row>
    <row r="103" spans="1:13" x14ac:dyDescent="0.35">
      <c r="A103" s="99"/>
      <c r="B103" s="257"/>
      <c r="C103" s="49"/>
      <c r="D103" s="69"/>
      <c r="E103" s="69"/>
      <c r="F103" s="69"/>
      <c r="G103" s="69"/>
      <c r="H103" s="69"/>
      <c r="I103" s="69"/>
      <c r="J103" s="69"/>
      <c r="K103" s="69"/>
      <c r="L103" s="69"/>
      <c r="M103" s="100"/>
    </row>
    <row r="104" spans="1:13" x14ac:dyDescent="0.35">
      <c r="A104" s="99"/>
      <c r="B104" s="49"/>
      <c r="C104" s="49"/>
      <c r="D104" s="258"/>
      <c r="E104" s="69"/>
      <c r="F104" s="69"/>
      <c r="G104" s="69"/>
      <c r="H104" s="69"/>
      <c r="I104" s="69"/>
      <c r="J104" s="69"/>
      <c r="K104" s="69"/>
      <c r="L104" s="69"/>
      <c r="M104" s="100"/>
    </row>
    <row r="105" spans="1:13" x14ac:dyDescent="0.35">
      <c r="A105" s="99"/>
      <c r="B105" s="49"/>
      <c r="C105" s="49"/>
      <c r="D105" s="258"/>
      <c r="E105" s="69"/>
      <c r="F105" s="69"/>
      <c r="G105" s="69"/>
      <c r="H105" s="69"/>
      <c r="I105" s="69"/>
      <c r="J105" s="69"/>
      <c r="K105" s="69"/>
      <c r="L105" s="69"/>
      <c r="M105" s="100"/>
    </row>
    <row r="106" spans="1:13" x14ac:dyDescent="0.35">
      <c r="A106" s="99"/>
      <c r="B106" s="69"/>
      <c r="C106" s="69"/>
      <c r="D106" s="69"/>
      <c r="E106" s="69"/>
      <c r="F106" s="69"/>
      <c r="G106" s="69"/>
      <c r="H106" s="69"/>
      <c r="I106" s="69"/>
      <c r="J106" s="69"/>
      <c r="K106" s="69"/>
      <c r="L106" s="69"/>
      <c r="M106" s="100"/>
    </row>
    <row r="107" spans="1:13" x14ac:dyDescent="0.35">
      <c r="A107" s="99"/>
      <c r="B107" s="69"/>
      <c r="C107" s="69"/>
      <c r="D107" s="69"/>
      <c r="E107" s="69"/>
      <c r="F107" s="69"/>
      <c r="G107" s="69"/>
      <c r="H107" s="69"/>
      <c r="I107" s="69"/>
      <c r="J107" s="69"/>
      <c r="K107" s="69"/>
      <c r="L107" s="69"/>
      <c r="M107" s="100"/>
    </row>
    <row r="108" spans="1:13" x14ac:dyDescent="0.35">
      <c r="A108" s="99"/>
      <c r="B108" s="69"/>
      <c r="C108" s="69"/>
      <c r="D108" s="3169" t="s">
        <v>3993</v>
      </c>
      <c r="E108" s="3169"/>
      <c r="F108" s="69"/>
      <c r="G108" s="69"/>
      <c r="H108" s="69"/>
      <c r="I108" s="69"/>
      <c r="J108" s="69"/>
      <c r="K108" s="69"/>
      <c r="L108" s="69"/>
      <c r="M108" s="100"/>
    </row>
    <row r="109" spans="1:13" x14ac:dyDescent="0.35">
      <c r="A109" s="99"/>
      <c r="B109" s="56" t="s">
        <v>55</v>
      </c>
      <c r="C109" s="56" t="s">
        <v>1872</v>
      </c>
      <c r="D109" s="56" t="s">
        <v>2206</v>
      </c>
      <c r="E109" s="56" t="s">
        <v>114</v>
      </c>
      <c r="F109" s="259" t="s">
        <v>1082</v>
      </c>
      <c r="G109" s="69"/>
      <c r="H109" s="69"/>
      <c r="I109" s="69"/>
      <c r="J109" s="69"/>
      <c r="K109" s="69"/>
      <c r="L109" s="69"/>
      <c r="M109" s="100"/>
    </row>
    <row r="110" spans="1:13" x14ac:dyDescent="0.35">
      <c r="A110" s="99"/>
      <c r="B110" s="49" t="s">
        <v>1072</v>
      </c>
      <c r="C110" s="49">
        <v>2.35</v>
      </c>
      <c r="D110" s="2649">
        <v>267</v>
      </c>
      <c r="E110" s="2649">
        <v>219</v>
      </c>
      <c r="F110" s="49"/>
      <c r="G110" s="69"/>
      <c r="H110" s="69"/>
      <c r="I110" s="69"/>
      <c r="J110" s="69"/>
      <c r="K110" s="69"/>
      <c r="L110" s="69"/>
      <c r="M110" s="100"/>
    </row>
    <row r="111" spans="1:13" x14ac:dyDescent="0.35">
      <c r="A111" s="99"/>
      <c r="B111" s="49" t="s">
        <v>1632</v>
      </c>
      <c r="C111" s="49">
        <v>2.35</v>
      </c>
      <c r="D111" s="2649">
        <v>267</v>
      </c>
      <c r="E111" s="2649">
        <v>219</v>
      </c>
      <c r="F111" s="49"/>
      <c r="G111" s="69"/>
      <c r="H111" s="69"/>
      <c r="I111" s="69"/>
      <c r="J111" s="69"/>
      <c r="K111" s="69"/>
      <c r="L111" s="69"/>
      <c r="M111" s="100"/>
    </row>
    <row r="112" spans="1:13" x14ac:dyDescent="0.35">
      <c r="A112" s="99"/>
      <c r="B112" s="49" t="s">
        <v>2279</v>
      </c>
      <c r="C112" s="260">
        <v>2.35</v>
      </c>
      <c r="D112" s="2649">
        <v>267</v>
      </c>
      <c r="E112" s="2649">
        <v>219</v>
      </c>
      <c r="F112" s="49"/>
      <c r="G112" s="69"/>
      <c r="H112" s="69"/>
      <c r="I112" s="69"/>
      <c r="J112" s="69"/>
      <c r="K112" s="69"/>
      <c r="L112" s="69"/>
      <c r="M112" s="100"/>
    </row>
    <row r="113" spans="1:13" x14ac:dyDescent="0.35">
      <c r="A113" s="99"/>
      <c r="B113" s="49" t="s">
        <v>1583</v>
      </c>
      <c r="C113" s="49">
        <v>2.2400000000000002</v>
      </c>
      <c r="D113" s="2649">
        <v>273</v>
      </c>
      <c r="E113" s="2649">
        <v>224</v>
      </c>
      <c r="F113" s="49"/>
      <c r="G113" s="69"/>
      <c r="H113" s="69"/>
      <c r="I113" s="69"/>
      <c r="J113" s="69"/>
      <c r="K113" s="69"/>
      <c r="L113" s="69"/>
      <c r="M113" s="100"/>
    </row>
    <row r="114" spans="1:13" ht="116" x14ac:dyDescent="0.35">
      <c r="A114" s="99"/>
      <c r="B114" s="49" t="s">
        <v>3942</v>
      </c>
      <c r="C114" s="49">
        <v>2.2400000000000002</v>
      </c>
      <c r="D114" s="2649">
        <v>273</v>
      </c>
      <c r="E114" s="2649">
        <v>224</v>
      </c>
      <c r="F114" s="257" t="s">
        <v>3994</v>
      </c>
      <c r="G114" s="69"/>
      <c r="H114" s="69"/>
      <c r="I114" s="69"/>
      <c r="J114" s="69"/>
      <c r="K114" s="69"/>
      <c r="L114" s="69"/>
      <c r="M114" s="100"/>
    </row>
    <row r="115" spans="1:13" ht="15" thickBot="1" x14ac:dyDescent="0.4">
      <c r="A115" s="261"/>
      <c r="B115" s="161"/>
      <c r="C115" s="161"/>
      <c r="D115" s="161"/>
      <c r="E115" s="161"/>
      <c r="F115" s="161"/>
      <c r="G115" s="161"/>
      <c r="H115" s="161"/>
      <c r="I115" s="161"/>
      <c r="J115" s="161"/>
      <c r="K115" s="161"/>
      <c r="L115" s="161"/>
      <c r="M115" s="163"/>
    </row>
  </sheetData>
  <customSheetViews>
    <customSheetView guid="{ECD6FE6A-9548-414E-B8AA-6998703C57E0}" scale="85" showPageBreaks="1" fitToPage="1" view="pageBreakPreview">
      <pageMargins left="0" right="0" top="0" bottom="0" header="0" footer="0"/>
      <pageSetup scale="25" orientation="landscape" r:id="rId1"/>
    </customSheetView>
    <customSheetView guid="{11DE45F5-F478-4ED6-8DFF-12002C22A637}" scale="85" showPageBreaks="1" fitToPage="1" view="pageBreakPreview">
      <pageMargins left="0" right="0" top="0" bottom="0" header="0" footer="0"/>
      <pageSetup scale="25" orientation="landscape" r:id="rId2"/>
    </customSheetView>
  </customSheetViews>
  <mergeCells count="6">
    <mergeCell ref="D108:E108"/>
    <mergeCell ref="N2:Q2"/>
    <mergeCell ref="R2:U2"/>
    <mergeCell ref="V2:AI2"/>
    <mergeCell ref="Y27:Y28"/>
    <mergeCell ref="Y29:Y30"/>
  </mergeCells>
  <phoneticPr fontId="152" type="noConversion"/>
  <dataValidations count="8">
    <dataValidation type="list" allowBlank="1" showInputMessage="1" showErrorMessage="1" sqref="F4:F7 F22:F23" xr:uid="{00000000-0002-0000-2900-000000000000}">
      <formula1>$N$27:$N$34</formula1>
    </dataValidation>
    <dataValidation type="list" allowBlank="1" showInputMessage="1" showErrorMessage="1" sqref="F8:F21" xr:uid="{6A6DC515-442D-45D5-84A1-04BA9134EE29}">
      <formula1>$N$27:$N$32</formula1>
    </dataValidation>
    <dataValidation type="list" allowBlank="1" showInputMessage="1" showErrorMessage="1" sqref="L4:L23" xr:uid="{00000000-0002-0000-2900-000001000000}">
      <formula1>LFSh1</formula1>
    </dataValidation>
    <dataValidation type="list" allowBlank="1" showInputMessage="1" showErrorMessage="1" sqref="M4:M23" xr:uid="{00000000-0002-0000-2900-000002000000}">
      <formula1>LFSh2</formula1>
    </dataValidation>
    <dataValidation type="list" allowBlank="1" showInputMessage="1" showErrorMessage="1" sqref="E4:E23" xr:uid="{00000000-0002-0000-2900-000003000000}">
      <formula1>$L$27:$L$28</formula1>
    </dataValidation>
    <dataValidation type="list" allowBlank="1" showInputMessage="1" showErrorMessage="1" sqref="K4:K23" xr:uid="{00000000-0002-0000-2900-000004000000}">
      <formula1>$B$88:$B$91</formula1>
    </dataValidation>
    <dataValidation type="list" allowBlank="1" showInputMessage="1" showErrorMessage="1" sqref="D4:D23" xr:uid="{00000000-0002-0000-2900-000005000000}">
      <formula1>MeasureType</formula1>
    </dataValidation>
    <dataValidation type="list" allowBlank="1" showInputMessage="1" showErrorMessage="1" sqref="I4:I23" xr:uid="{00000000-0002-0000-2900-000006000000}">
      <formula1>$B$101:$B$105</formula1>
    </dataValidation>
  </dataValidations>
  <hyperlinks>
    <hyperlink ref="A1" location="'Measure-Level Adjustments'!Print_Titles" display="Measure Level Tab" xr:uid="{3D0362E1-9D74-4317-9B5C-3B7507BBA414}"/>
  </hyperlinks>
  <pageMargins left="0.7" right="0.7" top="0.75" bottom="0.75" header="0.3" footer="0.3"/>
  <pageSetup scale="19" orientation="landscape"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tint="0.59999389629810485"/>
    <pageSetUpPr fitToPage="1"/>
  </sheetPr>
  <dimension ref="A1:Y74"/>
  <sheetViews>
    <sheetView view="pageBreakPreview" topLeftCell="A13" zoomScale="85" zoomScaleNormal="100" zoomScaleSheetLayoutView="85" workbookViewId="0"/>
  </sheetViews>
  <sheetFormatPr defaultRowHeight="14.5" x14ac:dyDescent="0.35"/>
  <cols>
    <col min="1" max="1" width="22.1796875" customWidth="1"/>
    <col min="2" max="2" width="45.54296875" bestFit="1" customWidth="1"/>
    <col min="3" max="3" width="17" customWidth="1"/>
    <col min="4" max="4" width="16.26953125" customWidth="1"/>
    <col min="6" max="6" width="10.453125" customWidth="1"/>
    <col min="9" max="9" width="18.26953125" customWidth="1"/>
    <col min="17" max="17" width="11.1796875" bestFit="1" customWidth="1"/>
  </cols>
  <sheetData>
    <row r="1" spans="1:25" x14ac:dyDescent="0.35">
      <c r="A1" s="1799" t="s">
        <v>1031</v>
      </c>
    </row>
    <row r="2" spans="1:25" x14ac:dyDescent="0.35">
      <c r="A2" s="1428" t="s">
        <v>3995</v>
      </c>
      <c r="B2" s="1036" t="s">
        <v>3996</v>
      </c>
      <c r="C2" s="997"/>
      <c r="D2" s="997"/>
      <c r="E2" s="998"/>
      <c r="F2" s="998"/>
      <c r="G2" s="998"/>
      <c r="H2" s="998"/>
      <c r="I2" s="998"/>
      <c r="J2" s="998"/>
      <c r="K2" s="998"/>
      <c r="L2" s="998"/>
      <c r="M2" s="3013" t="s">
        <v>1032</v>
      </c>
      <c r="N2" s="3014"/>
      <c r="O2" s="3098"/>
      <c r="P2" s="3013" t="s">
        <v>1033</v>
      </c>
      <c r="Q2" s="3014"/>
      <c r="R2" s="3014"/>
      <c r="S2" s="2993" t="s">
        <v>1158</v>
      </c>
      <c r="T2" s="2993"/>
      <c r="U2" s="2993"/>
      <c r="V2" s="2993"/>
      <c r="W2" s="2993"/>
      <c r="X2" s="2993"/>
      <c r="Y2" s="2993"/>
    </row>
    <row r="3" spans="1:25" ht="29" x14ac:dyDescent="0.35">
      <c r="A3" s="969" t="s">
        <v>1035</v>
      </c>
      <c r="B3" s="953" t="s">
        <v>155</v>
      </c>
      <c r="C3" s="953" t="s">
        <v>1036</v>
      </c>
      <c r="D3" s="953" t="s">
        <v>1037</v>
      </c>
      <c r="E3" s="998" t="s">
        <v>1038</v>
      </c>
      <c r="F3" s="998" t="s">
        <v>1039</v>
      </c>
      <c r="G3" s="998" t="s">
        <v>1040</v>
      </c>
      <c r="H3" s="998" t="s">
        <v>1868</v>
      </c>
      <c r="I3" s="998" t="s">
        <v>1041</v>
      </c>
      <c r="J3" s="998" t="s">
        <v>3997</v>
      </c>
      <c r="K3" s="998" t="s">
        <v>3998</v>
      </c>
      <c r="L3" s="998" t="s">
        <v>1867</v>
      </c>
      <c r="M3" s="989" t="s">
        <v>1044</v>
      </c>
      <c r="N3" s="989" t="s">
        <v>1045</v>
      </c>
      <c r="O3" s="989" t="s">
        <v>1046</v>
      </c>
      <c r="P3" s="989" t="s">
        <v>1044</v>
      </c>
      <c r="Q3" s="989" t="s">
        <v>1045</v>
      </c>
      <c r="R3" s="988" t="s">
        <v>1046</v>
      </c>
      <c r="S3" s="1076" t="s">
        <v>3999</v>
      </c>
      <c r="T3" s="1076" t="s">
        <v>4000</v>
      </c>
      <c r="U3" s="1076" t="s">
        <v>1641</v>
      </c>
      <c r="V3" s="1076" t="s">
        <v>1179</v>
      </c>
      <c r="W3" s="1076" t="s">
        <v>4001</v>
      </c>
      <c r="X3" s="1076" t="s">
        <v>3019</v>
      </c>
      <c r="Y3" s="1076" t="s">
        <v>2698</v>
      </c>
    </row>
    <row r="4" spans="1:25" ht="26.5" x14ac:dyDescent="0.35">
      <c r="A4" s="955" t="s">
        <v>4002</v>
      </c>
      <c r="B4" s="955" t="str">
        <f>$B$2&amp;" "&amp;" "&amp;J4</f>
        <v>Water Heater Temperature Setback  Single Family</v>
      </c>
      <c r="C4" s="69" t="s">
        <v>4003</v>
      </c>
      <c r="D4" s="957" t="s">
        <v>1771</v>
      </c>
      <c r="E4" s="69" t="s">
        <v>1583</v>
      </c>
      <c r="F4" s="1000">
        <f>+$B$31</f>
        <v>2</v>
      </c>
      <c r="G4" s="1080"/>
      <c r="H4" s="1080"/>
      <c r="I4" s="1081" t="s">
        <v>4004</v>
      </c>
      <c r="J4" s="1082" t="s">
        <v>3318</v>
      </c>
      <c r="K4" s="1083">
        <v>50</v>
      </c>
      <c r="L4" s="69" t="s">
        <v>1529</v>
      </c>
      <c r="M4" s="1084"/>
      <c r="N4" s="1085"/>
      <c r="O4" s="1086">
        <f>((X4*Y4)*(S4-T4)*U4)/(100000*W4)</f>
        <v>3.4965719653846157</v>
      </c>
      <c r="P4" s="1084"/>
      <c r="Q4" s="1085"/>
      <c r="R4" s="1087">
        <f>O4*F4</f>
        <v>6.9931439307692314</v>
      </c>
      <c r="S4" s="1033">
        <f>+$B$49</f>
        <v>135</v>
      </c>
      <c r="T4" s="1033">
        <f>+$B$50</f>
        <v>120</v>
      </c>
      <c r="U4" s="1033">
        <f>+$B$21</f>
        <v>8766</v>
      </c>
      <c r="V4" s="1033">
        <f>+$B$29</f>
        <v>1</v>
      </c>
      <c r="W4" s="1033">
        <f>+VLOOKUP(J4,$A$59:$B$60,2,FALSE)</f>
        <v>0.78</v>
      </c>
      <c r="X4" s="1033">
        <f>+$B$25</f>
        <v>8.3000000000000004E-2</v>
      </c>
      <c r="Y4" s="1033">
        <f>VLOOKUP(K4,$A$64:$B$67,2,FALSE)</f>
        <v>24.99</v>
      </c>
    </row>
    <row r="5" spans="1:25" ht="26.5" x14ac:dyDescent="0.35">
      <c r="A5" s="955" t="s">
        <v>4005</v>
      </c>
      <c r="B5" s="955" t="str">
        <f>$B$2&amp;" "&amp;" "&amp;J5</f>
        <v>Water Heater Temperature Setback  Multi Family</v>
      </c>
      <c r="C5" s="69" t="s">
        <v>4006</v>
      </c>
      <c r="D5" s="957" t="s">
        <v>1771</v>
      </c>
      <c r="E5" s="69" t="s">
        <v>1583</v>
      </c>
      <c r="F5" s="1000">
        <f>+$B$31</f>
        <v>2</v>
      </c>
      <c r="G5" s="1080"/>
      <c r="H5" s="1080"/>
      <c r="I5" s="1081" t="s">
        <v>4004</v>
      </c>
      <c r="J5" s="1082" t="s">
        <v>3313</v>
      </c>
      <c r="K5" s="1083">
        <v>50</v>
      </c>
      <c r="L5" s="69" t="s">
        <v>1529</v>
      </c>
      <c r="M5" s="1084"/>
      <c r="N5" s="1085"/>
      <c r="O5" s="1086">
        <f>((X5*Y5)*(S5-T5)*U5)/(100000*W5)</f>
        <v>4.0706360194029854</v>
      </c>
      <c r="P5" s="1084"/>
      <c r="Q5" s="1085"/>
      <c r="R5" s="1087">
        <f>O5*F5</f>
        <v>8.1412720388059707</v>
      </c>
      <c r="S5" s="1033">
        <f>+$B$49</f>
        <v>135</v>
      </c>
      <c r="T5" s="1033">
        <f>+$B$50</f>
        <v>120</v>
      </c>
      <c r="U5" s="1033">
        <f>+$B$21</f>
        <v>8766</v>
      </c>
      <c r="V5" s="1033">
        <f>+$B$29</f>
        <v>1</v>
      </c>
      <c r="W5" s="1033">
        <f>+VLOOKUP(J5,$A$59:$B$60,2,FALSE)</f>
        <v>0.67</v>
      </c>
      <c r="X5" s="1033">
        <f>+$B$25</f>
        <v>8.3000000000000004E-2</v>
      </c>
      <c r="Y5" s="1033">
        <f>VLOOKUP(K5,$A$64:$B$67,2,FALSE)</f>
        <v>24.99</v>
      </c>
    </row>
    <row r="6" spans="1:25" ht="15" thickBot="1" x14ac:dyDescent="0.4"/>
    <row r="7" spans="1:25" ht="15" thickBot="1" x14ac:dyDescent="0.4">
      <c r="A7" s="62" t="s">
        <v>1188</v>
      </c>
      <c r="B7" s="64"/>
      <c r="C7" s="64"/>
      <c r="D7" s="65"/>
    </row>
    <row r="8" spans="1:25" x14ac:dyDescent="0.35">
      <c r="A8" s="272" t="s">
        <v>3727</v>
      </c>
      <c r="B8" s="69"/>
      <c r="C8" s="69"/>
      <c r="D8" s="70"/>
    </row>
    <row r="9" spans="1:25" x14ac:dyDescent="0.35">
      <c r="A9" s="67" t="s">
        <v>4007</v>
      </c>
      <c r="B9" s="69"/>
      <c r="C9" s="69"/>
      <c r="D9" s="70"/>
    </row>
    <row r="10" spans="1:25" x14ac:dyDescent="0.35">
      <c r="A10" s="67" t="s">
        <v>4008</v>
      </c>
      <c r="B10" s="69"/>
      <c r="C10" s="69"/>
      <c r="D10" s="70"/>
      <c r="M10" s="248"/>
    </row>
    <row r="11" spans="1:25" x14ac:dyDescent="0.35">
      <c r="A11" s="272" t="s">
        <v>3730</v>
      </c>
      <c r="B11" s="69"/>
      <c r="C11" s="69"/>
      <c r="D11" s="70"/>
    </row>
    <row r="12" spans="1:25" ht="15" thickBot="1" x14ac:dyDescent="0.4">
      <c r="A12" s="71" t="s">
        <v>4009</v>
      </c>
      <c r="B12" s="72"/>
      <c r="C12" s="72"/>
      <c r="D12" s="73" t="s">
        <v>1040</v>
      </c>
    </row>
    <row r="13" spans="1:25" ht="15" thickBot="1" x14ac:dyDescent="0.4">
      <c r="A13" s="154" t="s">
        <v>1078</v>
      </c>
      <c r="B13" s="1142">
        <f>'Measure-Level Adjustments'!A2</f>
        <v>44592</v>
      </c>
    </row>
    <row r="14" spans="1:25" ht="15" thickBot="1" x14ac:dyDescent="0.4">
      <c r="A14" s="154" t="s">
        <v>1079</v>
      </c>
      <c r="B14" s="577" t="s">
        <v>4010</v>
      </c>
    </row>
    <row r="15" spans="1:25" ht="15" thickBot="1" x14ac:dyDescent="0.4"/>
    <row r="16" spans="1:25" ht="15" thickBot="1" x14ac:dyDescent="0.4">
      <c r="A16" s="74" t="s">
        <v>1285</v>
      </c>
      <c r="B16" s="75" t="s">
        <v>1199</v>
      </c>
      <c r="C16" s="76" t="s">
        <v>1082</v>
      </c>
      <c r="D16" s="64"/>
      <c r="E16" s="64"/>
      <c r="F16" s="64"/>
      <c r="G16" s="64"/>
      <c r="H16" s="64"/>
      <c r="I16" s="64"/>
      <c r="J16" s="64"/>
      <c r="K16" s="64"/>
      <c r="L16" s="64"/>
      <c r="M16" s="64"/>
      <c r="N16" s="64"/>
      <c r="O16" s="65"/>
    </row>
    <row r="17" spans="1:15" x14ac:dyDescent="0.35">
      <c r="A17" s="93" t="s">
        <v>3999</v>
      </c>
      <c r="B17" s="80"/>
      <c r="C17" s="80" t="s">
        <v>4011</v>
      </c>
      <c r="D17" s="80"/>
      <c r="E17" s="80"/>
      <c r="F17" s="80"/>
      <c r="G17" s="80"/>
      <c r="H17" s="80"/>
      <c r="I17" s="80"/>
      <c r="J17" s="80"/>
      <c r="K17" s="80"/>
      <c r="L17" s="80"/>
      <c r="M17" s="80"/>
      <c r="N17" s="80"/>
      <c r="O17" s="81"/>
    </row>
    <row r="18" spans="1:15" ht="15" thickBot="1" x14ac:dyDescent="0.4">
      <c r="A18" s="88"/>
      <c r="B18" s="85"/>
      <c r="C18" s="85" t="s">
        <v>4012</v>
      </c>
      <c r="D18" s="85"/>
      <c r="E18" s="85"/>
      <c r="F18" s="85"/>
      <c r="G18" s="85"/>
      <c r="H18" s="85"/>
      <c r="I18" s="85"/>
      <c r="J18" s="85"/>
      <c r="K18" s="85"/>
      <c r="L18" s="85"/>
      <c r="M18" s="85"/>
      <c r="N18" s="85"/>
      <c r="O18" s="86"/>
    </row>
    <row r="19" spans="1:15" x14ac:dyDescent="0.35">
      <c r="A19" s="93" t="s">
        <v>4000</v>
      </c>
      <c r="B19" s="80"/>
      <c r="C19" s="80" t="s">
        <v>4013</v>
      </c>
      <c r="D19" s="80"/>
      <c r="E19" s="80"/>
      <c r="F19" s="80"/>
      <c r="G19" s="80"/>
      <c r="H19" s="80"/>
      <c r="I19" s="80"/>
      <c r="J19" s="80"/>
      <c r="K19" s="80"/>
      <c r="L19" s="80"/>
      <c r="M19" s="80"/>
      <c r="N19" s="80"/>
      <c r="O19" s="81"/>
    </row>
    <row r="20" spans="1:15" ht="15" thickBot="1" x14ac:dyDescent="0.4">
      <c r="A20" s="88"/>
      <c r="B20" s="85"/>
      <c r="C20" s="85" t="s">
        <v>4014</v>
      </c>
      <c r="D20" s="85"/>
      <c r="E20" s="85"/>
      <c r="F20" s="85"/>
      <c r="G20" s="85"/>
      <c r="H20" s="85"/>
      <c r="I20" s="85"/>
      <c r="J20" s="85"/>
      <c r="K20" s="85"/>
      <c r="L20" s="85"/>
      <c r="M20" s="85"/>
      <c r="N20" s="85"/>
      <c r="O20" s="86"/>
    </row>
    <row r="21" spans="1:15" x14ac:dyDescent="0.35">
      <c r="A21" s="93" t="s">
        <v>1641</v>
      </c>
      <c r="B21" s="80">
        <v>8766</v>
      </c>
      <c r="C21" s="80" t="s">
        <v>4015</v>
      </c>
      <c r="D21" s="80"/>
      <c r="E21" s="80"/>
      <c r="F21" s="80"/>
      <c r="G21" s="80"/>
      <c r="H21" s="80"/>
      <c r="I21" s="80"/>
      <c r="J21" s="80"/>
      <c r="K21" s="80"/>
      <c r="L21" s="80"/>
      <c r="M21" s="80"/>
      <c r="N21" s="80"/>
      <c r="O21" s="81"/>
    </row>
    <row r="22" spans="1:15" ht="15" thickBot="1" x14ac:dyDescent="0.4">
      <c r="A22" s="88"/>
      <c r="B22" s="85"/>
      <c r="C22" s="85" t="s">
        <v>2257</v>
      </c>
      <c r="D22" s="85"/>
      <c r="E22" s="85"/>
      <c r="F22" s="85"/>
      <c r="G22" s="85"/>
      <c r="H22" s="85"/>
      <c r="I22" s="85"/>
      <c r="J22" s="85"/>
      <c r="K22" s="85"/>
      <c r="L22" s="85"/>
      <c r="M22" s="85"/>
      <c r="N22" s="85"/>
      <c r="O22" s="86"/>
    </row>
    <row r="23" spans="1:15" x14ac:dyDescent="0.35">
      <c r="A23" s="93" t="s">
        <v>4001</v>
      </c>
      <c r="B23" s="80"/>
      <c r="C23" s="80" t="s">
        <v>4016</v>
      </c>
      <c r="D23" s="80"/>
      <c r="E23" s="80"/>
      <c r="F23" s="80"/>
      <c r="G23" s="80"/>
      <c r="H23" s="80"/>
      <c r="I23" s="80"/>
      <c r="J23" s="80"/>
      <c r="K23" s="80"/>
      <c r="L23" s="80"/>
      <c r="M23" s="80"/>
      <c r="N23" s="80"/>
      <c r="O23" s="81"/>
    </row>
    <row r="24" spans="1:15" ht="15" thickBot="1" x14ac:dyDescent="0.4">
      <c r="A24" s="88"/>
      <c r="B24" s="85"/>
      <c r="C24" s="85" t="s">
        <v>4017</v>
      </c>
      <c r="D24" s="85"/>
      <c r="E24" s="85"/>
      <c r="F24" s="85"/>
      <c r="G24" s="85"/>
      <c r="H24" s="85"/>
      <c r="I24" s="85"/>
      <c r="J24" s="85"/>
      <c r="K24" s="85"/>
      <c r="L24" s="85"/>
      <c r="M24" s="85"/>
      <c r="N24" s="85"/>
      <c r="O24" s="86"/>
    </row>
    <row r="25" spans="1:15" x14ac:dyDescent="0.35">
      <c r="A25" s="93" t="s">
        <v>3019</v>
      </c>
      <c r="B25" s="80">
        <v>8.3000000000000004E-2</v>
      </c>
      <c r="C25" s="80" t="s">
        <v>4018</v>
      </c>
      <c r="D25" s="80"/>
      <c r="E25" s="80"/>
      <c r="F25" s="80"/>
      <c r="G25" s="80"/>
      <c r="H25" s="80"/>
      <c r="I25" s="80"/>
      <c r="J25" s="80"/>
      <c r="K25" s="80"/>
      <c r="L25" s="80"/>
      <c r="M25" s="80"/>
      <c r="N25" s="80"/>
      <c r="O25" s="81"/>
    </row>
    <row r="26" spans="1:15" ht="15" thickBot="1" x14ac:dyDescent="0.4">
      <c r="A26" s="88"/>
      <c r="B26" s="85"/>
      <c r="C26" s="85" t="s">
        <v>4019</v>
      </c>
      <c r="D26" s="85"/>
      <c r="E26" s="85"/>
      <c r="F26" s="85"/>
      <c r="G26" s="85"/>
      <c r="H26" s="85"/>
      <c r="I26" s="85"/>
      <c r="J26" s="85"/>
      <c r="K26" s="85"/>
      <c r="L26" s="85"/>
      <c r="M26" s="85"/>
      <c r="N26" s="85"/>
      <c r="O26" s="86"/>
    </row>
    <row r="27" spans="1:15" x14ac:dyDescent="0.35">
      <c r="A27" s="93" t="s">
        <v>2698</v>
      </c>
      <c r="B27" s="80"/>
      <c r="C27" s="80" t="s">
        <v>4020</v>
      </c>
      <c r="D27" s="80"/>
      <c r="E27" s="80"/>
      <c r="F27" s="80"/>
      <c r="G27" s="80"/>
      <c r="H27" s="80"/>
      <c r="I27" s="80"/>
      <c r="J27" s="80"/>
      <c r="K27" s="80"/>
      <c r="L27" s="80"/>
      <c r="M27" s="80"/>
      <c r="N27" s="80"/>
      <c r="O27" s="81"/>
    </row>
    <row r="28" spans="1:15" ht="15" thickBot="1" x14ac:dyDescent="0.4">
      <c r="A28" s="88"/>
      <c r="B28" s="85"/>
      <c r="C28" s="85" t="s">
        <v>4021</v>
      </c>
      <c r="D28" s="85"/>
      <c r="E28" s="85"/>
      <c r="F28" s="85"/>
      <c r="G28" s="85"/>
      <c r="H28" s="85"/>
      <c r="I28" s="85"/>
      <c r="J28" s="85"/>
      <c r="K28" s="85"/>
      <c r="L28" s="85"/>
      <c r="M28" s="85"/>
      <c r="N28" s="85"/>
      <c r="O28" s="86"/>
    </row>
    <row r="29" spans="1:15" x14ac:dyDescent="0.35">
      <c r="A29" s="93" t="s">
        <v>1179</v>
      </c>
      <c r="B29" s="80">
        <v>1</v>
      </c>
      <c r="C29" s="80" t="s">
        <v>4022</v>
      </c>
      <c r="D29" s="80"/>
      <c r="E29" s="80"/>
      <c r="F29" s="80"/>
      <c r="G29" s="80"/>
      <c r="H29" s="80"/>
      <c r="I29" s="80"/>
      <c r="J29" s="80"/>
      <c r="K29" s="80"/>
      <c r="L29" s="80"/>
      <c r="M29" s="80"/>
      <c r="N29" s="80"/>
      <c r="O29" s="81"/>
    </row>
    <row r="30" spans="1:15" ht="15" thickBot="1" x14ac:dyDescent="0.4">
      <c r="A30" s="88"/>
      <c r="B30" s="85"/>
      <c r="C30" s="85" t="s">
        <v>1935</v>
      </c>
      <c r="D30" s="85"/>
      <c r="E30" s="85"/>
      <c r="F30" s="85"/>
      <c r="G30" s="85"/>
      <c r="H30" s="85"/>
      <c r="I30" s="85"/>
      <c r="J30" s="85"/>
      <c r="K30" s="85"/>
      <c r="L30" s="85"/>
      <c r="M30" s="85"/>
      <c r="N30" s="85"/>
      <c r="O30" s="86"/>
    </row>
    <row r="31" spans="1:15" x14ac:dyDescent="0.35">
      <c r="A31" s="93" t="s">
        <v>1083</v>
      </c>
      <c r="B31" s="80">
        <v>2</v>
      </c>
      <c r="C31" s="80" t="s">
        <v>4023</v>
      </c>
      <c r="D31" s="80"/>
      <c r="E31" s="80"/>
      <c r="F31" s="80"/>
      <c r="G31" s="80"/>
      <c r="H31" s="80"/>
      <c r="I31" s="80"/>
      <c r="J31" s="80"/>
      <c r="K31" s="80"/>
      <c r="L31" s="80"/>
      <c r="M31" s="80"/>
      <c r="N31" s="80"/>
      <c r="O31" s="81"/>
    </row>
    <row r="32" spans="1:15" ht="15" thickBot="1" x14ac:dyDescent="0.4">
      <c r="A32" s="88"/>
      <c r="B32" s="85"/>
      <c r="C32" s="85" t="s">
        <v>2257</v>
      </c>
      <c r="D32" s="85"/>
      <c r="E32" s="85"/>
      <c r="F32" s="85"/>
      <c r="G32" s="85"/>
      <c r="H32" s="85"/>
      <c r="I32" s="85"/>
      <c r="J32" s="85"/>
      <c r="K32" s="85"/>
      <c r="L32" s="85"/>
      <c r="M32" s="85"/>
      <c r="N32" s="85"/>
      <c r="O32" s="86"/>
    </row>
    <row r="33" spans="1:15" x14ac:dyDescent="0.35">
      <c r="A33" s="93" t="s">
        <v>1040</v>
      </c>
      <c r="B33" s="80"/>
      <c r="C33" s="80"/>
      <c r="D33" s="80"/>
      <c r="E33" s="80"/>
      <c r="F33" s="80"/>
      <c r="G33" s="80"/>
      <c r="H33" s="80"/>
      <c r="I33" s="80"/>
      <c r="J33" s="80"/>
      <c r="K33" s="80"/>
      <c r="L33" s="80"/>
      <c r="M33" s="80"/>
      <c r="N33" s="80"/>
      <c r="O33" s="81"/>
    </row>
    <row r="34" spans="1:15" ht="15" thickBot="1" x14ac:dyDescent="0.4">
      <c r="A34" s="88"/>
      <c r="B34" s="85"/>
      <c r="C34" s="85"/>
      <c r="D34" s="85"/>
      <c r="E34" s="85"/>
      <c r="F34" s="85"/>
      <c r="G34" s="85"/>
      <c r="H34" s="85"/>
      <c r="I34" s="85"/>
      <c r="J34" s="85"/>
      <c r="K34" s="85"/>
      <c r="L34" s="85"/>
      <c r="M34" s="85"/>
      <c r="N34" s="85"/>
      <c r="O34" s="86"/>
    </row>
    <row r="38" spans="1:15" ht="15" thickBot="1" x14ac:dyDescent="0.4"/>
    <row r="39" spans="1:15" ht="15" thickBot="1" x14ac:dyDescent="0.4">
      <c r="A39" s="97" t="s">
        <v>1129</v>
      </c>
      <c r="B39" s="98"/>
      <c r="C39" s="64"/>
      <c r="D39" s="64"/>
      <c r="E39" s="64"/>
      <c r="F39" s="65"/>
    </row>
    <row r="40" spans="1:15" x14ac:dyDescent="0.35">
      <c r="A40" s="99"/>
      <c r="B40" s="69"/>
      <c r="C40" s="69"/>
      <c r="D40" s="69"/>
      <c r="E40" s="69"/>
      <c r="F40" s="100"/>
    </row>
    <row r="41" spans="1:15" ht="15" thickBot="1" x14ac:dyDescent="0.4">
      <c r="A41" s="99"/>
      <c r="B41" s="69"/>
      <c r="C41" s="69"/>
      <c r="D41" s="69"/>
      <c r="E41" s="69"/>
      <c r="F41" s="100"/>
    </row>
    <row r="42" spans="1:15" ht="15" thickBot="1" x14ac:dyDescent="0.4">
      <c r="A42" s="3175" t="s">
        <v>1040</v>
      </c>
      <c r="B42" s="3341"/>
      <c r="C42" s="69"/>
      <c r="D42" s="69"/>
      <c r="E42" s="69"/>
      <c r="F42" s="100"/>
    </row>
    <row r="43" spans="1:15" x14ac:dyDescent="0.35">
      <c r="A43" s="788"/>
      <c r="B43" s="701"/>
      <c r="C43" s="69"/>
      <c r="D43" s="69"/>
      <c r="E43" s="69"/>
      <c r="F43" s="100"/>
    </row>
    <row r="44" spans="1:15" x14ac:dyDescent="0.35">
      <c r="A44" s="290"/>
      <c r="B44" s="768"/>
      <c r="C44" s="69"/>
      <c r="D44" s="69"/>
      <c r="E44" s="69"/>
      <c r="F44" s="100"/>
    </row>
    <row r="45" spans="1:15" x14ac:dyDescent="0.35">
      <c r="A45" s="99"/>
      <c r="B45" s="69"/>
      <c r="C45" s="69"/>
      <c r="D45" s="69"/>
      <c r="E45" s="69"/>
      <c r="F45" s="100"/>
    </row>
    <row r="46" spans="1:15" x14ac:dyDescent="0.35">
      <c r="A46" s="99"/>
      <c r="B46" s="69"/>
      <c r="C46" s="69"/>
      <c r="D46" s="69"/>
      <c r="E46" s="69"/>
      <c r="F46" s="100"/>
    </row>
    <row r="47" spans="1:15" x14ac:dyDescent="0.35">
      <c r="A47" s="99"/>
      <c r="B47" s="69"/>
      <c r="C47" s="69"/>
      <c r="D47" s="69"/>
      <c r="E47" s="69"/>
      <c r="F47" s="100"/>
    </row>
    <row r="48" spans="1:15" ht="26.25" customHeight="1" x14ac:dyDescent="0.35">
      <c r="A48" s="3159" t="s">
        <v>4024</v>
      </c>
      <c r="B48" s="3169"/>
      <c r="C48" s="69"/>
      <c r="D48" s="69"/>
      <c r="E48" s="69"/>
      <c r="F48" s="100"/>
    </row>
    <row r="49" spans="1:6" x14ac:dyDescent="0.35">
      <c r="A49" s="290" t="s">
        <v>3999</v>
      </c>
      <c r="B49" s="49">
        <v>135</v>
      </c>
      <c r="C49" s="69"/>
      <c r="D49" s="69"/>
      <c r="E49" s="69"/>
      <c r="F49" s="100"/>
    </row>
    <row r="50" spans="1:6" x14ac:dyDescent="0.35">
      <c r="A50" s="290" t="s">
        <v>4000</v>
      </c>
      <c r="B50" s="49">
        <v>120</v>
      </c>
      <c r="C50" s="69"/>
      <c r="D50" s="69"/>
      <c r="E50" s="69"/>
      <c r="F50" s="100"/>
    </row>
    <row r="51" spans="1:6" x14ac:dyDescent="0.35">
      <c r="A51" s="99"/>
      <c r="B51" s="69"/>
      <c r="C51" s="69"/>
      <c r="D51" s="69"/>
      <c r="E51" s="69"/>
      <c r="F51" s="100"/>
    </row>
    <row r="52" spans="1:6" x14ac:dyDescent="0.35">
      <c r="A52" s="1077" t="s">
        <v>3309</v>
      </c>
      <c r="B52" s="1078"/>
      <c r="C52" s="69"/>
      <c r="D52" s="69"/>
      <c r="E52" s="69"/>
      <c r="F52" s="100"/>
    </row>
    <row r="53" spans="1:6" x14ac:dyDescent="0.35">
      <c r="A53" s="290" t="s">
        <v>1566</v>
      </c>
      <c r="B53" s="49"/>
      <c r="C53" s="69"/>
      <c r="D53" s="69"/>
      <c r="E53" s="69"/>
      <c r="F53" s="100"/>
    </row>
    <row r="54" spans="1:6" x14ac:dyDescent="0.35">
      <c r="A54" s="290" t="s">
        <v>1529</v>
      </c>
      <c r="B54" s="49"/>
      <c r="C54" s="69"/>
      <c r="D54" s="945" t="s">
        <v>4025</v>
      </c>
      <c r="E54" s="945" t="s">
        <v>1580</v>
      </c>
      <c r="F54" s="100"/>
    </row>
    <row r="55" spans="1:6" ht="87" x14ac:dyDescent="0.35">
      <c r="A55" s="99"/>
      <c r="B55" s="69"/>
      <c r="C55" s="69"/>
      <c r="D55" s="300" t="s">
        <v>4026</v>
      </c>
      <c r="E55" s="300" t="s">
        <v>4027</v>
      </c>
      <c r="F55" s="100"/>
    </row>
    <row r="56" spans="1:6" x14ac:dyDescent="0.35">
      <c r="A56" s="99"/>
      <c r="B56" s="69"/>
      <c r="C56" s="69"/>
      <c r="D56" s="1249" t="s">
        <v>3765</v>
      </c>
      <c r="E56" s="1249">
        <v>1</v>
      </c>
      <c r="F56" s="100"/>
    </row>
    <row r="57" spans="1:6" ht="43.5" x14ac:dyDescent="0.35">
      <c r="A57" s="99"/>
      <c r="B57" s="69"/>
      <c r="C57" s="69"/>
      <c r="D57" s="1699" t="s">
        <v>4028</v>
      </c>
      <c r="E57" s="1700">
        <v>0.13</v>
      </c>
      <c r="F57" s="100"/>
    </row>
    <row r="58" spans="1:6" x14ac:dyDescent="0.35">
      <c r="A58" s="3159" t="s">
        <v>4029</v>
      </c>
      <c r="B58" s="3169"/>
      <c r="C58" s="69"/>
      <c r="D58" s="69"/>
      <c r="E58" s="69"/>
      <c r="F58" s="100"/>
    </row>
    <row r="59" spans="1:6" x14ac:dyDescent="0.35">
      <c r="A59" s="290" t="s">
        <v>3318</v>
      </c>
      <c r="B59" s="291">
        <v>0.78</v>
      </c>
      <c r="C59" s="69"/>
      <c r="D59" s="69"/>
      <c r="E59" s="69"/>
      <c r="F59" s="100"/>
    </row>
    <row r="60" spans="1:6" x14ac:dyDescent="0.35">
      <c r="A60" s="290" t="s">
        <v>3313</v>
      </c>
      <c r="B60" s="291">
        <v>0.67</v>
      </c>
      <c r="C60" s="69"/>
      <c r="D60" s="69"/>
      <c r="E60" s="69"/>
      <c r="F60" s="100"/>
    </row>
    <row r="61" spans="1:6" ht="15" thickBot="1" x14ac:dyDescent="0.4">
      <c r="A61" s="99"/>
      <c r="B61" s="69"/>
      <c r="C61" s="69"/>
      <c r="D61" s="69"/>
      <c r="E61" s="69"/>
      <c r="F61" s="100"/>
    </row>
    <row r="62" spans="1:6" ht="15" thickBot="1" x14ac:dyDescent="0.4">
      <c r="A62" s="3175" t="s">
        <v>4030</v>
      </c>
      <c r="B62" s="3341"/>
      <c r="C62" s="69"/>
      <c r="D62" s="69"/>
      <c r="E62" s="69"/>
      <c r="F62" s="100"/>
    </row>
    <row r="63" spans="1:6" ht="15" thickBot="1" x14ac:dyDescent="0.4">
      <c r="A63" s="368" t="s">
        <v>4031</v>
      </c>
      <c r="B63" s="1079" t="s">
        <v>4032</v>
      </c>
      <c r="C63" s="69"/>
      <c r="D63" s="69"/>
      <c r="E63" s="69"/>
      <c r="F63" s="100"/>
    </row>
    <row r="64" spans="1:6" ht="15" thickBot="1" x14ac:dyDescent="0.4">
      <c r="A64" s="373">
        <v>30</v>
      </c>
      <c r="B64" s="371">
        <v>19.16</v>
      </c>
      <c r="C64" s="69"/>
      <c r="D64" s="69"/>
      <c r="E64" s="69"/>
      <c r="F64" s="100"/>
    </row>
    <row r="65" spans="1:6" ht="15" thickBot="1" x14ac:dyDescent="0.4">
      <c r="A65" s="373">
        <v>40</v>
      </c>
      <c r="B65" s="371">
        <v>23.18</v>
      </c>
      <c r="C65" s="69"/>
      <c r="D65" s="69"/>
      <c r="E65" s="69"/>
      <c r="F65" s="100"/>
    </row>
    <row r="66" spans="1:6" ht="15" thickBot="1" x14ac:dyDescent="0.4">
      <c r="A66" s="373">
        <v>50</v>
      </c>
      <c r="B66" s="371">
        <v>24.99</v>
      </c>
      <c r="C66" s="69"/>
      <c r="D66" s="69"/>
      <c r="E66" s="69"/>
      <c r="F66" s="100"/>
    </row>
    <row r="67" spans="1:6" ht="15" thickBot="1" x14ac:dyDescent="0.4">
      <c r="A67" s="373">
        <v>80</v>
      </c>
      <c r="B67" s="371">
        <v>31.84</v>
      </c>
      <c r="C67" s="69"/>
      <c r="D67" s="69"/>
      <c r="E67" s="69"/>
      <c r="F67" s="100"/>
    </row>
    <row r="68" spans="1:6" x14ac:dyDescent="0.35">
      <c r="A68" s="99"/>
      <c r="B68" s="69"/>
      <c r="C68" s="69"/>
      <c r="D68" s="69"/>
      <c r="E68" s="69"/>
      <c r="F68" s="100"/>
    </row>
    <row r="69" spans="1:6" x14ac:dyDescent="0.35">
      <c r="A69" s="3159" t="s">
        <v>1038</v>
      </c>
      <c r="B69" s="3169"/>
      <c r="C69" s="69"/>
      <c r="D69" s="69"/>
      <c r="E69" s="69"/>
      <c r="F69" s="100"/>
    </row>
    <row r="70" spans="1:6" x14ac:dyDescent="0.35">
      <c r="A70" s="290" t="s">
        <v>2279</v>
      </c>
      <c r="B70" s="49" t="s">
        <v>2280</v>
      </c>
      <c r="C70" s="69"/>
      <c r="D70" s="69"/>
      <c r="E70" s="69"/>
      <c r="F70" s="100"/>
    </row>
    <row r="71" spans="1:6" x14ac:dyDescent="0.35">
      <c r="A71" s="290" t="s">
        <v>1632</v>
      </c>
      <c r="B71" s="49" t="s">
        <v>2456</v>
      </c>
      <c r="C71" s="69"/>
      <c r="D71" s="69"/>
      <c r="E71" s="69"/>
      <c r="F71" s="100"/>
    </row>
    <row r="72" spans="1:6" x14ac:dyDescent="0.35">
      <c r="A72" s="290" t="s">
        <v>1583</v>
      </c>
      <c r="B72" s="49" t="s">
        <v>4033</v>
      </c>
      <c r="C72" s="69"/>
      <c r="D72" s="69"/>
      <c r="E72" s="69"/>
      <c r="F72" s="100"/>
    </row>
    <row r="73" spans="1:6" x14ac:dyDescent="0.35">
      <c r="A73" s="99"/>
      <c r="B73" s="69"/>
      <c r="C73" s="69"/>
      <c r="D73" s="69"/>
      <c r="E73" s="69"/>
      <c r="F73" s="100"/>
    </row>
    <row r="74" spans="1:6" ht="15" thickBot="1" x14ac:dyDescent="0.4">
      <c r="A74" s="261"/>
      <c r="B74" s="161"/>
      <c r="C74" s="161"/>
      <c r="D74" s="161"/>
      <c r="E74" s="161"/>
      <c r="F74" s="163"/>
    </row>
  </sheetData>
  <customSheetViews>
    <customSheetView guid="{ECD6FE6A-9548-414E-B8AA-6998703C57E0}" scale="85" showPageBreaks="1" fitToPage="1" view="pageBreakPreview">
      <selection activeCell="B14" sqref="B14"/>
      <pageMargins left="0" right="0" top="0" bottom="0" header="0" footer="0"/>
      <pageSetup scale="40" orientation="landscape" r:id="rId1"/>
    </customSheetView>
    <customSheetView guid="{11DE45F5-F478-4ED6-8DFF-12002C22A637}" scale="85" showPageBreaks="1" fitToPage="1" view="pageBreakPreview">
      <selection activeCell="B14" sqref="B14"/>
      <pageMargins left="0" right="0" top="0" bottom="0" header="0" footer="0"/>
      <pageSetup scale="40" orientation="landscape" r:id="rId2"/>
    </customSheetView>
  </customSheetViews>
  <mergeCells count="8">
    <mergeCell ref="A69:B69"/>
    <mergeCell ref="M2:O2"/>
    <mergeCell ref="P2:R2"/>
    <mergeCell ref="S2:Y2"/>
    <mergeCell ref="A42:B42"/>
    <mergeCell ref="A48:B48"/>
    <mergeCell ref="A58:B58"/>
    <mergeCell ref="A62:B62"/>
  </mergeCells>
  <dataValidations count="6">
    <dataValidation type="list" allowBlank="1" showInputMessage="1" showErrorMessage="1" sqref="E4:E5" xr:uid="{00000000-0002-0000-2A00-000000000000}">
      <formula1>$A$70:$A$72</formula1>
    </dataValidation>
    <dataValidation type="list" allowBlank="1" showInputMessage="1" showErrorMessage="1" sqref="H4:H5" xr:uid="{00000000-0002-0000-2A00-000001000000}">
      <formula1>$A$43:$A$44</formula1>
    </dataValidation>
    <dataValidation type="list" allowBlank="1" showInputMessage="1" showErrorMessage="1" sqref="D4:D5" xr:uid="{00000000-0002-0000-2A00-000002000000}">
      <formula1>MeasureType</formula1>
    </dataValidation>
    <dataValidation type="list" allowBlank="1" showInputMessage="1" showErrorMessage="1" sqref="K4:K5" xr:uid="{00000000-0002-0000-2A00-000003000000}">
      <formula1>$A$64:$A$67</formula1>
    </dataValidation>
    <dataValidation type="list" allowBlank="1" showInputMessage="1" showErrorMessage="1" sqref="J4:J5" xr:uid="{00000000-0002-0000-2A00-000004000000}">
      <formula1>$A$59:$A$60</formula1>
    </dataValidation>
    <dataValidation type="list" allowBlank="1" showInputMessage="1" showErrorMessage="1" sqref="L4:L5" xr:uid="{00000000-0002-0000-2A00-000005000000}">
      <formula1>Fuel2</formula1>
    </dataValidation>
  </dataValidations>
  <hyperlinks>
    <hyperlink ref="A1" location="'Measure-Level Adjustments'!Print_Titles" display="Measure Level Tab" xr:uid="{971A84BD-82B8-4E71-99F7-39150CEFBED0}"/>
  </hyperlinks>
  <pageMargins left="0.7" right="0.7" top="0.75" bottom="0.75" header="0.3" footer="0.3"/>
  <pageSetup scale="40" orientation="landscape" r:id="rId3"/>
  <legacyDrawing r:id="rId4"/>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CB5CE-5911-4287-ABF9-40B02E21DF70}">
  <sheetPr>
    <tabColor rgb="FF00B050"/>
    <pageSetUpPr fitToPage="1"/>
  </sheetPr>
  <dimension ref="A1:AY94"/>
  <sheetViews>
    <sheetView zoomScale="90" zoomScaleNormal="90" workbookViewId="0">
      <pane xSplit="1" ySplit="3" topLeftCell="B26" activePane="bottomRight" state="frozen"/>
      <selection pane="topRight" activeCell="B1" sqref="B1"/>
      <selection pane="bottomLeft" activeCell="A4" sqref="A4"/>
      <selection pane="bottomRight" activeCell="B41" sqref="B41"/>
    </sheetView>
  </sheetViews>
  <sheetFormatPr defaultRowHeight="14.5" x14ac:dyDescent="0.35"/>
  <cols>
    <col min="1" max="1" width="11.453125" customWidth="1"/>
    <col min="2" max="2" width="26.26953125" customWidth="1"/>
    <col min="3" max="3" width="37.1796875" customWidth="1"/>
    <col min="6" max="6" width="14" customWidth="1"/>
    <col min="7" max="7" width="11.1796875" bestFit="1" customWidth="1"/>
    <col min="9" max="9" width="16.1796875" customWidth="1"/>
    <col min="11" max="11" width="14.26953125" customWidth="1"/>
    <col min="13" max="13" width="23.1796875" customWidth="1"/>
    <col min="14" max="14" width="16.1796875" bestFit="1" customWidth="1"/>
    <col min="15" max="15" width="17" bestFit="1" customWidth="1"/>
    <col min="16" max="16" width="11.81640625" customWidth="1"/>
    <col min="17" max="17" width="12.7265625" customWidth="1"/>
    <col min="18" max="18" width="11.81640625" customWidth="1"/>
    <col min="19" max="19" width="10" bestFit="1" customWidth="1"/>
    <col min="20" max="20" width="10.81640625" customWidth="1"/>
    <col min="21" max="21" width="12.453125" bestFit="1" customWidth="1"/>
    <col min="28" max="28" width="12.453125" customWidth="1"/>
  </cols>
  <sheetData>
    <row r="1" spans="1:38" x14ac:dyDescent="0.35">
      <c r="A1" s="1799" t="s">
        <v>1031</v>
      </c>
    </row>
    <row r="2" spans="1:38" x14ac:dyDescent="0.35">
      <c r="A2" s="2060"/>
      <c r="B2" s="2112" t="s">
        <v>4034</v>
      </c>
      <c r="C2" s="2112"/>
      <c r="D2" s="2112"/>
      <c r="E2" s="2060"/>
      <c r="F2" s="2060"/>
      <c r="G2" s="2060"/>
      <c r="H2" s="2060"/>
      <c r="I2" s="2060"/>
      <c r="J2" s="2060"/>
      <c r="K2" s="2113"/>
      <c r="L2" s="2113"/>
      <c r="M2" s="2113"/>
      <c r="N2" s="3147" t="s">
        <v>1032</v>
      </c>
      <c r="O2" s="3148"/>
      <c r="P2" s="3148"/>
      <c r="Q2" s="3148"/>
      <c r="R2" s="3342" t="s">
        <v>1033</v>
      </c>
      <c r="S2" s="3342"/>
      <c r="T2" s="3342"/>
      <c r="U2" s="3342"/>
      <c r="V2" s="2993" t="s">
        <v>1158</v>
      </c>
      <c r="W2" s="2993"/>
      <c r="X2" s="2993"/>
      <c r="Y2" s="2993"/>
      <c r="Z2" s="2993"/>
      <c r="AA2" s="2993"/>
      <c r="AB2" s="2993"/>
      <c r="AC2" s="2993"/>
      <c r="AD2" s="2993"/>
      <c r="AE2" s="2993"/>
      <c r="AF2" s="2993"/>
      <c r="AG2" s="2993"/>
      <c r="AH2" s="2993"/>
      <c r="AI2" s="2993"/>
    </row>
    <row r="3" spans="1:38" ht="43.5" x14ac:dyDescent="0.35">
      <c r="A3" s="1972" t="s">
        <v>1035</v>
      </c>
      <c r="B3" s="1972" t="s">
        <v>155</v>
      </c>
      <c r="C3" s="1822" t="s">
        <v>1036</v>
      </c>
      <c r="D3" s="1822" t="s">
        <v>1752</v>
      </c>
      <c r="E3" s="1821" t="s">
        <v>3934</v>
      </c>
      <c r="F3" s="1821" t="s">
        <v>1038</v>
      </c>
      <c r="G3" s="1821" t="s">
        <v>1039</v>
      </c>
      <c r="H3" s="1821" t="s">
        <v>1040</v>
      </c>
      <c r="I3" s="1821" t="s">
        <v>1868</v>
      </c>
      <c r="J3" s="1972" t="s">
        <v>1041</v>
      </c>
      <c r="K3" s="1821" t="s">
        <v>1867</v>
      </c>
      <c r="L3" s="1821" t="s">
        <v>3935</v>
      </c>
      <c r="M3" s="2114" t="s">
        <v>3769</v>
      </c>
      <c r="N3" s="48" t="s">
        <v>1044</v>
      </c>
      <c r="O3" s="48" t="s">
        <v>1045</v>
      </c>
      <c r="P3" s="48" t="s">
        <v>1046</v>
      </c>
      <c r="Q3" s="48" t="s">
        <v>1869</v>
      </c>
      <c r="R3" s="48" t="s">
        <v>1044</v>
      </c>
      <c r="S3" s="48" t="s">
        <v>1045</v>
      </c>
      <c r="T3" s="48" t="s">
        <v>1046</v>
      </c>
      <c r="U3" s="2180" t="s">
        <v>1869</v>
      </c>
      <c r="V3" s="245" t="s">
        <v>1871</v>
      </c>
      <c r="W3" s="245" t="s">
        <v>4035</v>
      </c>
      <c r="X3" s="245" t="s">
        <v>1981</v>
      </c>
      <c r="Y3" s="245" t="s">
        <v>4036</v>
      </c>
      <c r="Z3" s="245" t="s">
        <v>3777</v>
      </c>
      <c r="AA3" s="2361" t="s">
        <v>4037</v>
      </c>
      <c r="AB3" s="245" t="s">
        <v>3936</v>
      </c>
      <c r="AC3" s="245" t="s">
        <v>4038</v>
      </c>
      <c r="AD3" s="245" t="s">
        <v>1874</v>
      </c>
      <c r="AE3" s="245" t="s">
        <v>1641</v>
      </c>
      <c r="AF3" s="245" t="s">
        <v>1179</v>
      </c>
      <c r="AG3" s="245" t="s">
        <v>3828</v>
      </c>
      <c r="AH3" s="245" t="s">
        <v>1876</v>
      </c>
      <c r="AI3" s="2361"/>
      <c r="AK3" s="246"/>
      <c r="AL3" s="246"/>
    </row>
    <row r="4" spans="1:38" ht="58" x14ac:dyDescent="0.35">
      <c r="A4" s="2112" t="s">
        <v>4039</v>
      </c>
      <c r="B4" s="2112" t="str">
        <f>+CONCATENATE(C4," - ",F4,", ",K4,", ",M4)</f>
        <v>Shower Timer, SF - DI, Natural Gas, Single-Family</v>
      </c>
      <c r="C4" s="1798" t="s">
        <v>4040</v>
      </c>
      <c r="D4" s="1825" t="s">
        <v>1582</v>
      </c>
      <c r="E4" s="1964"/>
      <c r="F4" s="1964" t="s">
        <v>1583</v>
      </c>
      <c r="G4" s="2013">
        <f>+$B$57</f>
        <v>2</v>
      </c>
      <c r="H4" s="1962"/>
      <c r="I4" s="2362" t="s">
        <v>1631</v>
      </c>
      <c r="J4" s="1963" t="s">
        <v>3830</v>
      </c>
      <c r="K4" s="1964" t="s">
        <v>1529</v>
      </c>
      <c r="L4" s="2363"/>
      <c r="M4" s="1963" t="s">
        <v>3330</v>
      </c>
      <c r="N4" s="2123">
        <f>+V4*W4*(X4-Y4)*Z4*AA4*AB4*AC4*AD4</f>
        <v>0</v>
      </c>
      <c r="O4" s="51"/>
      <c r="P4" s="2733">
        <f>+AG4*W4*(X4-Y4)*Z4*AA4*AB4*AC4*AH4</f>
        <v>3.9736353401625593</v>
      </c>
      <c r="Q4" s="2123">
        <f>+W4*(X4-Y4)*Z4*AA4*AB4*AC4</f>
        <v>739.96933708799986</v>
      </c>
      <c r="R4" s="2123"/>
      <c r="S4" s="2123"/>
      <c r="T4" s="2123">
        <f>+P4*$G$4</f>
        <v>7.9472706803251185</v>
      </c>
      <c r="U4" s="2123">
        <f>+Q4*$G$4</f>
        <v>1479.9386741759997</v>
      </c>
      <c r="V4" s="125">
        <f>VLOOKUP(K4,$B$66:$C$69,2,FALSE)</f>
        <v>0</v>
      </c>
      <c r="W4" s="49">
        <f>+$C$93</f>
        <v>1.93</v>
      </c>
      <c r="X4" s="49">
        <f>+$B$19</f>
        <v>7.8</v>
      </c>
      <c r="Y4" s="49">
        <f>+$B$21</f>
        <v>5.79</v>
      </c>
      <c r="Z4" s="49">
        <f>VLOOKUP(M4,$I$66:$J$69,2,FALSE)</f>
        <v>2.56</v>
      </c>
      <c r="AA4" s="49">
        <f>+$B$27</f>
        <v>365.25</v>
      </c>
      <c r="AB4" s="49">
        <f>+$B$25</f>
        <v>0.6</v>
      </c>
      <c r="AC4" s="49">
        <f>+$B$39</f>
        <v>0.34</v>
      </c>
      <c r="AD4" s="49">
        <f>+$B$29</f>
        <v>0.125</v>
      </c>
      <c r="AE4" s="49">
        <f>VLOOKUP(F4,$B$88:$E$92,IF(M4=$I$66,3,4),FALSE)</f>
        <v>302</v>
      </c>
      <c r="AF4" s="247">
        <f>+$B$45</f>
        <v>2.7799999999999998E-2</v>
      </c>
      <c r="AG4" s="124">
        <f>VLOOKUP(K4,$B$66:$D$69,3,FALSE)</f>
        <v>1</v>
      </c>
      <c r="AH4" s="2649">
        <f>+VLOOKUP(M4,$B$73:$C$74,2,FALSE)</f>
        <v>5.3699999999999998E-3</v>
      </c>
    </row>
    <row r="5" spans="1:38" ht="58" x14ac:dyDescent="0.35">
      <c r="A5" s="2112" t="s">
        <v>958</v>
      </c>
      <c r="B5" s="2112" t="str">
        <f>+CONCATENATE(C5," - ",F5,", ",K5,", ",M5)</f>
        <v>Shower Timer, MF - DI, Natural Gas, Multi-Family</v>
      </c>
      <c r="C5" s="1798" t="s">
        <v>957</v>
      </c>
      <c r="D5" s="1825" t="s">
        <v>1582</v>
      </c>
      <c r="E5" s="1964"/>
      <c r="F5" s="1964" t="s">
        <v>1583</v>
      </c>
      <c r="G5" s="2013">
        <f>+$B$57</f>
        <v>2</v>
      </c>
      <c r="H5" s="1962"/>
      <c r="I5" s="2362" t="s">
        <v>1631</v>
      </c>
      <c r="J5" s="1963" t="s">
        <v>3830</v>
      </c>
      <c r="K5" s="1964" t="s">
        <v>1529</v>
      </c>
      <c r="L5" s="2363"/>
      <c r="M5" s="1963" t="s">
        <v>1864</v>
      </c>
      <c r="N5" s="2123">
        <f>+V5*W5*(X5-Y5)*Z5*AA5*AB5*AC5*AD5</f>
        <v>0</v>
      </c>
      <c r="O5" s="51"/>
      <c r="P5" s="2733">
        <f>+AG5*W5*(X5-Y5)*Z5*AA5*AB5*AC5*AH5</f>
        <v>3.7937881051874998</v>
      </c>
      <c r="Q5" s="2123">
        <f>+W5*(X5-Y5)*Z5*AA5*AB5*AC5</f>
        <v>607.00609682999993</v>
      </c>
      <c r="R5" s="2123"/>
      <c r="S5" s="2123"/>
      <c r="T5" s="2123">
        <f>+P5*$G$4</f>
        <v>7.5875762103749995</v>
      </c>
      <c r="U5" s="2123">
        <f>+Q5*$G$4</f>
        <v>1214.0121936599999</v>
      </c>
      <c r="V5" s="125">
        <f>VLOOKUP(K5,$B$66:$C$69,2,FALSE)</f>
        <v>0</v>
      </c>
      <c r="W5" s="49">
        <f>+$C$93</f>
        <v>1.93</v>
      </c>
      <c r="X5" s="49">
        <f>+$B$19</f>
        <v>7.8</v>
      </c>
      <c r="Y5" s="49">
        <f>+$B$21</f>
        <v>5.79</v>
      </c>
      <c r="Z5" s="49">
        <f>VLOOKUP(M5,$I$66:$J$69,2,FALSE)</f>
        <v>2.1</v>
      </c>
      <c r="AA5" s="49">
        <f>+$B$27</f>
        <v>365.25</v>
      </c>
      <c r="AB5" s="49">
        <f>+$B$25</f>
        <v>0.6</v>
      </c>
      <c r="AC5" s="49">
        <f>+$B$39</f>
        <v>0.34</v>
      </c>
      <c r="AD5" s="49">
        <f>+$B$29</f>
        <v>0.125</v>
      </c>
      <c r="AE5" s="49">
        <f>VLOOKUP(F5,$B$88:$E$92,IF(M5=$I$66,3,4),FALSE)</f>
        <v>248</v>
      </c>
      <c r="AF5" s="247">
        <f>+$B$45</f>
        <v>2.7799999999999998E-2</v>
      </c>
      <c r="AG5" s="124">
        <f>VLOOKUP(K5,$B$66:$D$69,3,FALSE)</f>
        <v>1</v>
      </c>
      <c r="AH5" s="2649">
        <f>+VLOOKUP(M5,$B$73:$C$74,2,FALSE)</f>
        <v>6.2500000000000003E-3</v>
      </c>
    </row>
    <row r="6" spans="1:38" ht="29" x14ac:dyDescent="0.35">
      <c r="A6" s="1835" t="s">
        <v>4041</v>
      </c>
      <c r="B6" s="1835" t="s">
        <v>4042</v>
      </c>
      <c r="C6" s="1798" t="s">
        <v>4042</v>
      </c>
      <c r="D6" s="1825" t="s">
        <v>1582</v>
      </c>
      <c r="E6" s="1835"/>
      <c r="F6" s="1835" t="s">
        <v>4043</v>
      </c>
      <c r="G6" s="1835">
        <v>2</v>
      </c>
      <c r="H6" s="1835"/>
      <c r="I6" s="1835" t="s">
        <v>1631</v>
      </c>
      <c r="J6" s="1835" t="s">
        <v>3830</v>
      </c>
      <c r="K6" s="1835" t="s">
        <v>1185</v>
      </c>
      <c r="L6" s="1835"/>
      <c r="M6" s="1835" t="s">
        <v>3330</v>
      </c>
      <c r="N6" s="1835"/>
      <c r="O6" s="1835"/>
      <c r="P6" s="2733">
        <f>+AG6*W6*(X6-Y6)*Z6*AA6*AB6*AC6*AH6</f>
        <v>3.3378536857365502</v>
      </c>
      <c r="Q6" s="2123"/>
      <c r="R6" s="1835"/>
      <c r="S6" s="1835"/>
      <c r="T6" s="2450">
        <f>P6*G6</f>
        <v>6.6757073714731003</v>
      </c>
      <c r="U6" s="1835"/>
      <c r="V6" s="125">
        <f>VLOOKUP(K6,$B$66:$C$69,2,FALSE)</f>
        <v>0.16</v>
      </c>
      <c r="W6" s="49">
        <f>+$C$93</f>
        <v>1.93</v>
      </c>
      <c r="X6" s="49">
        <f>+$B$19</f>
        <v>7.8</v>
      </c>
      <c r="Y6" s="49">
        <f>+$B$21</f>
        <v>5.79</v>
      </c>
      <c r="Z6" s="49">
        <f>VLOOKUP(M6,$I$66:$J$69,2,FALSE)</f>
        <v>2.56</v>
      </c>
      <c r="AA6" s="49">
        <f>+$B$27</f>
        <v>365.25</v>
      </c>
      <c r="AB6" s="49">
        <f>+$B$25</f>
        <v>0.6</v>
      </c>
      <c r="AC6" s="49">
        <f>+$B$39</f>
        <v>0.34</v>
      </c>
      <c r="AD6" s="49">
        <f>+$B$29</f>
        <v>0.125</v>
      </c>
      <c r="AE6" s="49" t="e">
        <f>VLOOKUP(F6,$B$88:$E$92,IF(M6=$I$66,3,4),FALSE)</f>
        <v>#N/A</v>
      </c>
      <c r="AF6" s="247">
        <f>+$B$45</f>
        <v>2.7799999999999998E-2</v>
      </c>
      <c r="AG6" s="124">
        <f>VLOOKUP(K6,$B$66:$D$69,3,FALSE)</f>
        <v>0.84</v>
      </c>
      <c r="AH6" s="2649">
        <f>+VLOOKUP(M6,$B$73:$C$74,2,FALSE)</f>
        <v>5.3699999999999998E-3</v>
      </c>
    </row>
    <row r="7" spans="1:38" ht="15" thickBot="1" x14ac:dyDescent="0.4"/>
    <row r="8" spans="1:38" ht="15" thickBot="1" x14ac:dyDescent="0.4">
      <c r="A8" s="62" t="s">
        <v>1188</v>
      </c>
      <c r="B8" s="63"/>
      <c r="C8" s="64"/>
      <c r="D8" s="64"/>
      <c r="E8" s="64"/>
      <c r="F8" s="64"/>
      <c r="G8" s="64"/>
      <c r="H8" s="64"/>
      <c r="I8" s="64"/>
      <c r="J8" s="65"/>
      <c r="X8" s="248"/>
      <c r="AA8" s="907"/>
    </row>
    <row r="9" spans="1:38" x14ac:dyDescent="0.35">
      <c r="A9" s="67" t="s">
        <v>4044</v>
      </c>
      <c r="B9" s="68"/>
      <c r="C9" s="69"/>
      <c r="D9" s="69"/>
      <c r="E9" s="69"/>
      <c r="F9" s="69"/>
      <c r="G9" s="69"/>
      <c r="H9" s="69"/>
      <c r="I9" s="69"/>
      <c r="J9" s="70"/>
      <c r="Y9" s="3340"/>
      <c r="AB9" s="523"/>
    </row>
    <row r="10" spans="1:38" x14ac:dyDescent="0.35">
      <c r="A10" s="67" t="s">
        <v>1988</v>
      </c>
      <c r="B10" s="69"/>
      <c r="C10" s="69"/>
      <c r="D10" s="69"/>
      <c r="E10" s="69"/>
      <c r="F10" s="69"/>
      <c r="G10" s="69"/>
      <c r="H10" s="69"/>
      <c r="I10" s="69"/>
      <c r="J10" s="70"/>
      <c r="Y10" s="3340"/>
      <c r="AB10" s="899"/>
    </row>
    <row r="11" spans="1:38" x14ac:dyDescent="0.35">
      <c r="A11" s="67" t="s">
        <v>1782</v>
      </c>
      <c r="B11" s="69" t="s">
        <v>4045</v>
      </c>
      <c r="C11" s="69"/>
      <c r="D11" s="69"/>
      <c r="E11" s="69"/>
      <c r="F11" s="69"/>
      <c r="G11" s="69"/>
      <c r="H11" s="69"/>
      <c r="I11" s="69"/>
      <c r="J11" s="70"/>
      <c r="Y11" s="3340"/>
      <c r="AB11" s="2142"/>
    </row>
    <row r="12" spans="1:38" ht="15" thickBot="1" x14ac:dyDescent="0.4">
      <c r="A12" s="71" t="s">
        <v>4046</v>
      </c>
      <c r="B12" s="2364" t="s">
        <v>4047</v>
      </c>
      <c r="C12" s="249"/>
      <c r="D12" s="72"/>
      <c r="E12" s="72"/>
      <c r="F12" s="72"/>
      <c r="G12" s="72"/>
      <c r="H12" s="72"/>
      <c r="I12" s="72"/>
      <c r="J12" s="73"/>
      <c r="Y12" s="3340"/>
      <c r="AB12" s="2142"/>
    </row>
    <row r="13" spans="1:38" ht="15" thickBot="1" x14ac:dyDescent="0.4">
      <c r="M13" s="3132" t="s">
        <v>2119</v>
      </c>
      <c r="N13" s="3133"/>
      <c r="O13" s="3134"/>
      <c r="AB13" s="2142"/>
    </row>
    <row r="14" spans="1:38" ht="15" thickBot="1" x14ac:dyDescent="0.4">
      <c r="A14" s="74" t="s">
        <v>1285</v>
      </c>
      <c r="B14" s="75" t="s">
        <v>1199</v>
      </c>
      <c r="C14" s="76" t="s">
        <v>1082</v>
      </c>
      <c r="D14" s="64"/>
      <c r="E14" s="64"/>
      <c r="F14" s="64"/>
      <c r="G14" s="64"/>
      <c r="H14" s="64"/>
      <c r="I14" s="64"/>
      <c r="J14" s="64"/>
      <c r="K14" s="64"/>
      <c r="L14" s="65"/>
      <c r="M14" s="154" t="s">
        <v>4048</v>
      </c>
      <c r="N14" s="1955" t="s">
        <v>1390</v>
      </c>
      <c r="O14" s="1812" t="s">
        <v>2121</v>
      </c>
      <c r="AB14" s="2142"/>
    </row>
    <row r="15" spans="1:38" x14ac:dyDescent="0.35">
      <c r="A15" s="250" t="s">
        <v>1871</v>
      </c>
      <c r="B15" s="80"/>
      <c r="C15" s="79" t="s">
        <v>1896</v>
      </c>
      <c r="D15" s="80"/>
      <c r="E15" s="80"/>
      <c r="F15" s="80"/>
      <c r="G15" s="80"/>
      <c r="H15" s="80"/>
      <c r="I15" s="80"/>
      <c r="J15" s="80"/>
      <c r="K15" s="80"/>
      <c r="L15" s="81"/>
      <c r="M15" s="3345" t="s">
        <v>4049</v>
      </c>
      <c r="N15" s="3347" t="s">
        <v>4050</v>
      </c>
      <c r="O15" s="253" t="s">
        <v>4051</v>
      </c>
      <c r="AB15" s="2142"/>
    </row>
    <row r="16" spans="1:38" ht="15" thickBot="1" x14ac:dyDescent="0.4">
      <c r="A16" s="251"/>
      <c r="B16" s="85"/>
      <c r="C16" s="84" t="s">
        <v>4052</v>
      </c>
      <c r="D16" s="85"/>
      <c r="E16" s="85"/>
      <c r="F16" s="85"/>
      <c r="G16" s="85"/>
      <c r="H16" s="85"/>
      <c r="I16" s="85"/>
      <c r="J16" s="85"/>
      <c r="K16" s="85"/>
      <c r="L16" s="86"/>
      <c r="M16" s="3346"/>
      <c r="N16" s="3348"/>
      <c r="O16" s="253"/>
      <c r="AB16" s="2142"/>
    </row>
    <row r="17" spans="1:51" x14ac:dyDescent="0.35">
      <c r="A17" s="252" t="s">
        <v>4035</v>
      </c>
      <c r="B17">
        <v>1.93</v>
      </c>
      <c r="C17" s="55" t="s">
        <v>4053</v>
      </c>
      <c r="L17" s="253"/>
      <c r="M17" s="3345"/>
      <c r="N17" s="3347"/>
      <c r="O17" s="3343"/>
      <c r="AB17" s="2142"/>
    </row>
    <row r="18" spans="1:51" ht="15" thickBot="1" x14ac:dyDescent="0.4">
      <c r="A18" s="251"/>
      <c r="B18" s="85"/>
      <c r="C18" s="84"/>
      <c r="D18" s="85"/>
      <c r="E18" s="85"/>
      <c r="F18" s="85"/>
      <c r="G18" s="85"/>
      <c r="H18" s="85"/>
      <c r="I18" s="85"/>
      <c r="J18" s="85"/>
      <c r="K18" s="85"/>
      <c r="L18" s="86"/>
      <c r="M18" s="3346"/>
      <c r="N18" s="3348"/>
      <c r="O18" s="3344"/>
      <c r="AB18" s="2142"/>
    </row>
    <row r="19" spans="1:51" x14ac:dyDescent="0.35">
      <c r="A19" s="250" t="s">
        <v>1981</v>
      </c>
      <c r="B19" s="80">
        <v>7.8</v>
      </c>
      <c r="C19" s="79" t="s">
        <v>4054</v>
      </c>
      <c r="D19" s="80"/>
      <c r="E19" s="80"/>
      <c r="F19" s="80"/>
      <c r="G19" s="80"/>
      <c r="H19" s="80"/>
      <c r="I19" s="80"/>
      <c r="L19" s="253"/>
      <c r="M19" s="3345" t="s">
        <v>4049</v>
      </c>
      <c r="N19" s="3347" t="s">
        <v>4050</v>
      </c>
      <c r="O19" s="3343" t="s">
        <v>4055</v>
      </c>
      <c r="AB19" s="2142"/>
    </row>
    <row r="20" spans="1:51" ht="15" thickBot="1" x14ac:dyDescent="0.4">
      <c r="A20" s="251"/>
      <c r="B20" s="85"/>
      <c r="C20" s="84" t="s">
        <v>1626</v>
      </c>
      <c r="D20" s="85"/>
      <c r="E20" s="85"/>
      <c r="F20" s="85"/>
      <c r="G20" s="85"/>
      <c r="H20" s="85"/>
      <c r="I20" s="85"/>
      <c r="J20" s="85"/>
      <c r="K20" s="85"/>
      <c r="L20" s="86"/>
      <c r="M20" s="3346"/>
      <c r="N20" s="3348"/>
      <c r="O20" s="3344"/>
      <c r="AB20" s="2142"/>
    </row>
    <row r="21" spans="1:51" x14ac:dyDescent="0.35">
      <c r="A21" s="250" t="s">
        <v>4056</v>
      </c>
      <c r="B21" s="80">
        <v>5.79</v>
      </c>
      <c r="C21" s="79" t="s">
        <v>4057</v>
      </c>
      <c r="D21" s="80"/>
      <c r="E21" s="80"/>
      <c r="F21" s="80"/>
      <c r="G21" s="80"/>
      <c r="H21" s="80"/>
      <c r="I21" s="80"/>
      <c r="L21" s="253"/>
      <c r="M21" s="3345"/>
      <c r="N21" s="3347"/>
      <c r="O21" s="3343"/>
      <c r="AB21" s="2142"/>
    </row>
    <row r="22" spans="1:51" ht="13.5" customHeight="1" thickBot="1" x14ac:dyDescent="0.4">
      <c r="A22" s="251"/>
      <c r="B22" s="85"/>
      <c r="C22" s="84"/>
      <c r="D22" s="85"/>
      <c r="E22" s="85"/>
      <c r="F22" s="85"/>
      <c r="G22" s="85"/>
      <c r="H22" s="85"/>
      <c r="I22" s="85"/>
      <c r="J22" s="85"/>
      <c r="K22" s="85"/>
      <c r="L22" s="86"/>
      <c r="M22" s="3346"/>
      <c r="N22" s="3348"/>
      <c r="O22" s="3344"/>
    </row>
    <row r="23" spans="1:51" ht="30.75" customHeight="1" x14ac:dyDescent="0.35">
      <c r="A23" s="250" t="s">
        <v>3777</v>
      </c>
      <c r="B23" s="3331" t="s">
        <v>4058</v>
      </c>
      <c r="C23" s="79" t="s">
        <v>3865</v>
      </c>
      <c r="D23" s="80"/>
      <c r="E23" s="80"/>
      <c r="F23" s="80"/>
      <c r="G23" s="80"/>
      <c r="H23" s="80"/>
      <c r="I23" s="80"/>
      <c r="L23" s="253"/>
      <c r="M23" s="3345" t="s">
        <v>4059</v>
      </c>
      <c r="N23" s="3347" t="s">
        <v>4050</v>
      </c>
      <c r="O23" s="81" t="s">
        <v>4060</v>
      </c>
      <c r="AB23" s="2142"/>
    </row>
    <row r="24" spans="1:51" ht="15" thickBot="1" x14ac:dyDescent="0.4">
      <c r="A24" s="251"/>
      <c r="B24" s="3333"/>
      <c r="C24" s="84" t="s">
        <v>3866</v>
      </c>
      <c r="D24" s="85"/>
      <c r="E24" s="85"/>
      <c r="F24" s="85"/>
      <c r="G24" s="85"/>
      <c r="H24" s="85"/>
      <c r="I24" s="85"/>
      <c r="J24" s="85"/>
      <c r="K24" s="85"/>
      <c r="L24" s="86"/>
      <c r="M24" s="3346"/>
      <c r="N24" s="3348"/>
      <c r="O24" s="253"/>
    </row>
    <row r="25" spans="1:51" x14ac:dyDescent="0.35">
      <c r="A25" s="250" t="s">
        <v>3936</v>
      </c>
      <c r="B25" s="80">
        <v>0.6</v>
      </c>
      <c r="C25" s="79" t="s">
        <v>3964</v>
      </c>
      <c r="D25" s="80"/>
      <c r="E25" s="80"/>
      <c r="F25" s="80"/>
      <c r="G25" s="80"/>
      <c r="H25" s="80"/>
      <c r="I25" s="80"/>
      <c r="L25" s="253"/>
      <c r="M25" s="93" t="s">
        <v>1524</v>
      </c>
      <c r="N25" s="3347" t="s">
        <v>4050</v>
      </c>
      <c r="O25" s="3343" t="s">
        <v>4061</v>
      </c>
      <c r="AB25" s="2142"/>
    </row>
    <row r="26" spans="1:51" ht="15" thickBot="1" x14ac:dyDescent="0.4">
      <c r="A26" s="251"/>
      <c r="B26" s="85"/>
      <c r="C26" s="84" t="s">
        <v>1626</v>
      </c>
      <c r="D26" s="85"/>
      <c r="E26" s="85"/>
      <c r="F26" s="85"/>
      <c r="G26" s="85"/>
      <c r="H26" s="85"/>
      <c r="I26" s="85"/>
      <c r="J26" s="85"/>
      <c r="K26" s="85"/>
      <c r="L26" s="86"/>
      <c r="M26" s="88"/>
      <c r="N26" s="3348"/>
      <c r="O26" s="3344"/>
      <c r="AB26" s="2142"/>
      <c r="AY26" s="115"/>
    </row>
    <row r="27" spans="1:51" x14ac:dyDescent="0.35">
      <c r="A27" s="250" t="s">
        <v>4037</v>
      </c>
      <c r="B27" s="80">
        <v>365.25</v>
      </c>
      <c r="C27" s="79" t="s">
        <v>1945</v>
      </c>
      <c r="D27" s="80"/>
      <c r="E27" s="80"/>
      <c r="F27" s="80"/>
      <c r="G27" s="80"/>
      <c r="H27" s="80"/>
      <c r="I27" s="80"/>
      <c r="L27" s="253"/>
      <c r="M27" s="3345" t="s">
        <v>1524</v>
      </c>
      <c r="N27" s="3347" t="s">
        <v>4050</v>
      </c>
      <c r="O27" s="3343" t="s">
        <v>4061</v>
      </c>
      <c r="AB27" s="2142"/>
    </row>
    <row r="28" spans="1:51" ht="15" thickBot="1" x14ac:dyDescent="0.4">
      <c r="A28" s="251"/>
      <c r="B28" s="85"/>
      <c r="C28" s="84" t="s">
        <v>4062</v>
      </c>
      <c r="D28" s="85"/>
      <c r="E28" s="85"/>
      <c r="F28" s="85"/>
      <c r="G28" s="85"/>
      <c r="H28" s="85"/>
      <c r="I28" s="85"/>
      <c r="J28" s="85"/>
      <c r="K28" s="85"/>
      <c r="L28" s="86"/>
      <c r="M28" s="3346"/>
      <c r="N28" s="3350"/>
      <c r="O28" s="3344"/>
      <c r="AB28" s="2142"/>
    </row>
    <row r="29" spans="1:51" x14ac:dyDescent="0.35">
      <c r="A29" s="250" t="s">
        <v>1874</v>
      </c>
      <c r="B29" s="2595">
        <v>0.125</v>
      </c>
      <c r="C29" s="79" t="s">
        <v>3966</v>
      </c>
      <c r="D29" s="80"/>
      <c r="E29" s="80"/>
      <c r="F29" s="80"/>
      <c r="G29" s="80"/>
      <c r="H29" s="80"/>
      <c r="I29" s="80"/>
      <c r="L29" s="253"/>
      <c r="M29" s="3345" t="s">
        <v>4063</v>
      </c>
      <c r="N29" s="3347" t="s">
        <v>4050</v>
      </c>
      <c r="O29" s="81" t="s">
        <v>4051</v>
      </c>
      <c r="AB29" s="2142"/>
    </row>
    <row r="30" spans="1:51" x14ac:dyDescent="0.35">
      <c r="A30" s="252"/>
      <c r="C30" s="55" t="s">
        <v>3967</v>
      </c>
      <c r="L30" s="253"/>
      <c r="M30" s="3349"/>
      <c r="N30" s="3350"/>
      <c r="O30" s="253"/>
      <c r="AB30" s="2142"/>
    </row>
    <row r="31" spans="1:51" x14ac:dyDescent="0.35">
      <c r="A31" s="252"/>
      <c r="C31" s="2736" t="s">
        <v>3968</v>
      </c>
      <c r="D31" s="2641"/>
      <c r="E31" s="2641"/>
      <c r="F31" s="2641"/>
      <c r="L31" s="253"/>
      <c r="M31" s="254"/>
      <c r="N31" s="2306"/>
      <c r="O31" s="253"/>
    </row>
    <row r="32" spans="1:51" x14ac:dyDescent="0.35">
      <c r="A32" s="252"/>
      <c r="C32" s="2736" t="s">
        <v>4064</v>
      </c>
      <c r="L32" s="253"/>
      <c r="M32" s="254"/>
      <c r="N32" s="2306"/>
      <c r="O32" s="253"/>
    </row>
    <row r="33" spans="1:15" x14ac:dyDescent="0.35">
      <c r="A33" s="252"/>
      <c r="C33" t="s">
        <v>3877</v>
      </c>
      <c r="L33" s="253"/>
      <c r="M33" s="254"/>
      <c r="N33" s="2306"/>
      <c r="O33" s="253"/>
    </row>
    <row r="34" spans="1:15" x14ac:dyDescent="0.35">
      <c r="A34" s="252"/>
      <c r="C34" t="s">
        <v>3878</v>
      </c>
      <c r="L34" s="253"/>
      <c r="M34" s="254"/>
      <c r="N34" s="2306"/>
      <c r="O34" s="253"/>
    </row>
    <row r="35" spans="1:15" x14ac:dyDescent="0.35">
      <c r="A35" s="252"/>
      <c r="C35" s="55" t="s">
        <v>3970</v>
      </c>
      <c r="L35" s="253"/>
      <c r="M35" s="254"/>
      <c r="N35" s="2306"/>
      <c r="O35" s="253"/>
    </row>
    <row r="36" spans="1:15" x14ac:dyDescent="0.35">
      <c r="A36" s="254"/>
      <c r="C36" t="s">
        <v>4065</v>
      </c>
      <c r="L36" s="253"/>
      <c r="M36" s="254"/>
      <c r="N36" s="2306"/>
      <c r="O36" s="253"/>
    </row>
    <row r="37" spans="1:15" x14ac:dyDescent="0.35">
      <c r="A37" s="254"/>
      <c r="C37" t="s">
        <v>3971</v>
      </c>
      <c r="L37" s="253"/>
      <c r="M37" s="254"/>
      <c r="N37" s="2306"/>
      <c r="O37" s="253"/>
    </row>
    <row r="38" spans="1:15" ht="15" thickBot="1" x14ac:dyDescent="0.4">
      <c r="A38" s="88"/>
      <c r="B38" s="85"/>
      <c r="C38" s="85" t="s">
        <v>3882</v>
      </c>
      <c r="D38" s="85"/>
      <c r="E38" s="85"/>
      <c r="F38" s="85"/>
      <c r="G38" s="85"/>
      <c r="H38" s="85"/>
      <c r="I38" s="85"/>
      <c r="J38" s="85"/>
      <c r="K38" s="85"/>
      <c r="L38" s="86"/>
      <c r="M38" s="254"/>
      <c r="N38" s="2304"/>
      <c r="O38" s="86"/>
    </row>
    <row r="39" spans="1:15" ht="15" customHeight="1" x14ac:dyDescent="0.35">
      <c r="A39" s="250" t="s">
        <v>4038</v>
      </c>
      <c r="B39" s="80">
        <v>0.34</v>
      </c>
      <c r="C39" s="79" t="s">
        <v>4066</v>
      </c>
      <c r="D39" s="80"/>
      <c r="E39" s="80"/>
      <c r="F39" s="80"/>
      <c r="G39" s="80"/>
      <c r="H39" s="80"/>
      <c r="I39" s="80"/>
      <c r="L39" s="253"/>
      <c r="M39" s="3351"/>
      <c r="N39" s="3347"/>
      <c r="O39" s="81"/>
    </row>
    <row r="40" spans="1:15" ht="15" thickBot="1" x14ac:dyDescent="0.4">
      <c r="A40" s="88"/>
      <c r="B40" s="85"/>
      <c r="C40" s="85"/>
      <c r="D40" s="85"/>
      <c r="E40" s="85"/>
      <c r="F40" s="85"/>
      <c r="G40" s="85"/>
      <c r="H40" s="85"/>
      <c r="I40" s="85"/>
      <c r="J40" s="85"/>
      <c r="K40" s="85"/>
      <c r="L40" s="86"/>
      <c r="M40" s="3352"/>
      <c r="N40" s="3348"/>
      <c r="O40" s="253"/>
    </row>
    <row r="41" spans="1:15" ht="15" customHeight="1" x14ac:dyDescent="0.35">
      <c r="A41" s="250" t="s">
        <v>1641</v>
      </c>
      <c r="B41" s="2595">
        <v>26.1</v>
      </c>
      <c r="C41" s="79" t="s">
        <v>2009</v>
      </c>
      <c r="D41" s="80"/>
      <c r="E41" s="80"/>
      <c r="F41" s="80"/>
      <c r="G41" s="80"/>
      <c r="H41" s="80"/>
      <c r="I41" s="80"/>
      <c r="L41" s="253"/>
      <c r="M41" s="3351" t="s">
        <v>1524</v>
      </c>
      <c r="N41" s="3347" t="s">
        <v>4050</v>
      </c>
      <c r="O41" s="81" t="s">
        <v>4067</v>
      </c>
    </row>
    <row r="42" spans="1:15" x14ac:dyDescent="0.35">
      <c r="A42" s="254"/>
      <c r="C42" s="55" t="s">
        <v>4068</v>
      </c>
      <c r="L42" s="253"/>
      <c r="M42" s="3353"/>
      <c r="N42" s="3350"/>
      <c r="O42" s="253"/>
    </row>
    <row r="43" spans="1:15" x14ac:dyDescent="0.35">
      <c r="A43" s="254"/>
      <c r="C43" s="55" t="s">
        <v>4069</v>
      </c>
      <c r="L43" s="253"/>
      <c r="M43" s="3353"/>
      <c r="N43" s="2306"/>
      <c r="O43" s="253"/>
    </row>
    <row r="44" spans="1:15" ht="15" thickBot="1" x14ac:dyDescent="0.4">
      <c r="A44" s="254"/>
      <c r="C44" s="55" t="s">
        <v>4070</v>
      </c>
      <c r="J44" s="85"/>
      <c r="K44" s="85"/>
      <c r="L44" s="86"/>
      <c r="M44" s="3352"/>
      <c r="N44" s="2304"/>
      <c r="O44" s="86"/>
    </row>
    <row r="45" spans="1:15" x14ac:dyDescent="0.35">
      <c r="A45" s="250" t="s">
        <v>1179</v>
      </c>
      <c r="B45" s="89">
        <v>2.7799999999999998E-2</v>
      </c>
      <c r="C45" s="79" t="s">
        <v>1923</v>
      </c>
      <c r="D45" s="80"/>
      <c r="E45" s="80"/>
      <c r="F45" s="80"/>
      <c r="G45" s="80"/>
      <c r="H45" s="80"/>
      <c r="I45" s="80"/>
      <c r="L45" s="253"/>
      <c r="M45" s="254" t="s">
        <v>1524</v>
      </c>
      <c r="N45" s="3347" t="s">
        <v>4050</v>
      </c>
      <c r="O45" s="81" t="s">
        <v>4051</v>
      </c>
    </row>
    <row r="46" spans="1:15" ht="15" thickBot="1" x14ac:dyDescent="0.4">
      <c r="A46" s="88"/>
      <c r="B46" s="85"/>
      <c r="C46" s="84" t="s">
        <v>3976</v>
      </c>
      <c r="D46" s="85"/>
      <c r="E46" s="85"/>
      <c r="F46" s="85"/>
      <c r="G46" s="85"/>
      <c r="H46" s="85"/>
      <c r="I46" s="85"/>
      <c r="J46" s="85"/>
      <c r="K46" s="85"/>
      <c r="L46" s="86"/>
      <c r="M46" s="88"/>
      <c r="N46" s="3348"/>
      <c r="O46" s="86"/>
    </row>
    <row r="47" spans="1:15" x14ac:dyDescent="0.35">
      <c r="A47" s="250" t="s">
        <v>3828</v>
      </c>
      <c r="B47" s="80"/>
      <c r="C47" s="79" t="s">
        <v>4071</v>
      </c>
      <c r="D47" s="80"/>
      <c r="E47" s="80"/>
      <c r="F47" s="80"/>
      <c r="G47" s="80"/>
      <c r="H47" s="80"/>
      <c r="I47" s="80"/>
      <c r="L47" s="253"/>
      <c r="M47" s="2303" t="s">
        <v>1524</v>
      </c>
      <c r="N47" s="3350" t="s">
        <v>4050</v>
      </c>
      <c r="O47" s="3343" t="s">
        <v>4061</v>
      </c>
    </row>
    <row r="48" spans="1:15" ht="15" thickBot="1" x14ac:dyDescent="0.4">
      <c r="A48" s="88"/>
      <c r="B48" s="85"/>
      <c r="C48" s="84" t="s">
        <v>3889</v>
      </c>
      <c r="D48" s="85"/>
      <c r="E48" s="85"/>
      <c r="F48" s="85"/>
      <c r="G48" s="85"/>
      <c r="H48" s="85"/>
      <c r="I48" s="85"/>
      <c r="J48" s="85"/>
      <c r="K48" s="85"/>
      <c r="L48" s="86"/>
      <c r="M48" s="2304"/>
      <c r="N48" s="3348"/>
      <c r="O48" s="3344"/>
    </row>
    <row r="49" spans="1:15" ht="15" customHeight="1" x14ac:dyDescent="0.35">
      <c r="A49" s="250" t="s">
        <v>1876</v>
      </c>
      <c r="B49" s="2793">
        <f>IF(M4=I66,0.00537,0.006253)</f>
        <v>5.3699999999999998E-3</v>
      </c>
      <c r="C49" s="79" t="s">
        <v>1927</v>
      </c>
      <c r="D49" s="80"/>
      <c r="E49" s="80"/>
      <c r="F49" s="80"/>
      <c r="G49" s="80"/>
      <c r="H49" s="80"/>
      <c r="I49" s="80"/>
      <c r="L49" s="253"/>
      <c r="M49" s="93" t="s">
        <v>4072</v>
      </c>
      <c r="N49" s="3347" t="s">
        <v>4050</v>
      </c>
      <c r="O49" s="81" t="s">
        <v>4060</v>
      </c>
    </row>
    <row r="50" spans="1:15" x14ac:dyDescent="0.35">
      <c r="A50" s="252"/>
      <c r="C50" t="s">
        <v>3977</v>
      </c>
      <c r="L50" s="253"/>
      <c r="M50" s="254"/>
      <c r="N50" s="3350"/>
      <c r="O50" s="253"/>
    </row>
    <row r="51" spans="1:15" x14ac:dyDescent="0.35">
      <c r="A51" s="252"/>
      <c r="C51" t="s">
        <v>3978</v>
      </c>
      <c r="L51" s="253"/>
      <c r="M51" s="254"/>
      <c r="N51" s="2306"/>
      <c r="O51" s="253"/>
    </row>
    <row r="52" spans="1:15" x14ac:dyDescent="0.35">
      <c r="A52" s="252"/>
      <c r="C52" t="s">
        <v>3893</v>
      </c>
      <c r="L52" s="253"/>
      <c r="M52" s="254"/>
      <c r="N52" s="2306"/>
      <c r="O52" s="253"/>
    </row>
    <row r="53" spans="1:15" x14ac:dyDescent="0.35">
      <c r="A53" s="252"/>
      <c r="C53" t="s">
        <v>3894</v>
      </c>
      <c r="L53" s="253"/>
      <c r="M53" s="254"/>
      <c r="N53" s="2306"/>
      <c r="O53" s="253"/>
    </row>
    <row r="54" spans="1:15" x14ac:dyDescent="0.35">
      <c r="A54" s="252"/>
      <c r="C54" t="s">
        <v>3895</v>
      </c>
      <c r="L54" s="253"/>
      <c r="M54" s="254"/>
      <c r="N54" s="2306"/>
      <c r="O54" s="253"/>
    </row>
    <row r="55" spans="1:15" x14ac:dyDescent="0.35">
      <c r="A55" s="252"/>
      <c r="C55" s="2736" t="s">
        <v>4073</v>
      </c>
      <c r="L55" s="253"/>
      <c r="M55" s="254"/>
      <c r="N55" s="2306"/>
      <c r="O55" s="253"/>
    </row>
    <row r="56" spans="1:15" ht="15" thickBot="1" x14ac:dyDescent="0.4">
      <c r="A56" s="251"/>
      <c r="B56" s="85"/>
      <c r="C56" s="2611" t="s">
        <v>4074</v>
      </c>
      <c r="D56" s="85"/>
      <c r="E56" s="85"/>
      <c r="F56" s="85"/>
      <c r="G56" s="85"/>
      <c r="H56" s="85"/>
      <c r="I56" s="85"/>
      <c r="J56" s="85"/>
      <c r="K56" s="85"/>
      <c r="L56" s="86"/>
      <c r="M56" s="254"/>
      <c r="N56" s="2304"/>
      <c r="O56" s="86"/>
    </row>
    <row r="57" spans="1:15" x14ac:dyDescent="0.35">
      <c r="A57" s="93" t="s">
        <v>1083</v>
      </c>
      <c r="B57" s="80">
        <v>2</v>
      </c>
      <c r="C57" s="80" t="s">
        <v>4075</v>
      </c>
      <c r="D57" s="80"/>
      <c r="E57" s="80"/>
      <c r="F57" s="80"/>
      <c r="G57" s="80"/>
      <c r="H57" s="80"/>
      <c r="I57" s="80"/>
      <c r="J57" s="80"/>
      <c r="K57" s="80"/>
      <c r="L57" s="81"/>
      <c r="M57" s="93" t="s">
        <v>1524</v>
      </c>
      <c r="N57" s="3350" t="s">
        <v>4050</v>
      </c>
      <c r="O57" s="3343" t="s">
        <v>4061</v>
      </c>
    </row>
    <row r="58" spans="1:15" ht="15" thickBot="1" x14ac:dyDescent="0.4">
      <c r="A58" s="88"/>
      <c r="B58" s="85"/>
      <c r="C58" s="85" t="s">
        <v>3976</v>
      </c>
      <c r="D58" s="85"/>
      <c r="E58" s="85"/>
      <c r="F58" s="85"/>
      <c r="G58" s="85"/>
      <c r="H58" s="85"/>
      <c r="I58" s="85"/>
      <c r="J58" s="85"/>
      <c r="K58" s="85"/>
      <c r="L58" s="86"/>
      <c r="M58" s="88"/>
      <c r="N58" s="3348"/>
      <c r="O58" s="3344"/>
    </row>
    <row r="59" spans="1:15" x14ac:dyDescent="0.35">
      <c r="A59" s="93" t="s">
        <v>1040</v>
      </c>
      <c r="B59" s="80"/>
      <c r="C59" s="80"/>
      <c r="D59" s="80"/>
      <c r="E59" s="80"/>
      <c r="F59" s="80"/>
      <c r="G59" s="80"/>
      <c r="H59" s="80"/>
      <c r="I59" s="80"/>
      <c r="J59" s="80"/>
      <c r="K59" s="80"/>
      <c r="L59" s="81"/>
      <c r="M59" s="93"/>
      <c r="N59" s="3347"/>
      <c r="O59" s="81"/>
    </row>
    <row r="60" spans="1:15" x14ac:dyDescent="0.35">
      <c r="A60" s="254"/>
      <c r="L60" s="253"/>
      <c r="M60" s="254"/>
      <c r="N60" s="3350"/>
      <c r="O60" s="253"/>
    </row>
    <row r="61" spans="1:15" ht="15" thickBot="1" x14ac:dyDescent="0.4">
      <c r="A61" s="88"/>
      <c r="B61" s="85"/>
      <c r="C61" s="85"/>
      <c r="D61" s="85"/>
      <c r="E61" s="85"/>
      <c r="F61" s="85"/>
      <c r="G61" s="85"/>
      <c r="H61" s="85"/>
      <c r="I61" s="85"/>
      <c r="J61" s="85"/>
      <c r="K61" s="85"/>
      <c r="L61" s="86"/>
      <c r="M61" s="88"/>
      <c r="N61" s="2304"/>
      <c r="O61" s="86"/>
    </row>
    <row r="62" spans="1:15" ht="15" thickBot="1" x14ac:dyDescent="0.4"/>
    <row r="63" spans="1:15" ht="15" thickBot="1" x14ac:dyDescent="0.4">
      <c r="A63" s="97" t="s">
        <v>1129</v>
      </c>
      <c r="B63" s="98"/>
      <c r="C63" s="64"/>
      <c r="D63" s="64"/>
      <c r="E63" s="64"/>
      <c r="F63" s="64"/>
      <c r="G63" s="64"/>
      <c r="H63" s="64"/>
      <c r="I63" s="64"/>
      <c r="J63" s="64"/>
      <c r="K63" s="64"/>
      <c r="L63" s="64"/>
      <c r="M63" s="65"/>
    </row>
    <row r="64" spans="1:15" x14ac:dyDescent="0.35">
      <c r="A64" s="99"/>
      <c r="B64" s="69"/>
      <c r="C64" s="69"/>
      <c r="D64" s="69"/>
      <c r="E64" s="69"/>
      <c r="F64" s="112" t="s">
        <v>3982</v>
      </c>
      <c r="G64" s="69"/>
      <c r="H64" s="69"/>
      <c r="I64" s="69"/>
      <c r="J64" s="69"/>
      <c r="K64" s="69"/>
      <c r="L64" s="69"/>
      <c r="M64" s="100"/>
    </row>
    <row r="65" spans="1:13" ht="26" x14ac:dyDescent="0.35">
      <c r="A65" s="99"/>
      <c r="B65" s="56" t="s">
        <v>1937</v>
      </c>
      <c r="C65" s="56" t="s">
        <v>3899</v>
      </c>
      <c r="D65" s="56" t="s">
        <v>3900</v>
      </c>
      <c r="E65" s="69"/>
      <c r="F65" s="56" t="s">
        <v>1979</v>
      </c>
      <c r="G65" s="69"/>
      <c r="H65" s="69"/>
      <c r="I65" s="56" t="s">
        <v>3769</v>
      </c>
      <c r="J65" s="56" t="s">
        <v>3777</v>
      </c>
      <c r="K65" s="56" t="s">
        <v>3937</v>
      </c>
      <c r="L65" s="56" t="s">
        <v>1580</v>
      </c>
      <c r="M65" s="100"/>
    </row>
    <row r="66" spans="1:13" x14ac:dyDescent="0.35">
      <c r="A66" s="99"/>
      <c r="B66" s="101" t="s">
        <v>1566</v>
      </c>
      <c r="C66" s="102">
        <v>1</v>
      </c>
      <c r="D66" s="102">
        <v>0</v>
      </c>
      <c r="E66" s="69"/>
      <c r="F66" s="255">
        <v>2</v>
      </c>
      <c r="G66" s="69"/>
      <c r="H66" s="69"/>
      <c r="I66" s="101" t="s">
        <v>3330</v>
      </c>
      <c r="J66" s="49">
        <v>2.56</v>
      </c>
      <c r="K66" s="49">
        <v>1.79</v>
      </c>
      <c r="L66" s="49">
        <v>0.98</v>
      </c>
      <c r="M66" s="100"/>
    </row>
    <row r="67" spans="1:13" x14ac:dyDescent="0.35">
      <c r="A67" s="99"/>
      <c r="B67" s="101" t="s">
        <v>1529</v>
      </c>
      <c r="C67" s="102">
        <v>0</v>
      </c>
      <c r="D67" s="102">
        <v>1</v>
      </c>
      <c r="E67" s="69"/>
      <c r="F67" s="255">
        <v>1.75</v>
      </c>
      <c r="G67" s="69"/>
      <c r="H67" s="69"/>
      <c r="I67" s="101" t="s">
        <v>1864</v>
      </c>
      <c r="J67" s="49">
        <v>2.1</v>
      </c>
      <c r="K67" s="49">
        <v>1.3</v>
      </c>
      <c r="L67" s="49">
        <v>0.95</v>
      </c>
      <c r="M67" s="100"/>
    </row>
    <row r="68" spans="1:13" ht="26" x14ac:dyDescent="0.35">
      <c r="A68" s="99"/>
      <c r="B68" s="101" t="s">
        <v>1185</v>
      </c>
      <c r="C68" s="102">
        <v>0.16</v>
      </c>
      <c r="D68" s="102">
        <v>0.84</v>
      </c>
      <c r="E68" s="69"/>
      <c r="F68" s="255">
        <v>1.5</v>
      </c>
      <c r="G68" s="69"/>
      <c r="H68" s="69"/>
      <c r="I68" s="2173" t="s">
        <v>3903</v>
      </c>
      <c r="J68" s="1">
        <v>2.42</v>
      </c>
      <c r="K68" s="1"/>
      <c r="L68" s="1"/>
      <c r="M68" s="100"/>
    </row>
    <row r="69" spans="1:13" ht="52" x14ac:dyDescent="0.35">
      <c r="A69" s="99"/>
      <c r="B69" s="331"/>
      <c r="C69" s="1563"/>
      <c r="D69" s="1563"/>
      <c r="E69" s="69"/>
      <c r="F69" s="630"/>
      <c r="G69" s="69"/>
      <c r="H69" s="69"/>
      <c r="I69" s="101" t="s">
        <v>105</v>
      </c>
      <c r="J69" s="101" t="s">
        <v>4076</v>
      </c>
      <c r="K69" s="49" t="s">
        <v>1940</v>
      </c>
      <c r="L69" s="49"/>
      <c r="M69" s="100"/>
    </row>
    <row r="70" spans="1:13" ht="26" x14ac:dyDescent="0.35">
      <c r="A70" s="99"/>
      <c r="B70" s="69"/>
      <c r="C70" s="69"/>
      <c r="D70" s="69"/>
      <c r="E70" s="69"/>
      <c r="F70" s="69"/>
      <c r="G70" s="69"/>
      <c r="H70" s="69"/>
      <c r="I70" s="2365" t="s">
        <v>4077</v>
      </c>
      <c r="J70" s="2366"/>
      <c r="K70" s="2367"/>
      <c r="L70" s="2367">
        <v>0.65</v>
      </c>
      <c r="M70" s="100"/>
    </row>
    <row r="71" spans="1:13" ht="26" x14ac:dyDescent="0.35">
      <c r="A71" s="99"/>
      <c r="B71" s="69"/>
      <c r="C71" s="69"/>
      <c r="D71" s="69"/>
      <c r="E71" s="69"/>
      <c r="F71" s="69"/>
      <c r="G71" s="69"/>
      <c r="H71" s="69"/>
      <c r="I71" s="2366" t="s">
        <v>3985</v>
      </c>
      <c r="J71" s="2366"/>
      <c r="K71" s="2367"/>
      <c r="L71" s="2367">
        <v>0.67</v>
      </c>
      <c r="M71" s="100"/>
    </row>
    <row r="72" spans="1:13" ht="87" x14ac:dyDescent="0.35">
      <c r="A72" s="99"/>
      <c r="B72" s="56" t="s">
        <v>1876</v>
      </c>
      <c r="C72" s="56"/>
      <c r="D72" s="69"/>
      <c r="E72" s="69"/>
      <c r="F72" s="69"/>
      <c r="G72" s="69"/>
      <c r="H72" s="256"/>
      <c r="I72" s="2366" t="s">
        <v>3986</v>
      </c>
      <c r="J72" s="2366"/>
      <c r="K72" s="2367"/>
      <c r="L72" s="2368" t="s">
        <v>4078</v>
      </c>
      <c r="M72" s="100"/>
    </row>
    <row r="73" spans="1:13" x14ac:dyDescent="0.35">
      <c r="A73" s="99"/>
      <c r="B73" s="49" t="s">
        <v>3330</v>
      </c>
      <c r="C73" s="2649">
        <v>5.3699999999999998E-3</v>
      </c>
      <c r="D73" s="69"/>
      <c r="E73" s="69"/>
      <c r="F73" s="69"/>
      <c r="G73" s="69"/>
      <c r="H73" s="256"/>
      <c r="I73" s="69"/>
      <c r="J73" s="69"/>
      <c r="K73" s="69"/>
      <c r="L73" s="69"/>
      <c r="M73" s="100"/>
    </row>
    <row r="74" spans="1:13" x14ac:dyDescent="0.35">
      <c r="A74" s="99"/>
      <c r="B74" s="49" t="s">
        <v>1864</v>
      </c>
      <c r="C74" s="2649">
        <v>6.2500000000000003E-3</v>
      </c>
      <c r="D74" s="69"/>
      <c r="E74" s="69"/>
      <c r="F74" s="69"/>
      <c r="G74" s="69"/>
      <c r="H74" s="256"/>
      <c r="I74" s="69"/>
      <c r="J74" s="69"/>
      <c r="K74" s="69"/>
      <c r="L74" s="69"/>
      <c r="M74" s="100"/>
    </row>
    <row r="75" spans="1:13" x14ac:dyDescent="0.35">
      <c r="A75" s="99"/>
      <c r="B75" s="69"/>
      <c r="C75" s="69"/>
      <c r="D75" s="69"/>
      <c r="E75" s="69"/>
      <c r="F75" s="69"/>
      <c r="G75" s="69"/>
      <c r="H75" s="69"/>
      <c r="I75" s="69"/>
      <c r="J75" s="69"/>
      <c r="K75" s="69"/>
      <c r="L75" s="69"/>
      <c r="M75" s="100"/>
    </row>
    <row r="76" spans="1:13" x14ac:dyDescent="0.35">
      <c r="A76" s="99"/>
      <c r="B76" s="69"/>
      <c r="C76" s="69"/>
      <c r="D76" s="69"/>
      <c r="E76" s="69"/>
      <c r="F76" s="69"/>
      <c r="G76" s="69"/>
      <c r="H76" s="69"/>
      <c r="I76" s="69"/>
      <c r="J76" s="69"/>
      <c r="K76" s="69"/>
      <c r="L76" s="69"/>
      <c r="M76" s="100"/>
    </row>
    <row r="77" spans="1:13" x14ac:dyDescent="0.35">
      <c r="A77" s="99"/>
      <c r="B77" s="69"/>
      <c r="C77" s="69"/>
      <c r="D77" s="69"/>
      <c r="E77" s="69"/>
      <c r="F77" s="69"/>
      <c r="G77" s="69"/>
      <c r="H77" s="69"/>
      <c r="I77" s="69"/>
      <c r="J77" s="69"/>
      <c r="K77" s="69"/>
      <c r="L77" s="69"/>
      <c r="M77" s="100"/>
    </row>
    <row r="78" spans="1:13" x14ac:dyDescent="0.35">
      <c r="A78" s="99"/>
      <c r="B78" s="56" t="s">
        <v>3992</v>
      </c>
      <c r="C78" s="56"/>
      <c r="D78" s="69"/>
      <c r="E78" s="69"/>
      <c r="F78" s="69"/>
      <c r="G78" s="69"/>
      <c r="H78" s="69"/>
      <c r="I78" s="69"/>
      <c r="J78" s="69"/>
      <c r="K78" s="69"/>
      <c r="L78" s="69"/>
      <c r="M78" s="100"/>
    </row>
    <row r="79" spans="1:13" x14ac:dyDescent="0.35">
      <c r="A79" s="99"/>
      <c r="B79" s="49" t="s">
        <v>1631</v>
      </c>
      <c r="C79" s="49">
        <v>12</v>
      </c>
      <c r="D79" s="69"/>
      <c r="E79" s="69"/>
      <c r="F79" s="69"/>
      <c r="G79" s="69"/>
      <c r="H79" s="69"/>
      <c r="I79" s="69"/>
      <c r="J79" s="69"/>
      <c r="K79" s="69"/>
      <c r="L79" s="69"/>
      <c r="M79" s="100"/>
    </row>
    <row r="80" spans="1:13" x14ac:dyDescent="0.35">
      <c r="A80" s="99"/>
      <c r="B80" s="257" t="s">
        <v>3956</v>
      </c>
      <c r="C80" s="49">
        <v>12</v>
      </c>
      <c r="D80" s="69"/>
      <c r="E80" s="69"/>
      <c r="F80" s="69"/>
      <c r="G80" s="69"/>
      <c r="H80" s="69"/>
      <c r="I80" s="69"/>
      <c r="J80" s="69"/>
      <c r="K80" s="69"/>
      <c r="L80" s="69"/>
      <c r="M80" s="100"/>
    </row>
    <row r="81" spans="1:13" x14ac:dyDescent="0.35">
      <c r="A81" s="99"/>
      <c r="B81" s="257" t="s">
        <v>4079</v>
      </c>
      <c r="C81" s="49">
        <v>8.91</v>
      </c>
      <c r="D81" s="69"/>
      <c r="E81" s="69"/>
      <c r="F81" s="69"/>
      <c r="G81" s="69"/>
      <c r="H81" s="69"/>
      <c r="I81" s="69"/>
      <c r="J81" s="69"/>
      <c r="K81" s="69"/>
      <c r="L81" s="69"/>
      <c r="M81" s="100"/>
    </row>
    <row r="82" spans="1:13" x14ac:dyDescent="0.35">
      <c r="A82" s="99"/>
      <c r="B82" s="49" t="s">
        <v>950</v>
      </c>
      <c r="C82" s="49">
        <v>18</v>
      </c>
      <c r="D82" s="258"/>
      <c r="E82" s="69"/>
      <c r="F82" s="69"/>
      <c r="G82" s="69"/>
      <c r="H82" s="69"/>
      <c r="I82" s="69"/>
      <c r="J82" s="69"/>
      <c r="K82" s="69"/>
      <c r="L82" s="69"/>
      <c r="M82" s="100"/>
    </row>
    <row r="83" spans="1:13" x14ac:dyDescent="0.35">
      <c r="A83" s="99"/>
      <c r="B83" s="49" t="s">
        <v>4080</v>
      </c>
      <c r="C83" s="49">
        <v>18</v>
      </c>
      <c r="D83" s="258"/>
      <c r="E83" s="69"/>
      <c r="F83" s="69"/>
      <c r="G83" s="69"/>
      <c r="H83" s="69"/>
      <c r="I83" s="69"/>
      <c r="J83" s="69"/>
      <c r="K83" s="69"/>
      <c r="L83" s="69"/>
      <c r="M83" s="100"/>
    </row>
    <row r="84" spans="1:13" x14ac:dyDescent="0.35">
      <c r="A84" s="99"/>
      <c r="B84" s="69"/>
      <c r="C84" s="69"/>
      <c r="D84" s="69"/>
      <c r="E84" s="69"/>
      <c r="F84" s="69"/>
      <c r="G84" s="69"/>
      <c r="H84" s="69"/>
      <c r="I84" s="69"/>
      <c r="J84" s="69"/>
      <c r="K84" s="69"/>
      <c r="L84" s="69"/>
      <c r="M84" s="100"/>
    </row>
    <row r="85" spans="1:13" x14ac:dyDescent="0.35">
      <c r="A85" s="99"/>
      <c r="B85" s="69"/>
      <c r="C85" s="69"/>
      <c r="D85" s="69"/>
      <c r="E85" s="69"/>
      <c r="F85" s="69"/>
      <c r="G85" s="69"/>
      <c r="H85" s="69"/>
      <c r="I85" s="69"/>
      <c r="J85" s="69"/>
      <c r="K85" s="69"/>
      <c r="L85" s="69"/>
      <c r="M85" s="100"/>
    </row>
    <row r="86" spans="1:13" x14ac:dyDescent="0.35">
      <c r="A86" s="99"/>
      <c r="B86" s="69"/>
      <c r="C86" s="69"/>
      <c r="D86" s="3169" t="s">
        <v>1641</v>
      </c>
      <c r="E86" s="3169"/>
      <c r="F86" s="69"/>
      <c r="G86" s="69"/>
      <c r="H86" s="69"/>
      <c r="I86" s="69"/>
      <c r="J86" s="69"/>
      <c r="K86" s="69"/>
      <c r="L86" s="69"/>
      <c r="M86" s="100"/>
    </row>
    <row r="87" spans="1:13" x14ac:dyDescent="0.35">
      <c r="A87" s="99"/>
      <c r="B87" s="56" t="s">
        <v>55</v>
      </c>
      <c r="C87" s="56" t="s">
        <v>1872</v>
      </c>
      <c r="D87" s="56" t="s">
        <v>2206</v>
      </c>
      <c r="E87" s="56" t="s">
        <v>114</v>
      </c>
      <c r="F87" s="259" t="s">
        <v>1082</v>
      </c>
      <c r="G87" s="69"/>
      <c r="H87" s="69"/>
      <c r="I87" s="69"/>
      <c r="J87" s="69"/>
      <c r="K87" s="69"/>
      <c r="L87" s="69"/>
      <c r="M87" s="100"/>
    </row>
    <row r="88" spans="1:13" x14ac:dyDescent="0.35">
      <c r="A88" s="99"/>
      <c r="B88" s="49" t="s">
        <v>1072</v>
      </c>
      <c r="C88" s="49">
        <v>2.35</v>
      </c>
      <c r="D88" s="49">
        <v>266</v>
      </c>
      <c r="E88" s="49">
        <v>218</v>
      </c>
      <c r="F88" s="49"/>
      <c r="G88" s="69"/>
      <c r="H88" s="69"/>
      <c r="I88" s="69"/>
      <c r="J88" s="69"/>
      <c r="K88" s="69"/>
      <c r="L88" s="69"/>
      <c r="M88" s="100"/>
    </row>
    <row r="89" spans="1:13" x14ac:dyDescent="0.35">
      <c r="A89" s="99"/>
      <c r="B89" s="49" t="s">
        <v>1632</v>
      </c>
      <c r="C89" s="49">
        <v>2.35</v>
      </c>
      <c r="D89" s="49">
        <v>266</v>
      </c>
      <c r="E89" s="49">
        <v>218</v>
      </c>
      <c r="F89" s="49"/>
      <c r="G89" s="69"/>
      <c r="H89" s="69"/>
      <c r="I89" s="69"/>
      <c r="J89" s="69"/>
      <c r="K89" s="69"/>
      <c r="L89" s="69"/>
      <c r="M89" s="100"/>
    </row>
    <row r="90" spans="1:13" x14ac:dyDescent="0.35">
      <c r="A90" s="99"/>
      <c r="B90" s="49" t="s">
        <v>2279</v>
      </c>
      <c r="C90" s="260">
        <v>2</v>
      </c>
      <c r="D90" s="49"/>
      <c r="E90" s="49"/>
      <c r="F90" s="49"/>
      <c r="G90" s="69"/>
      <c r="H90" s="69"/>
      <c r="I90" s="69"/>
      <c r="J90" s="69"/>
      <c r="K90" s="69"/>
      <c r="L90" s="69"/>
      <c r="M90" s="100"/>
    </row>
    <row r="91" spans="1:13" x14ac:dyDescent="0.35">
      <c r="A91" s="99"/>
      <c r="B91" s="49" t="s">
        <v>1583</v>
      </c>
      <c r="C91" s="49">
        <v>2.67</v>
      </c>
      <c r="D91" s="49">
        <v>302</v>
      </c>
      <c r="E91" s="49">
        <v>248</v>
      </c>
      <c r="F91" s="49"/>
      <c r="G91" s="69"/>
      <c r="H91" s="69"/>
      <c r="I91" s="69"/>
      <c r="J91" s="69"/>
      <c r="K91" s="69"/>
      <c r="L91" s="69"/>
      <c r="M91" s="100"/>
    </row>
    <row r="92" spans="1:13" ht="116" x14ac:dyDescent="0.35">
      <c r="A92" s="99"/>
      <c r="B92" s="49" t="s">
        <v>3942</v>
      </c>
      <c r="C92" s="49">
        <v>2.67</v>
      </c>
      <c r="D92" s="49">
        <v>302</v>
      </c>
      <c r="E92" s="49">
        <v>248</v>
      </c>
      <c r="F92" s="257" t="s">
        <v>3994</v>
      </c>
      <c r="G92" s="69"/>
      <c r="H92" s="69"/>
      <c r="I92" s="69"/>
      <c r="J92" s="69"/>
      <c r="K92" s="69"/>
      <c r="L92" s="69"/>
      <c r="M92" s="100"/>
    </row>
    <row r="93" spans="1:13" x14ac:dyDescent="0.35">
      <c r="A93" s="99"/>
      <c r="B93" s="49" t="s">
        <v>4081</v>
      </c>
      <c r="C93" s="49">
        <f>+B17</f>
        <v>1.93</v>
      </c>
      <c r="D93" s="69"/>
      <c r="E93" s="69"/>
      <c r="F93" s="972"/>
      <c r="G93" s="69"/>
      <c r="H93" s="69"/>
      <c r="I93" s="69"/>
      <c r="J93" s="69"/>
      <c r="K93" s="69"/>
      <c r="L93" s="69"/>
      <c r="M93" s="100"/>
    </row>
    <row r="94" spans="1:13" ht="15" thickBot="1" x14ac:dyDescent="0.4">
      <c r="A94" s="261"/>
      <c r="B94" s="161"/>
      <c r="C94" s="161"/>
      <c r="D94" s="161"/>
      <c r="E94" s="161"/>
      <c r="F94" s="161"/>
      <c r="G94" s="161"/>
      <c r="H94" s="161"/>
      <c r="I94" s="161"/>
      <c r="J94" s="161"/>
      <c r="K94" s="161"/>
      <c r="L94" s="161"/>
      <c r="M94" s="163"/>
    </row>
  </sheetData>
  <mergeCells count="39">
    <mergeCell ref="O47:O48"/>
    <mergeCell ref="N49:N50"/>
    <mergeCell ref="N57:N58"/>
    <mergeCell ref="O57:O58"/>
    <mergeCell ref="N59:N60"/>
    <mergeCell ref="D86:E86"/>
    <mergeCell ref="M39:M40"/>
    <mergeCell ref="N39:N40"/>
    <mergeCell ref="M41:M44"/>
    <mergeCell ref="N41:N42"/>
    <mergeCell ref="N45:N46"/>
    <mergeCell ref="N47:N48"/>
    <mergeCell ref="M29:M30"/>
    <mergeCell ref="N29:N30"/>
    <mergeCell ref="M21:M22"/>
    <mergeCell ref="N21:N22"/>
    <mergeCell ref="O21:O22"/>
    <mergeCell ref="N25:N26"/>
    <mergeCell ref="O25:O26"/>
    <mergeCell ref="M27:M28"/>
    <mergeCell ref="N27:N28"/>
    <mergeCell ref="O27:O28"/>
    <mergeCell ref="B23:B24"/>
    <mergeCell ref="M23:M24"/>
    <mergeCell ref="N23:N24"/>
    <mergeCell ref="M15:M16"/>
    <mergeCell ref="N15:N16"/>
    <mergeCell ref="M17:M18"/>
    <mergeCell ref="N17:N18"/>
    <mergeCell ref="O17:O18"/>
    <mergeCell ref="M19:M20"/>
    <mergeCell ref="N19:N20"/>
    <mergeCell ref="O19:O20"/>
    <mergeCell ref="N2:Q2"/>
    <mergeCell ref="R2:U2"/>
    <mergeCell ref="V2:AI2"/>
    <mergeCell ref="Y9:Y10"/>
    <mergeCell ref="Y11:Y12"/>
    <mergeCell ref="M13:O13"/>
  </mergeCells>
  <dataValidations count="8">
    <dataValidation type="list" allowBlank="1" showInputMessage="1" showErrorMessage="1" sqref="F4" xr:uid="{63A5F970-752F-4EDF-B9E2-FF2E2CFB3662}">
      <formula1>$B$88:$B$93</formula1>
    </dataValidation>
    <dataValidation type="list" allowBlank="1" showInputMessage="1" showErrorMessage="1" sqref="I4:I5" xr:uid="{3D767B0A-DD21-4FAA-9603-67E1C1D0E939}">
      <formula1>$B$79:$B$83</formula1>
    </dataValidation>
    <dataValidation type="list" allowBlank="1" showInputMessage="1" showErrorMessage="1" sqref="F5" xr:uid="{714FD37A-E930-46C0-8AC2-E45A43474785}">
      <formula1>$N$9:$N$14</formula1>
    </dataValidation>
    <dataValidation type="list" allowBlank="1" showInputMessage="1" showErrorMessage="1" sqref="L4:L5" xr:uid="{9448040B-E90B-49EB-860C-23FEE7B72B66}">
      <formula1>LFSh1</formula1>
    </dataValidation>
    <dataValidation type="list" allowBlank="1" showInputMessage="1" showErrorMessage="1" sqref="M4:M5" xr:uid="{358D31E1-88B3-45D5-B679-2D40F0C4F20E}">
      <formula1>LFSh2</formula1>
    </dataValidation>
    <dataValidation type="list" allowBlank="1" showInputMessage="1" showErrorMessage="1" sqref="E4:E5" xr:uid="{C342F5C1-6C22-4376-81DE-B9A98E5D963C}">
      <formula1>$L$9:$L$10</formula1>
    </dataValidation>
    <dataValidation type="list" allowBlank="1" showInputMessage="1" showErrorMessage="1" sqref="K4:K5" xr:uid="{6F8065B9-35D5-45D5-B497-CDE2AE2F4AC1}">
      <formula1>$B$66:$B$69</formula1>
    </dataValidation>
    <dataValidation type="list" allowBlank="1" showInputMessage="1" showErrorMessage="1" sqref="D4:D6" xr:uid="{68F3472C-BB08-45D7-8839-B267D822805A}">
      <formula1>MeasureType</formula1>
    </dataValidation>
  </dataValidations>
  <hyperlinks>
    <hyperlink ref="A1" location="'Measure-Level Adjustments'!Print_Titles" display="Measure Level Tab" xr:uid="{A452AF5B-FF6E-445F-BEC0-299603E84667}"/>
  </hyperlinks>
  <pageMargins left="0.7" right="0.7" top="0.75" bottom="0.75" header="0.3" footer="0.3"/>
  <pageSetup scale="27"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CE6F1"/>
    <pageSetUpPr fitToPage="1"/>
  </sheetPr>
  <dimension ref="A1:O14"/>
  <sheetViews>
    <sheetView view="pageBreakPreview" zoomScale="60" zoomScaleNormal="100" workbookViewId="0"/>
  </sheetViews>
  <sheetFormatPr defaultRowHeight="14.5" x14ac:dyDescent="0.35"/>
  <cols>
    <col min="1" max="1" width="22.26953125" bestFit="1" customWidth="1"/>
    <col min="2" max="2" width="27.26953125" bestFit="1" customWidth="1"/>
    <col min="3" max="3" width="28.7265625" customWidth="1"/>
    <col min="4" max="4" width="19.26953125" customWidth="1"/>
    <col min="5" max="5" width="12.81640625" bestFit="1" customWidth="1"/>
    <col min="6" max="6" width="16.1796875" bestFit="1" customWidth="1"/>
    <col min="7" max="7" width="12.453125" customWidth="1"/>
    <col min="8" max="9" width="17.1796875" customWidth="1"/>
    <col min="13" max="13" width="10.26953125" customWidth="1"/>
    <col min="15" max="15" width="10" bestFit="1" customWidth="1"/>
  </cols>
  <sheetData>
    <row r="1" spans="1:15" ht="15" customHeight="1" x14ac:dyDescent="0.35">
      <c r="A1" s="947" t="s">
        <v>385</v>
      </c>
      <c r="B1" s="948"/>
      <c r="C1" s="948"/>
      <c r="D1" s="948"/>
      <c r="E1" s="949"/>
      <c r="F1" s="949"/>
      <c r="G1" s="949"/>
      <c r="H1" s="949"/>
      <c r="I1" s="950"/>
      <c r="J1" s="2990" t="s">
        <v>1032</v>
      </c>
      <c r="K1" s="2991"/>
      <c r="L1" s="2992"/>
      <c r="M1" s="2990" t="s">
        <v>1033</v>
      </c>
      <c r="N1" s="2991"/>
      <c r="O1" s="2992"/>
    </row>
    <row r="2" spans="1:15" s="199" customFormat="1" ht="29" x14ac:dyDescent="0.35">
      <c r="A2" s="952" t="s">
        <v>1035</v>
      </c>
      <c r="B2" s="952" t="s">
        <v>155</v>
      </c>
      <c r="C2" s="953" t="s">
        <v>1036</v>
      </c>
      <c r="D2" s="953" t="s">
        <v>1037</v>
      </c>
      <c r="E2" s="952" t="s">
        <v>1038</v>
      </c>
      <c r="F2" s="952" t="s">
        <v>1039</v>
      </c>
      <c r="G2" s="952" t="s">
        <v>1040</v>
      </c>
      <c r="H2" s="952" t="s">
        <v>1041</v>
      </c>
      <c r="I2" s="952" t="s">
        <v>1043</v>
      </c>
      <c r="J2" s="952" t="s">
        <v>1044</v>
      </c>
      <c r="K2" s="952" t="s">
        <v>1045</v>
      </c>
      <c r="L2" s="952" t="s">
        <v>1046</v>
      </c>
      <c r="M2" s="952" t="s">
        <v>1044</v>
      </c>
      <c r="N2" s="952" t="s">
        <v>1045</v>
      </c>
      <c r="O2" s="952" t="s">
        <v>1046</v>
      </c>
    </row>
    <row r="3" spans="1:15" s="60" customFormat="1" x14ac:dyDescent="0.35">
      <c r="A3" s="955" t="s">
        <v>385</v>
      </c>
      <c r="B3" s="955" t="s">
        <v>1283</v>
      </c>
      <c r="C3" s="956" t="s">
        <v>384</v>
      </c>
      <c r="D3" s="957" t="s">
        <v>1071</v>
      </c>
      <c r="E3" s="958" t="s">
        <v>1072</v>
      </c>
      <c r="F3" s="958">
        <f>+$B$9</f>
        <v>17</v>
      </c>
      <c r="G3" s="960"/>
      <c r="H3" s="965" t="s">
        <v>1284</v>
      </c>
      <c r="I3" s="965" t="s">
        <v>1284</v>
      </c>
      <c r="J3" s="991"/>
      <c r="K3" s="963"/>
      <c r="L3" s="991">
        <f>+$B$8</f>
        <v>884</v>
      </c>
      <c r="M3" s="991"/>
      <c r="N3" s="963"/>
      <c r="O3" s="991">
        <f>L3*F3</f>
        <v>15028</v>
      </c>
    </row>
    <row r="4" spans="1:15" x14ac:dyDescent="0.35">
      <c r="A4" s="961"/>
      <c r="B4" s="961"/>
      <c r="C4" s="961"/>
      <c r="D4" s="961"/>
      <c r="E4" s="961"/>
      <c r="F4" s="961"/>
      <c r="G4" s="961"/>
      <c r="H4" s="961"/>
      <c r="I4" s="961"/>
      <c r="J4" s="961"/>
      <c r="K4" s="961"/>
      <c r="L4" s="961"/>
      <c r="M4" s="961"/>
      <c r="N4" s="69"/>
      <c r="O4" s="69"/>
    </row>
    <row r="6" spans="1:15" ht="15" thickBot="1" x14ac:dyDescent="0.4"/>
    <row r="7" spans="1:15" ht="15" thickBot="1" x14ac:dyDescent="0.4">
      <c r="A7" s="74" t="s">
        <v>1285</v>
      </c>
      <c r="B7" s="75" t="s">
        <v>1199</v>
      </c>
      <c r="C7" s="76" t="s">
        <v>1082</v>
      </c>
      <c r="D7" s="65"/>
    </row>
    <row r="8" spans="1:15" x14ac:dyDescent="0.35">
      <c r="A8" s="93" t="s">
        <v>1286</v>
      </c>
      <c r="B8" s="87">
        <v>884</v>
      </c>
      <c r="C8" s="80" t="s">
        <v>1287</v>
      </c>
      <c r="D8" s="81"/>
    </row>
    <row r="9" spans="1:15" x14ac:dyDescent="0.35">
      <c r="A9" s="254" t="s">
        <v>1083</v>
      </c>
      <c r="B9" s="853">
        <v>17</v>
      </c>
      <c r="C9" t="s">
        <v>1287</v>
      </c>
      <c r="D9" s="253"/>
    </row>
    <row r="10" spans="1:15" ht="15" thickBot="1" x14ac:dyDescent="0.4">
      <c r="A10" s="254" t="s">
        <v>1040</v>
      </c>
      <c r="B10" s="853"/>
      <c r="D10" s="253"/>
    </row>
    <row r="11" spans="1:15" ht="29.25" customHeight="1" x14ac:dyDescent="0.35">
      <c r="A11" s="854" t="s">
        <v>1253</v>
      </c>
      <c r="B11" s="80"/>
      <c r="C11" s="3019" t="s">
        <v>1288</v>
      </c>
      <c r="D11" s="3020"/>
    </row>
    <row r="12" spans="1:15" ht="78.75" customHeight="1" thickBot="1" x14ac:dyDescent="0.4">
      <c r="A12" s="855" t="s">
        <v>1255</v>
      </c>
      <c r="B12" s="85"/>
      <c r="C12" s="3021" t="s">
        <v>1289</v>
      </c>
      <c r="D12" s="3022"/>
    </row>
    <row r="13" spans="1:15" ht="15" thickBot="1" x14ac:dyDescent="0.4">
      <c r="A13" s="154" t="s">
        <v>1078</v>
      </c>
      <c r="B13" s="1142">
        <f>'Measure-Level Adjustments'!A2</f>
        <v>44592</v>
      </c>
    </row>
    <row r="14" spans="1:15" ht="15" thickBot="1" x14ac:dyDescent="0.4">
      <c r="A14" s="154" t="s">
        <v>1079</v>
      </c>
      <c r="B14" s="577" t="s">
        <v>386</v>
      </c>
    </row>
  </sheetData>
  <customSheetViews>
    <customSheetView guid="{ECD6FE6A-9548-414E-B8AA-6998703C57E0}" scale="60" showPageBreaks="1" fitToPage="1" view="pageBreakPreview">
      <pageMargins left="0" right="0" top="0" bottom="0" header="0" footer="0"/>
      <pageSetup scale="54" orientation="landscape" verticalDpi="300" r:id="rId1"/>
    </customSheetView>
    <customSheetView guid="{11DE45F5-F478-4ED6-8DFF-12002C22A637}" scale="60" showPageBreaks="1" fitToPage="1" view="pageBreakPreview">
      <pageMargins left="0" right="0" top="0" bottom="0" header="0" footer="0"/>
      <pageSetup scale="54" orientation="landscape" verticalDpi="300" r:id="rId2"/>
    </customSheetView>
  </customSheetViews>
  <mergeCells count="4">
    <mergeCell ref="J1:L1"/>
    <mergeCell ref="M1:O1"/>
    <mergeCell ref="C11:D11"/>
    <mergeCell ref="C12:D12"/>
  </mergeCells>
  <dataValidations disablePrompts="1" count="1">
    <dataValidation type="list" allowBlank="1" showInputMessage="1" showErrorMessage="1" sqref="D3" xr:uid="{00000000-0002-0000-0500-000000000000}">
      <formula1>MeasureType</formula1>
    </dataValidation>
  </dataValidations>
  <pageMargins left="0.7" right="0.7" top="0.75" bottom="0.75" header="0.3" footer="0.3"/>
  <pageSetup scale="53" orientation="landscape" verticalDpi="300"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5FABC-FDA5-422C-8861-300F2567A824}">
  <sheetPr>
    <tabColor rgb="FF00B050"/>
  </sheetPr>
  <dimension ref="A1:S65"/>
  <sheetViews>
    <sheetView topLeftCell="F1" workbookViewId="0">
      <selection activeCell="O14" sqref="O14"/>
    </sheetView>
  </sheetViews>
  <sheetFormatPr defaultRowHeight="14.5" x14ac:dyDescent="0.35"/>
  <cols>
    <col min="1" max="1" width="34.7265625" bestFit="1" customWidth="1"/>
    <col min="2" max="2" width="30.7265625" customWidth="1"/>
    <col min="3" max="3" width="33.1796875" customWidth="1"/>
    <col min="4" max="4" width="24" customWidth="1"/>
    <col min="5" max="5" width="22" customWidth="1"/>
    <col min="6" max="6" width="23.1796875" customWidth="1"/>
    <col min="7" max="7" width="17.7265625" customWidth="1"/>
    <col min="8" max="8" width="21.7265625" customWidth="1"/>
    <col min="9" max="9" width="14.1796875" customWidth="1"/>
    <col min="10" max="10" width="17" customWidth="1"/>
    <col min="11" max="11" width="13.54296875" customWidth="1"/>
    <col min="12" max="12" width="12.1796875" customWidth="1"/>
  </cols>
  <sheetData>
    <row r="1" spans="1:19" x14ac:dyDescent="0.35">
      <c r="A1" s="1702"/>
      <c r="B1" s="1703"/>
      <c r="C1" s="1703"/>
      <c r="D1" s="1703"/>
      <c r="E1" s="1704"/>
      <c r="F1" s="1704"/>
      <c r="G1" s="1704"/>
      <c r="H1" s="1704"/>
      <c r="I1" s="1704"/>
      <c r="J1" s="1704"/>
      <c r="K1" s="1704"/>
      <c r="L1" s="1704"/>
      <c r="M1" s="1704"/>
      <c r="N1" s="3147" t="s">
        <v>1032</v>
      </c>
      <c r="O1" s="3148"/>
      <c r="P1" s="3264"/>
      <c r="Q1" s="3147" t="s">
        <v>1033</v>
      </c>
      <c r="R1" s="3148"/>
      <c r="S1" s="3264"/>
    </row>
    <row r="2" spans="1:19" ht="25.5" customHeight="1" x14ac:dyDescent="0.35">
      <c r="A2" s="2248" t="s">
        <v>1035</v>
      </c>
      <c r="B2" s="2249" t="s">
        <v>155</v>
      </c>
      <c r="C2" s="2249" t="s">
        <v>1036</v>
      </c>
      <c r="D2" s="2249" t="s">
        <v>1037</v>
      </c>
      <c r="E2" s="2058" t="s">
        <v>1038</v>
      </c>
      <c r="F2" s="2058" t="s">
        <v>1039</v>
      </c>
      <c r="G2" s="2058" t="s">
        <v>1040</v>
      </c>
      <c r="H2" s="2059" t="s">
        <v>1360</v>
      </c>
      <c r="I2" s="2058" t="s">
        <v>4035</v>
      </c>
      <c r="J2" s="2058" t="s">
        <v>4082</v>
      </c>
      <c r="K2" s="2059" t="s">
        <v>4083</v>
      </c>
      <c r="L2" s="2059" t="s">
        <v>4084</v>
      </c>
      <c r="M2" s="2059"/>
      <c r="N2" s="1976" t="s">
        <v>1044</v>
      </c>
      <c r="O2" s="1976" t="s">
        <v>1045</v>
      </c>
      <c r="P2" s="1976" t="s">
        <v>1046</v>
      </c>
      <c r="Q2" s="1976" t="s">
        <v>1044</v>
      </c>
      <c r="R2" s="1976" t="s">
        <v>1045</v>
      </c>
      <c r="S2" s="1976" t="s">
        <v>1046</v>
      </c>
    </row>
    <row r="3" spans="1:19" ht="26.25" customHeight="1" x14ac:dyDescent="0.35">
      <c r="A3" s="2250" t="s">
        <v>4085</v>
      </c>
      <c r="B3" s="2250" t="s">
        <v>4086</v>
      </c>
      <c r="C3" s="2250" t="s">
        <v>4086</v>
      </c>
      <c r="D3" s="2250" t="s">
        <v>1771</v>
      </c>
      <c r="E3" s="2060" t="s">
        <v>1583</v>
      </c>
      <c r="F3" s="2251">
        <v>30</v>
      </c>
      <c r="G3" s="2252"/>
      <c r="H3" s="2252" t="s">
        <v>3330</v>
      </c>
      <c r="I3" s="2060">
        <f>VLOOKUP(E3,B34:C36,2,FALSE)</f>
        <v>2.2400000000000002</v>
      </c>
      <c r="J3" s="2060">
        <f>VLOOKUP(H3,B43:C44,2,FALSE)</f>
        <v>2.56</v>
      </c>
      <c r="K3" s="2060">
        <f>VLOOKUP(H3,B49:C50,2,FALSE)</f>
        <v>1</v>
      </c>
      <c r="L3" s="2060">
        <f>VLOOKUP(H3,B64:C65,2,FALSE)</f>
        <v>0.78</v>
      </c>
      <c r="M3" s="2060"/>
      <c r="N3" s="2228"/>
      <c r="O3" s="2229"/>
      <c r="P3" s="2871">
        <f>(($B$23-$B$26)*$A$28*I3*$B$39*J3*K3*$B$53*$A$55*$B$58)/($A$60*L3)</f>
        <v>21.062137149849601</v>
      </c>
      <c r="Q3" s="2230"/>
      <c r="R3" s="2229"/>
      <c r="S3" s="2230">
        <f>P3*F3</f>
        <v>631.86411449548802</v>
      </c>
    </row>
    <row r="4" spans="1:19" ht="35.25" customHeight="1" x14ac:dyDescent="0.35">
      <c r="A4" s="2250" t="s">
        <v>771</v>
      </c>
      <c r="B4" s="2250" t="s">
        <v>4087</v>
      </c>
      <c r="C4" s="2250" t="s">
        <v>770</v>
      </c>
      <c r="D4" s="2250" t="s">
        <v>1771</v>
      </c>
      <c r="E4" s="2060" t="s">
        <v>1583</v>
      </c>
      <c r="F4" s="2251">
        <v>30</v>
      </c>
      <c r="G4" s="2252"/>
      <c r="H4" s="2252" t="s">
        <v>1864</v>
      </c>
      <c r="I4" s="2060">
        <f>VLOOKUP(E4,B34:C36,2,FALSE)</f>
        <v>2.2400000000000002</v>
      </c>
      <c r="J4" s="2060">
        <f>VLOOKUP(H4,B43:C44,2,FALSE)</f>
        <v>2.1</v>
      </c>
      <c r="K4" s="2060">
        <v>5</v>
      </c>
      <c r="L4" s="2060">
        <f>VLOOKUP(H4,B64:C65,2,FALSE)</f>
        <v>0.67</v>
      </c>
      <c r="M4" s="2060"/>
      <c r="N4" s="2228"/>
      <c r="O4" s="2229"/>
      <c r="P4" s="2871">
        <f>(($B$23-$B$26)*$A$28*I4*$B$39*J4*K4*$B$53*$A$55*$B$58)/($A$60*L4)</f>
        <v>100.57072251473197</v>
      </c>
      <c r="Q4" s="2230"/>
      <c r="R4" s="2229"/>
      <c r="S4" s="2230">
        <f>P4*F4</f>
        <v>3017.1216754419593</v>
      </c>
    </row>
    <row r="5" spans="1:19" ht="21" customHeight="1" x14ac:dyDescent="0.35">
      <c r="A5" s="2253"/>
      <c r="B5" s="2253"/>
      <c r="C5" s="2253"/>
      <c r="D5" s="2253"/>
      <c r="E5" s="2220"/>
      <c r="F5" s="2254"/>
      <c r="G5" s="2255"/>
      <c r="H5" s="2255"/>
      <c r="I5" s="2220"/>
      <c r="J5" s="2220"/>
      <c r="K5" s="2220"/>
      <c r="L5" s="2220"/>
      <c r="M5" s="2220"/>
      <c r="N5" s="2256"/>
      <c r="O5" s="2257"/>
      <c r="P5" s="2258"/>
      <c r="Q5" s="2258"/>
      <c r="R5" s="2257"/>
      <c r="S5" s="2258"/>
    </row>
    <row r="8" spans="1:19" x14ac:dyDescent="0.35">
      <c r="A8" s="2259" t="s">
        <v>3086</v>
      </c>
      <c r="B8" s="881"/>
      <c r="C8" s="881"/>
      <c r="D8" s="881"/>
      <c r="E8" s="881"/>
      <c r="F8" s="881"/>
      <c r="G8" s="881"/>
      <c r="H8" s="881"/>
    </row>
    <row r="9" spans="1:19" x14ac:dyDescent="0.35">
      <c r="A9" s="69"/>
      <c r="B9" s="881"/>
      <c r="C9" s="881"/>
      <c r="D9" s="881"/>
      <c r="E9" s="881"/>
      <c r="F9" s="881"/>
      <c r="G9" s="881"/>
      <c r="H9" s="881"/>
    </row>
    <row r="10" spans="1:19" x14ac:dyDescent="0.35">
      <c r="A10" s="69"/>
      <c r="B10" s="881"/>
      <c r="C10" s="881"/>
      <c r="D10" s="881"/>
      <c r="E10" s="881"/>
      <c r="F10" s="881"/>
      <c r="G10" s="881"/>
      <c r="H10" s="881"/>
    </row>
    <row r="11" spans="1:19" x14ac:dyDescent="0.35">
      <c r="A11" s="2260"/>
      <c r="B11" s="881"/>
      <c r="C11" s="881"/>
      <c r="D11" s="881"/>
      <c r="E11" s="881"/>
      <c r="F11" s="881"/>
      <c r="G11" s="881"/>
      <c r="H11" s="881"/>
    </row>
    <row r="14" spans="1:19" x14ac:dyDescent="0.35">
      <c r="A14" s="1248" t="s">
        <v>3078</v>
      </c>
    </row>
    <row r="15" spans="1:19" x14ac:dyDescent="0.35">
      <c r="A15" t="s">
        <v>4088</v>
      </c>
    </row>
    <row r="16" spans="1:19" x14ac:dyDescent="0.35">
      <c r="A16" s="2067"/>
    </row>
    <row r="17" spans="1:3" x14ac:dyDescent="0.35">
      <c r="A17" s="1248" t="s">
        <v>3082</v>
      </c>
    </row>
    <row r="18" spans="1:3" x14ac:dyDescent="0.35">
      <c r="A18" t="s">
        <v>4089</v>
      </c>
    </row>
    <row r="19" spans="1:3" x14ac:dyDescent="0.35">
      <c r="B19" s="2261">
        <v>742</v>
      </c>
    </row>
    <row r="20" spans="1:3" x14ac:dyDescent="0.35">
      <c r="B20" s="2261"/>
    </row>
    <row r="21" spans="1:3" x14ac:dyDescent="0.35">
      <c r="A21" s="1248" t="s">
        <v>3113</v>
      </c>
    </row>
    <row r="22" spans="1:3" x14ac:dyDescent="0.35">
      <c r="A22" s="2262" t="s">
        <v>4090</v>
      </c>
      <c r="B22" t="s">
        <v>4091</v>
      </c>
    </row>
    <row r="23" spans="1:3" x14ac:dyDescent="0.35">
      <c r="A23" s="2262"/>
      <c r="B23">
        <v>101</v>
      </c>
      <c r="C23" t="s">
        <v>4092</v>
      </c>
    </row>
    <row r="24" spans="1:3" x14ac:dyDescent="0.35">
      <c r="A24" s="2262"/>
      <c r="B24" s="2235"/>
    </row>
    <row r="25" spans="1:3" x14ac:dyDescent="0.35">
      <c r="A25" s="2262" t="s">
        <v>4093</v>
      </c>
      <c r="B25" t="s">
        <v>4094</v>
      </c>
    </row>
    <row r="26" spans="1:3" x14ac:dyDescent="0.35">
      <c r="A26" s="2262"/>
      <c r="B26" s="2641">
        <v>50.7</v>
      </c>
      <c r="C26" t="s">
        <v>4092</v>
      </c>
    </row>
    <row r="27" spans="1:3" x14ac:dyDescent="0.35">
      <c r="A27" s="199"/>
    </row>
    <row r="28" spans="1:3" x14ac:dyDescent="0.35">
      <c r="A28" s="199">
        <v>8.33</v>
      </c>
      <c r="B28" t="s">
        <v>4095</v>
      </c>
    </row>
    <row r="29" spans="1:3" x14ac:dyDescent="0.35">
      <c r="A29" s="199"/>
    </row>
    <row r="30" spans="1:3" x14ac:dyDescent="0.35">
      <c r="A30" s="199" t="s">
        <v>4035</v>
      </c>
      <c r="B30" t="s">
        <v>4096</v>
      </c>
    </row>
    <row r="31" spans="1:3" x14ac:dyDescent="0.35">
      <c r="A31" s="199"/>
      <c r="B31">
        <v>2.2400000000000002</v>
      </c>
      <c r="C31" t="s">
        <v>4097</v>
      </c>
    </row>
    <row r="32" spans="1:3" ht="15" thickBot="1" x14ac:dyDescent="0.4">
      <c r="A32" s="199"/>
      <c r="B32">
        <v>2.35</v>
      </c>
      <c r="C32" t="s">
        <v>4098</v>
      </c>
    </row>
    <row r="33" spans="1:3" ht="15" thickBot="1" x14ac:dyDescent="0.4">
      <c r="A33" s="199"/>
      <c r="B33" s="2263" t="s">
        <v>1038</v>
      </c>
      <c r="C33" s="2264" t="s">
        <v>4035</v>
      </c>
    </row>
    <row r="34" spans="1:3" ht="15" thickBot="1" x14ac:dyDescent="0.4">
      <c r="A34" s="199"/>
      <c r="B34" s="2265" t="s">
        <v>1583</v>
      </c>
      <c r="C34" s="2071">
        <v>2.2400000000000002</v>
      </c>
    </row>
    <row r="35" spans="1:3" ht="15" thickBot="1" x14ac:dyDescent="0.4">
      <c r="A35" s="199"/>
      <c r="B35" s="2265" t="s">
        <v>1632</v>
      </c>
      <c r="C35" s="2071">
        <v>2.35</v>
      </c>
    </row>
    <row r="36" spans="1:3" ht="15" thickBot="1" x14ac:dyDescent="0.4">
      <c r="A36" s="199"/>
      <c r="B36" s="2266" t="s">
        <v>2279</v>
      </c>
      <c r="C36" s="2071">
        <v>2.35</v>
      </c>
    </row>
    <row r="37" spans="1:3" x14ac:dyDescent="0.35">
      <c r="A37" s="199"/>
      <c r="B37" s="2267"/>
      <c r="C37" s="1701"/>
    </row>
    <row r="38" spans="1:3" x14ac:dyDescent="0.35">
      <c r="A38" s="199" t="s">
        <v>4099</v>
      </c>
      <c r="B38" t="s">
        <v>4100</v>
      </c>
    </row>
    <row r="39" spans="1:3" x14ac:dyDescent="0.35">
      <c r="A39" s="199"/>
      <c r="B39">
        <v>7.8</v>
      </c>
      <c r="C39" t="s">
        <v>4101</v>
      </c>
    </row>
    <row r="40" spans="1:3" x14ac:dyDescent="0.35">
      <c r="A40" s="199"/>
    </row>
    <row r="41" spans="1:3" ht="15" thickBot="1" x14ac:dyDescent="0.4">
      <c r="A41" s="199" t="s">
        <v>4082</v>
      </c>
      <c r="B41" t="s">
        <v>4102</v>
      </c>
    </row>
    <row r="42" spans="1:3" ht="15" thickBot="1" x14ac:dyDescent="0.4">
      <c r="A42" s="199"/>
      <c r="B42" s="2263" t="s">
        <v>3769</v>
      </c>
      <c r="C42" s="2264" t="s">
        <v>3777</v>
      </c>
    </row>
    <row r="43" spans="1:3" ht="15" thickBot="1" x14ac:dyDescent="0.4">
      <c r="A43" s="199"/>
      <c r="B43" s="2266" t="s">
        <v>3330</v>
      </c>
      <c r="C43" s="2071">
        <v>2.56</v>
      </c>
    </row>
    <row r="44" spans="1:3" ht="15" thickBot="1" x14ac:dyDescent="0.4">
      <c r="A44" s="199"/>
      <c r="B44" s="2266" t="s">
        <v>1864</v>
      </c>
      <c r="C44" s="2071">
        <v>2.1</v>
      </c>
    </row>
    <row r="45" spans="1:3" ht="15" thickBot="1" x14ac:dyDescent="0.4">
      <c r="A45" s="199"/>
      <c r="B45" s="2266" t="s">
        <v>4103</v>
      </c>
      <c r="C45" s="2071">
        <v>2.42</v>
      </c>
    </row>
    <row r="46" spans="1:3" x14ac:dyDescent="0.35">
      <c r="A46" s="199"/>
    </row>
    <row r="47" spans="1:3" ht="15" thickBot="1" x14ac:dyDescent="0.4">
      <c r="A47" s="199" t="s">
        <v>4083</v>
      </c>
      <c r="B47" s="2268" t="s">
        <v>4104</v>
      </c>
    </row>
    <row r="48" spans="1:3" ht="17" thickBot="1" x14ac:dyDescent="0.4">
      <c r="A48" s="199"/>
      <c r="B48" s="2263" t="s">
        <v>3769</v>
      </c>
      <c r="C48" s="2269" t="s">
        <v>4105</v>
      </c>
    </row>
    <row r="49" spans="1:5" ht="15" thickBot="1" x14ac:dyDescent="0.4">
      <c r="A49" s="199"/>
      <c r="B49" s="2266" t="s">
        <v>3330</v>
      </c>
      <c r="C49" s="2270">
        <v>1</v>
      </c>
    </row>
    <row r="50" spans="1:5" ht="15" thickBot="1" x14ac:dyDescent="0.4">
      <c r="A50" s="199"/>
      <c r="B50" s="2266" t="s">
        <v>1864</v>
      </c>
      <c r="C50" s="2270">
        <v>5</v>
      </c>
      <c r="D50" t="s">
        <v>4106</v>
      </c>
      <c r="E50" t="s">
        <v>4107</v>
      </c>
    </row>
    <row r="51" spans="1:5" x14ac:dyDescent="0.35">
      <c r="A51" s="199"/>
    </row>
    <row r="52" spans="1:5" x14ac:dyDescent="0.35">
      <c r="A52" s="199" t="s">
        <v>3936</v>
      </c>
      <c r="B52" t="s">
        <v>4108</v>
      </c>
    </row>
    <row r="53" spans="1:5" x14ac:dyDescent="0.35">
      <c r="A53" s="199"/>
      <c r="B53">
        <v>0.6</v>
      </c>
    </row>
    <row r="54" spans="1:5" x14ac:dyDescent="0.35">
      <c r="A54" s="199"/>
    </row>
    <row r="55" spans="1:5" x14ac:dyDescent="0.35">
      <c r="A55" s="199">
        <v>365.25</v>
      </c>
      <c r="B55" t="s">
        <v>4109</v>
      </c>
    </row>
    <row r="56" spans="1:5" x14ac:dyDescent="0.35">
      <c r="A56" s="199"/>
    </row>
    <row r="57" spans="1:5" x14ac:dyDescent="0.35">
      <c r="A57" s="199" t="s">
        <v>2206</v>
      </c>
      <c r="B57" t="s">
        <v>4110</v>
      </c>
    </row>
    <row r="58" spans="1:5" x14ac:dyDescent="0.35">
      <c r="A58" s="199"/>
      <c r="B58">
        <v>0.4</v>
      </c>
    </row>
    <row r="59" spans="1:5" x14ac:dyDescent="0.35">
      <c r="A59" s="199"/>
    </row>
    <row r="60" spans="1:5" x14ac:dyDescent="0.35">
      <c r="A60" s="2271">
        <v>100000</v>
      </c>
      <c r="B60" t="s">
        <v>4111</v>
      </c>
    </row>
    <row r="61" spans="1:5" x14ac:dyDescent="0.35">
      <c r="A61" s="199"/>
    </row>
    <row r="62" spans="1:5" ht="15" thickBot="1" x14ac:dyDescent="0.4">
      <c r="A62" s="199" t="s">
        <v>4084</v>
      </c>
      <c r="B62" t="s">
        <v>4112</v>
      </c>
    </row>
    <row r="63" spans="1:5" ht="15" thickBot="1" x14ac:dyDescent="0.4">
      <c r="B63" s="2263" t="s">
        <v>3769</v>
      </c>
      <c r="C63" s="2269" t="s">
        <v>4084</v>
      </c>
    </row>
    <row r="64" spans="1:5" ht="15" thickBot="1" x14ac:dyDescent="0.4">
      <c r="B64" s="2266" t="s">
        <v>3330</v>
      </c>
      <c r="C64" s="2272">
        <v>0.78</v>
      </c>
    </row>
    <row r="65" spans="2:3" ht="15" thickBot="1" x14ac:dyDescent="0.4">
      <c r="B65" s="2266" t="s">
        <v>1864</v>
      </c>
      <c r="C65" s="2272">
        <v>0.67</v>
      </c>
    </row>
  </sheetData>
  <mergeCells count="2">
    <mergeCell ref="N1:P1"/>
    <mergeCell ref="Q1:S1"/>
  </mergeCells>
  <dataValidations count="3">
    <dataValidation type="list" allowBlank="1" showInputMessage="1" showErrorMessage="1" sqref="H3:H5" xr:uid="{82702BD3-378B-4FA7-BC4A-48759F239B80}">
      <formula1>$B$43:$B$44</formula1>
    </dataValidation>
    <dataValidation type="list" allowBlank="1" showInputMessage="1" showErrorMessage="1" sqref="D3:D5" xr:uid="{08B32411-9376-4F2D-866C-5A69CE5590DC}">
      <formula1>MeasureType</formula1>
    </dataValidation>
    <dataValidation type="list" allowBlank="1" showInputMessage="1" showErrorMessage="1" sqref="E3:E5" xr:uid="{88E92001-09EE-4644-9377-C94402A36644}">
      <formula1>$B$34:$B$36</formula1>
    </dataValidation>
  </dataValidations>
  <pageMargins left="0.7" right="0.7" top="0.75" bottom="0.75" header="0.3" footer="0.3"/>
  <pageSetup orientation="portrait" horizontalDpi="4294967293" verticalDpi="0" r:id="rId1"/>
  <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pageSetUpPr fitToPage="1"/>
  </sheetPr>
  <dimension ref="A1:AV180"/>
  <sheetViews>
    <sheetView view="pageBreakPreview" zoomScale="110" zoomScaleNormal="70" zoomScaleSheetLayoutView="110" workbookViewId="0">
      <pane xSplit="1" ySplit="2" topLeftCell="W21" activePane="bottomRight" state="frozen"/>
      <selection pane="topRight" activeCell="B1" sqref="B1"/>
      <selection pane="bottomLeft" activeCell="A3" sqref="A3"/>
      <selection pane="bottomRight" activeCell="A35" sqref="A35"/>
    </sheetView>
  </sheetViews>
  <sheetFormatPr defaultRowHeight="14.5" x14ac:dyDescent="0.35"/>
  <cols>
    <col min="1" max="1" width="27" customWidth="1"/>
    <col min="2" max="2" width="34" customWidth="1"/>
    <col min="3" max="3" width="20" customWidth="1"/>
    <col min="4" max="4" width="14" customWidth="1"/>
    <col min="5" max="5" width="15.26953125" bestFit="1" customWidth="1"/>
    <col min="6" max="6" width="16.1796875" customWidth="1"/>
    <col min="7" max="7" width="12.453125" bestFit="1" customWidth="1"/>
    <col min="8" max="8" width="13.453125" bestFit="1" customWidth="1"/>
    <col min="9" max="9" width="11.81640625" bestFit="1" customWidth="1"/>
    <col min="10" max="10" width="10.7265625" bestFit="1" customWidth="1"/>
    <col min="11" max="11" width="10.7265625" customWidth="1"/>
    <col min="12" max="12" width="13.26953125" customWidth="1"/>
    <col min="13" max="13" width="33.7265625" customWidth="1"/>
    <col min="14" max="14" width="24.81640625" customWidth="1"/>
    <col min="15" max="15" width="9.81640625" bestFit="1" customWidth="1"/>
    <col min="16" max="16" width="11.7265625" customWidth="1"/>
    <col min="18" max="18" width="14.453125" customWidth="1"/>
    <col min="19" max="19" width="16.1796875" customWidth="1"/>
    <col min="22" max="23" width="11" customWidth="1"/>
    <col min="24" max="24" width="11.54296875" customWidth="1"/>
    <col min="26" max="26" width="12" bestFit="1" customWidth="1"/>
    <col min="27" max="27" width="12" customWidth="1"/>
    <col min="28" max="28" width="10" customWidth="1"/>
    <col min="43" max="43" width="15.81640625" bestFit="1" customWidth="1"/>
    <col min="44" max="48" width="15.81640625" customWidth="1"/>
  </cols>
  <sheetData>
    <row r="1" spans="1:48" x14ac:dyDescent="0.35">
      <c r="A1" s="1799" t="s">
        <v>1031</v>
      </c>
    </row>
    <row r="2" spans="1:48" x14ac:dyDescent="0.35">
      <c r="A2" s="967" t="s">
        <v>655</v>
      </c>
      <c r="B2" s="968" t="s">
        <v>653</v>
      </c>
      <c r="C2" s="968"/>
      <c r="D2" s="968"/>
      <c r="E2" s="967"/>
      <c r="F2" s="967"/>
      <c r="G2" s="967"/>
      <c r="H2" s="967"/>
      <c r="I2" s="967"/>
      <c r="J2" s="967"/>
      <c r="K2" s="967"/>
      <c r="L2" s="967"/>
      <c r="M2" s="967"/>
      <c r="N2" s="967"/>
      <c r="O2" s="967"/>
      <c r="P2" s="967"/>
      <c r="Q2" s="967"/>
      <c r="R2" s="967"/>
      <c r="S2" s="967"/>
      <c r="T2" s="3010" t="s">
        <v>1032</v>
      </c>
      <c r="U2" s="3011"/>
      <c r="V2" s="3011"/>
      <c r="W2" s="3012"/>
      <c r="X2" s="3010" t="s">
        <v>1033</v>
      </c>
      <c r="Y2" s="3011"/>
      <c r="Z2" s="3011"/>
      <c r="AA2" s="3363"/>
      <c r="AB2" s="2993" t="s">
        <v>4113</v>
      </c>
      <c r="AC2" s="2993"/>
      <c r="AD2" s="2993"/>
      <c r="AE2" s="2993"/>
      <c r="AF2" s="2993"/>
      <c r="AG2" s="2993"/>
      <c r="AH2" s="2993"/>
      <c r="AI2" s="2993"/>
      <c r="AJ2" s="2993"/>
      <c r="AK2" s="2993"/>
      <c r="AL2" s="2993"/>
      <c r="AM2" s="2993"/>
      <c r="AN2" s="2993"/>
      <c r="AO2" s="2993"/>
      <c r="AP2" s="2993"/>
      <c r="AQ2" s="2993"/>
      <c r="AR2" s="2274"/>
      <c r="AS2" s="2274" t="s">
        <v>4114</v>
      </c>
      <c r="AT2" s="2275"/>
      <c r="AU2" s="2276"/>
      <c r="AV2" s="120"/>
    </row>
    <row r="3" spans="1:48" ht="43.5" x14ac:dyDescent="0.35">
      <c r="A3" s="969" t="s">
        <v>1035</v>
      </c>
      <c r="B3" s="969" t="s">
        <v>155</v>
      </c>
      <c r="C3" s="953" t="s">
        <v>1036</v>
      </c>
      <c r="D3" s="953" t="s">
        <v>1752</v>
      </c>
      <c r="E3" s="952" t="s">
        <v>1038</v>
      </c>
      <c r="F3" s="952" t="s">
        <v>4115</v>
      </c>
      <c r="G3" s="952" t="s">
        <v>4116</v>
      </c>
      <c r="H3" s="952" t="s">
        <v>1684</v>
      </c>
      <c r="I3" s="952" t="s">
        <v>2810</v>
      </c>
      <c r="J3" s="952" t="s">
        <v>4117</v>
      </c>
      <c r="K3" s="952" t="s">
        <v>4118</v>
      </c>
      <c r="L3" s="952" t="s">
        <v>4119</v>
      </c>
      <c r="M3" s="952" t="s">
        <v>4120</v>
      </c>
      <c r="N3" s="990" t="s">
        <v>4121</v>
      </c>
      <c r="O3" s="952" t="s">
        <v>1360</v>
      </c>
      <c r="P3" s="952" t="s">
        <v>1570</v>
      </c>
      <c r="Q3" s="2755" t="s">
        <v>1039</v>
      </c>
      <c r="R3" s="969" t="s">
        <v>1041</v>
      </c>
      <c r="S3" s="952" t="s">
        <v>4122</v>
      </c>
      <c r="T3" s="970" t="s">
        <v>1044</v>
      </c>
      <c r="U3" s="970" t="s">
        <v>1045</v>
      </c>
      <c r="V3" s="970" t="s">
        <v>1046</v>
      </c>
      <c r="W3" s="2750" t="s">
        <v>3183</v>
      </c>
      <c r="X3" s="970" t="s">
        <v>1044</v>
      </c>
      <c r="Y3" s="970" t="s">
        <v>1045</v>
      </c>
      <c r="Z3" s="971" t="s">
        <v>1046</v>
      </c>
      <c r="AA3" s="2750" t="s">
        <v>4123</v>
      </c>
      <c r="AB3" s="299" t="s">
        <v>4124</v>
      </c>
      <c r="AC3" s="299" t="s">
        <v>4125</v>
      </c>
      <c r="AD3" s="300" t="s">
        <v>4126</v>
      </c>
      <c r="AE3" s="255" t="s">
        <v>4127</v>
      </c>
      <c r="AF3" s="300" t="s">
        <v>4128</v>
      </c>
      <c r="AG3" s="300" t="s">
        <v>4129</v>
      </c>
      <c r="AH3" s="300" t="s">
        <v>4130</v>
      </c>
      <c r="AI3" s="255" t="s">
        <v>3200</v>
      </c>
      <c r="AJ3" s="300" t="s">
        <v>4131</v>
      </c>
      <c r="AK3" s="300" t="s">
        <v>4132</v>
      </c>
      <c r="AL3" s="300" t="s">
        <v>4133</v>
      </c>
      <c r="AM3" s="255" t="s">
        <v>4134</v>
      </c>
      <c r="AN3" s="255" t="s">
        <v>4135</v>
      </c>
      <c r="AO3" s="300" t="s">
        <v>1179</v>
      </c>
      <c r="AP3" s="255" t="s">
        <v>4134</v>
      </c>
      <c r="AQ3" s="255" t="s">
        <v>3210</v>
      </c>
      <c r="AR3" s="415" t="s">
        <v>4136</v>
      </c>
      <c r="AS3" s="2452" t="s">
        <v>4137</v>
      </c>
      <c r="AT3" s="2452" t="s">
        <v>4138</v>
      </c>
      <c r="AU3" s="2452" t="s">
        <v>4139</v>
      </c>
      <c r="AV3" s="415" t="s">
        <v>1580</v>
      </c>
    </row>
    <row r="4" spans="1:48" ht="36.5" x14ac:dyDescent="0.35">
      <c r="A4" s="2112" t="s">
        <v>4140</v>
      </c>
      <c r="B4" s="2112" t="str">
        <f>$B$1&amp;" " &amp;FIXED(F4-G4,0)&amp;" cfm Reduction"&amp;", "&amp;O4&amp;" - "&amp;N4&amp;" story building - Joint"</f>
        <v xml:space="preserve"> 1,075 cfm Reduction, Single Family - 3 story building - Joint</v>
      </c>
      <c r="C4" s="1798" t="s">
        <v>4141</v>
      </c>
      <c r="D4" s="1088" t="s">
        <v>4142</v>
      </c>
      <c r="E4" s="1089" t="s">
        <v>1632</v>
      </c>
      <c r="F4" s="1090">
        <v>2800</v>
      </c>
      <c r="G4" s="1090">
        <v>1725</v>
      </c>
      <c r="H4" s="881" t="s">
        <v>1696</v>
      </c>
      <c r="I4" s="1091" t="s">
        <v>1529</v>
      </c>
      <c r="J4" s="1091" t="s">
        <v>3174</v>
      </c>
      <c r="K4" s="1091" t="s">
        <v>3300</v>
      </c>
      <c r="L4" s="1092" t="s">
        <v>3298</v>
      </c>
      <c r="M4" s="972" t="s">
        <v>1529</v>
      </c>
      <c r="N4" s="1093">
        <v>3</v>
      </c>
      <c r="O4" s="1091" t="s">
        <v>3318</v>
      </c>
      <c r="P4" s="1094"/>
      <c r="Q4" s="2756">
        <f>IF(AA4/V4&gt;$B$77,$B$77,AA4/V4)</f>
        <v>20</v>
      </c>
      <c r="R4" s="1095" t="s">
        <v>4143</v>
      </c>
      <c r="S4" s="2195" t="s">
        <v>4144</v>
      </c>
      <c r="T4" s="1096"/>
      <c r="U4" s="1097"/>
      <c r="V4" s="1098">
        <f>IF(I4=$A$134,(((AD4-AE4)/AK4)*60*24*AL4*0.018)/(AP4*100000)*AR4,0)</f>
        <v>82.851229319371726</v>
      </c>
      <c r="W4" s="2751">
        <f>IF(I4=$A$134,(((AD4-AE4)/AK4)*60*24*AL4*0.018)/($AP$23*100000)*AR4,0)</f>
        <v>82.851229319371726</v>
      </c>
      <c r="X4" s="1096"/>
      <c r="Y4" s="1097"/>
      <c r="Z4" s="1099">
        <f>V4*Q4</f>
        <v>1657.0245863874345</v>
      </c>
      <c r="AA4" s="2753">
        <f>V4*10+W4*10</f>
        <v>1657.0245863874345</v>
      </c>
      <c r="AB4" s="49"/>
      <c r="AC4" s="49"/>
      <c r="AD4" s="302">
        <f>$F$4</f>
        <v>2800</v>
      </c>
      <c r="AE4" s="302">
        <f>G4</f>
        <v>1725</v>
      </c>
      <c r="AF4" s="49">
        <f>+IF($N4=$F$133,VLOOKUP($H4,$E$134:$I$139,2),IF($N4=$G$133,VLOOKUP($H4,$E$134:$I$139,3),IF($N4=$H$133,VLOOKUP($H4,$E$134:$I$139,4),IF($N4=$I$133,VLOOKUP($H4,$E$134:$I$139,5),0))))</f>
        <v>28.28</v>
      </c>
      <c r="AG4" s="49">
        <f>VLOOKUP(H4,$E$124:$F$129,2,FALSE)</f>
        <v>862</v>
      </c>
      <c r="AH4" s="49">
        <f>+$B$57</f>
        <v>0.75</v>
      </c>
      <c r="AI4" s="49" t="e">
        <f>IF(J4=$A$137,VLOOKUP(K4,B$148:$C$150,2,FALSE),IF(J4=$A$138,VLOOKUP(K4,$B$151:$C$153,2,FALSE)))</f>
        <v>#N/A</v>
      </c>
      <c r="AJ4" s="49">
        <f>VLOOKUP(H4,$E$124:$G$129,3,FALSE)</f>
        <v>3.28</v>
      </c>
      <c r="AK4" s="49">
        <f>+IF($N4=$F$142,VLOOKUP($H4,$E$143:$I$148,2),IF($N4=$G$142,VLOOKUP($H4,$E$143:$I$148,3),IF($N4=$H$142,VLOOKUP($H4,$E$143:$I$148,4),IF($N4=$I$142,VLOOKUP($H4,$E$143:$I$148,5),0))))</f>
        <v>17.189999999999998</v>
      </c>
      <c r="AL4" s="49">
        <f>VLOOKUP(H4,$E$124:$H$129,4,FALSE)</f>
        <v>5111.2999999999993</v>
      </c>
      <c r="AM4" s="49">
        <f>IF(M4=$M$127,$P$127,VLOOKUP(L4,$N$124:$P$126,3,FALSE))</f>
        <v>1.7</v>
      </c>
      <c r="AN4" s="49">
        <f>VLOOKUP(H4,$E$123:$J$129,IF(O4=$I$123,5,6),FALSE)</f>
        <v>568.6</v>
      </c>
      <c r="AO4" s="247">
        <v>0.91500000000000004</v>
      </c>
      <c r="AP4" s="291">
        <f>+$B$73</f>
        <v>0.72</v>
      </c>
      <c r="AQ4" s="247">
        <f>+$B$75</f>
        <v>3.1399999999999997E-2</v>
      </c>
      <c r="AR4" s="2206">
        <v>0.72</v>
      </c>
      <c r="AS4" s="2206"/>
      <c r="AT4" s="2206"/>
      <c r="AU4" s="2206"/>
      <c r="AV4" s="2206"/>
    </row>
    <row r="5" spans="1:48" ht="36.5" x14ac:dyDescent="0.35">
      <c r="A5" s="2112" t="s">
        <v>654</v>
      </c>
      <c r="B5" s="2112" t="str">
        <f>$B$1&amp;" " &amp;FIXED(F5-G5,0)&amp;" cfm Reduction"&amp;", "&amp;O5&amp;" - "&amp;N5&amp;" story building"</f>
        <v xml:space="preserve"> 1,075 cfm Reduction, Single Family - 3 story building</v>
      </c>
      <c r="C5" s="1798" t="s">
        <v>653</v>
      </c>
      <c r="D5" s="1088" t="s">
        <v>4142</v>
      </c>
      <c r="E5" s="1089" t="s">
        <v>1632</v>
      </c>
      <c r="F5" s="1090">
        <v>2800</v>
      </c>
      <c r="G5" s="1090">
        <v>1725</v>
      </c>
      <c r="H5" s="881" t="s">
        <v>1696</v>
      </c>
      <c r="I5" s="1091" t="s">
        <v>1529</v>
      </c>
      <c r="J5" s="1091" t="s">
        <v>4145</v>
      </c>
      <c r="K5" s="1091" t="s">
        <v>3300</v>
      </c>
      <c r="L5" s="1092" t="s">
        <v>3298</v>
      </c>
      <c r="M5" s="972" t="s">
        <v>1529</v>
      </c>
      <c r="N5" s="1093">
        <v>3</v>
      </c>
      <c r="O5" s="1091" t="s">
        <v>3318</v>
      </c>
      <c r="P5" s="1094"/>
      <c r="Q5" s="2756">
        <f t="shared" ref="Q5:Q12" si="0">IF(AA5/V5&gt;$B$77,$B$77,AA5/V5)</f>
        <v>20</v>
      </c>
      <c r="R5" s="1095" t="s">
        <v>4143</v>
      </c>
      <c r="S5" s="2195" t="s">
        <v>4144</v>
      </c>
      <c r="T5" s="1096"/>
      <c r="U5" s="1097"/>
      <c r="V5" s="1098">
        <f>IF(I5=$A$134,(((AD5-AE5)/AK5)*60*24*AL5*0.018)/(AP5*100000)*AR5,0)</f>
        <v>82.851229319371726</v>
      </c>
      <c r="W5" s="2751">
        <f>IF(I5=$A$134,(((AD5-AE5)/AK5)*60*24*AL5*0.018)/($AP$23*100000)*AR5,0)</f>
        <v>82.851229319371726</v>
      </c>
      <c r="X5" s="1096"/>
      <c r="Y5" s="1097"/>
      <c r="Z5" s="1099">
        <f>V5*Q5</f>
        <v>1657.0245863874345</v>
      </c>
      <c r="AA5" s="2753">
        <f>V5*10+W5*10</f>
        <v>1657.0245863874345</v>
      </c>
      <c r="AB5" s="49"/>
      <c r="AC5" s="49"/>
      <c r="AD5" s="302">
        <f>$F$4</f>
        <v>2800</v>
      </c>
      <c r="AE5" s="302">
        <f>G5</f>
        <v>1725</v>
      </c>
      <c r="AF5" s="49">
        <f>+IF($N5=$F$133,VLOOKUP($H5,$E$134:$I$139,2),IF($N5=$G$133,VLOOKUP($H5,$E$134:$I$139,3),IF($N5=$H$133,VLOOKUP($H5,$E$134:$I$139,4),IF($N5=$I$133,VLOOKUP($H5,$E$134:$I$139,5),0))))</f>
        <v>28.28</v>
      </c>
      <c r="AG5" s="49">
        <f>VLOOKUP(H5,$E$124:$F$129,2,FALSE)</f>
        <v>862</v>
      </c>
      <c r="AH5" s="49">
        <f>+$B$57</f>
        <v>0.75</v>
      </c>
      <c r="AI5" s="49" t="e">
        <f>IF(J5=$A$137,VLOOKUP(K5,B$148:$C$150,2,FALSE),IF(J5=$A$138,VLOOKUP(K5,$B$151:$C$153,2,FALSE)))</f>
        <v>#N/A</v>
      </c>
      <c r="AJ5" s="49">
        <f>VLOOKUP(H5,$E$124:$G$129,3,FALSE)</f>
        <v>3.28</v>
      </c>
      <c r="AK5" s="49">
        <f>+IF($N5=$F$142,VLOOKUP($H5,$E$143:$I$148,2),IF($N5=$G$142,VLOOKUP($H5,$E$143:$I$148,3),IF($N5=$H$142,VLOOKUP($H5,$E$143:$I$148,4),IF($N5=$I$142,VLOOKUP($H5,$E$143:$I$148,5),0))))</f>
        <v>17.189999999999998</v>
      </c>
      <c r="AL5" s="49">
        <f>VLOOKUP(H5,$E$124:$H$129,4,FALSE)</f>
        <v>5111.2999999999993</v>
      </c>
      <c r="AM5" s="49">
        <f>IF(M5=$M$127,$P$127,VLOOKUP(L5,$N$124:$P$126,3,FALSE))</f>
        <v>1.7</v>
      </c>
      <c r="AN5" s="49">
        <f>VLOOKUP(H5,$E$123:$J$129,IF(O5=$I$123,5,6),FALSE)</f>
        <v>568.6</v>
      </c>
      <c r="AO5" s="247">
        <v>0.91500000000000004</v>
      </c>
      <c r="AP5" s="291">
        <f>+$B$73</f>
        <v>0.72</v>
      </c>
      <c r="AQ5" s="247">
        <f>+$B$75</f>
        <v>3.1399999999999997E-2</v>
      </c>
      <c r="AR5" s="2206">
        <v>0.72</v>
      </c>
      <c r="AS5" s="2206"/>
      <c r="AT5" s="2206"/>
      <c r="AU5" s="2206"/>
      <c r="AV5" s="2206"/>
    </row>
    <row r="6" spans="1:48" ht="43.5" x14ac:dyDescent="0.35">
      <c r="A6" s="2112" t="s">
        <v>4146</v>
      </c>
      <c r="B6" s="2112" t="str">
        <f>$B$1&amp;" " &amp;FIXED(F6-G6,0)&amp;" cfm Reduction"&amp;", "&amp;O6&amp;" - "&amp;N6&amp;" story building - Joint without Insulation"</f>
        <v xml:space="preserve"> 1,075 cfm Reduction, Single Family - 3 story building - Joint without Insulation</v>
      </c>
      <c r="C6" s="1798" t="s">
        <v>4147</v>
      </c>
      <c r="D6" s="2200" t="s">
        <v>4142</v>
      </c>
      <c r="E6" s="2201" t="s">
        <v>1632</v>
      </c>
      <c r="F6" s="2189">
        <v>2800</v>
      </c>
      <c r="G6" s="2189">
        <v>1725</v>
      </c>
      <c r="H6" s="2188" t="s">
        <v>1696</v>
      </c>
      <c r="I6" s="2190" t="s">
        <v>1529</v>
      </c>
      <c r="J6" s="2190" t="s">
        <v>4145</v>
      </c>
      <c r="K6" s="2190" t="s">
        <v>3300</v>
      </c>
      <c r="L6" s="2191" t="s">
        <v>3298</v>
      </c>
      <c r="M6" s="972" t="s">
        <v>1529</v>
      </c>
      <c r="N6" s="2192">
        <v>3</v>
      </c>
      <c r="O6" s="2190" t="s">
        <v>3318</v>
      </c>
      <c r="P6" s="2193"/>
      <c r="Q6" s="2756">
        <f t="shared" si="0"/>
        <v>20</v>
      </c>
      <c r="R6" s="2195" t="s">
        <v>4143</v>
      </c>
      <c r="S6" s="2195" t="s">
        <v>4148</v>
      </c>
      <c r="T6" s="2202"/>
      <c r="U6" s="2203"/>
      <c r="V6" s="2204">
        <f>IF(I6=$A$134,(((AD6-AE6)/AK6)*60*24*AL6*0.018)/(AP6*100000)*AR6,0)</f>
        <v>115.07115183246073</v>
      </c>
      <c r="W6" s="2751">
        <f>IF(I6=$A$134,(((AD6-AE6)/AK6)*60*24*AL6*0.018)/($AP$23*100000)*AR6,0)</f>
        <v>115.07115183246073</v>
      </c>
      <c r="X6" s="2202"/>
      <c r="Y6" s="2203"/>
      <c r="Z6" s="2205">
        <f>V6*Q6</f>
        <v>2301.4230366492147</v>
      </c>
      <c r="AA6" s="2753">
        <f>V6*10+W6*10</f>
        <v>2301.4230366492147</v>
      </c>
      <c r="AB6" s="1"/>
      <c r="AC6" s="1"/>
      <c r="AD6" s="270">
        <f>$F$4</f>
        <v>2800</v>
      </c>
      <c r="AE6" s="270">
        <f>G6</f>
        <v>1725</v>
      </c>
      <c r="AF6" s="1">
        <f>+IF($N6=$F$133,VLOOKUP($H6,$E$134:$I$139,2),IF($N6=$G$133,VLOOKUP($H6,$E$134:$I$139,3),IF($N6=$H$133,VLOOKUP($H6,$E$134:$I$139,4),IF($N6=$I$133,VLOOKUP($H6,$E$134:$I$139,5),0))))</f>
        <v>28.28</v>
      </c>
      <c r="AG6" s="1">
        <f>VLOOKUP(H6,$E$124:$F$129,2,FALSE)</f>
        <v>862</v>
      </c>
      <c r="AH6" s="1">
        <f>+$B$57</f>
        <v>0.75</v>
      </c>
      <c r="AI6" s="1" t="e">
        <f>IF(J6=$A$137,VLOOKUP(K6,B$148:$C$150,2,FALSE),IF(J6=$A$138,VLOOKUP(K6,$B$151:$C$153,2,FALSE)))</f>
        <v>#N/A</v>
      </c>
      <c r="AJ6" s="1">
        <f>VLOOKUP(H6,$E$124:$G$129,3,FALSE)</f>
        <v>3.28</v>
      </c>
      <c r="AK6" s="1">
        <f>+IF($N6=$F$142,VLOOKUP($H6,$E$143:$I$148,2),IF($N6=$G$142,VLOOKUP($H6,$E$143:$I$148,3),IF($N6=$H$142,VLOOKUP($H6,$E$143:$I$148,4),IF($N6=$I$142,VLOOKUP($H6,$E$143:$I$148,5),0))))</f>
        <v>17.189999999999998</v>
      </c>
      <c r="AL6" s="1">
        <f>VLOOKUP(H6,$E$124:$H$129,4,FALSE)</f>
        <v>5111.2999999999993</v>
      </c>
      <c r="AM6" s="1">
        <f>IF(M6=$M$127,$P$127,VLOOKUP(L6,$N$124:$P$126,3,FALSE))</f>
        <v>1.7</v>
      </c>
      <c r="AN6" s="1">
        <f>VLOOKUP(H6,$E$123:$J$129,IF(O6=$I$123,5,6),FALSE)</f>
        <v>568.6</v>
      </c>
      <c r="AO6" s="2206">
        <v>0.91500000000000004</v>
      </c>
      <c r="AP6" s="235">
        <f>+$B$73</f>
        <v>0.72</v>
      </c>
      <c r="AQ6" s="2206">
        <f>+$B$75</f>
        <v>3.1399999999999997E-2</v>
      </c>
      <c r="AR6" s="2206">
        <v>1</v>
      </c>
      <c r="AS6" s="2206"/>
      <c r="AT6" s="2206"/>
      <c r="AU6" s="2206"/>
      <c r="AV6" s="2206"/>
    </row>
    <row r="7" spans="1:48" ht="36.5" x14ac:dyDescent="0.35">
      <c r="A7" s="2112" t="s">
        <v>668</v>
      </c>
      <c r="B7" s="2112" t="str">
        <f>$B$1&amp;" " &amp;FIXED(F7-G7,0)&amp;" cfm Reduction"&amp;", "&amp;O7&amp;" - "&amp;N7&amp;" story building without Insulation"</f>
        <v xml:space="preserve"> 1,075 cfm Reduction, Single Family - 3 story building without Insulation</v>
      </c>
      <c r="C7" s="1798" t="s">
        <v>667</v>
      </c>
      <c r="D7" s="2200" t="s">
        <v>4142</v>
      </c>
      <c r="E7" s="2201" t="s">
        <v>1632</v>
      </c>
      <c r="F7" s="2189">
        <v>2800</v>
      </c>
      <c r="G7" s="2189">
        <v>1725</v>
      </c>
      <c r="H7" s="2188" t="s">
        <v>1696</v>
      </c>
      <c r="I7" s="2190" t="s">
        <v>1529</v>
      </c>
      <c r="J7" s="2190" t="s">
        <v>4145</v>
      </c>
      <c r="K7" s="2190" t="s">
        <v>3300</v>
      </c>
      <c r="L7" s="2191" t="s">
        <v>3298</v>
      </c>
      <c r="M7" s="972" t="s">
        <v>1529</v>
      </c>
      <c r="N7" s="2192">
        <v>3</v>
      </c>
      <c r="O7" s="2190" t="s">
        <v>3318</v>
      </c>
      <c r="P7" s="2193"/>
      <c r="Q7" s="2756">
        <f t="shared" si="0"/>
        <v>20</v>
      </c>
      <c r="R7" s="2195" t="s">
        <v>4143</v>
      </c>
      <c r="S7" s="2195" t="s">
        <v>4148</v>
      </c>
      <c r="T7" s="2202"/>
      <c r="U7" s="2203"/>
      <c r="V7" s="2204">
        <f t="shared" ref="V7:V12" si="1">IF(I7=$A$134,(((AD7-AE7)/AK7)*60*24*AL7*0.018)/(AP7*100000)*AR7,0)</f>
        <v>115.07115183246073</v>
      </c>
      <c r="W7" s="2751">
        <f t="shared" ref="W7:W12" si="2">IF(I7=$A$134,(((AD7-AE7)/AK7)*60*24*AL7*0.018)/($AP$23*100000)*AR7,0)</f>
        <v>115.07115183246073</v>
      </c>
      <c r="X7" s="2202"/>
      <c r="Y7" s="2203"/>
      <c r="Z7" s="2205">
        <f t="shared" ref="Z7:Z12" si="3">V7*Q7</f>
        <v>2301.4230366492147</v>
      </c>
      <c r="AA7" s="2753">
        <f t="shared" ref="AA7:AA12" si="4">V7*10+W7*10</f>
        <v>2301.4230366492147</v>
      </c>
      <c r="AB7" s="1"/>
      <c r="AC7" s="1"/>
      <c r="AD7" s="270">
        <f>$F$4</f>
        <v>2800</v>
      </c>
      <c r="AE7" s="270">
        <f t="shared" ref="AE7:AE12" si="5">G7</f>
        <v>1725</v>
      </c>
      <c r="AF7" s="1">
        <f t="shared" ref="AF7:AF12" si="6">+IF($N7=$F$133,VLOOKUP($H7,$E$134:$I$139,2),IF($N7=$G$133,VLOOKUP($H7,$E$134:$I$139,3),IF($N7=$H$133,VLOOKUP($H7,$E$134:$I$139,4),IF($N7=$I$133,VLOOKUP($H7,$E$134:$I$139,5),0))))</f>
        <v>28.28</v>
      </c>
      <c r="AG7" s="1">
        <f t="shared" ref="AG7:AG12" si="7">VLOOKUP(H7,$E$124:$F$129,2,FALSE)</f>
        <v>862</v>
      </c>
      <c r="AH7" s="1">
        <f t="shared" ref="AH7:AH12" si="8">+$B$57</f>
        <v>0.75</v>
      </c>
      <c r="AI7" s="1" t="e">
        <f>IF(J7=$A$137,VLOOKUP(K7,B$148:$C$150,2,FALSE),IF(J7=$A$138,VLOOKUP(K7,$B$151:$C$153,2,FALSE)))</f>
        <v>#N/A</v>
      </c>
      <c r="AJ7" s="1">
        <f t="shared" ref="AJ7:AJ12" si="9">VLOOKUP(H7,$E$124:$G$129,3,FALSE)</f>
        <v>3.28</v>
      </c>
      <c r="AK7" s="1">
        <f t="shared" ref="AK7:AK12" si="10">+IF($N7=$F$142,VLOOKUP($H7,$E$143:$I$148,2),IF($N7=$G$142,VLOOKUP($H7,$E$143:$I$148,3),IF($N7=$H$142,VLOOKUP($H7,$E$143:$I$148,4),IF($N7=$I$142,VLOOKUP($H7,$E$143:$I$148,5),0))))</f>
        <v>17.189999999999998</v>
      </c>
      <c r="AL7" s="1">
        <f t="shared" ref="AL7:AL12" si="11">VLOOKUP(H7,$E$124:$H$129,4,FALSE)</f>
        <v>5111.2999999999993</v>
      </c>
      <c r="AM7" s="1">
        <f t="shared" ref="AM7:AM12" si="12">IF(M7=$M$127,$P$127,VLOOKUP(L7,$N$124:$P$126,3,FALSE))</f>
        <v>1.7</v>
      </c>
      <c r="AN7" s="1">
        <f t="shared" ref="AN7:AN12" si="13">VLOOKUP(H7,$E$123:$J$129,IF(O7=$I$123,5,6),FALSE)</f>
        <v>568.6</v>
      </c>
      <c r="AO7" s="2206">
        <v>1.915</v>
      </c>
      <c r="AP7" s="235">
        <f t="shared" ref="AP7:AP12" si="14">+$B$73</f>
        <v>0.72</v>
      </c>
      <c r="AQ7" s="2206">
        <f t="shared" ref="AQ7:AQ12" si="15">+$B$75</f>
        <v>3.1399999999999997E-2</v>
      </c>
      <c r="AR7" s="2206">
        <v>1</v>
      </c>
      <c r="AS7" s="2206"/>
      <c r="AT7" s="2206"/>
      <c r="AU7" s="2206"/>
      <c r="AV7" s="2206"/>
    </row>
    <row r="8" spans="1:48" ht="36.5" x14ac:dyDescent="0.35">
      <c r="A8" s="2112" t="s">
        <v>888</v>
      </c>
      <c r="B8" s="2112" t="str">
        <f>$B$1&amp;" " &amp;FIXED(F8-G8,0)&amp;" cfm Reduction"&amp;", "&amp;O8&amp;" - "&amp;N8&amp;" story building IQ CAA SF"</f>
        <v xml:space="preserve"> 1,067 cfm Reduction, Single Family - 3 story building IQ CAA SF</v>
      </c>
      <c r="C8" s="1798" t="s">
        <v>887</v>
      </c>
      <c r="D8" s="2200" t="s">
        <v>4142</v>
      </c>
      <c r="E8" s="2201" t="s">
        <v>1632</v>
      </c>
      <c r="F8" s="2208">
        <v>2800</v>
      </c>
      <c r="G8" s="2208">
        <v>1732.8075377358491</v>
      </c>
      <c r="H8" s="2188" t="s">
        <v>1696</v>
      </c>
      <c r="I8" s="2190" t="s">
        <v>1529</v>
      </c>
      <c r="J8" s="2190" t="s">
        <v>4145</v>
      </c>
      <c r="K8" s="2190" t="s">
        <v>3300</v>
      </c>
      <c r="L8" s="2191" t="s">
        <v>3298</v>
      </c>
      <c r="M8" s="972" t="s">
        <v>1529</v>
      </c>
      <c r="N8" s="2192">
        <v>3</v>
      </c>
      <c r="O8" s="2190" t="s">
        <v>3318</v>
      </c>
      <c r="P8" s="2193"/>
      <c r="Q8" s="2756">
        <f t="shared" si="0"/>
        <v>20</v>
      </c>
      <c r="R8" s="1095" t="s">
        <v>4143</v>
      </c>
      <c r="S8" s="2195" t="s">
        <v>4144</v>
      </c>
      <c r="T8" s="2202"/>
      <c r="U8" s="2203"/>
      <c r="V8" s="2204">
        <f t="shared" si="1"/>
        <v>82.249495273443813</v>
      </c>
      <c r="W8" s="2751">
        <f t="shared" si="2"/>
        <v>82.249495273443813</v>
      </c>
      <c r="X8" s="2202"/>
      <c r="Y8" s="2203"/>
      <c r="Z8" s="2205">
        <f t="shared" si="3"/>
        <v>1644.9899054688763</v>
      </c>
      <c r="AA8" s="2753">
        <f t="shared" si="4"/>
        <v>1644.9899054688763</v>
      </c>
      <c r="AB8" s="1"/>
      <c r="AC8" s="1"/>
      <c r="AD8" s="270">
        <f>$F8</f>
        <v>2800</v>
      </c>
      <c r="AE8" s="270">
        <f t="shared" si="5"/>
        <v>1732.8075377358491</v>
      </c>
      <c r="AF8" s="1">
        <f t="shared" si="6"/>
        <v>28.28</v>
      </c>
      <c r="AG8" s="1">
        <f t="shared" si="7"/>
        <v>862</v>
      </c>
      <c r="AH8" s="1">
        <f t="shared" si="8"/>
        <v>0.75</v>
      </c>
      <c r="AI8" s="1" t="e">
        <f>IF(J8=$A$137,VLOOKUP(K8,B$148:$C$150,2,FALSE),IF(J8=$A$138,VLOOKUP(K8,$B$151:$C$153,2,FALSE)))</f>
        <v>#N/A</v>
      </c>
      <c r="AJ8" s="1">
        <f t="shared" si="9"/>
        <v>3.28</v>
      </c>
      <c r="AK8" s="1">
        <f t="shared" si="10"/>
        <v>17.189999999999998</v>
      </c>
      <c r="AL8" s="1">
        <f t="shared" si="11"/>
        <v>5111.2999999999993</v>
      </c>
      <c r="AM8" s="1">
        <f t="shared" si="12"/>
        <v>1.7</v>
      </c>
      <c r="AN8" s="1">
        <f t="shared" si="13"/>
        <v>568.6</v>
      </c>
      <c r="AO8" s="2206">
        <v>2.915</v>
      </c>
      <c r="AP8" s="235">
        <f t="shared" si="14"/>
        <v>0.72</v>
      </c>
      <c r="AQ8" s="2206">
        <f t="shared" si="15"/>
        <v>3.1399999999999997E-2</v>
      </c>
      <c r="AR8" s="2206">
        <v>0.72</v>
      </c>
      <c r="AS8" s="2206"/>
      <c r="AT8" s="2206"/>
      <c r="AU8" s="2206"/>
      <c r="AV8" s="2206"/>
    </row>
    <row r="9" spans="1:48" ht="36.5" x14ac:dyDescent="0.35">
      <c r="A9" s="2112" t="s">
        <v>845</v>
      </c>
      <c r="B9" s="2112" t="str">
        <f>$B$1&amp;" " &amp;FIXED(F9-G9,0)&amp;" cfm Reduction"&amp;", "&amp;O9&amp;" - "&amp;N9&amp;" story building IQ CAA MF"</f>
        <v xml:space="preserve"> 474 cfm Reduction, Multi-Family - 3 story building IQ CAA MF</v>
      </c>
      <c r="C9" s="1798" t="s">
        <v>844</v>
      </c>
      <c r="D9" s="2200" t="s">
        <v>4142</v>
      </c>
      <c r="E9" s="2201" t="s">
        <v>1632</v>
      </c>
      <c r="F9" s="2208">
        <v>1485.25</v>
      </c>
      <c r="G9" s="2208">
        <v>1011.0833333333334</v>
      </c>
      <c r="H9" s="2188" t="s">
        <v>1696</v>
      </c>
      <c r="I9" s="2190" t="s">
        <v>1529</v>
      </c>
      <c r="J9" s="2190" t="s">
        <v>4145</v>
      </c>
      <c r="K9" s="2190" t="s">
        <v>3300</v>
      </c>
      <c r="L9" s="2191" t="s">
        <v>3298</v>
      </c>
      <c r="M9" s="972" t="s">
        <v>1529</v>
      </c>
      <c r="N9" s="2192">
        <v>3</v>
      </c>
      <c r="O9" s="2190" t="s">
        <v>1864</v>
      </c>
      <c r="P9" s="2193"/>
      <c r="Q9" s="2756">
        <f t="shared" si="0"/>
        <v>20</v>
      </c>
      <c r="R9" s="1095" t="s">
        <v>4143</v>
      </c>
      <c r="S9" s="2195" t="s">
        <v>4144</v>
      </c>
      <c r="T9" s="2202"/>
      <c r="U9" s="2203"/>
      <c r="V9" s="2204">
        <f t="shared" si="1"/>
        <v>36.544456963350783</v>
      </c>
      <c r="W9" s="2751">
        <f t="shared" si="2"/>
        <v>36.544456963350783</v>
      </c>
      <c r="X9" s="2202"/>
      <c r="Y9" s="2203"/>
      <c r="Z9" s="2205">
        <f t="shared" si="3"/>
        <v>730.88913926701571</v>
      </c>
      <c r="AA9" s="2753">
        <f t="shared" si="4"/>
        <v>730.88913926701571</v>
      </c>
      <c r="AB9" s="1"/>
      <c r="AC9" s="1"/>
      <c r="AD9" s="270">
        <f>$F9</f>
        <v>1485.25</v>
      </c>
      <c r="AE9" s="270">
        <f t="shared" si="5"/>
        <v>1011.0833333333334</v>
      </c>
      <c r="AF9" s="1">
        <f t="shared" si="6"/>
        <v>28.28</v>
      </c>
      <c r="AG9" s="1">
        <f t="shared" si="7"/>
        <v>862</v>
      </c>
      <c r="AH9" s="1">
        <f t="shared" si="8"/>
        <v>0.75</v>
      </c>
      <c r="AI9" s="1" t="e">
        <f>IF(J9=$A$137,VLOOKUP(K9,B$148:$C$150,2,FALSE),IF(J9=$A$138,VLOOKUP(K9,$B$151:$C$153,2,FALSE)))</f>
        <v>#N/A</v>
      </c>
      <c r="AJ9" s="1">
        <f t="shared" si="9"/>
        <v>3.28</v>
      </c>
      <c r="AK9" s="1">
        <f t="shared" si="10"/>
        <v>17.189999999999998</v>
      </c>
      <c r="AL9" s="1">
        <f t="shared" si="11"/>
        <v>5111.2999999999993</v>
      </c>
      <c r="AM9" s="1">
        <f t="shared" si="12"/>
        <v>1.7</v>
      </c>
      <c r="AN9" s="1">
        <f t="shared" si="13"/>
        <v>509.99999999999994</v>
      </c>
      <c r="AO9" s="2206">
        <v>3.915</v>
      </c>
      <c r="AP9" s="235">
        <f t="shared" si="14"/>
        <v>0.72</v>
      </c>
      <c r="AQ9" s="2206">
        <f t="shared" si="15"/>
        <v>3.1399999999999997E-2</v>
      </c>
      <c r="AR9" s="2206">
        <v>0.72</v>
      </c>
      <c r="AS9" s="2206"/>
      <c r="AT9" s="2206"/>
      <c r="AU9" s="2206"/>
      <c r="AV9" s="2206"/>
    </row>
    <row r="10" spans="1:48" ht="36.5" x14ac:dyDescent="0.35">
      <c r="A10" s="2112" t="s">
        <v>789</v>
      </c>
      <c r="B10" s="2112" t="str">
        <f>$B$1&amp;" " &amp;FIXED(F10-G10,0)&amp;" cfm Reduction"&amp;", "&amp;O10&amp;" - "&amp;N10&amp;" story building IQ CC SF"</f>
        <v xml:space="preserve"> 798 cfm Reduction, Single Family - 3 story building IQ CC SF</v>
      </c>
      <c r="C10" s="1798" t="s">
        <v>788</v>
      </c>
      <c r="D10" s="2200" t="s">
        <v>4142</v>
      </c>
      <c r="E10" s="2201" t="s">
        <v>1632</v>
      </c>
      <c r="F10" s="2208">
        <v>2800</v>
      </c>
      <c r="G10" s="2208">
        <v>2001.7884892086331</v>
      </c>
      <c r="H10" s="2188" t="s">
        <v>1696</v>
      </c>
      <c r="I10" s="2190" t="s">
        <v>1529</v>
      </c>
      <c r="J10" s="2190" t="s">
        <v>4145</v>
      </c>
      <c r="K10" s="2190" t="s">
        <v>3300</v>
      </c>
      <c r="L10" s="2191" t="s">
        <v>3298</v>
      </c>
      <c r="M10" s="972" t="s">
        <v>1529</v>
      </c>
      <c r="N10" s="2192">
        <v>3</v>
      </c>
      <c r="O10" s="2190" t="s">
        <v>3318</v>
      </c>
      <c r="P10" s="2193"/>
      <c r="Q10" s="2756">
        <f t="shared" si="0"/>
        <v>20</v>
      </c>
      <c r="R10" s="1095" t="s">
        <v>4143</v>
      </c>
      <c r="S10" s="2195" t="s">
        <v>4144</v>
      </c>
      <c r="T10" s="2202"/>
      <c r="U10" s="2203"/>
      <c r="V10" s="2204">
        <f t="shared" si="1"/>
        <v>61.518888303197848</v>
      </c>
      <c r="W10" s="2751">
        <f t="shared" si="2"/>
        <v>61.518888303197848</v>
      </c>
      <c r="X10" s="2202"/>
      <c r="Y10" s="2203"/>
      <c r="Z10" s="2205">
        <f t="shared" si="3"/>
        <v>1230.3777660639569</v>
      </c>
      <c r="AA10" s="2753">
        <f t="shared" si="4"/>
        <v>1230.3777660639569</v>
      </c>
      <c r="AB10" s="1"/>
      <c r="AC10" s="1"/>
      <c r="AD10" s="270">
        <f>$F10</f>
        <v>2800</v>
      </c>
      <c r="AE10" s="270">
        <f t="shared" si="5"/>
        <v>2001.7884892086331</v>
      </c>
      <c r="AF10" s="1">
        <f t="shared" si="6"/>
        <v>28.28</v>
      </c>
      <c r="AG10" s="1">
        <f t="shared" si="7"/>
        <v>862</v>
      </c>
      <c r="AH10" s="1">
        <f t="shared" si="8"/>
        <v>0.75</v>
      </c>
      <c r="AI10" s="1" t="e">
        <f>IF(J10=$A$137,VLOOKUP(K10,B$148:$C$150,2,FALSE),IF(J10=$A$138,VLOOKUP(K10,$B$151:$C$153,2,FALSE)))</f>
        <v>#N/A</v>
      </c>
      <c r="AJ10" s="1">
        <f t="shared" si="9"/>
        <v>3.28</v>
      </c>
      <c r="AK10" s="1">
        <f t="shared" si="10"/>
        <v>17.189999999999998</v>
      </c>
      <c r="AL10" s="1">
        <f t="shared" si="11"/>
        <v>5111.2999999999993</v>
      </c>
      <c r="AM10" s="1">
        <f t="shared" si="12"/>
        <v>1.7</v>
      </c>
      <c r="AN10" s="1">
        <f t="shared" si="13"/>
        <v>568.6</v>
      </c>
      <c r="AO10" s="2206">
        <v>4.915</v>
      </c>
      <c r="AP10" s="235">
        <f t="shared" si="14"/>
        <v>0.72</v>
      </c>
      <c r="AQ10" s="2206">
        <f t="shared" si="15"/>
        <v>3.1399999999999997E-2</v>
      </c>
      <c r="AR10" s="2206">
        <v>0.72</v>
      </c>
      <c r="AS10" s="2206"/>
      <c r="AT10" s="2206"/>
      <c r="AU10" s="2206"/>
      <c r="AV10" s="2206"/>
    </row>
    <row r="11" spans="1:48" ht="36.5" x14ac:dyDescent="0.35">
      <c r="A11" s="2112" t="s">
        <v>4149</v>
      </c>
      <c r="B11" s="2112" t="str">
        <f>$B$1&amp;" " &amp;FIXED(F11-G11,0)&amp;" cfm Reduction"&amp;", "&amp;O11&amp;" - "&amp;N11&amp;" story building IQ PHA"</f>
        <v xml:space="preserve"> 1,045 cfm Reduction, Multi-Family - 3 story building IQ PHA</v>
      </c>
      <c r="C11" s="1798" t="s">
        <v>4150</v>
      </c>
      <c r="D11" s="2200" t="s">
        <v>4142</v>
      </c>
      <c r="E11" s="2201" t="s">
        <v>1632</v>
      </c>
      <c r="F11" s="2208">
        <v>2800</v>
      </c>
      <c r="G11" s="2208">
        <v>1755.1391304347826</v>
      </c>
      <c r="H11" s="2188" t="s">
        <v>1696</v>
      </c>
      <c r="I11" s="2190" t="s">
        <v>1529</v>
      </c>
      <c r="J11" s="2190" t="s">
        <v>4145</v>
      </c>
      <c r="K11" s="2190" t="s">
        <v>3300</v>
      </c>
      <c r="L11" s="2191" t="s">
        <v>3298</v>
      </c>
      <c r="M11" s="972" t="s">
        <v>1529</v>
      </c>
      <c r="N11" s="2192">
        <v>3</v>
      </c>
      <c r="O11" s="2190" t="s">
        <v>1864</v>
      </c>
      <c r="P11" s="2193"/>
      <c r="Q11" s="2756">
        <f t="shared" si="0"/>
        <v>20</v>
      </c>
      <c r="R11" s="1095" t="s">
        <v>4143</v>
      </c>
      <c r="S11" s="2195" t="s">
        <v>4144</v>
      </c>
      <c r="T11" s="2202"/>
      <c r="U11" s="2203"/>
      <c r="V11" s="2204">
        <f t="shared" si="1"/>
        <v>80.528379080172996</v>
      </c>
      <c r="W11" s="2751">
        <f t="shared" si="2"/>
        <v>80.528379080172996</v>
      </c>
      <c r="X11" s="2202"/>
      <c r="Y11" s="2203"/>
      <c r="Z11" s="2205">
        <f t="shared" si="3"/>
        <v>1610.56758160346</v>
      </c>
      <c r="AA11" s="2753">
        <f t="shared" si="4"/>
        <v>1610.56758160346</v>
      </c>
      <c r="AB11" s="1"/>
      <c r="AC11" s="1"/>
      <c r="AD11" s="270">
        <f>$F11</f>
        <v>2800</v>
      </c>
      <c r="AE11" s="270">
        <f t="shared" si="5"/>
        <v>1755.1391304347826</v>
      </c>
      <c r="AF11" s="1">
        <f t="shared" si="6"/>
        <v>28.28</v>
      </c>
      <c r="AG11" s="1">
        <f t="shared" si="7"/>
        <v>862</v>
      </c>
      <c r="AH11" s="1">
        <f t="shared" si="8"/>
        <v>0.75</v>
      </c>
      <c r="AI11" s="1" t="e">
        <f>IF(J11=$A$137,VLOOKUP(K11,B$148:$C$150,2,FALSE),IF(J11=$A$138,VLOOKUP(K11,$B$151:$C$153,2,FALSE)))</f>
        <v>#N/A</v>
      </c>
      <c r="AJ11" s="1">
        <f t="shared" si="9"/>
        <v>3.28</v>
      </c>
      <c r="AK11" s="1">
        <f t="shared" si="10"/>
        <v>17.189999999999998</v>
      </c>
      <c r="AL11" s="1">
        <f t="shared" si="11"/>
        <v>5111.2999999999993</v>
      </c>
      <c r="AM11" s="1">
        <f t="shared" si="12"/>
        <v>1.7</v>
      </c>
      <c r="AN11" s="1">
        <f t="shared" si="13"/>
        <v>509.99999999999994</v>
      </c>
      <c r="AO11" s="2206">
        <v>5.915</v>
      </c>
      <c r="AP11" s="235">
        <f t="shared" si="14"/>
        <v>0.72</v>
      </c>
      <c r="AQ11" s="2206">
        <f t="shared" si="15"/>
        <v>3.1399999999999997E-2</v>
      </c>
      <c r="AR11" s="2206">
        <v>0.72</v>
      </c>
      <c r="AS11" s="2206"/>
      <c r="AT11" s="2206"/>
      <c r="AU11" s="2206"/>
      <c r="AV11" s="2206"/>
    </row>
    <row r="12" spans="1:48" ht="36.5" x14ac:dyDescent="0.35">
      <c r="A12" s="2112" t="s">
        <v>734</v>
      </c>
      <c r="B12" s="2112" t="str">
        <f>$B$1&amp;" " &amp;FIXED(F12-G12,0)&amp;" cfm Reduction"&amp;", "&amp;O12&amp;" - "&amp;N12&amp;" story building MF"</f>
        <v xml:space="preserve"> 2,166 cfm Reduction, Multi-Family - 3 story building MF</v>
      </c>
      <c r="C12" s="1798" t="s">
        <v>733</v>
      </c>
      <c r="D12" s="2200" t="s">
        <v>4142</v>
      </c>
      <c r="E12" s="2201" t="s">
        <v>1632</v>
      </c>
      <c r="F12" s="2208">
        <v>2800</v>
      </c>
      <c r="G12" s="2208">
        <v>633.8295454545455</v>
      </c>
      <c r="H12" s="2188" t="s">
        <v>1696</v>
      </c>
      <c r="I12" s="2190" t="s">
        <v>1529</v>
      </c>
      <c r="J12" s="2190" t="s">
        <v>4145</v>
      </c>
      <c r="K12" s="2190" t="s">
        <v>3300</v>
      </c>
      <c r="L12" s="2191" t="s">
        <v>3298</v>
      </c>
      <c r="M12" s="972" t="s">
        <v>1529</v>
      </c>
      <c r="N12" s="2192">
        <v>3</v>
      </c>
      <c r="O12" s="2190" t="s">
        <v>1864</v>
      </c>
      <c r="P12" s="2193"/>
      <c r="Q12" s="2756">
        <f t="shared" si="0"/>
        <v>20</v>
      </c>
      <c r="R12" s="1095" t="s">
        <v>4143</v>
      </c>
      <c r="S12" s="2195" t="s">
        <v>4144</v>
      </c>
      <c r="T12" s="2202"/>
      <c r="U12" s="2203"/>
      <c r="V12" s="2204">
        <f t="shared" si="1"/>
        <v>166.94873030176103</v>
      </c>
      <c r="W12" s="2751">
        <f t="shared" si="2"/>
        <v>166.94873030176103</v>
      </c>
      <c r="X12" s="2202"/>
      <c r="Y12" s="2203"/>
      <c r="Z12" s="2205">
        <f t="shared" si="3"/>
        <v>3338.9746060352209</v>
      </c>
      <c r="AA12" s="2753">
        <f t="shared" si="4"/>
        <v>3338.9746060352209</v>
      </c>
      <c r="AB12" s="1"/>
      <c r="AC12" s="1"/>
      <c r="AD12" s="270">
        <f>$F12</f>
        <v>2800</v>
      </c>
      <c r="AE12" s="270">
        <f t="shared" si="5"/>
        <v>633.8295454545455</v>
      </c>
      <c r="AF12" s="1">
        <f t="shared" si="6"/>
        <v>28.28</v>
      </c>
      <c r="AG12" s="1">
        <f t="shared" si="7"/>
        <v>862</v>
      </c>
      <c r="AH12" s="1">
        <f t="shared" si="8"/>
        <v>0.75</v>
      </c>
      <c r="AI12" s="1" t="e">
        <f>IF(J12=$A$137,VLOOKUP(K12,B$148:$C$150,2,FALSE),IF(J12=$A$138,VLOOKUP(K12,$B$151:$C$153,2,FALSE)))</f>
        <v>#N/A</v>
      </c>
      <c r="AJ12" s="1">
        <f t="shared" si="9"/>
        <v>3.28</v>
      </c>
      <c r="AK12" s="1">
        <f t="shared" si="10"/>
        <v>17.189999999999998</v>
      </c>
      <c r="AL12" s="1">
        <f t="shared" si="11"/>
        <v>5111.2999999999993</v>
      </c>
      <c r="AM12" s="1">
        <f t="shared" si="12"/>
        <v>1.7</v>
      </c>
      <c r="AN12" s="1">
        <f t="shared" si="13"/>
        <v>509.99999999999994</v>
      </c>
      <c r="AO12" s="2206">
        <v>6.915</v>
      </c>
      <c r="AP12" s="235">
        <f t="shared" si="14"/>
        <v>0.72</v>
      </c>
      <c r="AQ12" s="2206">
        <f t="shared" si="15"/>
        <v>3.1399999999999997E-2</v>
      </c>
      <c r="AR12" s="2206">
        <v>0.72</v>
      </c>
      <c r="AS12" s="2206"/>
      <c r="AT12" s="2206"/>
      <c r="AU12" s="2206"/>
      <c r="AV12" s="2206"/>
    </row>
    <row r="13" spans="1:48" ht="36.5" x14ac:dyDescent="0.35">
      <c r="A13" s="2112" t="s">
        <v>875</v>
      </c>
      <c r="B13" s="1798" t="s">
        <v>4151</v>
      </c>
      <c r="C13" s="1798" t="s">
        <v>730</v>
      </c>
      <c r="D13" s="2200" t="s">
        <v>4142</v>
      </c>
      <c r="E13" s="2201" t="s">
        <v>1632</v>
      </c>
      <c r="F13" s="2208">
        <v>0</v>
      </c>
      <c r="G13" s="2208">
        <v>0</v>
      </c>
      <c r="H13" s="2188" t="s">
        <v>1696</v>
      </c>
      <c r="I13" s="2190" t="s">
        <v>1529</v>
      </c>
      <c r="J13" s="2190" t="s">
        <v>4145</v>
      </c>
      <c r="K13" s="2190" t="s">
        <v>3300</v>
      </c>
      <c r="L13" s="2191" t="s">
        <v>3298</v>
      </c>
      <c r="M13" s="972" t="s">
        <v>1529</v>
      </c>
      <c r="N13" s="2192">
        <v>3</v>
      </c>
      <c r="O13" s="2190" t="s">
        <v>1864</v>
      </c>
      <c r="P13" s="2193"/>
      <c r="Q13" s="2756">
        <v>20</v>
      </c>
      <c r="R13" s="1095" t="s">
        <v>4143</v>
      </c>
      <c r="S13" s="2195"/>
      <c r="T13" s="2202"/>
      <c r="U13" s="2203"/>
      <c r="V13" s="2204">
        <f>O163</f>
        <v>0.52</v>
      </c>
      <c r="W13" s="2751">
        <f>AA13/10</f>
        <v>0.52</v>
      </c>
      <c r="X13" s="2202"/>
      <c r="Y13" s="2203"/>
      <c r="Z13" s="2205">
        <f>V13*10</f>
        <v>5.2</v>
      </c>
      <c r="AA13" s="2753">
        <f>Q13*V13-Z13</f>
        <v>5.2</v>
      </c>
      <c r="AB13" s="1"/>
      <c r="AC13" s="1"/>
      <c r="AD13" s="270"/>
      <c r="AE13" s="270"/>
      <c r="AF13" s="1"/>
      <c r="AG13" s="1"/>
      <c r="AH13" s="1"/>
      <c r="AI13" s="1"/>
      <c r="AJ13" s="1"/>
      <c r="AK13" s="1"/>
      <c r="AL13" s="1"/>
      <c r="AM13" s="1"/>
      <c r="AN13" s="1"/>
      <c r="AO13" s="2206"/>
      <c r="AP13" s="235"/>
      <c r="AQ13" s="2206"/>
      <c r="AR13" s="2206"/>
      <c r="AS13" s="2206"/>
      <c r="AT13" s="2206"/>
      <c r="AU13" s="2206"/>
      <c r="AV13" s="2206"/>
    </row>
    <row r="14" spans="1:48" ht="36.5" x14ac:dyDescent="0.35">
      <c r="A14" s="2112" t="s">
        <v>855</v>
      </c>
      <c r="B14" s="1798" t="s">
        <v>4152</v>
      </c>
      <c r="C14" s="1798" t="s">
        <v>854</v>
      </c>
      <c r="D14" s="2200" t="s">
        <v>4142</v>
      </c>
      <c r="E14" s="2201" t="s">
        <v>1632</v>
      </c>
      <c r="F14" s="2208">
        <v>0</v>
      </c>
      <c r="G14" s="2208">
        <v>0</v>
      </c>
      <c r="H14" s="2188" t="s">
        <v>1696</v>
      </c>
      <c r="I14" s="2190" t="s">
        <v>1529</v>
      </c>
      <c r="J14" s="2190" t="s">
        <v>4145</v>
      </c>
      <c r="K14" s="2190" t="s">
        <v>3300</v>
      </c>
      <c r="L14" s="2191" t="s">
        <v>3298</v>
      </c>
      <c r="M14" s="972" t="s">
        <v>1529</v>
      </c>
      <c r="N14" s="2192">
        <v>3</v>
      </c>
      <c r="O14" s="2190" t="s">
        <v>1864</v>
      </c>
      <c r="P14" s="2193"/>
      <c r="Q14" s="2759">
        <v>20</v>
      </c>
      <c r="R14" s="2760" t="s">
        <v>4143</v>
      </c>
      <c r="S14" s="2195"/>
      <c r="T14" s="2196"/>
      <c r="U14" s="2197"/>
      <c r="V14" s="2198">
        <f>O163</f>
        <v>0.52</v>
      </c>
      <c r="W14" s="2751">
        <f>AA14/10</f>
        <v>0.52</v>
      </c>
      <c r="X14" s="2196"/>
      <c r="Y14" s="2197"/>
      <c r="Z14" s="2205">
        <f>V14*10</f>
        <v>5.2</v>
      </c>
      <c r="AA14" s="2753">
        <f>Q14*V14-Z14</f>
        <v>5.2</v>
      </c>
      <c r="AD14" s="355"/>
      <c r="AE14" s="355"/>
      <c r="AO14" s="118"/>
      <c r="AP14" s="115"/>
      <c r="AQ14" s="118"/>
      <c r="AR14" s="118"/>
      <c r="AS14" s="1"/>
      <c r="AT14" s="1"/>
      <c r="AU14" s="2206"/>
      <c r="AV14" s="2206"/>
    </row>
    <row r="15" spans="1:48" ht="29" x14ac:dyDescent="0.35">
      <c r="A15" s="1798" t="s">
        <v>4153</v>
      </c>
      <c r="B15" s="1798" t="s">
        <v>4154</v>
      </c>
      <c r="C15" s="1798" t="s">
        <v>4155</v>
      </c>
      <c r="D15" s="2187" t="s">
        <v>4142</v>
      </c>
      <c r="E15" s="2188" t="s">
        <v>4043</v>
      </c>
      <c r="F15" s="2208"/>
      <c r="G15" s="2208"/>
      <c r="H15" s="2188" t="s">
        <v>1691</v>
      </c>
      <c r="I15" s="2190" t="s">
        <v>1529</v>
      </c>
      <c r="J15" s="2190" t="s">
        <v>4145</v>
      </c>
      <c r="K15" s="2190"/>
      <c r="L15" s="2191"/>
      <c r="M15" s="972" t="s">
        <v>1529</v>
      </c>
      <c r="N15" s="2192"/>
      <c r="O15" s="2190" t="s">
        <v>3318</v>
      </c>
      <c r="P15" s="2193"/>
      <c r="Q15" s="2759">
        <v>20</v>
      </c>
      <c r="R15" s="2760"/>
      <c r="S15" s="2195"/>
      <c r="T15" s="2196"/>
      <c r="U15" s="2197"/>
      <c r="V15" s="2198"/>
      <c r="W15" s="2752">
        <f>AS15*(AT15+AU15)*AV15</f>
        <v>4.0902400000000014</v>
      </c>
      <c r="X15" s="2196"/>
      <c r="Y15" s="2197"/>
      <c r="Z15" s="2199"/>
      <c r="AA15" s="2754">
        <f>W15*Q15</f>
        <v>81.804800000000029</v>
      </c>
      <c r="AD15" s="355"/>
      <c r="AE15" s="355"/>
      <c r="AO15" s="118"/>
      <c r="AP15" s="115"/>
      <c r="AQ15" s="118"/>
      <c r="AR15" s="118"/>
      <c r="AS15" s="2206">
        <f>$B$101</f>
        <v>0.8</v>
      </c>
      <c r="AT15" s="2451">
        <f>M163</f>
        <v>9.1300000000000008</v>
      </c>
      <c r="AU15" s="1">
        <v>0</v>
      </c>
      <c r="AV15" s="2649">
        <v>0.56000000000000005</v>
      </c>
    </row>
    <row r="16" spans="1:48" ht="29" x14ac:dyDescent="0.35">
      <c r="A16" s="1798" t="s">
        <v>4156</v>
      </c>
      <c r="B16" s="1798" t="s">
        <v>4157</v>
      </c>
      <c r="C16" s="1798" t="s">
        <v>4158</v>
      </c>
      <c r="D16" s="2187" t="s">
        <v>4142</v>
      </c>
      <c r="E16" s="2188" t="s">
        <v>4043</v>
      </c>
      <c r="F16" s="2208"/>
      <c r="G16" s="2208"/>
      <c r="H16" s="2188" t="s">
        <v>1691</v>
      </c>
      <c r="I16" s="2190" t="s">
        <v>1529</v>
      </c>
      <c r="J16" s="2190" t="s">
        <v>4145</v>
      </c>
      <c r="K16" s="2190"/>
      <c r="L16" s="2191"/>
      <c r="M16" s="972" t="s">
        <v>1529</v>
      </c>
      <c r="N16" s="2192"/>
      <c r="O16" s="2190" t="s">
        <v>3318</v>
      </c>
      <c r="P16" s="2193"/>
      <c r="Q16" s="2759">
        <v>20</v>
      </c>
      <c r="R16" s="2760"/>
      <c r="S16" s="2195"/>
      <c r="T16" s="2196"/>
      <c r="U16" s="2197"/>
      <c r="V16" s="2198"/>
      <c r="W16" s="2752">
        <f>AS16*(AT16+AU16)*AV16</f>
        <v>0.27815999999999996</v>
      </c>
      <c r="X16" s="2196"/>
      <c r="Y16" s="2197"/>
      <c r="Z16" s="2199"/>
      <c r="AA16" s="2754">
        <f>W16*Q16</f>
        <v>5.5631999999999993</v>
      </c>
      <c r="AD16" s="355"/>
      <c r="AE16" s="355"/>
      <c r="AO16" s="118"/>
      <c r="AP16" s="115"/>
      <c r="AQ16" s="118"/>
      <c r="AR16" s="118"/>
      <c r="AS16" s="2206">
        <f>$B$101</f>
        <v>0.8</v>
      </c>
      <c r="AT16" s="2451">
        <v>0</v>
      </c>
      <c r="AU16" s="1">
        <f>P163</f>
        <v>0.61</v>
      </c>
      <c r="AV16" s="2649">
        <v>0.56999999999999995</v>
      </c>
    </row>
    <row r="17" spans="1:48" x14ac:dyDescent="0.35">
      <c r="A17" s="2187"/>
      <c r="B17" s="2187"/>
      <c r="C17" s="2187"/>
      <c r="D17" s="2187"/>
      <c r="E17" s="2188"/>
      <c r="F17" s="2189"/>
      <c r="G17" s="2189"/>
      <c r="H17" s="2188"/>
      <c r="I17" s="2190"/>
      <c r="J17" s="2190"/>
      <c r="K17" s="2190"/>
      <c r="L17" s="2191"/>
      <c r="M17" s="2191"/>
      <c r="N17" s="2192"/>
      <c r="O17" s="2190"/>
      <c r="P17" s="2193"/>
      <c r="Q17" s="2194"/>
      <c r="R17" s="2195"/>
      <c r="S17" s="2195"/>
      <c r="T17" s="2196"/>
      <c r="U17" s="2197"/>
      <c r="V17" s="2198"/>
      <c r="W17" s="2198"/>
      <c r="X17" s="2196"/>
      <c r="Y17" s="2197"/>
      <c r="Z17" s="2199"/>
      <c r="AA17" s="2199"/>
      <c r="AD17" s="355"/>
      <c r="AE17" s="355"/>
      <c r="AO17" s="118"/>
      <c r="AP17" s="115"/>
      <c r="AQ17" s="118"/>
      <c r="AR17" s="118"/>
      <c r="AS17" s="118"/>
      <c r="AT17" s="118"/>
      <c r="AU17" s="118"/>
      <c r="AV17" s="118"/>
    </row>
    <row r="18" spans="1:48" x14ac:dyDescent="0.35">
      <c r="A18" s="2187"/>
      <c r="B18" s="2187"/>
      <c r="C18" s="2187"/>
      <c r="D18" s="2187"/>
      <c r="E18" s="2188"/>
      <c r="F18" s="2189"/>
      <c r="G18" s="2189"/>
      <c r="H18" s="2188"/>
      <c r="I18" s="2190"/>
      <c r="J18" s="2190"/>
      <c r="K18" s="2190"/>
      <c r="L18" s="2191"/>
      <c r="M18" s="2191"/>
      <c r="N18" s="2192"/>
      <c r="O18" s="2190"/>
      <c r="P18" s="2193"/>
      <c r="Q18" s="2194"/>
      <c r="R18" s="2195"/>
      <c r="S18" s="2195"/>
      <c r="T18" s="2196"/>
      <c r="U18" s="2197"/>
      <c r="V18" s="2198"/>
      <c r="W18" s="2198"/>
      <c r="X18" s="2196"/>
      <c r="Y18" s="2197"/>
      <c r="Z18" s="2199"/>
      <c r="AA18" s="2199"/>
      <c r="AD18" s="355"/>
      <c r="AE18" s="355"/>
      <c r="AO18" s="118"/>
      <c r="AP18" s="115"/>
      <c r="AQ18" s="118"/>
      <c r="AR18" s="118"/>
      <c r="AS18" s="118"/>
      <c r="AT18" s="118"/>
      <c r="AU18" s="118"/>
      <c r="AV18" s="118"/>
    </row>
    <row r="19" spans="1:48" x14ac:dyDescent="0.35">
      <c r="A19" s="2187"/>
      <c r="B19" s="2187"/>
      <c r="C19" s="2187"/>
      <c r="D19" s="2187"/>
      <c r="E19" s="2188"/>
      <c r="F19" s="2189"/>
      <c r="G19" s="2189"/>
      <c r="H19" s="2188"/>
      <c r="I19" s="2190"/>
      <c r="J19" s="2190"/>
      <c r="K19" s="2190"/>
      <c r="L19" s="2191"/>
      <c r="M19" s="2191"/>
      <c r="N19" s="2192"/>
      <c r="O19" s="2190"/>
      <c r="P19" s="2193"/>
      <c r="Q19" s="2194"/>
      <c r="R19" s="2195"/>
      <c r="S19" s="2195"/>
      <c r="T19" s="2196"/>
      <c r="U19" s="2197"/>
      <c r="V19" s="2198"/>
      <c r="W19" s="2198"/>
      <c r="X19" s="2196"/>
      <c r="Y19" s="2197"/>
      <c r="Z19" s="2199"/>
      <c r="AA19" s="2199"/>
      <c r="AD19" s="355"/>
      <c r="AE19" s="355"/>
      <c r="AO19" s="118"/>
      <c r="AP19" s="115"/>
      <c r="AQ19" s="118"/>
      <c r="AR19" s="118"/>
      <c r="AS19" s="118"/>
      <c r="AT19" s="118"/>
      <c r="AU19" s="118"/>
      <c r="AV19" s="118"/>
    </row>
    <row r="20" spans="1:48" x14ac:dyDescent="0.35">
      <c r="A20" s="2187"/>
      <c r="B20" s="2187"/>
      <c r="C20" s="2187"/>
      <c r="D20" s="2187"/>
      <c r="E20" s="2188"/>
      <c r="F20" s="2189"/>
      <c r="G20" s="2189"/>
      <c r="H20" s="2188"/>
      <c r="I20" s="2190"/>
      <c r="J20" s="2190"/>
      <c r="K20" s="2190"/>
      <c r="L20" s="2191"/>
      <c r="M20" s="2191"/>
      <c r="N20" s="2192"/>
      <c r="O20" s="2190"/>
      <c r="P20" s="2193"/>
      <c r="Q20" s="2194"/>
      <c r="R20" s="2195"/>
      <c r="S20" s="2195"/>
      <c r="T20" s="2196"/>
      <c r="U20" s="2197"/>
      <c r="V20" s="2198"/>
      <c r="W20" s="2198"/>
      <c r="X20" s="2196"/>
      <c r="Y20" s="2197"/>
      <c r="Z20" s="2199"/>
      <c r="AA20" s="2199"/>
      <c r="AD20" s="355"/>
      <c r="AE20" s="355"/>
      <c r="AO20" s="118"/>
      <c r="AP20" s="115"/>
      <c r="AQ20" s="118"/>
      <c r="AR20" s="118"/>
      <c r="AS20" s="118"/>
      <c r="AT20" s="118"/>
      <c r="AU20" s="118"/>
      <c r="AV20" s="118"/>
    </row>
    <row r="21" spans="1:48" ht="15" thickBot="1" x14ac:dyDescent="0.4"/>
    <row r="22" spans="1:48" ht="15" thickBot="1" x14ac:dyDescent="0.4">
      <c r="A22" s="62" t="s">
        <v>1188</v>
      </c>
      <c r="B22" s="63"/>
      <c r="C22" s="64"/>
      <c r="D22" s="64"/>
      <c r="E22" s="64"/>
      <c r="F22" s="64"/>
      <c r="G22" s="64"/>
      <c r="H22" s="64"/>
      <c r="I22" s="65"/>
      <c r="AP22" s="255" t="s">
        <v>4134</v>
      </c>
      <c r="AQ22" t="s">
        <v>4159</v>
      </c>
    </row>
    <row r="23" spans="1:48" x14ac:dyDescent="0.35">
      <c r="A23" s="304" t="s">
        <v>4160</v>
      </c>
      <c r="B23" s="68"/>
      <c r="C23" s="69"/>
      <c r="D23" s="69"/>
      <c r="E23" s="69"/>
      <c r="F23" s="69"/>
      <c r="G23" s="69"/>
      <c r="H23" s="69"/>
      <c r="I23" s="100"/>
      <c r="AP23" s="2749">
        <f>IF(0.8*0.85&lt;B73,B73,0.8*0.85)</f>
        <v>0.72</v>
      </c>
    </row>
    <row r="24" spans="1:48" x14ac:dyDescent="0.35">
      <c r="A24" s="304" t="s">
        <v>4161</v>
      </c>
      <c r="B24" s="69"/>
      <c r="C24" s="69"/>
      <c r="D24" s="69"/>
      <c r="E24" s="69"/>
      <c r="F24" s="69"/>
      <c r="G24" s="69"/>
      <c r="H24" s="69"/>
      <c r="I24" s="100"/>
    </row>
    <row r="25" spans="1:48" x14ac:dyDescent="0.35">
      <c r="A25" s="305" t="s">
        <v>4162</v>
      </c>
      <c r="B25" s="69"/>
      <c r="C25" s="69"/>
      <c r="D25" s="69"/>
      <c r="E25" s="69"/>
      <c r="F25" s="69"/>
      <c r="G25" s="69"/>
      <c r="H25" s="69"/>
      <c r="I25" s="100"/>
    </row>
    <row r="26" spans="1:48" x14ac:dyDescent="0.35">
      <c r="A26" s="304" t="s">
        <v>4163</v>
      </c>
      <c r="B26" s="69"/>
      <c r="C26" s="69"/>
      <c r="D26" s="69"/>
      <c r="E26" s="69"/>
      <c r="F26" s="69"/>
      <c r="G26" s="69"/>
      <c r="H26" s="69"/>
      <c r="I26" s="100"/>
    </row>
    <row r="27" spans="1:48" x14ac:dyDescent="0.35">
      <c r="A27" s="304" t="s">
        <v>4164</v>
      </c>
      <c r="B27" s="69"/>
      <c r="C27" s="69"/>
      <c r="D27" s="69"/>
      <c r="E27" s="69"/>
      <c r="F27" s="69"/>
      <c r="G27" s="69"/>
      <c r="H27" s="69"/>
      <c r="I27" s="100"/>
    </row>
    <row r="28" spans="1:48" x14ac:dyDescent="0.35">
      <c r="A28" s="306" t="s">
        <v>4165</v>
      </c>
      <c r="B28" s="69"/>
      <c r="C28" s="69"/>
      <c r="D28" s="69"/>
      <c r="E28" s="69"/>
      <c r="F28" s="69"/>
      <c r="G28" s="69"/>
      <c r="H28" s="69"/>
      <c r="I28" s="100"/>
    </row>
    <row r="29" spans="1:48" x14ac:dyDescent="0.35">
      <c r="A29" s="304"/>
      <c r="B29" s="69"/>
      <c r="C29" s="69"/>
      <c r="D29" s="69"/>
      <c r="E29" s="69"/>
      <c r="F29" s="69"/>
      <c r="G29" s="69"/>
      <c r="H29" s="69"/>
      <c r="I29" s="100"/>
    </row>
    <row r="30" spans="1:48" x14ac:dyDescent="0.35">
      <c r="A30" s="305" t="s">
        <v>4166</v>
      </c>
      <c r="B30" s="69"/>
      <c r="C30" s="69"/>
      <c r="D30" s="69"/>
      <c r="E30" s="69"/>
      <c r="F30" s="69"/>
      <c r="G30" s="69"/>
      <c r="H30" s="69"/>
      <c r="I30" s="100"/>
    </row>
    <row r="31" spans="1:48" x14ac:dyDescent="0.35">
      <c r="A31" s="304" t="s">
        <v>4167</v>
      </c>
      <c r="B31" s="68"/>
      <c r="C31" s="69"/>
      <c r="D31" s="69"/>
      <c r="E31" s="69"/>
      <c r="F31" s="69"/>
      <c r="G31" s="69"/>
      <c r="H31" s="69"/>
      <c r="I31" s="100"/>
    </row>
    <row r="32" spans="1:48" x14ac:dyDescent="0.35">
      <c r="A32" s="304" t="s">
        <v>4168</v>
      </c>
      <c r="B32" s="68"/>
      <c r="C32" s="69"/>
      <c r="D32" s="69"/>
      <c r="E32" s="69"/>
      <c r="F32" s="69"/>
      <c r="G32" s="69"/>
      <c r="H32" s="69"/>
      <c r="I32" s="100"/>
      <c r="R32" s="307"/>
      <c r="S32" s="307"/>
    </row>
    <row r="33" spans="1:13" x14ac:dyDescent="0.35">
      <c r="A33" s="305" t="s">
        <v>4169</v>
      </c>
      <c r="B33" s="68"/>
      <c r="C33" s="69"/>
      <c r="D33" s="69"/>
      <c r="E33" s="69"/>
      <c r="F33" s="69"/>
      <c r="G33" s="69"/>
      <c r="H33" s="69"/>
      <c r="I33" s="100"/>
    </row>
    <row r="34" spans="1:13" x14ac:dyDescent="0.35">
      <c r="A34" s="305" t="s">
        <v>4170</v>
      </c>
      <c r="B34" s="68"/>
      <c r="C34" s="69"/>
      <c r="D34" s="69"/>
      <c r="E34" s="69"/>
      <c r="F34" s="69"/>
      <c r="G34" s="69"/>
      <c r="H34" s="69"/>
      <c r="I34" s="100"/>
    </row>
    <row r="35" spans="1:13" x14ac:dyDescent="0.35">
      <c r="A35" s="2877" t="s">
        <v>4171</v>
      </c>
      <c r="B35" s="2642"/>
      <c r="C35" s="2641"/>
      <c r="D35" s="2641"/>
      <c r="E35" s="2641"/>
      <c r="F35" s="2641"/>
      <c r="G35" s="2641"/>
      <c r="H35" s="2641"/>
      <c r="I35" s="2643"/>
    </row>
    <row r="36" spans="1:13" x14ac:dyDescent="0.35">
      <c r="A36" s="305" t="s">
        <v>4172</v>
      </c>
      <c r="B36" s="68"/>
      <c r="C36" s="69"/>
      <c r="D36" s="308"/>
      <c r="E36" s="68"/>
      <c r="F36" s="69"/>
      <c r="G36" s="69"/>
      <c r="H36" s="69"/>
      <c r="I36" s="100"/>
    </row>
    <row r="37" spans="1:13" ht="15" thickBot="1" x14ac:dyDescent="0.4">
      <c r="A37" s="309" t="s">
        <v>4173</v>
      </c>
      <c r="B37" s="310"/>
      <c r="C37" s="161"/>
      <c r="D37" s="161"/>
      <c r="E37" s="161"/>
      <c r="F37" s="161"/>
      <c r="G37" s="161"/>
      <c r="H37" s="161"/>
      <c r="I37" s="163"/>
    </row>
    <row r="38" spans="1:13" ht="15" thickBot="1" x14ac:dyDescent="0.4">
      <c r="A38" s="154" t="s">
        <v>1078</v>
      </c>
      <c r="B38" s="1142">
        <f>'Measure-Level Adjustments'!A2</f>
        <v>44592</v>
      </c>
    </row>
    <row r="39" spans="1:13" ht="15" thickBot="1" x14ac:dyDescent="0.4">
      <c r="A39" s="154" t="s">
        <v>1079</v>
      </c>
      <c r="B39" s="577" t="s">
        <v>4174</v>
      </c>
    </row>
    <row r="42" spans="1:13" ht="15" thickBot="1" x14ac:dyDescent="0.4">
      <c r="A42" s="55"/>
      <c r="B42" s="274"/>
    </row>
    <row r="43" spans="1:13" ht="15" thickBot="1" x14ac:dyDescent="0.4">
      <c r="A43" s="74" t="s">
        <v>1285</v>
      </c>
      <c r="B43" s="75" t="s">
        <v>1199</v>
      </c>
      <c r="C43" s="76" t="s">
        <v>1082</v>
      </c>
      <c r="D43" s="64"/>
      <c r="E43" s="64"/>
      <c r="F43" s="64"/>
      <c r="G43" s="64"/>
      <c r="H43" s="64"/>
      <c r="I43" s="64"/>
      <c r="J43" s="64"/>
      <c r="K43" s="64"/>
      <c r="L43" s="64"/>
      <c r="M43" s="65"/>
    </row>
    <row r="44" spans="1:13" x14ac:dyDescent="0.35">
      <c r="A44" s="311" t="s">
        <v>4124</v>
      </c>
      <c r="B44" s="152"/>
      <c r="C44" s="312" t="s">
        <v>4175</v>
      </c>
      <c r="D44" s="152"/>
      <c r="E44" s="152"/>
      <c r="F44" s="152"/>
      <c r="G44" s="152"/>
      <c r="H44" s="152"/>
      <c r="I44" s="152"/>
      <c r="J44" s="152"/>
      <c r="K44" s="152"/>
      <c r="L44" s="152"/>
      <c r="M44" s="153"/>
    </row>
    <row r="45" spans="1:13" ht="15" thickBot="1" x14ac:dyDescent="0.4">
      <c r="A45" s="313"/>
      <c r="B45" s="156"/>
      <c r="C45" s="165" t="s">
        <v>4176</v>
      </c>
      <c r="D45" s="156"/>
      <c r="E45" s="156"/>
      <c r="F45" s="156"/>
      <c r="G45" s="156"/>
      <c r="H45" s="156"/>
      <c r="I45" s="156"/>
      <c r="J45" s="156"/>
      <c r="K45" s="156"/>
      <c r="L45" s="156"/>
      <c r="M45" s="157"/>
    </row>
    <row r="46" spans="1:13" x14ac:dyDescent="0.35">
      <c r="A46" s="311" t="s">
        <v>4125</v>
      </c>
      <c r="B46" s="152"/>
      <c r="C46" s="312" t="s">
        <v>4177</v>
      </c>
      <c r="D46" s="152"/>
      <c r="E46" s="152"/>
      <c r="F46" s="152"/>
      <c r="G46" s="152"/>
      <c r="H46" s="152"/>
      <c r="I46" s="152"/>
      <c r="J46" s="152"/>
      <c r="K46" s="152"/>
      <c r="L46" s="152"/>
      <c r="M46" s="153"/>
    </row>
    <row r="47" spans="1:13" ht="15" thickBot="1" x14ac:dyDescent="0.4">
      <c r="A47" s="313"/>
      <c r="B47" s="156"/>
      <c r="C47" s="165" t="s">
        <v>4178</v>
      </c>
      <c r="D47" s="156"/>
      <c r="E47" s="156"/>
      <c r="F47" s="156"/>
      <c r="G47" s="156"/>
      <c r="H47" s="156"/>
      <c r="I47" s="156"/>
      <c r="J47" s="156"/>
      <c r="K47" s="156"/>
      <c r="L47" s="156"/>
      <c r="M47" s="157"/>
    </row>
    <row r="48" spans="1:13" x14ac:dyDescent="0.35">
      <c r="A48" s="314" t="s">
        <v>4126</v>
      </c>
      <c r="B48" s="152">
        <v>2800</v>
      </c>
      <c r="C48" s="312" t="s">
        <v>4179</v>
      </c>
      <c r="D48" s="152"/>
      <c r="E48" s="152"/>
      <c r="F48" s="152"/>
      <c r="G48" s="152"/>
      <c r="H48" s="152"/>
      <c r="I48" s="152"/>
      <c r="J48" s="152"/>
      <c r="K48" s="152"/>
      <c r="L48" s="152"/>
      <c r="M48" s="153"/>
    </row>
    <row r="49" spans="1:13" ht="15" thickBot="1" x14ac:dyDescent="0.4">
      <c r="A49" s="313"/>
      <c r="B49" s="156"/>
      <c r="C49" s="165" t="s">
        <v>4180</v>
      </c>
      <c r="D49" s="156"/>
      <c r="E49" s="156"/>
      <c r="F49" s="156"/>
      <c r="G49" s="156"/>
      <c r="H49" s="156"/>
      <c r="I49" s="156"/>
      <c r="J49" s="156"/>
      <c r="K49" s="156"/>
      <c r="L49" s="156"/>
      <c r="M49" s="157"/>
    </row>
    <row r="50" spans="1:13" x14ac:dyDescent="0.35">
      <c r="A50" s="315" t="s">
        <v>4127</v>
      </c>
      <c r="B50" s="316">
        <v>2016</v>
      </c>
      <c r="C50" s="312" t="s">
        <v>4181</v>
      </c>
      <c r="D50" s="152"/>
      <c r="E50" s="152"/>
      <c r="F50" s="152"/>
      <c r="G50" s="152"/>
      <c r="H50" s="152"/>
      <c r="I50" s="152"/>
      <c r="J50" s="152"/>
      <c r="K50" s="152"/>
      <c r="L50" s="152"/>
      <c r="M50" s="153"/>
    </row>
    <row r="51" spans="1:13" ht="15" thickBot="1" x14ac:dyDescent="0.4">
      <c r="A51" s="313"/>
      <c r="B51" s="156"/>
      <c r="C51" s="165" t="s">
        <v>4180</v>
      </c>
      <c r="D51" s="156"/>
      <c r="E51" s="156"/>
      <c r="F51" s="156"/>
      <c r="G51" s="156"/>
      <c r="H51" s="156"/>
      <c r="I51" s="156"/>
      <c r="J51" s="156"/>
      <c r="K51" s="156"/>
      <c r="L51" s="156"/>
      <c r="M51" s="157"/>
    </row>
    <row r="52" spans="1:13" ht="29" x14ac:dyDescent="0.35">
      <c r="A52" s="151" t="s">
        <v>4128</v>
      </c>
      <c r="B52" s="276" t="s">
        <v>4182</v>
      </c>
      <c r="C52" s="312" t="s">
        <v>4183</v>
      </c>
      <c r="D52" s="152"/>
      <c r="E52" s="152"/>
      <c r="F52" s="152"/>
      <c r="G52" s="152"/>
      <c r="H52" s="152"/>
      <c r="I52" s="152"/>
      <c r="J52" s="152"/>
      <c r="K52" s="152"/>
      <c r="L52" s="152"/>
      <c r="M52" s="153"/>
    </row>
    <row r="53" spans="1:13" x14ac:dyDescent="0.35">
      <c r="A53" s="317"/>
      <c r="B53" s="167"/>
      <c r="C53" s="318" t="s">
        <v>4184</v>
      </c>
      <c r="D53" s="167"/>
      <c r="E53" s="167"/>
      <c r="F53" s="167"/>
      <c r="G53" s="167"/>
      <c r="H53" s="167"/>
      <c r="I53" s="167"/>
      <c r="J53" s="167"/>
      <c r="K53" s="167"/>
      <c r="L53" s="167"/>
      <c r="M53" s="168"/>
    </row>
    <row r="54" spans="1:13" ht="15" thickBot="1" x14ac:dyDescent="0.4">
      <c r="A54" s="313"/>
      <c r="B54" s="156"/>
      <c r="C54" s="318" t="s">
        <v>4185</v>
      </c>
      <c r="D54" s="167"/>
      <c r="E54" s="167"/>
      <c r="F54" s="167"/>
      <c r="G54" s="167"/>
      <c r="H54" s="167"/>
      <c r="I54" s="167"/>
      <c r="J54" s="167"/>
      <c r="K54" s="167"/>
      <c r="L54" s="167"/>
      <c r="M54" s="168"/>
    </row>
    <row r="55" spans="1:13" x14ac:dyDescent="0.35">
      <c r="A55" s="151" t="s">
        <v>4129</v>
      </c>
      <c r="B55" s="276" t="s">
        <v>4186</v>
      </c>
      <c r="C55" s="312" t="s">
        <v>4187</v>
      </c>
      <c r="D55" s="152"/>
      <c r="E55" s="152"/>
      <c r="F55" s="152"/>
      <c r="G55" s="152"/>
      <c r="H55" s="152"/>
      <c r="I55" s="152"/>
      <c r="J55" s="152"/>
      <c r="K55" s="152"/>
      <c r="L55" s="152"/>
      <c r="M55" s="153"/>
    </row>
    <row r="56" spans="1:13" ht="15" thickBot="1" x14ac:dyDescent="0.4">
      <c r="A56" s="155"/>
      <c r="B56" s="156"/>
      <c r="C56" s="165" t="s">
        <v>4188</v>
      </c>
      <c r="D56" s="156"/>
      <c r="E56" s="156"/>
      <c r="F56" s="156"/>
      <c r="G56" s="156"/>
      <c r="H56" s="156"/>
      <c r="I56" s="156"/>
      <c r="J56" s="156"/>
      <c r="K56" s="156"/>
      <c r="L56" s="156"/>
      <c r="M56" s="157"/>
    </row>
    <row r="57" spans="1:13" x14ac:dyDescent="0.35">
      <c r="A57" s="151" t="s">
        <v>4130</v>
      </c>
      <c r="B57" s="152">
        <v>0.75</v>
      </c>
      <c r="C57" s="312" t="s">
        <v>4189</v>
      </c>
      <c r="D57" s="152"/>
      <c r="E57" s="152"/>
      <c r="F57" s="152"/>
      <c r="G57" s="152"/>
      <c r="H57" s="152"/>
      <c r="I57" s="152"/>
      <c r="J57" s="152"/>
      <c r="K57" s="152"/>
      <c r="L57" s="152"/>
      <c r="M57" s="153"/>
    </row>
    <row r="58" spans="1:13" ht="15" thickBot="1" x14ac:dyDescent="0.4">
      <c r="A58" s="155"/>
      <c r="B58" s="156"/>
      <c r="C58" s="165" t="s">
        <v>2257</v>
      </c>
      <c r="D58" s="156"/>
      <c r="E58" s="156"/>
      <c r="F58" s="156"/>
      <c r="G58" s="156"/>
      <c r="H58" s="156"/>
      <c r="I58" s="156"/>
      <c r="J58" s="156"/>
      <c r="K58" s="156"/>
      <c r="L58" s="156"/>
      <c r="M58" s="157"/>
    </row>
    <row r="59" spans="1:13" ht="29" x14ac:dyDescent="0.35">
      <c r="A59" s="319" t="s">
        <v>3200</v>
      </c>
      <c r="B59" s="276" t="s">
        <v>4190</v>
      </c>
      <c r="C59" s="312" t="s">
        <v>4191</v>
      </c>
      <c r="D59" s="152"/>
      <c r="E59" s="152"/>
      <c r="F59" s="152"/>
      <c r="G59" s="152"/>
      <c r="H59" s="152"/>
      <c r="I59" s="152"/>
      <c r="J59" s="152"/>
      <c r="K59" s="152"/>
      <c r="L59" s="152"/>
      <c r="M59" s="153"/>
    </row>
    <row r="60" spans="1:13" ht="15" thickBot="1" x14ac:dyDescent="0.4">
      <c r="A60" s="155"/>
      <c r="B60" s="156"/>
      <c r="C60" s="156" t="s">
        <v>4192</v>
      </c>
      <c r="D60" s="156"/>
      <c r="E60" s="156"/>
      <c r="F60" s="156"/>
      <c r="G60" s="156"/>
      <c r="H60" s="156"/>
      <c r="I60" s="156"/>
      <c r="J60" s="156"/>
      <c r="K60" s="156"/>
      <c r="L60" s="156"/>
      <c r="M60" s="157"/>
    </row>
    <row r="61" spans="1:13" ht="29" x14ac:dyDescent="0.35">
      <c r="A61" s="151" t="s">
        <v>4131</v>
      </c>
      <c r="B61" s="276" t="s">
        <v>4193</v>
      </c>
      <c r="C61" s="312" t="s">
        <v>4194</v>
      </c>
      <c r="D61" s="152"/>
      <c r="E61" s="152"/>
      <c r="F61" s="152"/>
      <c r="G61" s="152"/>
      <c r="H61" s="152"/>
      <c r="I61" s="152"/>
      <c r="J61" s="152"/>
      <c r="K61" s="152"/>
      <c r="L61" s="152"/>
      <c r="M61" s="153"/>
    </row>
    <row r="62" spans="1:13" ht="15" thickBot="1" x14ac:dyDescent="0.4">
      <c r="A62" s="155"/>
      <c r="B62" s="156"/>
      <c r="C62" s="165" t="s">
        <v>4188</v>
      </c>
      <c r="D62" s="156"/>
      <c r="E62" s="156"/>
      <c r="F62" s="156"/>
      <c r="G62" s="156"/>
      <c r="H62" s="156"/>
      <c r="I62" s="156"/>
      <c r="J62" s="156"/>
      <c r="K62" s="156"/>
      <c r="L62" s="156"/>
      <c r="M62" s="157"/>
    </row>
    <row r="63" spans="1:13" ht="29" x14ac:dyDescent="0.35">
      <c r="A63" s="151" t="s">
        <v>4132</v>
      </c>
      <c r="B63" s="276" t="s">
        <v>4195</v>
      </c>
      <c r="C63" s="312" t="s">
        <v>4183</v>
      </c>
      <c r="D63" s="152"/>
      <c r="E63" s="152"/>
      <c r="F63" s="152"/>
      <c r="G63" s="152"/>
      <c r="H63" s="152"/>
      <c r="I63" s="152"/>
      <c r="J63" s="152"/>
      <c r="K63" s="152"/>
      <c r="L63" s="152"/>
      <c r="M63" s="153"/>
    </row>
    <row r="64" spans="1:13" ht="15" thickBot="1" x14ac:dyDescent="0.4">
      <c r="A64" s="155"/>
      <c r="B64" s="156"/>
      <c r="C64" s="156" t="s">
        <v>4196</v>
      </c>
      <c r="D64" s="156"/>
      <c r="E64" s="156"/>
      <c r="F64" s="156"/>
      <c r="G64" s="156"/>
      <c r="H64" s="156"/>
      <c r="I64" s="156"/>
      <c r="J64" s="156"/>
      <c r="K64" s="156"/>
      <c r="L64" s="156"/>
      <c r="M64" s="157"/>
    </row>
    <row r="65" spans="1:13" ht="29" x14ac:dyDescent="0.35">
      <c r="A65" s="151" t="s">
        <v>4133</v>
      </c>
      <c r="B65" s="320" t="s">
        <v>4193</v>
      </c>
      <c r="C65" s="312" t="s">
        <v>4197</v>
      </c>
      <c r="D65" s="152"/>
      <c r="E65" s="152"/>
      <c r="F65" s="152"/>
      <c r="G65" s="152"/>
      <c r="H65" s="152"/>
      <c r="I65" s="152"/>
      <c r="J65" s="152"/>
      <c r="K65" s="152"/>
      <c r="L65" s="152"/>
      <c r="M65" s="153"/>
    </row>
    <row r="66" spans="1:13" x14ac:dyDescent="0.35">
      <c r="A66" s="155"/>
      <c r="B66" s="321"/>
      <c r="C66" s="165" t="s">
        <v>4188</v>
      </c>
      <c r="D66" s="156"/>
      <c r="E66" s="156"/>
      <c r="F66" s="156"/>
      <c r="G66" s="156"/>
      <c r="H66" s="156"/>
      <c r="I66" s="156"/>
      <c r="J66" s="156"/>
      <c r="K66" s="156"/>
      <c r="L66" s="156"/>
      <c r="M66" s="157"/>
    </row>
    <row r="67" spans="1:13" ht="43.5" x14ac:dyDescent="0.35">
      <c r="A67" s="2758" t="s">
        <v>4198</v>
      </c>
      <c r="B67" s="276" t="s">
        <v>4199</v>
      </c>
      <c r="C67" s="1435" t="s">
        <v>4200</v>
      </c>
      <c r="D67" s="152"/>
      <c r="E67" s="152"/>
      <c r="F67" s="152"/>
      <c r="G67" s="152"/>
      <c r="H67" s="152"/>
      <c r="I67" s="152"/>
      <c r="J67" s="152"/>
      <c r="K67" s="152"/>
      <c r="L67" s="152"/>
      <c r="M67" s="153"/>
    </row>
    <row r="68" spans="1:13" x14ac:dyDescent="0.35">
      <c r="A68" s="155"/>
      <c r="B68" s="321"/>
      <c r="C68" s="165" t="s">
        <v>4201</v>
      </c>
      <c r="D68" s="156"/>
      <c r="E68" s="156"/>
      <c r="F68" s="156"/>
      <c r="G68" s="156"/>
      <c r="H68" s="156"/>
      <c r="I68" s="156"/>
      <c r="J68" s="156"/>
      <c r="K68" s="156"/>
      <c r="L68" s="156"/>
      <c r="M68" s="157"/>
    </row>
    <row r="69" spans="1:13" x14ac:dyDescent="0.35">
      <c r="A69" s="319" t="s">
        <v>4135</v>
      </c>
      <c r="B69" s="152"/>
      <c r="C69" s="312" t="s">
        <v>4202</v>
      </c>
      <c r="D69" s="152"/>
      <c r="E69" s="152"/>
      <c r="F69" s="152"/>
      <c r="G69" s="152"/>
      <c r="H69" s="152"/>
      <c r="I69" s="152"/>
      <c r="J69" s="152"/>
      <c r="K69" s="152"/>
      <c r="L69" s="152"/>
      <c r="M69" s="153"/>
    </row>
    <row r="70" spans="1:13" ht="15" thickBot="1" x14ac:dyDescent="0.4">
      <c r="A70" s="155"/>
      <c r="B70" s="321"/>
      <c r="C70" s="165" t="s">
        <v>4188</v>
      </c>
      <c r="D70" s="156"/>
      <c r="E70" s="156"/>
      <c r="F70" s="156"/>
      <c r="G70" s="156"/>
      <c r="H70" s="156"/>
      <c r="I70" s="156"/>
      <c r="J70" s="156"/>
      <c r="K70" s="156"/>
      <c r="L70" s="156"/>
      <c r="M70" s="157"/>
    </row>
    <row r="71" spans="1:13" x14ac:dyDescent="0.35">
      <c r="A71" s="151" t="s">
        <v>1179</v>
      </c>
      <c r="B71" s="322">
        <v>0.91500000000000004</v>
      </c>
      <c r="C71" s="312" t="s">
        <v>3280</v>
      </c>
      <c r="D71" s="152"/>
      <c r="E71" s="152"/>
      <c r="F71" s="152"/>
      <c r="G71" s="152"/>
      <c r="H71" s="152"/>
      <c r="I71" s="152"/>
      <c r="J71" s="152"/>
      <c r="K71" s="152"/>
      <c r="L71" s="152"/>
      <c r="M71" s="153"/>
    </row>
    <row r="72" spans="1:13" ht="15" thickBot="1" x14ac:dyDescent="0.4">
      <c r="A72" s="155"/>
      <c r="B72" s="156"/>
      <c r="C72" s="165" t="s">
        <v>2257</v>
      </c>
      <c r="D72" s="156"/>
      <c r="E72" s="156"/>
      <c r="F72" s="156"/>
      <c r="G72" s="156"/>
      <c r="H72" s="156"/>
      <c r="I72" s="156"/>
      <c r="J72" s="156"/>
      <c r="K72" s="156"/>
      <c r="L72" s="156"/>
      <c r="M72" s="157"/>
    </row>
    <row r="73" spans="1:13" x14ac:dyDescent="0.35">
      <c r="A73" s="319" t="s">
        <v>4134</v>
      </c>
      <c r="B73" s="322">
        <v>0.72</v>
      </c>
      <c r="C73" s="312" t="s">
        <v>4203</v>
      </c>
      <c r="D73" s="152"/>
      <c r="E73" s="152"/>
      <c r="F73" s="152"/>
      <c r="G73" s="152"/>
      <c r="H73" s="152"/>
      <c r="I73" s="152"/>
      <c r="J73" s="152"/>
      <c r="K73" s="152"/>
      <c r="L73" s="152"/>
      <c r="M73" s="153"/>
    </row>
    <row r="74" spans="1:13" ht="15" thickBot="1" x14ac:dyDescent="0.4">
      <c r="A74" s="155"/>
      <c r="B74" s="156"/>
      <c r="C74" s="165" t="s">
        <v>4204</v>
      </c>
      <c r="D74" s="156"/>
      <c r="E74" s="156"/>
      <c r="F74" s="156"/>
      <c r="G74" s="156"/>
      <c r="H74" s="156"/>
      <c r="I74" s="156"/>
      <c r="J74" s="156"/>
      <c r="K74" s="156"/>
      <c r="L74" s="156"/>
      <c r="M74" s="157"/>
    </row>
    <row r="75" spans="1:13" x14ac:dyDescent="0.35">
      <c r="A75" s="319" t="s">
        <v>3210</v>
      </c>
      <c r="B75" s="323">
        <v>3.1399999999999997E-2</v>
      </c>
      <c r="C75" s="312" t="s">
        <v>3289</v>
      </c>
      <c r="D75" s="152"/>
      <c r="E75" s="152"/>
      <c r="F75" s="152"/>
      <c r="G75" s="152"/>
      <c r="H75" s="152"/>
      <c r="I75" s="152"/>
      <c r="J75" s="152"/>
      <c r="K75" s="152"/>
      <c r="L75" s="152"/>
      <c r="M75" s="153"/>
    </row>
    <row r="76" spans="1:13" ht="15" thickBot="1" x14ac:dyDescent="0.4">
      <c r="A76" s="155"/>
      <c r="B76" s="156"/>
      <c r="C76" s="165" t="s">
        <v>2257</v>
      </c>
      <c r="D76" s="156"/>
      <c r="E76" s="156"/>
      <c r="F76" s="156"/>
      <c r="G76" s="156"/>
      <c r="H76" s="156"/>
      <c r="I76" s="156"/>
      <c r="J76" s="156"/>
      <c r="K76" s="156"/>
      <c r="L76" s="156"/>
      <c r="M76" s="157"/>
    </row>
    <row r="77" spans="1:13" x14ac:dyDescent="0.35">
      <c r="A77" s="151" t="s">
        <v>1083</v>
      </c>
      <c r="B77" s="1575">
        <v>20</v>
      </c>
      <c r="C77" s="312" t="s">
        <v>4205</v>
      </c>
      <c r="D77" s="152"/>
      <c r="E77" s="152"/>
      <c r="F77" s="152"/>
      <c r="G77" s="152"/>
      <c r="H77" s="152"/>
      <c r="I77" s="152"/>
      <c r="J77" s="152"/>
      <c r="K77" s="152"/>
      <c r="L77" s="152"/>
      <c r="M77" s="153"/>
    </row>
    <row r="78" spans="1:13" ht="15" thickBot="1" x14ac:dyDescent="0.4">
      <c r="A78" s="155"/>
      <c r="B78" s="324"/>
      <c r="C78" s="165" t="s">
        <v>2257</v>
      </c>
      <c r="D78" s="156"/>
      <c r="E78" s="156"/>
      <c r="F78" s="156"/>
      <c r="G78" s="156"/>
      <c r="H78" s="156"/>
      <c r="I78" s="156"/>
      <c r="J78" s="156"/>
      <c r="K78" s="156"/>
      <c r="L78" s="156"/>
      <c r="M78" s="157"/>
    </row>
    <row r="79" spans="1:13" ht="43.5" customHeight="1" x14ac:dyDescent="0.35">
      <c r="A79" s="151" t="s">
        <v>1040</v>
      </c>
      <c r="B79" s="322"/>
      <c r="C79" s="312"/>
      <c r="D79" s="152"/>
      <c r="E79" s="152"/>
      <c r="F79" s="152"/>
      <c r="G79" s="152"/>
      <c r="H79" s="152"/>
      <c r="I79" s="152"/>
      <c r="J79" s="152"/>
      <c r="K79" s="152"/>
      <c r="L79" s="152"/>
      <c r="M79" s="153"/>
    </row>
    <row r="80" spans="1:13" ht="16.5" customHeight="1" thickBot="1" x14ac:dyDescent="0.4">
      <c r="A80" s="155"/>
      <c r="B80" s="324"/>
      <c r="C80" s="165"/>
      <c r="D80" s="156"/>
      <c r="E80" s="156"/>
      <c r="F80" s="156"/>
      <c r="G80" s="156"/>
      <c r="H80" s="156"/>
      <c r="I80" s="156"/>
      <c r="J80" s="156"/>
      <c r="K80" s="156"/>
      <c r="L80" s="156"/>
      <c r="M80" s="157"/>
    </row>
    <row r="81" spans="1:13" ht="40.5" customHeight="1" x14ac:dyDescent="0.35">
      <c r="A81" s="151" t="s">
        <v>4206</v>
      </c>
      <c r="B81" s="325" t="s">
        <v>4207</v>
      </c>
      <c r="C81" s="312" t="s">
        <v>4208</v>
      </c>
      <c r="D81" s="152"/>
      <c r="E81" s="152"/>
      <c r="F81" s="152"/>
      <c r="G81" s="152"/>
      <c r="H81" s="152"/>
      <c r="I81" s="152"/>
      <c r="J81" s="152"/>
      <c r="K81" s="152"/>
      <c r="L81" s="152"/>
      <c r="M81" s="153"/>
    </row>
    <row r="82" spans="1:13" ht="16.5" customHeight="1" x14ac:dyDescent="0.35">
      <c r="A82" s="166"/>
      <c r="B82" s="326"/>
      <c r="C82" s="318" t="s">
        <v>4209</v>
      </c>
      <c r="D82" s="167"/>
      <c r="E82" s="167"/>
      <c r="F82" s="167"/>
      <c r="G82" s="167"/>
      <c r="H82" s="167"/>
      <c r="I82" s="167"/>
      <c r="J82" s="167"/>
      <c r="K82" s="167"/>
      <c r="L82" s="167"/>
      <c r="M82" s="168"/>
    </row>
    <row r="83" spans="1:13" ht="16.5" customHeight="1" thickBot="1" x14ac:dyDescent="0.4">
      <c r="A83" s="155"/>
      <c r="B83" s="324"/>
      <c r="C83" s="165" t="s">
        <v>4210</v>
      </c>
      <c r="D83" s="156"/>
      <c r="E83" s="156"/>
      <c r="F83" s="156"/>
      <c r="G83" s="156"/>
      <c r="H83" s="156"/>
      <c r="I83" s="156"/>
      <c r="J83" s="156"/>
      <c r="K83" s="156"/>
      <c r="L83" s="156"/>
      <c r="M83" s="157"/>
    </row>
    <row r="84" spans="1:13" ht="16.5" customHeight="1" x14ac:dyDescent="0.35">
      <c r="A84" s="151" t="s">
        <v>4211</v>
      </c>
      <c r="B84" s="322"/>
      <c r="C84" s="312" t="s">
        <v>4212</v>
      </c>
      <c r="D84" s="152"/>
      <c r="E84" s="152"/>
      <c r="F84" s="152"/>
      <c r="G84" s="152"/>
      <c r="H84" s="152"/>
      <c r="I84" s="152"/>
      <c r="J84" s="152"/>
      <c r="K84" s="152"/>
      <c r="L84" s="152"/>
      <c r="M84" s="153"/>
    </row>
    <row r="85" spans="1:13" ht="16.5" customHeight="1" thickBot="1" x14ac:dyDescent="0.4">
      <c r="A85" s="155"/>
      <c r="B85" s="324"/>
      <c r="C85" s="165" t="s">
        <v>4210</v>
      </c>
      <c r="D85" s="156"/>
      <c r="E85" s="156"/>
      <c r="F85" s="156"/>
      <c r="G85" s="156"/>
      <c r="H85" s="156"/>
      <c r="I85" s="156"/>
      <c r="J85" s="156"/>
      <c r="K85" s="156"/>
      <c r="L85" s="156"/>
      <c r="M85" s="157"/>
    </row>
    <row r="86" spans="1:13" ht="29.25" customHeight="1" x14ac:dyDescent="0.35">
      <c r="A86" s="151" t="s">
        <v>4213</v>
      </c>
      <c r="B86" s="325" t="s">
        <v>4207</v>
      </c>
      <c r="C86" s="312" t="s">
        <v>4214</v>
      </c>
      <c r="D86" s="152"/>
      <c r="E86" s="152"/>
      <c r="F86" s="152"/>
      <c r="G86" s="152"/>
      <c r="H86" s="152"/>
      <c r="I86" s="152"/>
      <c r="J86" s="152"/>
      <c r="K86" s="152"/>
      <c r="L86" s="152"/>
      <c r="M86" s="153"/>
    </row>
    <row r="87" spans="1:13" ht="16.5" customHeight="1" x14ac:dyDescent="0.35">
      <c r="A87" s="166"/>
      <c r="B87" s="326"/>
      <c r="C87" s="318" t="s">
        <v>4209</v>
      </c>
      <c r="D87" s="167"/>
      <c r="E87" s="167"/>
      <c r="F87" s="167"/>
      <c r="G87" s="167"/>
      <c r="H87" s="167"/>
      <c r="I87" s="167"/>
      <c r="J87" s="167"/>
      <c r="K87" s="167"/>
      <c r="L87" s="167"/>
      <c r="M87" s="168"/>
    </row>
    <row r="88" spans="1:13" ht="16.5" customHeight="1" thickBot="1" x14ac:dyDescent="0.4">
      <c r="A88" s="155"/>
      <c r="B88" s="324"/>
      <c r="C88" s="165" t="s">
        <v>4210</v>
      </c>
      <c r="D88" s="156"/>
      <c r="E88" s="156"/>
      <c r="F88" s="156"/>
      <c r="G88" s="156"/>
      <c r="H88" s="156"/>
      <c r="I88" s="156"/>
      <c r="J88" s="156"/>
      <c r="K88" s="156"/>
      <c r="L88" s="156"/>
      <c r="M88" s="157"/>
    </row>
    <row r="89" spans="1:13" ht="16.5" customHeight="1" x14ac:dyDescent="0.35">
      <c r="A89" s="151" t="s">
        <v>4215</v>
      </c>
      <c r="B89" s="322"/>
      <c r="C89" s="312" t="s">
        <v>4216</v>
      </c>
      <c r="D89" s="152"/>
      <c r="E89" s="152"/>
      <c r="F89" s="152"/>
      <c r="G89" s="152"/>
      <c r="H89" s="152"/>
      <c r="I89" s="152"/>
      <c r="J89" s="152"/>
      <c r="K89" s="152"/>
      <c r="L89" s="152"/>
      <c r="M89" s="153"/>
    </row>
    <row r="90" spans="1:13" ht="16.5" customHeight="1" thickBot="1" x14ac:dyDescent="0.4">
      <c r="A90" s="155"/>
      <c r="B90" s="324"/>
      <c r="C90" s="165" t="s">
        <v>4210</v>
      </c>
      <c r="D90" s="156"/>
      <c r="E90" s="156"/>
      <c r="F90" s="156"/>
      <c r="G90" s="156"/>
      <c r="H90" s="156"/>
      <c r="I90" s="156"/>
      <c r="J90" s="156"/>
      <c r="K90" s="156"/>
      <c r="L90" s="156"/>
      <c r="M90" s="157"/>
    </row>
    <row r="91" spans="1:13" ht="33.75" customHeight="1" x14ac:dyDescent="0.35">
      <c r="A91" s="151" t="s">
        <v>4217</v>
      </c>
      <c r="B91" s="325" t="s">
        <v>4207</v>
      </c>
      <c r="C91" s="312" t="s">
        <v>4218</v>
      </c>
      <c r="D91" s="152"/>
      <c r="E91" s="152"/>
      <c r="F91" s="152"/>
      <c r="G91" s="152"/>
      <c r="H91" s="152"/>
      <c r="I91" s="152"/>
      <c r="J91" s="152"/>
      <c r="K91" s="152"/>
      <c r="L91" s="152"/>
      <c r="M91" s="153"/>
    </row>
    <row r="92" spans="1:13" ht="16.5" customHeight="1" x14ac:dyDescent="0.35">
      <c r="A92" s="166"/>
      <c r="B92" s="326"/>
      <c r="C92" s="318" t="s">
        <v>4209</v>
      </c>
      <c r="D92" s="167"/>
      <c r="E92" s="167"/>
      <c r="F92" s="167"/>
      <c r="G92" s="167"/>
      <c r="H92" s="167"/>
      <c r="I92" s="167"/>
      <c r="J92" s="167"/>
      <c r="K92" s="167"/>
      <c r="L92" s="167"/>
      <c r="M92" s="168"/>
    </row>
    <row r="93" spans="1:13" ht="16.5" customHeight="1" thickBot="1" x14ac:dyDescent="0.4">
      <c r="A93" s="155"/>
      <c r="B93" s="324"/>
      <c r="C93" s="165" t="s">
        <v>4210</v>
      </c>
      <c r="D93" s="156"/>
      <c r="E93" s="156"/>
      <c r="F93" s="156"/>
      <c r="G93" s="156"/>
      <c r="H93" s="156"/>
      <c r="I93" s="156"/>
      <c r="J93" s="156"/>
      <c r="K93" s="156"/>
      <c r="L93" s="156"/>
      <c r="M93" s="157"/>
    </row>
    <row r="94" spans="1:13" ht="16.5" customHeight="1" x14ac:dyDescent="0.35">
      <c r="A94" s="151" t="s">
        <v>4219</v>
      </c>
      <c r="B94" s="322"/>
      <c r="C94" s="312" t="s">
        <v>4220</v>
      </c>
      <c r="D94" s="152"/>
      <c r="E94" s="152"/>
      <c r="F94" s="152"/>
      <c r="G94" s="152"/>
      <c r="H94" s="152"/>
      <c r="I94" s="152"/>
      <c r="J94" s="152"/>
      <c r="K94" s="152"/>
      <c r="L94" s="152"/>
      <c r="M94" s="153"/>
    </row>
    <row r="95" spans="1:13" ht="16.5" customHeight="1" thickBot="1" x14ac:dyDescent="0.4">
      <c r="A95" s="155"/>
      <c r="B95" s="324"/>
      <c r="C95" s="165" t="s">
        <v>4210</v>
      </c>
      <c r="D95" s="156"/>
      <c r="E95" s="156"/>
      <c r="F95" s="156"/>
      <c r="G95" s="156"/>
      <c r="H95" s="156"/>
      <c r="I95" s="156"/>
      <c r="J95" s="156"/>
      <c r="K95" s="156"/>
      <c r="L95" s="156"/>
      <c r="M95" s="157"/>
    </row>
    <row r="96" spans="1:13" ht="33.75" customHeight="1" x14ac:dyDescent="0.35">
      <c r="A96" s="151" t="s">
        <v>4221</v>
      </c>
      <c r="B96" s="325" t="s">
        <v>4207</v>
      </c>
      <c r="C96" s="312" t="s">
        <v>4222</v>
      </c>
      <c r="D96" s="152"/>
      <c r="E96" s="152"/>
      <c r="F96" s="152"/>
      <c r="G96" s="152"/>
      <c r="H96" s="152"/>
      <c r="I96" s="152"/>
      <c r="J96" s="152"/>
      <c r="K96" s="152"/>
      <c r="L96" s="152"/>
      <c r="M96" s="153"/>
    </row>
    <row r="97" spans="1:13" ht="16.5" customHeight="1" x14ac:dyDescent="0.35">
      <c r="A97" s="166"/>
      <c r="B97" s="326"/>
      <c r="C97" s="318" t="s">
        <v>4209</v>
      </c>
      <c r="D97" s="167"/>
      <c r="E97" s="167"/>
      <c r="F97" s="167"/>
      <c r="G97" s="167"/>
      <c r="H97" s="167"/>
      <c r="I97" s="167"/>
      <c r="J97" s="167"/>
      <c r="K97" s="167"/>
      <c r="L97" s="167"/>
      <c r="M97" s="168"/>
    </row>
    <row r="98" spans="1:13" ht="16.5" customHeight="1" thickBot="1" x14ac:dyDescent="0.4">
      <c r="A98" s="155"/>
      <c r="B98" s="324"/>
      <c r="C98" s="165" t="s">
        <v>4210</v>
      </c>
      <c r="D98" s="156"/>
      <c r="E98" s="156"/>
      <c r="F98" s="156"/>
      <c r="G98" s="156"/>
      <c r="H98" s="156"/>
      <c r="I98" s="156"/>
      <c r="J98" s="156"/>
      <c r="K98" s="156"/>
      <c r="L98" s="156"/>
      <c r="M98" s="157"/>
    </row>
    <row r="99" spans="1:13" ht="16.5" customHeight="1" x14ac:dyDescent="0.35">
      <c r="A99" s="151" t="s">
        <v>4223</v>
      </c>
      <c r="B99" s="322"/>
      <c r="C99" s="312" t="s">
        <v>4224</v>
      </c>
      <c r="D99" s="152"/>
      <c r="E99" s="152"/>
      <c r="F99" s="152"/>
      <c r="G99" s="152"/>
      <c r="H99" s="152"/>
      <c r="I99" s="152"/>
      <c r="J99" s="152"/>
      <c r="K99" s="152"/>
      <c r="L99" s="152"/>
      <c r="M99" s="153"/>
    </row>
    <row r="100" spans="1:13" ht="16.5" customHeight="1" thickBot="1" x14ac:dyDescent="0.4">
      <c r="A100" s="155"/>
      <c r="B100" s="324"/>
      <c r="C100" s="165" t="s">
        <v>4210</v>
      </c>
      <c r="D100" s="156"/>
      <c r="E100" s="156"/>
      <c r="F100" s="156"/>
      <c r="G100" s="156"/>
      <c r="H100" s="156"/>
      <c r="I100" s="156"/>
      <c r="J100" s="156"/>
      <c r="K100" s="156"/>
      <c r="L100" s="156"/>
      <c r="M100" s="157"/>
    </row>
    <row r="101" spans="1:13" ht="16.5" customHeight="1" x14ac:dyDescent="0.35">
      <c r="A101" s="151" t="s">
        <v>4137</v>
      </c>
      <c r="B101" s="322">
        <v>0.8</v>
      </c>
      <c r="C101" s="312" t="s">
        <v>4225</v>
      </c>
      <c r="D101" s="152"/>
      <c r="E101" s="152"/>
      <c r="F101" s="152"/>
      <c r="G101" s="152"/>
      <c r="H101" s="152"/>
      <c r="I101" s="152"/>
      <c r="J101" s="152"/>
      <c r="K101" s="152"/>
      <c r="L101" s="152"/>
      <c r="M101" s="153"/>
    </row>
    <row r="102" spans="1:13" ht="16.5" customHeight="1" x14ac:dyDescent="0.35">
      <c r="A102" s="166"/>
      <c r="B102" s="326"/>
      <c r="C102" s="318" t="s">
        <v>4226</v>
      </c>
      <c r="D102" s="167"/>
      <c r="E102" s="167"/>
      <c r="F102" s="167"/>
      <c r="G102" s="167"/>
      <c r="H102" s="167"/>
      <c r="I102" s="167"/>
      <c r="J102" s="167"/>
      <c r="K102" s="167"/>
      <c r="L102" s="167"/>
      <c r="M102" s="168"/>
    </row>
    <row r="103" spans="1:13" ht="16.5" customHeight="1" thickBot="1" x14ac:dyDescent="0.4">
      <c r="A103" s="155"/>
      <c r="B103" s="324"/>
      <c r="C103" s="165" t="s">
        <v>4210</v>
      </c>
      <c r="D103" s="156"/>
      <c r="E103" s="156"/>
      <c r="F103" s="156"/>
      <c r="G103" s="156"/>
      <c r="H103" s="156"/>
      <c r="I103" s="156"/>
      <c r="J103" s="156"/>
      <c r="K103" s="156"/>
      <c r="L103" s="156"/>
      <c r="M103" s="157"/>
    </row>
    <row r="104" spans="1:13" ht="16.5" customHeight="1" x14ac:dyDescent="0.35">
      <c r="A104" s="151" t="s">
        <v>4227</v>
      </c>
      <c r="B104" s="322"/>
      <c r="C104" s="312" t="s">
        <v>4228</v>
      </c>
      <c r="D104" s="152"/>
      <c r="E104" s="152"/>
      <c r="F104" s="152"/>
      <c r="G104" s="152"/>
      <c r="H104" s="152"/>
      <c r="I104" s="152"/>
      <c r="J104" s="152"/>
      <c r="K104" s="152"/>
      <c r="L104" s="152"/>
      <c r="M104" s="153"/>
    </row>
    <row r="105" spans="1:13" ht="16.5" customHeight="1" x14ac:dyDescent="0.35">
      <c r="A105" s="166"/>
      <c r="B105" s="326"/>
      <c r="C105" s="318" t="s">
        <v>4229</v>
      </c>
      <c r="D105" s="167"/>
      <c r="E105" s="167"/>
      <c r="F105" s="167"/>
      <c r="G105" s="167"/>
      <c r="H105" s="167"/>
      <c r="I105" s="167"/>
      <c r="J105" s="167"/>
      <c r="K105" s="167"/>
      <c r="L105" s="167"/>
      <c r="M105" s="168"/>
    </row>
    <row r="106" spans="1:13" ht="16.5" customHeight="1" thickBot="1" x14ac:dyDescent="0.4">
      <c r="A106" s="155"/>
      <c r="B106" s="324"/>
      <c r="C106" s="165" t="s">
        <v>4210</v>
      </c>
      <c r="D106" s="156"/>
      <c r="E106" s="156"/>
      <c r="F106" s="156"/>
      <c r="G106" s="156"/>
      <c r="H106" s="156"/>
      <c r="I106" s="156"/>
      <c r="J106" s="156"/>
      <c r="K106" s="156"/>
      <c r="L106" s="156"/>
      <c r="M106" s="157"/>
    </row>
    <row r="107" spans="1:13" ht="28.5" customHeight="1" x14ac:dyDescent="0.35">
      <c r="A107" s="151" t="s">
        <v>4138</v>
      </c>
      <c r="B107" s="325" t="s">
        <v>4193</v>
      </c>
      <c r="C107" s="312" t="s">
        <v>4230</v>
      </c>
      <c r="D107" s="152"/>
      <c r="E107" s="152"/>
      <c r="F107" s="152"/>
      <c r="G107" s="152"/>
      <c r="H107" s="152"/>
      <c r="I107" s="152"/>
      <c r="J107" s="152"/>
      <c r="K107" s="152"/>
      <c r="L107" s="152"/>
      <c r="M107" s="153"/>
    </row>
    <row r="108" spans="1:13" ht="16.5" customHeight="1" x14ac:dyDescent="0.35">
      <c r="A108" s="166"/>
      <c r="B108" s="326"/>
      <c r="C108" s="318" t="s">
        <v>4229</v>
      </c>
      <c r="D108" s="167"/>
      <c r="E108" s="167"/>
      <c r="F108" s="167"/>
      <c r="G108" s="167"/>
      <c r="H108" s="167"/>
      <c r="I108" s="167"/>
      <c r="J108" s="167"/>
      <c r="K108" s="167"/>
      <c r="L108" s="167"/>
      <c r="M108" s="168"/>
    </row>
    <row r="109" spans="1:13" ht="16.5" customHeight="1" thickBot="1" x14ac:dyDescent="0.4">
      <c r="A109" s="155"/>
      <c r="B109" s="324"/>
      <c r="C109" s="165" t="s">
        <v>4210</v>
      </c>
      <c r="D109" s="156"/>
      <c r="E109" s="156"/>
      <c r="F109" s="156"/>
      <c r="G109" s="156"/>
      <c r="H109" s="156"/>
      <c r="I109" s="156"/>
      <c r="J109" s="156"/>
      <c r="K109" s="156"/>
      <c r="L109" s="156"/>
      <c r="M109" s="157"/>
    </row>
    <row r="110" spans="1:13" ht="37.5" customHeight="1" x14ac:dyDescent="0.35">
      <c r="A110" s="151" t="s">
        <v>4231</v>
      </c>
      <c r="B110" s="325" t="s">
        <v>4193</v>
      </c>
      <c r="C110" s="312" t="s">
        <v>4232</v>
      </c>
      <c r="D110" s="152"/>
      <c r="E110" s="152"/>
      <c r="F110" s="152"/>
      <c r="G110" s="152"/>
      <c r="H110" s="152"/>
      <c r="I110" s="152"/>
      <c r="J110" s="152"/>
      <c r="K110" s="152"/>
      <c r="L110" s="152"/>
      <c r="M110" s="153"/>
    </row>
    <row r="111" spans="1:13" ht="16.5" customHeight="1" x14ac:dyDescent="0.35">
      <c r="A111" s="166"/>
      <c r="B111" s="326"/>
      <c r="C111" s="318" t="s">
        <v>4229</v>
      </c>
      <c r="D111" s="167"/>
      <c r="E111" s="167"/>
      <c r="F111" s="167"/>
      <c r="G111" s="167"/>
      <c r="H111" s="167"/>
      <c r="I111" s="167"/>
      <c r="J111" s="167"/>
      <c r="K111" s="167"/>
      <c r="L111" s="167"/>
      <c r="M111" s="168"/>
    </row>
    <row r="112" spans="1:13" ht="16.5" customHeight="1" thickBot="1" x14ac:dyDescent="0.4">
      <c r="A112" s="155"/>
      <c r="B112" s="324"/>
      <c r="C112" s="165" t="s">
        <v>4210</v>
      </c>
      <c r="D112" s="156"/>
      <c r="E112" s="156"/>
      <c r="F112" s="156"/>
      <c r="G112" s="156"/>
      <c r="H112" s="156"/>
      <c r="I112" s="156"/>
      <c r="J112" s="156"/>
      <c r="K112" s="156"/>
      <c r="L112" s="156"/>
      <c r="M112" s="157"/>
    </row>
    <row r="113" spans="1:17" ht="29.25" customHeight="1" x14ac:dyDescent="0.35">
      <c r="A113" s="151" t="s">
        <v>4139</v>
      </c>
      <c r="B113" s="325" t="s">
        <v>4193</v>
      </c>
      <c r="C113" s="312" t="s">
        <v>4233</v>
      </c>
      <c r="D113" s="152"/>
      <c r="E113" s="152"/>
      <c r="F113" s="152"/>
      <c r="G113" s="152"/>
      <c r="H113" s="152"/>
      <c r="I113" s="152"/>
      <c r="J113" s="152"/>
      <c r="K113" s="152"/>
      <c r="L113" s="152"/>
      <c r="M113" s="153"/>
    </row>
    <row r="114" spans="1:17" ht="16.5" customHeight="1" x14ac:dyDescent="0.35">
      <c r="A114" s="166"/>
      <c r="B114" s="326"/>
      <c r="C114" s="318" t="s">
        <v>4229</v>
      </c>
      <c r="D114" s="167"/>
      <c r="E114" s="167"/>
      <c r="F114" s="167"/>
      <c r="G114" s="167"/>
      <c r="H114" s="167"/>
      <c r="I114" s="167"/>
      <c r="J114" s="167"/>
      <c r="K114" s="167"/>
      <c r="L114" s="167"/>
      <c r="M114" s="168"/>
    </row>
    <row r="115" spans="1:17" ht="16.5" customHeight="1" thickBot="1" x14ac:dyDescent="0.4">
      <c r="A115" s="155"/>
      <c r="B115" s="324"/>
      <c r="C115" s="165" t="s">
        <v>4210</v>
      </c>
      <c r="D115" s="156"/>
      <c r="E115" s="156"/>
      <c r="F115" s="156"/>
      <c r="G115" s="156"/>
      <c r="H115" s="156"/>
      <c r="I115" s="156"/>
      <c r="J115" s="156"/>
      <c r="K115" s="156"/>
      <c r="L115" s="156"/>
      <c r="M115" s="157"/>
    </row>
    <row r="116" spans="1:17" ht="16.5" customHeight="1" x14ac:dyDescent="0.35">
      <c r="A116" s="1576" t="s">
        <v>4136</v>
      </c>
      <c r="B116" s="1577">
        <v>1</v>
      </c>
      <c r="C116" s="1578" t="s">
        <v>4234</v>
      </c>
      <c r="D116" s="1553"/>
      <c r="E116" s="1553"/>
      <c r="F116" s="1553"/>
      <c r="G116" s="1553"/>
      <c r="H116" s="1553"/>
      <c r="I116" s="1553"/>
      <c r="J116" s="1553"/>
      <c r="K116" s="1553"/>
      <c r="L116" s="1553"/>
      <c r="M116" s="1553"/>
    </row>
    <row r="117" spans="1:17" ht="16.5" customHeight="1" x14ac:dyDescent="0.35">
      <c r="A117" s="1579"/>
      <c r="B117" s="1580"/>
      <c r="C117" s="1558" t="s">
        <v>4235</v>
      </c>
      <c r="D117" s="47"/>
      <c r="E117" s="47"/>
      <c r="F117" s="47"/>
      <c r="G117" s="47"/>
      <c r="H117" s="47"/>
      <c r="I117" s="47"/>
      <c r="J117" s="47"/>
      <c r="K117" s="47"/>
      <c r="L117" s="47"/>
      <c r="M117" s="47"/>
    </row>
    <row r="118" spans="1:17" ht="16.5" customHeight="1" x14ac:dyDescent="0.35">
      <c r="A118" s="1579"/>
      <c r="B118" s="1580"/>
      <c r="C118" s="1558" t="s">
        <v>4236</v>
      </c>
      <c r="D118" s="47"/>
      <c r="E118" s="47"/>
      <c r="F118" s="47"/>
      <c r="G118" s="47"/>
      <c r="H118" s="47"/>
      <c r="I118" s="47"/>
      <c r="J118" s="47"/>
      <c r="K118" s="47"/>
      <c r="L118" s="47"/>
      <c r="M118" s="47"/>
    </row>
    <row r="119" spans="1:17" ht="16.5" customHeight="1" thickBot="1" x14ac:dyDescent="0.4">
      <c r="A119" s="1581"/>
      <c r="B119" s="1582"/>
      <c r="C119" s="1565" t="s">
        <v>4237</v>
      </c>
      <c r="D119" s="1560"/>
      <c r="E119" s="1560"/>
      <c r="F119" s="1560"/>
      <c r="G119" s="1560"/>
      <c r="H119" s="1560"/>
      <c r="I119" s="1560"/>
      <c r="J119" s="1560"/>
      <c r="K119" s="1560"/>
      <c r="L119" s="1560"/>
      <c r="M119" s="1560"/>
    </row>
    <row r="120" spans="1:17" ht="16.5" customHeight="1" thickBot="1" x14ac:dyDescent="0.4">
      <c r="B120" s="264"/>
      <c r="C120" s="55"/>
    </row>
    <row r="121" spans="1:17" ht="15" thickBot="1" x14ac:dyDescent="0.4">
      <c r="A121" s="97" t="s">
        <v>1129</v>
      </c>
      <c r="B121" s="98"/>
      <c r="C121" s="64"/>
      <c r="D121" s="64"/>
      <c r="E121" s="64"/>
      <c r="F121" s="64"/>
      <c r="G121" s="64"/>
      <c r="H121" s="64"/>
      <c r="I121" s="64"/>
      <c r="J121" s="64"/>
      <c r="K121" s="64"/>
      <c r="L121" s="64"/>
      <c r="M121" s="64"/>
      <c r="N121" s="64"/>
      <c r="O121" s="64"/>
      <c r="P121" s="64"/>
      <c r="Q121" s="65"/>
    </row>
    <row r="122" spans="1:17" ht="38.25" customHeight="1" x14ac:dyDescent="0.35">
      <c r="A122" s="99"/>
      <c r="B122" s="69"/>
      <c r="C122" s="69"/>
      <c r="D122" s="69"/>
      <c r="E122" s="69">
        <v>1</v>
      </c>
      <c r="F122" s="69">
        <v>2</v>
      </c>
      <c r="G122" s="69">
        <v>3</v>
      </c>
      <c r="H122" s="69">
        <v>4</v>
      </c>
      <c r="I122" s="69">
        <v>5</v>
      </c>
      <c r="J122" s="69">
        <v>6</v>
      </c>
      <c r="K122" s="69"/>
      <c r="L122" s="69"/>
      <c r="M122" s="69"/>
      <c r="N122" s="69"/>
      <c r="O122" s="69"/>
      <c r="P122" s="69"/>
      <c r="Q122" s="100"/>
    </row>
    <row r="123" spans="1:17" ht="65" x14ac:dyDescent="0.35">
      <c r="A123" s="99"/>
      <c r="B123" s="69"/>
      <c r="C123" s="69"/>
      <c r="D123" s="69"/>
      <c r="E123" s="56" t="s">
        <v>1684</v>
      </c>
      <c r="F123" s="327" t="s">
        <v>4238</v>
      </c>
      <c r="G123" s="328" t="s">
        <v>4131</v>
      </c>
      <c r="H123" s="293" t="s">
        <v>4239</v>
      </c>
      <c r="I123" s="293" t="s">
        <v>3318</v>
      </c>
      <c r="J123" s="56" t="s">
        <v>2556</v>
      </c>
      <c r="K123" s="69"/>
      <c r="L123" s="69"/>
      <c r="M123" s="56" t="s">
        <v>2526</v>
      </c>
      <c r="N123" s="56" t="s">
        <v>4119</v>
      </c>
      <c r="O123" s="56" t="s">
        <v>3296</v>
      </c>
      <c r="P123" s="56" t="s">
        <v>4240</v>
      </c>
      <c r="Q123" s="100"/>
    </row>
    <row r="124" spans="1:17" x14ac:dyDescent="0.35">
      <c r="A124" s="99"/>
      <c r="B124" s="69"/>
      <c r="C124" s="69"/>
      <c r="D124" s="69"/>
      <c r="E124" s="106" t="s">
        <v>1705</v>
      </c>
      <c r="F124" s="109">
        <v>820</v>
      </c>
      <c r="G124" s="329">
        <v>3.3</v>
      </c>
      <c r="H124" s="107">
        <v>5352</v>
      </c>
      <c r="I124" s="101">
        <v>512</v>
      </c>
      <c r="J124" s="101">
        <v>467</v>
      </c>
      <c r="K124" s="69"/>
      <c r="L124" s="69"/>
      <c r="M124" s="3362" t="s">
        <v>3174</v>
      </c>
      <c r="N124" s="330" t="s">
        <v>3298</v>
      </c>
      <c r="O124" s="101">
        <v>6.8</v>
      </c>
      <c r="P124" s="101">
        <v>1.7</v>
      </c>
      <c r="Q124" s="100"/>
    </row>
    <row r="125" spans="1:17" x14ac:dyDescent="0.35">
      <c r="A125" s="99"/>
      <c r="B125" s="69"/>
      <c r="C125" s="69"/>
      <c r="D125" s="69"/>
      <c r="E125" s="106" t="s">
        <v>1691</v>
      </c>
      <c r="F125" s="109">
        <v>842</v>
      </c>
      <c r="G125" s="329">
        <v>3.2</v>
      </c>
      <c r="H125" s="107">
        <v>5113</v>
      </c>
      <c r="I125" s="101">
        <v>570</v>
      </c>
      <c r="J125" s="101">
        <v>506</v>
      </c>
      <c r="K125" s="331"/>
      <c r="L125" s="69"/>
      <c r="M125" s="3362"/>
      <c r="N125" s="330" t="s">
        <v>4241</v>
      </c>
      <c r="O125" s="101">
        <v>7.7</v>
      </c>
      <c r="P125" s="101">
        <v>1.92</v>
      </c>
      <c r="Q125" s="100"/>
    </row>
    <row r="126" spans="1:17" ht="25.5" customHeight="1" x14ac:dyDescent="0.35">
      <c r="A126" s="3361" t="s">
        <v>3320</v>
      </c>
      <c r="B126" s="3139"/>
      <c r="C126" s="3074"/>
      <c r="D126" s="69"/>
      <c r="E126" s="106" t="s">
        <v>1706</v>
      </c>
      <c r="F126" s="107">
        <v>1108</v>
      </c>
      <c r="G126" s="329">
        <v>3.7</v>
      </c>
      <c r="H126" s="107">
        <v>4379</v>
      </c>
      <c r="I126" s="101">
        <v>730</v>
      </c>
      <c r="J126" s="101">
        <v>663</v>
      </c>
      <c r="K126" s="331"/>
      <c r="L126" s="69"/>
      <c r="M126" s="3362"/>
      <c r="N126" s="330" t="s">
        <v>3300</v>
      </c>
      <c r="O126" s="101">
        <v>8.1999999999999993</v>
      </c>
      <c r="P126" s="101">
        <v>2.4</v>
      </c>
      <c r="Q126" s="100"/>
    </row>
    <row r="127" spans="1:17" x14ac:dyDescent="0.35">
      <c r="A127" s="290" t="s">
        <v>3068</v>
      </c>
      <c r="B127" s="49" t="s">
        <v>2632</v>
      </c>
      <c r="C127" s="49">
        <v>0.3</v>
      </c>
      <c r="D127" s="69"/>
      <c r="E127" s="106" t="s">
        <v>4242</v>
      </c>
      <c r="F127" s="107">
        <v>1570</v>
      </c>
      <c r="G127" s="329">
        <v>3.6</v>
      </c>
      <c r="H127" s="107">
        <v>3378</v>
      </c>
      <c r="I127" s="108">
        <v>1035</v>
      </c>
      <c r="J127" s="101">
        <v>940</v>
      </c>
      <c r="K127" s="69"/>
      <c r="L127" s="69"/>
      <c r="M127" s="2833" t="s">
        <v>3301</v>
      </c>
      <c r="N127" s="2833" t="s">
        <v>1284</v>
      </c>
      <c r="O127" s="2834" t="s">
        <v>1284</v>
      </c>
      <c r="P127" s="2834">
        <v>1</v>
      </c>
      <c r="Q127" s="100"/>
    </row>
    <row r="128" spans="1:17" x14ac:dyDescent="0.35">
      <c r="A128" s="290" t="s">
        <v>2389</v>
      </c>
      <c r="B128" s="49" t="s">
        <v>2633</v>
      </c>
      <c r="C128" s="49">
        <v>0.6</v>
      </c>
      <c r="D128" s="69"/>
      <c r="E128" s="106" t="s">
        <v>4243</v>
      </c>
      <c r="F128" s="108">
        <v>1370</v>
      </c>
      <c r="G128" s="297">
        <v>3.7</v>
      </c>
      <c r="H128" s="108">
        <v>3438</v>
      </c>
      <c r="I128" s="101">
        <v>903</v>
      </c>
      <c r="J128" s="101">
        <v>820</v>
      </c>
      <c r="K128" s="69"/>
      <c r="L128" s="69"/>
      <c r="M128" s="2854" t="s">
        <v>4244</v>
      </c>
      <c r="N128" s="2854" t="s">
        <v>1284</v>
      </c>
      <c r="O128" s="2854" t="s">
        <v>1284</v>
      </c>
      <c r="P128" s="2853">
        <v>1.28</v>
      </c>
      <c r="Q128" s="100"/>
    </row>
    <row r="129" spans="1:17" x14ac:dyDescent="0.35">
      <c r="A129" s="290" t="s">
        <v>2390</v>
      </c>
      <c r="B129" s="49" t="s">
        <v>2634</v>
      </c>
      <c r="C129" s="49">
        <v>0.1</v>
      </c>
      <c r="D129" s="69"/>
      <c r="E129" s="106" t="s">
        <v>1696</v>
      </c>
      <c r="F129" s="108">
        <f>F124*$C$127+F125*$C$128+F126*$C$129</f>
        <v>862</v>
      </c>
      <c r="G129" s="297">
        <f>G124*$C$127+G125*$C$128+G126*$C$129</f>
        <v>3.28</v>
      </c>
      <c r="H129" s="108">
        <f>H124*$C$127+H125*$C$128+H126*$C$129</f>
        <v>5111.2999999999993</v>
      </c>
      <c r="I129" s="101">
        <f>I124*$C$127+I125*$C$128+I126*$C$129</f>
        <v>568.6</v>
      </c>
      <c r="J129" s="101">
        <f>J124*$C$127+J125*$C$128+J126*$C$129</f>
        <v>509.99999999999994</v>
      </c>
      <c r="K129" s="69"/>
      <c r="L129" s="69"/>
      <c r="M129" s="69"/>
      <c r="N129" s="69"/>
      <c r="O129" s="69"/>
      <c r="P129" s="69"/>
      <c r="Q129" s="100"/>
    </row>
    <row r="130" spans="1:17" x14ac:dyDescent="0.35">
      <c r="A130" s="99"/>
      <c r="B130" s="69"/>
      <c r="C130" s="69"/>
      <c r="D130" s="69"/>
      <c r="E130" s="69"/>
      <c r="F130" s="69"/>
      <c r="G130" s="69"/>
      <c r="H130" s="69"/>
      <c r="I130" s="69"/>
      <c r="J130" s="69"/>
      <c r="K130" s="69"/>
      <c r="L130" s="69"/>
      <c r="M130" s="69"/>
      <c r="N130" s="69"/>
      <c r="O130" s="69"/>
      <c r="P130" s="69"/>
      <c r="Q130" s="100"/>
    </row>
    <row r="131" spans="1:17" x14ac:dyDescent="0.35">
      <c r="A131" s="99"/>
      <c r="B131" s="69"/>
      <c r="C131" s="69"/>
      <c r="D131" s="69"/>
      <c r="E131" s="69"/>
      <c r="F131" s="69"/>
      <c r="G131" s="69"/>
      <c r="H131" s="69"/>
      <c r="I131" s="69"/>
      <c r="J131" s="69"/>
      <c r="K131" s="69"/>
      <c r="L131" s="69"/>
      <c r="M131" s="69"/>
      <c r="N131" s="69"/>
      <c r="O131" s="69"/>
      <c r="P131" s="69"/>
      <c r="Q131" s="100"/>
    </row>
    <row r="132" spans="1:17" x14ac:dyDescent="0.35">
      <c r="A132" s="332" t="s">
        <v>4245</v>
      </c>
      <c r="B132" s="69"/>
      <c r="C132" s="69"/>
      <c r="D132" s="69"/>
      <c r="E132" s="293" t="s">
        <v>4246</v>
      </c>
      <c r="F132" s="3207" t="s">
        <v>4247</v>
      </c>
      <c r="G132" s="3357"/>
      <c r="H132" s="3357"/>
      <c r="I132" s="3208"/>
      <c r="J132" s="69"/>
      <c r="K132" s="69"/>
      <c r="L132" s="69"/>
      <c r="M132" s="739" t="s">
        <v>155</v>
      </c>
      <c r="N132" s="739" t="s">
        <v>4136</v>
      </c>
      <c r="O132" s="69"/>
      <c r="P132" s="69"/>
      <c r="Q132" s="100"/>
    </row>
    <row r="133" spans="1:17" x14ac:dyDescent="0.35">
      <c r="A133" s="290" t="s">
        <v>1566</v>
      </c>
      <c r="B133" s="69"/>
      <c r="C133" s="69"/>
      <c r="D133" s="69"/>
      <c r="E133" s="293"/>
      <c r="F133" s="293">
        <v>1</v>
      </c>
      <c r="G133" s="293">
        <v>1.5</v>
      </c>
      <c r="H133" s="293">
        <v>2</v>
      </c>
      <c r="I133" s="293">
        <v>3</v>
      </c>
      <c r="J133" s="69"/>
      <c r="K133" s="69"/>
      <c r="L133" s="69"/>
      <c r="M133" s="1583" t="s">
        <v>4248</v>
      </c>
      <c r="N133" s="1584">
        <v>0.72</v>
      </c>
      <c r="O133" s="69"/>
      <c r="P133" s="69"/>
      <c r="Q133" s="100"/>
    </row>
    <row r="134" spans="1:17" x14ac:dyDescent="0.35">
      <c r="A134" s="290" t="s">
        <v>1529</v>
      </c>
      <c r="B134" s="333"/>
      <c r="C134" s="69"/>
      <c r="D134" s="69"/>
      <c r="E134" s="49" t="s">
        <v>1705</v>
      </c>
      <c r="F134" s="49">
        <v>39.5</v>
      </c>
      <c r="G134" s="49">
        <v>35</v>
      </c>
      <c r="H134" s="49">
        <v>32.1</v>
      </c>
      <c r="I134" s="49">
        <v>28.4</v>
      </c>
      <c r="J134" s="69"/>
      <c r="K134" s="69"/>
      <c r="L134" s="69"/>
      <c r="M134" s="1583" t="s">
        <v>4249</v>
      </c>
      <c r="N134" s="1584">
        <v>1</v>
      </c>
      <c r="O134" s="69"/>
      <c r="P134" s="69"/>
      <c r="Q134" s="100"/>
    </row>
    <row r="135" spans="1:17" x14ac:dyDescent="0.35">
      <c r="A135" s="99"/>
      <c r="B135" s="69"/>
      <c r="C135" s="69"/>
      <c r="D135" s="69"/>
      <c r="E135" s="49" t="s">
        <v>1691</v>
      </c>
      <c r="F135" s="49">
        <v>38.9</v>
      </c>
      <c r="G135" s="49">
        <v>34.4</v>
      </c>
      <c r="H135" s="49">
        <v>31.6</v>
      </c>
      <c r="I135" s="49">
        <v>28</v>
      </c>
      <c r="J135" s="69"/>
      <c r="K135" s="69"/>
      <c r="L135" s="69"/>
      <c r="M135" s="69"/>
      <c r="N135" s="69"/>
      <c r="O135" s="69"/>
      <c r="P135" s="69"/>
      <c r="Q135" s="100"/>
    </row>
    <row r="136" spans="1:17" x14ac:dyDescent="0.35">
      <c r="A136" s="332" t="s">
        <v>1565</v>
      </c>
      <c r="B136" s="69"/>
      <c r="C136" s="69"/>
      <c r="D136" s="69"/>
      <c r="E136" s="49" t="s">
        <v>1706</v>
      </c>
      <c r="F136" s="49">
        <v>41.2</v>
      </c>
      <c r="G136" s="49">
        <v>36.5</v>
      </c>
      <c r="H136" s="49">
        <v>33.4</v>
      </c>
      <c r="I136" s="49">
        <v>29.6</v>
      </c>
      <c r="J136" s="69"/>
      <c r="K136" s="69"/>
      <c r="L136" s="69"/>
      <c r="M136" s="69"/>
      <c r="N136" s="69"/>
      <c r="O136" s="69"/>
      <c r="P136" s="69"/>
      <c r="Q136" s="100"/>
    </row>
    <row r="137" spans="1:17" x14ac:dyDescent="0.35">
      <c r="A137" s="290" t="s">
        <v>4145</v>
      </c>
      <c r="B137" s="69"/>
      <c r="C137" s="69"/>
      <c r="D137" s="69"/>
      <c r="E137" s="49" t="s">
        <v>4242</v>
      </c>
      <c r="F137" s="49">
        <v>40.4</v>
      </c>
      <c r="G137" s="49">
        <v>35.799999999999997</v>
      </c>
      <c r="H137" s="49">
        <v>32.9</v>
      </c>
      <c r="I137" s="49">
        <v>29.1</v>
      </c>
      <c r="J137" s="69"/>
      <c r="K137" s="69"/>
      <c r="L137" s="69"/>
      <c r="M137" s="69"/>
      <c r="N137" s="69"/>
      <c r="O137" s="69"/>
      <c r="P137" s="69"/>
      <c r="Q137" s="100"/>
    </row>
    <row r="138" spans="1:17" x14ac:dyDescent="0.35">
      <c r="A138" s="290" t="s">
        <v>3174</v>
      </c>
      <c r="B138" s="69"/>
      <c r="C138" s="69"/>
      <c r="D138" s="69"/>
      <c r="E138" s="49" t="s">
        <v>4243</v>
      </c>
      <c r="F138" s="49">
        <v>43.6</v>
      </c>
      <c r="G138" s="49">
        <v>38.6</v>
      </c>
      <c r="H138" s="49">
        <v>35.4</v>
      </c>
      <c r="I138" s="49">
        <v>31.3</v>
      </c>
      <c r="J138" s="69"/>
      <c r="K138" s="69"/>
      <c r="L138" s="69"/>
      <c r="M138" s="69"/>
      <c r="N138" s="69"/>
      <c r="O138" s="69"/>
      <c r="P138" s="69"/>
      <c r="Q138" s="100"/>
    </row>
    <row r="139" spans="1:17" x14ac:dyDescent="0.35">
      <c r="A139" s="99"/>
      <c r="B139" s="69"/>
      <c r="C139" s="69"/>
      <c r="D139" s="69"/>
      <c r="E139" s="49" t="s">
        <v>1696</v>
      </c>
      <c r="F139" s="49">
        <f>F134*$C$127+F135*$C$128+F136*$C$129</f>
        <v>39.309999999999995</v>
      </c>
      <c r="G139" s="49">
        <f>G134*$C$127+G135*$C$128+G136*$C$129</f>
        <v>34.79</v>
      </c>
      <c r="H139" s="49">
        <f>H134*$C$127+H135*$C$128+H136*$C$129</f>
        <v>31.930000000000003</v>
      </c>
      <c r="I139" s="49">
        <f>I134*$C$127+I135*$C$128+I136*$C$129</f>
        <v>28.28</v>
      </c>
      <c r="J139" s="69"/>
      <c r="K139" s="69"/>
      <c r="L139" s="69"/>
      <c r="M139" s="69"/>
      <c r="N139" s="69"/>
      <c r="O139" s="69"/>
      <c r="P139" s="69"/>
      <c r="Q139" s="100"/>
    </row>
    <row r="140" spans="1:17" x14ac:dyDescent="0.35">
      <c r="A140" s="99"/>
      <c r="B140" s="69"/>
      <c r="C140" s="69"/>
      <c r="D140" s="69"/>
      <c r="E140" s="69"/>
      <c r="F140" s="69"/>
      <c r="G140" s="69"/>
      <c r="H140" s="69"/>
      <c r="I140" s="69"/>
      <c r="J140" s="69"/>
      <c r="K140" s="69"/>
      <c r="L140" s="69"/>
      <c r="M140" s="69"/>
      <c r="N140" s="69"/>
      <c r="O140" s="69"/>
      <c r="P140" s="69"/>
      <c r="Q140" s="100"/>
    </row>
    <row r="141" spans="1:17" x14ac:dyDescent="0.35">
      <c r="A141" s="332" t="s">
        <v>3314</v>
      </c>
      <c r="B141" s="69"/>
      <c r="C141" s="69"/>
      <c r="D141" s="69"/>
      <c r="E141" s="3356" t="s">
        <v>4246</v>
      </c>
      <c r="F141" s="3207" t="s">
        <v>4250</v>
      </c>
      <c r="G141" s="3357"/>
      <c r="H141" s="3357"/>
      <c r="I141" s="3208"/>
      <c r="J141" s="69"/>
      <c r="K141" s="69"/>
      <c r="L141" s="69"/>
      <c r="M141" s="69"/>
      <c r="N141" s="69"/>
      <c r="O141" s="69"/>
      <c r="P141" s="69"/>
      <c r="Q141" s="100"/>
    </row>
    <row r="142" spans="1:17" x14ac:dyDescent="0.35">
      <c r="A142" s="334" t="s">
        <v>3222</v>
      </c>
      <c r="B142" s="69"/>
      <c r="C142" s="69"/>
      <c r="D142" s="69"/>
      <c r="E142" s="3087"/>
      <c r="F142" s="293">
        <v>1</v>
      </c>
      <c r="G142" s="293">
        <v>1.5</v>
      </c>
      <c r="H142" s="293">
        <v>2</v>
      </c>
      <c r="I142" s="293">
        <v>3</v>
      </c>
      <c r="J142" s="69"/>
      <c r="K142" s="69"/>
      <c r="L142" s="69"/>
      <c r="M142" s="69"/>
      <c r="N142" s="69"/>
      <c r="O142" s="69"/>
      <c r="P142" s="69"/>
      <c r="Q142" s="100"/>
    </row>
    <row r="143" spans="1:17" x14ac:dyDescent="0.35">
      <c r="A143" s="334" t="s">
        <v>3315</v>
      </c>
      <c r="B143" s="69"/>
      <c r="C143" s="69"/>
      <c r="D143" s="69"/>
      <c r="E143" s="49" t="s">
        <v>1705</v>
      </c>
      <c r="F143" s="49">
        <v>23.8</v>
      </c>
      <c r="G143" s="49">
        <v>21.1</v>
      </c>
      <c r="H143" s="49">
        <v>19.3</v>
      </c>
      <c r="I143" s="49">
        <v>17.100000000000001</v>
      </c>
      <c r="J143" s="69"/>
      <c r="K143" s="69"/>
      <c r="L143" s="69"/>
      <c r="M143" s="69"/>
      <c r="N143" s="69"/>
      <c r="O143" s="69"/>
      <c r="P143" s="69"/>
      <c r="Q143" s="100"/>
    </row>
    <row r="144" spans="1:17" x14ac:dyDescent="0.35">
      <c r="A144" s="334" t="s">
        <v>4143</v>
      </c>
      <c r="B144" s="69"/>
      <c r="C144" s="69"/>
      <c r="D144" s="69"/>
      <c r="E144" s="49" t="s">
        <v>1691</v>
      </c>
      <c r="F144" s="49">
        <v>23.9</v>
      </c>
      <c r="G144" s="49">
        <v>21.1</v>
      </c>
      <c r="H144" s="49">
        <v>19.399999999999999</v>
      </c>
      <c r="I144" s="49">
        <v>17.2</v>
      </c>
      <c r="J144" s="69"/>
      <c r="K144" s="69"/>
      <c r="L144" s="69"/>
      <c r="M144" s="69"/>
      <c r="N144" s="69"/>
      <c r="O144" s="69"/>
      <c r="P144" s="69"/>
      <c r="Q144" s="100"/>
    </row>
    <row r="145" spans="1:17" ht="15" customHeight="1" x14ac:dyDescent="0.35">
      <c r="A145" s="99"/>
      <c r="B145" s="69"/>
      <c r="C145" s="69"/>
      <c r="D145" s="69"/>
      <c r="E145" s="49" t="s">
        <v>1706</v>
      </c>
      <c r="F145" s="49">
        <v>24.2</v>
      </c>
      <c r="G145" s="49">
        <v>21.5</v>
      </c>
      <c r="H145" s="49">
        <v>19.7</v>
      </c>
      <c r="I145" s="49">
        <v>17.399999999999999</v>
      </c>
      <c r="J145" s="69"/>
      <c r="K145" s="69"/>
      <c r="L145" s="69"/>
      <c r="M145" s="69"/>
      <c r="N145" s="69"/>
      <c r="O145" s="69"/>
      <c r="P145" s="69"/>
      <c r="Q145" s="100"/>
    </row>
    <row r="146" spans="1:17" x14ac:dyDescent="0.35">
      <c r="A146" s="99"/>
      <c r="B146" s="69"/>
      <c r="C146" s="69"/>
      <c r="D146" s="69"/>
      <c r="E146" s="49" t="s">
        <v>4242</v>
      </c>
      <c r="F146" s="49">
        <v>25.4</v>
      </c>
      <c r="G146" s="49">
        <v>22.5</v>
      </c>
      <c r="H146" s="49">
        <v>20.7</v>
      </c>
      <c r="I146" s="49">
        <v>18.3</v>
      </c>
      <c r="J146" s="69"/>
      <c r="K146" s="69"/>
      <c r="L146" s="69"/>
      <c r="M146" s="69"/>
      <c r="N146" s="69"/>
      <c r="O146" s="69"/>
      <c r="P146" s="69"/>
      <c r="Q146" s="100"/>
    </row>
    <row r="147" spans="1:17" x14ac:dyDescent="0.35">
      <c r="A147" s="293"/>
      <c r="B147" s="56" t="s">
        <v>4118</v>
      </c>
      <c r="C147" s="56" t="s">
        <v>4251</v>
      </c>
      <c r="D147" s="69"/>
      <c r="E147" s="49" t="s">
        <v>4243</v>
      </c>
      <c r="F147" s="49">
        <v>27.8</v>
      </c>
      <c r="G147" s="49">
        <v>24.6</v>
      </c>
      <c r="H147" s="49">
        <v>22.6</v>
      </c>
      <c r="I147" s="49">
        <v>20</v>
      </c>
      <c r="J147" s="69"/>
      <c r="K147" s="69"/>
      <c r="L147" s="69"/>
      <c r="M147" s="69"/>
      <c r="N147" s="69"/>
      <c r="O147" s="69"/>
      <c r="P147" s="69"/>
      <c r="Q147" s="100"/>
    </row>
    <row r="148" spans="1:17" x14ac:dyDescent="0.35">
      <c r="A148" s="3358" t="s">
        <v>3663</v>
      </c>
      <c r="B148" s="330" t="s">
        <v>3298</v>
      </c>
      <c r="C148" s="101">
        <v>10</v>
      </c>
      <c r="D148" s="69"/>
      <c r="E148" s="49" t="s">
        <v>1696</v>
      </c>
      <c r="F148" s="49">
        <f>F143*$C$127+F144*$C$128+F145*$C$129</f>
        <v>23.9</v>
      </c>
      <c r="G148" s="49">
        <f>G143*$C$127+G144*$C$128+G145*$C$129</f>
        <v>21.14</v>
      </c>
      <c r="H148" s="49">
        <f>H143*$C$127+H144*$C$128+H145*$C$129</f>
        <v>19.399999999999999</v>
      </c>
      <c r="I148" s="49">
        <f>I143*$C$127+I144*$C$128+I145*$C$129</f>
        <v>17.189999999999998</v>
      </c>
      <c r="J148" s="69"/>
      <c r="K148" s="69"/>
      <c r="L148" s="69"/>
      <c r="M148" s="69"/>
      <c r="N148" s="69"/>
      <c r="O148" s="69"/>
      <c r="P148" s="69"/>
      <c r="Q148" s="100"/>
    </row>
    <row r="149" spans="1:17" x14ac:dyDescent="0.35">
      <c r="A149" s="3359"/>
      <c r="B149" s="330" t="s">
        <v>4241</v>
      </c>
      <c r="C149" s="101">
        <v>13</v>
      </c>
      <c r="D149" s="69"/>
      <c r="E149" s="69"/>
      <c r="F149" s="69"/>
      <c r="G149" s="69"/>
      <c r="H149" s="69"/>
      <c r="I149" s="69"/>
      <c r="J149" s="69"/>
      <c r="K149" s="69"/>
      <c r="L149" s="69"/>
      <c r="M149" s="69"/>
      <c r="N149" s="69"/>
      <c r="O149" s="69"/>
      <c r="P149" s="69"/>
      <c r="Q149" s="100"/>
    </row>
    <row r="150" spans="1:17" x14ac:dyDescent="0.35">
      <c r="A150" s="3360"/>
      <c r="B150" s="330" t="s">
        <v>4252</v>
      </c>
      <c r="C150" s="101">
        <v>13</v>
      </c>
      <c r="D150" s="69"/>
      <c r="E150" s="69"/>
      <c r="F150" s="69"/>
      <c r="G150" s="69"/>
      <c r="H150" s="69"/>
      <c r="I150" s="69"/>
      <c r="J150" s="69"/>
      <c r="K150" s="69"/>
      <c r="L150" s="69"/>
      <c r="M150" s="69"/>
      <c r="N150" s="69"/>
      <c r="O150" s="69"/>
      <c r="P150" s="69"/>
      <c r="Q150" s="100"/>
    </row>
    <row r="151" spans="1:17" x14ac:dyDescent="0.35">
      <c r="A151" s="3358" t="s">
        <v>3174</v>
      </c>
      <c r="B151" s="330" t="s">
        <v>3298</v>
      </c>
      <c r="C151" s="101">
        <v>10</v>
      </c>
      <c r="D151" s="69"/>
      <c r="E151" s="69"/>
      <c r="F151" s="69"/>
      <c r="G151" s="69"/>
      <c r="H151" s="69"/>
      <c r="I151" s="69"/>
      <c r="J151" s="69"/>
      <c r="K151" s="69"/>
      <c r="L151" s="69"/>
      <c r="M151" s="69"/>
      <c r="N151" s="69"/>
      <c r="O151" s="69"/>
      <c r="P151" s="69"/>
      <c r="Q151" s="100"/>
    </row>
    <row r="152" spans="1:17" x14ac:dyDescent="0.35">
      <c r="A152" s="3359"/>
      <c r="B152" s="330" t="s">
        <v>4241</v>
      </c>
      <c r="C152" s="101">
        <v>13</v>
      </c>
      <c r="D152" s="69"/>
      <c r="E152" s="69"/>
      <c r="F152" s="69"/>
      <c r="G152" s="69"/>
      <c r="H152" s="69"/>
      <c r="I152" s="69"/>
      <c r="J152" s="69"/>
      <c r="K152" s="69"/>
      <c r="L152" s="69"/>
      <c r="M152" s="69"/>
      <c r="N152" s="69"/>
      <c r="O152" s="69"/>
      <c r="P152" s="69"/>
      <c r="Q152" s="100"/>
    </row>
    <row r="153" spans="1:17" x14ac:dyDescent="0.35">
      <c r="A153" s="3359"/>
      <c r="B153" s="2833" t="s">
        <v>4252</v>
      </c>
      <c r="C153" s="2834">
        <v>14</v>
      </c>
      <c r="D153" s="69"/>
      <c r="E153" s="69"/>
      <c r="F153" s="69"/>
      <c r="G153" s="69"/>
      <c r="H153" s="69"/>
      <c r="I153" s="69"/>
      <c r="J153" s="69"/>
      <c r="K153" s="69"/>
      <c r="L153" s="69"/>
      <c r="M153" s="69"/>
      <c r="N153" s="69"/>
      <c r="O153" s="69"/>
      <c r="P153" s="69"/>
      <c r="Q153" s="100"/>
    </row>
    <row r="154" spans="1:17" x14ac:dyDescent="0.35">
      <c r="A154" s="2894" t="s">
        <v>4244</v>
      </c>
      <c r="B154" s="2854" t="s">
        <v>1284</v>
      </c>
      <c r="C154" s="2853">
        <v>10.5</v>
      </c>
      <c r="D154" s="69"/>
      <c r="E154" s="69"/>
      <c r="F154" s="69"/>
      <c r="G154" s="69"/>
      <c r="H154" s="69"/>
      <c r="I154" s="69"/>
      <c r="J154" s="69"/>
      <c r="K154" s="69"/>
      <c r="L154" s="69"/>
      <c r="M154" s="69"/>
      <c r="N154" s="69"/>
      <c r="O154" s="69"/>
      <c r="P154" s="69"/>
      <c r="Q154" s="100"/>
    </row>
    <row r="155" spans="1:17" x14ac:dyDescent="0.35">
      <c r="A155" s="99"/>
      <c r="B155" s="69"/>
      <c r="C155" s="69"/>
      <c r="D155" s="69"/>
      <c r="E155" s="69"/>
      <c r="F155" s="69"/>
      <c r="G155" s="69"/>
      <c r="H155" s="69"/>
      <c r="I155" s="69"/>
      <c r="J155" s="69"/>
      <c r="K155" s="69"/>
      <c r="L155" s="69"/>
      <c r="M155" s="69"/>
      <c r="N155" s="69"/>
      <c r="O155" s="69"/>
      <c r="P155" s="69"/>
      <c r="Q155" s="100"/>
    </row>
    <row r="156" spans="1:17" x14ac:dyDescent="0.35">
      <c r="A156" s="99"/>
      <c r="B156" s="69"/>
      <c r="C156" s="69"/>
      <c r="D156" s="69"/>
      <c r="E156" s="69"/>
      <c r="F156" s="69"/>
      <c r="G156" s="69"/>
      <c r="H156" s="69"/>
      <c r="I156" s="69"/>
      <c r="J156" s="69"/>
      <c r="K156" s="69"/>
      <c r="L156" s="69"/>
      <c r="M156" s="69"/>
      <c r="N156" s="69"/>
      <c r="O156" s="69"/>
      <c r="P156" s="69"/>
      <c r="Q156" s="100"/>
    </row>
    <row r="157" spans="1:17" ht="15" thickBot="1" x14ac:dyDescent="0.4">
      <c r="A157" s="261"/>
      <c r="B157" s="161"/>
      <c r="C157" s="161"/>
      <c r="D157" s="161"/>
      <c r="E157" s="161"/>
      <c r="F157" s="69"/>
      <c r="G157" s="69"/>
      <c r="H157" s="69"/>
      <c r="I157" s="69"/>
      <c r="J157" s="69"/>
      <c r="K157" s="161"/>
      <c r="L157" s="161"/>
      <c r="M157" s="161"/>
      <c r="N157" s="161"/>
      <c r="O157" s="161"/>
      <c r="P157" s="161"/>
      <c r="Q157" s="163"/>
    </row>
    <row r="158" spans="1:17" ht="15" thickBot="1" x14ac:dyDescent="0.4">
      <c r="A158" s="62" t="s">
        <v>4253</v>
      </c>
      <c r="B158" s="63"/>
      <c r="C158" s="63"/>
      <c r="D158" s="63"/>
      <c r="E158" s="63"/>
      <c r="F158" s="63"/>
      <c r="G158" s="63"/>
      <c r="H158" s="63"/>
      <c r="I158" s="63"/>
      <c r="J158" s="63"/>
      <c r="K158" s="63"/>
      <c r="L158" s="63"/>
      <c r="M158" s="63"/>
      <c r="N158" s="63"/>
      <c r="O158" s="63"/>
      <c r="P158" s="63"/>
      <c r="Q158" s="335"/>
    </row>
    <row r="159" spans="1:17" ht="15" thickBot="1" x14ac:dyDescent="0.4">
      <c r="A159" s="99"/>
      <c r="B159" s="69"/>
      <c r="C159" s="69"/>
      <c r="D159" s="69"/>
      <c r="E159" s="69"/>
      <c r="F159" s="69"/>
      <c r="G159" s="69"/>
      <c r="H159" s="69"/>
      <c r="I159" s="69"/>
      <c r="J159" s="69"/>
      <c r="K159" s="69"/>
      <c r="L159" s="69"/>
      <c r="M159" s="69"/>
      <c r="N159" s="69"/>
      <c r="O159" s="69"/>
      <c r="P159" s="69"/>
      <c r="Q159" s="100"/>
    </row>
    <row r="160" spans="1:17" ht="37.5" customHeight="1" thickBot="1" x14ac:dyDescent="0.4">
      <c r="A160" s="99"/>
      <c r="B160" s="336" t="s">
        <v>4254</v>
      </c>
      <c r="C160" s="337" t="s">
        <v>4255</v>
      </c>
      <c r="D160" s="337" t="s">
        <v>4256</v>
      </c>
      <c r="E160" s="337" t="s">
        <v>4257</v>
      </c>
      <c r="F160" s="337" t="s">
        <v>4258</v>
      </c>
      <c r="G160" s="69"/>
      <c r="H160" s="69"/>
      <c r="I160" s="69"/>
      <c r="J160" s="69"/>
      <c r="K160" s="3354" t="s">
        <v>4254</v>
      </c>
      <c r="L160" s="338" t="s">
        <v>4259</v>
      </c>
      <c r="M160" s="339" t="s">
        <v>4260</v>
      </c>
      <c r="N160" s="339" t="s">
        <v>4260</v>
      </c>
      <c r="O160" s="339" t="s">
        <v>4261</v>
      </c>
      <c r="P160" s="339" t="s">
        <v>4262</v>
      </c>
      <c r="Q160" s="100"/>
    </row>
    <row r="161" spans="1:17" ht="26.5" thickBot="1" x14ac:dyDescent="0.4">
      <c r="A161" s="99"/>
      <c r="B161" s="340"/>
      <c r="C161" s="341" t="s">
        <v>3173</v>
      </c>
      <c r="D161" s="341" t="s">
        <v>3173</v>
      </c>
      <c r="E161" s="341" t="s">
        <v>3173</v>
      </c>
      <c r="F161" s="341" t="s">
        <v>3173</v>
      </c>
      <c r="G161" s="69"/>
      <c r="H161" s="69"/>
      <c r="I161" s="69"/>
      <c r="J161" s="69"/>
      <c r="K161" s="3355"/>
      <c r="L161" s="341" t="s">
        <v>3091</v>
      </c>
      <c r="M161" s="341" t="s">
        <v>3091</v>
      </c>
      <c r="N161" s="341" t="s">
        <v>3091</v>
      </c>
      <c r="O161" s="341" t="s">
        <v>3091</v>
      </c>
      <c r="P161" s="341" t="s">
        <v>3091</v>
      </c>
      <c r="Q161" s="100"/>
    </row>
    <row r="162" spans="1:17" ht="15" thickBot="1" x14ac:dyDescent="0.4">
      <c r="A162" s="340" t="s">
        <v>3173</v>
      </c>
      <c r="B162" s="342" t="s">
        <v>1705</v>
      </c>
      <c r="C162" s="343">
        <v>10.5</v>
      </c>
      <c r="D162" s="343">
        <v>202.4</v>
      </c>
      <c r="E162" s="343">
        <v>11.6</v>
      </c>
      <c r="F162" s="343">
        <v>13.5</v>
      </c>
      <c r="G162" s="69"/>
      <c r="H162" s="69"/>
      <c r="I162" s="69"/>
      <c r="J162" s="69"/>
      <c r="K162" s="342" t="s">
        <v>1705</v>
      </c>
      <c r="L162" s="343">
        <v>0.49</v>
      </c>
      <c r="M162" s="343">
        <v>9.4600000000000009</v>
      </c>
      <c r="N162" s="343">
        <v>9.4600000000000009</v>
      </c>
      <c r="O162" s="343">
        <v>0.54</v>
      </c>
      <c r="P162" s="343">
        <v>0.63</v>
      </c>
      <c r="Q162" s="100"/>
    </row>
    <row r="163" spans="1:17" ht="15" thickBot="1" x14ac:dyDescent="0.4">
      <c r="A163" s="340" t="s">
        <v>3173</v>
      </c>
      <c r="B163" s="342" t="s">
        <v>1691</v>
      </c>
      <c r="C163" s="343">
        <v>10.199999999999999</v>
      </c>
      <c r="D163" s="343">
        <v>195.3</v>
      </c>
      <c r="E163" s="343">
        <v>11.2</v>
      </c>
      <c r="F163" s="343">
        <v>13</v>
      </c>
      <c r="G163" s="69"/>
      <c r="H163" s="69"/>
      <c r="I163" s="69"/>
      <c r="J163" s="69"/>
      <c r="K163" s="342" t="s">
        <v>1691</v>
      </c>
      <c r="L163" s="343">
        <v>0.47</v>
      </c>
      <c r="M163" s="343">
        <v>9.1300000000000008</v>
      </c>
      <c r="N163" s="343">
        <v>9.1300000000000008</v>
      </c>
      <c r="O163" s="343">
        <v>0.52</v>
      </c>
      <c r="P163" s="343">
        <v>0.61</v>
      </c>
      <c r="Q163" s="100"/>
    </row>
    <row r="164" spans="1:17" ht="26.5" thickBot="1" x14ac:dyDescent="0.4">
      <c r="A164" s="340" t="s">
        <v>3173</v>
      </c>
      <c r="B164" s="342" t="s">
        <v>1706</v>
      </c>
      <c r="C164" s="343">
        <v>8.8000000000000007</v>
      </c>
      <c r="D164" s="343">
        <v>169.3</v>
      </c>
      <c r="E164" s="343">
        <v>9.6999999999999993</v>
      </c>
      <c r="F164" s="343">
        <v>11.3</v>
      </c>
      <c r="G164" s="69"/>
      <c r="H164" s="69"/>
      <c r="I164" s="69"/>
      <c r="J164" s="69"/>
      <c r="K164" s="342" t="s">
        <v>1706</v>
      </c>
      <c r="L164" s="343">
        <v>0.41</v>
      </c>
      <c r="M164" s="343">
        <v>7.92</v>
      </c>
      <c r="N164" s="343">
        <v>7.92</v>
      </c>
      <c r="O164" s="343">
        <v>0.45</v>
      </c>
      <c r="P164" s="343">
        <v>0.53</v>
      </c>
      <c r="Q164" s="100"/>
    </row>
    <row r="165" spans="1:17" ht="15" thickBot="1" x14ac:dyDescent="0.4">
      <c r="A165" s="340" t="s">
        <v>3173</v>
      </c>
      <c r="B165" s="342" t="s">
        <v>1707</v>
      </c>
      <c r="C165" s="343">
        <v>7</v>
      </c>
      <c r="D165" s="343">
        <v>134.9</v>
      </c>
      <c r="E165" s="343">
        <v>7.7</v>
      </c>
      <c r="F165" s="343">
        <v>9</v>
      </c>
      <c r="G165" s="69"/>
      <c r="H165" s="69"/>
      <c r="I165" s="69"/>
      <c r="J165" s="69"/>
      <c r="K165" s="342" t="s">
        <v>1707</v>
      </c>
      <c r="L165" s="343">
        <v>0.33</v>
      </c>
      <c r="M165" s="343">
        <v>6.31</v>
      </c>
      <c r="N165" s="343">
        <v>6.31</v>
      </c>
      <c r="O165" s="343">
        <v>0.36</v>
      </c>
      <c r="P165" s="343">
        <v>0.42</v>
      </c>
      <c r="Q165" s="100"/>
    </row>
    <row r="166" spans="1:17" ht="15" thickBot="1" x14ac:dyDescent="0.4">
      <c r="A166" s="340" t="s">
        <v>3173</v>
      </c>
      <c r="B166" s="342" t="s">
        <v>1708</v>
      </c>
      <c r="C166" s="343">
        <v>7.2</v>
      </c>
      <c r="D166" s="343">
        <v>137.9</v>
      </c>
      <c r="E166" s="343">
        <v>7.9</v>
      </c>
      <c r="F166" s="343">
        <v>9.1999999999999993</v>
      </c>
      <c r="G166" s="69"/>
      <c r="H166" s="69"/>
      <c r="I166" s="69"/>
      <c r="J166" s="69"/>
      <c r="K166" s="342" t="s">
        <v>1708</v>
      </c>
      <c r="L166" s="343">
        <v>0.33</v>
      </c>
      <c r="M166" s="343">
        <v>6.45</v>
      </c>
      <c r="N166" s="343">
        <v>6.45</v>
      </c>
      <c r="O166" s="343">
        <v>0.37</v>
      </c>
      <c r="P166" s="343">
        <v>0.43</v>
      </c>
      <c r="Q166" s="100"/>
    </row>
    <row r="167" spans="1:17" ht="26.5" thickBot="1" x14ac:dyDescent="0.4">
      <c r="A167" s="340" t="s">
        <v>3173</v>
      </c>
      <c r="B167" s="342" t="s">
        <v>1696</v>
      </c>
      <c r="C167" s="343">
        <f>C162*$C$127+C163*$C$128+C164*$C$129</f>
        <v>10.15</v>
      </c>
      <c r="D167" s="343">
        <f>D162*$C$127+D163*$C$128+D164*$C$129</f>
        <v>194.83</v>
      </c>
      <c r="E167" s="343">
        <f>E162*$C$127+E163*$C$128+E164*$C$129</f>
        <v>11.17</v>
      </c>
      <c r="F167" s="343">
        <f>F162*$C$127+F163*$C$128+F164*$C$129</f>
        <v>12.98</v>
      </c>
      <c r="G167" s="69"/>
      <c r="H167" s="69"/>
      <c r="I167" s="69"/>
      <c r="J167" s="69"/>
      <c r="K167" s="342" t="s">
        <v>1696</v>
      </c>
      <c r="L167" s="343">
        <f>L162*$C$127+L163*$C$128+L164*$C$129</f>
        <v>0.46999999999999992</v>
      </c>
      <c r="M167" s="343">
        <f>M162*$C$127+M163*$C$128+M164*$C$129</f>
        <v>9.1080000000000005</v>
      </c>
      <c r="N167" s="343">
        <f>N162*$C$127+N163*$C$128+N164*$C$129</f>
        <v>9.1080000000000005</v>
      </c>
      <c r="O167" s="343">
        <f>O162*$C$127+O163*$C$128+O164*$C$129</f>
        <v>0.51900000000000002</v>
      </c>
      <c r="P167" s="343">
        <f>P162*$C$127+P163*$C$128+P164*$C$129</f>
        <v>0.60799999999999998</v>
      </c>
      <c r="Q167" s="100"/>
    </row>
    <row r="168" spans="1:17" ht="15" thickBot="1" x14ac:dyDescent="0.4">
      <c r="A168" s="344"/>
      <c r="B168" s="345"/>
      <c r="C168" s="346"/>
      <c r="D168" s="346"/>
      <c r="E168" s="346"/>
      <c r="F168" s="346"/>
      <c r="G168" s="69"/>
      <c r="H168" s="69"/>
      <c r="I168" s="69"/>
      <c r="J168" s="69"/>
      <c r="K168" s="347"/>
      <c r="L168" s="348"/>
      <c r="M168" s="348"/>
      <c r="N168" s="348"/>
      <c r="O168" s="348"/>
      <c r="P168" s="348"/>
      <c r="Q168" s="100"/>
    </row>
    <row r="169" spans="1:17" ht="28.5" thickBot="1" x14ac:dyDescent="0.4">
      <c r="A169" s="99"/>
      <c r="B169" s="336" t="s">
        <v>4254</v>
      </c>
      <c r="C169" s="337" t="s">
        <v>4255</v>
      </c>
      <c r="D169" s="337" t="s">
        <v>4256</v>
      </c>
      <c r="E169" s="337" t="s">
        <v>4257</v>
      </c>
      <c r="F169" s="337" t="s">
        <v>4258</v>
      </c>
      <c r="G169" s="69"/>
      <c r="H169" s="69"/>
      <c r="I169" s="69"/>
      <c r="J169" s="69"/>
      <c r="K169" s="69"/>
      <c r="L169" s="69"/>
      <c r="M169" s="69"/>
      <c r="N169" s="69"/>
      <c r="O169" s="69"/>
      <c r="P169" s="69"/>
      <c r="Q169" s="100"/>
    </row>
    <row r="170" spans="1:17" ht="22.5" customHeight="1" thickBot="1" x14ac:dyDescent="0.4">
      <c r="A170" s="340" t="s">
        <v>3174</v>
      </c>
      <c r="B170" s="340"/>
      <c r="C170" s="341" t="s">
        <v>3174</v>
      </c>
      <c r="D170" s="341" t="s">
        <v>3174</v>
      </c>
      <c r="E170" s="341" t="s">
        <v>3174</v>
      </c>
      <c r="F170" s="341" t="s">
        <v>3174</v>
      </c>
      <c r="G170" s="69"/>
      <c r="H170" s="69"/>
      <c r="I170" s="69"/>
      <c r="J170" s="69"/>
      <c r="K170" s="69"/>
      <c r="L170" s="69"/>
      <c r="M170" s="69"/>
      <c r="N170" s="69"/>
      <c r="O170" s="69"/>
      <c r="P170" s="69"/>
      <c r="Q170" s="100"/>
    </row>
    <row r="171" spans="1:17" ht="15" thickBot="1" x14ac:dyDescent="0.4">
      <c r="A171" s="340" t="s">
        <v>3174</v>
      </c>
      <c r="B171" s="342" t="s">
        <v>1705</v>
      </c>
      <c r="C171" s="343">
        <v>5.3</v>
      </c>
      <c r="D171" s="343">
        <v>101.2</v>
      </c>
      <c r="E171" s="343">
        <v>5.8</v>
      </c>
      <c r="F171" s="343">
        <v>6.7</v>
      </c>
      <c r="G171" s="69"/>
      <c r="H171" s="69"/>
      <c r="I171" s="69"/>
      <c r="J171" s="69"/>
      <c r="K171" s="69"/>
      <c r="L171" s="69"/>
      <c r="M171" s="69"/>
      <c r="N171" s="69"/>
      <c r="O171" s="69"/>
      <c r="P171" s="69"/>
      <c r="Q171" s="100"/>
    </row>
    <row r="172" spans="1:17" ht="15" thickBot="1" x14ac:dyDescent="0.4">
      <c r="A172" s="340" t="s">
        <v>3174</v>
      </c>
      <c r="B172" s="342" t="s">
        <v>1691</v>
      </c>
      <c r="C172" s="343">
        <v>5.0999999999999996</v>
      </c>
      <c r="D172" s="343">
        <v>97.6</v>
      </c>
      <c r="E172" s="343">
        <v>5.6</v>
      </c>
      <c r="F172" s="343">
        <v>6.5</v>
      </c>
      <c r="G172" s="69"/>
      <c r="H172" s="69"/>
      <c r="I172" s="69"/>
      <c r="J172" s="69"/>
      <c r="K172" s="69"/>
      <c r="L172" s="69"/>
      <c r="M172" s="69"/>
      <c r="N172" s="69"/>
      <c r="O172" s="69"/>
      <c r="P172" s="69"/>
      <c r="Q172" s="100"/>
    </row>
    <row r="173" spans="1:17" ht="15" thickBot="1" x14ac:dyDescent="0.4">
      <c r="A173" s="340" t="s">
        <v>3174</v>
      </c>
      <c r="B173" s="342" t="s">
        <v>1706</v>
      </c>
      <c r="C173" s="343">
        <v>4.4000000000000004</v>
      </c>
      <c r="D173" s="343">
        <v>84.7</v>
      </c>
      <c r="E173" s="343">
        <v>4.8</v>
      </c>
      <c r="F173" s="343">
        <v>5.6</v>
      </c>
      <c r="G173" s="69"/>
      <c r="H173" s="69"/>
      <c r="I173" s="69"/>
      <c r="J173" s="69"/>
      <c r="K173" s="69"/>
      <c r="L173" s="69"/>
      <c r="M173" s="69"/>
      <c r="N173" s="69"/>
      <c r="O173" s="69"/>
      <c r="P173" s="69"/>
      <c r="Q173" s="100"/>
    </row>
    <row r="174" spans="1:17" ht="15" thickBot="1" x14ac:dyDescent="0.4">
      <c r="A174" s="340" t="s">
        <v>3174</v>
      </c>
      <c r="B174" s="342" t="s">
        <v>1707</v>
      </c>
      <c r="C174" s="343">
        <v>3.5</v>
      </c>
      <c r="D174" s="343">
        <v>67.5</v>
      </c>
      <c r="E174" s="343">
        <v>3.9</v>
      </c>
      <c r="F174" s="343">
        <v>4.5</v>
      </c>
      <c r="G174" s="69"/>
      <c r="H174" s="69"/>
      <c r="I174" s="69"/>
      <c r="J174" s="69"/>
      <c r="K174" s="69"/>
      <c r="L174" s="69"/>
      <c r="M174" s="69"/>
      <c r="N174" s="69"/>
      <c r="O174" s="69"/>
      <c r="P174" s="69"/>
      <c r="Q174" s="100"/>
    </row>
    <row r="175" spans="1:17" ht="15" thickBot="1" x14ac:dyDescent="0.4">
      <c r="A175" s="340" t="s">
        <v>3174</v>
      </c>
      <c r="B175" s="342" t="s">
        <v>1708</v>
      </c>
      <c r="C175" s="343">
        <v>3.6</v>
      </c>
      <c r="D175" s="343">
        <v>68.900000000000006</v>
      </c>
      <c r="E175" s="343">
        <v>3.9</v>
      </c>
      <c r="F175" s="343">
        <v>4.5999999999999996</v>
      </c>
      <c r="G175" s="69"/>
      <c r="H175" s="69"/>
      <c r="I175" s="69"/>
      <c r="J175" s="69"/>
      <c r="K175" s="69"/>
      <c r="L175" s="69"/>
      <c r="M175" s="69"/>
      <c r="N175" s="69"/>
      <c r="O175" s="69"/>
      <c r="P175" s="69"/>
      <c r="Q175" s="100"/>
    </row>
    <row r="176" spans="1:17" ht="15" thickBot="1" x14ac:dyDescent="0.4">
      <c r="A176" s="340" t="s">
        <v>3174</v>
      </c>
      <c r="B176" s="342" t="s">
        <v>1696</v>
      </c>
      <c r="C176" s="343">
        <f>C171*$C$127+C172*$C$128+C173*$C$129</f>
        <v>5.09</v>
      </c>
      <c r="D176" s="343">
        <f>D171*$C$127+D172*$C$128+D173*$C$129</f>
        <v>97.389999999999986</v>
      </c>
      <c r="E176" s="343">
        <f>E171*$C$127+E172*$C$128+E173*$C$129</f>
        <v>5.58</v>
      </c>
      <c r="F176" s="343">
        <f>F171*$C$127+F172*$C$128+F173*$C$129</f>
        <v>6.47</v>
      </c>
      <c r="G176" s="69"/>
      <c r="H176" s="69"/>
      <c r="I176" s="69"/>
      <c r="J176" s="69"/>
      <c r="K176" s="69"/>
      <c r="L176" s="69"/>
      <c r="M176" s="69"/>
      <c r="N176" s="69"/>
      <c r="O176" s="69"/>
      <c r="P176" s="69"/>
      <c r="Q176" s="100"/>
    </row>
    <row r="177" spans="1:17" x14ac:dyDescent="0.35">
      <c r="A177" s="99"/>
      <c r="B177" s="69"/>
      <c r="C177" s="69"/>
      <c r="D177" s="69"/>
      <c r="E177" s="69"/>
      <c r="F177" s="69"/>
      <c r="G177" s="69"/>
      <c r="H177" s="69"/>
      <c r="I177" s="69"/>
      <c r="J177" s="69"/>
      <c r="K177" s="69"/>
      <c r="L177" s="69"/>
      <c r="M177" s="69"/>
      <c r="N177" s="69"/>
      <c r="O177" s="69"/>
      <c r="P177" s="69"/>
      <c r="Q177" s="100"/>
    </row>
    <row r="178" spans="1:17" x14ac:dyDescent="0.35">
      <c r="A178" s="99"/>
      <c r="B178" s="69"/>
      <c r="C178" s="69"/>
      <c r="D178" s="69"/>
      <c r="E178" s="69"/>
      <c r="F178" s="69"/>
      <c r="G178" s="69"/>
      <c r="H178" s="69"/>
      <c r="I178" s="69"/>
      <c r="J178" s="69"/>
      <c r="K178" s="69"/>
      <c r="L178" s="69"/>
      <c r="M178" s="69"/>
      <c r="N178" s="69"/>
      <c r="O178" s="69"/>
      <c r="P178" s="69"/>
      <c r="Q178" s="100"/>
    </row>
    <row r="179" spans="1:17" x14ac:dyDescent="0.35">
      <c r="A179" s="99"/>
      <c r="B179" s="69"/>
      <c r="C179" s="69"/>
      <c r="D179" s="69"/>
      <c r="E179" s="69"/>
      <c r="F179" s="69"/>
      <c r="G179" s="69"/>
      <c r="H179" s="69"/>
      <c r="I179" s="69"/>
      <c r="J179" s="69"/>
      <c r="K179" s="69"/>
      <c r="L179" s="69"/>
      <c r="M179" s="69"/>
      <c r="N179" s="69"/>
      <c r="O179" s="69"/>
      <c r="P179" s="69"/>
      <c r="Q179" s="100"/>
    </row>
    <row r="180" spans="1:17" ht="15" thickBot="1" x14ac:dyDescent="0.4">
      <c r="A180" s="261"/>
      <c r="B180" s="161"/>
      <c r="C180" s="161"/>
      <c r="D180" s="161"/>
      <c r="E180" s="161"/>
      <c r="F180" s="161"/>
      <c r="G180" s="161"/>
      <c r="H180" s="161"/>
      <c r="I180" s="161"/>
      <c r="J180" s="161"/>
      <c r="K180" s="161"/>
      <c r="L180" s="161"/>
      <c r="M180" s="161"/>
      <c r="N180" s="161"/>
      <c r="O180" s="161"/>
      <c r="P180" s="161"/>
      <c r="Q180" s="163"/>
    </row>
  </sheetData>
  <customSheetViews>
    <customSheetView guid="{ECD6FE6A-9548-414E-B8AA-6998703C57E0}" scale="85" showPageBreaks="1" fitToPage="1" view="pageBreakPreview">
      <selection activeCell="N20" sqref="N20"/>
      <pageMargins left="0" right="0" top="0" bottom="0" header="0" footer="0"/>
      <pageSetup scale="17" orientation="portrait" r:id="rId1"/>
    </customSheetView>
    <customSheetView guid="{11DE45F5-F478-4ED6-8DFF-12002C22A637}" scale="85" showPageBreaks="1" fitToPage="1" view="pageBreakPreview">
      <selection activeCell="N20" sqref="N20"/>
      <pageMargins left="0" right="0" top="0" bottom="0" header="0" footer="0"/>
      <pageSetup scale="17" orientation="portrait" r:id="rId2"/>
    </customSheetView>
  </customSheetViews>
  <mergeCells count="11">
    <mergeCell ref="F132:I132"/>
    <mergeCell ref="A126:C126"/>
    <mergeCell ref="AB2:AQ2"/>
    <mergeCell ref="M124:M126"/>
    <mergeCell ref="T2:W2"/>
    <mergeCell ref="X2:AA2"/>
    <mergeCell ref="K160:K161"/>
    <mergeCell ref="E141:E142"/>
    <mergeCell ref="F141:I141"/>
    <mergeCell ref="A148:A150"/>
    <mergeCell ref="A151:A153"/>
  </mergeCells>
  <phoneticPr fontId="152" type="noConversion"/>
  <dataValidations count="9">
    <dataValidation type="list" allowBlank="1" showInputMessage="1" showErrorMessage="1" sqref="L4:L20" xr:uid="{00000000-0002-0000-2D00-000000000000}">
      <formula1>IF($M$4=$M$124,$N$124:$N$126,$N$127)</formula1>
    </dataValidation>
    <dataValidation type="list" allowBlank="1" showInputMessage="1" showErrorMessage="1" sqref="I4:I20 M4:M16" xr:uid="{00000000-0002-0000-2D00-000001000000}">
      <formula1>Fuel1</formula1>
    </dataValidation>
    <dataValidation type="list" allowBlank="1" showInputMessage="1" showErrorMessage="1" sqref="J4:J20" xr:uid="{00000000-0002-0000-2D00-000002000000}">
      <formula1>ArSl4</formula1>
    </dataValidation>
    <dataValidation type="list" allowBlank="1" showInputMessage="1" showErrorMessage="1" sqref="M17:M20" xr:uid="{00000000-0002-0000-2D00-000003000000}">
      <formula1>HPWH4</formula1>
    </dataValidation>
    <dataValidation type="list" allowBlank="1" showInputMessage="1" showErrorMessage="1" sqref="N4:N20" xr:uid="{00000000-0002-0000-2D00-000004000000}">
      <formula1>ArSl3</formula1>
    </dataValidation>
    <dataValidation type="list" allowBlank="1" showInputMessage="1" showErrorMessage="1" sqref="O4:O20" xr:uid="{00000000-0002-0000-2D00-000005000000}">
      <formula1>Unit1</formula1>
    </dataValidation>
    <dataValidation type="list" allowBlank="1" showInputMessage="1" showErrorMessage="1" sqref="R4:R20" xr:uid="{00000000-0002-0000-2D00-000006000000}">
      <formula1>ArSl1</formula1>
    </dataValidation>
    <dataValidation type="list" allowBlank="1" showInputMessage="1" showErrorMessage="1" sqref="D4:D20" xr:uid="{00000000-0002-0000-2D00-000007000000}">
      <formula1>MeasureType</formula1>
    </dataValidation>
    <dataValidation type="list" allowBlank="1" showInputMessage="1" showErrorMessage="1" sqref="K4:K20" xr:uid="{00000000-0002-0000-2D00-000008000000}">
      <formula1>$B$148:$B$150</formula1>
    </dataValidation>
  </dataValidations>
  <hyperlinks>
    <hyperlink ref="A1" location="'Measure-Level Adjustments'!Print_Titles" display="Measure Level Tab" xr:uid="{C9C0EC1B-4DC9-48BA-BF52-FCE2C0A2D93F}"/>
  </hyperlinks>
  <pageMargins left="0.7" right="0.7" top="0.75" bottom="0.75" header="0.3" footer="0.3"/>
  <pageSetup scale="14" orientation="portrait"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9000000}">
          <x14:formula1>
            <xm:f>'T:\EEP Planning Models\Planning Tools\Measure_Data\Custom TRM EEP 3\[HIM_Res_TRMv5.xlsx]List'!#REF!</xm:f>
          </x14:formula1>
          <xm:sqref>H4:H20</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0AE8F-D4A4-4F09-A180-BD8A4A8FD05E}">
  <sheetPr>
    <tabColor rgb="FF00B050"/>
  </sheetPr>
  <dimension ref="A1:Q51"/>
  <sheetViews>
    <sheetView zoomScale="110" zoomScaleNormal="110" workbookViewId="0"/>
  </sheetViews>
  <sheetFormatPr defaultColWidth="9.1796875" defaultRowHeight="14.5" x14ac:dyDescent="0.35"/>
  <cols>
    <col min="1" max="1" width="56.453125" customWidth="1"/>
    <col min="2" max="2" width="16.26953125" bestFit="1" customWidth="1"/>
    <col min="3" max="3" width="23.1796875" customWidth="1"/>
    <col min="4" max="4" width="24.26953125" customWidth="1"/>
    <col min="5" max="5" width="16.26953125" customWidth="1"/>
    <col min="6" max="6" width="15.453125" customWidth="1"/>
    <col min="8" max="8" width="11.26953125" customWidth="1"/>
    <col min="10" max="10" width="19.453125" style="273" customWidth="1"/>
    <col min="11" max="11" width="56" customWidth="1"/>
    <col min="12" max="13" width="21" customWidth="1"/>
    <col min="14" max="14" width="21.26953125" customWidth="1"/>
    <col min="15" max="15" width="22.81640625" customWidth="1"/>
    <col min="16" max="16" width="17.26953125" customWidth="1"/>
    <col min="17" max="17" width="17.453125" customWidth="1"/>
  </cols>
  <sheetData>
    <row r="1" spans="1:17" x14ac:dyDescent="0.35">
      <c r="A1" s="1799" t="s">
        <v>1031</v>
      </c>
    </row>
    <row r="2" spans="1:17" ht="15.5" x14ac:dyDescent="0.35">
      <c r="A2" s="433" t="s">
        <v>4263</v>
      </c>
    </row>
    <row r="3" spans="1:17" ht="16" thickBot="1" x14ac:dyDescent="0.4">
      <c r="A3" s="433" t="s">
        <v>4264</v>
      </c>
    </row>
    <row r="4" spans="1:17" ht="15.75" customHeight="1" thickBot="1" x14ac:dyDescent="0.4">
      <c r="A4" s="199" t="s">
        <v>4265</v>
      </c>
      <c r="K4" s="3365" t="s">
        <v>4266</v>
      </c>
      <c r="L4" s="3366"/>
      <c r="M4" s="3366"/>
      <c r="N4" s="3366"/>
      <c r="O4" s="3366"/>
      <c r="P4" s="3366"/>
      <c r="Q4" s="3367"/>
    </row>
    <row r="5" spans="1:17" ht="15.75" customHeight="1" thickBot="1" x14ac:dyDescent="0.4">
      <c r="B5" s="3371" t="s">
        <v>4267</v>
      </c>
      <c r="C5" s="3372"/>
      <c r="D5" s="3372"/>
      <c r="E5" s="3373"/>
      <c r="K5" s="3368"/>
      <c r="L5" s="3369"/>
      <c r="M5" s="3369"/>
      <c r="N5" s="3369"/>
      <c r="O5" s="3369"/>
      <c r="P5" s="3369"/>
      <c r="Q5" s="3370"/>
    </row>
    <row r="6" spans="1:17" ht="32.25" customHeight="1" thickBot="1" x14ac:dyDescent="0.4">
      <c r="A6" s="2369" t="s">
        <v>1036</v>
      </c>
      <c r="B6" s="2370"/>
      <c r="C6" s="2371" t="s">
        <v>4268</v>
      </c>
      <c r="D6" s="2370" t="s">
        <v>4269</v>
      </c>
      <c r="E6" s="2370" t="s">
        <v>3641</v>
      </c>
      <c r="F6" s="2372" t="s">
        <v>1684</v>
      </c>
      <c r="G6" s="2370" t="s">
        <v>4270</v>
      </c>
      <c r="H6" s="2373" t="s">
        <v>4271</v>
      </c>
      <c r="J6" s="2374"/>
      <c r="K6" s="2369" t="s">
        <v>1036</v>
      </c>
      <c r="L6" s="2370" t="s">
        <v>4272</v>
      </c>
      <c r="M6" s="2370" t="s">
        <v>4273</v>
      </c>
      <c r="N6" s="2371" t="s">
        <v>3451</v>
      </c>
      <c r="O6" s="2370" t="s">
        <v>1083</v>
      </c>
      <c r="P6" s="2370" t="s">
        <v>3641</v>
      </c>
      <c r="Q6" s="2375" t="s">
        <v>1684</v>
      </c>
    </row>
    <row r="7" spans="1:17" ht="15.75" customHeight="1" x14ac:dyDescent="0.35">
      <c r="A7" s="2376" t="s">
        <v>4274</v>
      </c>
      <c r="B7" s="1645"/>
      <c r="C7" s="2740">
        <f>B41*E7*0.8*B45</f>
        <v>2.7071999999999998</v>
      </c>
      <c r="D7" s="1645">
        <v>20</v>
      </c>
      <c r="E7" s="351">
        <v>12</v>
      </c>
      <c r="F7" s="2377" t="s">
        <v>4275</v>
      </c>
      <c r="G7" s="2378"/>
      <c r="H7" s="2379"/>
      <c r="J7" s="2380"/>
      <c r="K7" s="2376" t="s">
        <v>4274</v>
      </c>
      <c r="L7" s="1645">
        <f>L41*P7*0.8*B45</f>
        <v>58.464000000000006</v>
      </c>
      <c r="M7" s="1645">
        <f>L51*P7*0.8*B45</f>
        <v>29.3184</v>
      </c>
      <c r="N7" s="1645">
        <f>B41*P7*0.8*B45</f>
        <v>2.7071999999999998</v>
      </c>
      <c r="O7" s="1645">
        <v>20</v>
      </c>
      <c r="P7" s="351">
        <v>12</v>
      </c>
      <c r="Q7" s="2381" t="s">
        <v>4275</v>
      </c>
    </row>
    <row r="8" spans="1:17" x14ac:dyDescent="0.35">
      <c r="A8" s="2382" t="s">
        <v>4276</v>
      </c>
      <c r="B8" s="2383"/>
      <c r="C8" s="2741">
        <f>F41*E8*0.8*B46</f>
        <v>5.1266560000000005</v>
      </c>
      <c r="D8" s="124">
        <v>20</v>
      </c>
      <c r="E8" s="49">
        <v>17</v>
      </c>
      <c r="F8" s="260" t="s">
        <v>4275</v>
      </c>
      <c r="G8" s="2384"/>
      <c r="H8" s="2385"/>
      <c r="J8" s="2386"/>
      <c r="K8" s="2382" t="s">
        <v>4276</v>
      </c>
      <c r="L8" s="2383">
        <f>P41*P8*0.8*B46</f>
        <v>109.44736000000002</v>
      </c>
      <c r="M8" s="2383">
        <f>P51*P8*0.8*B46</f>
        <v>54.555040000000005</v>
      </c>
      <c r="N8" s="2383">
        <f>F41*P8*0.8*B46</f>
        <v>5.1266560000000005</v>
      </c>
      <c r="O8" s="124">
        <v>20</v>
      </c>
      <c r="P8" s="49">
        <v>17</v>
      </c>
      <c r="Q8" s="2387" t="s">
        <v>4275</v>
      </c>
    </row>
    <row r="9" spans="1:17" x14ac:dyDescent="0.35">
      <c r="A9" s="2382" t="s">
        <v>4277</v>
      </c>
      <c r="B9" s="2383"/>
      <c r="C9" s="2741">
        <f>F41*E9*0.8*B47</f>
        <v>4.7132160000000001</v>
      </c>
      <c r="D9" s="124">
        <v>20</v>
      </c>
      <c r="E9" s="49">
        <v>17</v>
      </c>
      <c r="F9" s="260" t="s">
        <v>4275</v>
      </c>
      <c r="G9" s="2384"/>
      <c r="H9" s="2385"/>
      <c r="J9" s="2386"/>
      <c r="K9" s="2382" t="s">
        <v>4277</v>
      </c>
      <c r="L9" s="2383">
        <f>P41*P9*0.8*B47</f>
        <v>100.62096</v>
      </c>
      <c r="M9" s="2383">
        <f>P51*P9*0.8*B47</f>
        <v>50.155439999999999</v>
      </c>
      <c r="N9" s="2383">
        <f>F41*P9*0.8*B47</f>
        <v>4.7132160000000001</v>
      </c>
      <c r="O9" s="124">
        <v>20</v>
      </c>
      <c r="P9" s="49">
        <v>17</v>
      </c>
      <c r="Q9" s="2387" t="s">
        <v>4275</v>
      </c>
    </row>
    <row r="10" spans="1:17" x14ac:dyDescent="0.35">
      <c r="A10" s="2382" t="s">
        <v>4278</v>
      </c>
      <c r="B10" s="124"/>
      <c r="C10" s="2742">
        <f>_ftn2*E10*0.8*B48</f>
        <v>4.0803840000000005</v>
      </c>
      <c r="D10" s="124">
        <v>20</v>
      </c>
      <c r="E10" s="49">
        <v>1</v>
      </c>
      <c r="F10" s="260" t="s">
        <v>4275</v>
      </c>
      <c r="G10" s="2384"/>
      <c r="H10" s="2385"/>
      <c r="J10" s="2380"/>
      <c r="K10" s="2382" t="s">
        <v>4278</v>
      </c>
      <c r="L10" s="124">
        <f>N41*P10*0.8*B48</f>
        <v>87.283840000000026</v>
      </c>
      <c r="M10" s="124">
        <f>N51*P10*0.8*B48</f>
        <v>43.630719999999997</v>
      </c>
      <c r="N10" s="124">
        <f>D41*P10*0.8*B48</f>
        <v>4.0803840000000005</v>
      </c>
      <c r="O10" s="124">
        <v>20</v>
      </c>
      <c r="P10" s="49">
        <v>1</v>
      </c>
      <c r="Q10" s="2387" t="s">
        <v>4275</v>
      </c>
    </row>
    <row r="11" spans="1:17" x14ac:dyDescent="0.35">
      <c r="A11" s="2382" t="s">
        <v>4279</v>
      </c>
      <c r="B11" s="124"/>
      <c r="C11" s="2742">
        <f>E41*E11*0.8*B49</f>
        <v>5.4806400000000002</v>
      </c>
      <c r="D11" s="124">
        <v>20</v>
      </c>
      <c r="E11" s="49">
        <v>30</v>
      </c>
      <c r="F11" s="260" t="s">
        <v>4275</v>
      </c>
      <c r="G11" s="2384"/>
      <c r="H11" s="2385"/>
      <c r="J11" s="2380"/>
      <c r="K11" s="2382" t="s">
        <v>4279</v>
      </c>
      <c r="L11" s="124">
        <f>O41*P11*0.8*B49</f>
        <v>117.95520000000002</v>
      </c>
      <c r="M11" s="124">
        <f>O51*P11*0.8*B49</f>
        <v>58.924800000000005</v>
      </c>
      <c r="N11" s="124">
        <f>E41*P11*0.8*B49</f>
        <v>5.4806400000000002</v>
      </c>
      <c r="O11" s="124">
        <v>20</v>
      </c>
      <c r="P11" s="49">
        <v>30</v>
      </c>
      <c r="Q11" s="2387" t="s">
        <v>4275</v>
      </c>
    </row>
    <row r="12" spans="1:17" ht="15" thickBot="1" x14ac:dyDescent="0.4">
      <c r="A12" s="2388" t="s">
        <v>4280</v>
      </c>
      <c r="B12" s="2389">
        <f>SUM(B7:B11)</f>
        <v>0</v>
      </c>
      <c r="C12" s="2389">
        <f>SUM(C7:C11)</f>
        <v>22.108096000000003</v>
      </c>
      <c r="D12" s="2389">
        <f>ROUND(SUMPRODUCT(D7:D11,C7:C11)/C12,0)</f>
        <v>20</v>
      </c>
      <c r="E12" s="2389"/>
      <c r="F12" s="2390"/>
      <c r="G12" s="2391"/>
      <c r="H12" s="2392"/>
      <c r="J12" s="2393"/>
      <c r="K12" s="2388" t="s">
        <v>4280</v>
      </c>
      <c r="L12" s="2389">
        <f>SUM(L7:L11)*L15</f>
        <v>40.033679920000012</v>
      </c>
      <c r="M12" s="2389">
        <f>SUM(M7:M11)*L16</f>
        <v>10.764590200000001</v>
      </c>
      <c r="N12" s="2389">
        <f>SUM(N7:N11)*L17</f>
        <v>19.234043520000004</v>
      </c>
      <c r="O12" s="2389">
        <v>20</v>
      </c>
      <c r="P12" s="2389"/>
      <c r="Q12" s="2394"/>
    </row>
    <row r="13" spans="1:17" ht="15" thickBot="1" x14ac:dyDescent="0.4">
      <c r="L13" s="298"/>
      <c r="M13" s="298"/>
      <c r="N13" s="298"/>
    </row>
    <row r="14" spans="1:17" x14ac:dyDescent="0.35">
      <c r="A14" s="2408"/>
      <c r="B14" s="2409"/>
      <c r="C14" s="2409"/>
      <c r="D14" s="2409"/>
      <c r="E14" s="2034"/>
      <c r="K14" s="2395" t="s">
        <v>4281</v>
      </c>
      <c r="L14" s="2396" t="s">
        <v>4282</v>
      </c>
      <c r="M14" s="3374" t="s">
        <v>4283</v>
      </c>
      <c r="N14" s="3375"/>
      <c r="O14" s="3375"/>
      <c r="P14" s="3375"/>
      <c r="Q14" s="3376"/>
    </row>
    <row r="15" spans="1:17" x14ac:dyDescent="0.35">
      <c r="B15" s="2151"/>
      <c r="C15" s="2151"/>
      <c r="D15" s="2151"/>
      <c r="E15" s="199"/>
      <c r="K15" s="2397" t="s">
        <v>3173</v>
      </c>
      <c r="L15" s="2398">
        <f>(1-L17)*0.65</f>
        <v>8.4500000000000006E-2</v>
      </c>
      <c r="M15" s="3377"/>
      <c r="N15" s="3378"/>
      <c r="O15" s="3378"/>
      <c r="P15" s="3378"/>
      <c r="Q15" s="3379"/>
    </row>
    <row r="16" spans="1:17" x14ac:dyDescent="0.35">
      <c r="K16" s="2397" t="s">
        <v>3174</v>
      </c>
      <c r="L16" s="2398">
        <f>(1-L17)*0.35</f>
        <v>4.5499999999999999E-2</v>
      </c>
      <c r="M16" s="3377"/>
      <c r="N16" s="3378"/>
      <c r="O16" s="3378"/>
      <c r="P16" s="3378"/>
      <c r="Q16" s="3379"/>
    </row>
    <row r="17" spans="1:17" ht="15" thickBot="1" x14ac:dyDescent="0.4">
      <c r="K17" s="2399" t="s">
        <v>1529</v>
      </c>
      <c r="L17" s="2400">
        <v>0.87</v>
      </c>
      <c r="M17" s="3380"/>
      <c r="N17" s="3381"/>
      <c r="O17" s="3381"/>
      <c r="P17" s="3381"/>
      <c r="Q17" s="3382"/>
    </row>
    <row r="18" spans="1:17" ht="15" thickBot="1" x14ac:dyDescent="0.4">
      <c r="A18" s="3383" t="s">
        <v>4284</v>
      </c>
      <c r="B18" s="3384"/>
      <c r="C18" s="3384"/>
      <c r="D18" s="3384"/>
      <c r="E18" s="3385"/>
    </row>
    <row r="20" spans="1:17" x14ac:dyDescent="0.35">
      <c r="A20" s="3364" t="s">
        <v>4285</v>
      </c>
      <c r="B20" s="3364"/>
      <c r="C20" s="3364"/>
    </row>
    <row r="21" spans="1:17" x14ac:dyDescent="0.35">
      <c r="A21" s="3364" t="s">
        <v>4286</v>
      </c>
      <c r="B21" s="3364"/>
      <c r="C21" s="3364"/>
    </row>
    <row r="22" spans="1:17" x14ac:dyDescent="0.35">
      <c r="A22" s="3364" t="s">
        <v>4287</v>
      </c>
      <c r="B22" s="3364"/>
      <c r="C22" s="3364"/>
    </row>
    <row r="23" spans="1:17" x14ac:dyDescent="0.35">
      <c r="A23" s="3364" t="s">
        <v>4288</v>
      </c>
      <c r="B23" s="3364"/>
      <c r="C23" s="3364"/>
    </row>
    <row r="24" spans="1:17" x14ac:dyDescent="0.35">
      <c r="A24" s="3364" t="s">
        <v>4289</v>
      </c>
      <c r="B24" s="3364"/>
      <c r="C24" s="3364"/>
    </row>
    <row r="25" spans="1:17" x14ac:dyDescent="0.35">
      <c r="A25" s="3364" t="s">
        <v>4290</v>
      </c>
      <c r="B25" s="3364"/>
      <c r="C25" s="3364"/>
    </row>
    <row r="26" spans="1:17" x14ac:dyDescent="0.35">
      <c r="A26" s="3364" t="s">
        <v>4291</v>
      </c>
      <c r="B26" s="3364"/>
      <c r="C26" s="3364"/>
    </row>
    <row r="27" spans="1:17" x14ac:dyDescent="0.35">
      <c r="A27" s="3364" t="s">
        <v>4292</v>
      </c>
      <c r="B27" s="3364"/>
      <c r="C27" s="3364"/>
    </row>
    <row r="28" spans="1:17" x14ac:dyDescent="0.35">
      <c r="A28" s="3364" t="s">
        <v>4293</v>
      </c>
      <c r="B28" s="3364"/>
      <c r="C28" s="3364"/>
    </row>
    <row r="29" spans="1:17" x14ac:dyDescent="0.35">
      <c r="A29" s="3364" t="s">
        <v>4294</v>
      </c>
      <c r="B29" s="3364"/>
      <c r="C29" s="3364"/>
    </row>
    <row r="30" spans="1:17" x14ac:dyDescent="0.35">
      <c r="A30" s="3364" t="s">
        <v>4295</v>
      </c>
      <c r="B30" s="3364"/>
      <c r="C30" s="3364"/>
    </row>
    <row r="31" spans="1:17" x14ac:dyDescent="0.35">
      <c r="A31" s="3364" t="s">
        <v>4296</v>
      </c>
      <c r="B31" s="3364"/>
      <c r="C31" s="3364"/>
    </row>
    <row r="32" spans="1:17" ht="15" thickBot="1" x14ac:dyDescent="0.4">
      <c r="A32" s="3386" t="s">
        <v>4297</v>
      </c>
      <c r="B32" s="3387"/>
      <c r="C32" s="3388"/>
    </row>
    <row r="33" spans="1:17" ht="15" thickBot="1" x14ac:dyDescent="0.4">
      <c r="K33" s="3383" t="s">
        <v>4298</v>
      </c>
      <c r="L33" s="3384"/>
      <c r="M33" s="3384"/>
      <c r="N33" s="3384"/>
      <c r="O33" s="3384"/>
      <c r="P33" s="3385"/>
      <c r="Q33" s="1435"/>
    </row>
    <row r="34" spans="1:17" ht="28" x14ac:dyDescent="0.35">
      <c r="A34" s="336" t="s">
        <v>1684</v>
      </c>
      <c r="B34" s="338" t="s">
        <v>4259</v>
      </c>
      <c r="C34" s="338" t="s">
        <v>4299</v>
      </c>
      <c r="D34" s="339" t="s">
        <v>4260</v>
      </c>
      <c r="E34" s="339" t="s">
        <v>4261</v>
      </c>
      <c r="F34" s="339" t="s">
        <v>4262</v>
      </c>
      <c r="K34" s="336" t="s">
        <v>1684</v>
      </c>
      <c r="L34" s="338" t="s">
        <v>4300</v>
      </c>
      <c r="M34" s="338" t="s">
        <v>4301</v>
      </c>
      <c r="N34" s="339" t="s">
        <v>4256</v>
      </c>
      <c r="O34" s="339" t="s">
        <v>4257</v>
      </c>
      <c r="P34" s="339" t="s">
        <v>4302</v>
      </c>
    </row>
    <row r="35" spans="1:17" ht="17.25" customHeight="1" thickBot="1" x14ac:dyDescent="0.4">
      <c r="A35" s="340" t="s">
        <v>3172</v>
      </c>
      <c r="B35" s="341" t="s">
        <v>3091</v>
      </c>
      <c r="C35" s="2401" t="s">
        <v>3091</v>
      </c>
      <c r="D35" s="341" t="s">
        <v>3091</v>
      </c>
      <c r="E35" s="341" t="s">
        <v>3091</v>
      </c>
      <c r="F35" s="341" t="s">
        <v>3091</v>
      </c>
      <c r="K35" s="340" t="s">
        <v>3172</v>
      </c>
      <c r="L35" s="341" t="s">
        <v>3173</v>
      </c>
      <c r="M35" s="341" t="s">
        <v>3173</v>
      </c>
      <c r="N35" s="341" t="s">
        <v>3173</v>
      </c>
      <c r="O35" s="341" t="s">
        <v>3173</v>
      </c>
      <c r="P35" s="341" t="s">
        <v>3173</v>
      </c>
    </row>
    <row r="36" spans="1:17" ht="15" thickBot="1" x14ac:dyDescent="0.4">
      <c r="A36" s="2029" t="s">
        <v>1705</v>
      </c>
      <c r="B36" s="2030">
        <v>0.49</v>
      </c>
      <c r="C36" s="2056">
        <v>0.191</v>
      </c>
      <c r="D36" s="2030">
        <v>9.4600000000000009</v>
      </c>
      <c r="E36" s="2030">
        <v>0.54</v>
      </c>
      <c r="F36" s="2030">
        <v>0.63</v>
      </c>
      <c r="K36" s="2029" t="s">
        <v>1705</v>
      </c>
      <c r="L36" s="2030">
        <v>10.5</v>
      </c>
      <c r="M36" s="2056">
        <v>4</v>
      </c>
      <c r="N36" s="2030">
        <v>202.4</v>
      </c>
      <c r="O36" s="2030">
        <v>11.6</v>
      </c>
      <c r="P36" s="2030">
        <v>13.5</v>
      </c>
    </row>
    <row r="37" spans="1:17" ht="15" thickBot="1" x14ac:dyDescent="0.4">
      <c r="A37" s="2029" t="s">
        <v>1691</v>
      </c>
      <c r="B37" s="2030">
        <v>0.47</v>
      </c>
      <c r="C37" s="2402">
        <v>0.183</v>
      </c>
      <c r="D37" s="2030">
        <v>9.1300000000000008</v>
      </c>
      <c r="E37" s="2030">
        <v>0.52</v>
      </c>
      <c r="F37" s="2030">
        <v>0.61</v>
      </c>
      <c r="K37" s="2029" t="s">
        <v>1691</v>
      </c>
      <c r="L37" s="2030">
        <v>10.199999999999999</v>
      </c>
      <c r="M37" s="2403">
        <v>3.9</v>
      </c>
      <c r="N37" s="2030">
        <v>195.3</v>
      </c>
      <c r="O37" s="2030">
        <v>11.2</v>
      </c>
      <c r="P37" s="2030">
        <v>13</v>
      </c>
    </row>
    <row r="38" spans="1:17" ht="15" thickBot="1" x14ac:dyDescent="0.4">
      <c r="A38" s="2029" t="s">
        <v>1706</v>
      </c>
      <c r="B38" s="2030">
        <v>0.41</v>
      </c>
      <c r="C38" s="2056">
        <v>0.156</v>
      </c>
      <c r="D38" s="2030">
        <v>7.92</v>
      </c>
      <c r="E38" s="2030">
        <v>0.45</v>
      </c>
      <c r="F38" s="2030">
        <v>0.53</v>
      </c>
      <c r="K38" s="2029" t="s">
        <v>1706</v>
      </c>
      <c r="L38" s="2030">
        <v>8.8000000000000007</v>
      </c>
      <c r="M38" s="2056">
        <v>3.3</v>
      </c>
      <c r="N38" s="2030">
        <v>169.3</v>
      </c>
      <c r="O38" s="2030">
        <v>9.6999999999999993</v>
      </c>
      <c r="P38" s="2030">
        <v>11.3</v>
      </c>
    </row>
    <row r="39" spans="1:17" ht="15" thickBot="1" x14ac:dyDescent="0.4">
      <c r="A39" s="2029" t="s">
        <v>1707</v>
      </c>
      <c r="B39" s="2030">
        <v>0.33</v>
      </c>
      <c r="C39" s="2056">
        <v>0.121</v>
      </c>
      <c r="D39" s="2030">
        <v>6.31</v>
      </c>
      <c r="E39" s="2030">
        <v>0.36</v>
      </c>
      <c r="F39" s="2030">
        <v>0.42</v>
      </c>
      <c r="K39" s="2029" t="s">
        <v>1707</v>
      </c>
      <c r="L39" s="2030">
        <v>7</v>
      </c>
      <c r="M39" s="2056">
        <v>2.5</v>
      </c>
      <c r="N39" s="2030">
        <v>134.9</v>
      </c>
      <c r="O39" s="2030">
        <v>7.7</v>
      </c>
      <c r="P39" s="2030">
        <v>9</v>
      </c>
    </row>
    <row r="40" spans="1:17" ht="15" thickBot="1" x14ac:dyDescent="0.4">
      <c r="A40" s="2029" t="s">
        <v>1708</v>
      </c>
      <c r="B40" s="2030">
        <v>0.33</v>
      </c>
      <c r="C40" s="2056">
        <v>0.123</v>
      </c>
      <c r="D40" s="2030">
        <v>6.45</v>
      </c>
      <c r="E40" s="2030">
        <v>0.37</v>
      </c>
      <c r="F40" s="2030">
        <v>0.43</v>
      </c>
      <c r="K40" s="2029" t="s">
        <v>1708</v>
      </c>
      <c r="L40" s="2030">
        <v>7.2</v>
      </c>
      <c r="M40" s="2056">
        <v>2.6</v>
      </c>
      <c r="N40" s="2030">
        <v>137.9</v>
      </c>
      <c r="O40" s="2030">
        <v>7.9</v>
      </c>
      <c r="P40" s="2030">
        <v>9.1999999999999993</v>
      </c>
    </row>
    <row r="41" spans="1:17" ht="15" thickBot="1" x14ac:dyDescent="0.4">
      <c r="A41" s="2404" t="s">
        <v>4275</v>
      </c>
      <c r="B41" s="2405">
        <f>0.3*B36+0.6*B37+0.1*B38</f>
        <v>0.46999999999999992</v>
      </c>
      <c r="C41" s="2405">
        <f>0.3*C36+0.6*C37+0.1*C38</f>
        <v>0.1827</v>
      </c>
      <c r="D41" s="2405">
        <f>0.3*D36+0.6*D37+0.1*D38</f>
        <v>9.1080000000000005</v>
      </c>
      <c r="E41" s="2405">
        <f>0.3*E36+0.6*E37+0.1*E38</f>
        <v>0.51900000000000002</v>
      </c>
      <c r="F41" s="2405">
        <f>0.3*F36+0.6*F37+0.1*F38</f>
        <v>0.60799999999999998</v>
      </c>
      <c r="K41" s="2404" t="s">
        <v>4275</v>
      </c>
      <c r="L41" s="2405">
        <f>0.3*L36+0.6*L37+0.1*L38</f>
        <v>10.15</v>
      </c>
      <c r="M41" s="2405">
        <f>0.3*M36+0.6*M37+0.1*M38</f>
        <v>3.87</v>
      </c>
      <c r="N41" s="2405">
        <f>0.3*N36+0.6*N37+0.1*N38</f>
        <v>194.83</v>
      </c>
      <c r="O41" s="2405">
        <f>0.3*O36+0.6*O37+0.1*O38</f>
        <v>11.17</v>
      </c>
      <c r="P41" s="2405">
        <f>0.3*P36+0.6*P37+0.1*P38</f>
        <v>12.98</v>
      </c>
    </row>
    <row r="42" spans="1:17" ht="15" thickBot="1" x14ac:dyDescent="0.4"/>
    <row r="43" spans="1:17" ht="15" thickBot="1" x14ac:dyDescent="0.4">
      <c r="A43" s="2239" t="s">
        <v>3912</v>
      </c>
      <c r="B43" s="762" t="s">
        <v>1580</v>
      </c>
      <c r="K43" s="3383" t="s">
        <v>4298</v>
      </c>
      <c r="L43" s="3384"/>
      <c r="M43" s="3384"/>
      <c r="N43" s="3384"/>
      <c r="O43" s="3384"/>
      <c r="P43" s="3385"/>
    </row>
    <row r="44" spans="1:17" ht="15.5" thickBot="1" x14ac:dyDescent="0.4">
      <c r="A44" s="2406" t="s">
        <v>4303</v>
      </c>
      <c r="B44" s="2407">
        <v>0.57999999999999996</v>
      </c>
      <c r="K44" s="336" t="s">
        <v>1684</v>
      </c>
      <c r="L44" s="338" t="s">
        <v>4300</v>
      </c>
      <c r="M44" s="338" t="s">
        <v>4301</v>
      </c>
      <c r="N44" s="339" t="s">
        <v>4256</v>
      </c>
      <c r="O44" s="339" t="s">
        <v>4257</v>
      </c>
      <c r="P44" s="339" t="s">
        <v>4302</v>
      </c>
    </row>
    <row r="45" spans="1:17" ht="15" thickBot="1" x14ac:dyDescent="0.4">
      <c r="A45" s="2406" t="s">
        <v>4274</v>
      </c>
      <c r="B45" s="2747">
        <v>0.6</v>
      </c>
      <c r="K45" s="340" t="s">
        <v>3172</v>
      </c>
      <c r="L45" s="341" t="s">
        <v>3174</v>
      </c>
      <c r="M45" s="341" t="s">
        <v>3174</v>
      </c>
      <c r="N45" s="341" t="s">
        <v>3174</v>
      </c>
      <c r="O45" s="341" t="s">
        <v>3174</v>
      </c>
      <c r="P45" s="341" t="s">
        <v>3174</v>
      </c>
    </row>
    <row r="46" spans="1:17" ht="15" thickBot="1" x14ac:dyDescent="0.4">
      <c r="A46" s="2406" t="s">
        <v>4276</v>
      </c>
      <c r="B46" s="2739">
        <v>0.62</v>
      </c>
      <c r="K46" s="2029" t="s">
        <v>1705</v>
      </c>
      <c r="L46" s="2030">
        <v>5.3</v>
      </c>
      <c r="M46" s="2056">
        <v>2.1</v>
      </c>
      <c r="N46" s="2030">
        <v>101.2</v>
      </c>
      <c r="O46" s="2030">
        <v>5.8</v>
      </c>
      <c r="P46" s="2030">
        <v>6.7</v>
      </c>
    </row>
    <row r="47" spans="1:17" ht="15" thickBot="1" x14ac:dyDescent="0.4">
      <c r="A47" s="2406" t="s">
        <v>4277</v>
      </c>
      <c r="B47" s="2739">
        <v>0.56999999999999995</v>
      </c>
      <c r="K47" s="2029" t="s">
        <v>1691</v>
      </c>
      <c r="L47" s="2030">
        <v>5.0999999999999996</v>
      </c>
      <c r="M47" s="2403">
        <v>2</v>
      </c>
      <c r="N47" s="2030">
        <v>97.6</v>
      </c>
      <c r="O47" s="2030">
        <v>5.6</v>
      </c>
      <c r="P47" s="2030">
        <v>6.5</v>
      </c>
    </row>
    <row r="48" spans="1:17" ht="15" thickBot="1" x14ac:dyDescent="0.4">
      <c r="A48" s="2406" t="s">
        <v>4278</v>
      </c>
      <c r="B48" s="2739">
        <v>0.56000000000000005</v>
      </c>
      <c r="K48" s="2029" t="s">
        <v>1706</v>
      </c>
      <c r="L48" s="2030">
        <v>4.4000000000000004</v>
      </c>
      <c r="M48" s="2056">
        <v>1.7</v>
      </c>
      <c r="N48" s="2030">
        <v>84.7</v>
      </c>
      <c r="O48" s="2030">
        <v>4.8</v>
      </c>
      <c r="P48" s="2030">
        <v>5.6</v>
      </c>
    </row>
    <row r="49" spans="1:16" ht="15" thickBot="1" x14ac:dyDescent="0.4">
      <c r="A49" s="2406" t="s">
        <v>4279</v>
      </c>
      <c r="B49" s="2739">
        <v>0.44</v>
      </c>
      <c r="K49" s="2029" t="s">
        <v>1707</v>
      </c>
      <c r="L49" s="2030">
        <v>3.5</v>
      </c>
      <c r="M49" s="2056">
        <v>1.3</v>
      </c>
      <c r="N49" s="2030">
        <v>67.5</v>
      </c>
      <c r="O49" s="2030">
        <v>3.9</v>
      </c>
      <c r="P49" s="2030">
        <v>4.5</v>
      </c>
    </row>
    <row r="50" spans="1:16" ht="15" thickBot="1" x14ac:dyDescent="0.4">
      <c r="A50" s="2406" t="s">
        <v>4304</v>
      </c>
      <c r="B50" s="2241">
        <v>1</v>
      </c>
      <c r="K50" s="2029" t="s">
        <v>1708</v>
      </c>
      <c r="L50" s="2030">
        <v>3.6</v>
      </c>
      <c r="M50" s="2056">
        <v>1.3</v>
      </c>
      <c r="N50" s="2030">
        <v>68.900000000000006</v>
      </c>
      <c r="O50" s="2030">
        <v>3.9</v>
      </c>
      <c r="P50" s="2030">
        <v>4.5999999999999996</v>
      </c>
    </row>
    <row r="51" spans="1:16" ht="15" thickBot="1" x14ac:dyDescent="0.4">
      <c r="K51" s="2404" t="s">
        <v>4275</v>
      </c>
      <c r="L51" s="2405">
        <f>0.3*L46+0.6*L47+0.1*L48</f>
        <v>5.09</v>
      </c>
      <c r="M51" s="2405">
        <f>0.3*M46+0.6*M47+0.1*M48</f>
        <v>2</v>
      </c>
      <c r="N51" s="2405">
        <f>0.3*N46+0.6*N47+0.1*N48</f>
        <v>97.389999999999986</v>
      </c>
      <c r="O51" s="2405">
        <f>0.3*O46+0.6*O47+0.1*O48</f>
        <v>5.58</v>
      </c>
      <c r="P51" s="2405">
        <f>0.3*P46+0.6*P47+0.1*P48</f>
        <v>6.47</v>
      </c>
    </row>
  </sheetData>
  <mergeCells count="19">
    <mergeCell ref="K43:P43"/>
    <mergeCell ref="A28:C28"/>
    <mergeCell ref="A29:C29"/>
    <mergeCell ref="A30:C30"/>
    <mergeCell ref="A31:C31"/>
    <mergeCell ref="A32:C32"/>
    <mergeCell ref="K33:P33"/>
    <mergeCell ref="A27:C27"/>
    <mergeCell ref="K4:Q5"/>
    <mergeCell ref="B5:E5"/>
    <mergeCell ref="M14:Q17"/>
    <mergeCell ref="A18:E18"/>
    <mergeCell ref="A20:C20"/>
    <mergeCell ref="A21:C21"/>
    <mergeCell ref="A22:C22"/>
    <mergeCell ref="A23:C23"/>
    <mergeCell ref="A24:C24"/>
    <mergeCell ref="A25:C25"/>
    <mergeCell ref="A26:C26"/>
  </mergeCells>
  <dataValidations disablePrompts="1" count="1">
    <dataValidation type="list" allowBlank="1" showInputMessage="1" showErrorMessage="1" sqref="F7:F11 Q7:Q11" xr:uid="{4F3311FB-F343-4B1A-8033-678BE94F2708}">
      <formula1>$A$36:$A$41</formula1>
    </dataValidation>
  </dataValidations>
  <hyperlinks>
    <hyperlink ref="A1" location="'Measure-Level Adjustments'!Print_Titles" display="Measure Level Tab" xr:uid="{8DD87996-4AD6-4407-ACA0-E56326F2D850}"/>
  </hyperlinks>
  <pageMargins left="0.7" right="0.7" top="0.75" bottom="0.75" header="0.3" footer="0.3"/>
  <pageSetup orientation="portrait" horizontalDpi="4294967293" verticalDpi="0"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50"/>
    <pageSetUpPr fitToPage="1"/>
  </sheetPr>
  <dimension ref="A1:BB152"/>
  <sheetViews>
    <sheetView view="pageBreakPreview" zoomScale="90" zoomScaleNormal="100" zoomScaleSheetLayoutView="90" workbookViewId="0"/>
  </sheetViews>
  <sheetFormatPr defaultRowHeight="14.5" x14ac:dyDescent="0.35"/>
  <cols>
    <col min="1" max="1" width="22.81640625" customWidth="1"/>
    <col min="2" max="2" width="62.1796875" customWidth="1"/>
    <col min="3" max="4" width="27.453125" customWidth="1"/>
    <col min="5" max="5" width="10.26953125" customWidth="1"/>
    <col min="6" max="7" width="11.7265625" customWidth="1"/>
    <col min="8" max="8" width="13.26953125" customWidth="1"/>
    <col min="9" max="9" width="14.453125" customWidth="1"/>
    <col min="10" max="10" width="11.7265625" customWidth="1"/>
    <col min="13" max="13" width="9.54296875" customWidth="1"/>
    <col min="14" max="14" width="11.453125" customWidth="1"/>
    <col min="16" max="16" width="12" customWidth="1"/>
    <col min="17" max="17" width="11.453125" bestFit="1" customWidth="1"/>
    <col min="18" max="18" width="11.1796875" bestFit="1" customWidth="1"/>
    <col min="19" max="19" width="12" customWidth="1"/>
    <col min="20" max="21" width="11.26953125" bestFit="1" customWidth="1"/>
    <col min="22" max="22" width="10.81640625" customWidth="1"/>
    <col min="23" max="23" width="11.1796875" bestFit="1" customWidth="1"/>
    <col min="24" max="24" width="11.1796875" customWidth="1"/>
    <col min="25" max="25" width="12.26953125" customWidth="1"/>
    <col min="26" max="26" width="11.26953125" bestFit="1" customWidth="1"/>
    <col min="27" max="28" width="12.7265625" customWidth="1"/>
    <col min="29" max="29" width="10.1796875" bestFit="1" customWidth="1"/>
    <col min="31" max="31" width="10.54296875" bestFit="1" customWidth="1"/>
    <col min="32" max="32" width="12.81640625" customWidth="1"/>
  </cols>
  <sheetData>
    <row r="1" spans="1:54" x14ac:dyDescent="0.35">
      <c r="A1" s="1799" t="s">
        <v>1031</v>
      </c>
    </row>
    <row r="2" spans="1:54" x14ac:dyDescent="0.35">
      <c r="A2" s="969" t="s">
        <v>675</v>
      </c>
      <c r="B2" s="968" t="s">
        <v>4305</v>
      </c>
      <c r="C2" s="968"/>
      <c r="D2" s="968"/>
      <c r="E2" s="968"/>
      <c r="F2" s="967"/>
      <c r="G2" s="967"/>
      <c r="H2" s="967"/>
      <c r="I2" s="967"/>
      <c r="J2" s="967"/>
      <c r="K2" s="967"/>
      <c r="L2" s="967"/>
      <c r="M2" s="967"/>
      <c r="N2" s="967"/>
      <c r="O2" s="967"/>
      <c r="P2" s="967"/>
      <c r="Q2" s="967"/>
      <c r="R2" s="967"/>
      <c r="S2" s="967"/>
      <c r="T2" s="967"/>
      <c r="U2" s="967"/>
      <c r="V2" s="967"/>
      <c r="W2" s="967"/>
      <c r="X2" s="967"/>
      <c r="Y2" s="3067" t="s">
        <v>1032</v>
      </c>
      <c r="Z2" s="3067"/>
      <c r="AA2" s="3067"/>
      <c r="AB2" s="970"/>
      <c r="AC2" s="3067" t="s">
        <v>1033</v>
      </c>
      <c r="AD2" s="3067"/>
      <c r="AE2" s="3010"/>
      <c r="AF2" s="1648"/>
      <c r="AG2" s="3294" t="s">
        <v>1158</v>
      </c>
      <c r="AH2" s="3015"/>
      <c r="AI2" s="3015"/>
      <c r="AJ2" s="3015"/>
      <c r="AK2" s="3015"/>
      <c r="AL2" s="3015"/>
      <c r="AM2" s="3015"/>
      <c r="AN2" s="3015"/>
      <c r="AO2" s="3015"/>
      <c r="AP2" s="3015"/>
      <c r="AQ2" s="3015"/>
      <c r="AR2" s="3015"/>
      <c r="AS2" s="3015"/>
      <c r="AT2" s="3015"/>
      <c r="AU2" s="3015"/>
      <c r="AV2" s="3015"/>
      <c r="AW2" s="3015"/>
      <c r="AX2" s="3015"/>
      <c r="AY2" s="3015"/>
      <c r="AZ2" s="3015"/>
    </row>
    <row r="3" spans="1:54" ht="78.5" x14ac:dyDescent="0.35">
      <c r="A3" s="969" t="s">
        <v>1035</v>
      </c>
      <c r="B3" s="969" t="s">
        <v>155</v>
      </c>
      <c r="C3" s="953" t="s">
        <v>1036</v>
      </c>
      <c r="D3" s="953" t="s">
        <v>1752</v>
      </c>
      <c r="E3" s="998" t="s">
        <v>4306</v>
      </c>
      <c r="F3" s="952" t="s">
        <v>1038</v>
      </c>
      <c r="G3" s="952" t="s">
        <v>4307</v>
      </c>
      <c r="H3" s="952" t="s">
        <v>4308</v>
      </c>
      <c r="I3" s="1037" t="s">
        <v>4309</v>
      </c>
      <c r="J3" s="1037" t="s">
        <v>4310</v>
      </c>
      <c r="K3" s="1037" t="s">
        <v>4311</v>
      </c>
      <c r="L3" s="1037" t="s">
        <v>4312</v>
      </c>
      <c r="M3" s="952" t="s">
        <v>1684</v>
      </c>
      <c r="N3" s="952" t="s">
        <v>2810</v>
      </c>
      <c r="O3" s="952" t="s">
        <v>4117</v>
      </c>
      <c r="P3" s="952" t="s">
        <v>4118</v>
      </c>
      <c r="Q3" s="952" t="s">
        <v>4119</v>
      </c>
      <c r="R3" s="952" t="s">
        <v>4120</v>
      </c>
      <c r="S3" s="952" t="s">
        <v>4313</v>
      </c>
      <c r="T3" s="952" t="s">
        <v>1360</v>
      </c>
      <c r="U3" s="952" t="s">
        <v>1570</v>
      </c>
      <c r="V3" s="952" t="s">
        <v>4314</v>
      </c>
      <c r="W3" s="952" t="s">
        <v>1039</v>
      </c>
      <c r="X3" s="969" t="s">
        <v>1041</v>
      </c>
      <c r="Y3" s="970" t="s">
        <v>1044</v>
      </c>
      <c r="Z3" s="970" t="s">
        <v>1045</v>
      </c>
      <c r="AA3" s="970" t="s">
        <v>1046</v>
      </c>
      <c r="AB3" s="2750" t="s">
        <v>3183</v>
      </c>
      <c r="AC3" s="970" t="s">
        <v>1044</v>
      </c>
      <c r="AD3" s="970" t="s">
        <v>1045</v>
      </c>
      <c r="AE3" s="971" t="s">
        <v>1046</v>
      </c>
      <c r="AF3" s="2750" t="s">
        <v>4123</v>
      </c>
      <c r="AG3" s="301" t="s">
        <v>4315</v>
      </c>
      <c r="AH3" s="301" t="s">
        <v>4316</v>
      </c>
      <c r="AI3" s="301" t="s">
        <v>4317</v>
      </c>
      <c r="AJ3" s="301" t="s">
        <v>4318</v>
      </c>
      <c r="AK3" s="301" t="s">
        <v>4319</v>
      </c>
      <c r="AL3" s="301" t="s">
        <v>4320</v>
      </c>
      <c r="AM3" s="301" t="s">
        <v>4321</v>
      </c>
      <c r="AN3" s="301" t="s">
        <v>4322</v>
      </c>
      <c r="AO3" s="301" t="s">
        <v>4323</v>
      </c>
      <c r="AP3" s="349" t="s">
        <v>4129</v>
      </c>
      <c r="AQ3" s="349" t="s">
        <v>4130</v>
      </c>
      <c r="AR3" s="349" t="s">
        <v>3200</v>
      </c>
      <c r="AS3" s="349" t="s">
        <v>4324</v>
      </c>
      <c r="AT3" s="301" t="s">
        <v>4325</v>
      </c>
      <c r="AU3" s="349" t="s">
        <v>4133</v>
      </c>
      <c r="AV3" s="301" t="s">
        <v>4326</v>
      </c>
      <c r="AW3" s="349" t="s">
        <v>4135</v>
      </c>
      <c r="AX3" s="349" t="s">
        <v>1179</v>
      </c>
      <c r="AY3" s="301" t="s">
        <v>4327</v>
      </c>
      <c r="AZ3" s="301" t="s">
        <v>4328</v>
      </c>
      <c r="BA3" s="973"/>
      <c r="BB3" s="55"/>
    </row>
    <row r="4" spans="1:54" ht="36.5" x14ac:dyDescent="0.35">
      <c r="A4" s="966" t="s">
        <v>937</v>
      </c>
      <c r="B4" s="2112" t="str">
        <f>$B$1&amp;", R-value = "&amp;H4&amp;", "&amp;E4&amp;" sq ft of insulation, "&amp;T4&amp;","&amp;" Joint"</f>
        <v>, R-value = 13, 329 sq ft of insulation, Single Family, Joint</v>
      </c>
      <c r="C4" s="1798" t="s">
        <v>936</v>
      </c>
      <c r="D4" s="957" t="s">
        <v>4142</v>
      </c>
      <c r="E4" s="1114">
        <v>329</v>
      </c>
      <c r="F4" s="961" t="s">
        <v>1632</v>
      </c>
      <c r="G4" s="69" t="s">
        <v>4329</v>
      </c>
      <c r="H4" s="1115">
        <v>13</v>
      </c>
      <c r="I4" s="1115">
        <v>41.125</v>
      </c>
      <c r="J4" s="1115">
        <v>2</v>
      </c>
      <c r="K4" s="1115">
        <v>6</v>
      </c>
      <c r="L4" s="69" t="b">
        <v>0</v>
      </c>
      <c r="M4" s="973" t="s">
        <v>1696</v>
      </c>
      <c r="N4" s="972" t="s">
        <v>1529</v>
      </c>
      <c r="O4" s="972" t="s">
        <v>3174</v>
      </c>
      <c r="P4" s="972" t="s">
        <v>3300</v>
      </c>
      <c r="Q4" s="973" t="s">
        <v>3298</v>
      </c>
      <c r="R4" s="973" t="s">
        <v>3301</v>
      </c>
      <c r="S4" s="973" t="s">
        <v>4330</v>
      </c>
      <c r="T4" s="972" t="s">
        <v>3318</v>
      </c>
      <c r="U4" s="1080"/>
      <c r="V4" s="1080" t="s">
        <v>4331</v>
      </c>
      <c r="W4" s="2217">
        <f>AE4/AA4</f>
        <v>20</v>
      </c>
      <c r="X4" s="1040" t="s">
        <v>3222</v>
      </c>
      <c r="Y4" s="1116"/>
      <c r="Z4" s="1055"/>
      <c r="AA4" s="977">
        <f>IF(N4=$B$93,(((1/AL4-1/(AK4+AL4))*AM4*AN4*(1-AO4)+(1/AS4-1/(AK4+AS4))*AM4*(AT4-AN4)*(1-AO4))*24*AU4/(AY4*100067))*AI4,0)</f>
        <v>42.492434222767052</v>
      </c>
      <c r="AB4" s="2733">
        <f>IF(N4=$B$93,(((1/AL4-1/(AK4+AL4))*AM4*AN4*(1-AO4)+(1/AS4-1/(AK4+AS4))*AM4*(AT4-AN4)*(1-AO4))*24*AU4/($B$59*100067))*AI4,0)</f>
        <v>42.492434222767052</v>
      </c>
      <c r="AC4" s="977"/>
      <c r="AD4" s="1055"/>
      <c r="AE4" s="2216">
        <f>AA4*$B$63</f>
        <v>849.84868445534107</v>
      </c>
      <c r="AF4" s="2645">
        <f>AA4*10+AB4*10</f>
        <v>849.84868445534107</v>
      </c>
      <c r="AG4" s="621"/>
      <c r="AH4" s="621"/>
      <c r="AI4" s="376">
        <f>+$B$24</f>
        <v>0.6</v>
      </c>
      <c r="AJ4" s="376">
        <f>+$B$26</f>
        <v>0.8</v>
      </c>
      <c r="AK4" s="302">
        <f>H4</f>
        <v>13</v>
      </c>
      <c r="AL4" s="49">
        <f>+$B$30</f>
        <v>1</v>
      </c>
      <c r="AM4" s="302">
        <f t="shared" ref="AM4:AN7" si="0">I4</f>
        <v>41.125</v>
      </c>
      <c r="AN4" s="302">
        <f t="shared" si="0"/>
        <v>2</v>
      </c>
      <c r="AO4" s="49">
        <f>+VLOOKUP(G4,$B$89:$C$90,2)</f>
        <v>0.25</v>
      </c>
      <c r="AP4" s="49">
        <f>VLOOKUP(M4,$B$74:$D$80,IF(L4=$B$109,2,3),FALSE)</f>
        <v>291.10000000000002</v>
      </c>
      <c r="AQ4" s="49">
        <f>+$B$40</f>
        <v>0.75</v>
      </c>
      <c r="AR4" s="49" t="e">
        <f>IF(O4=$A$103,VLOOKUP(P4,C$128:$D$130,2,FALSE),IF(O4=$A$104,VLOOKUP(P4,$C$131:$D$133,2,FALSE)))</f>
        <v>#N/A</v>
      </c>
      <c r="AS4" s="49">
        <f>HLOOKUP(INT(K4),$C$115:$K$118,4,FALSE)</f>
        <v>9.4600000000000009</v>
      </c>
      <c r="AT4" s="302">
        <f>J4+K4</f>
        <v>8</v>
      </c>
      <c r="AU4" s="49">
        <f>VLOOKUP(M4,$B$74:$F$80,IF(L4=$B$109,4,5),FALSE)</f>
        <v>3099</v>
      </c>
      <c r="AV4" s="49">
        <f>IF(R4=$B$124,1,VLOOKUP(Q4,$C$121:$E$123,3,FALSE))</f>
        <v>1</v>
      </c>
      <c r="AW4" s="49">
        <f>VLOOKUP(M4,$B$74:$H$80,IF(T4=$B$97,6,7),FALSE)</f>
        <v>568.6</v>
      </c>
      <c r="AX4" s="247">
        <f>IF(V4=$B$103, IF(O4=$A$103, $C$103,$C$104),$C$105)</f>
        <v>0.72</v>
      </c>
      <c r="AY4" s="291">
        <f>+$B$57</f>
        <v>0.72</v>
      </c>
      <c r="AZ4" s="291">
        <f>$B$61</f>
        <v>1</v>
      </c>
      <c r="BA4" s="159"/>
    </row>
    <row r="5" spans="1:54" ht="29" x14ac:dyDescent="0.35">
      <c r="A5" s="966" t="s">
        <v>674</v>
      </c>
      <c r="B5" s="2152" t="str">
        <f>$B$1&amp;", R-value = "&amp;H5&amp;", "&amp;E5&amp;" sq ft of insulation, "&amp;T5</f>
        <v>, R-value = 13, 329 sq ft of insulation, Single Family</v>
      </c>
      <c r="C5" s="143" t="s">
        <v>673</v>
      </c>
      <c r="D5" s="957" t="s">
        <v>4142</v>
      </c>
      <c r="E5" s="1114">
        <v>329</v>
      </c>
      <c r="F5" s="961" t="s">
        <v>1632</v>
      </c>
      <c r="G5" s="69" t="s">
        <v>4329</v>
      </c>
      <c r="H5" s="1115">
        <v>13</v>
      </c>
      <c r="I5" s="1115">
        <v>41.125</v>
      </c>
      <c r="J5" s="1115">
        <v>2</v>
      </c>
      <c r="K5" s="1115">
        <v>6</v>
      </c>
      <c r="L5" s="69" t="b">
        <v>0</v>
      </c>
      <c r="M5" s="973" t="s">
        <v>1696</v>
      </c>
      <c r="N5" s="972" t="s">
        <v>1529</v>
      </c>
      <c r="O5" s="972" t="s">
        <v>3174</v>
      </c>
      <c r="P5" s="972" t="s">
        <v>3300</v>
      </c>
      <c r="Q5" s="973" t="s">
        <v>3298</v>
      </c>
      <c r="R5" s="973" t="s">
        <v>3301</v>
      </c>
      <c r="S5" s="973" t="s">
        <v>4330</v>
      </c>
      <c r="T5" s="972" t="s">
        <v>3318</v>
      </c>
      <c r="U5" s="1080"/>
      <c r="V5" s="1080" t="s">
        <v>4331</v>
      </c>
      <c r="W5" s="2217">
        <f>AE5/AA5</f>
        <v>20</v>
      </c>
      <c r="X5" s="1040"/>
      <c r="Y5" s="1116"/>
      <c r="Z5" s="1055"/>
      <c r="AA5" s="977">
        <f>IF(N5=$B$93,(((1/AL5-1/(AK5+AL5))*AM5*AN5*(1-AO5)+(1/AS5-1/(AK5+AS5))*AM5*(AT5-AN5)*(1-AO5))*24*AU5/(AY5*100067))*AI5,0)</f>
        <v>42.492434222767052</v>
      </c>
      <c r="AB5" s="2733">
        <f t="shared" ref="AB5:AB7" si="1">IF(N5=$B$93,(((1/AL5-1/(AK5+AL5))*AM5*AN5*(1-AO5)+(1/AS5-1/(AK5+AS5))*AM5*(AT5-AN5)*(1-AO5))*24*AU5/($B$59*100067))*AI5,0)</f>
        <v>42.492434222767052</v>
      </c>
      <c r="AC5" s="977"/>
      <c r="AD5" s="2184"/>
      <c r="AE5" s="2216">
        <f t="shared" ref="AE5:AE7" si="2">AA5*$B$63</f>
        <v>849.84868445534107</v>
      </c>
      <c r="AF5" s="2645">
        <f t="shared" ref="AF5:AF7" si="3">AA5*10+AB5*10</f>
        <v>849.84868445534107</v>
      </c>
      <c r="AG5" s="621"/>
      <c r="AH5" s="621"/>
      <c r="AI5" s="376">
        <f>+$B$24</f>
        <v>0.6</v>
      </c>
      <c r="AJ5" s="376">
        <f>+$B$26</f>
        <v>0.8</v>
      </c>
      <c r="AK5" s="302">
        <f>H5</f>
        <v>13</v>
      </c>
      <c r="AL5" s="49">
        <f>+$B$30</f>
        <v>1</v>
      </c>
      <c r="AM5" s="302">
        <f t="shared" si="0"/>
        <v>41.125</v>
      </c>
      <c r="AN5" s="302">
        <f t="shared" si="0"/>
        <v>2</v>
      </c>
      <c r="AO5" s="49">
        <f>+VLOOKUP(G5,$B$89:$C$90,2)</f>
        <v>0.25</v>
      </c>
      <c r="AP5" s="49">
        <f>VLOOKUP(M5,$B$74:$D$80,IF(L5=$B$109,2,3),FALSE)</f>
        <v>291.10000000000002</v>
      </c>
      <c r="AQ5" s="49">
        <f>+$B$40</f>
        <v>0.75</v>
      </c>
      <c r="AR5" s="49" t="e">
        <f>IF(O5=$A$103,VLOOKUP(P5,C$128:$D$130,2,FALSE),IF(O5=$A$104,VLOOKUP(P5,$C$131:$D$133,2,FALSE)))</f>
        <v>#N/A</v>
      </c>
      <c r="AS5" s="49">
        <f>HLOOKUP(INT(K5),$C$115:$K$118,4,FALSE)</f>
        <v>9.4600000000000009</v>
      </c>
      <c r="AT5" s="302">
        <f>J5+K5</f>
        <v>8</v>
      </c>
      <c r="AU5" s="49">
        <f>VLOOKUP(M5,$B$74:$F$80,IF(L5=$B$109,4,5),FALSE)</f>
        <v>3099</v>
      </c>
      <c r="AV5" s="49">
        <f>IF(R5=$B$124,1,VLOOKUP(Q5,$C$121:$E$123,3,FALSE))</f>
        <v>1</v>
      </c>
      <c r="AW5" s="49">
        <f>VLOOKUP(M5,$B$74:$H$80,IF(T5=$B$97,6,7),FALSE)</f>
        <v>568.6</v>
      </c>
      <c r="AX5" s="247">
        <f>IF(V5=$B$103, IF(O5=$A$103, $C$103,$C$104),$C$105)</f>
        <v>0.72</v>
      </c>
      <c r="AY5" s="291">
        <f>+$B$57</f>
        <v>0.72</v>
      </c>
      <c r="AZ5" s="291">
        <f t="shared" ref="AZ5:AZ7" si="4">$B$61</f>
        <v>1</v>
      </c>
      <c r="BA5" s="159"/>
    </row>
    <row r="6" spans="1:54" ht="29" x14ac:dyDescent="0.35">
      <c r="A6" s="966" t="s">
        <v>849</v>
      </c>
      <c r="B6" s="2152" t="str">
        <f>$B$1&amp;", R-value = "&amp;H6&amp;", "&amp;E6&amp;" sq ft of insulation, "&amp;T6</f>
        <v>, R-value = 13, 326 sq ft of insulation, Single Family</v>
      </c>
      <c r="C6" s="143" t="s">
        <v>848</v>
      </c>
      <c r="D6" s="957" t="s">
        <v>4142</v>
      </c>
      <c r="E6" s="1114">
        <v>326</v>
      </c>
      <c r="F6" s="961" t="s">
        <v>1632</v>
      </c>
      <c r="G6" s="69" t="s">
        <v>4329</v>
      </c>
      <c r="H6" s="1115">
        <v>13</v>
      </c>
      <c r="I6" s="1115">
        <v>54.333333333333336</v>
      </c>
      <c r="J6" s="1115">
        <v>1</v>
      </c>
      <c r="K6" s="1115">
        <v>5</v>
      </c>
      <c r="L6" s="69" t="b">
        <v>0</v>
      </c>
      <c r="M6" s="973" t="s">
        <v>1696</v>
      </c>
      <c r="N6" s="972" t="s">
        <v>1529</v>
      </c>
      <c r="O6" s="972" t="s">
        <v>3174</v>
      </c>
      <c r="P6" s="972" t="s">
        <v>3300</v>
      </c>
      <c r="Q6" s="973" t="s">
        <v>3298</v>
      </c>
      <c r="R6" s="973" t="s">
        <v>3301</v>
      </c>
      <c r="S6" s="973" t="s">
        <v>4330</v>
      </c>
      <c r="T6" s="972" t="s">
        <v>3318</v>
      </c>
      <c r="U6" s="1080"/>
      <c r="V6" s="1080" t="s">
        <v>4331</v>
      </c>
      <c r="W6" s="2217">
        <f>AE6/AA6</f>
        <v>20</v>
      </c>
      <c r="X6" s="1040"/>
      <c r="Y6" s="1116"/>
      <c r="Z6" s="1055"/>
      <c r="AA6" s="977">
        <f>IF(N6=$B$93,(((1/AL6-1/(AK6+AL6))*AM6*AN6*(1-AO6)+(1/AS6-1/(AK6+AS6))*AM6*(AT6-AN6)*(1-AO6))*24*AU6/(AY6*100067))*AI6,0)</f>
        <v>32.473614073173309</v>
      </c>
      <c r="AB6" s="2733">
        <f t="shared" si="1"/>
        <v>32.473614073173309</v>
      </c>
      <c r="AC6" s="977"/>
      <c r="AD6" s="2184"/>
      <c r="AE6" s="2216">
        <f t="shared" si="2"/>
        <v>649.47228146346617</v>
      </c>
      <c r="AF6" s="2645">
        <f t="shared" si="3"/>
        <v>649.47228146346617</v>
      </c>
      <c r="AG6" s="621"/>
      <c r="AH6" s="621"/>
      <c r="AI6" s="376">
        <f>+$B$24</f>
        <v>0.6</v>
      </c>
      <c r="AJ6" s="376">
        <f>+$B$26</f>
        <v>0.8</v>
      </c>
      <c r="AK6" s="302">
        <f>H6</f>
        <v>13</v>
      </c>
      <c r="AL6" s="49">
        <f>+$B$30</f>
        <v>1</v>
      </c>
      <c r="AM6" s="302">
        <f t="shared" si="0"/>
        <v>54.333333333333336</v>
      </c>
      <c r="AN6" s="302">
        <f t="shared" si="0"/>
        <v>1</v>
      </c>
      <c r="AO6" s="49">
        <f>+VLOOKUP(G6,$B$89:$C$90,2)</f>
        <v>0.25</v>
      </c>
      <c r="AP6" s="49">
        <f>VLOOKUP(M6,$B$74:$D$80,IF(L6=$B$109,2,3),FALSE)</f>
        <v>291.10000000000002</v>
      </c>
      <c r="AQ6" s="49">
        <f>+$B$40</f>
        <v>0.75</v>
      </c>
      <c r="AR6" s="49" t="e">
        <f>IF(O6=$A$103,VLOOKUP(P6,C$128:$D$130,2,FALSE),IF(O6=$A$104,VLOOKUP(P6,$C$131:$D$133,2,FALSE)))</f>
        <v>#N/A</v>
      </c>
      <c r="AS6" s="49">
        <f>HLOOKUP(INT(K6),$C$115:$K$118,4,FALSE)</f>
        <v>8.4600000000000009</v>
      </c>
      <c r="AT6" s="302">
        <f>J6+K6</f>
        <v>6</v>
      </c>
      <c r="AU6" s="49">
        <f>VLOOKUP(M6,$B$74:$F$80,IF(L6=$B$109,4,5),FALSE)</f>
        <v>3099</v>
      </c>
      <c r="AV6" s="49">
        <f>IF(R6=$B$124,1,VLOOKUP(Q6,$C$121:$E$123,3,FALSE))</f>
        <v>1</v>
      </c>
      <c r="AW6" s="49">
        <f>VLOOKUP(M6,$B$74:$H$80,IF(T6=$B$97,6,7),FALSE)</f>
        <v>568.6</v>
      </c>
      <c r="AX6" s="247">
        <f>IF(V6=$B$103, IF(O6=$A$103, $C$103,$C$104),$C$105)</f>
        <v>0.72</v>
      </c>
      <c r="AY6" s="291">
        <f>+$B$57</f>
        <v>0.72</v>
      </c>
      <c r="AZ6" s="291">
        <f t="shared" si="4"/>
        <v>1</v>
      </c>
      <c r="BA6" s="159"/>
    </row>
    <row r="7" spans="1:54" ht="29" x14ac:dyDescent="0.35">
      <c r="A7" s="966" t="s">
        <v>872</v>
      </c>
      <c r="B7" s="2152" t="str">
        <f>$B$1&amp;", R-value = "&amp;H7&amp;", "&amp;E7&amp;" sq ft of insulation, "&amp;T7</f>
        <v>, R-value = 13, 388 sq ft of insulation, Single Family</v>
      </c>
      <c r="C7" s="143" t="s">
        <v>871</v>
      </c>
      <c r="D7" s="957" t="s">
        <v>4142</v>
      </c>
      <c r="E7" s="1114">
        <v>388</v>
      </c>
      <c r="F7" s="961" t="s">
        <v>1632</v>
      </c>
      <c r="G7" s="69" t="s">
        <v>4329</v>
      </c>
      <c r="H7" s="1115">
        <v>13</v>
      </c>
      <c r="I7" s="1115">
        <v>64.666666666666671</v>
      </c>
      <c r="J7" s="1115">
        <v>1</v>
      </c>
      <c r="K7" s="1115">
        <v>5</v>
      </c>
      <c r="L7" s="69" t="b">
        <v>0</v>
      </c>
      <c r="M7" s="973" t="s">
        <v>1696</v>
      </c>
      <c r="N7" s="972" t="s">
        <v>1529</v>
      </c>
      <c r="O7" s="972" t="s">
        <v>3174</v>
      </c>
      <c r="P7" s="972" t="s">
        <v>3300</v>
      </c>
      <c r="Q7" s="973" t="s">
        <v>3298</v>
      </c>
      <c r="R7" s="973" t="s">
        <v>3301</v>
      </c>
      <c r="S7" s="973" t="s">
        <v>4330</v>
      </c>
      <c r="T7" s="972" t="s">
        <v>3318</v>
      </c>
      <c r="U7" s="1080"/>
      <c r="V7" s="1080" t="s">
        <v>4331</v>
      </c>
      <c r="W7" s="2217">
        <f>AE7/AA7</f>
        <v>20</v>
      </c>
      <c r="X7" s="1040"/>
      <c r="Y7" s="1116"/>
      <c r="Z7" s="1055"/>
      <c r="AA7" s="977">
        <f>IF(N7=$B$93,(((1/AL7-1/(AK7+AL7))*AM7*AN7*(1-AO7)+(1/AS7-1/(AK7+AS7))*AM7*(AT7-AN7)*(1-AO7))*24*AU7/(AY7*100067))*AI7,0)</f>
        <v>38.649577485862721</v>
      </c>
      <c r="AB7" s="2733">
        <f t="shared" si="1"/>
        <v>38.649577485862721</v>
      </c>
      <c r="AC7" s="977"/>
      <c r="AD7" s="2184"/>
      <c r="AE7" s="2216">
        <f t="shared" si="2"/>
        <v>772.99154971725443</v>
      </c>
      <c r="AF7" s="2645">
        <f t="shared" si="3"/>
        <v>772.99154971725443</v>
      </c>
      <c r="AG7" s="621"/>
      <c r="AH7" s="621"/>
      <c r="AI7" s="376">
        <f>+$B$24</f>
        <v>0.6</v>
      </c>
      <c r="AJ7" s="376">
        <f>+$B$26</f>
        <v>0.8</v>
      </c>
      <c r="AK7" s="302">
        <f>H7</f>
        <v>13</v>
      </c>
      <c r="AL7" s="49">
        <f>+$B$30</f>
        <v>1</v>
      </c>
      <c r="AM7" s="302">
        <f t="shared" si="0"/>
        <v>64.666666666666671</v>
      </c>
      <c r="AN7" s="302">
        <f t="shared" si="0"/>
        <v>1</v>
      </c>
      <c r="AO7" s="49">
        <f>+VLOOKUP(G7,$B$89:$C$90,2)</f>
        <v>0.25</v>
      </c>
      <c r="AP7" s="49">
        <f>VLOOKUP(M7,$B$74:$D$80,IF(L7=$B$109,2,3),FALSE)</f>
        <v>291.10000000000002</v>
      </c>
      <c r="AQ7" s="49">
        <f>+$B$40</f>
        <v>0.75</v>
      </c>
      <c r="AR7" s="49" t="e">
        <f>IF(O7=$A$103,VLOOKUP(P7,C$128:$D$130,2,FALSE),IF(O7=$A$104,VLOOKUP(P7,$C$131:$D$133,2,FALSE)))</f>
        <v>#N/A</v>
      </c>
      <c r="AS7" s="49">
        <f>HLOOKUP(INT(K7),$C$115:$K$118,4,FALSE)</f>
        <v>8.4600000000000009</v>
      </c>
      <c r="AT7" s="302">
        <f>J7+K7</f>
        <v>6</v>
      </c>
      <c r="AU7" s="49">
        <f>VLOOKUP(M7,$B$74:$F$80,IF(L7=$B$109,4,5),FALSE)</f>
        <v>3099</v>
      </c>
      <c r="AV7" s="49">
        <f>IF(R7=$B$124,1,VLOOKUP(Q7,$C$121:$E$123,3,FALSE))</f>
        <v>1</v>
      </c>
      <c r="AW7" s="49">
        <f>VLOOKUP(M7,$B$74:$H$80,IF(T7=$B$97,6,7),FALSE)</f>
        <v>568.6</v>
      </c>
      <c r="AX7" s="247">
        <f>IF(V7=$B$103, IF(O7=$A$103, $C$103,$C$104),$C$105)</f>
        <v>0.72</v>
      </c>
      <c r="AY7" s="291">
        <f>+$B$57</f>
        <v>0.72</v>
      </c>
      <c r="AZ7" s="291">
        <f t="shared" si="4"/>
        <v>1</v>
      </c>
      <c r="BA7" s="159"/>
    </row>
    <row r="8" spans="1:54" ht="15.75" customHeight="1" thickBot="1" x14ac:dyDescent="0.4"/>
    <row r="9" spans="1:54" ht="15" thickBot="1" x14ac:dyDescent="0.4">
      <c r="A9" s="62" t="s">
        <v>1188</v>
      </c>
      <c r="B9" s="64"/>
      <c r="C9" s="64"/>
      <c r="D9" s="64"/>
      <c r="E9" s="64"/>
      <c r="F9" s="64"/>
      <c r="G9" s="64"/>
      <c r="H9" s="1100"/>
      <c r="I9" s="64"/>
      <c r="J9" s="64"/>
      <c r="K9" s="64"/>
      <c r="L9" s="64"/>
      <c r="M9" s="65"/>
    </row>
    <row r="10" spans="1:54" x14ac:dyDescent="0.35">
      <c r="A10" s="67" t="s">
        <v>4332</v>
      </c>
      <c r="B10" s="68"/>
      <c r="C10" s="69"/>
      <c r="D10" s="69"/>
      <c r="E10" s="69"/>
      <c r="F10" s="69"/>
      <c r="G10" s="69"/>
      <c r="H10" s="69"/>
      <c r="I10" s="69"/>
      <c r="J10" s="69"/>
      <c r="K10" s="69"/>
      <c r="L10" s="69"/>
      <c r="M10" s="70"/>
      <c r="U10" s="53"/>
    </row>
    <row r="11" spans="1:54" x14ac:dyDescent="0.35">
      <c r="A11" s="67" t="s">
        <v>4333</v>
      </c>
      <c r="B11" s="69"/>
      <c r="C11" s="69"/>
      <c r="D11" s="69"/>
      <c r="E11" s="69"/>
      <c r="F11" s="69"/>
      <c r="G11" s="69"/>
      <c r="H11" s="69"/>
      <c r="I11" s="69"/>
      <c r="J11" s="69"/>
      <c r="K11" s="69"/>
      <c r="L11" s="69"/>
      <c r="M11" s="70"/>
    </row>
    <row r="12" spans="1:54" ht="27" customHeight="1" x14ac:dyDescent="0.35">
      <c r="A12" s="3023" t="s">
        <v>4334</v>
      </c>
      <c r="B12" s="3017"/>
      <c r="C12" s="3017"/>
      <c r="D12" s="3017"/>
      <c r="E12" s="3017"/>
      <c r="F12" s="3017"/>
      <c r="G12" s="3017"/>
      <c r="H12" s="3017"/>
      <c r="I12" s="3017"/>
      <c r="J12" s="3017"/>
      <c r="K12" s="3017"/>
      <c r="L12" s="3017"/>
      <c r="M12" s="3024"/>
    </row>
    <row r="13" spans="1:54" x14ac:dyDescent="0.35">
      <c r="A13" s="67" t="s">
        <v>4168</v>
      </c>
      <c r="B13" s="68"/>
      <c r="C13" s="69"/>
      <c r="D13" s="69"/>
      <c r="E13" s="69"/>
      <c r="F13" s="69"/>
      <c r="G13" s="69"/>
      <c r="H13" s="69"/>
      <c r="I13" s="69"/>
      <c r="J13" s="69"/>
      <c r="K13" s="69"/>
      <c r="L13" s="69"/>
      <c r="M13" s="70"/>
    </row>
    <row r="14" spans="1:54" ht="23.25" customHeight="1" x14ac:dyDescent="0.35">
      <c r="A14" s="3023" t="s">
        <v>4335</v>
      </c>
      <c r="B14" s="3017"/>
      <c r="C14" s="3017"/>
      <c r="D14" s="3017"/>
      <c r="E14" s="3017"/>
      <c r="F14" s="3017"/>
      <c r="G14" s="3017"/>
      <c r="H14" s="3017"/>
      <c r="I14" s="3017"/>
      <c r="J14" s="3017"/>
      <c r="K14" s="3017"/>
      <c r="L14" s="3017"/>
      <c r="M14" s="3024"/>
    </row>
    <row r="15" spans="1:54" ht="15" thickBot="1" x14ac:dyDescent="0.4">
      <c r="A15" s="3389"/>
      <c r="B15" s="3390"/>
      <c r="C15" s="3390"/>
      <c r="D15" s="3390"/>
      <c r="E15" s="3390"/>
      <c r="F15" s="3390"/>
      <c r="G15" s="3390"/>
      <c r="H15" s="3390"/>
      <c r="I15" s="3390"/>
      <c r="J15" s="3390"/>
      <c r="K15" s="3390"/>
      <c r="L15" s="3390"/>
      <c r="M15" s="3391"/>
    </row>
    <row r="16" spans="1:54" ht="15" thickBot="1" x14ac:dyDescent="0.4">
      <c r="A16" s="154" t="s">
        <v>1078</v>
      </c>
      <c r="B16" s="1142">
        <f>'Measure-Level Adjustments'!A2</f>
        <v>44592</v>
      </c>
    </row>
    <row r="17" spans="1:16" ht="15" thickBot="1" x14ac:dyDescent="0.4">
      <c r="A17" s="154" t="s">
        <v>1079</v>
      </c>
      <c r="B17" s="577" t="s">
        <v>4336</v>
      </c>
    </row>
    <row r="18" spans="1:16" ht="15" thickBot="1" x14ac:dyDescent="0.4"/>
    <row r="19" spans="1:16" ht="15" thickBot="1" x14ac:dyDescent="0.4">
      <c r="A19" s="74" t="s">
        <v>1285</v>
      </c>
      <c r="B19" s="75" t="s">
        <v>1199</v>
      </c>
      <c r="C19" s="76" t="s">
        <v>1082</v>
      </c>
      <c r="D19" s="64"/>
      <c r="E19" s="64"/>
      <c r="F19" s="64"/>
      <c r="G19" s="64"/>
      <c r="H19" s="64"/>
      <c r="I19" s="64"/>
      <c r="J19" s="64"/>
      <c r="K19" s="64"/>
      <c r="L19" s="64"/>
      <c r="M19" s="64"/>
      <c r="N19" s="64"/>
      <c r="O19" s="64"/>
      <c r="P19" s="65"/>
    </row>
    <row r="20" spans="1:16" x14ac:dyDescent="0.35">
      <c r="A20" s="315" t="s">
        <v>4315</v>
      </c>
      <c r="B20" s="1101"/>
      <c r="C20" s="312" t="s">
        <v>4337</v>
      </c>
      <c r="D20" s="152"/>
      <c r="E20" s="152"/>
      <c r="F20" s="152"/>
      <c r="G20" s="152"/>
      <c r="H20" s="152"/>
      <c r="I20" s="152"/>
      <c r="J20" s="152"/>
      <c r="K20" s="152"/>
      <c r="L20" s="152"/>
      <c r="M20" s="152"/>
      <c r="N20" s="152"/>
      <c r="O20" s="152"/>
      <c r="P20" s="153"/>
    </row>
    <row r="21" spans="1:16" ht="15" thickBot="1" x14ac:dyDescent="0.4">
      <c r="A21" s="1102"/>
      <c r="B21" s="156"/>
      <c r="C21" s="165" t="s">
        <v>4338</v>
      </c>
      <c r="D21" s="156"/>
      <c r="E21" s="156"/>
      <c r="F21" s="156"/>
      <c r="G21" s="156"/>
      <c r="H21" s="156"/>
      <c r="I21" s="156"/>
      <c r="J21" s="156"/>
      <c r="K21" s="156"/>
      <c r="L21" s="156"/>
      <c r="M21" s="156"/>
      <c r="N21" s="156"/>
      <c r="O21" s="156"/>
      <c r="P21" s="157"/>
    </row>
    <row r="22" spans="1:16" x14ac:dyDescent="0.35">
      <c r="A22" s="315" t="s">
        <v>4316</v>
      </c>
      <c r="B22" s="1103"/>
      <c r="C22" s="312" t="s">
        <v>4339</v>
      </c>
      <c r="D22" s="152"/>
      <c r="E22" s="152"/>
      <c r="F22" s="152"/>
      <c r="G22" s="152"/>
      <c r="H22" s="152"/>
      <c r="I22" s="152"/>
      <c r="J22" s="152"/>
      <c r="K22" s="152"/>
      <c r="L22" s="152"/>
      <c r="M22" s="152"/>
      <c r="N22" s="152"/>
      <c r="O22" s="152"/>
      <c r="P22" s="153"/>
    </row>
    <row r="23" spans="1:16" ht="30.75" customHeight="1" thickBot="1" x14ac:dyDescent="0.4">
      <c r="A23" s="1102"/>
      <c r="B23" s="1104"/>
      <c r="C23" s="3396" t="s">
        <v>4340</v>
      </c>
      <c r="D23" s="3396"/>
      <c r="E23" s="3396"/>
      <c r="F23" s="3396"/>
      <c r="G23" s="3396"/>
      <c r="H23" s="3396"/>
      <c r="I23" s="3396"/>
      <c r="J23" s="3396"/>
      <c r="K23" s="3396"/>
      <c r="L23" s="156"/>
      <c r="M23" s="156"/>
      <c r="N23" s="156"/>
      <c r="O23" s="156"/>
      <c r="P23" s="157"/>
    </row>
    <row r="24" spans="1:16" x14ac:dyDescent="0.35">
      <c r="A24" s="315" t="s">
        <v>4341</v>
      </c>
      <c r="B24" s="1117">
        <v>0.6</v>
      </c>
      <c r="C24" s="312" t="s">
        <v>4342</v>
      </c>
      <c r="D24" s="152"/>
      <c r="E24" s="152"/>
      <c r="F24" s="152"/>
      <c r="G24" s="152"/>
      <c r="H24" s="152"/>
      <c r="I24" s="152"/>
      <c r="J24" s="152"/>
      <c r="K24" s="152"/>
      <c r="L24" s="152"/>
      <c r="M24" s="152"/>
      <c r="N24" s="152"/>
      <c r="O24" s="152"/>
      <c r="P24" s="153"/>
    </row>
    <row r="25" spans="1:16" ht="15" thickBot="1" x14ac:dyDescent="0.4">
      <c r="A25" s="1102"/>
      <c r="B25" s="1104"/>
      <c r="C25" s="165" t="s">
        <v>4343</v>
      </c>
      <c r="D25" s="156"/>
      <c r="E25" s="156"/>
      <c r="F25" s="156"/>
      <c r="G25" s="156"/>
      <c r="H25" s="156"/>
      <c r="I25" s="156"/>
      <c r="J25" s="156"/>
      <c r="K25" s="156"/>
      <c r="L25" s="156"/>
      <c r="M25" s="156"/>
      <c r="N25" s="156"/>
      <c r="O25" s="156"/>
      <c r="P25" s="157"/>
    </row>
    <row r="26" spans="1:16" x14ac:dyDescent="0.35">
      <c r="A26" s="1105" t="s">
        <v>4318</v>
      </c>
      <c r="B26" s="1106">
        <v>0.8</v>
      </c>
      <c r="C26" s="318" t="s">
        <v>4344</v>
      </c>
      <c r="D26" s="167"/>
      <c r="E26" s="167"/>
      <c r="F26" s="167"/>
      <c r="G26" s="167"/>
      <c r="H26" s="167"/>
      <c r="I26" s="167"/>
      <c r="J26" s="167"/>
      <c r="K26" s="167"/>
      <c r="L26" s="167"/>
      <c r="M26" s="167"/>
      <c r="N26" s="167"/>
      <c r="O26" s="167"/>
      <c r="P26" s="168"/>
    </row>
    <row r="27" spans="1:16" ht="15" thickBot="1" x14ac:dyDescent="0.4">
      <c r="A27" s="1105"/>
      <c r="B27" s="1106"/>
      <c r="C27" s="318" t="s">
        <v>4345</v>
      </c>
      <c r="D27" s="167"/>
      <c r="E27" s="167"/>
      <c r="F27" s="167"/>
      <c r="G27" s="167"/>
      <c r="H27" s="167"/>
      <c r="I27" s="167"/>
      <c r="J27" s="167"/>
      <c r="K27" s="167"/>
      <c r="L27" s="167"/>
      <c r="M27" s="167"/>
      <c r="N27" s="167"/>
      <c r="O27" s="167"/>
      <c r="P27" s="168"/>
    </row>
    <row r="28" spans="1:16" x14ac:dyDescent="0.35">
      <c r="A28" s="315" t="s">
        <v>4319</v>
      </c>
      <c r="B28" s="316"/>
      <c r="C28" s="312" t="s">
        <v>4346</v>
      </c>
      <c r="D28" s="152"/>
      <c r="E28" s="152"/>
      <c r="F28" s="152"/>
      <c r="G28" s="152"/>
      <c r="H28" s="152"/>
      <c r="I28" s="152"/>
      <c r="J28" s="152"/>
      <c r="K28" s="152"/>
      <c r="L28" s="152"/>
      <c r="M28" s="152"/>
      <c r="N28" s="152"/>
      <c r="O28" s="152"/>
      <c r="P28" s="153"/>
    </row>
    <row r="29" spans="1:16" ht="15" thickBot="1" x14ac:dyDescent="0.4">
      <c r="A29" s="1102"/>
      <c r="B29" s="1104"/>
      <c r="C29" s="165" t="s">
        <v>2854</v>
      </c>
      <c r="D29" s="156"/>
      <c r="E29" s="156"/>
      <c r="F29" s="156"/>
      <c r="G29" s="156"/>
      <c r="H29" s="156"/>
      <c r="I29" s="156"/>
      <c r="J29" s="156"/>
      <c r="K29" s="156"/>
      <c r="L29" s="156"/>
      <c r="M29" s="156"/>
      <c r="N29" s="156"/>
      <c r="O29" s="156"/>
      <c r="P29" s="157"/>
    </row>
    <row r="30" spans="1:16" x14ac:dyDescent="0.35">
      <c r="A30" s="315" t="s">
        <v>4320</v>
      </c>
      <c r="B30" s="152">
        <v>1</v>
      </c>
      <c r="C30" s="312" t="s">
        <v>4347</v>
      </c>
      <c r="D30" s="152"/>
      <c r="E30" s="152"/>
      <c r="F30" s="152"/>
      <c r="G30" s="152"/>
      <c r="H30" s="152"/>
      <c r="I30" s="152"/>
      <c r="J30" s="152"/>
      <c r="K30" s="152"/>
      <c r="L30" s="152"/>
      <c r="M30" s="152"/>
      <c r="N30" s="152"/>
      <c r="O30" s="152"/>
      <c r="P30" s="153"/>
    </row>
    <row r="31" spans="1:16" ht="15" thickBot="1" x14ac:dyDescent="0.4">
      <c r="A31" s="1102"/>
      <c r="B31" s="1104"/>
      <c r="C31" s="165" t="s">
        <v>4348</v>
      </c>
      <c r="D31" s="156"/>
      <c r="E31" s="156"/>
      <c r="F31" s="156"/>
      <c r="G31" s="156"/>
      <c r="H31" s="156"/>
      <c r="I31" s="156"/>
      <c r="J31" s="156"/>
      <c r="K31" s="156"/>
      <c r="L31" s="156"/>
      <c r="M31" s="156"/>
      <c r="N31" s="156"/>
      <c r="O31" s="156"/>
      <c r="P31" s="157"/>
    </row>
    <row r="32" spans="1:16" x14ac:dyDescent="0.35">
      <c r="A32" s="315" t="s">
        <v>4321</v>
      </c>
      <c r="B32" s="316"/>
      <c r="C32" s="312" t="s">
        <v>4309</v>
      </c>
      <c r="D32" s="152"/>
      <c r="E32" s="152"/>
      <c r="F32" s="152"/>
      <c r="G32" s="152"/>
      <c r="H32" s="152"/>
      <c r="I32" s="152"/>
      <c r="J32" s="152"/>
      <c r="K32" s="152"/>
      <c r="L32" s="152"/>
      <c r="M32" s="152"/>
      <c r="N32" s="152"/>
      <c r="O32" s="152"/>
      <c r="P32" s="153"/>
    </row>
    <row r="33" spans="1:16" ht="15" thickBot="1" x14ac:dyDescent="0.4">
      <c r="A33" s="1102"/>
      <c r="B33" s="1104"/>
      <c r="C33" s="165" t="s">
        <v>2854</v>
      </c>
      <c r="D33" s="156"/>
      <c r="E33" s="156"/>
      <c r="F33" s="156"/>
      <c r="G33" s="156"/>
      <c r="H33" s="156"/>
      <c r="I33" s="156"/>
      <c r="J33" s="156"/>
      <c r="K33" s="156"/>
      <c r="L33" s="156"/>
      <c r="M33" s="156"/>
      <c r="N33" s="156"/>
      <c r="O33" s="156"/>
      <c r="P33" s="157"/>
    </row>
    <row r="34" spans="1:16" x14ac:dyDescent="0.35">
      <c r="A34" s="315" t="s">
        <v>4322</v>
      </c>
      <c r="B34" s="316"/>
      <c r="C34" s="312" t="s">
        <v>4310</v>
      </c>
      <c r="D34" s="152"/>
      <c r="E34" s="152"/>
      <c r="F34" s="152"/>
      <c r="G34" s="152"/>
      <c r="H34" s="152"/>
      <c r="I34" s="152"/>
      <c r="J34" s="152"/>
      <c r="K34" s="152"/>
      <c r="L34" s="152"/>
      <c r="M34" s="152"/>
      <c r="N34" s="152"/>
      <c r="O34" s="152"/>
      <c r="P34" s="153"/>
    </row>
    <row r="35" spans="1:16" ht="15" thickBot="1" x14ac:dyDescent="0.4">
      <c r="A35" s="1102"/>
      <c r="B35" s="1104"/>
      <c r="C35" s="165" t="s">
        <v>2854</v>
      </c>
      <c r="D35" s="156"/>
      <c r="E35" s="156"/>
      <c r="F35" s="156"/>
      <c r="G35" s="156"/>
      <c r="H35" s="156"/>
      <c r="I35" s="156"/>
      <c r="J35" s="156"/>
      <c r="K35" s="156"/>
      <c r="L35" s="156"/>
      <c r="M35" s="156"/>
      <c r="N35" s="156"/>
      <c r="O35" s="156"/>
      <c r="P35" s="157"/>
    </row>
    <row r="36" spans="1:16" x14ac:dyDescent="0.35">
      <c r="A36" s="315" t="s">
        <v>4323</v>
      </c>
      <c r="B36" s="152" t="s">
        <v>4349</v>
      </c>
      <c r="C36" s="312" t="s">
        <v>4350</v>
      </c>
      <c r="D36" s="152"/>
      <c r="E36" s="152"/>
      <c r="F36" s="152"/>
      <c r="G36" s="152"/>
      <c r="H36" s="152"/>
      <c r="I36" s="152"/>
      <c r="J36" s="152"/>
      <c r="K36" s="152"/>
      <c r="L36" s="152"/>
      <c r="M36" s="152"/>
      <c r="N36" s="152"/>
      <c r="O36" s="152"/>
      <c r="P36" s="153"/>
    </row>
    <row r="37" spans="1:16" ht="15" thickBot="1" x14ac:dyDescent="0.4">
      <c r="A37" s="1102"/>
      <c r="B37" s="1104"/>
      <c r="C37" s="165" t="s">
        <v>4351</v>
      </c>
      <c r="D37" s="156"/>
      <c r="E37" s="156"/>
      <c r="F37" s="156"/>
      <c r="G37" s="156"/>
      <c r="H37" s="156"/>
      <c r="I37" s="156"/>
      <c r="J37" s="156"/>
      <c r="K37" s="156"/>
      <c r="L37" s="156"/>
      <c r="M37" s="156"/>
      <c r="N37" s="156"/>
      <c r="O37" s="156"/>
      <c r="P37" s="157"/>
    </row>
    <row r="38" spans="1:16" x14ac:dyDescent="0.35">
      <c r="A38" s="319" t="s">
        <v>4129</v>
      </c>
      <c r="B38" s="152"/>
      <c r="C38" s="312" t="s">
        <v>4352</v>
      </c>
      <c r="D38" s="152"/>
      <c r="E38" s="152"/>
      <c r="F38" s="152"/>
      <c r="G38" s="152"/>
      <c r="H38" s="152"/>
      <c r="I38" s="152"/>
      <c r="J38" s="152"/>
      <c r="K38" s="152"/>
      <c r="L38" s="152"/>
      <c r="M38" s="152"/>
      <c r="N38" s="152"/>
      <c r="O38" s="152"/>
      <c r="P38" s="153"/>
    </row>
    <row r="39" spans="1:16" ht="15" thickBot="1" x14ac:dyDescent="0.4">
      <c r="A39" s="1102"/>
      <c r="B39" s="1104"/>
      <c r="C39" s="165" t="s">
        <v>4353</v>
      </c>
      <c r="D39" s="156"/>
      <c r="E39" s="156"/>
      <c r="F39" s="156"/>
      <c r="G39" s="156"/>
      <c r="H39" s="156"/>
      <c r="I39" s="156"/>
      <c r="J39" s="156"/>
      <c r="K39" s="156"/>
      <c r="L39" s="156"/>
      <c r="M39" s="156"/>
      <c r="N39" s="156"/>
      <c r="O39" s="156"/>
      <c r="P39" s="157"/>
    </row>
    <row r="40" spans="1:16" x14ac:dyDescent="0.35">
      <c r="A40" s="319" t="s">
        <v>4130</v>
      </c>
      <c r="B40" s="152">
        <v>0.75</v>
      </c>
      <c r="C40" s="312" t="s">
        <v>4354</v>
      </c>
      <c r="D40" s="152"/>
      <c r="E40" s="152"/>
      <c r="F40" s="152"/>
      <c r="G40" s="152"/>
      <c r="H40" s="152"/>
      <c r="I40" s="152"/>
      <c r="J40" s="152"/>
      <c r="K40" s="152"/>
      <c r="L40" s="152"/>
      <c r="M40" s="152"/>
      <c r="N40" s="152"/>
      <c r="O40" s="152"/>
      <c r="P40" s="153"/>
    </row>
    <row r="41" spans="1:16" ht="15" thickBot="1" x14ac:dyDescent="0.4">
      <c r="A41" s="1102"/>
      <c r="B41" s="1104"/>
      <c r="C41" s="165" t="s">
        <v>2257</v>
      </c>
      <c r="D41" s="156"/>
      <c r="E41" s="156"/>
      <c r="F41" s="156"/>
      <c r="G41" s="156"/>
      <c r="H41" s="156"/>
      <c r="I41" s="156"/>
      <c r="J41" s="156"/>
      <c r="K41" s="156"/>
      <c r="L41" s="156"/>
      <c r="M41" s="156"/>
      <c r="N41" s="156"/>
      <c r="O41" s="156"/>
      <c r="P41" s="157"/>
    </row>
    <row r="42" spans="1:16" x14ac:dyDescent="0.35">
      <c r="A42" s="319" t="s">
        <v>3200</v>
      </c>
      <c r="B42" s="276" t="s">
        <v>4190</v>
      </c>
      <c r="C42" s="312" t="s">
        <v>4355</v>
      </c>
      <c r="D42" s="152"/>
      <c r="E42" s="152"/>
      <c r="F42" s="152"/>
      <c r="G42" s="152"/>
      <c r="H42" s="152"/>
      <c r="I42" s="152"/>
      <c r="J42" s="152"/>
      <c r="K42" s="152"/>
      <c r="L42" s="152"/>
      <c r="M42" s="152"/>
      <c r="N42" s="152"/>
      <c r="O42" s="152"/>
      <c r="P42" s="153"/>
    </row>
    <row r="43" spans="1:16" ht="15" thickBot="1" x14ac:dyDescent="0.4">
      <c r="A43" s="1102"/>
      <c r="B43" s="1104"/>
      <c r="C43" s="156" t="s">
        <v>4356</v>
      </c>
      <c r="D43" s="156"/>
      <c r="E43" s="156"/>
      <c r="F43" s="156"/>
      <c r="G43" s="156"/>
      <c r="H43" s="156"/>
      <c r="I43" s="156"/>
      <c r="J43" s="156"/>
      <c r="K43" s="156"/>
      <c r="L43" s="156"/>
      <c r="M43" s="156"/>
      <c r="N43" s="156"/>
      <c r="O43" s="156"/>
      <c r="P43" s="157"/>
    </row>
    <row r="44" spans="1:16" x14ac:dyDescent="0.35">
      <c r="A44" s="319" t="s">
        <v>4324</v>
      </c>
      <c r="B44" s="152" t="s">
        <v>2235</v>
      </c>
      <c r="C44" s="312" t="s">
        <v>4357</v>
      </c>
      <c r="D44" s="152"/>
      <c r="E44" s="152"/>
      <c r="F44" s="152"/>
      <c r="G44" s="152"/>
      <c r="H44" s="152"/>
      <c r="I44" s="152"/>
      <c r="J44" s="152"/>
      <c r="K44" s="152"/>
      <c r="L44" s="152"/>
      <c r="M44" s="152"/>
      <c r="N44" s="152"/>
      <c r="O44" s="152"/>
      <c r="P44" s="153"/>
    </row>
    <row r="45" spans="1:16" x14ac:dyDescent="0.35">
      <c r="A45" s="1105"/>
      <c r="B45" s="1106"/>
      <c r="C45" s="318" t="s">
        <v>4358</v>
      </c>
      <c r="D45" s="167"/>
      <c r="E45" s="167"/>
      <c r="F45" s="167"/>
      <c r="G45" s="167"/>
      <c r="H45" s="167"/>
      <c r="I45" s="167"/>
      <c r="J45" s="167"/>
      <c r="K45" s="167"/>
      <c r="L45" s="167"/>
      <c r="M45" s="167"/>
      <c r="N45" s="167"/>
      <c r="O45" s="167"/>
      <c r="P45" s="168"/>
    </row>
    <row r="46" spans="1:16" ht="15" thickBot="1" x14ac:dyDescent="0.4">
      <c r="A46" s="1102"/>
      <c r="B46" s="1104"/>
      <c r="C46" s="165" t="s">
        <v>4359</v>
      </c>
      <c r="D46" s="156"/>
      <c r="E46" s="156"/>
      <c r="F46" s="156"/>
      <c r="G46" s="156"/>
      <c r="H46" s="156"/>
      <c r="I46" s="156"/>
      <c r="J46" s="156"/>
      <c r="K46" s="156"/>
      <c r="L46" s="156"/>
      <c r="M46" s="156"/>
      <c r="N46" s="156"/>
      <c r="O46" s="156"/>
      <c r="P46" s="157"/>
    </row>
    <row r="47" spans="1:16" x14ac:dyDescent="0.35">
      <c r="A47" s="315" t="s">
        <v>4325</v>
      </c>
      <c r="B47" s="1103" t="s">
        <v>2235</v>
      </c>
      <c r="C47" s="312" t="s">
        <v>4360</v>
      </c>
      <c r="D47" s="152"/>
      <c r="E47" s="152"/>
      <c r="F47" s="152"/>
      <c r="G47" s="152"/>
      <c r="H47" s="152"/>
      <c r="I47" s="152"/>
      <c r="J47" s="152"/>
      <c r="K47" s="152"/>
      <c r="L47" s="1107"/>
      <c r="M47" s="152"/>
      <c r="N47" s="152"/>
      <c r="O47" s="152"/>
      <c r="P47" s="153"/>
    </row>
    <row r="48" spans="1:16" ht="15" thickBot="1" x14ac:dyDescent="0.4">
      <c r="A48" s="155"/>
      <c r="B48" s="156"/>
      <c r="C48" s="165" t="s">
        <v>2854</v>
      </c>
      <c r="D48" s="156"/>
      <c r="E48" s="156"/>
      <c r="F48" s="156"/>
      <c r="G48" s="156"/>
      <c r="H48" s="156"/>
      <c r="I48" s="156"/>
      <c r="J48" s="156"/>
      <c r="K48" s="156"/>
      <c r="L48" s="156"/>
      <c r="M48" s="156"/>
      <c r="N48" s="156"/>
      <c r="O48" s="156"/>
      <c r="P48" s="157"/>
    </row>
    <row r="49" spans="1:16" x14ac:dyDescent="0.35">
      <c r="A49" s="319" t="s">
        <v>4133</v>
      </c>
      <c r="B49" s="320" t="s">
        <v>4193</v>
      </c>
      <c r="C49" s="312" t="s">
        <v>4361</v>
      </c>
      <c r="D49" s="152"/>
      <c r="E49" s="152"/>
      <c r="F49" s="152"/>
      <c r="G49" s="152"/>
      <c r="H49" s="152"/>
      <c r="I49" s="152"/>
      <c r="J49" s="152"/>
      <c r="K49" s="152"/>
      <c r="L49" s="152"/>
      <c r="M49" s="152"/>
      <c r="N49" s="152"/>
      <c r="O49" s="152"/>
      <c r="P49" s="153"/>
    </row>
    <row r="50" spans="1:16" ht="15" thickBot="1" x14ac:dyDescent="0.4">
      <c r="A50" s="155"/>
      <c r="B50" s="156"/>
      <c r="C50" s="165" t="s">
        <v>4353</v>
      </c>
      <c r="D50" s="156"/>
      <c r="E50" s="156"/>
      <c r="F50" s="156"/>
      <c r="G50" s="156"/>
      <c r="H50" s="156"/>
      <c r="I50" s="156"/>
      <c r="J50" s="156"/>
      <c r="K50" s="156"/>
      <c r="L50" s="156"/>
      <c r="M50" s="156"/>
      <c r="N50" s="156"/>
      <c r="O50" s="156"/>
      <c r="P50" s="157"/>
    </row>
    <row r="51" spans="1:16" ht="29" x14ac:dyDescent="0.35">
      <c r="A51" s="319" t="s">
        <v>4362</v>
      </c>
      <c r="B51" s="276" t="s">
        <v>4199</v>
      </c>
      <c r="C51" s="312" t="s">
        <v>4363</v>
      </c>
      <c r="D51" s="152"/>
      <c r="E51" s="152"/>
      <c r="F51" s="152"/>
      <c r="G51" s="152"/>
      <c r="H51" s="152"/>
      <c r="I51" s="152"/>
      <c r="J51" s="152"/>
      <c r="K51" s="152"/>
      <c r="L51" s="152"/>
      <c r="M51" s="152"/>
      <c r="N51" s="152"/>
      <c r="O51" s="152"/>
      <c r="P51" s="153"/>
    </row>
    <row r="52" spans="1:16" ht="15" thickBot="1" x14ac:dyDescent="0.4">
      <c r="A52" s="155"/>
      <c r="B52" s="156"/>
      <c r="C52" s="165" t="s">
        <v>4201</v>
      </c>
      <c r="D52" s="156"/>
      <c r="E52" s="156"/>
      <c r="F52" s="156"/>
      <c r="G52" s="156"/>
      <c r="H52" s="156"/>
      <c r="I52" s="156"/>
      <c r="J52" s="156"/>
      <c r="K52" s="156"/>
      <c r="L52" s="156"/>
      <c r="M52" s="156"/>
      <c r="N52" s="156"/>
      <c r="O52" s="156"/>
      <c r="P52" s="157"/>
    </row>
    <row r="53" spans="1:16" x14ac:dyDescent="0.35">
      <c r="A53" s="319" t="s">
        <v>4135</v>
      </c>
      <c r="B53" s="1103"/>
      <c r="C53" s="312" t="s">
        <v>4202</v>
      </c>
      <c r="D53" s="152"/>
      <c r="E53" s="152"/>
      <c r="F53" s="152"/>
      <c r="G53" s="152"/>
      <c r="H53" s="152"/>
      <c r="I53" s="152"/>
      <c r="J53" s="152"/>
      <c r="K53" s="152"/>
      <c r="L53" s="152"/>
      <c r="M53" s="152"/>
      <c r="N53" s="152"/>
      <c r="O53" s="152"/>
      <c r="P53" s="153"/>
    </row>
    <row r="54" spans="1:16" ht="15" thickBot="1" x14ac:dyDescent="0.4">
      <c r="A54" s="155"/>
      <c r="B54" s="156"/>
      <c r="C54" s="165" t="s">
        <v>4188</v>
      </c>
      <c r="D54" s="156"/>
      <c r="E54" s="156"/>
      <c r="F54" s="156"/>
      <c r="G54" s="156"/>
      <c r="H54" s="156"/>
      <c r="I54" s="156"/>
      <c r="J54" s="156"/>
      <c r="K54" s="156"/>
      <c r="L54" s="156"/>
      <c r="M54" s="156"/>
      <c r="N54" s="156"/>
      <c r="O54" s="156"/>
      <c r="P54" s="157"/>
    </row>
    <row r="55" spans="1:16" x14ac:dyDescent="0.35">
      <c r="A55" s="319" t="s">
        <v>1179</v>
      </c>
      <c r="B55" s="322"/>
      <c r="C55" s="312" t="s">
        <v>3280</v>
      </c>
      <c r="D55" s="152"/>
      <c r="E55" s="152"/>
      <c r="F55" s="152"/>
      <c r="G55" s="152"/>
      <c r="H55" s="152"/>
      <c r="I55" s="152"/>
      <c r="J55" s="152"/>
      <c r="K55" s="152"/>
      <c r="L55" s="152"/>
      <c r="M55" s="152"/>
      <c r="N55" s="152"/>
      <c r="O55" s="152"/>
      <c r="P55" s="153"/>
    </row>
    <row r="56" spans="1:16" ht="15" thickBot="1" x14ac:dyDescent="0.4">
      <c r="A56" s="155"/>
      <c r="B56" s="156"/>
      <c r="C56" s="165" t="s">
        <v>2257</v>
      </c>
      <c r="D56" s="156"/>
      <c r="E56" s="156"/>
      <c r="F56" s="156"/>
      <c r="G56" s="156"/>
      <c r="H56" s="156"/>
      <c r="I56" s="156"/>
      <c r="J56" s="156"/>
      <c r="K56" s="156"/>
      <c r="L56" s="156"/>
      <c r="M56" s="156"/>
      <c r="N56" s="156"/>
      <c r="O56" s="156"/>
      <c r="P56" s="157"/>
    </row>
    <row r="57" spans="1:16" x14ac:dyDescent="0.35">
      <c r="A57" s="319" t="s">
        <v>4364</v>
      </c>
      <c r="B57" s="400">
        <v>0.72</v>
      </c>
      <c r="C57" s="312" t="s">
        <v>4203</v>
      </c>
      <c r="D57" s="152"/>
      <c r="E57" s="152"/>
      <c r="F57" s="152"/>
      <c r="G57" s="152"/>
      <c r="H57" s="152"/>
      <c r="I57" s="152"/>
      <c r="J57" s="152"/>
      <c r="K57" s="152"/>
      <c r="L57" s="152"/>
      <c r="M57" s="152"/>
      <c r="N57" s="152"/>
      <c r="O57" s="152"/>
      <c r="P57" s="153"/>
    </row>
    <row r="58" spans="1:16" ht="15" thickBot="1" x14ac:dyDescent="0.4">
      <c r="A58" s="155"/>
      <c r="B58" s="156"/>
      <c r="C58" s="165" t="s">
        <v>4204</v>
      </c>
      <c r="D58" s="156"/>
      <c r="E58" s="156"/>
      <c r="F58" s="156"/>
      <c r="G58" s="156"/>
      <c r="H58" s="156"/>
      <c r="I58" s="156"/>
      <c r="J58" s="156"/>
      <c r="K58" s="156"/>
      <c r="L58" s="156"/>
      <c r="M58" s="156"/>
      <c r="N58" s="156"/>
      <c r="O58" s="156"/>
      <c r="P58" s="157"/>
    </row>
    <row r="59" spans="1:16" x14ac:dyDescent="0.35">
      <c r="A59" s="2758" t="s">
        <v>4365</v>
      </c>
      <c r="B59" s="2757">
        <f>IF(0.8*0.85&lt;B57,B57,0.8*0.85)</f>
        <v>0.72</v>
      </c>
      <c r="C59" s="312" t="s">
        <v>2271</v>
      </c>
      <c r="D59" s="152"/>
      <c r="E59" s="152"/>
      <c r="F59" s="152"/>
      <c r="G59" s="152"/>
      <c r="H59" s="152"/>
      <c r="I59" s="152"/>
      <c r="J59" s="152"/>
      <c r="K59" s="152"/>
      <c r="L59" s="152"/>
      <c r="M59" s="152"/>
      <c r="N59" s="152"/>
      <c r="O59" s="152"/>
      <c r="P59" s="153"/>
    </row>
    <row r="60" spans="1:16" ht="15" thickBot="1" x14ac:dyDescent="0.4">
      <c r="A60" s="155"/>
      <c r="B60" s="156"/>
      <c r="C60" s="165"/>
      <c r="D60" s="156"/>
      <c r="E60" s="156"/>
      <c r="F60" s="156"/>
      <c r="G60" s="156"/>
      <c r="H60" s="156"/>
      <c r="I60" s="156"/>
      <c r="J60" s="156"/>
      <c r="K60" s="156"/>
      <c r="L60" s="156"/>
      <c r="M60" s="156"/>
      <c r="N60" s="156"/>
      <c r="O60" s="156"/>
      <c r="P60" s="157"/>
    </row>
    <row r="61" spans="1:16" x14ac:dyDescent="0.35">
      <c r="A61" s="166" t="s">
        <v>4366</v>
      </c>
      <c r="B61" s="2748">
        <v>1</v>
      </c>
      <c r="C61" s="318" t="s">
        <v>3276</v>
      </c>
      <c r="D61" s="167"/>
      <c r="E61" s="167"/>
      <c r="F61" s="167"/>
      <c r="G61" s="167"/>
      <c r="H61" s="167"/>
      <c r="I61" s="167"/>
      <c r="J61" s="167"/>
      <c r="K61" s="167"/>
      <c r="L61" s="167"/>
      <c r="M61" s="167"/>
      <c r="N61" s="167"/>
      <c r="O61" s="167"/>
      <c r="P61" s="168"/>
    </row>
    <row r="62" spans="1:16" ht="15" thickBot="1" x14ac:dyDescent="0.4">
      <c r="A62" s="166"/>
      <c r="B62" s="167"/>
      <c r="C62" s="318"/>
      <c r="D62" s="167"/>
      <c r="E62" s="167"/>
      <c r="F62" s="167"/>
      <c r="G62" s="167"/>
      <c r="H62" s="167"/>
      <c r="I62" s="167"/>
      <c r="J62" s="167"/>
      <c r="K62" s="167"/>
      <c r="L62" s="167"/>
      <c r="M62" s="167"/>
      <c r="N62" s="167"/>
      <c r="O62" s="167"/>
      <c r="P62" s="168"/>
    </row>
    <row r="63" spans="1:16" x14ac:dyDescent="0.35">
      <c r="A63" s="151" t="s">
        <v>1431</v>
      </c>
      <c r="B63" s="1564">
        <v>20</v>
      </c>
      <c r="C63" s="1564" t="s">
        <v>3156</v>
      </c>
      <c r="D63" s="1564"/>
      <c r="E63" s="1564"/>
      <c r="F63" s="152"/>
      <c r="G63" s="152"/>
      <c r="H63" s="152"/>
      <c r="I63" s="152"/>
      <c r="J63" s="152"/>
      <c r="K63" s="152"/>
      <c r="L63" s="152"/>
      <c r="M63" s="152"/>
      <c r="N63" s="152"/>
      <c r="O63" s="152"/>
      <c r="P63" s="153"/>
    </row>
    <row r="64" spans="1:16" ht="15" thickBot="1" x14ac:dyDescent="0.4">
      <c r="A64" s="155"/>
      <c r="B64" s="156"/>
      <c r="C64" s="165" t="s">
        <v>2257</v>
      </c>
      <c r="D64" s="156"/>
      <c r="E64" s="156"/>
      <c r="F64" s="156"/>
      <c r="G64" s="156"/>
      <c r="H64" s="156"/>
      <c r="I64" s="156"/>
      <c r="J64" s="156"/>
      <c r="K64" s="156"/>
      <c r="L64" s="156"/>
      <c r="M64" s="156"/>
      <c r="N64" s="156"/>
      <c r="O64" s="156"/>
      <c r="P64" s="157"/>
    </row>
    <row r="65" spans="1:17" x14ac:dyDescent="0.35">
      <c r="A65" s="151" t="s">
        <v>1630</v>
      </c>
      <c r="B65" s="152"/>
      <c r="C65" s="312"/>
      <c r="D65" s="152"/>
      <c r="E65" s="152"/>
      <c r="F65" s="152"/>
      <c r="G65" s="152"/>
      <c r="H65" s="152"/>
      <c r="I65" s="152"/>
      <c r="J65" s="152"/>
      <c r="K65" s="152"/>
      <c r="L65" s="152"/>
      <c r="M65" s="152"/>
      <c r="N65" s="152"/>
      <c r="O65" s="152"/>
      <c r="P65" s="153"/>
    </row>
    <row r="66" spans="1:17" ht="15" thickBot="1" x14ac:dyDescent="0.4">
      <c r="A66" s="155"/>
      <c r="B66" s="156"/>
      <c r="C66" s="165"/>
      <c r="D66" s="156"/>
      <c r="E66" s="156"/>
      <c r="F66" s="156"/>
      <c r="G66" s="156"/>
      <c r="H66" s="156"/>
      <c r="I66" s="156"/>
      <c r="J66" s="156"/>
      <c r="K66" s="156"/>
      <c r="L66" s="156"/>
      <c r="M66" s="156"/>
      <c r="N66" s="156"/>
      <c r="O66" s="156"/>
      <c r="P66" s="157"/>
    </row>
    <row r="68" spans="1:17" ht="15" thickBot="1" x14ac:dyDescent="0.4"/>
    <row r="69" spans="1:17" ht="15" thickBot="1" x14ac:dyDescent="0.4">
      <c r="A69" s="97" t="s">
        <v>1129</v>
      </c>
      <c r="B69" s="98"/>
      <c r="C69" s="64"/>
      <c r="D69" s="64"/>
      <c r="E69" s="64"/>
      <c r="F69" s="64"/>
      <c r="G69" s="64"/>
      <c r="H69" s="64"/>
      <c r="I69" s="64"/>
      <c r="J69" s="64"/>
      <c r="K69" s="64"/>
      <c r="L69" s="64"/>
      <c r="M69" s="64"/>
      <c r="N69" s="65"/>
    </row>
    <row r="70" spans="1:17" x14ac:dyDescent="0.35">
      <c r="A70" s="99"/>
      <c r="B70" s="69"/>
      <c r="C70" s="69"/>
      <c r="D70" s="69"/>
      <c r="E70" s="69"/>
      <c r="F70" s="69"/>
      <c r="G70" s="69"/>
      <c r="H70" s="69"/>
      <c r="I70" s="69"/>
      <c r="J70" s="69"/>
      <c r="K70" s="69"/>
      <c r="L70" s="69"/>
      <c r="M70" s="69"/>
      <c r="N70" s="100"/>
    </row>
    <row r="71" spans="1:17" x14ac:dyDescent="0.35">
      <c r="A71" s="99"/>
      <c r="B71" s="69"/>
      <c r="C71" s="69"/>
      <c r="D71" s="69"/>
      <c r="E71" s="69"/>
      <c r="F71" s="69"/>
      <c r="G71" s="69"/>
      <c r="H71" s="69"/>
      <c r="I71" s="69"/>
      <c r="J71" s="69"/>
      <c r="K71" s="69"/>
      <c r="L71" s="69"/>
      <c r="M71" s="69"/>
      <c r="N71" s="100"/>
    </row>
    <row r="72" spans="1:17" ht="26" x14ac:dyDescent="0.35">
      <c r="A72" s="99"/>
      <c r="B72" s="3397" t="s">
        <v>1684</v>
      </c>
      <c r="C72" s="3397" t="s">
        <v>4367</v>
      </c>
      <c r="D72" s="56" t="s">
        <v>3225</v>
      </c>
      <c r="E72" s="293" t="s">
        <v>4368</v>
      </c>
      <c r="F72" s="56" t="s">
        <v>3225</v>
      </c>
      <c r="G72" s="69"/>
      <c r="H72" s="69"/>
      <c r="I72" s="69"/>
      <c r="J72" s="69"/>
      <c r="K72" s="69"/>
      <c r="L72" s="69"/>
      <c r="M72" s="69"/>
      <c r="N72" s="100"/>
    </row>
    <row r="73" spans="1:17" x14ac:dyDescent="0.35">
      <c r="A73" s="99"/>
      <c r="B73" s="3398"/>
      <c r="C73" s="3398"/>
      <c r="D73" s="56" t="s">
        <v>4238</v>
      </c>
      <c r="E73" s="293" t="s">
        <v>4239</v>
      </c>
      <c r="F73" s="56" t="s">
        <v>4369</v>
      </c>
      <c r="G73" s="293" t="s">
        <v>3318</v>
      </c>
      <c r="H73" s="56" t="s">
        <v>2556</v>
      </c>
      <c r="I73" s="69"/>
      <c r="J73" s="69"/>
      <c r="K73" s="69"/>
      <c r="L73" s="69"/>
      <c r="M73" s="69"/>
      <c r="N73" s="100"/>
    </row>
    <row r="74" spans="1:17" x14ac:dyDescent="0.35">
      <c r="A74" s="99"/>
      <c r="B74" s="106" t="s">
        <v>1705</v>
      </c>
      <c r="C74" s="109">
        <v>820</v>
      </c>
      <c r="D74" s="101">
        <v>263</v>
      </c>
      <c r="E74" s="107">
        <v>5352</v>
      </c>
      <c r="F74" s="108">
        <v>3322</v>
      </c>
      <c r="G74" s="101">
        <v>512</v>
      </c>
      <c r="H74" s="101">
        <v>467</v>
      </c>
      <c r="I74" s="69"/>
      <c r="J74" s="69"/>
      <c r="K74" s="69"/>
      <c r="L74" s="69"/>
      <c r="M74" s="69"/>
      <c r="N74" s="100"/>
    </row>
    <row r="75" spans="1:17" ht="15" customHeight="1" x14ac:dyDescent="0.35">
      <c r="A75" s="99"/>
      <c r="B75" s="106" t="s">
        <v>1691</v>
      </c>
      <c r="C75" s="109">
        <v>842</v>
      </c>
      <c r="D75" s="101">
        <v>281</v>
      </c>
      <c r="E75" s="107">
        <v>5113</v>
      </c>
      <c r="F75" s="108">
        <v>3079</v>
      </c>
      <c r="G75" s="101">
        <v>570</v>
      </c>
      <c r="H75" s="101">
        <v>506</v>
      </c>
      <c r="I75" s="69"/>
      <c r="J75" s="69"/>
      <c r="K75" s="69"/>
      <c r="L75" s="69"/>
      <c r="M75" s="69"/>
      <c r="N75" s="100"/>
    </row>
    <row r="76" spans="1:17" x14ac:dyDescent="0.35">
      <c r="A76" s="99"/>
      <c r="B76" s="106" t="s">
        <v>1706</v>
      </c>
      <c r="C76" s="107">
        <v>1108</v>
      </c>
      <c r="D76" s="101">
        <v>436</v>
      </c>
      <c r="E76" s="107">
        <v>4379</v>
      </c>
      <c r="F76" s="108">
        <v>2550</v>
      </c>
      <c r="G76" s="101">
        <v>730</v>
      </c>
      <c r="H76" s="101">
        <v>663</v>
      </c>
      <c r="I76" s="69"/>
      <c r="J76" s="69"/>
      <c r="K76" s="69"/>
      <c r="L76" s="69"/>
      <c r="M76" s="69"/>
      <c r="N76" s="100"/>
    </row>
    <row r="77" spans="1:17" x14ac:dyDescent="0.35">
      <c r="A77" s="99"/>
      <c r="B77" s="106" t="s">
        <v>1707</v>
      </c>
      <c r="C77" s="107">
        <v>1570</v>
      </c>
      <c r="D77" s="101">
        <v>538</v>
      </c>
      <c r="E77" s="107">
        <v>3378</v>
      </c>
      <c r="F77" s="108">
        <v>1789</v>
      </c>
      <c r="G77" s="108">
        <v>1035</v>
      </c>
      <c r="H77" s="101">
        <v>940</v>
      </c>
      <c r="I77" s="69"/>
      <c r="J77" s="69"/>
      <c r="K77" s="69"/>
      <c r="L77" s="69"/>
      <c r="M77" s="69"/>
      <c r="N77" s="1108"/>
      <c r="O77" s="1109"/>
      <c r="P77" s="1109"/>
      <c r="Q77" s="1109"/>
    </row>
    <row r="78" spans="1:17" x14ac:dyDescent="0.35">
      <c r="A78" s="99"/>
      <c r="B78" s="106" t="s">
        <v>1708</v>
      </c>
      <c r="C78" s="108">
        <v>1370</v>
      </c>
      <c r="D78" s="101">
        <v>570</v>
      </c>
      <c r="E78" s="108">
        <v>3438</v>
      </c>
      <c r="F78" s="108">
        <v>1796</v>
      </c>
      <c r="G78" s="101">
        <v>903</v>
      </c>
      <c r="H78" s="101">
        <v>820</v>
      </c>
      <c r="I78" s="69"/>
      <c r="J78" s="69"/>
      <c r="K78" s="69"/>
      <c r="L78" s="69"/>
      <c r="M78" s="69"/>
      <c r="N78" s="100"/>
    </row>
    <row r="79" spans="1:17" x14ac:dyDescent="0.35">
      <c r="A79" s="99"/>
      <c r="B79" s="106" t="s">
        <v>1185</v>
      </c>
      <c r="C79" s="109">
        <v>947</v>
      </c>
      <c r="D79" s="101">
        <v>325</v>
      </c>
      <c r="E79" s="107">
        <v>4860</v>
      </c>
      <c r="F79" s="108">
        <v>2895</v>
      </c>
      <c r="G79" s="101">
        <v>629</v>
      </c>
      <c r="H79" s="101">
        <v>564</v>
      </c>
      <c r="I79" s="69"/>
      <c r="J79" s="69"/>
      <c r="K79" s="69"/>
      <c r="L79" s="69"/>
      <c r="M79" s="69"/>
      <c r="N79" s="100"/>
    </row>
    <row r="80" spans="1:17" x14ac:dyDescent="0.35">
      <c r="A80" s="99"/>
      <c r="B80" s="106" t="s">
        <v>1696</v>
      </c>
      <c r="C80" s="109">
        <f t="shared" ref="C80:H80" si="5">C74*$D$84+C75*$D$85+C76*$D$86</f>
        <v>862</v>
      </c>
      <c r="D80" s="101">
        <f t="shared" si="5"/>
        <v>291.10000000000002</v>
      </c>
      <c r="E80" s="107">
        <f t="shared" si="5"/>
        <v>5111.2999999999993</v>
      </c>
      <c r="F80" s="108">
        <f t="shared" si="5"/>
        <v>3099</v>
      </c>
      <c r="G80" s="101">
        <f t="shared" si="5"/>
        <v>568.6</v>
      </c>
      <c r="H80" s="101">
        <f t="shared" si="5"/>
        <v>509.99999999999994</v>
      </c>
      <c r="I80" s="69"/>
      <c r="J80" s="69"/>
      <c r="K80" s="69"/>
      <c r="L80" s="69"/>
      <c r="M80" s="69"/>
      <c r="N80" s="100"/>
    </row>
    <row r="81" spans="1:14" x14ac:dyDescent="0.35">
      <c r="A81" s="99"/>
      <c r="B81" s="69"/>
      <c r="C81" s="69"/>
      <c r="D81" s="69"/>
      <c r="E81" s="69"/>
      <c r="F81" s="69"/>
      <c r="G81" s="69"/>
      <c r="H81" s="69"/>
      <c r="I81" s="69"/>
      <c r="J81" s="69"/>
      <c r="K81" s="69"/>
      <c r="L81" s="69"/>
      <c r="M81" s="69"/>
      <c r="N81" s="100"/>
    </row>
    <row r="82" spans="1:14" x14ac:dyDescent="0.35">
      <c r="A82" s="99"/>
      <c r="B82" s="256"/>
      <c r="C82" s="69"/>
      <c r="D82" s="69"/>
      <c r="E82" s="69"/>
      <c r="F82" s="69"/>
      <c r="G82" s="69"/>
      <c r="H82" s="69"/>
      <c r="I82" s="69"/>
      <c r="J82" s="69"/>
      <c r="K82" s="69"/>
      <c r="L82" s="69"/>
      <c r="M82" s="69"/>
      <c r="N82" s="100"/>
    </row>
    <row r="83" spans="1:14" x14ac:dyDescent="0.35">
      <c r="A83" s="99"/>
      <c r="B83" s="3361" t="s">
        <v>3320</v>
      </c>
      <c r="C83" s="3139"/>
      <c r="D83" s="3074"/>
      <c r="E83" s="69"/>
      <c r="F83" s="69"/>
      <c r="G83" s="69"/>
      <c r="H83" s="69"/>
      <c r="I83" s="69"/>
      <c r="J83" s="69"/>
      <c r="K83" s="69"/>
      <c r="L83" s="69"/>
      <c r="M83" s="69"/>
      <c r="N83" s="100"/>
    </row>
    <row r="84" spans="1:14" x14ac:dyDescent="0.35">
      <c r="A84" s="99"/>
      <c r="B84" s="290" t="s">
        <v>3068</v>
      </c>
      <c r="C84" s="49" t="s">
        <v>2632</v>
      </c>
      <c r="D84" s="49">
        <v>0.3</v>
      </c>
      <c r="E84" s="69"/>
      <c r="F84" s="69"/>
      <c r="G84" s="69"/>
      <c r="H84" s="69"/>
      <c r="I84" s="69"/>
      <c r="J84" s="69"/>
      <c r="K84" s="69"/>
      <c r="L84" s="69"/>
      <c r="M84" s="69"/>
      <c r="N84" s="100"/>
    </row>
    <row r="85" spans="1:14" x14ac:dyDescent="0.35">
      <c r="A85" s="99"/>
      <c r="B85" s="290" t="s">
        <v>2389</v>
      </c>
      <c r="C85" s="49" t="s">
        <v>2633</v>
      </c>
      <c r="D85" s="49">
        <v>0.6</v>
      </c>
      <c r="E85" s="69"/>
      <c r="F85" s="69"/>
      <c r="G85" s="69"/>
      <c r="H85" s="69"/>
      <c r="I85" s="69"/>
      <c r="J85" s="69"/>
      <c r="K85" s="69"/>
      <c r="L85" s="69"/>
      <c r="M85" s="69"/>
      <c r="N85" s="100"/>
    </row>
    <row r="86" spans="1:14" x14ac:dyDescent="0.35">
      <c r="A86" s="99"/>
      <c r="B86" s="290" t="s">
        <v>2390</v>
      </c>
      <c r="C86" s="49" t="s">
        <v>2634</v>
      </c>
      <c r="D86" s="49">
        <v>0.1</v>
      </c>
      <c r="E86" s="69"/>
      <c r="F86" s="69"/>
      <c r="G86" s="69"/>
      <c r="H86" s="69"/>
      <c r="I86" s="69"/>
      <c r="J86" s="69"/>
      <c r="K86" s="69"/>
      <c r="L86" s="69"/>
      <c r="M86" s="69"/>
      <c r="N86" s="100"/>
    </row>
    <row r="87" spans="1:14" x14ac:dyDescent="0.35">
      <c r="A87" s="99"/>
      <c r="B87" s="69"/>
      <c r="C87" s="69"/>
      <c r="D87" s="69"/>
      <c r="E87" s="69"/>
      <c r="F87" s="69"/>
      <c r="G87" s="69"/>
      <c r="H87" s="69"/>
      <c r="I87" s="69"/>
      <c r="J87" s="69"/>
      <c r="K87" s="69"/>
      <c r="L87" s="69"/>
      <c r="M87" s="69"/>
      <c r="N87" s="100"/>
    </row>
    <row r="88" spans="1:14" x14ac:dyDescent="0.35">
      <c r="A88" s="99"/>
      <c r="B88" s="3207" t="s">
        <v>4370</v>
      </c>
      <c r="C88" s="3208"/>
      <c r="D88" s="69"/>
      <c r="E88" s="69"/>
      <c r="F88" s="69"/>
      <c r="G88" s="69"/>
      <c r="H88" s="69"/>
      <c r="I88" s="69"/>
      <c r="J88" s="69"/>
      <c r="K88" s="69"/>
      <c r="L88" s="69"/>
      <c r="M88" s="69"/>
      <c r="N88" s="100"/>
    </row>
    <row r="89" spans="1:14" x14ac:dyDescent="0.35">
      <c r="A89" s="99"/>
      <c r="B89" s="49" t="s">
        <v>4371</v>
      </c>
      <c r="C89" s="49">
        <v>0</v>
      </c>
      <c r="D89" s="69"/>
      <c r="E89" s="69"/>
      <c r="F89" s="69"/>
      <c r="G89" s="69"/>
      <c r="H89" s="69"/>
      <c r="I89" s="69"/>
      <c r="J89" s="69"/>
      <c r="K89" s="69"/>
      <c r="L89" s="69"/>
      <c r="M89" s="69"/>
      <c r="N89" s="100"/>
    </row>
    <row r="90" spans="1:14" x14ac:dyDescent="0.35">
      <c r="A90" s="99"/>
      <c r="B90" s="49" t="s">
        <v>4329</v>
      </c>
      <c r="C90" s="49">
        <v>0.25</v>
      </c>
      <c r="D90" s="69"/>
      <c r="E90" s="69"/>
      <c r="F90" s="69"/>
      <c r="G90" s="69"/>
      <c r="H90" s="69"/>
      <c r="I90" s="69"/>
      <c r="J90" s="69"/>
      <c r="K90" s="69"/>
      <c r="L90" s="69"/>
      <c r="M90" s="69"/>
      <c r="N90" s="100"/>
    </row>
    <row r="91" spans="1:14" x14ac:dyDescent="0.35">
      <c r="A91" s="99"/>
      <c r="B91" s="69"/>
      <c r="C91" s="69"/>
      <c r="D91" s="69"/>
      <c r="E91" s="69"/>
      <c r="F91" s="69"/>
      <c r="G91" s="69"/>
      <c r="H91" s="69"/>
      <c r="I91" s="69"/>
      <c r="J91" s="69"/>
      <c r="K91" s="69"/>
      <c r="L91" s="69"/>
      <c r="M91" s="69"/>
      <c r="N91" s="100"/>
    </row>
    <row r="92" spans="1:14" x14ac:dyDescent="0.35">
      <c r="A92" s="99"/>
      <c r="B92" s="293" t="s">
        <v>4245</v>
      </c>
      <c r="C92" s="69"/>
      <c r="D92" s="69"/>
      <c r="E92" s="69"/>
      <c r="F92" s="69"/>
      <c r="G92" s="69"/>
      <c r="H92" s="69"/>
      <c r="I92" s="69"/>
      <c r="J92" s="69"/>
      <c r="K92" s="69"/>
      <c r="L92" s="69"/>
      <c r="M92" s="69"/>
      <c r="N92" s="100"/>
    </row>
    <row r="93" spans="1:14" x14ac:dyDescent="0.35">
      <c r="A93" s="99"/>
      <c r="B93" s="49" t="s">
        <v>1529</v>
      </c>
      <c r="C93" s="69"/>
      <c r="D93" s="69"/>
      <c r="E93" s="69"/>
      <c r="F93" s="69"/>
      <c r="G93" s="69"/>
      <c r="H93" s="69"/>
      <c r="I93" s="69"/>
      <c r="J93" s="69"/>
      <c r="K93" s="69"/>
      <c r="L93" s="69"/>
      <c r="M93" s="69"/>
      <c r="N93" s="100"/>
    </row>
    <row r="94" spans="1:14" x14ac:dyDescent="0.35">
      <c r="A94" s="99"/>
      <c r="B94" s="49" t="s">
        <v>1566</v>
      </c>
      <c r="C94" s="69"/>
      <c r="D94" s="69"/>
      <c r="E94" s="69"/>
      <c r="F94" s="69"/>
      <c r="G94" s="69"/>
      <c r="H94" s="69"/>
      <c r="I94" s="69"/>
      <c r="J94" s="69"/>
      <c r="K94" s="69"/>
      <c r="L94" s="69"/>
      <c r="M94" s="69"/>
      <c r="N94" s="100"/>
    </row>
    <row r="95" spans="1:14" x14ac:dyDescent="0.35">
      <c r="A95" s="99"/>
      <c r="B95" s="69"/>
      <c r="C95" s="69"/>
      <c r="D95" s="69"/>
      <c r="E95" s="69"/>
      <c r="F95" s="69"/>
      <c r="G95" s="69"/>
      <c r="H95" s="69"/>
      <c r="I95" s="69"/>
      <c r="J95" s="69"/>
      <c r="K95" s="69"/>
      <c r="L95" s="69"/>
      <c r="M95" s="69"/>
      <c r="N95" s="100"/>
    </row>
    <row r="96" spans="1:14" x14ac:dyDescent="0.35">
      <c r="A96" s="99"/>
      <c r="B96" s="293" t="s">
        <v>4372</v>
      </c>
      <c r="C96" s="69"/>
      <c r="D96" s="69"/>
      <c r="E96" s="69"/>
      <c r="F96" s="69"/>
      <c r="G96" s="69"/>
      <c r="H96" s="69"/>
      <c r="I96" s="69"/>
      <c r="J96" s="69"/>
      <c r="K96" s="69"/>
      <c r="L96" s="69"/>
      <c r="M96" s="69"/>
      <c r="N96" s="100"/>
    </row>
    <row r="97" spans="1:14" x14ac:dyDescent="0.35">
      <c r="A97" s="99"/>
      <c r="B97" s="49" t="s">
        <v>3224</v>
      </c>
      <c r="C97" s="69"/>
      <c r="D97" s="69"/>
      <c r="E97" s="69"/>
      <c r="F97" s="69"/>
      <c r="G97" s="69"/>
      <c r="H97" s="69"/>
      <c r="I97" s="69"/>
      <c r="J97" s="69"/>
      <c r="K97" s="69"/>
      <c r="L97" s="69"/>
      <c r="M97" s="69"/>
      <c r="N97" s="100"/>
    </row>
    <row r="98" spans="1:14" x14ac:dyDescent="0.35">
      <c r="A98" s="99"/>
      <c r="B98" s="49" t="s">
        <v>2556</v>
      </c>
      <c r="C98" s="69"/>
      <c r="D98" s="69"/>
      <c r="E98" s="69"/>
      <c r="F98" s="69"/>
      <c r="G98" s="69"/>
      <c r="H98" s="69"/>
      <c r="I98" s="69"/>
      <c r="J98" s="69"/>
      <c r="K98" s="69"/>
      <c r="L98" s="69"/>
      <c r="M98" s="69"/>
      <c r="N98" s="100"/>
    </row>
    <row r="99" spans="1:14" x14ac:dyDescent="0.35">
      <c r="A99" s="99"/>
      <c r="B99" s="69"/>
      <c r="C99" s="69"/>
      <c r="D99" s="69"/>
      <c r="E99" s="69"/>
      <c r="F99" s="69"/>
      <c r="G99" s="69"/>
      <c r="H99" s="69"/>
      <c r="I99" s="69"/>
      <c r="J99" s="69"/>
      <c r="K99" s="69"/>
      <c r="L99" s="69"/>
      <c r="M99" s="69"/>
      <c r="N99" s="100"/>
    </row>
    <row r="100" spans="1:14" x14ac:dyDescent="0.35">
      <c r="A100" s="99"/>
      <c r="B100" s="69"/>
      <c r="C100" s="69"/>
      <c r="D100" s="69"/>
      <c r="E100" s="69"/>
      <c r="F100" s="69"/>
      <c r="G100" s="69"/>
      <c r="H100" s="69"/>
      <c r="I100" s="69"/>
      <c r="J100" s="69"/>
      <c r="K100" s="69"/>
      <c r="L100" s="69"/>
      <c r="M100" s="69"/>
      <c r="N100" s="100"/>
    </row>
    <row r="101" spans="1:14" x14ac:dyDescent="0.35">
      <c r="A101" s="99"/>
      <c r="B101" s="69"/>
      <c r="C101" s="69"/>
      <c r="D101" s="69"/>
      <c r="E101" s="69"/>
      <c r="F101" s="69"/>
      <c r="G101" s="69"/>
      <c r="H101" s="69"/>
      <c r="I101" s="69"/>
      <c r="J101" s="69"/>
      <c r="K101" s="69"/>
      <c r="L101" s="69"/>
      <c r="M101" s="69"/>
      <c r="N101" s="100"/>
    </row>
    <row r="102" spans="1:14" x14ac:dyDescent="0.35">
      <c r="A102" s="3399" t="s">
        <v>4373</v>
      </c>
      <c r="B102" s="3357"/>
      <c r="C102" s="3208"/>
      <c r="D102" s="69"/>
      <c r="E102" s="69"/>
      <c r="F102" s="69"/>
      <c r="G102" s="69"/>
      <c r="H102" s="69"/>
      <c r="I102" s="69"/>
      <c r="J102" s="69"/>
      <c r="K102" s="69"/>
      <c r="L102" s="69"/>
      <c r="M102" s="69"/>
      <c r="N102" s="100"/>
    </row>
    <row r="103" spans="1:14" x14ac:dyDescent="0.35">
      <c r="A103" s="290" t="s">
        <v>4145</v>
      </c>
      <c r="B103" s="49" t="s">
        <v>4331</v>
      </c>
      <c r="C103" s="291">
        <v>0.68</v>
      </c>
      <c r="D103" s="69"/>
      <c r="E103" s="69"/>
      <c r="F103" s="69"/>
      <c r="G103" s="69"/>
      <c r="H103" s="69"/>
      <c r="I103" s="69"/>
      <c r="J103" s="69"/>
      <c r="K103" s="69"/>
      <c r="L103" s="69"/>
      <c r="M103" s="69"/>
      <c r="N103" s="100"/>
    </row>
    <row r="104" spans="1:14" x14ac:dyDescent="0.35">
      <c r="A104" s="290" t="s">
        <v>3174</v>
      </c>
      <c r="B104" s="49" t="s">
        <v>4331</v>
      </c>
      <c r="C104" s="291">
        <v>0.72</v>
      </c>
      <c r="D104" s="69"/>
      <c r="E104" s="69"/>
      <c r="F104" s="69"/>
      <c r="G104" s="69"/>
      <c r="H104" s="69"/>
      <c r="I104" s="69"/>
      <c r="J104" s="69"/>
      <c r="K104" s="69"/>
      <c r="L104" s="69"/>
      <c r="M104" s="69"/>
      <c r="N104" s="100"/>
    </row>
    <row r="105" spans="1:14" x14ac:dyDescent="0.35">
      <c r="A105" s="290"/>
      <c r="B105" s="49" t="s">
        <v>4374</v>
      </c>
      <c r="C105" s="291">
        <v>0.46600000000000003</v>
      </c>
      <c r="D105" s="69"/>
      <c r="E105" s="69"/>
      <c r="F105" s="69"/>
      <c r="G105" s="69"/>
      <c r="H105" s="69"/>
      <c r="I105" s="69"/>
      <c r="J105" s="69"/>
      <c r="K105" s="69"/>
      <c r="L105" s="69"/>
      <c r="M105" s="69"/>
      <c r="N105" s="100"/>
    </row>
    <row r="106" spans="1:14" x14ac:dyDescent="0.35">
      <c r="A106" s="99"/>
      <c r="B106" s="69"/>
      <c r="C106" s="69"/>
      <c r="D106" s="69"/>
      <c r="E106" s="69"/>
      <c r="F106" s="69"/>
      <c r="G106" s="69"/>
      <c r="H106" s="69"/>
      <c r="I106" s="69"/>
      <c r="J106" s="69"/>
      <c r="K106" s="69"/>
      <c r="L106" s="69"/>
      <c r="M106" s="69"/>
      <c r="N106" s="100"/>
    </row>
    <row r="107" spans="1:14" x14ac:dyDescent="0.35">
      <c r="A107" s="99"/>
      <c r="B107" s="69"/>
      <c r="C107" s="69"/>
      <c r="D107" s="69"/>
      <c r="E107" s="69"/>
      <c r="F107" s="69"/>
      <c r="G107" s="69"/>
      <c r="H107" s="69"/>
      <c r="I107" s="69"/>
      <c r="J107" s="69"/>
      <c r="K107" s="69"/>
      <c r="L107" s="69"/>
      <c r="M107" s="69"/>
      <c r="N107" s="100"/>
    </row>
    <row r="108" spans="1:14" x14ac:dyDescent="0.35">
      <c r="A108" s="99"/>
      <c r="B108" s="1110" t="s">
        <v>4375</v>
      </c>
      <c r="C108" s="69"/>
      <c r="D108" s="69"/>
      <c r="E108" s="69"/>
      <c r="F108" s="69"/>
      <c r="G108" s="69"/>
      <c r="H108" s="69"/>
      <c r="I108" s="69"/>
      <c r="J108" s="69"/>
      <c r="K108" s="69"/>
      <c r="L108" s="69"/>
      <c r="M108" s="69"/>
      <c r="N108" s="100"/>
    </row>
    <row r="109" spans="1:14" x14ac:dyDescent="0.35">
      <c r="A109" s="99"/>
      <c r="B109" s="49" t="b">
        <v>1</v>
      </c>
      <c r="C109" s="69"/>
      <c r="D109" s="69"/>
      <c r="E109" s="69"/>
      <c r="F109" s="69"/>
      <c r="G109" s="69"/>
      <c r="H109" s="69"/>
      <c r="I109" s="69"/>
      <c r="J109" s="69"/>
      <c r="K109" s="69"/>
      <c r="L109" s="69"/>
      <c r="M109" s="69"/>
      <c r="N109" s="100"/>
    </row>
    <row r="110" spans="1:14" x14ac:dyDescent="0.35">
      <c r="A110" s="99"/>
      <c r="B110" s="49" t="b">
        <v>0</v>
      </c>
      <c r="C110" s="69"/>
      <c r="D110" s="69"/>
      <c r="E110" s="69"/>
      <c r="F110" s="69"/>
      <c r="G110" s="69"/>
      <c r="H110" s="69"/>
      <c r="I110" s="69"/>
      <c r="J110" s="69"/>
      <c r="K110" s="69"/>
      <c r="L110" s="69"/>
      <c r="M110" s="69"/>
      <c r="N110" s="100"/>
    </row>
    <row r="111" spans="1:14" x14ac:dyDescent="0.35">
      <c r="A111" s="99"/>
      <c r="B111" s="69"/>
      <c r="C111" s="69"/>
      <c r="D111" s="69"/>
      <c r="E111" s="69"/>
      <c r="F111" s="69"/>
      <c r="G111" s="69"/>
      <c r="H111" s="69"/>
      <c r="I111" s="69"/>
      <c r="J111" s="69"/>
      <c r="K111" s="69"/>
      <c r="L111" s="69"/>
      <c r="M111" s="69"/>
      <c r="N111" s="100"/>
    </row>
    <row r="112" spans="1:14" x14ac:dyDescent="0.35">
      <c r="A112" s="99"/>
      <c r="B112" s="69"/>
      <c r="C112" s="69"/>
      <c r="D112" s="69"/>
      <c r="E112" s="69"/>
      <c r="F112" s="69"/>
      <c r="G112" s="69"/>
      <c r="H112" s="69"/>
      <c r="I112" s="69"/>
      <c r="J112" s="69"/>
      <c r="K112" s="69"/>
      <c r="L112" s="69"/>
      <c r="M112" s="69"/>
      <c r="N112" s="100"/>
    </row>
    <row r="113" spans="1:14" x14ac:dyDescent="0.35">
      <c r="A113" s="99"/>
      <c r="B113" s="69"/>
      <c r="C113" s="69"/>
      <c r="D113" s="69"/>
      <c r="E113" s="69"/>
      <c r="F113" s="69"/>
      <c r="G113" s="69"/>
      <c r="H113" s="69"/>
      <c r="I113" s="69"/>
      <c r="J113" s="69"/>
      <c r="K113" s="69"/>
      <c r="L113" s="69"/>
      <c r="M113" s="69"/>
      <c r="N113" s="100"/>
    </row>
    <row r="114" spans="1:14" x14ac:dyDescent="0.35">
      <c r="A114" s="99"/>
      <c r="B114" s="1110" t="s">
        <v>4376</v>
      </c>
      <c r="C114" s="1110"/>
      <c r="D114" s="69"/>
      <c r="E114" s="69"/>
      <c r="F114" s="69"/>
      <c r="G114" s="69"/>
      <c r="H114" s="69"/>
      <c r="I114" s="69"/>
      <c r="J114" s="69"/>
      <c r="K114" s="69"/>
      <c r="L114" s="69"/>
      <c r="M114" s="69"/>
      <c r="N114" s="100"/>
    </row>
    <row r="115" spans="1:14" x14ac:dyDescent="0.35">
      <c r="A115" s="99"/>
      <c r="B115" s="1111" t="s">
        <v>4377</v>
      </c>
      <c r="C115" s="293">
        <v>0</v>
      </c>
      <c r="D115" s="293">
        <v>1</v>
      </c>
      <c r="E115" s="293">
        <v>2</v>
      </c>
      <c r="F115" s="293">
        <v>3</v>
      </c>
      <c r="G115" s="293">
        <v>4</v>
      </c>
      <c r="H115" s="293">
        <v>5</v>
      </c>
      <c r="I115" s="293">
        <v>6</v>
      </c>
      <c r="J115" s="293">
        <v>7</v>
      </c>
      <c r="K115" s="293">
        <v>8</v>
      </c>
      <c r="L115" s="69"/>
      <c r="M115" s="69"/>
      <c r="N115" s="100"/>
    </row>
    <row r="116" spans="1:14" x14ac:dyDescent="0.35">
      <c r="A116" s="99"/>
      <c r="B116" s="109" t="s">
        <v>4378</v>
      </c>
      <c r="C116" s="109">
        <v>2.44</v>
      </c>
      <c r="D116" s="109">
        <v>4.5</v>
      </c>
      <c r="E116" s="109">
        <v>6.3</v>
      </c>
      <c r="F116" s="109">
        <v>8.4</v>
      </c>
      <c r="G116" s="109">
        <v>10.44</v>
      </c>
      <c r="H116" s="109">
        <v>12.66</v>
      </c>
      <c r="I116" s="109">
        <v>14.49</v>
      </c>
      <c r="J116" s="109">
        <v>17</v>
      </c>
      <c r="K116" s="109">
        <v>20</v>
      </c>
      <c r="L116" s="69"/>
      <c r="M116" s="69"/>
      <c r="N116" s="100"/>
    </row>
    <row r="117" spans="1:14" x14ac:dyDescent="0.35">
      <c r="A117" s="99"/>
      <c r="B117" s="109" t="s">
        <v>4379</v>
      </c>
      <c r="C117" s="109">
        <v>2.44</v>
      </c>
      <c r="D117" s="109">
        <v>3.47</v>
      </c>
      <c r="E117" s="109">
        <v>4.41</v>
      </c>
      <c r="F117" s="109">
        <v>5.41</v>
      </c>
      <c r="G117" s="109">
        <v>6.42</v>
      </c>
      <c r="H117" s="109">
        <v>7.46</v>
      </c>
      <c r="I117" s="109">
        <v>8.4600000000000009</v>
      </c>
      <c r="J117" s="109">
        <v>9.5299999999999994</v>
      </c>
      <c r="K117" s="109">
        <v>10.69</v>
      </c>
      <c r="L117" s="69"/>
      <c r="M117" s="69"/>
      <c r="N117" s="100"/>
    </row>
    <row r="118" spans="1:14" x14ac:dyDescent="0.35">
      <c r="A118" s="99"/>
      <c r="B118" s="109" t="s">
        <v>4380</v>
      </c>
      <c r="C118" s="109">
        <v>3.44</v>
      </c>
      <c r="D118" s="109">
        <v>4.47</v>
      </c>
      <c r="E118" s="109">
        <v>5.41</v>
      </c>
      <c r="F118" s="109">
        <v>6.41</v>
      </c>
      <c r="G118" s="109">
        <v>7.42</v>
      </c>
      <c r="H118" s="109">
        <v>8.4600000000000009</v>
      </c>
      <c r="I118" s="109">
        <v>9.4600000000000009</v>
      </c>
      <c r="J118" s="109">
        <v>10.53</v>
      </c>
      <c r="K118" s="109">
        <v>11.69</v>
      </c>
      <c r="L118" s="69"/>
      <c r="M118" s="69"/>
      <c r="N118" s="100"/>
    </row>
    <row r="119" spans="1:14" ht="15" thickBot="1" x14ac:dyDescent="0.4">
      <c r="A119" s="99"/>
      <c r="B119" s="69"/>
      <c r="C119" s="69"/>
      <c r="D119" s="69"/>
      <c r="E119" s="69"/>
      <c r="F119" s="69"/>
      <c r="G119" s="69"/>
      <c r="H119" s="69"/>
      <c r="I119" s="69"/>
      <c r="J119" s="69"/>
      <c r="K119" s="69"/>
      <c r="L119" s="69"/>
      <c r="M119" s="69"/>
      <c r="N119" s="100"/>
    </row>
    <row r="120" spans="1:14" ht="78.5" thickBot="1" x14ac:dyDescent="0.4">
      <c r="A120" s="99"/>
      <c r="B120" s="368" t="s">
        <v>2526</v>
      </c>
      <c r="C120" s="369" t="s">
        <v>3178</v>
      </c>
      <c r="D120" s="369" t="s">
        <v>3296</v>
      </c>
      <c r="E120" s="369" t="s">
        <v>4381</v>
      </c>
      <c r="F120" s="69"/>
      <c r="G120" s="69"/>
      <c r="H120" s="69"/>
      <c r="I120" s="69"/>
      <c r="J120" s="69"/>
      <c r="K120" s="69"/>
      <c r="L120" s="69"/>
      <c r="M120" s="69"/>
      <c r="N120" s="100"/>
    </row>
    <row r="121" spans="1:14" ht="15" thickBot="1" x14ac:dyDescent="0.4">
      <c r="A121" s="99"/>
      <c r="B121" s="3392" t="s">
        <v>3174</v>
      </c>
      <c r="C121" s="1112" t="s">
        <v>3298</v>
      </c>
      <c r="D121" s="371">
        <v>6.8</v>
      </c>
      <c r="E121" s="371">
        <v>1.7</v>
      </c>
      <c r="F121" s="69"/>
      <c r="G121" s="69"/>
      <c r="H121" s="69"/>
      <c r="I121" s="69"/>
      <c r="J121" s="69"/>
      <c r="K121" s="69"/>
      <c r="L121" s="69"/>
      <c r="M121" s="69"/>
      <c r="N121" s="100"/>
    </row>
    <row r="122" spans="1:14" ht="15" thickBot="1" x14ac:dyDescent="0.4">
      <c r="A122" s="99"/>
      <c r="B122" s="3393"/>
      <c r="C122" s="1112" t="s">
        <v>4382</v>
      </c>
      <c r="D122" s="371">
        <v>7.7</v>
      </c>
      <c r="E122" s="371">
        <v>1.92</v>
      </c>
      <c r="F122" s="69"/>
      <c r="G122" s="69"/>
      <c r="H122" s="69"/>
      <c r="I122" s="69"/>
      <c r="J122" s="69"/>
      <c r="K122" s="69"/>
      <c r="L122" s="69"/>
      <c r="M122" s="69"/>
      <c r="N122" s="100"/>
    </row>
    <row r="123" spans="1:14" ht="15" thickBot="1" x14ac:dyDescent="0.4">
      <c r="A123" s="99"/>
      <c r="B123" s="3394"/>
      <c r="C123" s="1112" t="s">
        <v>3300</v>
      </c>
      <c r="D123" s="371">
        <v>8.1999999999999993</v>
      </c>
      <c r="E123" s="371">
        <v>2.4</v>
      </c>
      <c r="F123" s="69"/>
      <c r="G123" s="69"/>
      <c r="H123" s="69"/>
      <c r="I123" s="69"/>
      <c r="J123" s="69"/>
      <c r="K123" s="69"/>
      <c r="L123" s="69"/>
      <c r="M123" s="69"/>
      <c r="N123" s="100"/>
    </row>
    <row r="124" spans="1:14" x14ac:dyDescent="0.35">
      <c r="A124" s="99"/>
      <c r="B124" s="373" t="s">
        <v>3301</v>
      </c>
      <c r="C124" s="1112" t="s">
        <v>1284</v>
      </c>
      <c r="D124" s="371" t="s">
        <v>1284</v>
      </c>
      <c r="E124" s="371">
        <v>1</v>
      </c>
      <c r="F124" s="69"/>
      <c r="G124" s="69"/>
      <c r="H124" s="69"/>
      <c r="I124" s="69"/>
      <c r="J124" s="69"/>
      <c r="K124" s="69"/>
      <c r="L124" s="69"/>
      <c r="M124" s="69"/>
      <c r="N124" s="100"/>
    </row>
    <row r="125" spans="1:14" x14ac:dyDescent="0.35">
      <c r="A125" s="99"/>
      <c r="B125" s="2855" t="s">
        <v>4383</v>
      </c>
      <c r="C125" s="2856" t="s">
        <v>1284</v>
      </c>
      <c r="D125" s="2857" t="s">
        <v>1284</v>
      </c>
      <c r="E125" s="2857">
        <v>1.28</v>
      </c>
      <c r="F125" s="69"/>
      <c r="G125" s="69"/>
      <c r="H125" s="69"/>
      <c r="I125" s="69"/>
      <c r="J125" s="69"/>
      <c r="K125" s="69"/>
      <c r="L125" s="69"/>
      <c r="M125" s="69"/>
      <c r="N125" s="100"/>
    </row>
    <row r="126" spans="1:14" x14ac:dyDescent="0.35">
      <c r="A126" s="99"/>
      <c r="B126" s="69"/>
      <c r="C126" s="69"/>
      <c r="D126" s="69"/>
      <c r="E126" s="69"/>
      <c r="F126" s="69"/>
      <c r="G126" s="69"/>
      <c r="H126" s="69"/>
      <c r="I126" s="69"/>
      <c r="J126" s="69"/>
      <c r="K126" s="69"/>
      <c r="L126" s="69"/>
      <c r="M126" s="69"/>
      <c r="N126" s="100"/>
    </row>
    <row r="127" spans="1:14" ht="15" thickBot="1" x14ac:dyDescent="0.4">
      <c r="A127" s="99"/>
      <c r="B127" s="368"/>
      <c r="C127" s="200" t="s">
        <v>4118</v>
      </c>
      <c r="D127" s="200" t="s">
        <v>4251</v>
      </c>
      <c r="E127" s="69"/>
      <c r="F127" s="69"/>
      <c r="G127" s="69"/>
      <c r="H127" s="69"/>
      <c r="I127" s="69"/>
      <c r="J127" s="69"/>
      <c r="K127" s="69"/>
      <c r="L127" s="69"/>
      <c r="M127" s="69"/>
      <c r="N127" s="100"/>
    </row>
    <row r="128" spans="1:14" x14ac:dyDescent="0.35">
      <c r="A128" s="99"/>
      <c r="B128" s="3395" t="s">
        <v>3663</v>
      </c>
      <c r="C128" s="330" t="s">
        <v>3298</v>
      </c>
      <c r="D128" s="101">
        <v>10</v>
      </c>
      <c r="E128" s="69"/>
      <c r="F128" s="69"/>
      <c r="G128" s="69"/>
      <c r="H128" s="69"/>
      <c r="I128" s="69"/>
      <c r="J128" s="69"/>
      <c r="K128" s="69"/>
      <c r="L128" s="69"/>
      <c r="M128" s="69"/>
      <c r="N128" s="100"/>
    </row>
    <row r="129" spans="1:14" x14ac:dyDescent="0.35">
      <c r="A129" s="99"/>
      <c r="B129" s="3395"/>
      <c r="C129" s="330" t="s">
        <v>4241</v>
      </c>
      <c r="D129" s="101">
        <v>13</v>
      </c>
      <c r="E129" s="69"/>
      <c r="F129" s="69"/>
      <c r="G129" s="69"/>
      <c r="H129" s="69"/>
      <c r="I129" s="69"/>
      <c r="J129" s="69"/>
      <c r="K129" s="69"/>
      <c r="L129" s="69"/>
      <c r="M129" s="69"/>
      <c r="N129" s="100"/>
    </row>
    <row r="130" spans="1:14" x14ac:dyDescent="0.35">
      <c r="A130" s="99"/>
      <c r="B130" s="3395"/>
      <c r="C130" s="330" t="s">
        <v>4384</v>
      </c>
      <c r="D130" s="101">
        <v>13</v>
      </c>
      <c r="E130" s="69"/>
      <c r="F130" s="69"/>
      <c r="G130" s="69"/>
      <c r="H130" s="69"/>
      <c r="I130" s="69"/>
      <c r="J130" s="69"/>
      <c r="K130" s="69"/>
      <c r="L130" s="69"/>
      <c r="M130" s="69"/>
      <c r="N130" s="100"/>
    </row>
    <row r="131" spans="1:14" x14ac:dyDescent="0.35">
      <c r="A131" s="99"/>
      <c r="B131" s="3395" t="s">
        <v>3174</v>
      </c>
      <c r="C131" s="330" t="s">
        <v>3298</v>
      </c>
      <c r="D131" s="101">
        <v>10</v>
      </c>
      <c r="E131" s="69"/>
      <c r="F131" s="69"/>
      <c r="G131" s="69"/>
      <c r="H131" s="69"/>
      <c r="I131" s="69"/>
      <c r="J131" s="69"/>
      <c r="K131" s="69"/>
      <c r="L131" s="69"/>
      <c r="M131" s="69"/>
      <c r="N131" s="100"/>
    </row>
    <row r="132" spans="1:14" x14ac:dyDescent="0.35">
      <c r="A132" s="99"/>
      <c r="B132" s="3395"/>
      <c r="C132" s="330" t="s">
        <v>4241</v>
      </c>
      <c r="D132" s="101">
        <v>13</v>
      </c>
      <c r="E132" s="69"/>
      <c r="F132" s="69"/>
      <c r="G132" s="69"/>
      <c r="H132" s="69"/>
      <c r="I132" s="69"/>
      <c r="J132" s="69"/>
      <c r="K132" s="69"/>
      <c r="L132" s="69"/>
      <c r="M132" s="69"/>
      <c r="N132" s="100"/>
    </row>
    <row r="133" spans="1:14" x14ac:dyDescent="0.35">
      <c r="A133" s="99"/>
      <c r="B133" s="3395"/>
      <c r="C133" s="330" t="s">
        <v>4384</v>
      </c>
      <c r="D133" s="101">
        <v>14</v>
      </c>
      <c r="E133" s="69"/>
      <c r="F133" s="69"/>
      <c r="G133" s="69"/>
      <c r="H133" s="69"/>
      <c r="I133" s="69"/>
      <c r="J133" s="69"/>
      <c r="K133" s="69"/>
      <c r="L133" s="69"/>
      <c r="M133" s="69"/>
      <c r="N133" s="100"/>
    </row>
    <row r="134" spans="1:14" x14ac:dyDescent="0.35">
      <c r="A134" s="99"/>
      <c r="B134" s="2855" t="s">
        <v>4383</v>
      </c>
      <c r="C134" s="2856" t="s">
        <v>1284</v>
      </c>
      <c r="D134" s="2857">
        <v>10.5</v>
      </c>
      <c r="E134" s="69"/>
      <c r="F134" s="69"/>
      <c r="G134" s="69"/>
      <c r="H134" s="69"/>
      <c r="I134" s="69"/>
      <c r="J134" s="69"/>
      <c r="K134" s="69"/>
      <c r="L134" s="69"/>
      <c r="M134" s="69"/>
      <c r="N134" s="100"/>
    </row>
    <row r="135" spans="1:14" x14ac:dyDescent="0.35">
      <c r="A135" s="99"/>
      <c r="B135" s="69"/>
      <c r="C135" s="69"/>
      <c r="D135" s="69"/>
      <c r="E135" s="69"/>
      <c r="F135" s="69"/>
      <c r="G135" s="69"/>
      <c r="H135" s="69"/>
      <c r="I135" s="69"/>
      <c r="J135" s="69"/>
      <c r="K135" s="69"/>
      <c r="L135" s="69"/>
      <c r="M135" s="69"/>
      <c r="N135" s="100"/>
    </row>
    <row r="136" spans="1:14" x14ac:dyDescent="0.35">
      <c r="A136" s="99"/>
      <c r="B136" s="293" t="s">
        <v>3314</v>
      </c>
      <c r="C136" s="69"/>
      <c r="D136" s="69"/>
      <c r="E136" s="69"/>
      <c r="F136" s="69"/>
      <c r="G136" s="69"/>
      <c r="H136" s="69"/>
      <c r="I136" s="69"/>
      <c r="J136" s="69"/>
      <c r="K136" s="69"/>
      <c r="L136" s="69"/>
      <c r="M136" s="69"/>
      <c r="N136" s="100"/>
    </row>
    <row r="137" spans="1:14" x14ac:dyDescent="0.35">
      <c r="A137" s="99"/>
      <c r="B137" s="1113" t="s">
        <v>3222</v>
      </c>
      <c r="C137" s="69"/>
      <c r="D137" s="69"/>
      <c r="E137" s="69"/>
      <c r="F137" s="69"/>
      <c r="G137" s="69"/>
      <c r="H137" s="69"/>
      <c r="I137" s="69"/>
      <c r="J137" s="69"/>
      <c r="K137" s="69"/>
      <c r="L137" s="69"/>
      <c r="M137" s="69"/>
      <c r="N137" s="100"/>
    </row>
    <row r="138" spans="1:14" x14ac:dyDescent="0.35">
      <c r="A138" s="99"/>
      <c r="B138" s="1113" t="s">
        <v>3315</v>
      </c>
      <c r="C138" s="69"/>
      <c r="D138" s="69"/>
      <c r="E138" s="69"/>
      <c r="F138" s="69"/>
      <c r="G138" s="69"/>
      <c r="H138" s="69"/>
      <c r="I138" s="69"/>
      <c r="J138" s="69"/>
      <c r="K138" s="69"/>
      <c r="L138" s="69"/>
      <c r="M138" s="69"/>
      <c r="N138" s="100"/>
    </row>
    <row r="139" spans="1:14" x14ac:dyDescent="0.35">
      <c r="A139" s="99"/>
      <c r="B139" s="1113" t="s">
        <v>4143</v>
      </c>
      <c r="C139" s="69"/>
      <c r="D139" s="69"/>
      <c r="E139" s="69"/>
      <c r="F139" s="69"/>
      <c r="G139" s="69"/>
      <c r="H139" s="69"/>
      <c r="I139" s="69"/>
      <c r="J139" s="69"/>
      <c r="K139" s="69"/>
      <c r="L139" s="69"/>
      <c r="M139" s="69"/>
      <c r="N139" s="100"/>
    </row>
    <row r="140" spans="1:14" x14ac:dyDescent="0.35">
      <c r="A140" s="99"/>
      <c r="B140" s="69"/>
      <c r="C140" s="69"/>
      <c r="D140" s="69"/>
      <c r="E140" s="69"/>
      <c r="F140" s="69"/>
      <c r="G140" s="69"/>
      <c r="H140" s="69"/>
      <c r="I140" s="69"/>
      <c r="J140" s="69"/>
      <c r="K140" s="69"/>
      <c r="L140" s="69"/>
      <c r="M140" s="69"/>
      <c r="N140" s="100"/>
    </row>
    <row r="141" spans="1:14" x14ac:dyDescent="0.35">
      <c r="A141" s="99"/>
      <c r="B141" s="69"/>
      <c r="C141" s="69"/>
      <c r="D141" s="69"/>
      <c r="E141" s="69"/>
      <c r="F141" s="69"/>
      <c r="G141" s="69"/>
      <c r="H141" s="69"/>
      <c r="I141" s="69"/>
      <c r="J141" s="69"/>
      <c r="K141" s="69"/>
      <c r="L141" s="69"/>
      <c r="M141" s="69"/>
      <c r="N141" s="100"/>
    </row>
    <row r="142" spans="1:14" x14ac:dyDescent="0.35">
      <c r="A142" s="99"/>
      <c r="B142" s="69"/>
      <c r="C142" s="69"/>
      <c r="D142" s="69"/>
      <c r="E142" s="69"/>
      <c r="F142" s="69"/>
      <c r="G142" s="69"/>
      <c r="H142" s="69"/>
      <c r="I142" s="69"/>
      <c r="J142" s="69"/>
      <c r="K142" s="69"/>
      <c r="L142" s="69"/>
      <c r="M142" s="69"/>
      <c r="N142" s="100"/>
    </row>
    <row r="143" spans="1:14" x14ac:dyDescent="0.35">
      <c r="A143" s="99"/>
      <c r="B143" s="69"/>
      <c r="C143" s="69"/>
      <c r="D143" s="69"/>
      <c r="E143" s="69"/>
      <c r="F143" s="69"/>
      <c r="G143" s="69"/>
      <c r="H143" s="69"/>
      <c r="I143" s="69"/>
      <c r="J143" s="69"/>
      <c r="K143" s="69"/>
      <c r="L143" s="69"/>
      <c r="M143" s="69"/>
      <c r="N143" s="100"/>
    </row>
    <row r="144" spans="1:14" x14ac:dyDescent="0.35">
      <c r="A144" s="99"/>
      <c r="B144" s="69"/>
      <c r="C144" s="69"/>
      <c r="D144" s="69"/>
      <c r="E144" s="69"/>
      <c r="F144" s="69"/>
      <c r="G144" s="69"/>
      <c r="H144" s="69"/>
      <c r="I144" s="69"/>
      <c r="J144" s="69"/>
      <c r="K144" s="69"/>
      <c r="L144" s="69"/>
      <c r="M144" s="69"/>
      <c r="N144" s="100"/>
    </row>
    <row r="145" spans="1:14" x14ac:dyDescent="0.35">
      <c r="A145" s="99"/>
      <c r="B145" s="69"/>
      <c r="C145" s="69"/>
      <c r="D145" s="69"/>
      <c r="E145" s="69"/>
      <c r="F145" s="69"/>
      <c r="G145" s="69"/>
      <c r="H145" s="69"/>
      <c r="I145" s="69"/>
      <c r="J145" s="69"/>
      <c r="K145" s="69"/>
      <c r="L145" s="69"/>
      <c r="M145" s="69"/>
      <c r="N145" s="100"/>
    </row>
    <row r="146" spans="1:14" x14ac:dyDescent="0.35">
      <c r="A146" s="99"/>
      <c r="B146" s="69"/>
      <c r="C146" s="69"/>
      <c r="D146" s="69"/>
      <c r="E146" s="69"/>
      <c r="F146" s="69"/>
      <c r="G146" s="69"/>
      <c r="H146" s="69"/>
      <c r="I146" s="69"/>
      <c r="J146" s="69"/>
      <c r="K146" s="69"/>
      <c r="L146" s="69"/>
      <c r="M146" s="69"/>
      <c r="N146" s="100"/>
    </row>
    <row r="147" spans="1:14" x14ac:dyDescent="0.35">
      <c r="A147" s="99"/>
      <c r="B147" s="69"/>
      <c r="C147" s="69"/>
      <c r="D147" s="69"/>
      <c r="E147" s="69"/>
      <c r="F147" s="69"/>
      <c r="G147" s="69"/>
      <c r="H147" s="69"/>
      <c r="I147" s="69"/>
      <c r="J147" s="69"/>
      <c r="K147" s="69"/>
      <c r="L147" s="69"/>
      <c r="M147" s="69"/>
      <c r="N147" s="100"/>
    </row>
    <row r="148" spans="1:14" x14ac:dyDescent="0.35">
      <c r="A148" s="99"/>
      <c r="B148" s="69"/>
      <c r="C148" s="69"/>
      <c r="D148" s="69"/>
      <c r="E148" s="69"/>
      <c r="F148" s="69"/>
      <c r="G148" s="69"/>
      <c r="H148" s="69"/>
      <c r="I148" s="69"/>
      <c r="J148" s="69"/>
      <c r="K148" s="69"/>
      <c r="L148" s="69"/>
      <c r="M148" s="69"/>
      <c r="N148" s="100"/>
    </row>
    <row r="149" spans="1:14" x14ac:dyDescent="0.35">
      <c r="A149" s="99"/>
      <c r="B149" s="69"/>
      <c r="C149" s="69"/>
      <c r="D149" s="69"/>
      <c r="E149" s="69"/>
      <c r="F149" s="69"/>
      <c r="G149" s="69"/>
      <c r="H149" s="69"/>
      <c r="I149" s="69"/>
      <c r="J149" s="69"/>
      <c r="K149" s="69"/>
      <c r="L149" s="69"/>
      <c r="M149" s="69"/>
      <c r="N149" s="100"/>
    </row>
    <row r="150" spans="1:14" x14ac:dyDescent="0.35">
      <c r="A150" s="99"/>
      <c r="B150" s="69"/>
      <c r="C150" s="69"/>
      <c r="D150" s="69"/>
      <c r="E150" s="69"/>
      <c r="F150" s="69"/>
      <c r="G150" s="69"/>
      <c r="H150" s="69"/>
      <c r="I150" s="69"/>
      <c r="J150" s="69"/>
      <c r="K150" s="69"/>
      <c r="L150" s="69"/>
      <c r="M150" s="69"/>
      <c r="N150" s="100"/>
    </row>
    <row r="151" spans="1:14" x14ac:dyDescent="0.35">
      <c r="A151" s="99"/>
      <c r="B151" s="69"/>
      <c r="C151" s="69"/>
      <c r="D151" s="69"/>
      <c r="E151" s="69"/>
      <c r="F151" s="69"/>
      <c r="G151" s="69"/>
      <c r="H151" s="69"/>
      <c r="I151" s="69"/>
      <c r="J151" s="69"/>
      <c r="K151" s="69"/>
      <c r="L151" s="69"/>
      <c r="M151" s="69"/>
      <c r="N151" s="100"/>
    </row>
    <row r="152" spans="1:14" ht="15" thickBot="1" x14ac:dyDescent="0.4">
      <c r="A152" s="261"/>
      <c r="B152" s="161"/>
      <c r="C152" s="161"/>
      <c r="D152" s="161"/>
      <c r="E152" s="161"/>
      <c r="F152" s="161"/>
      <c r="G152" s="161"/>
      <c r="H152" s="161"/>
      <c r="I152" s="161"/>
      <c r="J152" s="161"/>
      <c r="K152" s="161"/>
      <c r="L152" s="161"/>
      <c r="M152" s="161"/>
      <c r="N152" s="163"/>
    </row>
  </sheetData>
  <customSheetViews>
    <customSheetView guid="{ECD6FE6A-9548-414E-B8AA-6998703C57E0}" scale="60" showPageBreaks="1" fitToPage="1" view="pageBreakPreview">
      <selection activeCell="V48" sqref="V48"/>
      <pageMargins left="0" right="0" top="0" bottom="0" header="0" footer="0"/>
      <pageSetup scale="20" fitToHeight="0" orientation="landscape" horizontalDpi="300" verticalDpi="300" r:id="rId1"/>
    </customSheetView>
    <customSheetView guid="{11DE45F5-F478-4ED6-8DFF-12002C22A637}" scale="60" showPageBreaks="1" fitToPage="1" view="pageBreakPreview">
      <selection activeCell="V48" sqref="V48"/>
      <pageMargins left="0" right="0" top="0" bottom="0" header="0" footer="0"/>
      <pageSetup scale="20" fitToHeight="0" orientation="landscape" horizontalDpi="300" verticalDpi="300" r:id="rId2"/>
    </customSheetView>
  </customSheetViews>
  <mergeCells count="14">
    <mergeCell ref="B121:B123"/>
    <mergeCell ref="B128:B130"/>
    <mergeCell ref="B131:B133"/>
    <mergeCell ref="C23:K23"/>
    <mergeCell ref="B72:B73"/>
    <mergeCell ref="C72:C73"/>
    <mergeCell ref="B83:D83"/>
    <mergeCell ref="B88:C88"/>
    <mergeCell ref="A102:C102"/>
    <mergeCell ref="Y2:AA2"/>
    <mergeCell ref="AC2:AE2"/>
    <mergeCell ref="A12:M12"/>
    <mergeCell ref="A14:M15"/>
    <mergeCell ref="AG2:AZ2"/>
  </mergeCells>
  <phoneticPr fontId="152" type="noConversion"/>
  <dataValidations count="13">
    <dataValidation type="list" allowBlank="1" showInputMessage="1" showErrorMessage="1" sqref="V4:V7" xr:uid="{00000000-0002-0000-2E00-000000000000}">
      <formula1>#REF!</formula1>
    </dataValidation>
    <dataValidation type="list" allowBlank="1" showInputMessage="1" showErrorMessage="1" sqref="P4:P7" xr:uid="{00000000-0002-0000-2E00-000001000000}">
      <formula1>$C$128:$C$130</formula1>
    </dataValidation>
    <dataValidation type="list" allowBlank="1" showInputMessage="1" showErrorMessage="1" sqref="S4:S7" xr:uid="{00000000-0002-0000-2E00-000003000000}">
      <formula1>$D$92:$D$93</formula1>
    </dataValidation>
    <dataValidation type="list" allowBlank="1" showInputMessage="1" showErrorMessage="1" sqref="R4:R7" xr:uid="{00000000-0002-0000-2E00-000004000000}">
      <formula1>$F$92:$F$93</formula1>
    </dataValidation>
    <dataValidation type="list" allowBlank="1" showInputMessage="1" showErrorMessage="1" sqref="D4:D7" xr:uid="{00000000-0002-0000-2E00-000005000000}">
      <formula1>MeasureType</formula1>
    </dataValidation>
    <dataValidation type="list" allowBlank="1" showInputMessage="1" showErrorMessage="1" sqref="O4:O7" xr:uid="{00000000-0002-0000-2E00-000006000000}">
      <formula1>ArSl4</formula1>
    </dataValidation>
    <dataValidation type="list" allowBlank="1" showInputMessage="1" showErrorMessage="1" sqref="N4:N7" xr:uid="{00000000-0002-0000-2E00-000007000000}">
      <formula1>Fuel1</formula1>
    </dataValidation>
    <dataValidation type="list" allowBlank="1" showInputMessage="1" showErrorMessage="1" sqref="L4:L7" xr:uid="{00000000-0002-0000-2E00-000008000000}">
      <formula1>TrFl</formula1>
    </dataValidation>
    <dataValidation type="list" allowBlank="1" showInputMessage="1" showErrorMessage="1" sqref="T4:T7" xr:uid="{00000000-0002-0000-2E00-000009000000}">
      <formula1>Unit1</formula1>
    </dataValidation>
    <dataValidation type="list" allowBlank="1" showInputMessage="1" showErrorMessage="1" sqref="M4:M7" xr:uid="{00000000-0002-0000-2E00-00000A000000}">
      <formula1>$B$74:$B$80</formula1>
    </dataValidation>
    <dataValidation type="list" allowBlank="1" showInputMessage="1" showErrorMessage="1" sqref="G4:G7" xr:uid="{00000000-0002-0000-2E00-00000B000000}">
      <formula1>BSIn1</formula1>
    </dataValidation>
    <dataValidation type="list" allowBlank="1" showInputMessage="1" showErrorMessage="1" sqref="X4:X7" xr:uid="{00000000-0002-0000-2E00-00000C000000}">
      <formula1>ArSl1</formula1>
    </dataValidation>
    <dataValidation type="list" allowBlank="1" showInputMessage="1" showErrorMessage="1" sqref="Q4:Q7" xr:uid="{00000000-0002-0000-2E00-000002000000}">
      <formula1>IF(R4=F92,$C$124,IF(R4=F93,$C$121:$C$123,FALSE))</formula1>
    </dataValidation>
  </dataValidations>
  <hyperlinks>
    <hyperlink ref="A1" location="'Measure-Level Adjustments'!Print_Titles" display="Measure Level Tab" xr:uid="{76D5A477-D992-4D0A-9FD5-4C3640BE6CC0}"/>
  </hyperlinks>
  <pageMargins left="0.7" right="0.7" top="0.75" bottom="0.75" header="0.3" footer="0.3"/>
  <pageSetup scale="19" fitToHeight="0" orientation="landscape" horizontalDpi="300" verticalDpi="300" r:id="rId3"/>
  <drawing r:id="rId4"/>
  <legacyDrawing r:id="rId5"/>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50"/>
    <pageSetUpPr fitToPage="1"/>
  </sheetPr>
  <dimension ref="A1:AQ80"/>
  <sheetViews>
    <sheetView view="pageBreakPreview" zoomScale="80" zoomScaleNormal="90" zoomScaleSheetLayoutView="80" workbookViewId="0">
      <selection activeCell="AH4" sqref="AH4"/>
    </sheetView>
  </sheetViews>
  <sheetFormatPr defaultRowHeight="14.5" x14ac:dyDescent="0.35"/>
  <cols>
    <col min="1" max="1" width="21.26953125" customWidth="1"/>
    <col min="2" max="2" width="42.1796875" bestFit="1" customWidth="1"/>
    <col min="3" max="3" width="12.54296875" customWidth="1"/>
    <col min="4" max="4" width="20" bestFit="1" customWidth="1"/>
    <col min="5" max="5" width="11.453125" customWidth="1"/>
    <col min="6" max="6" width="11" customWidth="1"/>
    <col min="7" max="7" width="12" customWidth="1"/>
    <col min="8" max="8" width="10" customWidth="1"/>
    <col min="9" max="9" width="11.453125" customWidth="1"/>
    <col min="10" max="10" width="13" customWidth="1"/>
    <col min="11" max="12" width="11.453125" customWidth="1"/>
    <col min="13" max="13" width="10.54296875" customWidth="1"/>
    <col min="15" max="15" width="9.453125" customWidth="1"/>
    <col min="16" max="16" width="10.81640625" customWidth="1"/>
    <col min="17" max="17" width="15.26953125" bestFit="1" customWidth="1"/>
    <col min="18" max="18" width="27.7265625" customWidth="1"/>
    <col min="19" max="19" width="13.26953125" customWidth="1"/>
    <col min="20" max="20" width="10" bestFit="1" customWidth="1"/>
    <col min="22" max="22" width="22.453125" customWidth="1"/>
    <col min="23" max="23" width="9.7265625" bestFit="1" customWidth="1"/>
    <col min="24" max="24" width="13.26953125" customWidth="1"/>
    <col min="40" max="40" width="11.453125" customWidth="1"/>
  </cols>
  <sheetData>
    <row r="1" spans="1:43" x14ac:dyDescent="0.35">
      <c r="A1" s="2565" t="s">
        <v>1031</v>
      </c>
    </row>
    <row r="2" spans="1:43" ht="32.25" customHeight="1" x14ac:dyDescent="0.35">
      <c r="A2" s="969" t="s">
        <v>828</v>
      </c>
      <c r="B2" s="993" t="s">
        <v>826</v>
      </c>
      <c r="C2" s="997"/>
      <c r="D2" s="997"/>
      <c r="E2" s="998"/>
      <c r="F2" s="998"/>
      <c r="G2" s="998"/>
      <c r="H2" s="998"/>
      <c r="I2" s="998"/>
      <c r="J2" s="998"/>
      <c r="K2" s="998"/>
      <c r="L2" s="998"/>
      <c r="M2" s="998"/>
      <c r="N2" s="998"/>
      <c r="O2" s="998"/>
      <c r="P2" s="998"/>
      <c r="Q2" s="998"/>
      <c r="R2" s="3013" t="s">
        <v>1032</v>
      </c>
      <c r="S2" s="3014"/>
      <c r="T2" s="3098"/>
      <c r="U2" s="3013" t="s">
        <v>1033</v>
      </c>
      <c r="V2" s="3014"/>
      <c r="W2" s="3098"/>
      <c r="X2" s="3137" t="s">
        <v>1158</v>
      </c>
      <c r="Y2" s="3138"/>
      <c r="Z2" s="3138"/>
      <c r="AA2" s="3138"/>
      <c r="AB2" s="3138"/>
      <c r="AC2" s="3138"/>
      <c r="AD2" s="3138"/>
      <c r="AE2" s="3138"/>
      <c r="AF2" s="3138"/>
      <c r="AG2" s="3138"/>
      <c r="AH2" s="3138"/>
      <c r="AI2" s="3138"/>
      <c r="AJ2" s="3138"/>
      <c r="AK2" s="3138"/>
      <c r="AL2" s="3138"/>
      <c r="AM2" s="3138"/>
      <c r="AN2" s="2881"/>
    </row>
    <row r="3" spans="1:43" ht="58" x14ac:dyDescent="0.35">
      <c r="A3" s="1428" t="s">
        <v>1035</v>
      </c>
      <c r="B3" s="1032" t="s">
        <v>155</v>
      </c>
      <c r="C3" s="1032" t="s">
        <v>1036</v>
      </c>
      <c r="D3" s="1032" t="s">
        <v>1037</v>
      </c>
      <c r="E3" s="949" t="s">
        <v>1038</v>
      </c>
      <c r="F3" s="949" t="s">
        <v>1039</v>
      </c>
      <c r="G3" s="949" t="s">
        <v>1040</v>
      </c>
      <c r="H3" s="949" t="s">
        <v>1041</v>
      </c>
      <c r="I3" s="949" t="s">
        <v>3997</v>
      </c>
      <c r="J3" s="949" t="s">
        <v>4385</v>
      </c>
      <c r="K3" s="997" t="s">
        <v>4386</v>
      </c>
      <c r="L3" s="997" t="s">
        <v>1684</v>
      </c>
      <c r="M3" s="997" t="s">
        <v>3660</v>
      </c>
      <c r="N3" s="997" t="s">
        <v>4387</v>
      </c>
      <c r="O3" s="997" t="s">
        <v>2810</v>
      </c>
      <c r="P3" s="997" t="s">
        <v>4120</v>
      </c>
      <c r="Q3" s="997" t="s">
        <v>4119</v>
      </c>
      <c r="R3" s="951" t="s">
        <v>1044</v>
      </c>
      <c r="S3" s="951" t="s">
        <v>1045</v>
      </c>
      <c r="T3" s="951" t="s">
        <v>1046</v>
      </c>
      <c r="U3" s="951" t="s">
        <v>1044</v>
      </c>
      <c r="V3" s="951" t="s">
        <v>1045</v>
      </c>
      <c r="W3" s="951" t="s">
        <v>1046</v>
      </c>
      <c r="X3" s="1508" t="s">
        <v>4315</v>
      </c>
      <c r="Y3" s="1508" t="s">
        <v>4316</v>
      </c>
      <c r="Z3" s="1508" t="s">
        <v>4388</v>
      </c>
      <c r="AA3" s="1508" t="s">
        <v>4389</v>
      </c>
      <c r="AB3" s="1508" t="s">
        <v>4390</v>
      </c>
      <c r="AC3" s="1508" t="s">
        <v>4319</v>
      </c>
      <c r="AD3" s="1508" t="s">
        <v>4391</v>
      </c>
      <c r="AE3" s="1508" t="s">
        <v>4323</v>
      </c>
      <c r="AF3" s="1508" t="s">
        <v>4129</v>
      </c>
      <c r="AG3" s="1508" t="s">
        <v>4130</v>
      </c>
      <c r="AH3" s="1508" t="s">
        <v>3200</v>
      </c>
      <c r="AI3" s="1508" t="s">
        <v>4133</v>
      </c>
      <c r="AJ3" s="1508" t="s">
        <v>4134</v>
      </c>
      <c r="AK3" s="1508" t="s">
        <v>4135</v>
      </c>
      <c r="AL3" s="1508" t="s">
        <v>1179</v>
      </c>
      <c r="AM3" s="1508" t="s">
        <v>4134</v>
      </c>
      <c r="AN3" s="1508" t="s">
        <v>3202</v>
      </c>
      <c r="AP3" s="274"/>
      <c r="AQ3" s="274"/>
    </row>
    <row r="4" spans="1:43" ht="58" x14ac:dyDescent="0.35">
      <c r="A4" s="1047" t="s">
        <v>895</v>
      </c>
      <c r="B4" s="1047" t="s">
        <v>4392</v>
      </c>
      <c r="C4" s="1047" t="s">
        <v>826</v>
      </c>
      <c r="D4" s="1047" t="s">
        <v>4142</v>
      </c>
      <c r="E4" s="1480" t="s">
        <v>1632</v>
      </c>
      <c r="F4" s="2762">
        <v>20</v>
      </c>
      <c r="G4" s="1005"/>
      <c r="H4" s="1481" t="s">
        <v>3222</v>
      </c>
      <c r="I4" s="1407" t="s">
        <v>3224</v>
      </c>
      <c r="J4" s="1449">
        <v>30</v>
      </c>
      <c r="K4" s="1449">
        <v>500</v>
      </c>
      <c r="L4" s="1482" t="s">
        <v>1691</v>
      </c>
      <c r="M4" s="1482" t="s">
        <v>4393</v>
      </c>
      <c r="N4" s="1407" t="s">
        <v>3300</v>
      </c>
      <c r="O4" s="1190" t="s">
        <v>4394</v>
      </c>
      <c r="P4" s="1407" t="s">
        <v>3174</v>
      </c>
      <c r="Q4" s="1407" t="s">
        <v>3298</v>
      </c>
      <c r="R4" s="1483"/>
      <c r="S4" s="1484"/>
      <c r="T4" s="2879">
        <f>IF(O4=$D$70,(((1/AB4-1/(AC4+AB4))*AD4*(1-AE4))*24*AI4)/(100000*AM4)*AA4,0)</f>
        <v>68.676057718385039</v>
      </c>
      <c r="U4" s="1485"/>
      <c r="V4" s="1484"/>
      <c r="W4" s="1778">
        <f>T4*10+T6*10</f>
        <v>1373.5211543677008</v>
      </c>
      <c r="X4" s="1486" t="e">
        <f>(((1/AB4-1/(AC4+AB4))*AD4*(1-AE4))*24*AF4*AG4)/(1000*AH4)</f>
        <v>#N/A</v>
      </c>
      <c r="Y4" s="1486">
        <f>IF(O4=$D$70,T4*0.0314*29.3,(((1/AB4-1/(AB4+AC4))*AD4*(1-AE4))*24*AI4)/(3412*AJ4))*Z4</f>
        <v>50.546677297654881</v>
      </c>
      <c r="Z4" s="1486">
        <f>+$B$21</f>
        <v>0.8</v>
      </c>
      <c r="AA4" s="1486">
        <f>+$B$41</f>
        <v>0.6</v>
      </c>
      <c r="AB4" s="2772">
        <f>+$B$23</f>
        <v>3.53</v>
      </c>
      <c r="AC4" s="961">
        <f>J4</f>
        <v>30</v>
      </c>
      <c r="AD4" s="961">
        <f>K4</f>
        <v>500</v>
      </c>
      <c r="AE4" s="1487">
        <f>+$B$28</f>
        <v>0.12</v>
      </c>
      <c r="AF4" s="961">
        <f>VLOOKUP(L4,$B$57:$C$62,2,FALSE)</f>
        <v>281</v>
      </c>
      <c r="AG4" s="961">
        <f>+$B$32</f>
        <v>0.75</v>
      </c>
      <c r="AH4" s="961" t="e">
        <f>IF(OR(M4=$B$69,M4=$B$71),VLOOKUP(N4,$I$57:$J$59,2,FALSE),IF(M4=$B$70,VLOOKUP(N4,$I$60:$J$62,2,FALSE)))</f>
        <v>#N/A</v>
      </c>
      <c r="AI4" s="1488">
        <f>VLOOKUP(L4,$B$57:$D$62,3,FALSE)</f>
        <v>3079</v>
      </c>
      <c r="AJ4" s="961">
        <f>IF(P4=$L$60,1,VLOOKUP(Q4,$M$57:$O$59,3,FALSE))</f>
        <v>1.7</v>
      </c>
      <c r="AK4" s="961">
        <f>VLOOKUP(L4,$B$57:$F$62,IF(I4=$E$56,4,5),FALSE)</f>
        <v>570</v>
      </c>
      <c r="AL4" s="1410">
        <f>VLOOKUP(M4,$Q$57:$R$59,2,FALSE)</f>
        <v>0.46600000000000003</v>
      </c>
      <c r="AM4" s="1410">
        <f>+$B$47</f>
        <v>0.72</v>
      </c>
      <c r="AN4" s="472">
        <v>1</v>
      </c>
      <c r="AP4" s="274"/>
      <c r="AQ4" s="274"/>
    </row>
    <row r="5" spans="1:43" ht="58" x14ac:dyDescent="0.35">
      <c r="A5" s="1047" t="s">
        <v>827</v>
      </c>
      <c r="B5" s="1047" t="str">
        <f>$B$2&amp;" - "&amp;I5&amp;", "&amp;", R-value = "&amp;J5&amp;", Area = "&amp;K5&amp;" ft"</f>
        <v>Floor Insulation Above Crawlspace - Single family, , R-value = 30, Area = 500 ft</v>
      </c>
      <c r="C5" s="1047" t="s">
        <v>826</v>
      </c>
      <c r="D5" s="1047" t="s">
        <v>4142</v>
      </c>
      <c r="E5" s="1480" t="s">
        <v>1632</v>
      </c>
      <c r="F5" s="2762">
        <v>20</v>
      </c>
      <c r="G5" s="1005"/>
      <c r="H5" s="1481" t="s">
        <v>3222</v>
      </c>
      <c r="I5" s="1407" t="s">
        <v>3224</v>
      </c>
      <c r="J5" s="1449">
        <v>30</v>
      </c>
      <c r="K5" s="1449">
        <v>500</v>
      </c>
      <c r="L5" s="1482" t="s">
        <v>1691</v>
      </c>
      <c r="M5" s="1482" t="s">
        <v>4393</v>
      </c>
      <c r="N5" s="1407" t="s">
        <v>3300</v>
      </c>
      <c r="O5" s="1190" t="s">
        <v>4394</v>
      </c>
      <c r="P5" s="1407" t="s">
        <v>3174</v>
      </c>
      <c r="Q5" s="1407" t="s">
        <v>3298</v>
      </c>
      <c r="R5" s="1483"/>
      <c r="S5" s="1484"/>
      <c r="T5" s="2879">
        <f>IF(O5=$D$70,(((1/AB5-1/(AC5+AB5))*AD5*(1-AE5))*24*AI5)/(100000*AM5)*AA5,0)</f>
        <v>68.676057718385039</v>
      </c>
      <c r="U5" s="1485"/>
      <c r="V5" s="1484"/>
      <c r="W5" s="1778">
        <f>T5*10+T6*10</f>
        <v>1373.5211543677008</v>
      </c>
      <c r="X5" s="1486" t="e">
        <f>(((1/AB5-1/(AC5+AB5))*AD5*(1-AE5))*24*AF5*AG5)/(1000*AH5)</f>
        <v>#N/A</v>
      </c>
      <c r="Y5" s="1486">
        <f>IF(O5=$D$70,T5*0.0314*29.3,(((1/AB5-1/(AB5+AC5))*AD5*(1-AE5))*24*AI5)/(3412*AJ5))*Z5</f>
        <v>50.546677297654881</v>
      </c>
      <c r="Z5" s="1486">
        <f>+$B$21</f>
        <v>0.8</v>
      </c>
      <c r="AA5" s="1486">
        <f>+$B$41</f>
        <v>0.6</v>
      </c>
      <c r="AB5" s="2772">
        <f>+$B$23</f>
        <v>3.53</v>
      </c>
      <c r="AC5" s="961">
        <f>J5</f>
        <v>30</v>
      </c>
      <c r="AD5" s="961">
        <f>K5</f>
        <v>500</v>
      </c>
      <c r="AE5" s="1487">
        <f>+$B$28</f>
        <v>0.12</v>
      </c>
      <c r="AF5" s="961">
        <f>VLOOKUP(L5,$B$57:$C$62,2,FALSE)</f>
        <v>281</v>
      </c>
      <c r="AG5" s="961">
        <f>+$B$32</f>
        <v>0.75</v>
      </c>
      <c r="AH5" s="961" t="e">
        <f>IF(OR(M5=$B$69,M5=$B$71),VLOOKUP(N5,$I$57:$J$59,2,FALSE),IF(M5=$B$70,VLOOKUP(N5,$I$60:$J$62,2,FALSE)))</f>
        <v>#N/A</v>
      </c>
      <c r="AI5" s="1488">
        <f>VLOOKUP(L5,$B$57:$D$62,3,FALSE)</f>
        <v>3079</v>
      </c>
      <c r="AJ5" s="961">
        <f>IF(P5=$L$60,1,VLOOKUP(Q5,$M$57:$O$59,3,FALSE))</f>
        <v>1.7</v>
      </c>
      <c r="AK5" s="961">
        <f>VLOOKUP(L5,$B$57:$F$62,IF(I5=$E$56,4,5),FALSE)</f>
        <v>570</v>
      </c>
      <c r="AL5" s="1410">
        <f>VLOOKUP(M5,$Q$57:$R$59,2,FALSE)</f>
        <v>0.46600000000000003</v>
      </c>
      <c r="AM5" s="1410">
        <f>+$B$47</f>
        <v>0.72</v>
      </c>
      <c r="AN5" s="472">
        <v>1</v>
      </c>
    </row>
    <row r="6" spans="1:43" ht="44.25" customHeight="1" thickBot="1" x14ac:dyDescent="0.4">
      <c r="T6" s="2777">
        <f>IF(O5=$D$70,(((1/AB5-1/(AC5+AB5))*AD5*(1-AE5))*24*AI5)/(100000*AM6)*AA5,0)</f>
        <v>68.676057718385039</v>
      </c>
      <c r="AM6" s="2749">
        <f>IF(0.8*0.85&lt;B47,B47,0.8*0.85)</f>
        <v>0.72</v>
      </c>
      <c r="AN6" s="2749"/>
    </row>
    <row r="7" spans="1:43" ht="15" thickBot="1" x14ac:dyDescent="0.4">
      <c r="A7" s="62" t="s">
        <v>1188</v>
      </c>
      <c r="B7" s="64"/>
      <c r="C7" s="64"/>
      <c r="D7" s="64"/>
      <c r="E7" s="64"/>
      <c r="F7" s="64"/>
      <c r="G7" s="64"/>
      <c r="H7" s="64"/>
      <c r="I7" s="64"/>
      <c r="J7" s="65"/>
    </row>
    <row r="8" spans="1:43" x14ac:dyDescent="0.35">
      <c r="A8" s="67" t="s">
        <v>4332</v>
      </c>
      <c r="B8" s="68"/>
      <c r="C8" s="69"/>
      <c r="D8" s="69"/>
      <c r="E8" s="69"/>
      <c r="F8" s="69"/>
      <c r="G8" s="69"/>
      <c r="H8" s="69"/>
      <c r="I8" s="69"/>
      <c r="J8" s="70"/>
      <c r="Q8" t="s">
        <v>4395</v>
      </c>
      <c r="V8" s="1746" t="s">
        <v>4396</v>
      </c>
    </row>
    <row r="9" spans="1:43" ht="24.75" customHeight="1" x14ac:dyDescent="0.35">
      <c r="A9" s="67" t="s">
        <v>4397</v>
      </c>
      <c r="B9" s="69"/>
      <c r="C9" s="69"/>
      <c r="D9" s="69"/>
      <c r="E9" s="69"/>
      <c r="F9" s="69"/>
      <c r="G9" s="69"/>
      <c r="H9" s="69"/>
      <c r="I9" s="69"/>
      <c r="J9" s="70"/>
      <c r="Q9" s="2761">
        <f>IF(V9/T9&gt;$B49,$B$49,V9/T9)</f>
        <v>20</v>
      </c>
      <c r="R9" t="s">
        <v>4398</v>
      </c>
      <c r="T9" s="1746">
        <f>(((1/AB9-1/(AC9+AB9))*AD9*(1-AE9))*24*AI9)/(100000*AM9)*AA9</f>
        <v>60.443659206910091</v>
      </c>
      <c r="V9" s="1746">
        <f>T9*10+T10*10</f>
        <v>1208.8731841382019</v>
      </c>
      <c r="X9">
        <v>43.391148467233563</v>
      </c>
      <c r="Y9">
        <v>50.546677297654881</v>
      </c>
      <c r="Z9">
        <v>0.8</v>
      </c>
      <c r="AA9">
        <v>0.6</v>
      </c>
      <c r="AB9">
        <v>3.96</v>
      </c>
      <c r="AC9">
        <v>30</v>
      </c>
      <c r="AD9">
        <v>500</v>
      </c>
      <c r="AE9">
        <v>0.12</v>
      </c>
      <c r="AF9">
        <v>281</v>
      </c>
      <c r="AG9">
        <v>0.75</v>
      </c>
      <c r="AH9">
        <v>13</v>
      </c>
      <c r="AI9">
        <v>3079</v>
      </c>
      <c r="AJ9">
        <v>1.7</v>
      </c>
      <c r="AK9">
        <v>570</v>
      </c>
      <c r="AL9">
        <v>0.46600000000000003</v>
      </c>
      <c r="AM9">
        <v>0.72</v>
      </c>
    </row>
    <row r="10" spans="1:43" ht="25.5" customHeight="1" x14ac:dyDescent="0.35">
      <c r="A10" s="67" t="s">
        <v>4399</v>
      </c>
      <c r="B10" s="69"/>
      <c r="C10" s="69"/>
      <c r="D10" s="69"/>
      <c r="E10" s="69"/>
      <c r="F10" s="69"/>
      <c r="G10" s="69"/>
      <c r="H10" s="69"/>
      <c r="I10" s="69"/>
      <c r="J10" s="70"/>
      <c r="Q10" s="615"/>
      <c r="R10" t="s">
        <v>4400</v>
      </c>
      <c r="T10" s="2641">
        <f>(((1/AB9-1/(AC9+AB9))*AD9*(1-AE9))*24*AI9)/(100000*AM6)*AA9</f>
        <v>60.443659206910091</v>
      </c>
    </row>
    <row r="11" spans="1:43" x14ac:dyDescent="0.35">
      <c r="A11" s="67" t="s">
        <v>4168</v>
      </c>
      <c r="B11" s="68"/>
      <c r="C11" s="69"/>
      <c r="D11" s="69"/>
      <c r="E11" s="69"/>
      <c r="F11" s="69"/>
      <c r="G11" s="69"/>
      <c r="H11" s="69"/>
      <c r="I11" s="69"/>
      <c r="J11" s="70"/>
    </row>
    <row r="12" spans="1:43" x14ac:dyDescent="0.35">
      <c r="A12" s="67" t="s">
        <v>4401</v>
      </c>
      <c r="B12" s="69"/>
      <c r="C12" s="69"/>
      <c r="D12" s="69"/>
      <c r="E12" s="69"/>
      <c r="F12" s="69"/>
      <c r="G12" s="69"/>
      <c r="H12" s="69"/>
      <c r="I12" s="69"/>
      <c r="J12" s="70"/>
    </row>
    <row r="13" spans="1:43" x14ac:dyDescent="0.35">
      <c r="A13" s="67" t="s">
        <v>4163</v>
      </c>
      <c r="B13" s="69"/>
      <c r="C13" s="69"/>
      <c r="D13" s="69"/>
      <c r="E13" s="69"/>
      <c r="F13" s="69"/>
      <c r="G13" s="69"/>
      <c r="H13" s="69"/>
      <c r="I13" s="69"/>
      <c r="J13" s="70"/>
    </row>
    <row r="14" spans="1:43" ht="15" thickBot="1" x14ac:dyDescent="0.4">
      <c r="A14" s="2720" t="s">
        <v>4402</v>
      </c>
      <c r="B14" s="2722"/>
      <c r="C14" s="2721"/>
      <c r="D14" s="2721"/>
      <c r="E14" s="2721"/>
      <c r="F14" s="72"/>
      <c r="G14" s="72"/>
      <c r="H14" s="72"/>
      <c r="I14" s="72"/>
      <c r="J14" s="73"/>
    </row>
    <row r="15" spans="1:43" ht="15" thickBot="1" x14ac:dyDescent="0.4">
      <c r="A15" s="154" t="s">
        <v>1078</v>
      </c>
      <c r="B15" s="1142">
        <f>'Measure-Level Adjustments'!A2</f>
        <v>44592</v>
      </c>
    </row>
    <row r="16" spans="1:43" ht="15" thickBot="1" x14ac:dyDescent="0.4">
      <c r="A16" s="154" t="s">
        <v>1079</v>
      </c>
      <c r="B16" s="577" t="s">
        <v>4403</v>
      </c>
    </row>
    <row r="17" spans="1:12" ht="15" thickBot="1" x14ac:dyDescent="0.4"/>
    <row r="18" spans="1:12" ht="15" thickBot="1" x14ac:dyDescent="0.4">
      <c r="A18" s="637" t="s">
        <v>1285</v>
      </c>
      <c r="B18" s="638" t="s">
        <v>1199</v>
      </c>
      <c r="C18" s="76" t="s">
        <v>1082</v>
      </c>
      <c r="D18" s="64"/>
      <c r="E18" s="64"/>
      <c r="F18" s="64"/>
      <c r="G18" s="64"/>
      <c r="H18" s="64"/>
      <c r="I18" s="64"/>
      <c r="J18" s="64"/>
      <c r="K18" s="65"/>
    </row>
    <row r="19" spans="1:12" x14ac:dyDescent="0.35">
      <c r="A19" s="1479" t="s">
        <v>4315</v>
      </c>
      <c r="B19" s="1489" t="s">
        <v>4404</v>
      </c>
      <c r="C19" s="52" t="s">
        <v>4405</v>
      </c>
      <c r="D19" s="69"/>
      <c r="E19" s="69"/>
      <c r="F19" s="69"/>
      <c r="G19" s="69"/>
      <c r="H19" s="69"/>
      <c r="I19" s="69"/>
      <c r="J19" s="69"/>
      <c r="K19" s="100"/>
    </row>
    <row r="20" spans="1:12" ht="26.25" customHeight="1" thickBot="1" x14ac:dyDescent="0.4">
      <c r="A20" s="1490" t="s">
        <v>4316</v>
      </c>
      <c r="B20" s="1491" t="s">
        <v>4404</v>
      </c>
      <c r="C20" s="3017" t="s">
        <v>4406</v>
      </c>
      <c r="D20" s="3017"/>
      <c r="E20" s="3017"/>
      <c r="F20" s="3017"/>
      <c r="G20" s="3017"/>
      <c r="H20" s="3017"/>
      <c r="I20" s="3017"/>
      <c r="J20" s="3017"/>
      <c r="K20" s="3018"/>
      <c r="L20" s="1475"/>
    </row>
    <row r="21" spans="1:12" x14ac:dyDescent="0.35">
      <c r="A21" s="3405" t="s">
        <v>4407</v>
      </c>
      <c r="B21" s="1492">
        <v>0.8</v>
      </c>
      <c r="C21" s="641" t="s">
        <v>4408</v>
      </c>
      <c r="D21" s="380"/>
      <c r="E21" s="380"/>
      <c r="F21" s="380"/>
      <c r="G21" s="380"/>
      <c r="H21" s="380"/>
      <c r="I21" s="380"/>
      <c r="J21" s="380"/>
      <c r="K21" s="381"/>
    </row>
    <row r="22" spans="1:12" ht="15" thickBot="1" x14ac:dyDescent="0.4">
      <c r="A22" s="3406"/>
      <c r="B22" s="1493"/>
      <c r="C22" s="642" t="s">
        <v>4409</v>
      </c>
      <c r="D22" s="161"/>
      <c r="E22" s="161"/>
      <c r="F22" s="161"/>
      <c r="G22" s="161"/>
      <c r="H22" s="161"/>
      <c r="I22" s="161"/>
      <c r="J22" s="161"/>
      <c r="K22" s="163"/>
    </row>
    <row r="23" spans="1:12" x14ac:dyDescent="0.35">
      <c r="A23" s="3405" t="s">
        <v>4390</v>
      </c>
      <c r="B23" s="2878">
        <v>3.53</v>
      </c>
      <c r="C23" s="641" t="s">
        <v>4410</v>
      </c>
      <c r="D23" s="380"/>
      <c r="E23" s="380"/>
      <c r="F23" s="380"/>
      <c r="G23" s="380"/>
      <c r="H23" s="380"/>
      <c r="I23" s="380"/>
      <c r="J23" s="380"/>
      <c r="K23" s="381"/>
    </row>
    <row r="24" spans="1:12" ht="15" thickBot="1" x14ac:dyDescent="0.4">
      <c r="A24" s="3406"/>
      <c r="B24" s="1495"/>
      <c r="C24" s="2610" t="s">
        <v>4411</v>
      </c>
      <c r="D24" s="2611"/>
      <c r="E24" s="2611"/>
      <c r="F24" s="161"/>
      <c r="G24" s="161"/>
      <c r="H24" s="161"/>
      <c r="I24" s="161"/>
      <c r="J24" s="161"/>
      <c r="K24" s="163"/>
    </row>
    <row r="25" spans="1:12" ht="15" thickBot="1" x14ac:dyDescent="0.4">
      <c r="A25" s="1496" t="s">
        <v>4319</v>
      </c>
      <c r="B25" s="1497">
        <f>+J5</f>
        <v>30</v>
      </c>
      <c r="C25" s="648" t="s">
        <v>4346</v>
      </c>
      <c r="D25" s="606"/>
      <c r="E25" s="606"/>
      <c r="F25" s="606"/>
      <c r="G25" s="606"/>
      <c r="H25" s="606"/>
      <c r="I25" s="606"/>
      <c r="J25" s="606"/>
      <c r="K25" s="607"/>
    </row>
    <row r="26" spans="1:12" x14ac:dyDescent="0.35">
      <c r="A26" s="3407" t="s">
        <v>4391</v>
      </c>
      <c r="B26" s="1494">
        <f>+J5</f>
        <v>30</v>
      </c>
      <c r="C26" s="641" t="s">
        <v>4412</v>
      </c>
      <c r="D26" s="380"/>
      <c r="E26" s="380"/>
      <c r="F26" s="380"/>
      <c r="G26" s="380"/>
      <c r="H26" s="380"/>
      <c r="I26" s="380"/>
      <c r="J26" s="380"/>
      <c r="K26" s="381"/>
    </row>
    <row r="27" spans="1:12" ht="15" thickBot="1" x14ac:dyDescent="0.4">
      <c r="A27" s="3408"/>
      <c r="B27" s="1495"/>
      <c r="C27" s="642" t="s">
        <v>2235</v>
      </c>
      <c r="D27" s="161"/>
      <c r="E27" s="161"/>
      <c r="F27" s="161"/>
      <c r="G27" s="161"/>
      <c r="H27" s="161"/>
      <c r="I27" s="161"/>
      <c r="J27" s="161"/>
      <c r="K27" s="163"/>
    </row>
    <row r="28" spans="1:12" x14ac:dyDescent="0.35">
      <c r="A28" s="3405" t="s">
        <v>4323</v>
      </c>
      <c r="B28" s="1498">
        <v>0.12</v>
      </c>
      <c r="C28" s="641" t="s">
        <v>4413</v>
      </c>
      <c r="D28" s="380"/>
      <c r="E28" s="380"/>
      <c r="F28" s="380"/>
      <c r="G28" s="380"/>
      <c r="H28" s="380"/>
      <c r="I28" s="380"/>
      <c r="J28" s="380"/>
      <c r="K28" s="381"/>
    </row>
    <row r="29" spans="1:12" ht="15" thickBot="1" x14ac:dyDescent="0.4">
      <c r="A29" s="3406"/>
      <c r="B29" s="1499"/>
      <c r="C29" s="642" t="s">
        <v>4414</v>
      </c>
      <c r="D29" s="161"/>
      <c r="E29" s="161"/>
      <c r="F29" s="161"/>
      <c r="G29" s="161"/>
      <c r="H29" s="161"/>
      <c r="I29" s="161"/>
      <c r="J29" s="161"/>
      <c r="K29" s="163"/>
    </row>
    <row r="30" spans="1:12" x14ac:dyDescent="0.35">
      <c r="A30" s="3405" t="s">
        <v>4129</v>
      </c>
      <c r="B30" s="1494" t="s">
        <v>4415</v>
      </c>
      <c r="C30" s="641" t="s">
        <v>4187</v>
      </c>
      <c r="D30" s="380"/>
      <c r="E30" s="380"/>
      <c r="F30" s="380"/>
      <c r="G30" s="380"/>
      <c r="H30" s="380"/>
      <c r="I30" s="380"/>
      <c r="J30" s="380"/>
      <c r="K30" s="381"/>
    </row>
    <row r="31" spans="1:12" ht="15" thickBot="1" x14ac:dyDescent="0.4">
      <c r="A31" s="3406"/>
      <c r="B31" s="1495"/>
      <c r="C31" s="642" t="s">
        <v>4416</v>
      </c>
      <c r="D31" s="161"/>
      <c r="E31" s="161"/>
      <c r="F31" s="161"/>
      <c r="G31" s="161"/>
      <c r="H31" s="161"/>
      <c r="I31" s="161"/>
      <c r="J31" s="161"/>
      <c r="K31" s="163"/>
    </row>
    <row r="32" spans="1:12" x14ac:dyDescent="0.35">
      <c r="A32" s="3405" t="s">
        <v>4130</v>
      </c>
      <c r="B32" s="1494">
        <v>0.75</v>
      </c>
      <c r="C32" s="641" t="s">
        <v>4354</v>
      </c>
      <c r="D32" s="380"/>
      <c r="E32" s="380"/>
      <c r="F32" s="380"/>
      <c r="G32" s="380"/>
      <c r="H32" s="380"/>
      <c r="I32" s="380"/>
      <c r="J32" s="380"/>
      <c r="K32" s="381"/>
    </row>
    <row r="33" spans="1:11" ht="15" thickBot="1" x14ac:dyDescent="0.4">
      <c r="A33" s="3406"/>
      <c r="B33" s="1495"/>
      <c r="C33" s="642" t="s">
        <v>4417</v>
      </c>
      <c r="D33" s="161"/>
      <c r="E33" s="161"/>
      <c r="F33" s="161"/>
      <c r="G33" s="161"/>
      <c r="H33" s="161"/>
      <c r="I33" s="161"/>
      <c r="J33" s="161"/>
      <c r="K33" s="163"/>
    </row>
    <row r="34" spans="1:11" x14ac:dyDescent="0.35">
      <c r="A34" s="3405" t="s">
        <v>3200</v>
      </c>
      <c r="B34" s="3409" t="s">
        <v>4415</v>
      </c>
      <c r="C34" s="641" t="s">
        <v>4418</v>
      </c>
      <c r="D34" s="380"/>
      <c r="E34" s="380"/>
      <c r="F34" s="380"/>
      <c r="G34" s="380"/>
      <c r="H34" s="380"/>
      <c r="I34" s="380"/>
      <c r="J34" s="380"/>
      <c r="K34" s="381"/>
    </row>
    <row r="35" spans="1:11" ht="15" thickBot="1" x14ac:dyDescent="0.4">
      <c r="A35" s="3406"/>
      <c r="B35" s="3410"/>
      <c r="C35" s="642" t="s">
        <v>4419</v>
      </c>
      <c r="D35" s="161"/>
      <c r="E35" s="161"/>
      <c r="F35" s="161"/>
      <c r="G35" s="161"/>
      <c r="H35" s="161"/>
      <c r="I35" s="161"/>
      <c r="J35" s="161"/>
      <c r="K35" s="163"/>
    </row>
    <row r="36" spans="1:11" x14ac:dyDescent="0.35">
      <c r="A36" s="3405" t="s">
        <v>4133</v>
      </c>
      <c r="B36" s="1494" t="s">
        <v>4415</v>
      </c>
      <c r="C36" s="641" t="s">
        <v>4361</v>
      </c>
      <c r="D36" s="380"/>
      <c r="E36" s="380"/>
      <c r="F36" s="380"/>
      <c r="G36" s="380"/>
      <c r="H36" s="380"/>
      <c r="I36" s="380"/>
      <c r="J36" s="380"/>
      <c r="K36" s="381"/>
    </row>
    <row r="37" spans="1:11" ht="15" thickBot="1" x14ac:dyDescent="0.4">
      <c r="A37" s="3406"/>
      <c r="B37" s="1500"/>
      <c r="C37" s="642" t="s">
        <v>4416</v>
      </c>
      <c r="D37" s="161"/>
      <c r="E37" s="161"/>
      <c r="F37" s="161"/>
      <c r="G37" s="161"/>
      <c r="H37" s="161"/>
      <c r="I37" s="161"/>
      <c r="J37" s="161"/>
      <c r="K37" s="163"/>
    </row>
    <row r="38" spans="1:11" x14ac:dyDescent="0.35">
      <c r="A38" s="3405" t="s">
        <v>4362</v>
      </c>
      <c r="B38" s="1494" t="s">
        <v>4415</v>
      </c>
      <c r="C38" s="641" t="s">
        <v>4420</v>
      </c>
      <c r="D38" s="380"/>
      <c r="E38" s="380"/>
      <c r="F38" s="380"/>
      <c r="G38" s="380"/>
      <c r="H38" s="380"/>
      <c r="I38" s="380"/>
      <c r="J38" s="380"/>
      <c r="K38" s="381"/>
    </row>
    <row r="39" spans="1:11" ht="15" thickBot="1" x14ac:dyDescent="0.4">
      <c r="A39" s="3406"/>
      <c r="B39" s="1495"/>
      <c r="C39" s="642" t="s">
        <v>4421</v>
      </c>
      <c r="D39" s="161"/>
      <c r="E39" s="161"/>
      <c r="F39" s="161"/>
      <c r="G39" s="161"/>
      <c r="H39" s="161"/>
      <c r="I39" s="161"/>
      <c r="J39" s="161"/>
      <c r="K39" s="163"/>
    </row>
    <row r="40" spans="1:11" ht="15" thickBot="1" x14ac:dyDescent="0.4">
      <c r="A40" s="2880" t="s">
        <v>3202</v>
      </c>
      <c r="B40" s="1501">
        <v>1</v>
      </c>
      <c r="C40" s="52" t="s">
        <v>4422</v>
      </c>
      <c r="D40" s="69"/>
      <c r="E40" s="69"/>
      <c r="F40" s="69"/>
      <c r="G40" s="69"/>
      <c r="H40" s="69"/>
      <c r="I40" s="69"/>
      <c r="J40" s="69"/>
      <c r="K40" s="100"/>
    </row>
    <row r="41" spans="1:11" x14ac:dyDescent="0.35">
      <c r="A41" s="3405" t="s">
        <v>4407</v>
      </c>
      <c r="B41" s="1501">
        <v>0.6</v>
      </c>
      <c r="C41" s="641" t="s">
        <v>4423</v>
      </c>
      <c r="D41" s="380"/>
      <c r="E41" s="380"/>
      <c r="F41" s="380"/>
      <c r="G41" s="380"/>
      <c r="H41" s="380"/>
      <c r="I41" s="380"/>
      <c r="J41" s="380"/>
      <c r="K41" s="381"/>
    </row>
    <row r="42" spans="1:11" ht="15" thickBot="1" x14ac:dyDescent="0.4">
      <c r="A42" s="3406"/>
      <c r="B42" s="1495"/>
      <c r="C42" s="642" t="s">
        <v>4424</v>
      </c>
      <c r="D42" s="161"/>
      <c r="E42" s="161"/>
      <c r="F42" s="161"/>
      <c r="G42" s="161"/>
      <c r="H42" s="161"/>
      <c r="I42" s="161"/>
      <c r="J42" s="161"/>
      <c r="K42" s="163"/>
    </row>
    <row r="43" spans="1:11" x14ac:dyDescent="0.35">
      <c r="A43" s="1502" t="s">
        <v>4135</v>
      </c>
      <c r="B43" s="1494" t="s">
        <v>4415</v>
      </c>
      <c r="C43" s="641" t="s">
        <v>4202</v>
      </c>
      <c r="D43" s="380"/>
      <c r="E43" s="380"/>
      <c r="F43" s="380"/>
      <c r="G43" s="380"/>
      <c r="H43" s="380"/>
      <c r="I43" s="380"/>
      <c r="J43" s="380"/>
      <c r="K43" s="381"/>
    </row>
    <row r="44" spans="1:11" ht="15" thickBot="1" x14ac:dyDescent="0.4">
      <c r="A44" s="1503"/>
      <c r="B44" s="1495"/>
      <c r="C44" s="642" t="s">
        <v>4425</v>
      </c>
      <c r="D44" s="161"/>
      <c r="E44" s="161"/>
      <c r="F44" s="161"/>
      <c r="G44" s="161"/>
      <c r="H44" s="161"/>
      <c r="I44" s="161"/>
      <c r="J44" s="161"/>
      <c r="K44" s="163"/>
    </row>
    <row r="45" spans="1:11" x14ac:dyDescent="0.35">
      <c r="A45" s="3405" t="s">
        <v>1179</v>
      </c>
      <c r="B45" s="1504">
        <v>0.46600000000000003</v>
      </c>
      <c r="C45" s="641" t="s">
        <v>4426</v>
      </c>
      <c r="D45" s="380"/>
      <c r="E45" s="380"/>
      <c r="F45" s="380"/>
      <c r="G45" s="380"/>
      <c r="H45" s="380"/>
      <c r="I45" s="380"/>
      <c r="J45" s="380"/>
      <c r="K45" s="381"/>
    </row>
    <row r="46" spans="1:11" ht="15" thickBot="1" x14ac:dyDescent="0.4">
      <c r="A46" s="3406"/>
      <c r="B46" s="1505"/>
      <c r="C46" s="642" t="s">
        <v>4427</v>
      </c>
      <c r="D46" s="161"/>
      <c r="E46" s="161"/>
      <c r="F46" s="161"/>
      <c r="G46" s="161"/>
      <c r="H46" s="161"/>
      <c r="I46" s="161"/>
      <c r="J46" s="161"/>
      <c r="K46" s="163"/>
    </row>
    <row r="47" spans="1:11" x14ac:dyDescent="0.35">
      <c r="A47" s="3405" t="s">
        <v>4364</v>
      </c>
      <c r="B47" s="1504">
        <v>0.72</v>
      </c>
      <c r="C47" s="641" t="s">
        <v>4428</v>
      </c>
      <c r="D47" s="380"/>
      <c r="E47" s="380"/>
      <c r="F47" s="380"/>
      <c r="G47" s="380"/>
      <c r="H47" s="380"/>
      <c r="I47" s="380"/>
      <c r="J47" s="380"/>
      <c r="K47" s="381"/>
    </row>
    <row r="48" spans="1:11" ht="15" thickBot="1" x14ac:dyDescent="0.4">
      <c r="A48" s="3406"/>
      <c r="B48" s="1505"/>
      <c r="C48" s="642" t="s">
        <v>4429</v>
      </c>
      <c r="D48" s="161"/>
      <c r="E48" s="161"/>
      <c r="F48" s="161"/>
      <c r="G48" s="161"/>
      <c r="H48" s="161"/>
      <c r="I48" s="161"/>
      <c r="J48" s="161"/>
      <c r="K48" s="163"/>
    </row>
    <row r="49" spans="1:25" ht="15" thickBot="1" x14ac:dyDescent="0.4">
      <c r="A49" s="1506" t="s">
        <v>1083</v>
      </c>
      <c r="B49" s="1507">
        <v>20</v>
      </c>
      <c r="C49" s="648" t="s">
        <v>3095</v>
      </c>
      <c r="D49" s="606"/>
      <c r="E49" s="606"/>
      <c r="F49" s="606"/>
      <c r="G49" s="606"/>
      <c r="H49" s="606"/>
      <c r="I49" s="606"/>
      <c r="J49" s="606"/>
      <c r="K49" s="607"/>
    </row>
    <row r="50" spans="1:25" x14ac:dyDescent="0.35">
      <c r="A50" s="274"/>
      <c r="B50" s="264"/>
      <c r="C50" s="55"/>
    </row>
    <row r="51" spans="1:25" x14ac:dyDescent="0.35">
      <c r="A51" s="274"/>
      <c r="B51" s="1476"/>
      <c r="C51" s="55"/>
    </row>
    <row r="53" spans="1:25" ht="15" thickBot="1" x14ac:dyDescent="0.4"/>
    <row r="54" spans="1:25" ht="15" thickBot="1" x14ac:dyDescent="0.4">
      <c r="A54" s="97" t="s">
        <v>1129</v>
      </c>
      <c r="B54" s="98"/>
      <c r="C54" s="64"/>
      <c r="D54" s="64"/>
      <c r="E54" s="64"/>
      <c r="F54" s="64"/>
      <c r="G54" s="64"/>
      <c r="H54" s="64"/>
      <c r="I54" s="64"/>
      <c r="J54" s="64"/>
      <c r="K54" s="64"/>
      <c r="L54" s="64"/>
      <c r="M54" s="64"/>
      <c r="N54" s="64"/>
      <c r="O54" s="64"/>
      <c r="P54" s="64"/>
      <c r="Q54" s="64"/>
      <c r="R54" s="64"/>
      <c r="S54" s="64"/>
      <c r="T54" s="64"/>
      <c r="U54" s="64"/>
      <c r="V54" s="64"/>
      <c r="W54" s="65"/>
    </row>
    <row r="55" spans="1:25" x14ac:dyDescent="0.35">
      <c r="A55" s="254"/>
      <c r="B55" s="69"/>
      <c r="C55" s="69"/>
      <c r="D55" s="69"/>
      <c r="E55" s="3400" t="s">
        <v>4430</v>
      </c>
      <c r="F55" s="3401"/>
      <c r="G55" s="69"/>
      <c r="H55" s="69"/>
      <c r="I55" s="69"/>
      <c r="J55" s="69"/>
      <c r="K55" s="69"/>
      <c r="L55" s="69"/>
      <c r="M55" s="69"/>
      <c r="N55" s="69"/>
      <c r="O55" s="69"/>
      <c r="P55" s="69"/>
      <c r="Q55" s="69"/>
      <c r="R55" s="69"/>
      <c r="S55" s="69"/>
      <c r="T55" s="69"/>
      <c r="U55" s="69"/>
      <c r="V55" s="69"/>
      <c r="W55" s="100"/>
    </row>
    <row r="56" spans="1:25" ht="78" x14ac:dyDescent="0.35">
      <c r="A56" s="99"/>
      <c r="B56" s="293" t="s">
        <v>1684</v>
      </c>
      <c r="C56" s="295" t="s">
        <v>4431</v>
      </c>
      <c r="D56" s="56" t="s">
        <v>4432</v>
      </c>
      <c r="E56" s="293" t="s">
        <v>3318</v>
      </c>
      <c r="F56" s="56" t="s">
        <v>2556</v>
      </c>
      <c r="G56" s="69"/>
      <c r="H56" s="69"/>
      <c r="I56" s="56" t="s">
        <v>4118</v>
      </c>
      <c r="J56" s="56" t="s">
        <v>4251</v>
      </c>
      <c r="K56" s="69"/>
      <c r="L56" s="56" t="s">
        <v>2526</v>
      </c>
      <c r="M56" s="56" t="s">
        <v>3178</v>
      </c>
      <c r="N56" s="56" t="s">
        <v>3296</v>
      </c>
      <c r="O56" s="56" t="s">
        <v>4381</v>
      </c>
      <c r="Q56" s="1368" t="s">
        <v>4117</v>
      </c>
      <c r="R56" s="56" t="s">
        <v>1948</v>
      </c>
      <c r="S56" s="69"/>
      <c r="T56" s="69"/>
      <c r="U56" s="69"/>
      <c r="V56" s="69"/>
      <c r="W56" s="100"/>
    </row>
    <row r="57" spans="1:25" ht="25.5" customHeight="1" x14ac:dyDescent="0.35">
      <c r="A57" s="99"/>
      <c r="B57" s="109" t="s">
        <v>1705</v>
      </c>
      <c r="C57" s="297">
        <v>263</v>
      </c>
      <c r="D57" s="108">
        <v>3322</v>
      </c>
      <c r="E57" s="101">
        <v>512</v>
      </c>
      <c r="F57" s="101">
        <v>467</v>
      </c>
      <c r="G57" s="69"/>
      <c r="H57" s="3395" t="s">
        <v>3663</v>
      </c>
      <c r="I57" s="330" t="s">
        <v>3298</v>
      </c>
      <c r="J57" s="101">
        <v>10</v>
      </c>
      <c r="K57" s="69"/>
      <c r="L57" s="3362" t="s">
        <v>3174</v>
      </c>
      <c r="M57" s="330" t="s">
        <v>3298</v>
      </c>
      <c r="N57" s="101">
        <v>6.8</v>
      </c>
      <c r="O57" s="101">
        <v>1.7</v>
      </c>
      <c r="P57" s="69"/>
      <c r="Q57" s="49" t="s">
        <v>4433</v>
      </c>
      <c r="R57" s="1512">
        <v>0.68</v>
      </c>
      <c r="S57" s="69"/>
      <c r="T57" s="69"/>
      <c r="U57" s="69"/>
      <c r="V57" s="69"/>
      <c r="W57" s="100"/>
    </row>
    <row r="58" spans="1:25" x14ac:dyDescent="0.35">
      <c r="A58" s="99"/>
      <c r="B58" s="109" t="s">
        <v>1691</v>
      </c>
      <c r="C58" s="297">
        <v>281</v>
      </c>
      <c r="D58" s="108">
        <v>3079</v>
      </c>
      <c r="E58" s="101">
        <v>570</v>
      </c>
      <c r="F58" s="101">
        <v>506</v>
      </c>
      <c r="G58" s="69"/>
      <c r="H58" s="3395"/>
      <c r="I58" s="330" t="s">
        <v>4241</v>
      </c>
      <c r="J58" s="101">
        <v>13</v>
      </c>
      <c r="K58" s="69"/>
      <c r="L58" s="3362"/>
      <c r="M58" s="330" t="s">
        <v>4241</v>
      </c>
      <c r="N58" s="101">
        <v>7.7</v>
      </c>
      <c r="O58" s="101">
        <v>1.92</v>
      </c>
      <c r="P58" s="69"/>
      <c r="Q58" s="49" t="s">
        <v>3174</v>
      </c>
      <c r="R58" s="1512">
        <v>0.72</v>
      </c>
      <c r="S58" s="69"/>
      <c r="T58" s="69"/>
      <c r="U58" s="69"/>
      <c r="V58" s="69"/>
      <c r="W58" s="100"/>
    </row>
    <row r="59" spans="1:25" ht="26" x14ac:dyDescent="0.35">
      <c r="A59" s="99"/>
      <c r="B59" s="109" t="s">
        <v>1706</v>
      </c>
      <c r="C59" s="297">
        <v>436</v>
      </c>
      <c r="D59" s="108">
        <v>2550</v>
      </c>
      <c r="E59" s="101">
        <v>730</v>
      </c>
      <c r="F59" s="101">
        <v>663</v>
      </c>
      <c r="G59" s="69"/>
      <c r="H59" s="3395"/>
      <c r="I59" s="330" t="s">
        <v>4384</v>
      </c>
      <c r="J59" s="101">
        <v>13</v>
      </c>
      <c r="K59" s="1511"/>
      <c r="L59" s="3362"/>
      <c r="M59" s="330" t="s">
        <v>3300</v>
      </c>
      <c r="N59" s="101">
        <v>8.1999999999999993</v>
      </c>
      <c r="O59" s="101">
        <v>2.04</v>
      </c>
      <c r="P59" s="69"/>
      <c r="Q59" s="49" t="s">
        <v>4393</v>
      </c>
      <c r="R59" s="1513">
        <v>0.46600000000000003</v>
      </c>
      <c r="S59" s="69"/>
      <c r="T59" s="69"/>
      <c r="U59" s="69"/>
      <c r="V59" s="69"/>
      <c r="W59" s="1514"/>
      <c r="X59" s="1510"/>
      <c r="Y59" s="1477"/>
    </row>
    <row r="60" spans="1:25" x14ac:dyDescent="0.35">
      <c r="A60" s="99"/>
      <c r="B60" s="109" t="s">
        <v>1707</v>
      </c>
      <c r="C60" s="297">
        <v>538</v>
      </c>
      <c r="D60" s="108">
        <v>1789</v>
      </c>
      <c r="E60" s="108">
        <v>1035</v>
      </c>
      <c r="F60" s="101">
        <v>940</v>
      </c>
      <c r="G60" s="69"/>
      <c r="H60" s="3395" t="s">
        <v>3174</v>
      </c>
      <c r="I60" s="330" t="s">
        <v>3298</v>
      </c>
      <c r="J60" s="101">
        <v>10</v>
      </c>
      <c r="K60" s="331"/>
      <c r="L60" s="330" t="s">
        <v>3301</v>
      </c>
      <c r="M60" s="330" t="s">
        <v>1284</v>
      </c>
      <c r="N60" s="101" t="s">
        <v>1284</v>
      </c>
      <c r="O60" s="101">
        <v>1</v>
      </c>
      <c r="P60" s="69"/>
      <c r="Q60" s="69"/>
      <c r="R60" s="69"/>
      <c r="S60" s="69"/>
      <c r="T60" s="69"/>
      <c r="U60" s="69"/>
      <c r="V60" s="69"/>
      <c r="W60" s="100"/>
      <c r="X60" s="1478"/>
      <c r="Y60" s="1478"/>
    </row>
    <row r="61" spans="1:25" ht="39" x14ac:dyDescent="0.35">
      <c r="A61" s="99"/>
      <c r="B61" s="109" t="s">
        <v>1708</v>
      </c>
      <c r="C61" s="297">
        <v>570</v>
      </c>
      <c r="D61" s="108">
        <v>1796</v>
      </c>
      <c r="E61" s="101">
        <v>903</v>
      </c>
      <c r="F61" s="101">
        <v>820</v>
      </c>
      <c r="G61" s="69"/>
      <c r="H61" s="3395"/>
      <c r="I61" s="330" t="s">
        <v>4241</v>
      </c>
      <c r="J61" s="101">
        <v>13</v>
      </c>
      <c r="K61" s="331"/>
      <c r="L61" s="2884" t="s">
        <v>4383</v>
      </c>
      <c r="M61" s="2883" t="s">
        <v>1284</v>
      </c>
      <c r="N61" s="2681" t="s">
        <v>1284</v>
      </c>
      <c r="O61" s="2681">
        <v>1.28</v>
      </c>
      <c r="P61" s="69"/>
      <c r="Q61" s="69"/>
      <c r="R61" s="69"/>
      <c r="S61" s="69"/>
      <c r="T61" s="69"/>
      <c r="U61" s="69"/>
      <c r="V61" s="69"/>
      <c r="W61" s="100"/>
    </row>
    <row r="62" spans="1:25" ht="26" x14ac:dyDescent="0.35">
      <c r="A62" s="99"/>
      <c r="B62" s="109" t="s">
        <v>1185</v>
      </c>
      <c r="C62" s="297">
        <v>325</v>
      </c>
      <c r="D62" s="108">
        <v>2895</v>
      </c>
      <c r="E62" s="101">
        <v>629</v>
      </c>
      <c r="F62" s="101">
        <v>564</v>
      </c>
      <c r="G62" s="69"/>
      <c r="H62" s="3395"/>
      <c r="I62" s="330" t="s">
        <v>4384</v>
      </c>
      <c r="J62" s="101">
        <v>14</v>
      </c>
      <c r="K62" s="331"/>
      <c r="L62" s="69"/>
      <c r="M62" s="69"/>
      <c r="N62" s="69"/>
      <c r="O62" s="69"/>
      <c r="P62" s="69"/>
      <c r="Q62" s="69"/>
      <c r="R62" s="69"/>
      <c r="S62" s="69"/>
      <c r="T62" s="69"/>
      <c r="U62" s="69"/>
      <c r="V62" s="69"/>
      <c r="W62" s="100"/>
    </row>
    <row r="63" spans="1:25" ht="52" x14ac:dyDescent="0.35">
      <c r="A63" s="99"/>
      <c r="B63" s="69"/>
      <c r="C63" s="69"/>
      <c r="D63" s="69"/>
      <c r="E63" s="69"/>
      <c r="F63" s="69"/>
      <c r="G63" s="69"/>
      <c r="H63" s="2882" t="s">
        <v>4434</v>
      </c>
      <c r="I63" s="2883" t="s">
        <v>1284</v>
      </c>
      <c r="J63" s="2681">
        <v>10.5</v>
      </c>
      <c r="K63" s="69"/>
      <c r="L63" s="69"/>
      <c r="M63" s="69"/>
      <c r="N63" s="69"/>
      <c r="O63" s="69"/>
      <c r="P63" s="69"/>
      <c r="Q63" s="69"/>
      <c r="R63" s="69"/>
      <c r="S63" s="69"/>
      <c r="T63" s="69"/>
      <c r="U63" s="69"/>
      <c r="V63" s="69"/>
      <c r="W63" s="100"/>
    </row>
    <row r="64" spans="1:25" x14ac:dyDescent="0.35">
      <c r="A64" s="99"/>
      <c r="B64" s="69"/>
      <c r="C64" s="69"/>
      <c r="D64" s="69"/>
      <c r="E64" s="69"/>
      <c r="F64" s="69"/>
      <c r="G64" s="69"/>
      <c r="H64" s="69"/>
      <c r="I64" s="69"/>
      <c r="J64" s="69"/>
      <c r="K64" s="69"/>
      <c r="L64" s="69"/>
      <c r="M64" s="69"/>
      <c r="N64" s="69"/>
      <c r="O64" s="69"/>
      <c r="P64" s="69"/>
      <c r="Q64" s="69"/>
      <c r="R64" s="69"/>
      <c r="S64" s="69"/>
      <c r="T64" s="69"/>
      <c r="U64" s="69"/>
      <c r="V64" s="69"/>
      <c r="W64" s="100"/>
    </row>
    <row r="65" spans="1:23" x14ac:dyDescent="0.35">
      <c r="A65" s="99"/>
      <c r="B65" s="3402" t="s">
        <v>4435</v>
      </c>
      <c r="C65" s="3403"/>
      <c r="D65" s="3404"/>
      <c r="E65" s="69"/>
      <c r="F65" s="69"/>
      <c r="G65" s="69"/>
      <c r="H65" s="69"/>
      <c r="I65" s="69"/>
      <c r="J65" s="69"/>
      <c r="K65" s="69"/>
      <c r="L65" s="69"/>
      <c r="M65" s="69"/>
      <c r="N65" s="69"/>
      <c r="O65" s="69"/>
      <c r="P65" s="69"/>
      <c r="Q65" s="69"/>
      <c r="R65" s="69"/>
      <c r="S65" s="69"/>
      <c r="T65" s="69"/>
      <c r="U65" s="69"/>
      <c r="V65" s="69"/>
      <c r="W65" s="100"/>
    </row>
    <row r="66" spans="1:23" x14ac:dyDescent="0.35">
      <c r="A66" s="99"/>
      <c r="B66" s="49" t="s">
        <v>3174</v>
      </c>
      <c r="C66" s="69"/>
      <c r="D66" s="669" t="s">
        <v>3318</v>
      </c>
      <c r="E66" s="69"/>
      <c r="F66" s="69"/>
      <c r="G66" s="69"/>
      <c r="H66" s="69"/>
      <c r="I66" s="69"/>
      <c r="J66" s="69"/>
      <c r="K66" s="69"/>
      <c r="L66" s="69"/>
      <c r="M66" s="69"/>
      <c r="N66" s="69"/>
      <c r="O66" s="69"/>
      <c r="P66" s="69"/>
      <c r="Q66" s="69"/>
      <c r="R66" s="69"/>
      <c r="S66" s="69"/>
      <c r="T66" s="69"/>
      <c r="U66" s="69"/>
      <c r="V66" s="69"/>
      <c r="W66" s="100"/>
    </row>
    <row r="67" spans="1:23" x14ac:dyDescent="0.35">
      <c r="A67" s="99"/>
      <c r="B67" s="49" t="s">
        <v>3301</v>
      </c>
      <c r="C67" s="69"/>
      <c r="D67" s="669" t="s">
        <v>4436</v>
      </c>
      <c r="E67" s="69"/>
      <c r="F67" s="69"/>
      <c r="G67" s="69"/>
      <c r="H67" s="69"/>
      <c r="I67" s="69"/>
      <c r="J67" s="69"/>
      <c r="K67" s="69"/>
      <c r="L67" s="69"/>
      <c r="M67" s="69"/>
      <c r="N67" s="69"/>
      <c r="O67" s="69"/>
      <c r="P67" s="69"/>
      <c r="Q67" s="69"/>
      <c r="R67" s="69"/>
      <c r="S67" s="69"/>
      <c r="T67" s="69"/>
      <c r="U67" s="69"/>
      <c r="V67" s="69"/>
      <c r="W67" s="100"/>
    </row>
    <row r="68" spans="1:23" x14ac:dyDescent="0.35">
      <c r="A68" s="99"/>
      <c r="B68" s="99"/>
      <c r="C68" s="69"/>
      <c r="D68" s="100"/>
      <c r="E68" s="69"/>
      <c r="F68" s="69"/>
      <c r="G68" s="69"/>
      <c r="H68" s="69"/>
      <c r="I68" s="69"/>
      <c r="J68" s="69"/>
      <c r="K68" s="69"/>
      <c r="L68" s="69"/>
      <c r="M68" s="69"/>
      <c r="N68" s="69"/>
      <c r="O68" s="69"/>
      <c r="P68" s="69"/>
      <c r="Q68" s="69"/>
      <c r="R68" s="69"/>
      <c r="S68" s="69"/>
      <c r="T68" s="69"/>
      <c r="U68" s="69"/>
      <c r="V68" s="69"/>
      <c r="W68" s="100"/>
    </row>
    <row r="69" spans="1:23" x14ac:dyDescent="0.35">
      <c r="A69" s="99"/>
      <c r="B69" s="290" t="s">
        <v>4433</v>
      </c>
      <c r="C69" s="69"/>
      <c r="D69" s="669" t="s">
        <v>1566</v>
      </c>
      <c r="E69" s="69"/>
      <c r="F69" s="69"/>
      <c r="G69" s="69"/>
      <c r="H69" s="69"/>
      <c r="I69" s="69"/>
      <c r="J69" s="69"/>
      <c r="K69" s="69"/>
      <c r="L69" s="69"/>
      <c r="M69" s="69"/>
      <c r="N69" s="69"/>
      <c r="O69" s="69"/>
      <c r="P69" s="69"/>
      <c r="Q69" s="69"/>
      <c r="R69" s="69"/>
      <c r="S69" s="69"/>
      <c r="T69" s="69"/>
      <c r="U69" s="69"/>
      <c r="V69" s="69"/>
      <c r="W69" s="100"/>
    </row>
    <row r="70" spans="1:23" x14ac:dyDescent="0.35">
      <c r="A70" s="99"/>
      <c r="B70" s="290" t="s">
        <v>3174</v>
      </c>
      <c r="C70" s="69"/>
      <c r="D70" s="669" t="s">
        <v>4394</v>
      </c>
      <c r="E70" s="69"/>
      <c r="F70" s="69"/>
      <c r="G70" s="69"/>
      <c r="H70" s="69"/>
      <c r="I70" s="69"/>
      <c r="J70" s="69"/>
      <c r="K70" s="69"/>
      <c r="L70" s="69"/>
      <c r="M70" s="69"/>
      <c r="N70" s="69"/>
      <c r="O70" s="69"/>
      <c r="P70" s="69"/>
      <c r="Q70" s="69"/>
      <c r="R70" s="69"/>
      <c r="S70" s="69"/>
      <c r="T70" s="69"/>
      <c r="U70" s="69"/>
      <c r="V70" s="69"/>
      <c r="W70" s="100"/>
    </row>
    <row r="71" spans="1:23" x14ac:dyDescent="0.35">
      <c r="A71" s="99"/>
      <c r="B71" s="290" t="s">
        <v>4393</v>
      </c>
      <c r="C71" s="69"/>
      <c r="D71" s="100"/>
      <c r="E71" s="69"/>
      <c r="F71" s="69"/>
      <c r="G71" s="69"/>
      <c r="H71" s="69"/>
      <c r="I71" s="69"/>
      <c r="J71" s="69"/>
      <c r="K71" s="69"/>
      <c r="L71" s="69"/>
      <c r="M71" s="69"/>
      <c r="N71" s="69"/>
      <c r="O71" s="69"/>
      <c r="P71" s="69"/>
      <c r="Q71" s="69"/>
      <c r="R71" s="69"/>
      <c r="S71" s="69"/>
      <c r="T71" s="69"/>
      <c r="U71" s="69"/>
      <c r="V71" s="69"/>
      <c r="W71" s="100"/>
    </row>
    <row r="72" spans="1:23" x14ac:dyDescent="0.35">
      <c r="A72" s="99"/>
      <c r="B72" s="99"/>
      <c r="C72" s="69"/>
      <c r="D72" s="100"/>
      <c r="E72" s="69"/>
      <c r="F72" s="69"/>
      <c r="G72" s="69"/>
      <c r="H72" s="69"/>
      <c r="I72" s="69"/>
      <c r="J72" s="69"/>
      <c r="K72" s="69"/>
      <c r="L72" s="69"/>
      <c r="M72" s="69"/>
      <c r="N72" s="69"/>
      <c r="O72" s="69"/>
      <c r="P72" s="69"/>
      <c r="Q72" s="69"/>
      <c r="R72" s="69"/>
      <c r="S72" s="69"/>
      <c r="T72" s="69"/>
      <c r="U72" s="69"/>
      <c r="V72" s="69"/>
      <c r="W72" s="100"/>
    </row>
    <row r="73" spans="1:23" x14ac:dyDescent="0.35">
      <c r="A73" s="99"/>
      <c r="B73" s="334" t="s">
        <v>3222</v>
      </c>
      <c r="C73" s="69"/>
      <c r="D73" s="100"/>
      <c r="E73" s="69"/>
      <c r="F73" s="69"/>
      <c r="G73" s="69"/>
      <c r="H73" s="69"/>
      <c r="I73" s="69"/>
      <c r="J73" s="69"/>
      <c r="K73" s="69"/>
      <c r="L73" s="69"/>
      <c r="M73" s="69"/>
      <c r="N73" s="69"/>
      <c r="O73" s="69"/>
      <c r="P73" s="69"/>
      <c r="Q73" s="69"/>
      <c r="R73" s="69"/>
      <c r="S73" s="69"/>
      <c r="T73" s="69"/>
      <c r="U73" s="69"/>
      <c r="V73" s="69"/>
      <c r="W73" s="100"/>
    </row>
    <row r="74" spans="1:23" x14ac:dyDescent="0.35">
      <c r="A74" s="99"/>
      <c r="B74" s="334" t="s">
        <v>3315</v>
      </c>
      <c r="C74" s="69"/>
      <c r="D74" s="100"/>
      <c r="E74" s="69"/>
      <c r="F74" s="69"/>
      <c r="G74" s="69"/>
      <c r="H74" s="69"/>
      <c r="I74" s="69"/>
      <c r="J74" s="69"/>
      <c r="K74" s="69"/>
      <c r="L74" s="69"/>
      <c r="M74" s="69"/>
      <c r="N74" s="69"/>
      <c r="O74" s="69"/>
      <c r="P74" s="69"/>
      <c r="Q74" s="69"/>
      <c r="R74" s="69"/>
      <c r="S74" s="69"/>
      <c r="T74" s="69"/>
      <c r="U74" s="69"/>
      <c r="V74" s="69"/>
      <c r="W74" s="100"/>
    </row>
    <row r="75" spans="1:23" ht="15" thickBot="1" x14ac:dyDescent="0.4">
      <c r="A75" s="99"/>
      <c r="B75" s="1509" t="s">
        <v>4143</v>
      </c>
      <c r="C75" s="161"/>
      <c r="D75" s="163"/>
      <c r="E75" s="69"/>
      <c r="F75" s="69"/>
      <c r="G75" s="69"/>
      <c r="H75" s="69"/>
      <c r="I75" s="69"/>
      <c r="J75" s="69"/>
      <c r="K75" s="69"/>
      <c r="L75" s="69"/>
      <c r="M75" s="69"/>
      <c r="N75" s="69"/>
      <c r="O75" s="69"/>
      <c r="P75" s="69"/>
      <c r="Q75" s="69"/>
      <c r="R75" s="69"/>
      <c r="S75" s="69"/>
      <c r="T75" s="69"/>
      <c r="U75" s="69"/>
      <c r="V75" s="69"/>
      <c r="W75" s="100"/>
    </row>
    <row r="76" spans="1:23" x14ac:dyDescent="0.35">
      <c r="A76" s="99"/>
      <c r="B76" s="69"/>
      <c r="C76" s="69"/>
      <c r="D76" s="69"/>
      <c r="E76" s="69"/>
      <c r="F76" s="69"/>
      <c r="G76" s="69"/>
      <c r="H76" s="69"/>
      <c r="I76" s="69"/>
      <c r="J76" s="69"/>
      <c r="K76" s="69"/>
      <c r="L76" s="69"/>
      <c r="M76" s="69"/>
      <c r="N76" s="69"/>
      <c r="O76" s="69"/>
      <c r="P76" s="69"/>
      <c r="Q76" s="69"/>
      <c r="R76" s="69"/>
      <c r="S76" s="69"/>
      <c r="T76" s="69"/>
      <c r="U76" s="69"/>
      <c r="V76" s="69"/>
      <c r="W76" s="100"/>
    </row>
    <row r="77" spans="1:23" x14ac:dyDescent="0.35">
      <c r="A77" s="99"/>
      <c r="B77" s="69"/>
      <c r="C77" s="69"/>
      <c r="D77" s="69"/>
      <c r="E77" s="69"/>
      <c r="F77" s="69"/>
      <c r="G77" s="69"/>
      <c r="H77" s="69"/>
      <c r="I77" s="69"/>
      <c r="J77" s="69"/>
      <c r="K77" s="69"/>
      <c r="L77" s="69"/>
      <c r="M77" s="69"/>
      <c r="N77" s="69"/>
      <c r="O77" s="69"/>
      <c r="P77" s="69"/>
      <c r="Q77" s="69"/>
      <c r="R77" s="69"/>
      <c r="S77" s="69"/>
      <c r="T77" s="69"/>
      <c r="U77" s="69"/>
      <c r="V77" s="69"/>
      <c r="W77" s="100"/>
    </row>
    <row r="78" spans="1:23" x14ac:dyDescent="0.35">
      <c r="A78" s="99"/>
      <c r="B78" s="69"/>
      <c r="C78" s="69"/>
      <c r="D78" s="69"/>
      <c r="E78" s="69"/>
      <c r="F78" s="69"/>
      <c r="G78" s="69"/>
      <c r="H78" s="69"/>
      <c r="I78" s="69"/>
      <c r="J78" s="69"/>
      <c r="K78" s="69"/>
      <c r="L78" s="69"/>
      <c r="M78" s="69"/>
      <c r="N78" s="69"/>
      <c r="O78" s="69"/>
      <c r="P78" s="69"/>
      <c r="Q78" s="69"/>
      <c r="R78" s="69"/>
      <c r="S78" s="69"/>
      <c r="T78" s="69"/>
      <c r="U78" s="69"/>
      <c r="V78" s="69"/>
      <c r="W78" s="100"/>
    </row>
    <row r="79" spans="1:23" x14ac:dyDescent="0.35">
      <c r="A79" s="99"/>
      <c r="B79" s="69"/>
      <c r="C79" s="69"/>
      <c r="D79" s="69"/>
      <c r="E79" s="69"/>
      <c r="F79" s="69"/>
      <c r="G79" s="69"/>
      <c r="H79" s="69"/>
      <c r="I79" s="69"/>
      <c r="J79" s="69"/>
      <c r="K79" s="69"/>
      <c r="L79" s="69"/>
      <c r="M79" s="69"/>
      <c r="N79" s="69"/>
      <c r="O79" s="69"/>
      <c r="P79" s="69"/>
      <c r="Q79" s="69"/>
      <c r="R79" s="69"/>
      <c r="S79" s="69"/>
      <c r="T79" s="69"/>
      <c r="U79" s="69"/>
      <c r="V79" s="69"/>
      <c r="W79" s="100"/>
    </row>
    <row r="80" spans="1:23" ht="15" thickBot="1" x14ac:dyDescent="0.4">
      <c r="A80" s="261"/>
      <c r="B80" s="161"/>
      <c r="C80" s="161"/>
      <c r="D80" s="161"/>
      <c r="E80" s="161"/>
      <c r="F80" s="161"/>
      <c r="G80" s="161"/>
      <c r="H80" s="161"/>
      <c r="I80" s="161"/>
      <c r="J80" s="161"/>
      <c r="K80" s="161"/>
      <c r="L80" s="161"/>
      <c r="M80" s="161"/>
      <c r="N80" s="161"/>
      <c r="O80" s="161"/>
      <c r="P80" s="161"/>
      <c r="Q80" s="161"/>
      <c r="R80" s="161"/>
      <c r="S80" s="161"/>
      <c r="T80" s="161"/>
      <c r="U80" s="161"/>
      <c r="V80" s="161"/>
      <c r="W80" s="163"/>
    </row>
  </sheetData>
  <customSheetViews>
    <customSheetView guid="{ECD6FE6A-9548-414E-B8AA-6998703C57E0}" scale="60" showPageBreaks="1" fitToPage="1" view="pageBreakPreview">
      <pageMargins left="0" right="0" top="0" bottom="0" header="0" footer="0"/>
      <pageSetup scale="27" orientation="landscape" verticalDpi="300" r:id="rId1"/>
    </customSheetView>
    <customSheetView guid="{11DE45F5-F478-4ED6-8DFF-12002C22A637}" scale="60" showPageBreaks="1" fitToPage="1" view="pageBreakPreview">
      <pageMargins left="0" right="0" top="0" bottom="0" header="0" footer="0"/>
      <pageSetup scale="27" orientation="landscape" verticalDpi="300" r:id="rId2"/>
    </customSheetView>
  </customSheetViews>
  <mergeCells count="22">
    <mergeCell ref="X2:AM2"/>
    <mergeCell ref="B65:D65"/>
    <mergeCell ref="A21:A22"/>
    <mergeCell ref="A36:A37"/>
    <mergeCell ref="A38:A39"/>
    <mergeCell ref="A41:A42"/>
    <mergeCell ref="A45:A46"/>
    <mergeCell ref="A47:A48"/>
    <mergeCell ref="H60:H62"/>
    <mergeCell ref="A23:A24"/>
    <mergeCell ref="A26:A27"/>
    <mergeCell ref="A28:A29"/>
    <mergeCell ref="A30:A31"/>
    <mergeCell ref="A32:A33"/>
    <mergeCell ref="A34:A35"/>
    <mergeCell ref="B34:B35"/>
    <mergeCell ref="R2:T2"/>
    <mergeCell ref="U2:W2"/>
    <mergeCell ref="C20:K20"/>
    <mergeCell ref="E55:F55"/>
    <mergeCell ref="H57:H59"/>
    <mergeCell ref="L57:L59"/>
  </mergeCells>
  <phoneticPr fontId="152" type="noConversion"/>
  <dataValidations disablePrompts="1" count="8">
    <dataValidation type="list" allowBlank="1" showInputMessage="1" showErrorMessage="1" sqref="Q4:Q5" xr:uid="{00000000-0002-0000-2F00-000000000000}">
      <formula1>$M$57:$M$59</formula1>
    </dataValidation>
    <dataValidation type="list" allowBlank="1" showInputMessage="1" showErrorMessage="1" sqref="N4:N5" xr:uid="{00000000-0002-0000-2F00-000001000000}">
      <formula1>$I$57:$I$59</formula1>
    </dataValidation>
    <dataValidation type="list" allowBlank="1" showInputMessage="1" showErrorMessage="1" sqref="D4:D5" xr:uid="{00000000-0002-0000-2F00-000002000000}">
      <formula1>MeasureType</formula1>
    </dataValidation>
    <dataValidation type="list" allowBlank="1" showInputMessage="1" showErrorMessage="1" sqref="H4:H5" xr:uid="{00000000-0002-0000-2F00-000003000000}">
      <formula1>FIAC1</formula1>
    </dataValidation>
    <dataValidation type="list" allowBlank="1" showInputMessage="1" showErrorMessage="1" sqref="P4:P5" xr:uid="{00000000-0002-0000-2F00-000004000000}">
      <formula1>$B$66:$B$67</formula1>
    </dataValidation>
    <dataValidation type="list" allowBlank="1" showInputMessage="1" showErrorMessage="1" sqref="M4:M5" xr:uid="{00000000-0002-0000-2F00-000005000000}">
      <formula1>$B$69:$B$71</formula1>
    </dataValidation>
    <dataValidation type="list" allowBlank="1" showInputMessage="1" showErrorMessage="1" sqref="I4:I5" xr:uid="{00000000-0002-0000-2F00-000006000000}">
      <formula1>$D$66:$D$67</formula1>
    </dataValidation>
    <dataValidation type="list" allowBlank="1" showInputMessage="1" showErrorMessage="1" sqref="O4:O5" xr:uid="{00000000-0002-0000-2F00-000007000000}">
      <formula1>$D$69:$D$70</formula1>
    </dataValidation>
  </dataValidations>
  <hyperlinks>
    <hyperlink ref="A1" location="'Measure-Level Adjustments'!Print_Titles" display="Measure Level Tab" xr:uid="{BCAAC8D3-96B3-4FA8-B9F8-41DFED686C24}"/>
  </hyperlinks>
  <pageMargins left="0.7" right="0.7" top="0.75" bottom="0.75" header="0.3" footer="0.3"/>
  <pageSetup scale="24" orientation="landscape" verticalDpi="300"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F00-000008000000}">
          <x14:formula1>
            <xm:f>'T:\EEP Planning Models\Planning Tools\Measure_Data\Custom TRM V6\[Other_Res_TRMv6.xlsx]Lists'!#REF!</xm:f>
          </x14:formula1>
          <xm:sqref>L4:L5</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B050"/>
    <pageSetUpPr fitToPage="1"/>
  </sheetPr>
  <dimension ref="A1:AV153"/>
  <sheetViews>
    <sheetView view="pageBreakPreview" topLeftCell="A88" zoomScale="90" zoomScaleNormal="90" zoomScaleSheetLayoutView="90" workbookViewId="0">
      <pane xSplit="1" topLeftCell="B1" activePane="topRight" state="frozen"/>
      <selection pane="topRight" activeCell="I96" sqref="I96:L96"/>
    </sheetView>
  </sheetViews>
  <sheetFormatPr defaultRowHeight="14.5" x14ac:dyDescent="0.35"/>
  <cols>
    <col min="1" max="1" width="21.26953125" customWidth="1"/>
    <col min="2" max="2" width="51.81640625" customWidth="1"/>
    <col min="3" max="3" width="29.1796875" customWidth="1"/>
    <col min="6" max="6" width="12.7265625" bestFit="1" customWidth="1"/>
    <col min="9" max="9" width="10.54296875" customWidth="1"/>
    <col min="10" max="10" width="10.453125" customWidth="1"/>
    <col min="12" max="12" width="11.1796875" customWidth="1"/>
    <col min="13" max="13" width="10.54296875" customWidth="1"/>
    <col min="14" max="14" width="10.81640625" customWidth="1"/>
    <col min="16" max="16" width="11.1796875" bestFit="1" customWidth="1"/>
    <col min="17" max="17" width="14.81640625" customWidth="1"/>
    <col min="18" max="18" width="10.54296875" customWidth="1"/>
    <col min="19" max="19" width="8.26953125" customWidth="1"/>
    <col min="20" max="20" width="11.81640625" customWidth="1"/>
    <col min="21" max="21" width="12.1796875" customWidth="1"/>
    <col min="23" max="23" width="11.1796875" customWidth="1"/>
    <col min="24" max="25" width="13" customWidth="1"/>
    <col min="26" max="26" width="11.1796875" customWidth="1"/>
    <col min="27" max="27" width="10" bestFit="1" customWidth="1"/>
    <col min="28" max="28" width="12" bestFit="1" customWidth="1"/>
  </cols>
  <sheetData>
    <row r="1" spans="1:48" x14ac:dyDescent="0.35">
      <c r="A1" s="1799" t="s">
        <v>1031</v>
      </c>
    </row>
    <row r="2" spans="1:48" x14ac:dyDescent="0.35">
      <c r="A2" s="969" t="s">
        <v>679</v>
      </c>
      <c r="B2" s="968" t="str">
        <f>B125&amp;" &amp; "&amp;B126&amp;" Insulation"</f>
        <v>Attic &amp; Wall Insulation</v>
      </c>
      <c r="C2" s="968"/>
      <c r="D2" s="968"/>
      <c r="E2" s="967"/>
      <c r="F2" s="967"/>
      <c r="G2" s="967"/>
      <c r="H2" s="967"/>
      <c r="I2" s="967"/>
      <c r="J2" s="967"/>
      <c r="K2" s="967"/>
      <c r="L2" s="967"/>
      <c r="M2" s="967"/>
      <c r="N2" s="967"/>
      <c r="O2" s="967"/>
      <c r="P2" s="967"/>
      <c r="Q2" s="967"/>
      <c r="R2" s="967"/>
      <c r="S2" s="967"/>
      <c r="T2" s="967"/>
      <c r="U2" s="967"/>
      <c r="V2" s="3067" t="s">
        <v>1032</v>
      </c>
      <c r="W2" s="3067"/>
      <c r="X2" s="3067"/>
      <c r="Y2" s="970"/>
      <c r="Z2" s="3067" t="s">
        <v>1033</v>
      </c>
      <c r="AA2" s="3067"/>
      <c r="AB2" s="3010"/>
      <c r="AC2" s="2993" t="s">
        <v>1158</v>
      </c>
      <c r="AD2" s="2993"/>
      <c r="AE2" s="2993"/>
      <c r="AF2" s="2993"/>
      <c r="AG2" s="2993"/>
      <c r="AH2" s="2993"/>
      <c r="AI2" s="2993"/>
      <c r="AJ2" s="2993"/>
      <c r="AK2" s="2993"/>
      <c r="AL2" s="2993"/>
      <c r="AM2" s="2993"/>
      <c r="AN2" s="2993"/>
      <c r="AO2" s="2993"/>
      <c r="AP2" s="2993"/>
      <c r="AQ2" s="2993"/>
      <c r="AR2" s="2993"/>
      <c r="AS2" s="2993"/>
      <c r="AT2" s="2993"/>
      <c r="AU2" s="2993"/>
      <c r="AV2" s="2993"/>
    </row>
    <row r="3" spans="1:48" ht="58.5" x14ac:dyDescent="0.4">
      <c r="A3" s="1428" t="s">
        <v>1035</v>
      </c>
      <c r="B3" s="1428" t="s">
        <v>155</v>
      </c>
      <c r="C3" s="1032" t="s">
        <v>1036</v>
      </c>
      <c r="D3" s="953" t="s">
        <v>1752</v>
      </c>
      <c r="E3" s="968" t="s">
        <v>1038</v>
      </c>
      <c r="F3" s="968" t="s">
        <v>4437</v>
      </c>
      <c r="G3" s="968" t="s">
        <v>4438</v>
      </c>
      <c r="H3" s="968" t="s">
        <v>4439</v>
      </c>
      <c r="I3" s="968" t="s">
        <v>4440</v>
      </c>
      <c r="J3" s="968" t="s">
        <v>4441</v>
      </c>
      <c r="K3" s="968" t="s">
        <v>1684</v>
      </c>
      <c r="L3" s="968" t="s">
        <v>2810</v>
      </c>
      <c r="M3" s="968" t="s">
        <v>4117</v>
      </c>
      <c r="N3" s="968" t="s">
        <v>4118</v>
      </c>
      <c r="O3" s="968" t="s">
        <v>4119</v>
      </c>
      <c r="P3" s="968" t="s">
        <v>4120</v>
      </c>
      <c r="Q3" s="952" t="s">
        <v>1570</v>
      </c>
      <c r="R3" s="952" t="s">
        <v>1360</v>
      </c>
      <c r="S3" s="968" t="s">
        <v>4442</v>
      </c>
      <c r="T3" s="968" t="s">
        <v>1039</v>
      </c>
      <c r="U3" s="1428" t="s">
        <v>1041</v>
      </c>
      <c r="V3" s="1429" t="s">
        <v>1044</v>
      </c>
      <c r="W3" s="1429" t="s">
        <v>1045</v>
      </c>
      <c r="X3" s="1429" t="s">
        <v>1046</v>
      </c>
      <c r="Y3" s="2182" t="s">
        <v>3183</v>
      </c>
      <c r="Z3" s="1429" t="s">
        <v>1044</v>
      </c>
      <c r="AA3" s="1429" t="s">
        <v>1045</v>
      </c>
      <c r="AB3" s="1431" t="s">
        <v>1046</v>
      </c>
      <c r="AC3" s="349" t="s">
        <v>4315</v>
      </c>
      <c r="AD3" s="349" t="s">
        <v>4443</v>
      </c>
      <c r="AE3" s="349" t="s">
        <v>4444</v>
      </c>
      <c r="AF3" s="349" t="s">
        <v>4445</v>
      </c>
      <c r="AG3" s="349" t="s">
        <v>4390</v>
      </c>
      <c r="AH3" s="349" t="s">
        <v>4446</v>
      </c>
      <c r="AI3" s="349" t="s">
        <v>4447</v>
      </c>
      <c r="AJ3" s="301" t="s">
        <v>4448</v>
      </c>
      <c r="AK3" s="301" t="s">
        <v>4449</v>
      </c>
      <c r="AL3" s="349" t="s">
        <v>4129</v>
      </c>
      <c r="AM3" s="349" t="s">
        <v>4130</v>
      </c>
      <c r="AN3" s="349" t="s">
        <v>3200</v>
      </c>
      <c r="AO3" s="349" t="s">
        <v>4133</v>
      </c>
      <c r="AP3" s="301" t="s">
        <v>4450</v>
      </c>
      <c r="AQ3" s="301" t="s">
        <v>4451</v>
      </c>
      <c r="AR3" s="349" t="s">
        <v>4135</v>
      </c>
      <c r="AS3" s="349" t="s">
        <v>1179</v>
      </c>
      <c r="AT3" s="349" t="s">
        <v>4452</v>
      </c>
      <c r="AU3" s="349" t="s">
        <v>4453</v>
      </c>
      <c r="AV3" s="349" t="s">
        <v>3210</v>
      </c>
    </row>
    <row r="4" spans="1:48" ht="29" x14ac:dyDescent="0.35">
      <c r="A4" s="956" t="s">
        <v>678</v>
      </c>
      <c r="B4" s="143" t="str">
        <f>IF(AND(I4=0,J4&gt;1),$B$133&amp;" Insulation",IF(AND(I4&gt;10,J4=0),$B$134&amp;" Insulation",B2))&amp;IF(I4&gt;0,", wall: R"&amp;H4&amp;" to R"&amp;F4&amp;", wall area = "&amp;I4&amp;" ft, ",""&amp;IF(J4&gt;0," attic: R"&amp;H4&amp;" to R"&amp;G4&amp;", attic area = "&amp;J4&amp;" ft, ",""))&amp;R4</f>
        <v xml:space="preserve"> Insulation attic: R19 to R49, attic area = 1205 ft, Single Family</v>
      </c>
      <c r="C4" s="143" t="s">
        <v>663</v>
      </c>
      <c r="D4" s="1028" t="s">
        <v>4142</v>
      </c>
      <c r="E4" s="69" t="s">
        <v>1632</v>
      </c>
      <c r="F4" s="1050">
        <v>0</v>
      </c>
      <c r="G4" s="1050">
        <v>49</v>
      </c>
      <c r="H4" s="1050">
        <v>19</v>
      </c>
      <c r="I4" s="1050">
        <v>0</v>
      </c>
      <c r="J4" s="1050">
        <v>1205</v>
      </c>
      <c r="K4" s="973" t="s">
        <v>1696</v>
      </c>
      <c r="L4" s="972" t="s">
        <v>1529</v>
      </c>
      <c r="M4" s="972" t="s">
        <v>4433</v>
      </c>
      <c r="N4" s="972" t="s">
        <v>3298</v>
      </c>
      <c r="O4" s="973" t="s">
        <v>3298</v>
      </c>
      <c r="P4" s="973" t="s">
        <v>3174</v>
      </c>
      <c r="Q4" s="972"/>
      <c r="R4" s="973" t="s">
        <v>3318</v>
      </c>
      <c r="S4" s="972" t="s">
        <v>4331</v>
      </c>
      <c r="T4" s="2766">
        <f>IF(AB4/X4&gt;$B$84,$B$84,AB4/X4)</f>
        <v>20</v>
      </c>
      <c r="U4" s="1040" t="s">
        <v>3222</v>
      </c>
      <c r="V4" s="986"/>
      <c r="W4" s="2184"/>
      <c r="X4" s="2778">
        <f>IF(L4=$B$117,((((1/AG4-1/AF4)*AI4*(1-AK4)))*24*AO4)/(AQ4*100000)*AT4,0)</f>
        <v>44.298006534908701</v>
      </c>
      <c r="Y4" s="2765">
        <f>IF(L4=$B$117,((((1/AG4-1/AF4)*AI4*(1-AK4)))*24*AO4)/(0.72*100000)*AT4,0)</f>
        <v>44.298006534908701</v>
      </c>
      <c r="Z4" s="986"/>
      <c r="AA4" s="2184"/>
      <c r="AB4" s="2645">
        <f t="shared" ref="AB4:AB24" si="0">X4*10+Y4*10</f>
        <v>885.960130698174</v>
      </c>
      <c r="AC4" s="1122">
        <f>IF(M4=$B$130,((((1/AG4-1/AF4)*AI4*(1-AK4))*24*AL4*AM4)/(1000*AN4)*AU4),0)</f>
        <v>44.82407407089152</v>
      </c>
      <c r="AD4" s="49">
        <v>0</v>
      </c>
      <c r="AE4" s="302">
        <f t="shared" ref="AE4:AE19" si="1">F4</f>
        <v>0</v>
      </c>
      <c r="AF4" s="302">
        <f>G4</f>
        <v>49</v>
      </c>
      <c r="AG4" s="302">
        <f>H4</f>
        <v>19</v>
      </c>
      <c r="AH4" s="302">
        <f>I4</f>
        <v>0</v>
      </c>
      <c r="AI4" s="302">
        <f>J4</f>
        <v>1205</v>
      </c>
      <c r="AJ4" s="291">
        <f>+$B$58</f>
        <v>0.25</v>
      </c>
      <c r="AK4" s="291">
        <f>+$B$59</f>
        <v>7.0000000000000007E-2</v>
      </c>
      <c r="AL4" s="49">
        <f>VLOOKUP(K4,$B$92:$C$98,2,FALSE)</f>
        <v>862</v>
      </c>
      <c r="AM4" s="49">
        <f>+$B$62</f>
        <v>0.75</v>
      </c>
      <c r="AN4" s="49">
        <f>IF(OR(M4=$B$130,M4=$B$132),VLOOKUP(N4,$C$108:$D$110,2,FALSE),IF(M4=$B$131,VLOOKUP(N4,$C$111:$D$113,2,FALSE)))</f>
        <v>10</v>
      </c>
      <c r="AO4" s="49">
        <f>VLOOKUP(K4,$B$92:$D$98,3,FALSE)</f>
        <v>5111.2999999999993</v>
      </c>
      <c r="AP4" s="49">
        <f>IF(P4=$I$95,$L$95,VLOOKUP(O4,$J$92:$L$94,3,FALSE))</f>
        <v>1.7</v>
      </c>
      <c r="AQ4" s="291">
        <f>+$B$70</f>
        <v>0.72</v>
      </c>
      <c r="AR4" s="49">
        <f>VLOOKUP(K4,$B$92:$F$98,IF(R4=$B$121,4,5),FALSE)</f>
        <v>568.6</v>
      </c>
      <c r="AS4" s="247">
        <f>IF(S4=$C$130, IF(M4=$B$130, $D$130, $D$131), $D$132)</f>
        <v>0.68</v>
      </c>
      <c r="AT4" s="1587">
        <v>0.72</v>
      </c>
      <c r="AU4" s="350">
        <f>+$B$74</f>
        <v>0.8</v>
      </c>
      <c r="AV4" s="247">
        <f>+$B$82</f>
        <v>3.1399999999999997E-2</v>
      </c>
    </row>
    <row r="5" spans="1:48" ht="29" x14ac:dyDescent="0.35">
      <c r="A5" s="956" t="s">
        <v>4454</v>
      </c>
      <c r="B5" s="143" t="str">
        <f>IF(AND(I5=0,J5&gt;1),$B$133&amp;" Insulation",IF(AND(I5&gt;10,J5=0),$B$134&amp;" Insulation",#REF!))&amp;IF(I5&gt;0,", wall: R"&amp;H5&amp;" to R"&amp;F5&amp;", wall area = "&amp;I5&amp;" ft, ",""&amp;IF(J5&gt;0," attic: &gt;R19 to R"&amp;G5&amp;", attic area = "&amp;J5&amp;" ft, ",""))&amp;R5</f>
        <v xml:space="preserve"> Insulation attic: &gt;R19 to R49, attic area = 1205 ft, Single Family</v>
      </c>
      <c r="C5" s="143" t="s">
        <v>665</v>
      </c>
      <c r="D5" s="956" t="s">
        <v>4142</v>
      </c>
      <c r="E5" s="69" t="s">
        <v>1632</v>
      </c>
      <c r="F5" s="1050">
        <v>0</v>
      </c>
      <c r="G5" s="1050">
        <v>49</v>
      </c>
      <c r="H5" s="1050">
        <v>22</v>
      </c>
      <c r="I5" s="1050">
        <v>0</v>
      </c>
      <c r="J5" s="1050">
        <v>1205</v>
      </c>
      <c r="K5" s="973" t="s">
        <v>1696</v>
      </c>
      <c r="L5" s="972" t="s">
        <v>1529</v>
      </c>
      <c r="M5" s="972" t="s">
        <v>4433</v>
      </c>
      <c r="N5" s="972" t="s">
        <v>3298</v>
      </c>
      <c r="O5" s="973" t="s">
        <v>3298</v>
      </c>
      <c r="P5" s="973" t="s">
        <v>3174</v>
      </c>
      <c r="Q5" s="1080"/>
      <c r="R5" s="972" t="s">
        <v>3318</v>
      </c>
      <c r="S5" s="972" t="s">
        <v>4331</v>
      </c>
      <c r="T5" s="2766">
        <f t="shared" ref="T5:T24" si="2">IF(AB5/X5&gt;$B$84,$B$84,AB5/X5)</f>
        <v>20</v>
      </c>
      <c r="U5" s="1040" t="s">
        <v>3222</v>
      </c>
      <c r="V5" s="2183"/>
      <c r="W5" s="2183"/>
      <c r="X5" s="2778">
        <f>IF(L5=$B$117,((((1/AG5-1/AF5)*AI5*(1-AK5)))*24*AO5)/(AQ5*100000)*AT5,0)</f>
        <v>34.431632352133576</v>
      </c>
      <c r="Y5" s="2765">
        <f t="shared" ref="Y5:Y24" si="3">IF(L5=$B$117,((((1/AG5-1/AF5)*AI5*(1-AK5)))*24*AO5)/(0.72*100000)*AT5,0)</f>
        <v>34.431632352133576</v>
      </c>
      <c r="Z5" s="2183"/>
      <c r="AA5" s="2183"/>
      <c r="AB5" s="2645">
        <f t="shared" si="0"/>
        <v>688.63264704267158</v>
      </c>
      <c r="AC5" s="1">
        <f t="shared" ref="AC5:AC19" si="4">IF(M5=$B$130,((((1/AG5-1/AF5)*AI5*(1-AK5))*24*AL5*AM5)/(1000*AN5)*AU5),0)</f>
        <v>34.840530300556587</v>
      </c>
      <c r="AD5" s="49">
        <v>0</v>
      </c>
      <c r="AE5" s="302">
        <f t="shared" si="1"/>
        <v>0</v>
      </c>
      <c r="AF5" s="302">
        <f t="shared" ref="AF5:AF19" si="5">G5</f>
        <v>49</v>
      </c>
      <c r="AG5" s="302">
        <f t="shared" ref="AG5:AG19" si="6">H5</f>
        <v>22</v>
      </c>
      <c r="AH5" s="302">
        <f t="shared" ref="AH5:AH19" si="7">I5</f>
        <v>0</v>
      </c>
      <c r="AI5" s="302">
        <f t="shared" ref="AI5:AI19" si="8">J5</f>
        <v>1205</v>
      </c>
      <c r="AJ5" s="291">
        <f t="shared" ref="AJ5:AJ24" si="9">+$B$58</f>
        <v>0.25</v>
      </c>
      <c r="AK5" s="291">
        <f t="shared" ref="AK5:AK24" si="10">+$B$59</f>
        <v>7.0000000000000007E-2</v>
      </c>
      <c r="AL5" s="49">
        <f t="shared" ref="AL5:AL19" si="11">VLOOKUP(K5,$B$92:$C$98,2,FALSE)</f>
        <v>862</v>
      </c>
      <c r="AM5" s="49">
        <f t="shared" ref="AM5:AM24" si="12">+$B$62</f>
        <v>0.75</v>
      </c>
      <c r="AN5" s="49">
        <f t="shared" ref="AN5:AN19" si="13">IF(OR(M5=$B$130,M5=$B$132),VLOOKUP(N5,$C$108:$D$110,2,FALSE),IF(M5=$B$131,VLOOKUP(N5,$C$111:$D$113,2,FALSE)))</f>
        <v>10</v>
      </c>
      <c r="AO5" s="49">
        <f t="shared" ref="AO5:AO19" si="14">VLOOKUP(K5,$B$92:$D$98,3,FALSE)</f>
        <v>5111.2999999999993</v>
      </c>
      <c r="AP5" s="49">
        <f t="shared" ref="AP5:AP19" si="15">IF(P5=$I$95,$L$95,VLOOKUP(O5,$J$92:$L$94,3,FALSE))</f>
        <v>1.7</v>
      </c>
      <c r="AQ5" s="291">
        <f t="shared" ref="AQ5:AQ24" si="16">+$B$70</f>
        <v>0.72</v>
      </c>
      <c r="AR5" s="49">
        <f t="shared" ref="AR5:AR19" si="17">VLOOKUP(K5,$B$92:$F$98,IF(R5=$B$121,4,5),FALSE)</f>
        <v>568.6</v>
      </c>
      <c r="AS5" s="247">
        <f t="shared" ref="AS5:AS19" si="18">IF(S5=$C$130, IF(M5=$B$130, $D$130, $D$131), $D$132)</f>
        <v>0.68</v>
      </c>
      <c r="AT5" s="1587">
        <v>0.72</v>
      </c>
      <c r="AU5" s="350">
        <f t="shared" ref="AU5:AU24" si="19">+$B$74</f>
        <v>0.8</v>
      </c>
      <c r="AV5" s="247">
        <f t="shared" ref="AV5:AV24" si="20">+$B$82</f>
        <v>3.1399999999999997E-2</v>
      </c>
    </row>
    <row r="6" spans="1:48" ht="29" x14ac:dyDescent="0.35">
      <c r="A6" s="956" t="s">
        <v>799</v>
      </c>
      <c r="B6" s="143" t="str">
        <f>IF(AND(I6=0,J6&gt;1),$B$133&amp;" Insulation",IF(AND(I6&gt;10,J6=0),$B$134&amp;" Insulation",#REF!))&amp;IF(I6&gt;0,", wall: R"&amp;H6&amp;" to R"&amp;F6&amp;", wall area = "&amp;I6&amp;" ft, ",""&amp;IF(J6&gt;0," attic: R"&amp;H6&amp;" to R"&amp;G6&amp;", attic area = "&amp;J6&amp;" ft, ",""))&amp;R6</f>
        <v xml:space="preserve"> Insulation attic: R5 to R49, attic area = 972 ft, Single Family</v>
      </c>
      <c r="C6" s="143" t="s">
        <v>657</v>
      </c>
      <c r="D6" s="956" t="s">
        <v>4142</v>
      </c>
      <c r="E6" s="69" t="s">
        <v>1632</v>
      </c>
      <c r="F6" s="1115">
        <v>0</v>
      </c>
      <c r="G6" s="1050">
        <v>49</v>
      </c>
      <c r="H6" s="1050">
        <v>5</v>
      </c>
      <c r="I6" s="1115">
        <v>0</v>
      </c>
      <c r="J6" s="1115">
        <v>972</v>
      </c>
      <c r="K6" s="973" t="s">
        <v>1696</v>
      </c>
      <c r="L6" s="972" t="s">
        <v>1529</v>
      </c>
      <c r="M6" s="972" t="s">
        <v>4433</v>
      </c>
      <c r="N6" s="972" t="s">
        <v>3298</v>
      </c>
      <c r="O6" s="973" t="s">
        <v>3298</v>
      </c>
      <c r="P6" s="973" t="s">
        <v>3174</v>
      </c>
      <c r="Q6" s="1080"/>
      <c r="R6" s="972" t="s">
        <v>3318</v>
      </c>
      <c r="S6" s="972" t="s">
        <v>4331</v>
      </c>
      <c r="T6" s="2766">
        <f t="shared" si="2"/>
        <v>20</v>
      </c>
      <c r="U6" s="1040" t="s">
        <v>3222</v>
      </c>
      <c r="V6" s="962"/>
      <c r="W6" s="962"/>
      <c r="X6" s="2778">
        <f t="shared" ref="X6:X19" si="21">IF(L6=$B$117,((((1/AG6-1/AF6)*AI6*(1-AK6)))*24*AO6)/(AQ6*100000)*AT6,0)</f>
        <v>199.14913264848977</v>
      </c>
      <c r="Y6" s="2765">
        <f t="shared" si="3"/>
        <v>199.14913264848977</v>
      </c>
      <c r="Z6" s="962"/>
      <c r="AA6" s="962"/>
      <c r="AB6" s="2764">
        <f t="shared" si="0"/>
        <v>3982.9826529697953</v>
      </c>
      <c r="AC6" s="1">
        <f t="shared" si="4"/>
        <v>201.51415766204082</v>
      </c>
      <c r="AD6" s="49">
        <v>0</v>
      </c>
      <c r="AE6" s="302">
        <f t="shared" si="1"/>
        <v>0</v>
      </c>
      <c r="AF6" s="302">
        <f t="shared" si="5"/>
        <v>49</v>
      </c>
      <c r="AG6" s="302">
        <f t="shared" si="6"/>
        <v>5</v>
      </c>
      <c r="AH6" s="302">
        <f t="shared" si="7"/>
        <v>0</v>
      </c>
      <c r="AI6" s="302">
        <f t="shared" si="8"/>
        <v>972</v>
      </c>
      <c r="AJ6" s="291">
        <f t="shared" si="9"/>
        <v>0.25</v>
      </c>
      <c r="AK6" s="291">
        <f t="shared" si="10"/>
        <v>7.0000000000000007E-2</v>
      </c>
      <c r="AL6" s="49">
        <f t="shared" si="11"/>
        <v>862</v>
      </c>
      <c r="AM6" s="49">
        <f t="shared" si="12"/>
        <v>0.75</v>
      </c>
      <c r="AN6" s="49">
        <f t="shared" si="13"/>
        <v>10</v>
      </c>
      <c r="AO6" s="49">
        <f t="shared" si="14"/>
        <v>5111.2999999999993</v>
      </c>
      <c r="AP6" s="49">
        <f t="shared" si="15"/>
        <v>1.7</v>
      </c>
      <c r="AQ6" s="291">
        <f t="shared" si="16"/>
        <v>0.72</v>
      </c>
      <c r="AR6" s="49">
        <f t="shared" si="17"/>
        <v>568.6</v>
      </c>
      <c r="AS6" s="247">
        <f t="shared" si="18"/>
        <v>0.68</v>
      </c>
      <c r="AT6" s="1587">
        <v>0.72</v>
      </c>
      <c r="AU6" s="350">
        <f t="shared" si="19"/>
        <v>0.8</v>
      </c>
      <c r="AV6" s="247">
        <f t="shared" si="20"/>
        <v>3.1399999999999997E-2</v>
      </c>
    </row>
    <row r="7" spans="1:48" ht="29" x14ac:dyDescent="0.35">
      <c r="A7" s="956" t="s">
        <v>905</v>
      </c>
      <c r="B7" s="143" t="str">
        <f>IF(AND(I7=0,J7&gt;1),$B$133&amp;" Insulation",IF(AND(I7&gt;10,J7=0),$B$134&amp;" Insulation",B5))&amp;IF(I7&gt;0,", wall: R"&amp;H7&amp;" to R"&amp;F7&amp;", wall area = "&amp;I7&amp;" ft, ",""&amp;IF(J7&gt;0," attic: R"&amp;H7&amp;" to R"&amp;G7&amp;", attic area = "&amp;J7&amp;" ft, ",""))&amp;R7</f>
        <v xml:space="preserve"> Insulation attic: R14 to R49, attic area = 1163 ft, Single Family</v>
      </c>
      <c r="C7" s="143" t="s">
        <v>661</v>
      </c>
      <c r="D7" s="956" t="s">
        <v>4142</v>
      </c>
      <c r="E7" s="69" t="s">
        <v>1632</v>
      </c>
      <c r="F7" s="1115">
        <v>0</v>
      </c>
      <c r="G7" s="1050">
        <v>49</v>
      </c>
      <c r="H7" s="1050">
        <v>14</v>
      </c>
      <c r="I7" s="69">
        <v>0</v>
      </c>
      <c r="J7" s="69">
        <v>1163</v>
      </c>
      <c r="K7" s="973" t="s">
        <v>1696</v>
      </c>
      <c r="L7" s="972" t="s">
        <v>1529</v>
      </c>
      <c r="M7" s="972" t="s">
        <v>4433</v>
      </c>
      <c r="N7" s="972" t="s">
        <v>3298</v>
      </c>
      <c r="O7" s="973" t="s">
        <v>3298</v>
      </c>
      <c r="P7" s="973" t="s">
        <v>3174</v>
      </c>
      <c r="Q7" s="1080"/>
      <c r="R7" s="972" t="s">
        <v>3318</v>
      </c>
      <c r="S7" s="972" t="s">
        <v>4331</v>
      </c>
      <c r="T7" s="2766">
        <f t="shared" si="2"/>
        <v>20</v>
      </c>
      <c r="U7" s="1040" t="s">
        <v>3222</v>
      </c>
      <c r="V7" s="962"/>
      <c r="W7" s="962"/>
      <c r="X7" s="2778">
        <f t="shared" si="21"/>
        <v>67.693848575510202</v>
      </c>
      <c r="Y7" s="2765">
        <f t="shared" si="3"/>
        <v>67.693848575510202</v>
      </c>
      <c r="Z7" s="962"/>
      <c r="AA7" s="962"/>
      <c r="AB7" s="2764">
        <f t="shared" si="0"/>
        <v>1353.8769715102039</v>
      </c>
      <c r="AC7" s="1">
        <f t="shared" si="4"/>
        <v>68.497756897959178</v>
      </c>
      <c r="AD7" s="49">
        <v>0</v>
      </c>
      <c r="AE7" s="302">
        <f t="shared" si="1"/>
        <v>0</v>
      </c>
      <c r="AF7" s="302">
        <f t="shared" si="5"/>
        <v>49</v>
      </c>
      <c r="AG7" s="302">
        <f t="shared" si="6"/>
        <v>14</v>
      </c>
      <c r="AH7" s="302">
        <f t="shared" si="7"/>
        <v>0</v>
      </c>
      <c r="AI7" s="302">
        <f t="shared" si="8"/>
        <v>1163</v>
      </c>
      <c r="AJ7" s="291">
        <f t="shared" si="9"/>
        <v>0.25</v>
      </c>
      <c r="AK7" s="291">
        <f t="shared" si="10"/>
        <v>7.0000000000000007E-2</v>
      </c>
      <c r="AL7" s="49">
        <f t="shared" si="11"/>
        <v>862</v>
      </c>
      <c r="AM7" s="49">
        <f t="shared" si="12"/>
        <v>0.75</v>
      </c>
      <c r="AN7" s="49">
        <f t="shared" si="13"/>
        <v>10</v>
      </c>
      <c r="AO7" s="49">
        <f t="shared" si="14"/>
        <v>5111.2999999999993</v>
      </c>
      <c r="AP7" s="49">
        <f t="shared" si="15"/>
        <v>1.7</v>
      </c>
      <c r="AQ7" s="291">
        <f t="shared" si="16"/>
        <v>0.72</v>
      </c>
      <c r="AR7" s="49">
        <f t="shared" si="17"/>
        <v>568.6</v>
      </c>
      <c r="AS7" s="247">
        <f t="shared" si="18"/>
        <v>0.68</v>
      </c>
      <c r="AT7" s="1587">
        <v>0.72</v>
      </c>
      <c r="AU7" s="350">
        <f t="shared" si="19"/>
        <v>0.8</v>
      </c>
      <c r="AV7" s="247">
        <f t="shared" si="20"/>
        <v>3.1399999999999997E-2</v>
      </c>
    </row>
    <row r="8" spans="1:48" ht="29" x14ac:dyDescent="0.35">
      <c r="A8" s="956" t="s">
        <v>4455</v>
      </c>
      <c r="B8" s="143" t="str">
        <f>IF(AND(I8=0,J8&gt;1),$B$133&amp;" Insulation",IF(AND(I8&gt;10,J8=0),$B$134&amp;" Insulation",B6))&amp;IF(I8&gt;0,", wall: R"&amp;H8&amp;" to R"&amp;F8&amp;", wall area = "&amp;I8&amp;" ft, ",""&amp;IF(J8&gt;0," attic: R"&amp;H8&amp;" to R"&amp;G8&amp;", attic area = "&amp;J8&amp;" ft, ",""))&amp;R8</f>
        <v xml:space="preserve"> Insulation attic: R16 to R49, attic area = 1163 ft, Single Family</v>
      </c>
      <c r="C8" s="143" t="s">
        <v>834</v>
      </c>
      <c r="D8" s="956" t="s">
        <v>4142</v>
      </c>
      <c r="E8" s="69" t="s">
        <v>1632</v>
      </c>
      <c r="F8" s="1115">
        <v>0</v>
      </c>
      <c r="G8" s="1050">
        <v>49</v>
      </c>
      <c r="H8" s="1050">
        <v>16</v>
      </c>
      <c r="I8" s="69">
        <v>0</v>
      </c>
      <c r="J8" s="69">
        <v>1163</v>
      </c>
      <c r="K8" s="973" t="s">
        <v>1696</v>
      </c>
      <c r="L8" s="972" t="s">
        <v>1529</v>
      </c>
      <c r="M8" s="972" t="s">
        <v>4433</v>
      </c>
      <c r="N8" s="972" t="s">
        <v>3298</v>
      </c>
      <c r="O8" s="973" t="s">
        <v>3298</v>
      </c>
      <c r="P8" s="973" t="s">
        <v>3174</v>
      </c>
      <c r="Q8" s="1080"/>
      <c r="R8" s="972" t="s">
        <v>3318</v>
      </c>
      <c r="S8" s="972" t="s">
        <v>4331</v>
      </c>
      <c r="T8" s="2766">
        <f t="shared" si="2"/>
        <v>20</v>
      </c>
      <c r="U8" s="1040" t="s">
        <v>3222</v>
      </c>
      <c r="V8" s="962"/>
      <c r="W8" s="962"/>
      <c r="X8" s="2778">
        <f t="shared" si="21"/>
        <v>55.847425074795908</v>
      </c>
      <c r="Y8" s="2765">
        <f t="shared" si="3"/>
        <v>55.847425074795908</v>
      </c>
      <c r="Z8" s="962"/>
      <c r="AA8" s="962"/>
      <c r="AB8" s="2764">
        <f t="shared" si="0"/>
        <v>1116.9485014959182</v>
      </c>
      <c r="AC8" s="1">
        <f t="shared" si="4"/>
        <v>56.510649440816337</v>
      </c>
      <c r="AD8" s="49">
        <v>0</v>
      </c>
      <c r="AE8" s="302">
        <f t="shared" si="1"/>
        <v>0</v>
      </c>
      <c r="AF8" s="302">
        <f t="shared" si="5"/>
        <v>49</v>
      </c>
      <c r="AG8" s="302">
        <f t="shared" si="6"/>
        <v>16</v>
      </c>
      <c r="AH8" s="302">
        <f t="shared" si="7"/>
        <v>0</v>
      </c>
      <c r="AI8" s="302">
        <f t="shared" si="8"/>
        <v>1163</v>
      </c>
      <c r="AJ8" s="291">
        <f t="shared" si="9"/>
        <v>0.25</v>
      </c>
      <c r="AK8" s="291">
        <f t="shared" si="10"/>
        <v>7.0000000000000007E-2</v>
      </c>
      <c r="AL8" s="49">
        <f t="shared" si="11"/>
        <v>862</v>
      </c>
      <c r="AM8" s="49">
        <f t="shared" si="12"/>
        <v>0.75</v>
      </c>
      <c r="AN8" s="49">
        <f t="shared" si="13"/>
        <v>10</v>
      </c>
      <c r="AO8" s="49">
        <f t="shared" si="14"/>
        <v>5111.2999999999993</v>
      </c>
      <c r="AP8" s="49">
        <f t="shared" si="15"/>
        <v>1.7</v>
      </c>
      <c r="AQ8" s="291">
        <f t="shared" si="16"/>
        <v>0.72</v>
      </c>
      <c r="AR8" s="49">
        <f t="shared" si="17"/>
        <v>568.6</v>
      </c>
      <c r="AS8" s="247">
        <f t="shared" si="18"/>
        <v>0.68</v>
      </c>
      <c r="AT8" s="1587">
        <v>0.72</v>
      </c>
      <c r="AU8" s="350">
        <f t="shared" si="19"/>
        <v>0.8</v>
      </c>
      <c r="AV8" s="247">
        <f t="shared" si="20"/>
        <v>3.1399999999999997E-2</v>
      </c>
    </row>
    <row r="9" spans="1:48" ht="29" x14ac:dyDescent="0.35">
      <c r="A9" s="956" t="s">
        <v>4456</v>
      </c>
      <c r="B9" s="143" t="str">
        <f t="shared" ref="B9:B19" si="22">IF(AND(I9=0,J9&gt;1),C9&amp;"",IF(AND(I9&gt;10,J9=0),$B$134&amp;" Insulation",B7))&amp;IF(I9&gt;0,", wall: R"&amp;H9&amp;" to R"&amp;F9&amp;", wall area = "&amp;I9&amp;" ft, ",""&amp;IF(J9&gt;0," attic: &lt;R19 to R"&amp;G9&amp;", attic area = "&amp;J9&amp;" ft, ",""))&amp;R9</f>
        <v>Attic Insulation IQ SF CC attic: &lt;R19 to R49, attic area = 882 ft, Single Family</v>
      </c>
      <c r="C9" s="143" t="s">
        <v>790</v>
      </c>
      <c r="D9" s="956" t="s">
        <v>4142</v>
      </c>
      <c r="E9" s="69" t="s">
        <v>1632</v>
      </c>
      <c r="F9" s="1115">
        <v>0</v>
      </c>
      <c r="G9" s="1050">
        <v>49</v>
      </c>
      <c r="H9" s="1050">
        <v>8.9</v>
      </c>
      <c r="I9" s="69">
        <v>0</v>
      </c>
      <c r="J9" s="69">
        <v>882</v>
      </c>
      <c r="K9" s="973" t="s">
        <v>1696</v>
      </c>
      <c r="L9" s="972" t="s">
        <v>1529</v>
      </c>
      <c r="M9" s="972" t="s">
        <v>4433</v>
      </c>
      <c r="N9" s="972" t="s">
        <v>3298</v>
      </c>
      <c r="O9" s="973" t="s">
        <v>3298</v>
      </c>
      <c r="P9" s="973" t="s">
        <v>3174</v>
      </c>
      <c r="Q9" s="1080"/>
      <c r="R9" s="972" t="s">
        <v>3318</v>
      </c>
      <c r="S9" s="972" t="s">
        <v>4331</v>
      </c>
      <c r="T9" s="2766">
        <f t="shared" si="2"/>
        <v>20</v>
      </c>
      <c r="U9" s="1040" t="s">
        <v>3222</v>
      </c>
      <c r="V9" s="962"/>
      <c r="W9" s="962"/>
      <c r="X9" s="2778">
        <f t="shared" si="21"/>
        <v>92.52358102112359</v>
      </c>
      <c r="Y9" s="2765">
        <f t="shared" si="3"/>
        <v>92.52358102112359</v>
      </c>
      <c r="Z9" s="962"/>
      <c r="AA9" s="962"/>
      <c r="AB9" s="2764">
        <f t="shared" si="0"/>
        <v>1850.4716204224719</v>
      </c>
      <c r="AC9" s="1">
        <f t="shared" si="4"/>
        <v>93.622358507865172</v>
      </c>
      <c r="AD9" s="49">
        <v>0</v>
      </c>
      <c r="AE9" s="302">
        <f t="shared" si="1"/>
        <v>0</v>
      </c>
      <c r="AF9" s="302">
        <f t="shared" si="5"/>
        <v>49</v>
      </c>
      <c r="AG9" s="302">
        <f t="shared" si="6"/>
        <v>8.9</v>
      </c>
      <c r="AH9" s="302">
        <f t="shared" si="7"/>
        <v>0</v>
      </c>
      <c r="AI9" s="302">
        <f t="shared" si="8"/>
        <v>882</v>
      </c>
      <c r="AJ9" s="291">
        <f t="shared" si="9"/>
        <v>0.25</v>
      </c>
      <c r="AK9" s="291">
        <f t="shared" si="10"/>
        <v>7.0000000000000007E-2</v>
      </c>
      <c r="AL9" s="49">
        <f t="shared" si="11"/>
        <v>862</v>
      </c>
      <c r="AM9" s="49">
        <f t="shared" si="12"/>
        <v>0.75</v>
      </c>
      <c r="AN9" s="49">
        <f t="shared" si="13"/>
        <v>10</v>
      </c>
      <c r="AO9" s="49">
        <f t="shared" si="14"/>
        <v>5111.2999999999993</v>
      </c>
      <c r="AP9" s="49">
        <f t="shared" si="15"/>
        <v>1.7</v>
      </c>
      <c r="AQ9" s="291">
        <f t="shared" si="16"/>
        <v>0.72</v>
      </c>
      <c r="AR9" s="49">
        <f t="shared" si="17"/>
        <v>568.6</v>
      </c>
      <c r="AS9" s="247">
        <f t="shared" si="18"/>
        <v>0.68</v>
      </c>
      <c r="AT9" s="1587">
        <v>0.72</v>
      </c>
      <c r="AU9" s="350">
        <f t="shared" si="19"/>
        <v>0.8</v>
      </c>
      <c r="AV9" s="247">
        <f t="shared" si="20"/>
        <v>3.1399999999999997E-2</v>
      </c>
    </row>
    <row r="10" spans="1:48" ht="29" x14ac:dyDescent="0.35">
      <c r="A10" s="956" t="s">
        <v>4457</v>
      </c>
      <c r="B10" s="143" t="str">
        <f t="shared" si="22"/>
        <v>Attic Insulation IQ SF CAA attic: &lt;R19 to R49, attic area = 882 ft, Single Family</v>
      </c>
      <c r="C10" s="143" t="s">
        <v>889</v>
      </c>
      <c r="D10" s="956" t="s">
        <v>4142</v>
      </c>
      <c r="E10" s="69" t="s">
        <v>1632</v>
      </c>
      <c r="F10" s="1115">
        <v>0</v>
      </c>
      <c r="G10" s="1050">
        <v>49</v>
      </c>
      <c r="H10" s="1050">
        <v>13.5</v>
      </c>
      <c r="I10" s="69">
        <v>0</v>
      </c>
      <c r="J10" s="69">
        <v>882</v>
      </c>
      <c r="K10" s="973" t="s">
        <v>1696</v>
      </c>
      <c r="L10" s="972" t="s">
        <v>1529</v>
      </c>
      <c r="M10" s="972" t="s">
        <v>4433</v>
      </c>
      <c r="N10" s="972" t="s">
        <v>3298</v>
      </c>
      <c r="O10" s="973" t="s">
        <v>3298</v>
      </c>
      <c r="P10" s="973" t="s">
        <v>3174</v>
      </c>
      <c r="Q10" s="1080"/>
      <c r="R10" s="972" t="s">
        <v>3318</v>
      </c>
      <c r="S10" s="972" t="s">
        <v>4331</v>
      </c>
      <c r="T10" s="2766">
        <f t="shared" si="2"/>
        <v>20</v>
      </c>
      <c r="U10" s="1040" t="s">
        <v>3222</v>
      </c>
      <c r="V10" s="962"/>
      <c r="W10" s="962"/>
      <c r="X10" s="2778">
        <f t="shared" si="21"/>
        <v>53.999862239999985</v>
      </c>
      <c r="Y10" s="2765">
        <f t="shared" si="3"/>
        <v>53.999862239999985</v>
      </c>
      <c r="Z10" s="962"/>
      <c r="AA10" s="962"/>
      <c r="AB10" s="2764">
        <f t="shared" si="0"/>
        <v>1079.9972447999996</v>
      </c>
      <c r="AC10" s="1">
        <f t="shared" si="4"/>
        <v>54.641145600000009</v>
      </c>
      <c r="AD10" s="49">
        <v>0</v>
      </c>
      <c r="AE10" s="302">
        <f t="shared" si="1"/>
        <v>0</v>
      </c>
      <c r="AF10" s="302">
        <f t="shared" si="5"/>
        <v>49</v>
      </c>
      <c r="AG10" s="302">
        <f t="shared" si="6"/>
        <v>13.5</v>
      </c>
      <c r="AH10" s="302">
        <f t="shared" si="7"/>
        <v>0</v>
      </c>
      <c r="AI10" s="302">
        <f t="shared" si="8"/>
        <v>882</v>
      </c>
      <c r="AJ10" s="291">
        <f t="shared" si="9"/>
        <v>0.25</v>
      </c>
      <c r="AK10" s="291">
        <f t="shared" si="10"/>
        <v>7.0000000000000007E-2</v>
      </c>
      <c r="AL10" s="49">
        <f t="shared" si="11"/>
        <v>862</v>
      </c>
      <c r="AM10" s="49">
        <f t="shared" si="12"/>
        <v>0.75</v>
      </c>
      <c r="AN10" s="49">
        <f t="shared" si="13"/>
        <v>10</v>
      </c>
      <c r="AO10" s="49">
        <f t="shared" si="14"/>
        <v>5111.2999999999993</v>
      </c>
      <c r="AP10" s="49">
        <f t="shared" si="15"/>
        <v>1.7</v>
      </c>
      <c r="AQ10" s="291">
        <f t="shared" si="16"/>
        <v>0.72</v>
      </c>
      <c r="AR10" s="49">
        <f t="shared" si="17"/>
        <v>568.6</v>
      </c>
      <c r="AS10" s="247">
        <f t="shared" si="18"/>
        <v>0.68</v>
      </c>
      <c r="AT10" s="1587">
        <v>0.72</v>
      </c>
      <c r="AU10" s="350">
        <f t="shared" si="19"/>
        <v>0.8</v>
      </c>
      <c r="AV10" s="247">
        <f t="shared" si="20"/>
        <v>3.1399999999999997E-2</v>
      </c>
    </row>
    <row r="11" spans="1:48" ht="29" x14ac:dyDescent="0.35">
      <c r="A11" s="956" t="s">
        <v>4458</v>
      </c>
      <c r="B11" s="143" t="str">
        <f t="shared" si="22"/>
        <v>Attic Insulation IQ MF CAA attic: &lt;R19 to R49, attic area = 2342 ft, Multi-Family</v>
      </c>
      <c r="C11" s="143" t="s">
        <v>846</v>
      </c>
      <c r="D11" s="956" t="s">
        <v>4142</v>
      </c>
      <c r="E11" s="69" t="s">
        <v>1632</v>
      </c>
      <c r="F11" s="1115">
        <v>0</v>
      </c>
      <c r="G11" s="1050">
        <v>49</v>
      </c>
      <c r="H11" s="1050">
        <v>19</v>
      </c>
      <c r="I11" s="69">
        <v>0</v>
      </c>
      <c r="J11" s="69">
        <v>2342</v>
      </c>
      <c r="K11" s="973" t="s">
        <v>1696</v>
      </c>
      <c r="L11" s="972" t="s">
        <v>1529</v>
      </c>
      <c r="M11" s="972" t="s">
        <v>4433</v>
      </c>
      <c r="N11" s="972" t="s">
        <v>3298</v>
      </c>
      <c r="O11" s="973" t="s">
        <v>3298</v>
      </c>
      <c r="P11" s="973" t="s">
        <v>3174</v>
      </c>
      <c r="Q11" s="1080"/>
      <c r="R11" s="972" t="s">
        <v>1864</v>
      </c>
      <c r="S11" s="972" t="s">
        <v>4331</v>
      </c>
      <c r="T11" s="2766">
        <f t="shared" si="2"/>
        <v>20</v>
      </c>
      <c r="U11" s="1040" t="s">
        <v>3222</v>
      </c>
      <c r="V11" s="962"/>
      <c r="W11" s="962"/>
      <c r="X11" s="2778">
        <f t="shared" si="21"/>
        <v>86.096208551664859</v>
      </c>
      <c r="Y11" s="2765">
        <f t="shared" si="3"/>
        <v>86.096208551664859</v>
      </c>
      <c r="Z11" s="962"/>
      <c r="AA11" s="962"/>
      <c r="AB11" s="2764">
        <f t="shared" si="0"/>
        <v>1721.9241710332972</v>
      </c>
      <c r="AC11" s="1">
        <f t="shared" si="4"/>
        <v>87.118656824919441</v>
      </c>
      <c r="AD11" s="49">
        <v>0</v>
      </c>
      <c r="AE11" s="302">
        <f t="shared" si="1"/>
        <v>0</v>
      </c>
      <c r="AF11" s="302">
        <f t="shared" si="5"/>
        <v>49</v>
      </c>
      <c r="AG11" s="302">
        <f t="shared" si="6"/>
        <v>19</v>
      </c>
      <c r="AH11" s="302">
        <f t="shared" si="7"/>
        <v>0</v>
      </c>
      <c r="AI11" s="302">
        <f t="shared" si="8"/>
        <v>2342</v>
      </c>
      <c r="AJ11" s="291">
        <f t="shared" si="9"/>
        <v>0.25</v>
      </c>
      <c r="AK11" s="291">
        <f t="shared" si="10"/>
        <v>7.0000000000000007E-2</v>
      </c>
      <c r="AL11" s="49">
        <f t="shared" si="11"/>
        <v>862</v>
      </c>
      <c r="AM11" s="49">
        <f t="shared" si="12"/>
        <v>0.75</v>
      </c>
      <c r="AN11" s="49">
        <f t="shared" si="13"/>
        <v>10</v>
      </c>
      <c r="AO11" s="49">
        <f t="shared" si="14"/>
        <v>5111.2999999999993</v>
      </c>
      <c r="AP11" s="49">
        <f t="shared" si="15"/>
        <v>1.7</v>
      </c>
      <c r="AQ11" s="291">
        <f t="shared" si="16"/>
        <v>0.72</v>
      </c>
      <c r="AR11" s="49">
        <f t="shared" si="17"/>
        <v>509.99999999999994</v>
      </c>
      <c r="AS11" s="247">
        <f t="shared" si="18"/>
        <v>0.68</v>
      </c>
      <c r="AT11" s="1587">
        <v>0.72</v>
      </c>
      <c r="AU11" s="350">
        <f t="shared" si="19"/>
        <v>0.8</v>
      </c>
      <c r="AV11" s="247">
        <f t="shared" si="20"/>
        <v>3.1399999999999997E-2</v>
      </c>
    </row>
    <row r="12" spans="1:48" ht="29" x14ac:dyDescent="0.35">
      <c r="A12" s="956" t="s">
        <v>4459</v>
      </c>
      <c r="B12" s="143" t="str">
        <f t="shared" si="22"/>
        <v>Attic Insulation IQ MF CC attic: &lt;R19 to R49, attic area = 3440 ft, Multi-Family</v>
      </c>
      <c r="C12" s="143" t="s">
        <v>735</v>
      </c>
      <c r="D12" s="956" t="s">
        <v>4142</v>
      </c>
      <c r="E12" s="69" t="s">
        <v>1632</v>
      </c>
      <c r="F12" s="1115">
        <v>0</v>
      </c>
      <c r="G12" s="1050">
        <v>49</v>
      </c>
      <c r="H12" s="1050">
        <v>6.3</v>
      </c>
      <c r="I12" s="69">
        <v>0</v>
      </c>
      <c r="J12" s="69">
        <v>3440</v>
      </c>
      <c r="K12" s="973" t="s">
        <v>1696</v>
      </c>
      <c r="L12" s="972" t="s">
        <v>1529</v>
      </c>
      <c r="M12" s="972" t="s">
        <v>4433</v>
      </c>
      <c r="N12" s="972" t="s">
        <v>3298</v>
      </c>
      <c r="O12" s="973" t="s">
        <v>3298</v>
      </c>
      <c r="P12" s="973" t="s">
        <v>3174</v>
      </c>
      <c r="Q12" s="1080"/>
      <c r="R12" s="972" t="s">
        <v>1864</v>
      </c>
      <c r="S12" s="972" t="s">
        <v>4331</v>
      </c>
      <c r="T12" s="2766">
        <f t="shared" si="2"/>
        <v>20</v>
      </c>
      <c r="U12" s="1040" t="s">
        <v>3222</v>
      </c>
      <c r="V12" s="986"/>
      <c r="W12" s="986"/>
      <c r="X12" s="2778">
        <f t="shared" si="21"/>
        <v>542.84426044081624</v>
      </c>
      <c r="Y12" s="2765">
        <f t="shared" si="3"/>
        <v>542.84426044081624</v>
      </c>
      <c r="Z12" s="986"/>
      <c r="AA12" s="986"/>
      <c r="AB12" s="2764">
        <f t="shared" si="0"/>
        <v>10856.885208816326</v>
      </c>
      <c r="AC12" s="1">
        <f t="shared" si="4"/>
        <v>549.29088783673467</v>
      </c>
      <c r="AD12" s="49">
        <v>0</v>
      </c>
      <c r="AE12" s="302">
        <f t="shared" si="1"/>
        <v>0</v>
      </c>
      <c r="AF12" s="302">
        <f t="shared" si="5"/>
        <v>49</v>
      </c>
      <c r="AG12" s="302">
        <f t="shared" si="6"/>
        <v>6.3</v>
      </c>
      <c r="AH12" s="302">
        <f t="shared" si="7"/>
        <v>0</v>
      </c>
      <c r="AI12" s="302">
        <f t="shared" si="8"/>
        <v>3440</v>
      </c>
      <c r="AJ12" s="291">
        <f t="shared" si="9"/>
        <v>0.25</v>
      </c>
      <c r="AK12" s="291">
        <f t="shared" si="10"/>
        <v>7.0000000000000007E-2</v>
      </c>
      <c r="AL12" s="49">
        <f t="shared" si="11"/>
        <v>862</v>
      </c>
      <c r="AM12" s="49">
        <f t="shared" si="12"/>
        <v>0.75</v>
      </c>
      <c r="AN12" s="49">
        <f t="shared" si="13"/>
        <v>10</v>
      </c>
      <c r="AO12" s="49">
        <f t="shared" si="14"/>
        <v>5111.2999999999993</v>
      </c>
      <c r="AP12" s="49">
        <f t="shared" si="15"/>
        <v>1.7</v>
      </c>
      <c r="AQ12" s="291">
        <f t="shared" si="16"/>
        <v>0.72</v>
      </c>
      <c r="AR12" s="49">
        <f t="shared" si="17"/>
        <v>509.99999999999994</v>
      </c>
      <c r="AS12" s="247">
        <f t="shared" si="18"/>
        <v>0.68</v>
      </c>
      <c r="AT12" s="1587">
        <v>0.72</v>
      </c>
      <c r="AU12" s="350">
        <f t="shared" si="19"/>
        <v>0.8</v>
      </c>
      <c r="AV12" s="247">
        <f t="shared" si="20"/>
        <v>3.1399999999999997E-2</v>
      </c>
    </row>
    <row r="13" spans="1:48" ht="29" x14ac:dyDescent="0.35">
      <c r="A13" s="956" t="s">
        <v>4460</v>
      </c>
      <c r="B13" s="143" t="str">
        <f t="shared" si="22"/>
        <v>Attic Insulation IQ MF PHA attic: &lt;R19 to R49, attic area = 2293 ft, Multi-Family</v>
      </c>
      <c r="C13" s="143" t="s">
        <v>938</v>
      </c>
      <c r="D13" s="956" t="s">
        <v>4142</v>
      </c>
      <c r="E13" s="69" t="s">
        <v>1632</v>
      </c>
      <c r="F13" s="1115">
        <v>0</v>
      </c>
      <c r="G13" s="1050">
        <v>49</v>
      </c>
      <c r="H13" s="1050">
        <v>14.55</v>
      </c>
      <c r="I13" s="69">
        <v>0</v>
      </c>
      <c r="J13" s="69">
        <v>2293</v>
      </c>
      <c r="K13" s="973" t="s">
        <v>1696</v>
      </c>
      <c r="L13" s="972" t="s">
        <v>1529</v>
      </c>
      <c r="M13" s="972" t="s">
        <v>4433</v>
      </c>
      <c r="N13" s="972" t="s">
        <v>3298</v>
      </c>
      <c r="O13" s="973" t="s">
        <v>3298</v>
      </c>
      <c r="P13" s="973" t="s">
        <v>3174</v>
      </c>
      <c r="Q13" s="1080"/>
      <c r="R13" s="972" t="s">
        <v>1864</v>
      </c>
      <c r="S13" s="972" t="s">
        <v>4331</v>
      </c>
      <c r="T13" s="2766">
        <f t="shared" si="2"/>
        <v>20</v>
      </c>
      <c r="U13" s="1040" t="s">
        <v>3222</v>
      </c>
      <c r="V13" s="986"/>
      <c r="W13" s="986"/>
      <c r="X13" s="2778">
        <f t="shared" si="21"/>
        <v>126.4036951549421</v>
      </c>
      <c r="Y13" s="2765">
        <f t="shared" si="3"/>
        <v>126.4036951549421</v>
      </c>
      <c r="Z13" s="986"/>
      <c r="AA13" s="986"/>
      <c r="AB13" s="2764">
        <f t="shared" si="0"/>
        <v>2528.073903098842</v>
      </c>
      <c r="AC13" s="1">
        <f t="shared" si="4"/>
        <v>127.90482095383965</v>
      </c>
      <c r="AD13" s="49">
        <v>0</v>
      </c>
      <c r="AE13" s="302">
        <f t="shared" si="1"/>
        <v>0</v>
      </c>
      <c r="AF13" s="302">
        <f t="shared" si="5"/>
        <v>49</v>
      </c>
      <c r="AG13" s="302">
        <f t="shared" si="6"/>
        <v>14.55</v>
      </c>
      <c r="AH13" s="302">
        <f t="shared" si="7"/>
        <v>0</v>
      </c>
      <c r="AI13" s="302">
        <f t="shared" si="8"/>
        <v>2293</v>
      </c>
      <c r="AJ13" s="291">
        <f t="shared" si="9"/>
        <v>0.25</v>
      </c>
      <c r="AK13" s="291">
        <f t="shared" si="10"/>
        <v>7.0000000000000007E-2</v>
      </c>
      <c r="AL13" s="49">
        <f t="shared" si="11"/>
        <v>862</v>
      </c>
      <c r="AM13" s="49">
        <f t="shared" si="12"/>
        <v>0.75</v>
      </c>
      <c r="AN13" s="49">
        <f t="shared" si="13"/>
        <v>10</v>
      </c>
      <c r="AO13" s="49">
        <f t="shared" si="14"/>
        <v>5111.2999999999993</v>
      </c>
      <c r="AP13" s="49">
        <f t="shared" si="15"/>
        <v>1.7</v>
      </c>
      <c r="AQ13" s="291">
        <f t="shared" si="16"/>
        <v>0.72</v>
      </c>
      <c r="AR13" s="49">
        <f t="shared" si="17"/>
        <v>509.99999999999994</v>
      </c>
      <c r="AS13" s="247">
        <f t="shared" si="18"/>
        <v>0.68</v>
      </c>
      <c r="AT13" s="1587">
        <v>0.72</v>
      </c>
      <c r="AU13" s="350">
        <f t="shared" si="19"/>
        <v>0.8</v>
      </c>
      <c r="AV13" s="247">
        <f t="shared" si="20"/>
        <v>3.1399999999999997E-2</v>
      </c>
    </row>
    <row r="14" spans="1:48" ht="29" x14ac:dyDescent="0.35">
      <c r="A14" s="956" t="s">
        <v>4461</v>
      </c>
      <c r="B14" s="143" t="str">
        <f t="shared" si="22"/>
        <v>Attic Insulation IQ Anura attic: &lt;R19 to R49, attic area = 1818 ft, Single Family</v>
      </c>
      <c r="C14" s="143" t="s">
        <v>4462</v>
      </c>
      <c r="D14" s="956" t="s">
        <v>4142</v>
      </c>
      <c r="E14" s="69" t="s">
        <v>1632</v>
      </c>
      <c r="F14" s="1115">
        <v>0</v>
      </c>
      <c r="G14" s="1050">
        <v>49</v>
      </c>
      <c r="H14" s="1050">
        <v>11</v>
      </c>
      <c r="I14" s="69">
        <v>0</v>
      </c>
      <c r="J14" s="69">
        <v>1818</v>
      </c>
      <c r="K14" s="973" t="s">
        <v>1696</v>
      </c>
      <c r="L14" s="972" t="s">
        <v>1529</v>
      </c>
      <c r="M14" s="972" t="s">
        <v>4433</v>
      </c>
      <c r="N14" s="972" t="s">
        <v>3298</v>
      </c>
      <c r="O14" s="973" t="s">
        <v>3298</v>
      </c>
      <c r="P14" s="973" t="s">
        <v>3174</v>
      </c>
      <c r="Q14" s="1080"/>
      <c r="R14" s="972" t="s">
        <v>3318</v>
      </c>
      <c r="S14" s="972" t="s">
        <v>4331</v>
      </c>
      <c r="T14" s="2766">
        <f t="shared" si="2"/>
        <v>20</v>
      </c>
      <c r="U14" s="1040" t="s">
        <v>3222</v>
      </c>
      <c r="V14" s="986"/>
      <c r="W14" s="986"/>
      <c r="X14" s="2778">
        <f t="shared" si="21"/>
        <v>146.22252278560293</v>
      </c>
      <c r="Y14" s="2765">
        <f t="shared" si="3"/>
        <v>146.22252278560293</v>
      </c>
      <c r="Z14" s="986"/>
      <c r="AA14" s="986"/>
      <c r="AB14" s="2764">
        <f t="shared" si="0"/>
        <v>2924.4504557120586</v>
      </c>
      <c r="AC14" s="1">
        <f t="shared" si="4"/>
        <v>147.95901000667905</v>
      </c>
      <c r="AD14" s="49">
        <v>0</v>
      </c>
      <c r="AE14" s="302">
        <f t="shared" si="1"/>
        <v>0</v>
      </c>
      <c r="AF14" s="302">
        <f t="shared" si="5"/>
        <v>49</v>
      </c>
      <c r="AG14" s="302">
        <f t="shared" si="6"/>
        <v>11</v>
      </c>
      <c r="AH14" s="302">
        <f t="shared" si="7"/>
        <v>0</v>
      </c>
      <c r="AI14" s="302">
        <f t="shared" si="8"/>
        <v>1818</v>
      </c>
      <c r="AJ14" s="291">
        <f t="shared" si="9"/>
        <v>0.25</v>
      </c>
      <c r="AK14" s="291">
        <f t="shared" si="10"/>
        <v>7.0000000000000007E-2</v>
      </c>
      <c r="AL14" s="49">
        <f t="shared" si="11"/>
        <v>862</v>
      </c>
      <c r="AM14" s="49">
        <f t="shared" si="12"/>
        <v>0.75</v>
      </c>
      <c r="AN14" s="49">
        <f t="shared" si="13"/>
        <v>10</v>
      </c>
      <c r="AO14" s="49">
        <f t="shared" si="14"/>
        <v>5111.2999999999993</v>
      </c>
      <c r="AP14" s="49">
        <f t="shared" si="15"/>
        <v>1.7</v>
      </c>
      <c r="AQ14" s="291">
        <f t="shared" si="16"/>
        <v>0.72</v>
      </c>
      <c r="AR14" s="49">
        <f t="shared" si="17"/>
        <v>568.6</v>
      </c>
      <c r="AS14" s="247">
        <f t="shared" si="18"/>
        <v>0.68</v>
      </c>
      <c r="AT14" s="1587">
        <v>0.72</v>
      </c>
      <c r="AU14" s="350">
        <f t="shared" si="19"/>
        <v>0.8</v>
      </c>
      <c r="AV14" s="247">
        <f t="shared" si="20"/>
        <v>3.1399999999999997E-2</v>
      </c>
    </row>
    <row r="15" spans="1:48" ht="29" x14ac:dyDescent="0.35">
      <c r="A15" s="956" t="s">
        <v>4463</v>
      </c>
      <c r="B15" s="143" t="str">
        <f t="shared" si="22"/>
        <v>Attic Insulation IQ SF Gas Only Blended attic: &lt;R19 to R49, attic area = 882 ft, Single Family</v>
      </c>
      <c r="C15" s="143" t="s">
        <v>4464</v>
      </c>
      <c r="D15" s="956" t="s">
        <v>4142</v>
      </c>
      <c r="E15" s="69" t="s">
        <v>1632</v>
      </c>
      <c r="F15" s="1115">
        <v>0</v>
      </c>
      <c r="G15" s="1050">
        <v>49</v>
      </c>
      <c r="H15" s="1050">
        <v>11.9</v>
      </c>
      <c r="I15" s="69">
        <v>0</v>
      </c>
      <c r="J15" s="69">
        <v>882</v>
      </c>
      <c r="K15" s="973" t="s">
        <v>1696</v>
      </c>
      <c r="L15" s="972" t="s">
        <v>1529</v>
      </c>
      <c r="M15" s="972" t="s">
        <v>4433</v>
      </c>
      <c r="N15" s="972" t="s">
        <v>3298</v>
      </c>
      <c r="O15" s="973" t="s">
        <v>3298</v>
      </c>
      <c r="P15" s="973" t="s">
        <v>3174</v>
      </c>
      <c r="Q15" s="1080"/>
      <c r="R15" s="972" t="s">
        <v>3318</v>
      </c>
      <c r="S15" s="972" t="s">
        <v>4331</v>
      </c>
      <c r="T15" s="2766">
        <f t="shared" si="2"/>
        <v>20</v>
      </c>
      <c r="U15" s="1040" t="s">
        <v>3222</v>
      </c>
      <c r="V15" s="986"/>
      <c r="W15" s="986"/>
      <c r="X15" s="2778">
        <f t="shared" si="21"/>
        <v>64.021377684705868</v>
      </c>
      <c r="Y15" s="2765">
        <f t="shared" si="3"/>
        <v>64.021377684705868</v>
      </c>
      <c r="Z15" s="986"/>
      <c r="AA15" s="986"/>
      <c r="AB15" s="2764">
        <f t="shared" si="0"/>
        <v>1280.4275536941173</v>
      </c>
      <c r="AC15" s="1">
        <f t="shared" si="4"/>
        <v>64.781673035294119</v>
      </c>
      <c r="AD15" s="49">
        <v>0</v>
      </c>
      <c r="AE15" s="302">
        <f t="shared" si="1"/>
        <v>0</v>
      </c>
      <c r="AF15" s="302">
        <f t="shared" si="5"/>
        <v>49</v>
      </c>
      <c r="AG15" s="302">
        <f t="shared" si="6"/>
        <v>11.9</v>
      </c>
      <c r="AH15" s="302">
        <f t="shared" si="7"/>
        <v>0</v>
      </c>
      <c r="AI15" s="302">
        <f t="shared" si="8"/>
        <v>882</v>
      </c>
      <c r="AJ15" s="291">
        <f t="shared" si="9"/>
        <v>0.25</v>
      </c>
      <c r="AK15" s="291">
        <f t="shared" si="10"/>
        <v>7.0000000000000007E-2</v>
      </c>
      <c r="AL15" s="49">
        <f t="shared" si="11"/>
        <v>862</v>
      </c>
      <c r="AM15" s="49">
        <f t="shared" si="12"/>
        <v>0.75</v>
      </c>
      <c r="AN15" s="49">
        <f t="shared" si="13"/>
        <v>10</v>
      </c>
      <c r="AO15" s="49">
        <f t="shared" si="14"/>
        <v>5111.2999999999993</v>
      </c>
      <c r="AP15" s="49">
        <f t="shared" si="15"/>
        <v>1.7</v>
      </c>
      <c r="AQ15" s="291">
        <f t="shared" si="16"/>
        <v>0.72</v>
      </c>
      <c r="AR15" s="49">
        <f t="shared" si="17"/>
        <v>568.6</v>
      </c>
      <c r="AS15" s="247">
        <f t="shared" si="18"/>
        <v>0.68</v>
      </c>
      <c r="AT15" s="1587">
        <v>0.72</v>
      </c>
      <c r="AU15" s="350">
        <f t="shared" si="19"/>
        <v>0.8</v>
      </c>
      <c r="AV15" s="247">
        <f t="shared" si="20"/>
        <v>3.1399999999999997E-2</v>
      </c>
    </row>
    <row r="16" spans="1:48" ht="29" x14ac:dyDescent="0.35">
      <c r="A16" s="956" t="s">
        <v>4465</v>
      </c>
      <c r="B16" s="143" t="str">
        <f t="shared" si="22"/>
        <v>Attic Insulation IQ SF Braided Blended attic: &lt;R19 to R49, attic area = 882 ft, Single Family</v>
      </c>
      <c r="C16" s="143" t="s">
        <v>4466</v>
      </c>
      <c r="D16" s="956" t="s">
        <v>4142</v>
      </c>
      <c r="E16" s="69" t="s">
        <v>1632</v>
      </c>
      <c r="F16" s="1115">
        <v>0</v>
      </c>
      <c r="G16" s="1050">
        <v>49</v>
      </c>
      <c r="H16" s="1050">
        <v>11</v>
      </c>
      <c r="I16" s="69">
        <v>0</v>
      </c>
      <c r="J16" s="69">
        <v>882</v>
      </c>
      <c r="K16" s="973" t="s">
        <v>1696</v>
      </c>
      <c r="L16" s="972" t="s">
        <v>1529</v>
      </c>
      <c r="M16" s="972" t="s">
        <v>4433</v>
      </c>
      <c r="N16" s="972" t="s">
        <v>3298</v>
      </c>
      <c r="O16" s="973" t="s">
        <v>3298</v>
      </c>
      <c r="P16" s="973" t="s">
        <v>3174</v>
      </c>
      <c r="Q16" s="1080"/>
      <c r="R16" s="972" t="s">
        <v>3318</v>
      </c>
      <c r="S16" s="972" t="s">
        <v>4331</v>
      </c>
      <c r="T16" s="2766">
        <f t="shared" si="2"/>
        <v>20</v>
      </c>
      <c r="U16" s="1040" t="s">
        <v>3222</v>
      </c>
      <c r="V16" s="986"/>
      <c r="W16" s="986"/>
      <c r="X16" s="2778">
        <f t="shared" si="21"/>
        <v>70.939639767272723</v>
      </c>
      <c r="Y16" s="2765">
        <f t="shared" si="3"/>
        <v>70.939639767272723</v>
      </c>
      <c r="Z16" s="986"/>
      <c r="AA16" s="986"/>
      <c r="AB16" s="2764">
        <f t="shared" si="0"/>
        <v>1418.7927953454546</v>
      </c>
      <c r="AC16" s="1">
        <f t="shared" si="4"/>
        <v>71.78209396363637</v>
      </c>
      <c r="AD16" s="49">
        <v>0</v>
      </c>
      <c r="AE16" s="302">
        <f t="shared" si="1"/>
        <v>0</v>
      </c>
      <c r="AF16" s="302">
        <f t="shared" si="5"/>
        <v>49</v>
      </c>
      <c r="AG16" s="302">
        <f t="shared" si="6"/>
        <v>11</v>
      </c>
      <c r="AH16" s="302">
        <f t="shared" si="7"/>
        <v>0</v>
      </c>
      <c r="AI16" s="302">
        <f t="shared" si="8"/>
        <v>882</v>
      </c>
      <c r="AJ16" s="291">
        <f t="shared" si="9"/>
        <v>0.25</v>
      </c>
      <c r="AK16" s="291">
        <f t="shared" si="10"/>
        <v>7.0000000000000007E-2</v>
      </c>
      <c r="AL16" s="49">
        <f t="shared" si="11"/>
        <v>862</v>
      </c>
      <c r="AM16" s="49">
        <f t="shared" si="12"/>
        <v>0.75</v>
      </c>
      <c r="AN16" s="49">
        <f t="shared" si="13"/>
        <v>10</v>
      </c>
      <c r="AO16" s="49">
        <f t="shared" si="14"/>
        <v>5111.2999999999993</v>
      </c>
      <c r="AP16" s="49">
        <f t="shared" si="15"/>
        <v>1.7</v>
      </c>
      <c r="AQ16" s="291">
        <f t="shared" si="16"/>
        <v>0.72</v>
      </c>
      <c r="AR16" s="49">
        <f t="shared" si="17"/>
        <v>568.6</v>
      </c>
      <c r="AS16" s="247">
        <f t="shared" si="18"/>
        <v>0.68</v>
      </c>
      <c r="AT16" s="1587">
        <v>0.72</v>
      </c>
      <c r="AU16" s="350">
        <f t="shared" si="19"/>
        <v>0.8</v>
      </c>
      <c r="AV16" s="247">
        <f t="shared" si="20"/>
        <v>3.1399999999999997E-2</v>
      </c>
    </row>
    <row r="17" spans="1:48" ht="29" x14ac:dyDescent="0.35">
      <c r="A17" s="956" t="s">
        <v>4467</v>
      </c>
      <c r="B17" s="143" t="str">
        <f t="shared" si="22"/>
        <v>Attic Insulation IQ MF Gas Only attic: &lt;R19 to R49, attic area = 3440 ft, Multi-Family</v>
      </c>
      <c r="C17" s="143" t="s">
        <v>824</v>
      </c>
      <c r="D17" s="956" t="s">
        <v>4142</v>
      </c>
      <c r="E17" s="69" t="s">
        <v>1632</v>
      </c>
      <c r="F17" s="1115">
        <v>0</v>
      </c>
      <c r="G17" s="1050">
        <v>49</v>
      </c>
      <c r="H17" s="1050">
        <v>11</v>
      </c>
      <c r="I17" s="69">
        <v>0</v>
      </c>
      <c r="J17" s="69">
        <v>3440</v>
      </c>
      <c r="K17" s="973" t="s">
        <v>1696</v>
      </c>
      <c r="L17" s="972" t="s">
        <v>1529</v>
      </c>
      <c r="M17" s="972" t="s">
        <v>4433</v>
      </c>
      <c r="N17" s="972" t="s">
        <v>3298</v>
      </c>
      <c r="O17" s="973" t="s">
        <v>3298</v>
      </c>
      <c r="P17" s="973" t="s">
        <v>3174</v>
      </c>
      <c r="Q17" s="1080"/>
      <c r="R17" s="972" t="s">
        <v>1864</v>
      </c>
      <c r="S17" s="972" t="s">
        <v>4331</v>
      </c>
      <c r="T17" s="2766">
        <f t="shared" si="2"/>
        <v>20</v>
      </c>
      <c r="U17" s="1040" t="s">
        <v>3222</v>
      </c>
      <c r="V17" s="986"/>
      <c r="W17" s="986"/>
      <c r="X17" s="2778">
        <f t="shared" si="21"/>
        <v>276.68068117847861</v>
      </c>
      <c r="Y17" s="2765">
        <f t="shared" si="3"/>
        <v>276.68068117847861</v>
      </c>
      <c r="Z17" s="986"/>
      <c r="AA17" s="986"/>
      <c r="AB17" s="2764">
        <f t="shared" si="0"/>
        <v>5533.6136235695722</v>
      </c>
      <c r="AC17" s="1">
        <f t="shared" si="4"/>
        <v>279.96644357699444</v>
      </c>
      <c r="AD17" s="49">
        <v>0</v>
      </c>
      <c r="AE17" s="302">
        <f t="shared" si="1"/>
        <v>0</v>
      </c>
      <c r="AF17" s="302">
        <f t="shared" si="5"/>
        <v>49</v>
      </c>
      <c r="AG17" s="302">
        <f t="shared" si="6"/>
        <v>11</v>
      </c>
      <c r="AH17" s="302">
        <f t="shared" si="7"/>
        <v>0</v>
      </c>
      <c r="AI17" s="302">
        <f t="shared" si="8"/>
        <v>3440</v>
      </c>
      <c r="AJ17" s="291">
        <f t="shared" si="9"/>
        <v>0.25</v>
      </c>
      <c r="AK17" s="291">
        <f t="shared" si="10"/>
        <v>7.0000000000000007E-2</v>
      </c>
      <c r="AL17" s="49">
        <f t="shared" si="11"/>
        <v>862</v>
      </c>
      <c r="AM17" s="49">
        <f t="shared" si="12"/>
        <v>0.75</v>
      </c>
      <c r="AN17" s="49">
        <f t="shared" si="13"/>
        <v>10</v>
      </c>
      <c r="AO17" s="49">
        <f t="shared" si="14"/>
        <v>5111.2999999999993</v>
      </c>
      <c r="AP17" s="49">
        <f t="shared" si="15"/>
        <v>1.7</v>
      </c>
      <c r="AQ17" s="291">
        <f t="shared" si="16"/>
        <v>0.72</v>
      </c>
      <c r="AR17" s="49">
        <f t="shared" si="17"/>
        <v>509.99999999999994</v>
      </c>
      <c r="AS17" s="247">
        <f t="shared" si="18"/>
        <v>0.68</v>
      </c>
      <c r="AT17" s="1587">
        <v>0.72</v>
      </c>
      <c r="AU17" s="350">
        <f t="shared" si="19"/>
        <v>0.8</v>
      </c>
      <c r="AV17" s="247">
        <f t="shared" si="20"/>
        <v>3.1399999999999997E-2</v>
      </c>
    </row>
    <row r="18" spans="1:48" ht="29" x14ac:dyDescent="0.35">
      <c r="A18" s="956" t="s">
        <v>4468</v>
      </c>
      <c r="B18" s="143" t="str">
        <f t="shared" si="22"/>
        <v>Attic Insulation IQ MF Braided Blended attic: &lt;R19 to R49, attic area = 2342 ft, Multi-Family</v>
      </c>
      <c r="C18" s="143" t="s">
        <v>4469</v>
      </c>
      <c r="D18" s="956" t="s">
        <v>4142</v>
      </c>
      <c r="E18" s="69" t="s">
        <v>1632</v>
      </c>
      <c r="F18" s="1115">
        <v>0</v>
      </c>
      <c r="G18" s="1050">
        <v>49</v>
      </c>
      <c r="H18" s="1050">
        <v>11</v>
      </c>
      <c r="I18" s="69">
        <v>0</v>
      </c>
      <c r="J18" s="69">
        <v>2342</v>
      </c>
      <c r="K18" s="973" t="s">
        <v>1696</v>
      </c>
      <c r="L18" s="972" t="s">
        <v>1529</v>
      </c>
      <c r="M18" s="972" t="s">
        <v>4433</v>
      </c>
      <c r="N18" s="972" t="s">
        <v>3298</v>
      </c>
      <c r="O18" s="973" t="s">
        <v>3298</v>
      </c>
      <c r="P18" s="973" t="s">
        <v>3174</v>
      </c>
      <c r="Q18" s="1080"/>
      <c r="R18" s="972" t="s">
        <v>1864</v>
      </c>
      <c r="S18" s="972" t="s">
        <v>4331</v>
      </c>
      <c r="T18" s="2766">
        <f t="shared" si="2"/>
        <v>20</v>
      </c>
      <c r="U18" s="1040" t="s">
        <v>3222</v>
      </c>
      <c r="V18" s="986"/>
      <c r="W18" s="986"/>
      <c r="X18" s="2778">
        <f t="shared" si="21"/>
        <v>188.36806840697585</v>
      </c>
      <c r="Y18" s="2765">
        <f t="shared" si="3"/>
        <v>188.36806840697585</v>
      </c>
      <c r="Z18" s="986"/>
      <c r="AA18" s="986"/>
      <c r="AB18" s="2764">
        <f t="shared" si="0"/>
        <v>3767.3613681395173</v>
      </c>
      <c r="AC18" s="1">
        <f t="shared" si="4"/>
        <v>190.60506129573287</v>
      </c>
      <c r="AD18" s="49">
        <v>0</v>
      </c>
      <c r="AE18" s="302">
        <f t="shared" si="1"/>
        <v>0</v>
      </c>
      <c r="AF18" s="302">
        <f t="shared" si="5"/>
        <v>49</v>
      </c>
      <c r="AG18" s="302">
        <f t="shared" si="6"/>
        <v>11</v>
      </c>
      <c r="AH18" s="302">
        <f t="shared" si="7"/>
        <v>0</v>
      </c>
      <c r="AI18" s="302">
        <f t="shared" si="8"/>
        <v>2342</v>
      </c>
      <c r="AJ18" s="291">
        <f t="shared" si="9"/>
        <v>0.25</v>
      </c>
      <c r="AK18" s="291">
        <f t="shared" si="10"/>
        <v>7.0000000000000007E-2</v>
      </c>
      <c r="AL18" s="49">
        <f t="shared" si="11"/>
        <v>862</v>
      </c>
      <c r="AM18" s="49">
        <f t="shared" si="12"/>
        <v>0.75</v>
      </c>
      <c r="AN18" s="49">
        <f t="shared" si="13"/>
        <v>10</v>
      </c>
      <c r="AO18" s="49">
        <f t="shared" si="14"/>
        <v>5111.2999999999993</v>
      </c>
      <c r="AP18" s="49">
        <f t="shared" si="15"/>
        <v>1.7</v>
      </c>
      <c r="AQ18" s="291">
        <f t="shared" si="16"/>
        <v>0.72</v>
      </c>
      <c r="AR18" s="49">
        <f t="shared" si="17"/>
        <v>509.99999999999994</v>
      </c>
      <c r="AS18" s="247">
        <f t="shared" si="18"/>
        <v>0.68</v>
      </c>
      <c r="AT18" s="1587">
        <v>0.72</v>
      </c>
      <c r="AU18" s="350">
        <f t="shared" si="19"/>
        <v>0.8</v>
      </c>
      <c r="AV18" s="247">
        <f t="shared" si="20"/>
        <v>3.1399999999999997E-2</v>
      </c>
    </row>
    <row r="19" spans="1:48" ht="29" x14ac:dyDescent="0.35">
      <c r="A19" s="2177" t="s">
        <v>4470</v>
      </c>
      <c r="B19" s="2178" t="str">
        <f t="shared" si="22"/>
        <v>Attic Insulation MF  attic: &lt;R19 to R49, attic area = 3096 ft, Multi-Family</v>
      </c>
      <c r="C19" s="2179" t="s">
        <v>947</v>
      </c>
      <c r="D19" s="956" t="s">
        <v>4142</v>
      </c>
      <c r="E19" s="69" t="s">
        <v>1632</v>
      </c>
      <c r="F19" s="1115">
        <v>0</v>
      </c>
      <c r="G19" s="1050">
        <v>49</v>
      </c>
      <c r="H19" s="1050">
        <v>9</v>
      </c>
      <c r="I19" s="69">
        <v>0</v>
      </c>
      <c r="J19" s="69">
        <v>3096</v>
      </c>
      <c r="K19" s="973" t="s">
        <v>1696</v>
      </c>
      <c r="L19" s="972" t="s">
        <v>1529</v>
      </c>
      <c r="M19" s="972" t="s">
        <v>4433</v>
      </c>
      <c r="N19" s="972" t="s">
        <v>3298</v>
      </c>
      <c r="O19" s="973" t="s">
        <v>3298</v>
      </c>
      <c r="P19" s="973" t="s">
        <v>3174</v>
      </c>
      <c r="Q19" s="1080"/>
      <c r="R19" s="972" t="s">
        <v>1864</v>
      </c>
      <c r="S19" s="972" t="s">
        <v>4331</v>
      </c>
      <c r="T19" s="2766">
        <f t="shared" si="2"/>
        <v>20</v>
      </c>
      <c r="U19" s="1040" t="s">
        <v>3222</v>
      </c>
      <c r="V19" s="986"/>
      <c r="W19" s="986"/>
      <c r="X19" s="2778">
        <f t="shared" si="21"/>
        <v>320.36710452244887</v>
      </c>
      <c r="Y19" s="2765">
        <f t="shared" si="3"/>
        <v>320.36710452244887</v>
      </c>
      <c r="Z19" s="986"/>
      <c r="AA19" s="986"/>
      <c r="AB19" s="2764">
        <f t="shared" si="0"/>
        <v>6407.3420904489776</v>
      </c>
      <c r="AC19" s="1">
        <f t="shared" si="4"/>
        <v>324.17167151020402</v>
      </c>
      <c r="AD19" s="49">
        <v>0</v>
      </c>
      <c r="AE19" s="302">
        <f t="shared" si="1"/>
        <v>0</v>
      </c>
      <c r="AF19" s="302">
        <f t="shared" si="5"/>
        <v>49</v>
      </c>
      <c r="AG19" s="302">
        <f t="shared" si="6"/>
        <v>9</v>
      </c>
      <c r="AH19" s="302">
        <f t="shared" si="7"/>
        <v>0</v>
      </c>
      <c r="AI19" s="302">
        <f t="shared" si="8"/>
        <v>3096</v>
      </c>
      <c r="AJ19" s="291">
        <f t="shared" si="9"/>
        <v>0.25</v>
      </c>
      <c r="AK19" s="291">
        <f t="shared" si="10"/>
        <v>7.0000000000000007E-2</v>
      </c>
      <c r="AL19" s="49">
        <f t="shared" si="11"/>
        <v>862</v>
      </c>
      <c r="AM19" s="49">
        <f t="shared" si="12"/>
        <v>0.75</v>
      </c>
      <c r="AN19" s="49">
        <f t="shared" si="13"/>
        <v>10</v>
      </c>
      <c r="AO19" s="49">
        <f t="shared" si="14"/>
        <v>5111.2999999999993</v>
      </c>
      <c r="AP19" s="49">
        <f t="shared" si="15"/>
        <v>1.7</v>
      </c>
      <c r="AQ19" s="291">
        <f t="shared" si="16"/>
        <v>0.72</v>
      </c>
      <c r="AR19" s="49">
        <f t="shared" si="17"/>
        <v>509.99999999999994</v>
      </c>
      <c r="AS19" s="247">
        <f t="shared" si="18"/>
        <v>0.68</v>
      </c>
      <c r="AT19" s="1587">
        <v>0.72</v>
      </c>
      <c r="AU19" s="350">
        <f t="shared" si="19"/>
        <v>0.8</v>
      </c>
      <c r="AV19" s="247">
        <f t="shared" si="20"/>
        <v>3.1399999999999997E-2</v>
      </c>
    </row>
    <row r="20" spans="1:48" ht="29" x14ac:dyDescent="0.35">
      <c r="A20" s="2185" t="s">
        <v>678</v>
      </c>
      <c r="B20" s="2185" t="str">
        <f>IF(AND(I20=0,J20&gt;1),$B$126&amp;" Insulation",IF(AND(I20&gt;10,J20=0),$B$127&amp;" Insulation",#REF!))&amp;IF(I20&gt;0,", wall: R"&amp;H20&amp;" to R"&amp;F20&amp;", wall area = "&amp;I20&amp;" ft, ",""&amp;IF(J20&gt;0," attic: R"&amp;H20&amp;" to R"&amp;G20&amp;", attic area = "&amp;J20&amp;" ft, ",""))&amp;R20</f>
        <v xml:space="preserve"> Insulation, wall: R5 to R13, wall area = 526 ft, Single Family</v>
      </c>
      <c r="C20" s="2185" t="s">
        <v>677</v>
      </c>
      <c r="D20" s="2186" t="s">
        <v>4142</v>
      </c>
      <c r="E20" s="69" t="s">
        <v>1632</v>
      </c>
      <c r="F20" s="1115">
        <v>13</v>
      </c>
      <c r="G20" s="1050"/>
      <c r="H20" s="1050">
        <v>5</v>
      </c>
      <c r="I20" s="69">
        <v>526</v>
      </c>
      <c r="J20" s="69">
        <v>0</v>
      </c>
      <c r="K20" s="973" t="s">
        <v>1696</v>
      </c>
      <c r="L20" s="972" t="s">
        <v>1529</v>
      </c>
      <c r="M20" s="972" t="s">
        <v>4433</v>
      </c>
      <c r="N20" s="972" t="s">
        <v>3298</v>
      </c>
      <c r="O20" s="973" t="s">
        <v>3298</v>
      </c>
      <c r="P20" s="973" t="s">
        <v>3174</v>
      </c>
      <c r="Q20" s="1080"/>
      <c r="R20" s="972" t="s">
        <v>3318</v>
      </c>
      <c r="S20" s="972" t="s">
        <v>4331</v>
      </c>
      <c r="T20" s="2766" t="e">
        <f t="shared" si="2"/>
        <v>#DIV/0!</v>
      </c>
      <c r="U20" s="1040" t="s">
        <v>3222</v>
      </c>
      <c r="V20" s="986"/>
      <c r="W20" s="986"/>
      <c r="X20" s="2778">
        <f>IF(L20=$B$117,((((1/AG20-1/AE20)*AH20*(1-AJ20)))*24*AO20)/(AQ20*100000)*AT20,0)</f>
        <v>49.634654769230757</v>
      </c>
      <c r="Y20" s="2765" t="e">
        <f t="shared" si="3"/>
        <v>#DIV/0!</v>
      </c>
      <c r="Z20" s="986"/>
      <c r="AA20" s="986"/>
      <c r="AB20" s="2764" t="e">
        <f t="shared" si="0"/>
        <v>#DIV/0!</v>
      </c>
      <c r="AC20" s="1">
        <f>IF(M20=$B$130,((((1/AG20-1/AE20)*AH20*(1-AJ20)*24*AL20*AM20)/(1000*AN20))*AU20), 0)</f>
        <v>60.268918153846144</v>
      </c>
      <c r="AD20" s="49">
        <v>0</v>
      </c>
      <c r="AE20" s="302">
        <f t="shared" ref="AE20:AI24" si="23">F20</f>
        <v>13</v>
      </c>
      <c r="AF20" s="302">
        <f t="shared" si="23"/>
        <v>0</v>
      </c>
      <c r="AG20" s="302">
        <f t="shared" si="23"/>
        <v>5</v>
      </c>
      <c r="AH20" s="302">
        <f t="shared" si="23"/>
        <v>526</v>
      </c>
      <c r="AI20" s="302">
        <f t="shared" si="23"/>
        <v>0</v>
      </c>
      <c r="AJ20" s="291">
        <f t="shared" si="9"/>
        <v>0.25</v>
      </c>
      <c r="AK20" s="291">
        <f t="shared" si="10"/>
        <v>7.0000000000000007E-2</v>
      </c>
      <c r="AL20" s="49">
        <f>VLOOKUP(K20,$B$92:$C$98,2,FALSE)</f>
        <v>862</v>
      </c>
      <c r="AM20" s="49">
        <f t="shared" si="12"/>
        <v>0.75</v>
      </c>
      <c r="AN20" s="49">
        <f>IF(OR(M20=$B$130,M20=$B$132),VLOOKUP(N20,$C$108:$D$110,2,FALSE),IF(M20=$B$131,VLOOKUP(N20,$C$111:$D$113,2,FALSE)))</f>
        <v>10</v>
      </c>
      <c r="AO20" s="49">
        <f>VLOOKUP(K20,$B$92:$D$98,3,FALSE)</f>
        <v>5111.2999999999993</v>
      </c>
      <c r="AP20" s="49">
        <f>IF(P20=$I$95,$L$95,VLOOKUP(O20,$J$92:$L$94,3,FALSE))</f>
        <v>1.7</v>
      </c>
      <c r="AQ20" s="291">
        <f t="shared" si="16"/>
        <v>0.72</v>
      </c>
      <c r="AR20" s="49">
        <f>VLOOKUP(K20,$B$92:$F$98,IF(R20=$B$121,4,5),FALSE)</f>
        <v>568.6</v>
      </c>
      <c r="AS20" s="247">
        <f>IF(S20=$C$130, IF(M20=$B$130, $D$130, $D$131), $D$132)</f>
        <v>0.68</v>
      </c>
      <c r="AT20" s="1587">
        <v>0.6</v>
      </c>
      <c r="AU20" s="350">
        <f t="shared" si="19"/>
        <v>0.8</v>
      </c>
      <c r="AV20" s="247">
        <f t="shared" si="20"/>
        <v>3.1399999999999997E-2</v>
      </c>
    </row>
    <row r="21" spans="1:48" ht="29" x14ac:dyDescent="0.35">
      <c r="A21" s="2185" t="s">
        <v>839</v>
      </c>
      <c r="B21" s="2185" t="str">
        <f>IF(AND(I21=0,J21&gt;1),$B$126&amp;" Insulation",IF(AND(I21&gt;10,J21=0),$B$127&amp;" Insulation",B14))&amp;IF(I21&gt;0,", wall: R"&amp;H21&amp;" to R"&amp;F21&amp;", wall area = "&amp;I21&amp;" ft, ",""&amp;IF(J21&gt;0," attic: &lt;R19 to R"&amp;G21&amp;", attic area = "&amp;J21&amp;" ft, ",""))&amp;R21&amp;" IQ SF HH"</f>
        <v xml:space="preserve"> Insulation, wall: R5 to R11, wall area = 526 ft, Single Family IQ SF HH</v>
      </c>
      <c r="C21" s="2185" t="s">
        <v>838</v>
      </c>
      <c r="D21" s="2186" t="s">
        <v>4142</v>
      </c>
      <c r="E21" s="69" t="s">
        <v>1632</v>
      </c>
      <c r="F21" s="1115">
        <v>11</v>
      </c>
      <c r="G21" s="1050"/>
      <c r="H21" s="1050">
        <v>5</v>
      </c>
      <c r="I21" s="69">
        <v>526</v>
      </c>
      <c r="J21" s="69">
        <v>0</v>
      </c>
      <c r="K21" s="973" t="s">
        <v>1696</v>
      </c>
      <c r="L21" s="972" t="s">
        <v>1529</v>
      </c>
      <c r="M21" s="972" t="s">
        <v>4433</v>
      </c>
      <c r="N21" s="972" t="s">
        <v>3298</v>
      </c>
      <c r="O21" s="973" t="s">
        <v>3298</v>
      </c>
      <c r="P21" s="973" t="s">
        <v>3174</v>
      </c>
      <c r="Q21" s="1080"/>
      <c r="R21" s="972" t="s">
        <v>3318</v>
      </c>
      <c r="S21" s="972" t="s">
        <v>4331</v>
      </c>
      <c r="T21" s="2766" t="e">
        <f t="shared" si="2"/>
        <v>#DIV/0!</v>
      </c>
      <c r="U21" s="1040" t="s">
        <v>3222</v>
      </c>
      <c r="V21" s="986"/>
      <c r="W21" s="986"/>
      <c r="X21" s="2778">
        <f>IF(L21=$B$117,((((1/AG21-1/AE21)*AH21*(1-AJ21)))*24*AO21)/(AQ21*100000)*AT21,0)</f>
        <v>43.994353090909087</v>
      </c>
      <c r="Y21" s="2765" t="e">
        <f t="shared" si="3"/>
        <v>#DIV/0!</v>
      </c>
      <c r="Z21" s="986"/>
      <c r="AA21" s="986"/>
      <c r="AB21" s="2764" t="e">
        <f t="shared" si="0"/>
        <v>#DIV/0!</v>
      </c>
      <c r="AC21" s="1">
        <f>IF(M21=$B$130,((((1/AG21-1/AE21)*AH21*(1-AJ21)*24*AL21*AM21)/(1000*AN21))*AU21), 0)</f>
        <v>53.42017745454546</v>
      </c>
      <c r="AD21" s="49">
        <v>0</v>
      </c>
      <c r="AE21" s="302">
        <f t="shared" si="23"/>
        <v>11</v>
      </c>
      <c r="AF21" s="302">
        <f t="shared" si="23"/>
        <v>0</v>
      </c>
      <c r="AG21" s="302">
        <f t="shared" si="23"/>
        <v>5</v>
      </c>
      <c r="AH21" s="302">
        <f t="shared" si="23"/>
        <v>526</v>
      </c>
      <c r="AI21" s="302">
        <f t="shared" si="23"/>
        <v>0</v>
      </c>
      <c r="AJ21" s="291">
        <f t="shared" si="9"/>
        <v>0.25</v>
      </c>
      <c r="AK21" s="291">
        <f t="shared" si="10"/>
        <v>7.0000000000000007E-2</v>
      </c>
      <c r="AL21" s="49">
        <f>VLOOKUP(K21,$B$92:$C$98,2,FALSE)</f>
        <v>862</v>
      </c>
      <c r="AM21" s="49">
        <f t="shared" si="12"/>
        <v>0.75</v>
      </c>
      <c r="AN21" s="49">
        <f>IF(OR(M21=$B$130,M21=$B$132),VLOOKUP(N21,$C$108:$D$110,2,FALSE),IF(M21=$B$131,VLOOKUP(N21,$C$111:$D$113,2,FALSE)))</f>
        <v>10</v>
      </c>
      <c r="AO21" s="49">
        <f>VLOOKUP(K21,$B$92:$D$98,3,FALSE)</f>
        <v>5111.2999999999993</v>
      </c>
      <c r="AP21" s="49">
        <f>IF(P21=$I$95,$L$95,VLOOKUP(O21,$J$92:$L$94,3,FALSE))</f>
        <v>1.7</v>
      </c>
      <c r="AQ21" s="291">
        <f t="shared" si="16"/>
        <v>0.72</v>
      </c>
      <c r="AR21" s="49">
        <f>VLOOKUP(K21,$B$92:$F$98,IF(R21=$B$121,4,5),FALSE)</f>
        <v>568.6</v>
      </c>
      <c r="AS21" s="247">
        <f>IF(S21=$C$130, IF(M21=$B$130, $D$130, $D$131), $D$132)</f>
        <v>0.68</v>
      </c>
      <c r="AT21" s="1587">
        <v>0.6</v>
      </c>
      <c r="AU21" s="350">
        <f t="shared" si="19"/>
        <v>0.8</v>
      </c>
      <c r="AV21" s="247">
        <f t="shared" si="20"/>
        <v>3.1399999999999997E-2</v>
      </c>
    </row>
    <row r="22" spans="1:48" ht="29" x14ac:dyDescent="0.35">
      <c r="A22" s="2185" t="s">
        <v>799</v>
      </c>
      <c r="B22" s="2185" t="str">
        <f>IF(AND(I22=0,J22&gt;1),$B$126&amp;" Insulation",IF(AND(I22&gt;10,J22=0),$B$127&amp;" Insulation",B15))&amp;IF(I22&gt;0,", wall: R"&amp;H22&amp;" to R"&amp;F22&amp;", wall area = "&amp;I22&amp;" ft, ",""&amp;IF(J22&gt;0," attic: &lt;R19 to R"&amp;G22&amp;", attic area = "&amp;J22&amp;" ft, ",""))&amp;R22&amp;" IQ SF CC"</f>
        <v xml:space="preserve"> Insulation, wall: R5 to R13, wall area = 875 ft, Single Family IQ SF CC</v>
      </c>
      <c r="C22" s="2185" t="s">
        <v>798</v>
      </c>
      <c r="D22" s="2186" t="s">
        <v>4142</v>
      </c>
      <c r="E22" s="69" t="s">
        <v>1632</v>
      </c>
      <c r="F22" s="1115">
        <v>13</v>
      </c>
      <c r="G22" s="1050"/>
      <c r="H22" s="1050">
        <v>5</v>
      </c>
      <c r="I22" s="69">
        <v>875</v>
      </c>
      <c r="J22" s="69">
        <v>0</v>
      </c>
      <c r="K22" s="973" t="s">
        <v>1696</v>
      </c>
      <c r="L22" s="972" t="s">
        <v>1529</v>
      </c>
      <c r="M22" s="972" t="s">
        <v>4433</v>
      </c>
      <c r="N22" s="972" t="s">
        <v>3298</v>
      </c>
      <c r="O22" s="973" t="s">
        <v>3298</v>
      </c>
      <c r="P22" s="973" t="s">
        <v>3174</v>
      </c>
      <c r="Q22" s="1080"/>
      <c r="R22" s="972" t="s">
        <v>3318</v>
      </c>
      <c r="S22" s="972" t="s">
        <v>4331</v>
      </c>
      <c r="T22" s="2766" t="e">
        <f t="shared" si="2"/>
        <v>#DIV/0!</v>
      </c>
      <c r="U22" s="1040" t="s">
        <v>3222</v>
      </c>
      <c r="V22" s="986"/>
      <c r="W22" s="986"/>
      <c r="X22" s="2778">
        <f>IF(L22=$B$117,((((1/AG22-1/AE22)*AH22*(1-AJ22)))*24*AO22)/(AQ22*100000)*AT22,0)</f>
        <v>82.567153846153829</v>
      </c>
      <c r="Y22" s="2765" t="e">
        <f t="shared" si="3"/>
        <v>#DIV/0!</v>
      </c>
      <c r="Z22" s="986"/>
      <c r="AA22" s="986"/>
      <c r="AB22" s="2764" t="e">
        <f t="shared" si="0"/>
        <v>#DIV/0!</v>
      </c>
      <c r="AC22" s="1">
        <f>IF(M22=$B$130,((((1/AG22-1/AE22)*AH22*(1-AJ22)*24*AL22*AM22)/(1000*AN22))*AU22), 0)</f>
        <v>100.25723076923079</v>
      </c>
      <c r="AD22" s="49">
        <v>0</v>
      </c>
      <c r="AE22" s="302">
        <f t="shared" si="23"/>
        <v>13</v>
      </c>
      <c r="AF22" s="302">
        <f t="shared" si="23"/>
        <v>0</v>
      </c>
      <c r="AG22" s="302">
        <f t="shared" si="23"/>
        <v>5</v>
      </c>
      <c r="AH22" s="302">
        <f t="shared" si="23"/>
        <v>875</v>
      </c>
      <c r="AI22" s="302">
        <f t="shared" si="23"/>
        <v>0</v>
      </c>
      <c r="AJ22" s="291">
        <f t="shared" si="9"/>
        <v>0.25</v>
      </c>
      <c r="AK22" s="291">
        <f t="shared" si="10"/>
        <v>7.0000000000000007E-2</v>
      </c>
      <c r="AL22" s="49">
        <f>VLOOKUP(K22,$B$92:$C$98,2,FALSE)</f>
        <v>862</v>
      </c>
      <c r="AM22" s="49">
        <f t="shared" si="12"/>
        <v>0.75</v>
      </c>
      <c r="AN22" s="49">
        <f>IF(OR(M22=$B$130,M22=$B$132),VLOOKUP(N22,$C$108:$D$110,2,FALSE),IF(M22=$B$131,VLOOKUP(N22,$C$111:$D$113,2,FALSE)))</f>
        <v>10</v>
      </c>
      <c r="AO22" s="49">
        <f>VLOOKUP(K22,$B$92:$D$98,3,FALSE)</f>
        <v>5111.2999999999993</v>
      </c>
      <c r="AP22" s="49">
        <f>IF(P22=$I$95,$L$95,VLOOKUP(O22,$J$92:$L$94,3,FALSE))</f>
        <v>1.7</v>
      </c>
      <c r="AQ22" s="291">
        <f t="shared" si="16"/>
        <v>0.72</v>
      </c>
      <c r="AR22" s="49">
        <f>VLOOKUP(K22,$B$92:$F$98,IF(R22=$B$121,4,5),FALSE)</f>
        <v>568.6</v>
      </c>
      <c r="AS22" s="247">
        <f>IF(S22=$C$130, IF(M22=$B$130, $D$130, $D$131), $D$132)</f>
        <v>0.68</v>
      </c>
      <c r="AT22" s="1587">
        <v>0.6</v>
      </c>
      <c r="AU22" s="350">
        <f t="shared" si="19"/>
        <v>0.8</v>
      </c>
      <c r="AV22" s="247">
        <f t="shared" si="20"/>
        <v>3.1399999999999997E-2</v>
      </c>
    </row>
    <row r="23" spans="1:48" ht="29" x14ac:dyDescent="0.35">
      <c r="A23" s="2185" t="s">
        <v>905</v>
      </c>
      <c r="B23" s="2185" t="str">
        <f>IF(AND(I23=0,J23&gt;1),$B$126&amp;" Insulation",IF(AND(I23&gt;10,J23=0),$B$127&amp;" Insulation",B16))&amp;IF(I23&gt;0,", wall: R"&amp;H23&amp;" to R"&amp;F23&amp;", wall area = "&amp;I23&amp;" ft, ",""&amp;IF(J23&gt;0," attic: &lt;R19 to R"&amp;G23&amp;", attic area = "&amp;J23&amp;" ft, ",""))&amp;R23&amp;" IQ SF CAA"</f>
        <v xml:space="preserve"> Insulation, wall: R5 to R11, wall area = 719 ft, Single Family IQ SF CAA</v>
      </c>
      <c r="C23" s="2185" t="s">
        <v>904</v>
      </c>
      <c r="D23" s="2186" t="s">
        <v>4142</v>
      </c>
      <c r="E23" s="69" t="s">
        <v>1632</v>
      </c>
      <c r="F23" s="1115">
        <v>11</v>
      </c>
      <c r="G23" s="1050"/>
      <c r="H23" s="1050">
        <v>5</v>
      </c>
      <c r="I23" s="69">
        <v>719</v>
      </c>
      <c r="J23" s="69">
        <v>0</v>
      </c>
      <c r="K23" s="973" t="s">
        <v>1696</v>
      </c>
      <c r="L23" s="972" t="s">
        <v>1529</v>
      </c>
      <c r="M23" s="972" t="s">
        <v>4433</v>
      </c>
      <c r="N23" s="972" t="s">
        <v>3298</v>
      </c>
      <c r="O23" s="973" t="s">
        <v>3298</v>
      </c>
      <c r="P23" s="973" t="s">
        <v>3174</v>
      </c>
      <c r="Q23" s="1080"/>
      <c r="R23" s="972" t="s">
        <v>3318</v>
      </c>
      <c r="S23" s="972" t="s">
        <v>4331</v>
      </c>
      <c r="T23" s="2766" t="e">
        <f t="shared" si="2"/>
        <v>#DIV/0!</v>
      </c>
      <c r="U23" s="1040" t="s">
        <v>3222</v>
      </c>
      <c r="V23" s="986"/>
      <c r="W23" s="986"/>
      <c r="X23" s="2778">
        <f>IF(L23=$B$117,((((1/AG23-1/AE23)*AH23*(1-AJ23)))*24*AO23)/(AQ23*100000)*AT23,0)</f>
        <v>60.136767818181816</v>
      </c>
      <c r="Y23" s="2765" t="e">
        <f t="shared" si="3"/>
        <v>#DIV/0!</v>
      </c>
      <c r="Z23" s="986"/>
      <c r="AA23" s="986"/>
      <c r="AB23" s="2764" t="e">
        <f t="shared" si="0"/>
        <v>#DIV/0!</v>
      </c>
      <c r="AC23" s="1">
        <f>IF(M23=$B$130,((((1/AG23-1/AE23)*AH23*(1-AJ23)*24*AL23*AM23)/(1000*AN23))*AU23), 0)</f>
        <v>73.021117090909101</v>
      </c>
      <c r="AD23" s="49">
        <v>0</v>
      </c>
      <c r="AE23" s="302">
        <f t="shared" si="23"/>
        <v>11</v>
      </c>
      <c r="AF23" s="302">
        <f t="shared" si="23"/>
        <v>0</v>
      </c>
      <c r="AG23" s="302">
        <f t="shared" si="23"/>
        <v>5</v>
      </c>
      <c r="AH23" s="302">
        <f t="shared" si="23"/>
        <v>719</v>
      </c>
      <c r="AI23" s="302">
        <f t="shared" si="23"/>
        <v>0</v>
      </c>
      <c r="AJ23" s="291">
        <f t="shared" si="9"/>
        <v>0.25</v>
      </c>
      <c r="AK23" s="291">
        <f t="shared" si="10"/>
        <v>7.0000000000000007E-2</v>
      </c>
      <c r="AL23" s="49">
        <f>VLOOKUP(K23,$B$92:$C$98,2,FALSE)</f>
        <v>862</v>
      </c>
      <c r="AM23" s="49">
        <f t="shared" si="12"/>
        <v>0.75</v>
      </c>
      <c r="AN23" s="49">
        <f>IF(OR(M23=$B$130,M23=$B$132),VLOOKUP(N23,$C$108:$D$110,2,FALSE),IF(M23=$B$131,VLOOKUP(N23,$C$111:$D$113,2,FALSE)))</f>
        <v>10</v>
      </c>
      <c r="AO23" s="49">
        <f>VLOOKUP(K23,$B$92:$D$98,3,FALSE)</f>
        <v>5111.2999999999993</v>
      </c>
      <c r="AP23" s="49">
        <f>IF(P23=$I$95,$L$95,VLOOKUP(O23,$J$92:$L$94,3,FALSE))</f>
        <v>1.7</v>
      </c>
      <c r="AQ23" s="291">
        <f t="shared" si="16"/>
        <v>0.72</v>
      </c>
      <c r="AR23" s="49">
        <f>VLOOKUP(K23,$B$92:$F$98,IF(R23=$B$121,4,5),FALSE)</f>
        <v>568.6</v>
      </c>
      <c r="AS23" s="247">
        <f>IF(S23=$C$130, IF(M23=$B$130, $D$130, $D$131), $D$132)</f>
        <v>0.68</v>
      </c>
      <c r="AT23" s="1587">
        <v>0.6</v>
      </c>
      <c r="AU23" s="350">
        <f t="shared" si="19"/>
        <v>0.8</v>
      </c>
      <c r="AV23" s="247">
        <f t="shared" si="20"/>
        <v>3.1399999999999997E-2</v>
      </c>
    </row>
    <row r="24" spans="1:48" ht="29" x14ac:dyDescent="0.35">
      <c r="A24" s="2185" t="s">
        <v>4455</v>
      </c>
      <c r="B24" s="2185" t="str">
        <f>IF(AND(I24=0,J24&gt;1),$B$126&amp;" Insulation",IF(AND(I24&gt;10,J24=0),$B$127&amp;" Insulation",#REF!))&amp;IF(I24&gt;0,", wall: R"&amp;H24&amp;" to R"&amp;F24&amp;", wall area = "&amp;I24&amp;" ft, ",""&amp;IF(J24&gt;0," attic: &lt;R19 to R"&amp;G24&amp;", attic area = "&amp;J24&amp;" ft, ",""))&amp;R24&amp;" IQ SF Anura"</f>
        <v xml:space="preserve"> Insulation, wall: R5 to R11, wall area = 526 ft, Single Family IQ SF Anura</v>
      </c>
      <c r="C24" s="2185" t="s">
        <v>4471</v>
      </c>
      <c r="D24" s="2186" t="s">
        <v>4142</v>
      </c>
      <c r="E24" s="69" t="s">
        <v>1632</v>
      </c>
      <c r="F24" s="1115">
        <v>11</v>
      </c>
      <c r="G24" s="1050"/>
      <c r="H24" s="1050">
        <v>5</v>
      </c>
      <c r="I24" s="69">
        <v>526</v>
      </c>
      <c r="J24" s="69">
        <v>0</v>
      </c>
      <c r="K24" s="973" t="s">
        <v>1696</v>
      </c>
      <c r="L24" s="972" t="s">
        <v>1529</v>
      </c>
      <c r="M24" s="972" t="s">
        <v>4433</v>
      </c>
      <c r="N24" s="972" t="s">
        <v>3298</v>
      </c>
      <c r="O24" s="973" t="s">
        <v>3298</v>
      </c>
      <c r="P24" s="973" t="s">
        <v>3174</v>
      </c>
      <c r="Q24" s="1080"/>
      <c r="R24" s="972" t="s">
        <v>3318</v>
      </c>
      <c r="S24" s="972" t="s">
        <v>4331</v>
      </c>
      <c r="T24" s="2766" t="e">
        <f t="shared" si="2"/>
        <v>#DIV/0!</v>
      </c>
      <c r="U24" s="1040" t="s">
        <v>3222</v>
      </c>
      <c r="V24" s="986"/>
      <c r="W24" s="986"/>
      <c r="X24" s="2778">
        <f>IF(L24=$B$117,((((1/AG24-1/AE24)*AH24*(1-AJ24)))*24*AO24)/(AQ24*100000)*AT24,0)</f>
        <v>43.994353090909087</v>
      </c>
      <c r="Y24" s="2765" t="e">
        <f t="shared" si="3"/>
        <v>#DIV/0!</v>
      </c>
      <c r="Z24" s="986"/>
      <c r="AA24" s="986"/>
      <c r="AB24" s="2764" t="e">
        <f t="shared" si="0"/>
        <v>#DIV/0!</v>
      </c>
      <c r="AC24" s="1">
        <f>IF(M24=$B$130,((((1/AG24-1/AE24)*AH24*(1-AJ24)*24*AL24*AM24)/(1000*AN24))*AU24), 0)</f>
        <v>53.42017745454546</v>
      </c>
      <c r="AD24" s="49">
        <v>0</v>
      </c>
      <c r="AE24" s="302">
        <f t="shared" si="23"/>
        <v>11</v>
      </c>
      <c r="AF24" s="302">
        <f t="shared" si="23"/>
        <v>0</v>
      </c>
      <c r="AG24" s="302">
        <f t="shared" si="23"/>
        <v>5</v>
      </c>
      <c r="AH24" s="302">
        <f t="shared" si="23"/>
        <v>526</v>
      </c>
      <c r="AI24" s="302">
        <f t="shared" si="23"/>
        <v>0</v>
      </c>
      <c r="AJ24" s="291">
        <f t="shared" si="9"/>
        <v>0.25</v>
      </c>
      <c r="AK24" s="291">
        <f t="shared" si="10"/>
        <v>7.0000000000000007E-2</v>
      </c>
      <c r="AL24" s="49">
        <f>VLOOKUP(K24,$B$92:$C$98,2,FALSE)</f>
        <v>862</v>
      </c>
      <c r="AM24" s="49">
        <f t="shared" si="12"/>
        <v>0.75</v>
      </c>
      <c r="AN24" s="49">
        <f>IF(OR(M24=$B$130,M24=$B$132),VLOOKUP(N24,$C$108:$D$110,2,FALSE),IF(M24=$B$131,VLOOKUP(N24,$C$111:$D$113,2,FALSE)))</f>
        <v>10</v>
      </c>
      <c r="AO24" s="49">
        <f>VLOOKUP(K24,$B$92:$D$98,3,FALSE)</f>
        <v>5111.2999999999993</v>
      </c>
      <c r="AP24" s="49">
        <f>IF(P24=$I$95,$L$95,VLOOKUP(O24,$J$92:$L$94,3,FALSE))</f>
        <v>1.7</v>
      </c>
      <c r="AQ24" s="291">
        <f t="shared" si="16"/>
        <v>0.72</v>
      </c>
      <c r="AR24" s="49">
        <f>VLOOKUP(K24,$B$92:$F$98,IF(R24=$B$121,4,5),FALSE)</f>
        <v>568.6</v>
      </c>
      <c r="AS24" s="247">
        <f>IF(S24=$C$130, IF(M24=$B$130, $D$130, $D$131), $D$132)</f>
        <v>0.68</v>
      </c>
      <c r="AT24" s="1587">
        <v>0.6</v>
      </c>
      <c r="AU24" s="350">
        <f t="shared" si="19"/>
        <v>0.8</v>
      </c>
      <c r="AV24" s="247">
        <f t="shared" si="20"/>
        <v>3.1399999999999997E-2</v>
      </c>
    </row>
    <row r="25" spans="1:48" x14ac:dyDescent="0.35">
      <c r="A25" s="956"/>
      <c r="B25" s="143"/>
      <c r="C25" s="143"/>
      <c r="D25" s="956"/>
      <c r="E25" s="69"/>
      <c r="F25" s="1115"/>
      <c r="G25" s="1050"/>
      <c r="H25" s="1050"/>
      <c r="I25" s="69"/>
      <c r="J25" s="69"/>
      <c r="K25" s="973"/>
      <c r="L25" s="1050"/>
      <c r="M25" s="972"/>
      <c r="N25" s="972"/>
      <c r="O25" s="973"/>
      <c r="P25" s="973"/>
      <c r="Q25" s="1080"/>
      <c r="R25" s="972"/>
      <c r="S25" s="972"/>
      <c r="T25" s="986"/>
      <c r="U25" s="1040"/>
      <c r="V25" s="986"/>
      <c r="W25" s="986"/>
      <c r="X25" s="986"/>
      <c r="Y25" s="986"/>
      <c r="Z25" s="986"/>
      <c r="AA25" s="986"/>
      <c r="AB25" s="986"/>
      <c r="AE25" s="355"/>
      <c r="AF25" s="355"/>
      <c r="AG25" s="355"/>
      <c r="AH25" s="355"/>
      <c r="AI25" s="355"/>
      <c r="AJ25" s="115"/>
      <c r="AK25" s="115"/>
      <c r="AQ25" s="115"/>
      <c r="AS25" s="118"/>
      <c r="AT25" s="115"/>
      <c r="AU25" s="115"/>
      <c r="AV25" s="118"/>
    </row>
    <row r="26" spans="1:48" x14ac:dyDescent="0.35">
      <c r="A26" s="956"/>
      <c r="B26" s="143"/>
      <c r="C26" s="143"/>
      <c r="D26" s="956"/>
      <c r="E26" s="69"/>
      <c r="F26" s="1115"/>
      <c r="G26" s="1050"/>
      <c r="H26" s="1050"/>
      <c r="I26" s="69"/>
      <c r="J26" s="69"/>
      <c r="K26" s="973"/>
      <c r="L26" s="1050"/>
      <c r="M26" s="972"/>
      <c r="N26" s="972"/>
      <c r="O26" s="973"/>
      <c r="P26" s="973"/>
      <c r="Q26" s="1080"/>
      <c r="R26" s="972"/>
      <c r="S26" s="972"/>
      <c r="T26" s="986"/>
      <c r="U26" s="1040"/>
      <c r="V26" s="986"/>
      <c r="W26" s="986"/>
      <c r="X26" s="986"/>
      <c r="Y26" s="986"/>
      <c r="Z26" s="986"/>
      <c r="AA26" s="986"/>
      <c r="AB26" s="986"/>
      <c r="AE26" s="355"/>
      <c r="AF26" s="355"/>
      <c r="AG26" s="355"/>
      <c r="AH26" s="355"/>
      <c r="AI26" s="355"/>
      <c r="AJ26" s="115"/>
      <c r="AK26" s="115"/>
      <c r="AQ26" s="115"/>
      <c r="AS26" s="118"/>
      <c r="AT26" s="115"/>
      <c r="AU26" s="115"/>
      <c r="AV26" s="118"/>
    </row>
    <row r="27" spans="1:48" x14ac:dyDescent="0.35">
      <c r="A27" s="956"/>
      <c r="B27" s="143"/>
      <c r="C27" s="143"/>
      <c r="D27" s="956"/>
      <c r="E27" s="69"/>
      <c r="F27" s="1115"/>
      <c r="G27" s="1050"/>
      <c r="H27" s="1050"/>
      <c r="I27" s="69"/>
      <c r="J27" s="69"/>
      <c r="K27" s="973"/>
      <c r="L27" s="1050"/>
      <c r="M27" s="972"/>
      <c r="N27" s="972"/>
      <c r="O27" s="973"/>
      <c r="P27" s="973"/>
      <c r="Q27" s="1080"/>
      <c r="R27" s="972"/>
      <c r="S27" s="972"/>
      <c r="T27" s="986"/>
      <c r="U27" s="1040"/>
      <c r="V27" s="986"/>
      <c r="W27" s="986"/>
      <c r="X27" s="986"/>
      <c r="Y27" s="986"/>
      <c r="Z27" s="986"/>
      <c r="AA27" s="986"/>
      <c r="AB27" s="986"/>
      <c r="AE27" s="355"/>
      <c r="AF27" s="355"/>
      <c r="AG27" s="355"/>
      <c r="AH27" s="355"/>
      <c r="AI27" s="355"/>
      <c r="AJ27" s="115"/>
      <c r="AK27" s="115"/>
      <c r="AQ27" s="115"/>
      <c r="AS27" s="118"/>
      <c r="AT27" s="115"/>
      <c r="AU27" s="115"/>
      <c r="AV27" s="118"/>
    </row>
    <row r="28" spans="1:48" x14ac:dyDescent="0.35">
      <c r="A28" s="956"/>
      <c r="B28" s="956"/>
      <c r="C28" s="956"/>
      <c r="D28" s="956"/>
      <c r="E28" s="69"/>
      <c r="F28" s="1115"/>
      <c r="G28" s="1050"/>
      <c r="H28" s="1050"/>
      <c r="I28" s="69"/>
      <c r="J28" s="69"/>
      <c r="K28" s="973"/>
      <c r="L28" s="1050"/>
      <c r="M28" s="972"/>
      <c r="N28" s="972"/>
      <c r="O28" s="973"/>
      <c r="P28" s="973"/>
      <c r="Q28" s="1080"/>
      <c r="R28" s="972"/>
      <c r="S28" s="972"/>
      <c r="T28" s="986"/>
      <c r="U28" s="1040"/>
      <c r="V28" s="986"/>
      <c r="W28" s="986"/>
      <c r="X28" s="986"/>
      <c r="Y28" s="986"/>
      <c r="Z28" s="986"/>
      <c r="AA28" s="986"/>
      <c r="AB28" s="986"/>
      <c r="AE28" s="355"/>
      <c r="AF28" s="355"/>
      <c r="AG28" s="355"/>
      <c r="AH28" s="355"/>
      <c r="AI28" s="355"/>
      <c r="AJ28" s="115"/>
      <c r="AK28" s="115"/>
      <c r="AQ28" s="115"/>
      <c r="AS28" s="118"/>
      <c r="AT28" s="115"/>
      <c r="AU28" s="115"/>
      <c r="AV28" s="118"/>
    </row>
    <row r="29" spans="1:48" ht="15" thickBot="1" x14ac:dyDescent="0.4"/>
    <row r="30" spans="1:48" ht="15" thickBot="1" x14ac:dyDescent="0.4">
      <c r="A30" s="62" t="s">
        <v>1188</v>
      </c>
      <c r="B30" s="64"/>
      <c r="C30" s="64"/>
      <c r="D30" s="64"/>
      <c r="E30" s="64"/>
      <c r="F30" s="64"/>
      <c r="G30" s="64"/>
      <c r="H30" s="64"/>
      <c r="I30" s="64"/>
      <c r="J30" s="64"/>
      <c r="K30" s="64"/>
      <c r="L30" s="64"/>
      <c r="M30" s="65"/>
    </row>
    <row r="31" spans="1:48" x14ac:dyDescent="0.35">
      <c r="A31" s="67" t="s">
        <v>4332</v>
      </c>
      <c r="B31" s="68"/>
      <c r="C31" s="69"/>
      <c r="D31" s="69"/>
      <c r="E31" s="69"/>
      <c r="F31" s="69"/>
      <c r="G31" s="69"/>
      <c r="H31" s="69"/>
      <c r="I31" s="69"/>
      <c r="J31" s="69"/>
      <c r="K31" s="69"/>
      <c r="L31" s="69"/>
      <c r="M31" s="70"/>
    </row>
    <row r="32" spans="1:48" x14ac:dyDescent="0.35">
      <c r="A32" s="67" t="s">
        <v>4472</v>
      </c>
      <c r="B32" s="356"/>
      <c r="C32" s="69"/>
      <c r="D32" s="69"/>
      <c r="E32" s="69"/>
      <c r="F32" s="69"/>
      <c r="G32" s="69"/>
      <c r="H32" s="69"/>
      <c r="I32" s="69"/>
      <c r="J32" s="69"/>
      <c r="K32" s="69"/>
      <c r="L32" s="69"/>
      <c r="M32" s="70"/>
    </row>
    <row r="33" spans="1:19" x14ac:dyDescent="0.35">
      <c r="A33" s="272" t="s">
        <v>4473</v>
      </c>
      <c r="B33" s="356"/>
      <c r="C33" s="69"/>
      <c r="D33" s="69"/>
      <c r="E33" s="69"/>
      <c r="F33" s="69"/>
      <c r="G33" s="69"/>
      <c r="H33" s="69"/>
      <c r="I33" s="69"/>
      <c r="J33" s="69"/>
      <c r="K33" s="69"/>
      <c r="L33" s="69"/>
      <c r="M33" s="70"/>
    </row>
    <row r="34" spans="1:19" x14ac:dyDescent="0.35">
      <c r="A34" s="67" t="s">
        <v>4474</v>
      </c>
      <c r="B34" s="69"/>
      <c r="C34" s="69"/>
      <c r="D34" s="69"/>
      <c r="E34" s="69"/>
      <c r="F34" s="69"/>
      <c r="G34" s="69"/>
      <c r="H34" s="69"/>
      <c r="I34" s="69"/>
      <c r="J34" s="69"/>
      <c r="K34" s="69"/>
      <c r="L34" s="69"/>
      <c r="M34" s="70"/>
    </row>
    <row r="35" spans="1:19" x14ac:dyDescent="0.35">
      <c r="A35" s="272" t="s">
        <v>4475</v>
      </c>
      <c r="B35" s="69"/>
      <c r="C35" s="69"/>
      <c r="D35" s="69"/>
      <c r="E35" s="69"/>
      <c r="F35" s="69"/>
      <c r="G35" s="69"/>
      <c r="H35" s="69"/>
      <c r="I35" s="69"/>
      <c r="J35" s="69"/>
      <c r="K35" s="69"/>
      <c r="L35" s="69"/>
      <c r="M35" s="70"/>
    </row>
    <row r="36" spans="1:19" x14ac:dyDescent="0.35">
      <c r="A36" s="357" t="s">
        <v>4476</v>
      </c>
      <c r="B36" s="69"/>
      <c r="C36" s="69"/>
      <c r="D36" s="69"/>
      <c r="E36" s="69"/>
      <c r="F36" s="69"/>
      <c r="G36" s="69"/>
      <c r="H36" s="69"/>
      <c r="I36" s="69"/>
      <c r="J36" s="69"/>
      <c r="K36" s="69"/>
      <c r="L36" s="69"/>
      <c r="M36" s="70"/>
    </row>
    <row r="37" spans="1:19" ht="15" customHeight="1" x14ac:dyDescent="0.35">
      <c r="A37" s="67" t="s">
        <v>4477</v>
      </c>
      <c r="B37" s="68"/>
      <c r="C37" s="69"/>
      <c r="D37" s="69"/>
      <c r="E37" s="69"/>
      <c r="F37" s="69"/>
      <c r="G37" s="69"/>
      <c r="H37" s="69"/>
      <c r="I37" s="69"/>
      <c r="J37" s="69"/>
      <c r="K37" s="69"/>
      <c r="L37" s="69"/>
      <c r="M37" s="70"/>
    </row>
    <row r="38" spans="1:19" ht="15" thickBot="1" x14ac:dyDescent="0.4">
      <c r="A38" s="1549" t="s">
        <v>4478</v>
      </c>
      <c r="B38" s="1550"/>
      <c r="C38" s="1550"/>
      <c r="D38" s="1550"/>
      <c r="E38" s="1550" t="s">
        <v>4479</v>
      </c>
      <c r="F38" s="1550"/>
      <c r="G38" s="1550"/>
      <c r="H38" s="1550"/>
      <c r="I38" s="1550"/>
      <c r="J38" s="1550"/>
      <c r="K38" s="1550"/>
      <c r="L38" s="1550"/>
      <c r="M38" s="1551"/>
      <c r="N38" s="47"/>
      <c r="O38" s="47"/>
      <c r="P38" s="47"/>
    </row>
    <row r="39" spans="1:19" ht="15" thickBot="1" x14ac:dyDescent="0.4">
      <c r="A39" s="154" t="s">
        <v>1078</v>
      </c>
      <c r="B39" s="1142">
        <f>'Measure-Level Adjustments'!A2</f>
        <v>44592</v>
      </c>
    </row>
    <row r="40" spans="1:19" ht="15" thickBot="1" x14ac:dyDescent="0.4">
      <c r="A40" s="154" t="s">
        <v>1079</v>
      </c>
      <c r="B40" s="577" t="s">
        <v>660</v>
      </c>
    </row>
    <row r="41" spans="1:19" ht="15" thickBot="1" x14ac:dyDescent="0.4">
      <c r="A41" s="55"/>
    </row>
    <row r="42" spans="1:19" ht="15" thickBot="1" x14ac:dyDescent="0.4">
      <c r="A42" s="74" t="s">
        <v>1285</v>
      </c>
      <c r="B42" s="75" t="s">
        <v>1199</v>
      </c>
      <c r="C42" s="76" t="s">
        <v>1082</v>
      </c>
      <c r="D42" s="64"/>
      <c r="E42" s="64"/>
      <c r="F42" s="64"/>
      <c r="G42" s="64"/>
      <c r="H42" s="64"/>
      <c r="I42" s="64"/>
      <c r="J42" s="64"/>
      <c r="K42" s="64"/>
      <c r="L42" s="64"/>
      <c r="M42" s="64"/>
      <c r="N42" s="64"/>
      <c r="O42" s="64"/>
      <c r="P42" s="64"/>
      <c r="Q42" s="64"/>
      <c r="R42" s="64"/>
      <c r="S42" s="65"/>
    </row>
    <row r="43" spans="1:19" x14ac:dyDescent="0.35">
      <c r="A43" s="358" t="s">
        <v>4315</v>
      </c>
      <c r="B43" s="359"/>
      <c r="C43" s="79" t="s">
        <v>4337</v>
      </c>
      <c r="D43" s="80"/>
      <c r="E43" s="80"/>
      <c r="F43" s="80"/>
      <c r="G43" s="80"/>
      <c r="H43" s="80"/>
      <c r="I43" s="80"/>
      <c r="J43" s="80"/>
      <c r="K43" s="80"/>
      <c r="L43" s="80"/>
      <c r="M43" s="80"/>
      <c r="N43" s="80"/>
      <c r="O43" s="80"/>
      <c r="P43" s="80"/>
      <c r="Q43" s="80"/>
      <c r="R43" s="80"/>
      <c r="S43" s="81"/>
    </row>
    <row r="44" spans="1:19" ht="15" thickBot="1" x14ac:dyDescent="0.4">
      <c r="A44" s="360"/>
      <c r="B44" s="361"/>
      <c r="C44" s="84" t="s">
        <v>4480</v>
      </c>
      <c r="D44" s="85"/>
      <c r="E44" s="85"/>
      <c r="F44" s="85"/>
      <c r="G44" s="85"/>
      <c r="H44" s="85"/>
      <c r="I44" s="85"/>
      <c r="J44" s="85"/>
      <c r="K44" s="85"/>
      <c r="L44" s="85"/>
      <c r="M44" s="85"/>
      <c r="N44" s="85"/>
      <c r="O44" s="85"/>
      <c r="P44" s="85"/>
      <c r="Q44" s="85"/>
      <c r="R44" s="85"/>
      <c r="S44" s="86"/>
    </row>
    <row r="45" spans="1:19" x14ac:dyDescent="0.35">
      <c r="A45" s="358" t="s">
        <v>4443</v>
      </c>
      <c r="B45" s="362"/>
      <c r="C45" s="79" t="s">
        <v>4339</v>
      </c>
      <c r="D45" s="80"/>
      <c r="E45" s="80"/>
      <c r="F45" s="80"/>
      <c r="G45" s="80"/>
      <c r="H45" s="80"/>
      <c r="I45" s="80"/>
      <c r="J45" s="80"/>
      <c r="K45" s="80"/>
      <c r="L45" s="80"/>
      <c r="M45" s="80"/>
      <c r="N45" s="80"/>
      <c r="O45" s="80"/>
      <c r="P45" s="80"/>
      <c r="Q45" s="80"/>
      <c r="R45" s="80"/>
      <c r="S45" s="81"/>
    </row>
    <row r="46" spans="1:19" ht="15" thickBot="1" x14ac:dyDescent="0.4">
      <c r="A46" s="360"/>
      <c r="B46" s="361"/>
      <c r="C46" s="84" t="s">
        <v>4481</v>
      </c>
      <c r="D46" s="85"/>
      <c r="E46" s="85"/>
      <c r="F46" s="85"/>
      <c r="G46" s="85"/>
      <c r="H46" s="85"/>
      <c r="I46" s="85"/>
      <c r="J46" s="85"/>
      <c r="K46" s="85"/>
      <c r="L46" s="85"/>
      <c r="M46" s="85"/>
      <c r="N46" s="85"/>
      <c r="O46" s="85"/>
      <c r="P46" s="85"/>
      <c r="Q46" s="85"/>
      <c r="R46" s="85"/>
      <c r="S46" s="86"/>
    </row>
    <row r="47" spans="1:19" x14ac:dyDescent="0.35">
      <c r="A47" s="358" t="s">
        <v>4444</v>
      </c>
      <c r="B47" s="363"/>
      <c r="C47" s="79" t="s">
        <v>4482</v>
      </c>
      <c r="D47" s="80"/>
      <c r="E47" s="80"/>
      <c r="F47" s="80"/>
      <c r="G47" s="80"/>
      <c r="H47" s="80"/>
      <c r="I47" s="80"/>
      <c r="J47" s="80"/>
      <c r="K47" s="80"/>
      <c r="L47" s="80"/>
      <c r="M47" s="80"/>
      <c r="N47" s="80"/>
      <c r="O47" s="80"/>
      <c r="P47" s="80"/>
      <c r="Q47" s="80"/>
      <c r="R47" s="80"/>
      <c r="S47" s="81"/>
    </row>
    <row r="48" spans="1:19" ht="15" thickBot="1" x14ac:dyDescent="0.4">
      <c r="A48" s="360"/>
      <c r="B48" s="361"/>
      <c r="C48" s="84" t="s">
        <v>2854</v>
      </c>
      <c r="D48" s="85"/>
      <c r="E48" s="85"/>
      <c r="F48" s="85"/>
      <c r="G48" s="85"/>
      <c r="H48" s="85"/>
      <c r="I48" s="85"/>
      <c r="J48" s="85"/>
      <c r="K48" s="85"/>
      <c r="L48" s="85"/>
      <c r="M48" s="85"/>
      <c r="N48" s="85"/>
      <c r="O48" s="85"/>
      <c r="P48" s="85"/>
      <c r="Q48" s="85"/>
      <c r="R48" s="85"/>
      <c r="S48" s="86"/>
    </row>
    <row r="49" spans="1:19" x14ac:dyDescent="0.35">
      <c r="A49" s="358" t="s">
        <v>4445</v>
      </c>
      <c r="B49" s="363"/>
      <c r="C49" s="79" t="s">
        <v>4483</v>
      </c>
      <c r="D49" s="80"/>
      <c r="E49" s="80"/>
      <c r="F49" s="80"/>
      <c r="G49" s="80"/>
      <c r="H49" s="80"/>
      <c r="I49" s="80"/>
      <c r="J49" s="80"/>
      <c r="K49" s="80"/>
      <c r="L49" s="80"/>
      <c r="M49" s="80"/>
      <c r="N49" s="80"/>
      <c r="O49" s="80"/>
      <c r="P49" s="80"/>
      <c r="Q49" s="80"/>
      <c r="R49" s="80"/>
      <c r="S49" s="81"/>
    </row>
    <row r="50" spans="1:19" ht="15" thickBot="1" x14ac:dyDescent="0.4">
      <c r="A50" s="360"/>
      <c r="B50" s="361"/>
      <c r="C50" s="84" t="s">
        <v>2854</v>
      </c>
      <c r="D50" s="85"/>
      <c r="E50" s="85"/>
      <c r="F50" s="85"/>
      <c r="G50" s="85"/>
      <c r="H50" s="85"/>
      <c r="I50" s="85"/>
      <c r="J50" s="85"/>
      <c r="K50" s="85"/>
      <c r="L50" s="85"/>
      <c r="M50" s="85"/>
      <c r="N50" s="85"/>
      <c r="O50" s="85"/>
      <c r="P50" s="85"/>
      <c r="Q50" s="85"/>
      <c r="R50" s="85"/>
      <c r="S50" s="86"/>
    </row>
    <row r="51" spans="1:19" x14ac:dyDescent="0.35">
      <c r="A51" s="358" t="s">
        <v>4390</v>
      </c>
      <c r="B51" s="363"/>
      <c r="C51" s="79" t="s">
        <v>4484</v>
      </c>
      <c r="D51" s="80"/>
      <c r="E51" s="80"/>
      <c r="F51" s="80"/>
      <c r="G51" s="80"/>
      <c r="H51" s="80"/>
      <c r="I51" s="80"/>
      <c r="J51" s="80"/>
      <c r="K51" s="80"/>
      <c r="L51" s="80"/>
      <c r="M51" s="80"/>
      <c r="N51" s="80"/>
      <c r="O51" s="80"/>
      <c r="P51" s="80"/>
      <c r="Q51" s="80"/>
      <c r="R51" s="80"/>
      <c r="S51" s="81"/>
    </row>
    <row r="52" spans="1:19" ht="15" thickBot="1" x14ac:dyDescent="0.4">
      <c r="A52" s="360"/>
      <c r="B52" s="361"/>
      <c r="C52" s="84" t="s">
        <v>4485</v>
      </c>
      <c r="D52" s="85"/>
      <c r="E52" s="85"/>
      <c r="F52" s="85"/>
      <c r="G52" s="85"/>
      <c r="H52" s="85"/>
      <c r="I52" s="85"/>
      <c r="J52" s="85"/>
      <c r="K52" s="85"/>
      <c r="L52" s="85"/>
      <c r="M52" s="85"/>
      <c r="N52" s="85"/>
      <c r="O52" s="85"/>
      <c r="P52" s="85"/>
      <c r="Q52" s="85"/>
      <c r="R52" s="85"/>
      <c r="S52" s="86"/>
    </row>
    <row r="53" spans="1:19" ht="15" x14ac:dyDescent="0.35">
      <c r="A53" s="358" t="s">
        <v>4446</v>
      </c>
      <c r="B53" s="363"/>
      <c r="C53" s="79" t="s">
        <v>4486</v>
      </c>
      <c r="D53" s="80"/>
      <c r="E53" s="80"/>
      <c r="F53" s="80"/>
      <c r="G53" s="80"/>
      <c r="H53" s="80"/>
      <c r="I53" s="80"/>
      <c r="J53" s="80"/>
      <c r="K53" s="80"/>
      <c r="L53" s="80"/>
      <c r="M53" s="80"/>
      <c r="N53" s="80"/>
      <c r="O53" s="80"/>
      <c r="P53" s="80"/>
      <c r="Q53" s="80"/>
      <c r="R53" s="80"/>
      <c r="S53" s="81"/>
    </row>
    <row r="54" spans="1:19" ht="15" thickBot="1" x14ac:dyDescent="0.4">
      <c r="A54" s="360"/>
      <c r="B54" s="361"/>
      <c r="C54" s="84" t="s">
        <v>2854</v>
      </c>
      <c r="D54" s="85"/>
      <c r="E54" s="85"/>
      <c r="F54" s="85"/>
      <c r="G54" s="85"/>
      <c r="H54" s="85"/>
      <c r="I54" s="85"/>
      <c r="J54" s="85"/>
      <c r="K54" s="85"/>
      <c r="L54" s="85"/>
      <c r="M54" s="85"/>
      <c r="N54" s="85"/>
      <c r="O54" s="85"/>
      <c r="P54" s="85"/>
      <c r="Q54" s="85"/>
      <c r="R54" s="85"/>
      <c r="S54" s="86"/>
    </row>
    <row r="55" spans="1:19" ht="15" x14ac:dyDescent="0.35">
      <c r="A55" s="358" t="s">
        <v>4447</v>
      </c>
      <c r="B55" s="363"/>
      <c r="C55" s="79" t="s">
        <v>4487</v>
      </c>
      <c r="D55" s="80"/>
      <c r="E55" s="80"/>
      <c r="F55" s="80"/>
      <c r="G55" s="80"/>
      <c r="H55" s="80"/>
      <c r="I55" s="80"/>
      <c r="J55" s="80"/>
      <c r="K55" s="80"/>
      <c r="L55" s="80"/>
      <c r="M55" s="80"/>
      <c r="N55" s="80"/>
      <c r="O55" s="80"/>
      <c r="P55" s="80"/>
      <c r="Q55" s="80"/>
      <c r="R55" s="80"/>
      <c r="S55" s="81"/>
    </row>
    <row r="56" spans="1:19" ht="15" thickBot="1" x14ac:dyDescent="0.4">
      <c r="A56" s="88"/>
      <c r="B56" s="85"/>
      <c r="C56" s="84" t="s">
        <v>2854</v>
      </c>
      <c r="D56" s="85"/>
      <c r="E56" s="85"/>
      <c r="F56" s="85"/>
      <c r="G56" s="85"/>
      <c r="H56" s="85"/>
      <c r="I56" s="85"/>
      <c r="J56" s="85"/>
      <c r="K56" s="85"/>
      <c r="L56" s="85"/>
      <c r="M56" s="85"/>
      <c r="N56" s="85"/>
      <c r="O56" s="85"/>
      <c r="P56" s="85"/>
      <c r="Q56" s="85"/>
      <c r="R56" s="85"/>
      <c r="S56" s="86"/>
    </row>
    <row r="57" spans="1:19" x14ac:dyDescent="0.35">
      <c r="A57" s="358" t="s">
        <v>4323</v>
      </c>
      <c r="B57" s="78"/>
      <c r="C57" s="79" t="s">
        <v>4413</v>
      </c>
      <c r="D57" s="80"/>
      <c r="E57" s="80"/>
      <c r="F57" s="80"/>
      <c r="G57" s="80"/>
      <c r="H57" s="80"/>
      <c r="I57" s="80"/>
      <c r="J57" s="80"/>
      <c r="K57" s="80"/>
      <c r="L57" s="80"/>
      <c r="M57" s="80"/>
      <c r="N57" s="80"/>
      <c r="O57" s="80"/>
      <c r="P57" s="80"/>
      <c r="Q57" s="80"/>
      <c r="R57" s="80"/>
      <c r="S57" s="81"/>
    </row>
    <row r="58" spans="1:19" x14ac:dyDescent="0.35">
      <c r="A58" s="254"/>
      <c r="B58" s="115">
        <v>0.25</v>
      </c>
      <c r="C58" s="55" t="s">
        <v>4488</v>
      </c>
      <c r="S58" s="253"/>
    </row>
    <row r="59" spans="1:19" ht="15" thickBot="1" x14ac:dyDescent="0.4">
      <c r="A59" s="254"/>
      <c r="B59" s="115">
        <v>7.0000000000000007E-2</v>
      </c>
      <c r="C59" s="55" t="s">
        <v>4489</v>
      </c>
      <c r="S59" s="253"/>
    </row>
    <row r="60" spans="1:19" x14ac:dyDescent="0.35">
      <c r="A60" s="358" t="s">
        <v>4129</v>
      </c>
      <c r="B60" s="80"/>
      <c r="C60" s="79" t="s">
        <v>4187</v>
      </c>
      <c r="D60" s="80"/>
      <c r="E60" s="80"/>
      <c r="F60" s="80"/>
      <c r="G60" s="80"/>
      <c r="H60" s="80"/>
      <c r="I60" s="80"/>
      <c r="J60" s="80"/>
      <c r="K60" s="80"/>
      <c r="L60" s="80"/>
      <c r="M60" s="80"/>
      <c r="N60" s="80"/>
      <c r="O60" s="80"/>
      <c r="P60" s="80"/>
      <c r="Q60" s="80"/>
      <c r="R60" s="80"/>
      <c r="S60" s="81"/>
    </row>
    <row r="61" spans="1:19" ht="15" thickBot="1" x14ac:dyDescent="0.4">
      <c r="A61" s="88"/>
      <c r="B61" s="85"/>
      <c r="C61" s="84" t="s">
        <v>4353</v>
      </c>
      <c r="D61" s="85"/>
      <c r="E61" s="85"/>
      <c r="F61" s="85"/>
      <c r="G61" s="85"/>
      <c r="H61" s="85"/>
      <c r="I61" s="85"/>
      <c r="J61" s="85"/>
      <c r="K61" s="85"/>
      <c r="L61" s="85"/>
      <c r="M61" s="85"/>
      <c r="N61" s="85"/>
      <c r="O61" s="85"/>
      <c r="P61" s="85"/>
      <c r="Q61" s="85"/>
      <c r="R61" s="85"/>
      <c r="S61" s="86"/>
    </row>
    <row r="62" spans="1:19" x14ac:dyDescent="0.35">
      <c r="A62" s="358" t="s">
        <v>4130</v>
      </c>
      <c r="B62" s="80">
        <v>0.75</v>
      </c>
      <c r="C62" s="79" t="s">
        <v>4354</v>
      </c>
      <c r="D62" s="80"/>
      <c r="E62" s="80"/>
      <c r="F62" s="80"/>
      <c r="G62" s="80"/>
      <c r="H62" s="80"/>
      <c r="I62" s="80"/>
      <c r="J62" s="80"/>
      <c r="K62" s="80"/>
      <c r="L62" s="80"/>
      <c r="M62" s="80"/>
      <c r="N62" s="80"/>
      <c r="O62" s="80"/>
      <c r="P62" s="80"/>
      <c r="Q62" s="80"/>
      <c r="R62" s="80"/>
      <c r="S62" s="81"/>
    </row>
    <row r="63" spans="1:19" ht="15" thickBot="1" x14ac:dyDescent="0.4">
      <c r="A63" s="88"/>
      <c r="B63" s="85"/>
      <c r="C63" s="84" t="s">
        <v>2257</v>
      </c>
      <c r="D63" s="85"/>
      <c r="E63" s="85"/>
      <c r="F63" s="85"/>
      <c r="G63" s="85"/>
      <c r="H63" s="85"/>
      <c r="I63" s="85"/>
      <c r="J63" s="85"/>
      <c r="K63" s="85"/>
      <c r="L63" s="85"/>
      <c r="M63" s="85"/>
      <c r="N63" s="85"/>
      <c r="O63" s="85"/>
      <c r="P63" s="85"/>
      <c r="Q63" s="85"/>
      <c r="R63" s="85"/>
      <c r="S63" s="86"/>
    </row>
    <row r="64" spans="1:19" x14ac:dyDescent="0.35">
      <c r="A64" s="358" t="s">
        <v>3200</v>
      </c>
      <c r="B64" s="80"/>
      <c r="C64" s="79" t="s">
        <v>4355</v>
      </c>
      <c r="D64" s="80"/>
      <c r="E64" s="80"/>
      <c r="F64" s="80"/>
      <c r="G64" s="80"/>
      <c r="H64" s="80"/>
      <c r="I64" s="80"/>
      <c r="J64" s="80"/>
      <c r="K64" s="80"/>
      <c r="L64" s="80"/>
      <c r="M64" s="80"/>
      <c r="N64" s="80"/>
      <c r="O64" s="80"/>
      <c r="P64" s="80"/>
      <c r="Q64" s="80"/>
      <c r="R64" s="80"/>
      <c r="S64" s="81"/>
    </row>
    <row r="65" spans="1:29" ht="15" thickBot="1" x14ac:dyDescent="0.4">
      <c r="A65" s="88"/>
      <c r="B65" s="85"/>
      <c r="C65" s="85" t="s">
        <v>4356</v>
      </c>
      <c r="D65" s="85"/>
      <c r="E65" s="85"/>
      <c r="F65" s="85"/>
      <c r="G65" s="85"/>
      <c r="H65" s="85"/>
      <c r="I65" s="85"/>
      <c r="J65" s="85"/>
      <c r="K65" s="85"/>
      <c r="L65" s="85"/>
      <c r="M65" s="85"/>
      <c r="N65" s="85"/>
      <c r="O65" s="85"/>
      <c r="P65" s="85"/>
      <c r="Q65" s="85"/>
      <c r="R65" s="85"/>
      <c r="S65" s="86"/>
    </row>
    <row r="66" spans="1:29" x14ac:dyDescent="0.35">
      <c r="A66" s="358" t="s">
        <v>4133</v>
      </c>
      <c r="B66" s="87"/>
      <c r="C66" s="79" t="s">
        <v>4361</v>
      </c>
      <c r="D66" s="80"/>
      <c r="E66" s="80"/>
      <c r="F66" s="80"/>
      <c r="G66" s="80"/>
      <c r="H66" s="80"/>
      <c r="I66" s="80"/>
      <c r="J66" s="80"/>
      <c r="K66" s="80"/>
      <c r="L66" s="80"/>
      <c r="M66" s="80"/>
      <c r="N66" s="80"/>
      <c r="O66" s="80"/>
      <c r="P66" s="80"/>
      <c r="Q66" s="80"/>
      <c r="R66" s="80"/>
      <c r="S66" s="81"/>
    </row>
    <row r="67" spans="1:29" ht="15" thickBot="1" x14ac:dyDescent="0.4">
      <c r="A67" s="88"/>
      <c r="B67" s="85"/>
      <c r="C67" s="84" t="s">
        <v>4353</v>
      </c>
      <c r="D67" s="85"/>
      <c r="E67" s="85"/>
      <c r="F67" s="85"/>
      <c r="G67" s="85"/>
      <c r="H67" s="85"/>
      <c r="I67" s="85"/>
      <c r="J67" s="85"/>
      <c r="K67" s="85"/>
      <c r="L67" s="85"/>
      <c r="M67" s="85"/>
      <c r="N67" s="85"/>
      <c r="O67" s="85"/>
      <c r="P67" s="85"/>
      <c r="Q67" s="85"/>
      <c r="R67" s="85"/>
      <c r="S67" s="86"/>
    </row>
    <row r="68" spans="1:29" x14ac:dyDescent="0.35">
      <c r="A68" s="358" t="s">
        <v>4362</v>
      </c>
      <c r="B68" s="80" t="s">
        <v>4490</v>
      </c>
      <c r="C68" s="79" t="s">
        <v>4363</v>
      </c>
      <c r="D68" s="80"/>
      <c r="E68" s="80"/>
      <c r="F68" s="80"/>
      <c r="G68" s="80"/>
      <c r="H68" s="80"/>
      <c r="I68" s="80"/>
      <c r="J68" s="80"/>
      <c r="K68" s="80"/>
      <c r="L68" s="80"/>
      <c r="M68" s="80"/>
      <c r="N68" s="80"/>
      <c r="O68" s="80"/>
      <c r="P68" s="80"/>
      <c r="Q68" s="80"/>
      <c r="R68" s="80"/>
      <c r="S68" s="81"/>
    </row>
    <row r="69" spans="1:29" ht="15" thickBot="1" x14ac:dyDescent="0.4">
      <c r="A69" s="88"/>
      <c r="B69" s="85"/>
      <c r="C69" s="84" t="s">
        <v>4201</v>
      </c>
      <c r="D69" s="85"/>
      <c r="E69" s="85"/>
      <c r="F69" s="85"/>
      <c r="G69" s="85"/>
      <c r="H69" s="85"/>
      <c r="I69" s="85"/>
      <c r="J69" s="85"/>
      <c r="K69" s="85"/>
      <c r="L69" s="85"/>
      <c r="M69" s="85"/>
      <c r="N69" s="85"/>
      <c r="O69" s="85"/>
      <c r="P69" s="85"/>
      <c r="Q69" s="85"/>
      <c r="R69" s="85"/>
      <c r="S69" s="86"/>
    </row>
    <row r="70" spans="1:29" x14ac:dyDescent="0.35">
      <c r="A70" s="358" t="s">
        <v>4364</v>
      </c>
      <c r="B70" s="275">
        <v>0.72</v>
      </c>
      <c r="C70" s="79" t="s">
        <v>4203</v>
      </c>
      <c r="D70" s="80"/>
      <c r="E70" s="80"/>
      <c r="F70" s="80"/>
      <c r="G70" s="80"/>
      <c r="H70" s="80"/>
      <c r="I70" s="80"/>
      <c r="J70" s="80"/>
      <c r="K70" s="80"/>
      <c r="L70" s="80"/>
      <c r="M70" s="80"/>
      <c r="N70" s="80"/>
      <c r="O70" s="80"/>
      <c r="P70" s="80"/>
      <c r="Q70" s="80"/>
      <c r="R70" s="80"/>
      <c r="S70" s="81"/>
    </row>
    <row r="71" spans="1:29" ht="15" thickBot="1" x14ac:dyDescent="0.4">
      <c r="A71" s="88"/>
      <c r="B71" s="85"/>
      <c r="C71" s="84" t="s">
        <v>4204</v>
      </c>
      <c r="D71" s="85"/>
      <c r="E71" s="85"/>
      <c r="F71" s="85"/>
      <c r="G71" s="85"/>
      <c r="H71" s="85"/>
      <c r="I71" s="85"/>
      <c r="J71" s="85"/>
      <c r="K71" s="85"/>
      <c r="L71" s="85"/>
      <c r="M71" s="85"/>
      <c r="N71" s="85"/>
      <c r="O71" s="85"/>
      <c r="P71" s="85"/>
      <c r="Q71" s="85"/>
      <c r="R71" s="85"/>
      <c r="S71" s="86"/>
    </row>
    <row r="72" spans="1:29" x14ac:dyDescent="0.35">
      <c r="A72" s="93" t="s">
        <v>3275</v>
      </c>
      <c r="B72" s="275">
        <v>1</v>
      </c>
      <c r="C72" s="79" t="s">
        <v>3276</v>
      </c>
      <c r="D72" s="80"/>
      <c r="E72" s="80"/>
      <c r="F72" s="80"/>
      <c r="G72" s="80"/>
      <c r="H72" s="80"/>
      <c r="I72" s="80"/>
      <c r="J72" s="80"/>
      <c r="K72" s="80"/>
      <c r="L72" s="80"/>
      <c r="M72" s="80"/>
      <c r="N72" s="80"/>
      <c r="O72" s="80"/>
      <c r="P72" s="80"/>
      <c r="Q72" s="80"/>
      <c r="R72" s="80"/>
      <c r="S72" s="81"/>
    </row>
    <row r="73" spans="1:29" ht="15" thickBot="1" x14ac:dyDescent="0.4">
      <c r="A73" s="88"/>
      <c r="B73" s="85"/>
      <c r="C73" s="84"/>
      <c r="D73" s="85"/>
      <c r="E73" s="85"/>
      <c r="F73" s="85"/>
      <c r="G73" s="85"/>
      <c r="H73" s="85"/>
      <c r="I73" s="85"/>
      <c r="J73" s="85"/>
      <c r="K73" s="85"/>
      <c r="L73" s="85"/>
      <c r="M73" s="85"/>
      <c r="N73" s="85"/>
      <c r="O73" s="85"/>
      <c r="P73" s="85"/>
      <c r="Q73" s="85"/>
      <c r="R73" s="85"/>
      <c r="S73" s="86"/>
    </row>
    <row r="74" spans="1:29" x14ac:dyDescent="0.35">
      <c r="A74" s="254" t="s">
        <v>4491</v>
      </c>
      <c r="B74" s="115">
        <v>0.8</v>
      </c>
      <c r="C74" s="55" t="s">
        <v>4344</v>
      </c>
      <c r="S74" s="253"/>
    </row>
    <row r="75" spans="1:29" ht="15" thickBot="1" x14ac:dyDescent="0.4">
      <c r="A75" s="254"/>
      <c r="C75" s="55" t="s">
        <v>4492</v>
      </c>
      <c r="S75" s="253"/>
    </row>
    <row r="76" spans="1:29" x14ac:dyDescent="0.35">
      <c r="A76" s="358" t="s">
        <v>4135</v>
      </c>
      <c r="B76" s="80"/>
      <c r="C76" s="79" t="s">
        <v>4202</v>
      </c>
      <c r="D76" s="80"/>
      <c r="E76" s="80"/>
      <c r="F76" s="80"/>
      <c r="G76" s="80"/>
      <c r="H76" s="80"/>
      <c r="I76" s="80"/>
      <c r="J76" s="80"/>
      <c r="K76" s="80"/>
      <c r="L76" s="80"/>
      <c r="M76" s="80"/>
      <c r="N76" s="80"/>
      <c r="O76" s="80"/>
      <c r="P76" s="80"/>
      <c r="Q76" s="80"/>
      <c r="R76" s="80"/>
      <c r="S76" s="81"/>
    </row>
    <row r="77" spans="1:29" ht="15" thickBot="1" x14ac:dyDescent="0.4">
      <c r="A77" s="88"/>
      <c r="B77" s="85"/>
      <c r="C77" s="84" t="s">
        <v>4188</v>
      </c>
      <c r="D77" s="85"/>
      <c r="E77" s="85"/>
      <c r="F77" s="85"/>
      <c r="G77" s="85"/>
      <c r="H77" s="85"/>
      <c r="I77" s="85"/>
      <c r="J77" s="85"/>
      <c r="K77" s="85"/>
      <c r="L77" s="85"/>
      <c r="M77" s="85"/>
      <c r="N77" s="85"/>
      <c r="O77" s="85"/>
      <c r="P77" s="85"/>
      <c r="Q77" s="85"/>
      <c r="R77" s="85"/>
      <c r="S77" s="86"/>
    </row>
    <row r="78" spans="1:29" x14ac:dyDescent="0.35">
      <c r="A78" s="358" t="s">
        <v>1179</v>
      </c>
      <c r="B78" s="266">
        <v>0.91500000000000004</v>
      </c>
      <c r="C78" s="79" t="s">
        <v>4426</v>
      </c>
      <c r="D78" s="80"/>
      <c r="E78" s="80"/>
      <c r="F78" s="80"/>
      <c r="G78" s="80"/>
      <c r="H78" s="80"/>
      <c r="I78" s="80"/>
      <c r="J78" s="80"/>
      <c r="K78" s="80"/>
      <c r="L78" s="80"/>
      <c r="M78" s="80"/>
      <c r="N78" s="80"/>
      <c r="O78" s="80"/>
      <c r="P78" s="80"/>
      <c r="Q78" s="80"/>
      <c r="R78" s="80"/>
      <c r="S78" s="81"/>
    </row>
    <row r="79" spans="1:29" ht="15" thickBot="1" x14ac:dyDescent="0.4">
      <c r="A79" s="88"/>
      <c r="B79" s="85"/>
      <c r="C79" s="84" t="s">
        <v>2257</v>
      </c>
      <c r="D79" s="85"/>
      <c r="E79" s="85"/>
      <c r="F79" s="85"/>
      <c r="G79" s="85"/>
      <c r="H79" s="85"/>
      <c r="I79" s="85"/>
      <c r="J79" s="85"/>
      <c r="K79" s="85"/>
      <c r="L79" s="85"/>
      <c r="M79" s="85"/>
      <c r="N79" s="85"/>
      <c r="O79" s="85"/>
      <c r="P79" s="85"/>
      <c r="Q79" s="85"/>
      <c r="R79" s="85"/>
      <c r="S79" s="86"/>
    </row>
    <row r="80" spans="1:29" ht="15" x14ac:dyDescent="0.4">
      <c r="A80" s="1579" t="s">
        <v>4493</v>
      </c>
      <c r="B80" s="1585">
        <v>0.72</v>
      </c>
      <c r="C80" s="79" t="s">
        <v>4342</v>
      </c>
      <c r="D80" s="80"/>
      <c r="E80" s="80"/>
      <c r="F80" s="80"/>
      <c r="G80" s="80"/>
      <c r="H80" s="80"/>
      <c r="I80" s="80"/>
      <c r="J80" s="80"/>
      <c r="K80" s="80"/>
      <c r="L80" s="80"/>
      <c r="M80" s="80"/>
      <c r="N80" s="80"/>
      <c r="O80" s="80"/>
      <c r="P80" s="80"/>
      <c r="Q80" s="80"/>
      <c r="R80" s="80"/>
      <c r="S80" s="81"/>
      <c r="AC80" t="s">
        <v>2592</v>
      </c>
    </row>
    <row r="81" spans="1:19" ht="15.5" thickBot="1" x14ac:dyDescent="0.45">
      <c r="A81" s="1579" t="s">
        <v>4494</v>
      </c>
      <c r="B81" s="1586">
        <v>0.6</v>
      </c>
      <c r="C81" s="55"/>
      <c r="S81" s="253"/>
    </row>
    <row r="82" spans="1:19" x14ac:dyDescent="0.35">
      <c r="A82" s="358" t="s">
        <v>3210</v>
      </c>
      <c r="B82" s="89">
        <v>3.1399999999999997E-2</v>
      </c>
      <c r="C82" s="79" t="s">
        <v>3289</v>
      </c>
      <c r="D82" s="80"/>
      <c r="E82" s="80"/>
      <c r="F82" s="80"/>
      <c r="G82" s="80"/>
      <c r="H82" s="80"/>
      <c r="I82" s="80"/>
      <c r="J82" s="80"/>
      <c r="K82" s="80"/>
      <c r="L82" s="80"/>
      <c r="M82" s="80"/>
      <c r="N82" s="80"/>
      <c r="O82" s="80"/>
      <c r="P82" s="80"/>
      <c r="Q82" s="80"/>
      <c r="R82" s="80"/>
      <c r="S82" s="81"/>
    </row>
    <row r="83" spans="1:19" ht="15" thickBot="1" x14ac:dyDescent="0.4">
      <c r="A83" s="88"/>
      <c r="B83" s="85"/>
      <c r="C83" s="84" t="s">
        <v>2257</v>
      </c>
      <c r="D83" s="85"/>
      <c r="E83" s="85"/>
      <c r="F83" s="85"/>
      <c r="G83" s="85"/>
      <c r="H83" s="85"/>
      <c r="I83" s="85"/>
      <c r="J83" s="85"/>
      <c r="K83" s="85"/>
      <c r="L83" s="85"/>
      <c r="M83" s="85"/>
      <c r="N83" s="85"/>
      <c r="O83" s="85"/>
      <c r="P83" s="85"/>
      <c r="Q83" s="85"/>
      <c r="R83" s="85"/>
      <c r="S83" s="86"/>
    </row>
    <row r="84" spans="1:19" x14ac:dyDescent="0.35">
      <c r="A84" s="93" t="s">
        <v>1083</v>
      </c>
      <c r="B84" s="1553">
        <v>20</v>
      </c>
      <c r="C84" s="1553" t="s">
        <v>3156</v>
      </c>
      <c r="D84" s="1553"/>
      <c r="E84" s="1553"/>
      <c r="F84" s="1553"/>
      <c r="G84" s="80"/>
      <c r="H84" s="80"/>
      <c r="I84" s="80"/>
      <c r="J84" s="80"/>
      <c r="K84" s="80"/>
      <c r="L84" s="80"/>
      <c r="M84" s="80"/>
      <c r="N84" s="80"/>
      <c r="O84" s="80"/>
      <c r="P84" s="80"/>
      <c r="Q84" s="80"/>
      <c r="R84" s="80"/>
      <c r="S84" s="81"/>
    </row>
    <row r="85" spans="1:19" ht="15" thickBot="1" x14ac:dyDescent="0.4">
      <c r="A85" s="88"/>
      <c r="B85" s="85"/>
      <c r="C85" s="85" t="s">
        <v>2257</v>
      </c>
      <c r="D85" s="85"/>
      <c r="E85" s="85"/>
      <c r="F85" s="85"/>
      <c r="G85" s="85"/>
      <c r="H85" s="85"/>
      <c r="I85" s="85"/>
      <c r="J85" s="85"/>
      <c r="K85" s="85"/>
      <c r="L85" s="85"/>
      <c r="M85" s="85"/>
      <c r="N85" s="85"/>
      <c r="O85" s="85"/>
      <c r="P85" s="85"/>
      <c r="Q85" s="85"/>
      <c r="R85" s="85"/>
      <c r="S85" s="86"/>
    </row>
    <row r="86" spans="1:19" ht="15" thickBot="1" x14ac:dyDescent="0.4">
      <c r="A86" s="94" t="s">
        <v>1040</v>
      </c>
      <c r="B86" s="364"/>
      <c r="C86" s="364"/>
      <c r="D86" s="364"/>
      <c r="E86" s="364"/>
      <c r="F86" s="364"/>
      <c r="G86" s="364"/>
      <c r="H86" s="364"/>
      <c r="I86" s="364"/>
      <c r="J86" s="364"/>
      <c r="K86" s="364"/>
      <c r="L86" s="364"/>
      <c r="M86" s="364"/>
      <c r="N86" s="364"/>
      <c r="O86" s="364"/>
      <c r="P86" s="364"/>
      <c r="Q86" s="364"/>
      <c r="R86" s="364"/>
      <c r="S86" s="96"/>
    </row>
    <row r="88" spans="1:19" ht="15" thickBot="1" x14ac:dyDescent="0.4"/>
    <row r="89" spans="1:19" ht="15" thickBot="1" x14ac:dyDescent="0.4">
      <c r="A89" s="97" t="s">
        <v>1129</v>
      </c>
      <c r="B89" s="98"/>
      <c r="C89" s="64"/>
      <c r="D89" s="64"/>
      <c r="E89" s="64"/>
      <c r="F89" s="64"/>
      <c r="G89" s="64"/>
      <c r="H89" s="64"/>
      <c r="I89" s="64"/>
      <c r="J89" s="64"/>
      <c r="K89" s="64"/>
      <c r="L89" s="64"/>
      <c r="M89" s="64"/>
      <c r="N89" s="64"/>
      <c r="O89" s="64"/>
      <c r="P89" s="64"/>
      <c r="Q89" s="65"/>
    </row>
    <row r="90" spans="1:19" ht="15" thickBot="1" x14ac:dyDescent="0.4">
      <c r="A90" s="99"/>
      <c r="B90" s="69"/>
      <c r="C90" s="69"/>
      <c r="D90" s="69"/>
      <c r="E90" s="69"/>
      <c r="F90" s="69"/>
      <c r="G90" s="69"/>
      <c r="H90" s="69"/>
      <c r="I90" s="69"/>
      <c r="J90" s="69"/>
      <c r="K90" s="69"/>
      <c r="L90" s="69"/>
      <c r="M90" s="69"/>
      <c r="N90" s="69"/>
      <c r="O90" s="69"/>
      <c r="P90" s="69"/>
      <c r="Q90" s="100"/>
    </row>
    <row r="91" spans="1:19" ht="78.5" thickBot="1" x14ac:dyDescent="0.4">
      <c r="A91" s="99"/>
      <c r="B91" s="365" t="s">
        <v>1684</v>
      </c>
      <c r="C91" s="366" t="s">
        <v>4238</v>
      </c>
      <c r="D91" s="293" t="s">
        <v>4239</v>
      </c>
      <c r="E91" s="367" t="s">
        <v>4495</v>
      </c>
      <c r="F91" s="367" t="s">
        <v>4496</v>
      </c>
      <c r="G91" s="69"/>
      <c r="H91" s="69"/>
      <c r="I91" s="368" t="s">
        <v>2526</v>
      </c>
      <c r="J91" s="369" t="s">
        <v>3178</v>
      </c>
      <c r="K91" s="369" t="s">
        <v>3296</v>
      </c>
      <c r="L91" s="369" t="s">
        <v>4381</v>
      </c>
      <c r="M91" s="69"/>
      <c r="N91" s="69"/>
      <c r="O91" s="69"/>
      <c r="P91" s="69"/>
      <c r="Q91" s="100"/>
    </row>
    <row r="92" spans="1:19" ht="25.5" customHeight="1" thickBot="1" x14ac:dyDescent="0.4">
      <c r="A92" s="99"/>
      <c r="B92" s="106" t="s">
        <v>1705</v>
      </c>
      <c r="C92" s="329">
        <v>820</v>
      </c>
      <c r="D92" s="107">
        <v>5352</v>
      </c>
      <c r="E92" s="101">
        <v>512</v>
      </c>
      <c r="F92" s="101">
        <v>467</v>
      </c>
      <c r="G92" s="69"/>
      <c r="H92" s="69"/>
      <c r="I92" s="3392" t="s">
        <v>3174</v>
      </c>
      <c r="J92" s="370" t="s">
        <v>3298</v>
      </c>
      <c r="K92" s="371">
        <v>6.8</v>
      </c>
      <c r="L92" s="371">
        <v>1.7</v>
      </c>
      <c r="M92" s="69"/>
      <c r="N92" s="69"/>
      <c r="O92" s="69"/>
      <c r="P92" s="69"/>
      <c r="Q92" s="100"/>
    </row>
    <row r="93" spans="1:19" ht="15" thickBot="1" x14ac:dyDescent="0.4">
      <c r="A93" s="99"/>
      <c r="B93" s="106" t="s">
        <v>1691</v>
      </c>
      <c r="C93" s="329">
        <v>842</v>
      </c>
      <c r="D93" s="107">
        <v>5113</v>
      </c>
      <c r="E93" s="101">
        <v>570</v>
      </c>
      <c r="F93" s="101">
        <v>506</v>
      </c>
      <c r="G93" s="69"/>
      <c r="H93" s="69"/>
      <c r="I93" s="3393"/>
      <c r="J93" s="370" t="s">
        <v>4497</v>
      </c>
      <c r="K93" s="371">
        <v>7.7</v>
      </c>
      <c r="L93" s="371">
        <v>1.92</v>
      </c>
      <c r="M93" s="69"/>
      <c r="N93" s="69"/>
      <c r="O93" s="69"/>
      <c r="P93" s="69"/>
      <c r="Q93" s="100"/>
    </row>
    <row r="94" spans="1:19" ht="15" thickBot="1" x14ac:dyDescent="0.4">
      <c r="A94" s="99"/>
      <c r="B94" s="106" t="s">
        <v>1706</v>
      </c>
      <c r="C94" s="372">
        <v>1108</v>
      </c>
      <c r="D94" s="107">
        <v>4379</v>
      </c>
      <c r="E94" s="101">
        <v>730</v>
      </c>
      <c r="F94" s="101">
        <v>663</v>
      </c>
      <c r="G94" s="69"/>
      <c r="H94" s="69"/>
      <c r="I94" s="3394"/>
      <c r="J94" s="370" t="s">
        <v>4498</v>
      </c>
      <c r="K94" s="371">
        <v>8.1999999999999993</v>
      </c>
      <c r="L94" s="371">
        <v>2.4</v>
      </c>
      <c r="M94" s="69"/>
      <c r="N94" s="69"/>
      <c r="O94" s="69"/>
      <c r="P94" s="69"/>
      <c r="Q94" s="100"/>
    </row>
    <row r="95" spans="1:19" ht="15" customHeight="1" x14ac:dyDescent="0.35">
      <c r="A95" s="99"/>
      <c r="B95" s="106" t="s">
        <v>1707</v>
      </c>
      <c r="C95" s="372">
        <v>1570</v>
      </c>
      <c r="D95" s="107">
        <v>3378</v>
      </c>
      <c r="E95" s="108">
        <v>1035</v>
      </c>
      <c r="F95" s="101">
        <v>940</v>
      </c>
      <c r="G95" s="69"/>
      <c r="H95" s="69"/>
      <c r="I95" s="373" t="s">
        <v>3301</v>
      </c>
      <c r="J95" s="370" t="s">
        <v>1284</v>
      </c>
      <c r="K95" s="371" t="s">
        <v>1284</v>
      </c>
      <c r="L95" s="371">
        <v>1</v>
      </c>
      <c r="M95" s="69"/>
      <c r="N95" s="69"/>
      <c r="O95" s="69"/>
      <c r="P95" s="69"/>
      <c r="Q95" s="100"/>
    </row>
    <row r="96" spans="1:19" ht="52" x14ac:dyDescent="0.35">
      <c r="A96" s="99"/>
      <c r="B96" s="106" t="s">
        <v>1708</v>
      </c>
      <c r="C96" s="374">
        <v>1370</v>
      </c>
      <c r="D96" s="108">
        <v>3438</v>
      </c>
      <c r="E96" s="101">
        <v>903</v>
      </c>
      <c r="F96" s="101">
        <v>820</v>
      </c>
      <c r="G96" s="69"/>
      <c r="H96" s="69"/>
      <c r="I96" s="2882" t="s">
        <v>4383</v>
      </c>
      <c r="J96" s="2883" t="s">
        <v>1284</v>
      </c>
      <c r="K96" s="2681" t="s">
        <v>1284</v>
      </c>
      <c r="L96" s="2681">
        <v>1.28</v>
      </c>
      <c r="M96" s="69"/>
      <c r="N96" s="69"/>
      <c r="O96" s="69"/>
      <c r="P96" s="69"/>
      <c r="Q96" s="100"/>
    </row>
    <row r="97" spans="1:17" x14ac:dyDescent="0.35">
      <c r="A97" s="99"/>
      <c r="B97" s="375" t="s">
        <v>1185</v>
      </c>
      <c r="C97" s="297">
        <v>947</v>
      </c>
      <c r="D97" s="108">
        <v>4860</v>
      </c>
      <c r="E97" s="101">
        <v>629</v>
      </c>
      <c r="F97" s="101">
        <v>564</v>
      </c>
      <c r="G97" s="69"/>
      <c r="H97" s="69"/>
      <c r="I97" s="69"/>
      <c r="J97" s="69"/>
      <c r="K97" s="69"/>
      <c r="L97" s="69"/>
      <c r="M97" s="69"/>
      <c r="N97" s="69"/>
      <c r="O97" s="69"/>
      <c r="P97" s="69"/>
      <c r="Q97" s="100"/>
    </row>
    <row r="98" spans="1:17" x14ac:dyDescent="0.35">
      <c r="A98" s="99"/>
      <c r="B98" s="375" t="s">
        <v>1696</v>
      </c>
      <c r="C98" s="297">
        <f>C92*$D$102+C93*$D$103+C94*$D$104</f>
        <v>862</v>
      </c>
      <c r="D98" s="108">
        <f>D92*$D$102+D93*$D$103+D94*$D$104</f>
        <v>5111.2999999999993</v>
      </c>
      <c r="E98" s="101">
        <f>E92*$D$102+E93*$D$103+E94*$D$104</f>
        <v>568.6</v>
      </c>
      <c r="F98" s="101">
        <f>F92*$D$102+F93*$D$103+F94*$D$104</f>
        <v>509.99999999999994</v>
      </c>
      <c r="G98" s="69"/>
      <c r="H98" s="69"/>
      <c r="I98" s="69"/>
      <c r="J98" s="69"/>
      <c r="K98" s="69"/>
      <c r="L98" s="69"/>
      <c r="M98" s="69"/>
      <c r="N98" s="69"/>
      <c r="O98" s="69"/>
      <c r="P98" s="69"/>
      <c r="Q98" s="100"/>
    </row>
    <row r="99" spans="1:17" x14ac:dyDescent="0.35">
      <c r="A99" s="99"/>
      <c r="B99" s="69"/>
      <c r="C99" s="69"/>
      <c r="D99" s="69"/>
      <c r="E99" s="69"/>
      <c r="F99" s="69"/>
      <c r="G99" s="69"/>
      <c r="H99" s="69"/>
      <c r="I99" s="69"/>
      <c r="J99" s="69"/>
      <c r="K99" s="69"/>
      <c r="L99" s="69"/>
      <c r="M99" s="69"/>
      <c r="N99" s="69"/>
      <c r="O99" s="69"/>
      <c r="P99" s="69"/>
      <c r="Q99" s="100"/>
    </row>
    <row r="100" spans="1:17" x14ac:dyDescent="0.35">
      <c r="A100" s="99"/>
      <c r="B100" s="69"/>
      <c r="C100" s="69"/>
      <c r="D100" s="69"/>
      <c r="E100" s="69"/>
      <c r="F100" s="69"/>
      <c r="G100" s="69"/>
      <c r="H100" s="69"/>
      <c r="I100" s="69"/>
      <c r="J100" s="69"/>
      <c r="K100" s="69"/>
      <c r="L100" s="69"/>
      <c r="M100" s="69"/>
      <c r="N100" s="69"/>
      <c r="O100" s="69"/>
      <c r="P100" s="69"/>
      <c r="Q100" s="100"/>
    </row>
    <row r="101" spans="1:17" x14ac:dyDescent="0.35">
      <c r="A101" s="99"/>
      <c r="B101" s="3361" t="s">
        <v>3320</v>
      </c>
      <c r="C101" s="3139"/>
      <c r="D101" s="3074"/>
      <c r="E101" s="69"/>
      <c r="F101" s="69"/>
      <c r="G101" s="69"/>
      <c r="H101" s="69"/>
      <c r="I101" s="69"/>
      <c r="J101" s="69"/>
      <c r="K101" s="69"/>
      <c r="L101" s="69"/>
      <c r="M101" s="69"/>
      <c r="N101" s="69"/>
      <c r="O101" s="69"/>
      <c r="P101" s="69"/>
      <c r="Q101" s="100"/>
    </row>
    <row r="102" spans="1:17" x14ac:dyDescent="0.35">
      <c r="A102" s="99"/>
      <c r="B102" s="290" t="s">
        <v>3068</v>
      </c>
      <c r="C102" s="49" t="s">
        <v>2632</v>
      </c>
      <c r="D102" s="49">
        <v>0.3</v>
      </c>
      <c r="E102" s="69"/>
      <c r="F102" s="69"/>
      <c r="G102" s="69"/>
      <c r="H102" s="69"/>
      <c r="I102" s="69"/>
      <c r="J102" s="69"/>
      <c r="K102" s="69"/>
      <c r="L102" s="69"/>
      <c r="M102" s="69"/>
      <c r="N102" s="69"/>
      <c r="O102" s="69"/>
      <c r="P102" s="69"/>
      <c r="Q102" s="100"/>
    </row>
    <row r="103" spans="1:17" x14ac:dyDescent="0.35">
      <c r="A103" s="99"/>
      <c r="B103" s="290" t="s">
        <v>2389</v>
      </c>
      <c r="C103" s="49" t="s">
        <v>2633</v>
      </c>
      <c r="D103" s="49">
        <v>0.6</v>
      </c>
      <c r="E103" s="69"/>
      <c r="F103" s="69"/>
      <c r="G103" s="69"/>
      <c r="H103" s="69"/>
      <c r="I103" s="69"/>
      <c r="J103" s="69"/>
      <c r="K103" s="69"/>
      <c r="L103" s="69"/>
      <c r="M103" s="69"/>
      <c r="N103" s="69"/>
      <c r="O103" s="69"/>
      <c r="P103" s="69"/>
      <c r="Q103" s="100"/>
    </row>
    <row r="104" spans="1:17" x14ac:dyDescent="0.35">
      <c r="A104" s="99"/>
      <c r="B104" s="290" t="s">
        <v>2390</v>
      </c>
      <c r="C104" s="49" t="s">
        <v>2634</v>
      </c>
      <c r="D104" s="49">
        <v>0.1</v>
      </c>
      <c r="E104" s="69"/>
      <c r="F104" s="69"/>
      <c r="G104" s="69"/>
      <c r="H104" s="69"/>
      <c r="I104" s="69"/>
      <c r="J104" s="69"/>
      <c r="K104" s="69"/>
      <c r="L104" s="69"/>
      <c r="M104" s="69"/>
      <c r="N104" s="69"/>
      <c r="O104" s="69"/>
      <c r="P104" s="69"/>
      <c r="Q104" s="100"/>
    </row>
    <row r="105" spans="1:17" x14ac:dyDescent="0.35">
      <c r="A105" s="99"/>
      <c r="B105" s="69"/>
      <c r="C105" s="69"/>
      <c r="D105" s="69"/>
      <c r="E105" s="69"/>
      <c r="F105" s="69"/>
      <c r="G105" s="69"/>
      <c r="H105" s="69"/>
      <c r="I105" s="69"/>
      <c r="J105" s="69"/>
      <c r="K105" s="69"/>
      <c r="L105" s="69"/>
      <c r="M105" s="69"/>
      <c r="N105" s="69"/>
      <c r="O105" s="69"/>
      <c r="P105" s="69"/>
      <c r="Q105" s="100"/>
    </row>
    <row r="106" spans="1:17" ht="15" thickBot="1" x14ac:dyDescent="0.4">
      <c r="A106" s="99"/>
      <c r="B106" s="69"/>
      <c r="C106" s="69"/>
      <c r="D106" s="69"/>
      <c r="E106" s="69"/>
      <c r="F106" s="69"/>
      <c r="G106" s="69"/>
      <c r="H106" s="69"/>
      <c r="I106" s="69"/>
      <c r="J106" s="69"/>
      <c r="K106" s="69"/>
      <c r="L106" s="69"/>
      <c r="M106" s="69"/>
      <c r="N106" s="69"/>
      <c r="O106" s="69"/>
      <c r="P106" s="69"/>
      <c r="Q106" s="100"/>
    </row>
    <row r="107" spans="1:17" ht="39" x14ac:dyDescent="0.35">
      <c r="A107" s="99"/>
      <c r="B107" s="69"/>
      <c r="C107" s="200" t="s">
        <v>4118</v>
      </c>
      <c r="D107" s="200" t="s">
        <v>4251</v>
      </c>
      <c r="E107" s="69"/>
      <c r="F107" s="69"/>
      <c r="G107" s="69"/>
      <c r="H107" s="69"/>
      <c r="I107" s="69"/>
      <c r="J107" s="69"/>
      <c r="K107" s="69"/>
      <c r="L107" s="69"/>
      <c r="M107" s="69"/>
      <c r="N107" s="69"/>
      <c r="O107" s="69"/>
      <c r="P107" s="69"/>
      <c r="Q107" s="100"/>
    </row>
    <row r="108" spans="1:17" x14ac:dyDescent="0.35">
      <c r="A108" s="99"/>
      <c r="B108" s="3395" t="s">
        <v>3663</v>
      </c>
      <c r="C108" s="330" t="s">
        <v>3298</v>
      </c>
      <c r="D108" s="101">
        <v>10</v>
      </c>
      <c r="E108" s="69"/>
      <c r="F108" s="69"/>
      <c r="G108" s="69"/>
      <c r="H108" s="69"/>
      <c r="I108" s="69"/>
      <c r="J108" s="69"/>
      <c r="K108" s="69"/>
      <c r="L108" s="69"/>
      <c r="M108" s="69"/>
      <c r="N108" s="69"/>
      <c r="O108" s="69"/>
      <c r="P108" s="69"/>
      <c r="Q108" s="100"/>
    </row>
    <row r="109" spans="1:17" x14ac:dyDescent="0.35">
      <c r="A109" s="99"/>
      <c r="B109" s="3395"/>
      <c r="C109" s="330" t="s">
        <v>4241</v>
      </c>
      <c r="D109" s="101">
        <v>13</v>
      </c>
      <c r="E109" s="69"/>
      <c r="F109" s="69"/>
      <c r="G109" s="69"/>
      <c r="H109" s="69"/>
      <c r="I109" s="69"/>
      <c r="J109" s="69"/>
      <c r="K109" s="69"/>
      <c r="L109" s="69"/>
      <c r="M109" s="69"/>
      <c r="N109" s="69"/>
      <c r="O109" s="69"/>
      <c r="P109" s="69"/>
      <c r="Q109" s="100"/>
    </row>
    <row r="110" spans="1:17" x14ac:dyDescent="0.35">
      <c r="A110" s="99"/>
      <c r="B110" s="3395"/>
      <c r="C110" s="330" t="s">
        <v>4252</v>
      </c>
      <c r="D110" s="101">
        <v>13</v>
      </c>
      <c r="E110" s="69"/>
      <c r="F110" s="69"/>
      <c r="G110" s="69"/>
      <c r="H110" s="69"/>
      <c r="I110" s="69"/>
      <c r="J110" s="69"/>
      <c r="K110" s="69"/>
      <c r="L110" s="69"/>
      <c r="M110" s="69"/>
      <c r="N110" s="69"/>
      <c r="O110" s="69"/>
      <c r="P110" s="69"/>
      <c r="Q110" s="100"/>
    </row>
    <row r="111" spans="1:17" x14ac:dyDescent="0.35">
      <c r="A111" s="99"/>
      <c r="B111" s="3395" t="s">
        <v>3174</v>
      </c>
      <c r="C111" s="330" t="s">
        <v>3298</v>
      </c>
      <c r="D111" s="101">
        <v>10</v>
      </c>
      <c r="E111" s="69"/>
      <c r="F111" s="69"/>
      <c r="G111" s="69"/>
      <c r="H111" s="69"/>
      <c r="I111" s="69"/>
      <c r="J111" s="69"/>
      <c r="K111" s="69"/>
      <c r="L111" s="69"/>
      <c r="M111" s="69"/>
      <c r="N111" s="69"/>
      <c r="O111" s="69"/>
      <c r="P111" s="69"/>
      <c r="Q111" s="100"/>
    </row>
    <row r="112" spans="1:17" x14ac:dyDescent="0.35">
      <c r="A112" s="99"/>
      <c r="B112" s="3395"/>
      <c r="C112" s="330" t="s">
        <v>4241</v>
      </c>
      <c r="D112" s="101">
        <v>13</v>
      </c>
      <c r="E112" s="69"/>
      <c r="F112" s="69"/>
      <c r="G112" s="69"/>
      <c r="H112" s="69"/>
      <c r="I112" s="69"/>
      <c r="J112" s="69"/>
      <c r="K112" s="69"/>
      <c r="L112" s="69"/>
      <c r="M112" s="69"/>
      <c r="N112" s="69"/>
      <c r="O112" s="69"/>
      <c r="P112" s="69"/>
      <c r="Q112" s="100"/>
    </row>
    <row r="113" spans="1:17" x14ac:dyDescent="0.35">
      <c r="A113" s="99"/>
      <c r="B113" s="3395"/>
      <c r="C113" s="330" t="s">
        <v>4252</v>
      </c>
      <c r="D113" s="101">
        <v>14</v>
      </c>
      <c r="E113" s="69"/>
      <c r="F113" s="69"/>
      <c r="G113" s="69"/>
      <c r="H113" s="69"/>
      <c r="I113" s="69"/>
      <c r="J113" s="69"/>
      <c r="K113" s="69"/>
      <c r="L113" s="69"/>
      <c r="M113" s="69"/>
      <c r="N113" s="69"/>
      <c r="O113" s="69"/>
      <c r="P113" s="69"/>
      <c r="Q113" s="100"/>
    </row>
    <row r="114" spans="1:17" x14ac:dyDescent="0.35">
      <c r="A114" s="99"/>
      <c r="B114" s="2882" t="s">
        <v>4434</v>
      </c>
      <c r="C114" s="2883" t="s">
        <v>1284</v>
      </c>
      <c r="D114" s="2681">
        <v>10.5</v>
      </c>
      <c r="E114" s="69"/>
      <c r="F114" s="69"/>
      <c r="G114" s="69"/>
      <c r="H114" s="69"/>
      <c r="I114" s="69"/>
      <c r="J114" s="69"/>
      <c r="K114" s="69"/>
      <c r="L114" s="69"/>
      <c r="M114" s="69"/>
      <c r="N114" s="69"/>
      <c r="O114" s="69"/>
      <c r="P114" s="69"/>
      <c r="Q114" s="100"/>
    </row>
    <row r="115" spans="1:17" x14ac:dyDescent="0.35">
      <c r="A115" s="99"/>
      <c r="B115" s="69"/>
      <c r="C115" s="69"/>
      <c r="D115" s="69"/>
      <c r="E115" s="69"/>
      <c r="F115" s="69"/>
      <c r="G115" s="69"/>
      <c r="H115" s="69"/>
      <c r="I115" s="69"/>
      <c r="J115" s="69"/>
      <c r="K115" s="69"/>
      <c r="L115" s="69"/>
      <c r="M115" s="69"/>
      <c r="N115" s="69"/>
      <c r="O115" s="69"/>
      <c r="P115" s="69"/>
      <c r="Q115" s="100"/>
    </row>
    <row r="116" spans="1:17" x14ac:dyDescent="0.35">
      <c r="A116" s="99"/>
      <c r="B116" s="293" t="s">
        <v>4245</v>
      </c>
      <c r="C116" s="69"/>
      <c r="D116" s="69"/>
      <c r="E116" s="69"/>
      <c r="F116" s="69"/>
      <c r="G116" s="69"/>
      <c r="H116" s="69"/>
      <c r="I116" s="69"/>
      <c r="J116" s="69"/>
      <c r="K116" s="69"/>
      <c r="L116" s="69"/>
      <c r="M116" s="69"/>
      <c r="N116" s="69"/>
      <c r="O116" s="69"/>
      <c r="P116" s="69"/>
      <c r="Q116" s="100"/>
    </row>
    <row r="117" spans="1:17" x14ac:dyDescent="0.35">
      <c r="A117" s="99"/>
      <c r="B117" s="49" t="s">
        <v>1529</v>
      </c>
      <c r="C117" s="69"/>
      <c r="D117" s="69"/>
      <c r="E117" s="69"/>
      <c r="F117" s="69"/>
      <c r="G117" s="69"/>
      <c r="H117" s="69"/>
      <c r="I117" s="69"/>
      <c r="J117" s="69"/>
      <c r="K117" s="69"/>
      <c r="L117" s="69"/>
      <c r="M117" s="69"/>
      <c r="N117" s="69"/>
      <c r="O117" s="69"/>
      <c r="P117" s="69"/>
      <c r="Q117" s="100"/>
    </row>
    <row r="118" spans="1:17" x14ac:dyDescent="0.35">
      <c r="A118" s="99"/>
      <c r="B118" s="49" t="s">
        <v>1566</v>
      </c>
      <c r="C118" s="69"/>
      <c r="D118" s="69"/>
      <c r="E118" s="69"/>
      <c r="F118" s="69"/>
      <c r="G118" s="69"/>
      <c r="H118" s="69"/>
      <c r="I118" s="69"/>
      <c r="J118" s="69"/>
      <c r="K118" s="69"/>
      <c r="L118" s="69"/>
      <c r="M118" s="69"/>
      <c r="N118" s="69"/>
      <c r="O118" s="69"/>
      <c r="P118" s="69"/>
      <c r="Q118" s="100"/>
    </row>
    <row r="119" spans="1:17" x14ac:dyDescent="0.35">
      <c r="A119" s="99"/>
      <c r="B119" s="69"/>
      <c r="C119" s="69"/>
      <c r="D119" s="69"/>
      <c r="E119" s="69"/>
      <c r="F119" s="69"/>
      <c r="G119" s="69"/>
      <c r="H119" s="69"/>
      <c r="I119" s="69"/>
      <c r="J119" s="69"/>
      <c r="K119" s="69"/>
      <c r="L119" s="69"/>
      <c r="M119" s="69"/>
      <c r="N119" s="69"/>
      <c r="O119" s="69"/>
      <c r="P119" s="69"/>
      <c r="Q119" s="100"/>
    </row>
    <row r="120" spans="1:17" x14ac:dyDescent="0.35">
      <c r="A120" s="99"/>
      <c r="B120" s="293" t="s">
        <v>4372</v>
      </c>
      <c r="C120" s="69"/>
      <c r="D120" s="69"/>
      <c r="E120" s="69"/>
      <c r="F120" s="69"/>
      <c r="G120" s="69"/>
      <c r="H120" s="69"/>
      <c r="I120" s="69"/>
      <c r="J120" s="69"/>
      <c r="K120" s="69"/>
      <c r="L120" s="69"/>
      <c r="M120" s="69"/>
      <c r="N120" s="69"/>
      <c r="O120" s="69"/>
      <c r="P120" s="69"/>
      <c r="Q120" s="100"/>
    </row>
    <row r="121" spans="1:17" x14ac:dyDescent="0.35">
      <c r="A121" s="99"/>
      <c r="B121" s="49" t="s">
        <v>3224</v>
      </c>
      <c r="C121" s="69"/>
      <c r="D121" s="69"/>
      <c r="E121" s="69"/>
      <c r="F121" s="69"/>
      <c r="G121" s="69"/>
      <c r="H121" s="69"/>
      <c r="I121" s="69"/>
      <c r="J121" s="69"/>
      <c r="K121" s="69"/>
      <c r="L121" s="69"/>
      <c r="M121" s="69"/>
      <c r="N121" s="69"/>
      <c r="O121" s="69"/>
      <c r="P121" s="69"/>
      <c r="Q121" s="100"/>
    </row>
    <row r="122" spans="1:17" x14ac:dyDescent="0.35">
      <c r="A122" s="99"/>
      <c r="B122" s="49" t="s">
        <v>3557</v>
      </c>
      <c r="C122" s="69"/>
      <c r="D122" s="69"/>
      <c r="E122" s="69"/>
      <c r="F122" s="69"/>
      <c r="G122" s="69"/>
      <c r="H122" s="69"/>
      <c r="I122" s="69"/>
      <c r="J122" s="69"/>
      <c r="K122" s="69"/>
      <c r="L122" s="69"/>
      <c r="M122" s="69"/>
      <c r="N122" s="69"/>
      <c r="O122" s="69"/>
      <c r="P122" s="69"/>
      <c r="Q122" s="100"/>
    </row>
    <row r="123" spans="1:17" x14ac:dyDescent="0.35">
      <c r="A123" s="99"/>
      <c r="B123" s="69"/>
      <c r="C123" s="69"/>
      <c r="D123" s="69"/>
      <c r="E123" s="69"/>
      <c r="F123" s="69"/>
      <c r="G123" s="69"/>
      <c r="H123" s="69"/>
      <c r="I123" s="69"/>
      <c r="J123" s="69"/>
      <c r="K123" s="69"/>
      <c r="L123" s="69"/>
      <c r="M123" s="69"/>
      <c r="N123" s="69"/>
      <c r="O123" s="69"/>
      <c r="P123" s="69"/>
      <c r="Q123" s="100"/>
    </row>
    <row r="124" spans="1:17" x14ac:dyDescent="0.35">
      <c r="A124" s="99"/>
      <c r="B124" s="293" t="s">
        <v>4499</v>
      </c>
      <c r="C124" s="49"/>
      <c r="D124" s="69"/>
      <c r="E124" s="69"/>
      <c r="F124" s="69"/>
      <c r="G124" s="69"/>
      <c r="H124" s="69"/>
      <c r="I124" s="69"/>
      <c r="J124" s="69"/>
      <c r="K124" s="69"/>
      <c r="L124" s="69"/>
      <c r="M124" s="69"/>
      <c r="N124" s="69"/>
      <c r="O124" s="69"/>
      <c r="P124" s="69"/>
      <c r="Q124" s="100"/>
    </row>
    <row r="125" spans="1:17" x14ac:dyDescent="0.35">
      <c r="A125" s="99"/>
      <c r="B125" s="49" t="s">
        <v>4500</v>
      </c>
      <c r="C125" s="49"/>
      <c r="D125" s="69"/>
      <c r="E125" s="69"/>
      <c r="F125" s="69"/>
      <c r="G125" s="69"/>
      <c r="H125" s="69"/>
      <c r="I125" s="69"/>
      <c r="J125" s="69"/>
      <c r="K125" s="69"/>
      <c r="L125" s="69"/>
      <c r="M125" s="69"/>
      <c r="N125" s="69"/>
      <c r="O125" s="69"/>
      <c r="P125" s="69"/>
      <c r="Q125" s="100"/>
    </row>
    <row r="126" spans="1:17" x14ac:dyDescent="0.35">
      <c r="A126" s="99"/>
      <c r="B126" s="49" t="s">
        <v>4501</v>
      </c>
      <c r="C126" s="49"/>
      <c r="D126" s="69"/>
      <c r="E126" s="69"/>
      <c r="F126" s="69"/>
      <c r="G126" s="69"/>
      <c r="H126" s="69"/>
      <c r="I126" s="69"/>
      <c r="J126" s="69"/>
      <c r="K126" s="69"/>
      <c r="L126" s="69"/>
      <c r="M126" s="69"/>
      <c r="N126" s="69"/>
      <c r="O126" s="69"/>
      <c r="P126" s="69"/>
      <c r="Q126" s="100"/>
    </row>
    <row r="127" spans="1:17" x14ac:dyDescent="0.35">
      <c r="A127" s="99"/>
      <c r="B127" s="69"/>
      <c r="C127" s="69"/>
      <c r="D127" s="69"/>
      <c r="E127" s="69"/>
      <c r="F127" s="69"/>
      <c r="G127" s="69"/>
      <c r="H127" s="69"/>
      <c r="I127" s="69"/>
      <c r="J127" s="69"/>
      <c r="K127" s="69"/>
      <c r="L127" s="69"/>
      <c r="M127" s="69"/>
      <c r="N127" s="69"/>
      <c r="O127" s="69"/>
      <c r="P127" s="69"/>
      <c r="Q127" s="100"/>
    </row>
    <row r="128" spans="1:17" x14ac:dyDescent="0.35">
      <c r="A128" s="99"/>
      <c r="B128" s="69"/>
      <c r="C128" s="69"/>
      <c r="D128" s="69"/>
      <c r="E128" s="69"/>
      <c r="F128" s="69"/>
      <c r="G128" s="69"/>
      <c r="H128" s="69"/>
      <c r="I128" s="69"/>
      <c r="J128" s="69"/>
      <c r="K128" s="69"/>
      <c r="L128" s="69"/>
      <c r="M128" s="69"/>
      <c r="N128" s="69"/>
      <c r="O128" s="69"/>
      <c r="P128" s="69"/>
      <c r="Q128" s="100"/>
    </row>
    <row r="129" spans="1:17" x14ac:dyDescent="0.35">
      <c r="A129" s="99"/>
      <c r="B129" s="3399" t="s">
        <v>4373</v>
      </c>
      <c r="C129" s="3357"/>
      <c r="D129" s="3208"/>
      <c r="E129" s="69"/>
      <c r="F129" s="69"/>
      <c r="G129" s="69"/>
      <c r="H129" s="69"/>
      <c r="I129" s="69"/>
      <c r="J129" s="69"/>
      <c r="K129" s="69"/>
      <c r="L129" s="69"/>
      <c r="M129" s="69"/>
      <c r="N129" s="69"/>
      <c r="O129" s="69"/>
      <c r="P129" s="69"/>
      <c r="Q129" s="100"/>
    </row>
    <row r="130" spans="1:17" x14ac:dyDescent="0.35">
      <c r="A130" s="99"/>
      <c r="B130" s="49" t="s">
        <v>4433</v>
      </c>
      <c r="C130" s="49" t="s">
        <v>4331</v>
      </c>
      <c r="D130" s="291">
        <v>0.68</v>
      </c>
      <c r="E130" s="69"/>
      <c r="F130" s="69"/>
      <c r="G130" s="69"/>
      <c r="H130" s="69"/>
      <c r="I130" s="69"/>
      <c r="J130" s="69"/>
      <c r="K130" s="69"/>
      <c r="L130" s="69"/>
      <c r="M130" s="69"/>
      <c r="N130" s="69"/>
      <c r="O130" s="69"/>
      <c r="P130" s="69"/>
      <c r="Q130" s="100"/>
    </row>
    <row r="131" spans="1:17" x14ac:dyDescent="0.35">
      <c r="A131" s="99"/>
      <c r="B131" s="49" t="s">
        <v>3174</v>
      </c>
      <c r="C131" s="49" t="s">
        <v>4331</v>
      </c>
      <c r="D131" s="291">
        <v>0.72</v>
      </c>
      <c r="E131" s="69"/>
      <c r="F131" s="69"/>
      <c r="G131" s="69"/>
      <c r="H131" s="69"/>
      <c r="I131" s="69"/>
      <c r="J131" s="69"/>
      <c r="K131" s="69"/>
      <c r="L131" s="69"/>
      <c r="M131" s="69"/>
      <c r="N131" s="69"/>
      <c r="O131" s="69"/>
      <c r="P131" s="69"/>
      <c r="Q131" s="100"/>
    </row>
    <row r="132" spans="1:17" x14ac:dyDescent="0.35">
      <c r="A132" s="99"/>
      <c r="B132" s="49" t="s">
        <v>4393</v>
      </c>
      <c r="C132" s="49" t="s">
        <v>4374</v>
      </c>
      <c r="D132" s="291">
        <v>0.46600000000000003</v>
      </c>
      <c r="E132" s="69"/>
      <c r="F132" s="69"/>
      <c r="G132" s="69"/>
      <c r="H132" s="69"/>
      <c r="I132" s="69"/>
      <c r="J132" s="69"/>
      <c r="K132" s="69"/>
      <c r="L132" s="69"/>
      <c r="M132" s="69"/>
      <c r="N132" s="69"/>
      <c r="O132" s="69"/>
      <c r="P132" s="69"/>
      <c r="Q132" s="100"/>
    </row>
    <row r="133" spans="1:17" x14ac:dyDescent="0.35">
      <c r="A133" s="99"/>
      <c r="B133" s="69"/>
      <c r="C133" s="69"/>
      <c r="D133" s="69"/>
      <c r="E133" s="69"/>
      <c r="F133" s="69"/>
      <c r="G133" s="69"/>
      <c r="H133" s="69"/>
      <c r="I133" s="69"/>
      <c r="J133" s="69"/>
      <c r="K133" s="69"/>
      <c r="L133" s="69"/>
      <c r="M133" s="69"/>
      <c r="N133" s="69"/>
      <c r="O133" s="69"/>
      <c r="P133" s="69"/>
      <c r="Q133" s="100"/>
    </row>
    <row r="134" spans="1:17" x14ac:dyDescent="0.35">
      <c r="A134" s="99"/>
      <c r="B134" s="69"/>
      <c r="C134" s="69"/>
      <c r="D134" s="69"/>
      <c r="E134" s="69"/>
      <c r="F134" s="69"/>
      <c r="G134" s="69"/>
      <c r="H134" s="69"/>
      <c r="I134" s="69"/>
      <c r="J134" s="69"/>
      <c r="K134" s="69"/>
      <c r="L134" s="69"/>
      <c r="M134" s="69"/>
      <c r="N134" s="69"/>
      <c r="O134" s="69"/>
      <c r="P134" s="69"/>
      <c r="Q134" s="100"/>
    </row>
    <row r="135" spans="1:17" x14ac:dyDescent="0.35">
      <c r="A135" s="99"/>
      <c r="B135" s="69"/>
      <c r="C135" s="69"/>
      <c r="D135" s="69"/>
      <c r="E135" s="69"/>
      <c r="F135" s="69"/>
      <c r="G135" s="69"/>
      <c r="H135" s="69"/>
      <c r="I135" s="69"/>
      <c r="J135" s="69"/>
      <c r="K135" s="69"/>
      <c r="L135" s="69"/>
      <c r="M135" s="69"/>
      <c r="N135" s="69"/>
      <c r="O135" s="69"/>
      <c r="P135" s="69"/>
      <c r="Q135" s="100"/>
    </row>
    <row r="136" spans="1:17" x14ac:dyDescent="0.35">
      <c r="A136" s="99"/>
      <c r="B136" s="293" t="s">
        <v>4502</v>
      </c>
      <c r="C136" s="49"/>
      <c r="D136" s="69"/>
      <c r="E136" s="69"/>
      <c r="F136" s="69"/>
      <c r="G136" s="69"/>
      <c r="H136" s="69"/>
      <c r="I136" s="69"/>
      <c r="J136" s="69"/>
      <c r="K136" s="69"/>
      <c r="L136" s="69"/>
      <c r="M136" s="69"/>
      <c r="N136" s="69"/>
      <c r="O136" s="69"/>
      <c r="P136" s="69"/>
      <c r="Q136" s="100"/>
    </row>
    <row r="137" spans="1:17" x14ac:dyDescent="0.35">
      <c r="A137" s="99"/>
      <c r="B137" s="49" t="s">
        <v>4503</v>
      </c>
      <c r="C137" s="247">
        <v>0.59499022041057836</v>
      </c>
      <c r="D137" s="69"/>
      <c r="E137" s="69"/>
      <c r="F137" s="69"/>
      <c r="G137" s="69"/>
      <c r="H137" s="69"/>
      <c r="I137" s="69"/>
      <c r="J137" s="69"/>
      <c r="K137" s="69"/>
      <c r="L137" s="69"/>
      <c r="M137" s="69"/>
      <c r="N137" s="69"/>
      <c r="O137" s="69"/>
      <c r="P137" s="69"/>
      <c r="Q137" s="100"/>
    </row>
    <row r="138" spans="1:17" x14ac:dyDescent="0.35">
      <c r="A138" s="99"/>
      <c r="B138" s="49" t="s">
        <v>4504</v>
      </c>
      <c r="C138" s="247">
        <v>0.40500977958942158</v>
      </c>
      <c r="D138" s="69"/>
      <c r="E138" s="69"/>
      <c r="F138" s="69"/>
      <c r="G138" s="69"/>
      <c r="H138" s="69"/>
      <c r="I138" s="69"/>
      <c r="J138" s="69"/>
      <c r="K138" s="69"/>
      <c r="L138" s="69"/>
      <c r="M138" s="69"/>
      <c r="N138" s="69"/>
      <c r="O138" s="69"/>
      <c r="P138" s="69"/>
      <c r="Q138" s="100"/>
    </row>
    <row r="139" spans="1:17" x14ac:dyDescent="0.35">
      <c r="A139" s="99"/>
      <c r="B139" s="49"/>
      <c r="C139" s="49"/>
      <c r="D139" s="69"/>
      <c r="E139" s="69"/>
      <c r="F139" s="69"/>
      <c r="G139" s="69"/>
      <c r="H139" s="69"/>
      <c r="I139" s="69"/>
      <c r="J139" s="69"/>
      <c r="K139" s="69"/>
      <c r="L139" s="69"/>
      <c r="M139" s="69"/>
      <c r="N139" s="69"/>
      <c r="O139" s="69"/>
      <c r="P139" s="69"/>
      <c r="Q139" s="100"/>
    </row>
    <row r="140" spans="1:17" x14ac:dyDescent="0.35">
      <c r="A140" s="99"/>
      <c r="B140" s="49" t="s">
        <v>4505</v>
      </c>
      <c r="C140" s="49"/>
      <c r="D140" s="69"/>
      <c r="E140" s="69"/>
      <c r="F140" s="69"/>
      <c r="G140" s="69"/>
      <c r="H140" s="69"/>
      <c r="I140" s="69"/>
      <c r="J140" s="69"/>
      <c r="K140" s="69"/>
      <c r="L140" s="69"/>
      <c r="M140" s="69"/>
      <c r="N140" s="69"/>
      <c r="O140" s="69"/>
      <c r="P140" s="69"/>
      <c r="Q140" s="100"/>
    </row>
    <row r="141" spans="1:17" x14ac:dyDescent="0.35">
      <c r="A141" s="99"/>
      <c r="B141" s="49" t="s">
        <v>4506</v>
      </c>
      <c r="C141" s="49"/>
      <c r="D141" s="69"/>
      <c r="E141" s="69"/>
      <c r="F141" s="69"/>
      <c r="G141" s="69"/>
      <c r="H141" s="69"/>
      <c r="I141" s="69"/>
      <c r="J141" s="69"/>
      <c r="K141" s="69"/>
      <c r="L141" s="69"/>
      <c r="M141" s="69"/>
      <c r="N141" s="69"/>
      <c r="O141" s="69"/>
      <c r="P141" s="69"/>
      <c r="Q141" s="100"/>
    </row>
    <row r="142" spans="1:17" x14ac:dyDescent="0.35">
      <c r="A142" s="99"/>
      <c r="B142" s="49" t="s">
        <v>4507</v>
      </c>
      <c r="C142" s="49"/>
      <c r="D142" s="69"/>
      <c r="E142" s="69"/>
      <c r="F142" s="69"/>
      <c r="G142" s="69"/>
      <c r="H142" s="69"/>
      <c r="I142" s="69"/>
      <c r="J142" s="69"/>
      <c r="K142" s="69"/>
      <c r="L142" s="69"/>
      <c r="M142" s="69"/>
      <c r="N142" s="69"/>
      <c r="O142" s="69"/>
      <c r="P142" s="69"/>
      <c r="Q142" s="100"/>
    </row>
    <row r="143" spans="1:17" x14ac:dyDescent="0.35">
      <c r="A143" s="99"/>
      <c r="B143" s="49" t="s">
        <v>4508</v>
      </c>
      <c r="C143" s="49"/>
      <c r="D143" s="69"/>
      <c r="E143" s="69"/>
      <c r="F143" s="69"/>
      <c r="G143" s="69"/>
      <c r="H143" s="69"/>
      <c r="I143" s="69"/>
      <c r="J143" s="69"/>
      <c r="K143" s="69"/>
      <c r="L143" s="69"/>
      <c r="M143" s="69"/>
      <c r="N143" s="69"/>
      <c r="O143" s="69"/>
      <c r="P143" s="69"/>
      <c r="Q143" s="100"/>
    </row>
    <row r="144" spans="1:17" x14ac:dyDescent="0.35">
      <c r="A144" s="99"/>
      <c r="B144" s="69"/>
      <c r="C144" s="69"/>
      <c r="D144" s="69"/>
      <c r="E144" s="69"/>
      <c r="F144" s="69"/>
      <c r="G144" s="69"/>
      <c r="H144" s="69"/>
      <c r="I144" s="69"/>
      <c r="J144" s="69"/>
      <c r="K144" s="69"/>
      <c r="L144" s="69"/>
      <c r="M144" s="69"/>
      <c r="N144" s="69"/>
      <c r="O144" s="69"/>
      <c r="P144" s="69"/>
      <c r="Q144" s="100"/>
    </row>
    <row r="145" spans="1:17" x14ac:dyDescent="0.35">
      <c r="A145" s="99"/>
      <c r="B145" s="69"/>
      <c r="C145" s="69"/>
      <c r="D145" s="69"/>
      <c r="E145" s="69"/>
      <c r="F145" s="69"/>
      <c r="G145" s="69"/>
      <c r="H145" s="69"/>
      <c r="I145" s="69"/>
      <c r="J145" s="69"/>
      <c r="K145" s="69"/>
      <c r="L145" s="69"/>
      <c r="M145" s="69"/>
      <c r="N145" s="69"/>
      <c r="O145" s="69"/>
      <c r="P145" s="69"/>
      <c r="Q145" s="100"/>
    </row>
    <row r="146" spans="1:17" x14ac:dyDescent="0.35">
      <c r="A146" s="99"/>
      <c r="B146" s="69"/>
      <c r="C146" s="69"/>
      <c r="D146" s="69"/>
      <c r="E146" s="69"/>
      <c r="F146" s="69"/>
      <c r="G146" s="69"/>
      <c r="H146" s="69"/>
      <c r="I146" s="69"/>
      <c r="J146" s="69"/>
      <c r="K146" s="69"/>
      <c r="L146" s="69"/>
      <c r="M146" s="69"/>
      <c r="N146" s="69"/>
      <c r="O146" s="69"/>
      <c r="P146" s="69"/>
      <c r="Q146" s="100"/>
    </row>
    <row r="147" spans="1:17" x14ac:dyDescent="0.35">
      <c r="A147" s="99"/>
      <c r="B147" s="69"/>
      <c r="C147" s="69"/>
      <c r="D147" s="69"/>
      <c r="E147" s="69"/>
      <c r="F147" s="69"/>
      <c r="G147" s="69"/>
      <c r="H147" s="69"/>
      <c r="I147" s="69"/>
      <c r="J147" s="69"/>
      <c r="K147" s="69"/>
      <c r="L147" s="69"/>
      <c r="M147" s="69"/>
      <c r="N147" s="69"/>
      <c r="O147" s="69"/>
      <c r="P147" s="69"/>
      <c r="Q147" s="100"/>
    </row>
    <row r="148" spans="1:17" x14ac:dyDescent="0.35">
      <c r="A148" s="99"/>
      <c r="B148" s="69"/>
      <c r="C148" s="69"/>
      <c r="D148" s="69"/>
      <c r="E148" s="69"/>
      <c r="F148" s="69"/>
      <c r="G148" s="69"/>
      <c r="H148" s="69"/>
      <c r="I148" s="69"/>
      <c r="J148" s="69"/>
      <c r="K148" s="69"/>
      <c r="L148" s="69"/>
      <c r="M148" s="69"/>
      <c r="N148" s="69"/>
      <c r="O148" s="69"/>
      <c r="P148" s="69"/>
      <c r="Q148" s="100"/>
    </row>
    <row r="149" spans="1:17" x14ac:dyDescent="0.35">
      <c r="A149" s="99"/>
      <c r="B149" s="69"/>
      <c r="C149" s="69"/>
      <c r="D149" s="69"/>
      <c r="E149" s="69"/>
      <c r="F149" s="69"/>
      <c r="G149" s="69"/>
      <c r="H149" s="69"/>
      <c r="I149" s="69"/>
      <c r="J149" s="69"/>
      <c r="K149" s="69"/>
      <c r="L149" s="69"/>
      <c r="M149" s="69"/>
      <c r="N149" s="69"/>
      <c r="O149" s="69"/>
      <c r="P149" s="69"/>
      <c r="Q149" s="100"/>
    </row>
    <row r="150" spans="1:17" x14ac:dyDescent="0.35">
      <c r="A150" s="99"/>
      <c r="B150" s="69"/>
      <c r="C150" s="69"/>
      <c r="D150" s="69"/>
      <c r="E150" s="69"/>
      <c r="F150" s="69"/>
      <c r="G150" s="69"/>
      <c r="H150" s="69"/>
      <c r="I150" s="69"/>
      <c r="J150" s="69"/>
      <c r="K150" s="69"/>
      <c r="L150" s="69"/>
      <c r="M150" s="69"/>
      <c r="N150" s="69"/>
      <c r="O150" s="69"/>
      <c r="P150" s="69"/>
      <c r="Q150" s="100"/>
    </row>
    <row r="151" spans="1:17" x14ac:dyDescent="0.35">
      <c r="A151" s="99"/>
      <c r="B151" s="69"/>
      <c r="C151" s="69"/>
      <c r="D151" s="69"/>
      <c r="E151" s="69"/>
      <c r="F151" s="69"/>
      <c r="G151" s="69"/>
      <c r="H151" s="69"/>
      <c r="I151" s="69"/>
      <c r="J151" s="69"/>
      <c r="K151" s="69"/>
      <c r="L151" s="69"/>
      <c r="M151" s="69"/>
      <c r="N151" s="69"/>
      <c r="O151" s="69"/>
      <c r="P151" s="69"/>
      <c r="Q151" s="100"/>
    </row>
    <row r="152" spans="1:17" x14ac:dyDescent="0.35">
      <c r="A152" s="99"/>
      <c r="B152" s="69"/>
      <c r="C152" s="69"/>
      <c r="D152" s="69"/>
      <c r="E152" s="69"/>
      <c r="F152" s="69"/>
      <c r="G152" s="69"/>
      <c r="H152" s="69"/>
      <c r="I152" s="69"/>
      <c r="J152" s="69"/>
      <c r="K152" s="69"/>
      <c r="L152" s="69"/>
      <c r="M152" s="69"/>
      <c r="N152" s="69"/>
      <c r="O152" s="69"/>
      <c r="P152" s="69"/>
      <c r="Q152" s="100"/>
    </row>
    <row r="153" spans="1:17" ht="15" thickBot="1" x14ac:dyDescent="0.4">
      <c r="A153" s="261"/>
      <c r="B153" s="161"/>
      <c r="C153" s="161"/>
      <c r="D153" s="161"/>
      <c r="E153" s="161"/>
      <c r="F153" s="161"/>
      <c r="G153" s="161"/>
      <c r="H153" s="161"/>
      <c r="I153" s="161"/>
      <c r="J153" s="161"/>
      <c r="K153" s="161"/>
      <c r="L153" s="161"/>
      <c r="M153" s="161"/>
      <c r="N153" s="161"/>
      <c r="O153" s="161"/>
      <c r="P153" s="161"/>
      <c r="Q153" s="163"/>
    </row>
  </sheetData>
  <customSheetViews>
    <customSheetView guid="{ECD6FE6A-9548-414E-B8AA-6998703C57E0}" scale="70" showPageBreaks="1" fitToPage="1" printArea="1" hiddenRows="1" view="pageBreakPreview" topLeftCell="A13">
      <selection activeCell="J64" sqref="J64"/>
      <pageMargins left="0" right="0" top="0" bottom="0" header="0" footer="0"/>
      <pageSetup scale="22" orientation="landscape" r:id="rId1"/>
    </customSheetView>
    <customSheetView guid="{11DE45F5-F478-4ED6-8DFF-12002C22A637}" scale="70" showPageBreaks="1" fitToPage="1" printArea="1" hiddenRows="1" view="pageBreakPreview" topLeftCell="A13">
      <selection activeCell="J64" sqref="J64"/>
      <pageMargins left="0" right="0" top="0" bottom="0" header="0" footer="0"/>
      <pageSetup scale="22" orientation="landscape" r:id="rId2"/>
    </customSheetView>
  </customSheetViews>
  <mergeCells count="8">
    <mergeCell ref="B111:B113"/>
    <mergeCell ref="B129:D129"/>
    <mergeCell ref="V2:X2"/>
    <mergeCell ref="Z2:AB2"/>
    <mergeCell ref="AC2:AV2"/>
    <mergeCell ref="I92:I94"/>
    <mergeCell ref="B101:D101"/>
    <mergeCell ref="B108:B110"/>
  </mergeCells>
  <phoneticPr fontId="152" type="noConversion"/>
  <dataValidations count="15">
    <dataValidation type="list" allowBlank="1" showInputMessage="1" showErrorMessage="1" sqref="L4:L28" xr:uid="{00000000-0002-0000-3000-000001000000}">
      <formula1>Fuel1</formula1>
    </dataValidation>
    <dataValidation type="list" allowBlank="1" showInputMessage="1" showErrorMessage="1" sqref="S4:S28" xr:uid="{00000000-0002-0000-3000-000004000000}">
      <formula1>#REF!</formula1>
    </dataValidation>
    <dataValidation type="list" allowBlank="1" showInputMessage="1" showErrorMessage="1" sqref="P4:P24" xr:uid="{00000000-0002-0000-3000-000005000000}">
      <formula1>$D$125:$D$126</formula1>
    </dataValidation>
    <dataValidation type="list" allowBlank="1" showInputMessage="1" showErrorMessage="1" sqref="N4:N24" xr:uid="{00000000-0002-0000-3000-000006000000}">
      <formula1>$C$108:$C$110</formula1>
    </dataValidation>
    <dataValidation type="list" allowBlank="1" showInputMessage="1" showErrorMessage="1" sqref="M4:M24" xr:uid="{00000000-0002-0000-3000-000007000000}">
      <formula1>$B$130:$B$132</formula1>
    </dataValidation>
    <dataValidation type="list" allowBlank="1" showInputMessage="1" showErrorMessage="1" sqref="O25:O28" xr:uid="{00000000-0002-0000-3000-00000C000000}">
      <formula1>IF($P$3=$I$100,$J$100,$J$97:$J$99)</formula1>
    </dataValidation>
    <dataValidation type="list" allowBlank="1" showInputMessage="1" showErrorMessage="1" sqref="M25:M28" xr:uid="{00000000-0002-0000-3000-00000D000000}">
      <formula1>$B$135:$B$137</formula1>
    </dataValidation>
    <dataValidation type="list" allowBlank="1" showInputMessage="1" showErrorMessage="1" sqref="N25:N28" xr:uid="{00000000-0002-0000-3000-00000E000000}">
      <formula1>$C$113:$C$116</formula1>
    </dataValidation>
    <dataValidation type="list" allowBlank="1" showInputMessage="1" showErrorMessage="1" sqref="P25:P28" xr:uid="{00000000-0002-0000-3000-00000F000000}">
      <formula1>$D$130:$D$131</formula1>
    </dataValidation>
    <dataValidation type="list" allowBlank="1" showInputMessage="1" showErrorMessage="1" sqref="K25:K28" xr:uid="{00000000-0002-0000-3000-000010000000}">
      <formula1>$B$97:$B$100</formula1>
    </dataValidation>
    <dataValidation type="list" allowBlank="1" showInputMessage="1" showErrorMessage="1" sqref="K4:K24" xr:uid="{00000000-0002-0000-3000-000000000000}">
      <formula1>$B$92:$B$98</formula1>
    </dataValidation>
    <dataValidation type="list" allowBlank="1" showInputMessage="1" showErrorMessage="1" sqref="O4:O24" xr:uid="{00000000-0002-0000-3000-000008000000}">
      <formula1>IF($P$4=$I$95,$J$95,$J$92:$J$94)</formula1>
    </dataValidation>
    <dataValidation type="list" allowBlank="1" showInputMessage="1" showErrorMessage="1" sqref="U4:U28" xr:uid="{00000000-0002-0000-3000-000009000000}">
      <formula1>ArSl1</formula1>
    </dataValidation>
    <dataValidation type="list" allowBlank="1" showInputMessage="1" showErrorMessage="1" sqref="R4:R28" xr:uid="{00000000-0002-0000-3000-00000A000000}">
      <formula1>Unit1</formula1>
    </dataValidation>
    <dataValidation type="list" allowBlank="1" showInputMessage="1" showErrorMessage="1" sqref="D4:D28" xr:uid="{DAB21D4D-53BF-4E3E-8285-73B77208B20C}">
      <formula1>MeasureType</formula1>
    </dataValidation>
  </dataValidations>
  <hyperlinks>
    <hyperlink ref="A1" location="'Measure-Level Adjustments'!Print_Titles" display="Measure Level Tab" xr:uid="{5DB47209-81AE-4FA8-BB08-AC0F3EF35494}"/>
  </hyperlinks>
  <pageMargins left="0.7" right="0.7" top="0.75" bottom="0.75" header="0.3" footer="0.3"/>
  <pageSetup scale="19" orientation="landscape"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A638A-8620-4E68-8572-E126A0398B36}">
  <sheetPr>
    <tabColor rgb="FF00B050"/>
  </sheetPr>
  <dimension ref="A1:BC227"/>
  <sheetViews>
    <sheetView zoomScale="90" zoomScaleNormal="90" workbookViewId="0">
      <pane xSplit="1" ySplit="3" topLeftCell="O4" activePane="bottomRight" state="frozen"/>
      <selection pane="topRight" activeCell="B1" sqref="B1"/>
      <selection pane="bottomLeft" activeCell="A4" sqref="A4"/>
      <selection pane="bottomRight" activeCell="AA15" sqref="AA15"/>
    </sheetView>
  </sheetViews>
  <sheetFormatPr defaultRowHeight="14.5" x14ac:dyDescent="0.35"/>
  <cols>
    <col min="1" max="1" width="8.453125" customWidth="1"/>
    <col min="2" max="2" width="56.54296875" customWidth="1"/>
    <col min="3" max="3" width="29.1796875" customWidth="1"/>
    <col min="4" max="4" width="17" customWidth="1"/>
    <col min="6" max="6" width="11.453125" customWidth="1"/>
    <col min="7" max="7" width="15.26953125" customWidth="1"/>
    <col min="8" max="8" width="13.81640625" customWidth="1"/>
    <col min="9" max="9" width="10.54296875" customWidth="1"/>
    <col min="10" max="10" width="10.453125" customWidth="1"/>
    <col min="12" max="12" width="11.1796875" customWidth="1"/>
    <col min="13" max="13" width="10.54296875" customWidth="1"/>
    <col min="14" max="14" width="10.81640625" customWidth="1"/>
    <col min="16" max="16" width="11.1796875" bestFit="1" customWidth="1"/>
    <col min="17" max="17" width="14.81640625" customWidth="1"/>
    <col min="18" max="18" width="10.54296875" customWidth="1"/>
    <col min="19" max="19" width="8.26953125" customWidth="1"/>
    <col min="20" max="20" width="17.54296875" customWidth="1"/>
    <col min="21" max="21" width="16.1796875" bestFit="1" customWidth="1"/>
    <col min="22" max="22" width="17" bestFit="1" customWidth="1"/>
    <col min="23" max="23" width="11.1796875" customWidth="1"/>
    <col min="24" max="24" width="13" customWidth="1"/>
    <col min="25" max="25" width="11.1796875" customWidth="1"/>
    <col min="26" max="26" width="10" bestFit="1" customWidth="1"/>
    <col min="27" max="30" width="11" customWidth="1"/>
    <col min="31" max="31" width="12.7265625" customWidth="1"/>
    <col min="32" max="32" width="12.81640625" customWidth="1"/>
    <col min="46" max="46" width="10.81640625" customWidth="1"/>
    <col min="51" max="51" width="11.26953125" customWidth="1"/>
  </cols>
  <sheetData>
    <row r="1" spans="1:55" x14ac:dyDescent="0.35">
      <c r="A1" s="1799" t="s">
        <v>1031</v>
      </c>
    </row>
    <row r="2" spans="1:55" x14ac:dyDescent="0.35">
      <c r="A2" s="2060"/>
      <c r="B2" s="2293" t="s">
        <v>4509</v>
      </c>
      <c r="C2" s="2112"/>
      <c r="D2" s="2112"/>
      <c r="E2" s="2060"/>
      <c r="F2" s="2060"/>
      <c r="G2" s="2060"/>
      <c r="H2" s="2060"/>
      <c r="I2" s="2060"/>
      <c r="J2" s="2060"/>
      <c r="K2" s="2060"/>
      <c r="L2" s="2060"/>
      <c r="M2" s="2060"/>
      <c r="N2" s="2060"/>
      <c r="O2" s="2060"/>
      <c r="P2" s="2060"/>
      <c r="Q2" s="2060"/>
      <c r="R2" s="2060"/>
      <c r="S2" s="2060"/>
      <c r="T2" s="2060"/>
      <c r="U2" s="2060"/>
      <c r="V2" s="3153" t="s">
        <v>1032</v>
      </c>
      <c r="W2" s="3153"/>
      <c r="X2" s="3153"/>
      <c r="Y2" s="3153" t="s">
        <v>1033</v>
      </c>
      <c r="Z2" s="3153"/>
      <c r="AA2" s="3154"/>
      <c r="AB2" s="3154" t="s">
        <v>1350</v>
      </c>
      <c r="AC2" s="3318"/>
      <c r="AD2" s="3318"/>
      <c r="AE2" s="2993" t="s">
        <v>1158</v>
      </c>
      <c r="AF2" s="2993"/>
      <c r="AG2" s="2993"/>
      <c r="AH2" s="2993"/>
      <c r="AI2" s="2993"/>
      <c r="AJ2" s="2993"/>
      <c r="AK2" s="2993"/>
      <c r="AL2" s="2993"/>
      <c r="AM2" s="2993"/>
      <c r="AN2" s="2993"/>
      <c r="AO2" s="2993"/>
      <c r="AP2" s="2993"/>
      <c r="AQ2" s="2993"/>
      <c r="AR2" s="2993"/>
      <c r="AS2" s="2993"/>
      <c r="AT2" s="2993"/>
      <c r="AU2" s="2993"/>
      <c r="AV2" s="2993"/>
      <c r="AW2" s="2993"/>
      <c r="AX2" s="2993"/>
      <c r="AY2" s="2294"/>
    </row>
    <row r="3" spans="1:55" ht="58" x14ac:dyDescent="0.35">
      <c r="A3" s="1972" t="s">
        <v>1035</v>
      </c>
      <c r="B3" s="1972" t="s">
        <v>155</v>
      </c>
      <c r="C3" s="1822" t="s">
        <v>1036</v>
      </c>
      <c r="D3" s="1822" t="s">
        <v>1752</v>
      </c>
      <c r="E3" s="1821" t="s">
        <v>1038</v>
      </c>
      <c r="F3" s="1821" t="s">
        <v>4437</v>
      </c>
      <c r="G3" s="1821" t="s">
        <v>4510</v>
      </c>
      <c r="H3" s="1821" t="s">
        <v>4439</v>
      </c>
      <c r="I3" s="1821" t="s">
        <v>4440</v>
      </c>
      <c r="J3" s="1821" t="s">
        <v>4511</v>
      </c>
      <c r="K3" s="1821" t="s">
        <v>1684</v>
      </c>
      <c r="L3" s="1821" t="s">
        <v>2810</v>
      </c>
      <c r="M3" s="1821" t="s">
        <v>4117</v>
      </c>
      <c r="N3" s="1821" t="s">
        <v>4118</v>
      </c>
      <c r="O3" s="1821" t="s">
        <v>4119</v>
      </c>
      <c r="P3" s="1821" t="s">
        <v>4120</v>
      </c>
      <c r="Q3" s="1821" t="s">
        <v>1570</v>
      </c>
      <c r="R3" s="1821" t="s">
        <v>1360</v>
      </c>
      <c r="S3" s="1821" t="s">
        <v>4442</v>
      </c>
      <c r="T3" s="1821" t="s">
        <v>1039</v>
      </c>
      <c r="U3" s="1972" t="s">
        <v>1041</v>
      </c>
      <c r="V3" s="48" t="s">
        <v>1044</v>
      </c>
      <c r="W3" s="48" t="s">
        <v>1045</v>
      </c>
      <c r="X3" s="48" t="s">
        <v>1046</v>
      </c>
      <c r="Y3" s="2320" t="s">
        <v>3183</v>
      </c>
      <c r="Z3" s="48" t="s">
        <v>1044</v>
      </c>
      <c r="AA3" s="48" t="s">
        <v>1045</v>
      </c>
      <c r="AB3" s="2180" t="s">
        <v>1046</v>
      </c>
      <c r="AC3" s="48" t="s">
        <v>1355</v>
      </c>
      <c r="AD3" s="48" t="s">
        <v>1083</v>
      </c>
      <c r="AE3" s="48" t="s">
        <v>1357</v>
      </c>
      <c r="AF3" s="349" t="s">
        <v>4315</v>
      </c>
      <c r="AG3" s="269" t="s">
        <v>4443</v>
      </c>
      <c r="AH3" s="349" t="s">
        <v>4444</v>
      </c>
      <c r="AI3" s="349" t="s">
        <v>4512</v>
      </c>
      <c r="AJ3" s="349" t="s">
        <v>4390</v>
      </c>
      <c r="AK3" s="349" t="s">
        <v>4446</v>
      </c>
      <c r="AL3" s="349" t="s">
        <v>4513</v>
      </c>
      <c r="AM3" s="301" t="s">
        <v>4448</v>
      </c>
      <c r="AN3" s="301" t="s">
        <v>4514</v>
      </c>
      <c r="AO3" s="349" t="s">
        <v>4129</v>
      </c>
      <c r="AP3" s="349" t="s">
        <v>4130</v>
      </c>
      <c r="AQ3" s="349" t="s">
        <v>3200</v>
      </c>
      <c r="AR3" s="349" t="s">
        <v>4133</v>
      </c>
      <c r="AS3" s="301" t="s">
        <v>4450</v>
      </c>
      <c r="AT3" s="301" t="s">
        <v>4515</v>
      </c>
      <c r="AU3" s="349" t="s">
        <v>4135</v>
      </c>
      <c r="AV3" s="349" t="s">
        <v>1179</v>
      </c>
      <c r="AW3" s="269" t="s">
        <v>4516</v>
      </c>
      <c r="AX3" s="269" t="s">
        <v>4517</v>
      </c>
      <c r="AY3" s="349" t="s">
        <v>3210</v>
      </c>
      <c r="AZ3" s="2295" t="s">
        <v>4368</v>
      </c>
      <c r="BA3" s="233"/>
      <c r="BB3" s="233"/>
      <c r="BC3" s="233"/>
    </row>
    <row r="4" spans="1:55" ht="29" x14ac:dyDescent="0.35">
      <c r="A4" s="966" t="s">
        <v>901</v>
      </c>
      <c r="B4" s="2152" t="str">
        <f>IF(AND(I4=0,J4&gt;1),$B$114&amp;" Insulation",IF(AND(I4&gt;10,J4=0),$B$115&amp;" Insulation",B2))&amp;IF(I4&gt;0,", wall: R"&amp;H4&amp;" to R"&amp;F4&amp;", wall area = "&amp;I4&amp;" ft, ",""&amp;IF(J4&gt;0," Rim/Band Joist: R"&amp;H4&amp;" to R"&amp;G4&amp;", Rim/Band Joist area = "&amp;J4&amp;" ft, ",""))&amp;R4&amp;" Joint"</f>
        <v>Rim/Band Joist Insulation Rim/Band Joist: R5 to R13, Rim/Band Joist area = 100 ft, Single Family Joint</v>
      </c>
      <c r="C4" s="143" t="s">
        <v>900</v>
      </c>
      <c r="D4" s="1902" t="s">
        <v>4142</v>
      </c>
      <c r="E4" s="1188" t="s">
        <v>1632</v>
      </c>
      <c r="F4" s="2296">
        <v>13</v>
      </c>
      <c r="G4" s="2296">
        <v>13</v>
      </c>
      <c r="H4" s="2296">
        <v>5</v>
      </c>
      <c r="I4" s="2296">
        <v>0</v>
      </c>
      <c r="J4" s="2296">
        <v>100</v>
      </c>
      <c r="K4" s="50" t="s">
        <v>1696</v>
      </c>
      <c r="L4" s="60" t="s">
        <v>1529</v>
      </c>
      <c r="M4" s="60" t="s">
        <v>4433</v>
      </c>
      <c r="N4" s="60" t="s">
        <v>3298</v>
      </c>
      <c r="O4" s="50" t="s">
        <v>3298</v>
      </c>
      <c r="P4" s="50" t="s">
        <v>3174</v>
      </c>
      <c r="Q4" s="2297"/>
      <c r="R4" s="60" t="s">
        <v>3318</v>
      </c>
      <c r="S4" s="60" t="s">
        <v>4331</v>
      </c>
      <c r="T4" s="2640">
        <f>IF(AB4/X4&gt;$B$70,$B$70,AB4/X4)</f>
        <v>20</v>
      </c>
      <c r="U4" s="146" t="s">
        <v>3222</v>
      </c>
      <c r="V4" s="2153"/>
      <c r="W4" s="2165"/>
      <c r="X4" s="2153">
        <f>IF(L4=$B$106,(((1/AJ4-1/AI4)*AL4*(1-AN4))*24*AR4)/(AT4*100067)*AW4,AJ23)</f>
        <v>11.944575595889214</v>
      </c>
      <c r="Y4" s="2733">
        <f>IF(L4=$B$106,(((1/AJ4-1/AI4)*AL4*(1-AN4))*24*AR4)/(0.72*100067)*AW4,AJ23)</f>
        <v>11.944575595889214</v>
      </c>
      <c r="Z4" s="2153"/>
      <c r="AA4" s="2165"/>
      <c r="AB4" s="2767">
        <f>X4*10+Y4*10</f>
        <v>238.89151191778427</v>
      </c>
      <c r="AC4" s="147"/>
      <c r="AD4" s="147"/>
      <c r="AE4" s="147"/>
      <c r="AF4" s="1">
        <f>IF(M4=$B$119,((((1/AJ4-1/AI4)*AL4*(1-AN4))*24*AO4*AP4)/(1000*AQ4)*AX4),0)</f>
        <v>14.51342769230769</v>
      </c>
      <c r="AG4" s="1">
        <f>IF(L4=$B$107,((((1/AJ4-1/AI4)*AL4*(1-AN4))*24*AR4)/(AS4*3412)*AW4),X4*0.0314*29.3*$B$67)</f>
        <v>11.758495830511094</v>
      </c>
      <c r="AH4" s="270">
        <f t="shared" ref="AH4:AL7" si="0">F4</f>
        <v>13</v>
      </c>
      <c r="AI4" s="270">
        <f t="shared" si="0"/>
        <v>13</v>
      </c>
      <c r="AJ4" s="270">
        <f t="shared" si="0"/>
        <v>5</v>
      </c>
      <c r="AK4" s="270">
        <f t="shared" si="0"/>
        <v>0</v>
      </c>
      <c r="AL4" s="270">
        <f t="shared" si="0"/>
        <v>100</v>
      </c>
      <c r="AM4" s="235">
        <f>+$B$42</f>
        <v>0.25</v>
      </c>
      <c r="AN4" s="235">
        <f>+$B$41</f>
        <v>0.05</v>
      </c>
      <c r="AO4" s="1">
        <f>VLOOKUP(K4,$B$78:$C$84,2,FALSE)</f>
        <v>862</v>
      </c>
      <c r="AP4" s="1">
        <f>+$B$46</f>
        <v>0.75</v>
      </c>
      <c r="AQ4" s="1">
        <f>IF(OR(M4=$B$119,M4=$B$121),VLOOKUP(N4,$C$98:$D$100,2,FALSE),IF(M4=$B$120,VLOOKUP(N4,$C$101:$D$103,2,FALSE)))</f>
        <v>10</v>
      </c>
      <c r="AR4" s="1">
        <f>VLOOKUP(K4,$B$78:$D$84,3,FALSE)</f>
        <v>5111.2999999999993</v>
      </c>
      <c r="AS4" s="1">
        <f>IF(P4=$I$81,$L$81,VLOOKUP(O4,$J$78:$L$80,3,FALSE))</f>
        <v>1.7</v>
      </c>
      <c r="AT4" s="235">
        <f>+$B$54</f>
        <v>0.72</v>
      </c>
      <c r="AU4" s="1">
        <f>VLOOKUP(K4,$B$78:$F$84,IF(R4=$B$110,4,5),FALSE)</f>
        <v>568.6</v>
      </c>
      <c r="AV4" s="2206">
        <f>IF(S4=$C$119, IF(M4=$B$119, $D$119, $D$120), $D$121)</f>
        <v>0.68</v>
      </c>
      <c r="AW4" s="2298">
        <v>0.6</v>
      </c>
      <c r="AX4" s="2298">
        <f>+$B$58</f>
        <v>0.8</v>
      </c>
      <c r="AY4" s="2206">
        <f>+$B$68</f>
        <v>3.1399999999999997E-2</v>
      </c>
      <c r="AZ4" t="s">
        <v>3625</v>
      </c>
      <c r="BA4" s="2324"/>
      <c r="BB4" s="2299"/>
    </row>
    <row r="5" spans="1:55" ht="29" x14ac:dyDescent="0.35">
      <c r="A5" s="966" t="s">
        <v>919</v>
      </c>
      <c r="B5" s="2152" t="s">
        <v>4518</v>
      </c>
      <c r="C5" s="143" t="s">
        <v>918</v>
      </c>
      <c r="D5" s="1902" t="s">
        <v>4142</v>
      </c>
      <c r="E5" s="1188" t="s">
        <v>1632</v>
      </c>
      <c r="F5" s="2296">
        <v>13</v>
      </c>
      <c r="G5" s="2296">
        <v>19</v>
      </c>
      <c r="H5" s="2296">
        <v>5</v>
      </c>
      <c r="I5" s="2296">
        <v>0</v>
      </c>
      <c r="J5" s="2296">
        <v>100</v>
      </c>
      <c r="K5" s="50" t="s">
        <v>1696</v>
      </c>
      <c r="L5" s="60" t="s">
        <v>1529</v>
      </c>
      <c r="M5" s="60" t="s">
        <v>4433</v>
      </c>
      <c r="N5" s="60" t="s">
        <v>3298</v>
      </c>
      <c r="O5" s="50" t="s">
        <v>3298</v>
      </c>
      <c r="P5" s="50" t="s">
        <v>3174</v>
      </c>
      <c r="Q5" s="2297"/>
      <c r="R5" s="60" t="s">
        <v>3318</v>
      </c>
      <c r="S5" s="60" t="s">
        <v>4331</v>
      </c>
      <c r="T5" s="2640">
        <f t="shared" ref="T5:T7" si="1">IF(AB5/X5&gt;$B$70,$B$70,AB5/X5)</f>
        <v>19.999999999999996</v>
      </c>
      <c r="U5" s="146" t="s">
        <v>3222</v>
      </c>
      <c r="V5" s="2153"/>
      <c r="W5" s="2165"/>
      <c r="X5" s="2153">
        <f>IF(L5=$B$106,(((1/AJ5-1/AI5)*AL5*(1-AN5))*24*AR5)/(AT5*100067)*AW5,AJ35)</f>
        <v>14.000961671469589</v>
      </c>
      <c r="Y5" s="2733">
        <f t="shared" ref="Y5:Y7" si="2">IF(L5=$B$106,(((1/AJ5-1/AI5)*AL5*(1-AN5))*24*AR5)/(0.72*100067)*AW5,AJ24)</f>
        <v>14.000961671469589</v>
      </c>
      <c r="Z5" s="2153"/>
      <c r="AA5" s="2165"/>
      <c r="AB5" s="2767">
        <f>X5*10+Y5*10</f>
        <v>280.01923342939176</v>
      </c>
      <c r="AC5" s="147"/>
      <c r="AD5" s="147"/>
      <c r="AE5" s="147"/>
      <c r="AF5" s="1">
        <f>IF(M5=$B$119,((((1/AJ5-1/AI5)*AL5*(1-AN5))*24*AO5*AP5)/(1000*AQ5)*AX5),0)</f>
        <v>17.012069052631581</v>
      </c>
      <c r="AG5" s="1">
        <f>IF(L5=$B$107,((((1/AJ5-1/AI5)*AL5*(1-AN5))*24*AR5)/(AS5*3412)*AW5),X5*0.0314*29.3*$B$67)</f>
        <v>13.782846289974435</v>
      </c>
      <c r="AH5" s="270">
        <f t="shared" si="0"/>
        <v>13</v>
      </c>
      <c r="AI5" s="270">
        <f t="shared" si="0"/>
        <v>19</v>
      </c>
      <c r="AJ5" s="270">
        <f t="shared" si="0"/>
        <v>5</v>
      </c>
      <c r="AK5" s="270">
        <f t="shared" si="0"/>
        <v>0</v>
      </c>
      <c r="AL5" s="270">
        <f t="shared" si="0"/>
        <v>100</v>
      </c>
      <c r="AM5" s="235">
        <f>+$B$42</f>
        <v>0.25</v>
      </c>
      <c r="AN5" s="235">
        <f>+$B$43</f>
        <v>7.0000000000000007E-2</v>
      </c>
      <c r="AO5" s="1">
        <f>VLOOKUP(K5,$B$78:$C$84,2,FALSE)</f>
        <v>862</v>
      </c>
      <c r="AP5" s="1">
        <f>+$B$46</f>
        <v>0.75</v>
      </c>
      <c r="AQ5" s="1">
        <f>IF(OR(M5=$B$119,M5=$B$121),VLOOKUP(N5,$C$98:$D$100,2,FALSE),IF(M5=$B$120,VLOOKUP(N5,$C$101:$D$103,2,FALSE)))</f>
        <v>10</v>
      </c>
      <c r="AR5" s="1">
        <f>VLOOKUP(K5,$B$78:$D$84,3,FALSE)</f>
        <v>5111.2999999999993</v>
      </c>
      <c r="AS5" s="1">
        <f>IF(P5=$I$81,$L$81,VLOOKUP(O5,$J$78:$L$80,3,FALSE))</f>
        <v>1.7</v>
      </c>
      <c r="AT5" s="235">
        <f>+$B$54</f>
        <v>0.72</v>
      </c>
      <c r="AU5" s="1">
        <f>VLOOKUP(K5,$B$78:$F$84,IF(R5=$B$110,4,5),FALSE)</f>
        <v>568.6</v>
      </c>
      <c r="AV5" s="2206">
        <f>IF(S5=$C$119, IF(M5=$B$119, $D$119, $D$120), $D$121)</f>
        <v>0.68</v>
      </c>
      <c r="AW5" s="2298">
        <v>0.6</v>
      </c>
      <c r="AX5" s="2298">
        <f>+$B$58</f>
        <v>0.8</v>
      </c>
      <c r="AY5" s="2206">
        <f>+$B$68</f>
        <v>3.1399999999999997E-2</v>
      </c>
    </row>
    <row r="6" spans="1:55" ht="29" x14ac:dyDescent="0.35">
      <c r="A6" s="2321" t="s">
        <v>793</v>
      </c>
      <c r="B6" s="2152" t="s">
        <v>4519</v>
      </c>
      <c r="C6" s="143" t="s">
        <v>792</v>
      </c>
      <c r="D6" s="1902" t="s">
        <v>4142</v>
      </c>
      <c r="E6" s="1188" t="s">
        <v>1632</v>
      </c>
      <c r="F6" s="2296">
        <v>13</v>
      </c>
      <c r="G6" s="2296">
        <v>19</v>
      </c>
      <c r="H6" s="2296">
        <v>5</v>
      </c>
      <c r="I6" s="2296">
        <v>0</v>
      </c>
      <c r="J6" s="2296">
        <v>19</v>
      </c>
      <c r="K6" s="50" t="s">
        <v>1696</v>
      </c>
      <c r="L6" s="60" t="s">
        <v>1529</v>
      </c>
      <c r="M6" s="60" t="s">
        <v>4433</v>
      </c>
      <c r="N6" s="60" t="s">
        <v>3298</v>
      </c>
      <c r="O6" s="50" t="s">
        <v>3298</v>
      </c>
      <c r="P6" s="50" t="s">
        <v>3174</v>
      </c>
      <c r="Q6" s="2297"/>
      <c r="R6" s="60" t="s">
        <v>3318</v>
      </c>
      <c r="S6" s="60" t="s">
        <v>4331</v>
      </c>
      <c r="T6" s="2640">
        <f t="shared" si="1"/>
        <v>20</v>
      </c>
      <c r="U6" s="146" t="s">
        <v>3222</v>
      </c>
      <c r="V6" s="2153"/>
      <c r="W6" s="2165"/>
      <c r="X6" s="2153">
        <f>IF(L6=$B$106,(((1/AJ6-1/AI6)*AL6*(1-AN6))*24*AR6)/(AT6*100067)*AW6,AJ40)</f>
        <v>2.6601827175792221</v>
      </c>
      <c r="Y6" s="2733">
        <f t="shared" si="2"/>
        <v>2.6601827175792221</v>
      </c>
      <c r="Z6" s="2153"/>
      <c r="AA6" s="2165"/>
      <c r="AB6" s="2767">
        <f>X6*10+Y6*10</f>
        <v>53.20365435158444</v>
      </c>
      <c r="AC6" s="147"/>
      <c r="AD6" s="147"/>
      <c r="AF6" s="1">
        <f>IF(M6=$B$119,((((1/AJ6-1/AI6)*AL6*(1-AN6))*24*AO6*AP6)/(1000*AQ6)*AX6),0)</f>
        <v>3.2322931200000009</v>
      </c>
      <c r="AG6" s="1">
        <f>IF(L6=$B$107,((((1/AJ6-1/AI6)*AL6*(1-AN6))*24*AR6)/(AS6*3412)*AW6),X6*0.0314*29.3*$B$67)</f>
        <v>2.6187407950951425</v>
      </c>
      <c r="AH6" s="270">
        <f t="shared" si="0"/>
        <v>13</v>
      </c>
      <c r="AI6" s="270">
        <f t="shared" si="0"/>
        <v>19</v>
      </c>
      <c r="AJ6" s="270">
        <f t="shared" si="0"/>
        <v>5</v>
      </c>
      <c r="AK6" s="270">
        <f t="shared" si="0"/>
        <v>0</v>
      </c>
      <c r="AL6" s="270">
        <f t="shared" si="0"/>
        <v>19</v>
      </c>
      <c r="AM6" s="235">
        <f>+$B$42</f>
        <v>0.25</v>
      </c>
      <c r="AN6" s="235">
        <f>+$B$43</f>
        <v>7.0000000000000007E-2</v>
      </c>
      <c r="AO6" s="1">
        <f>VLOOKUP(K6,$B$78:$C$84,2,FALSE)</f>
        <v>862</v>
      </c>
      <c r="AP6" s="1">
        <f>+$B$46</f>
        <v>0.75</v>
      </c>
      <c r="AQ6" s="1">
        <f>IF(OR(M6=$B$119,M6=$B$121),VLOOKUP(N6,$C$98:$D$100,2,FALSE),IF(M6=$B$120,VLOOKUP(N6,$C$101:$D$103,2,FALSE)))</f>
        <v>10</v>
      </c>
      <c r="AR6" s="1">
        <f>VLOOKUP(K6,$B$78:$D$84,3,FALSE)</f>
        <v>5111.2999999999993</v>
      </c>
      <c r="AS6" s="1">
        <f>IF(P6=$I$81,$L$81,VLOOKUP(O6,$J$78:$L$80,3,FALSE))</f>
        <v>1.7</v>
      </c>
      <c r="AT6" s="235">
        <f>+$B$54</f>
        <v>0.72</v>
      </c>
      <c r="AU6" s="1">
        <f>VLOOKUP(K6,$B$78:$F$84,IF(R6=$B$110,4,5),FALSE)</f>
        <v>568.6</v>
      </c>
      <c r="AV6" s="2206">
        <f>IF(S6=$C$119, IF(M6=$B$119, $D$119, $D$120), $D$121)</f>
        <v>0.68</v>
      </c>
      <c r="AW6" s="2298">
        <v>0.6</v>
      </c>
      <c r="AX6" s="2298">
        <f>+$B$58</f>
        <v>0.8</v>
      </c>
      <c r="AY6" s="2206">
        <f>+$B$68</f>
        <v>3.1399999999999997E-2</v>
      </c>
      <c r="BA6" s="2299"/>
      <c r="BB6" s="2299"/>
    </row>
    <row r="7" spans="1:55" ht="29" x14ac:dyDescent="0.35">
      <c r="A7" s="2321" t="s">
        <v>837</v>
      </c>
      <c r="B7" s="2152" t="s">
        <v>4520</v>
      </c>
      <c r="C7" s="143" t="s">
        <v>836</v>
      </c>
      <c r="D7" s="1902" t="s">
        <v>4142</v>
      </c>
      <c r="E7" s="1188" t="s">
        <v>1632</v>
      </c>
      <c r="F7" s="2296">
        <v>13</v>
      </c>
      <c r="G7" s="2296">
        <v>19</v>
      </c>
      <c r="H7" s="2296">
        <v>5</v>
      </c>
      <c r="I7" s="2296">
        <v>0</v>
      </c>
      <c r="J7" s="2296">
        <v>107</v>
      </c>
      <c r="K7" s="50" t="s">
        <v>1696</v>
      </c>
      <c r="L7" s="60" t="s">
        <v>1529</v>
      </c>
      <c r="M7" s="60" t="s">
        <v>4433</v>
      </c>
      <c r="N7" s="60" t="s">
        <v>3298</v>
      </c>
      <c r="O7" s="50" t="s">
        <v>3298</v>
      </c>
      <c r="P7" s="50" t="s">
        <v>3174</v>
      </c>
      <c r="Q7" s="2297"/>
      <c r="R7" s="60" t="s">
        <v>3318</v>
      </c>
      <c r="S7" s="60" t="s">
        <v>4331</v>
      </c>
      <c r="T7" s="2640">
        <f t="shared" si="1"/>
        <v>20</v>
      </c>
      <c r="U7" s="146" t="s">
        <v>3222</v>
      </c>
      <c r="V7" s="2153"/>
      <c r="W7" s="2165"/>
      <c r="X7" s="2153">
        <f>IF(L7=$B$106,(((1/AJ7-1/AI7)*AL7*(1-AN7))*24*AR7)/(AT7*100067)*AW7,AJ41)</f>
        <v>14.98102898847246</v>
      </c>
      <c r="Y7" s="2733">
        <f t="shared" si="2"/>
        <v>14.98102898847246</v>
      </c>
      <c r="Z7" s="2153"/>
      <c r="AA7" s="2165"/>
      <c r="AB7" s="2767">
        <f>X7*10+Y7*10</f>
        <v>299.62057976944919</v>
      </c>
      <c r="AC7" s="147"/>
      <c r="AD7" s="147"/>
      <c r="AF7" s="1">
        <f>IF(M7=$B$119,((((1/AJ7-1/AI7)*AL7*(1-AN7))*24*AO7*AP7)/(1000*AQ7)*AX7),0)</f>
        <v>18.202913886315791</v>
      </c>
      <c r="AG7" s="1">
        <f>IF(L7=$B$107,((((1/AJ7-1/AI7)*AL7*(1-AN7))*24*AR7)/(AS7*3412)*AW7),X7*0.0314*29.3*$B$67)</f>
        <v>14.747645530272642</v>
      </c>
      <c r="AH7" s="270">
        <f t="shared" si="0"/>
        <v>13</v>
      </c>
      <c r="AI7" s="270">
        <f t="shared" si="0"/>
        <v>19</v>
      </c>
      <c r="AJ7" s="270">
        <f t="shared" si="0"/>
        <v>5</v>
      </c>
      <c r="AK7" s="270">
        <f t="shared" si="0"/>
        <v>0</v>
      </c>
      <c r="AL7" s="270">
        <f t="shared" si="0"/>
        <v>107</v>
      </c>
      <c r="AM7" s="235">
        <f>+$B$42</f>
        <v>0.25</v>
      </c>
      <c r="AN7" s="235">
        <f>+$B$43</f>
        <v>7.0000000000000007E-2</v>
      </c>
      <c r="AO7" s="1">
        <f>VLOOKUP(K7,$B$78:$C$84,2,FALSE)</f>
        <v>862</v>
      </c>
      <c r="AP7" s="1">
        <f>+$B$46</f>
        <v>0.75</v>
      </c>
      <c r="AQ7" s="1">
        <f>IF(OR(M7=$B$119,M7=$B$121),VLOOKUP(N7,$C$98:$D$100,2,FALSE),IF(M7=$B$120,VLOOKUP(N7,$C$101:$D$103,2,FALSE)))</f>
        <v>10</v>
      </c>
      <c r="AR7" s="1">
        <f>VLOOKUP(K7,$B$78:$D$84,3,FALSE)</f>
        <v>5111.2999999999993</v>
      </c>
      <c r="AS7" s="1">
        <f>IF(P7=$I$81,$L$81,VLOOKUP(O7,$J$78:$L$80,3,FALSE))</f>
        <v>1.7</v>
      </c>
      <c r="AT7" s="235">
        <f>+$B$54</f>
        <v>0.72</v>
      </c>
      <c r="AU7" s="1">
        <f>VLOOKUP(K7,$B$78:$F$84,IF(R7=$B$110,4,5),FALSE)</f>
        <v>568.6</v>
      </c>
      <c r="AV7" s="2206">
        <f>IF(S7=$C$119, IF(M7=$B$119, $D$119, $D$120), $D$121)</f>
        <v>0.68</v>
      </c>
      <c r="AW7" s="2298">
        <v>0.6</v>
      </c>
      <c r="AX7" s="2298">
        <f>+$B$58</f>
        <v>0.8</v>
      </c>
      <c r="AY7" s="2206">
        <f>+$B$68</f>
        <v>3.1399999999999997E-2</v>
      </c>
      <c r="BA7" s="2299"/>
      <c r="BB7" s="2299"/>
    </row>
    <row r="8" spans="1:55" x14ac:dyDescent="0.35">
      <c r="A8" s="2301"/>
      <c r="B8" s="143"/>
      <c r="C8" s="143"/>
      <c r="D8" s="143"/>
      <c r="F8" s="2296"/>
      <c r="G8" s="2300"/>
      <c r="H8" s="2300"/>
      <c r="K8" s="50"/>
      <c r="L8" s="2300"/>
      <c r="M8" s="60"/>
      <c r="N8" s="60"/>
      <c r="O8" s="50"/>
      <c r="P8" s="50"/>
      <c r="Q8" s="2297"/>
      <c r="R8" s="60"/>
      <c r="T8" s="2302"/>
      <c r="V8" s="147"/>
      <c r="W8" s="147"/>
      <c r="X8" s="147"/>
      <c r="Y8" s="147"/>
      <c r="Z8" s="147"/>
      <c r="AA8" s="147"/>
    </row>
    <row r="9" spans="1:55" x14ac:dyDescent="0.35">
      <c r="A9" s="461"/>
      <c r="B9" s="143"/>
      <c r="C9" s="143"/>
      <c r="D9" s="143"/>
      <c r="F9" s="2296"/>
      <c r="G9" s="2300"/>
      <c r="H9" s="2300"/>
      <c r="J9" s="355"/>
      <c r="K9" s="50"/>
      <c r="L9" s="2300"/>
      <c r="M9" s="60"/>
      <c r="N9" s="60"/>
      <c r="O9" s="50"/>
      <c r="P9" s="50"/>
      <c r="Q9" s="2297"/>
      <c r="R9" s="60"/>
      <c r="T9" s="2302"/>
      <c r="V9" s="147"/>
      <c r="W9" s="147"/>
      <c r="X9" s="147"/>
      <c r="Y9" s="147"/>
      <c r="Z9" s="147"/>
      <c r="AA9" s="147"/>
    </row>
    <row r="10" spans="1:55" x14ac:dyDescent="0.35">
      <c r="A10" s="461"/>
      <c r="B10" s="143"/>
      <c r="C10" s="143"/>
      <c r="D10" s="143"/>
      <c r="F10" s="2296"/>
      <c r="G10" s="2300"/>
      <c r="H10" s="2300"/>
      <c r="K10" s="50"/>
      <c r="L10" s="2300"/>
      <c r="M10" s="60"/>
      <c r="N10" s="60"/>
      <c r="O10" s="50"/>
      <c r="P10" s="50"/>
      <c r="Q10" s="2297"/>
      <c r="R10" s="60"/>
      <c r="T10" s="2302"/>
      <c r="V10" s="147"/>
      <c r="W10" s="147"/>
      <c r="X10" s="147"/>
      <c r="Y10" s="147"/>
      <c r="Z10" s="147"/>
      <c r="AA10" s="147"/>
    </row>
    <row r="11" spans="1:55" x14ac:dyDescent="0.35">
      <c r="A11" s="461"/>
      <c r="B11" s="143"/>
      <c r="C11" s="143"/>
      <c r="D11" s="143"/>
      <c r="F11" s="2296"/>
      <c r="G11" s="2300"/>
      <c r="H11" s="2300"/>
      <c r="K11" s="50"/>
      <c r="L11" s="2300"/>
      <c r="M11" s="60"/>
      <c r="N11" s="60"/>
      <c r="O11" s="50"/>
      <c r="P11" s="50"/>
      <c r="Q11" s="2297"/>
      <c r="R11" s="60"/>
      <c r="T11" s="2302"/>
      <c r="V11" s="147"/>
      <c r="W11" s="147"/>
      <c r="X11" s="147"/>
      <c r="Y11" s="147"/>
      <c r="Z11" s="147"/>
      <c r="AA11" s="147"/>
    </row>
    <row r="12" spans="1:55" x14ac:dyDescent="0.35">
      <c r="A12" s="461"/>
      <c r="B12" s="143"/>
      <c r="C12" s="143"/>
      <c r="D12" s="143"/>
      <c r="F12" s="2296"/>
      <c r="G12" s="2300"/>
      <c r="H12" s="2300"/>
      <c r="K12" s="50"/>
      <c r="L12" s="2300"/>
      <c r="M12" s="60"/>
      <c r="N12" s="60"/>
      <c r="O12" s="50"/>
      <c r="P12" s="50"/>
      <c r="Q12" s="2297"/>
      <c r="R12" s="60"/>
      <c r="T12" s="2302"/>
      <c r="V12" s="147"/>
      <c r="W12" s="147"/>
      <c r="X12" s="147"/>
      <c r="Y12" s="147"/>
      <c r="Z12" s="147"/>
      <c r="AA12" s="147"/>
    </row>
    <row r="13" spans="1:55" x14ac:dyDescent="0.35">
      <c r="A13" s="461"/>
      <c r="B13" s="143"/>
      <c r="C13" s="143"/>
      <c r="D13" s="143"/>
      <c r="F13" s="2296"/>
      <c r="G13" s="2300"/>
      <c r="H13" s="2300"/>
      <c r="K13" s="50"/>
      <c r="L13" s="2300"/>
      <c r="M13" s="60"/>
      <c r="N13" s="60"/>
      <c r="O13" s="50"/>
      <c r="P13" s="50"/>
      <c r="Q13" s="2297"/>
      <c r="R13" s="60"/>
      <c r="T13" s="2302"/>
      <c r="V13" s="147"/>
      <c r="W13" s="147"/>
      <c r="X13" s="147"/>
      <c r="Y13" s="147"/>
      <c r="Z13" s="147"/>
      <c r="AA13" s="147"/>
    </row>
    <row r="14" spans="1:55" x14ac:dyDescent="0.35">
      <c r="A14" s="199"/>
      <c r="X14" s="147"/>
    </row>
    <row r="15" spans="1:55" ht="15" thickBot="1" x14ac:dyDescent="0.4">
      <c r="R15" s="355"/>
      <c r="X15" s="147"/>
    </row>
    <row r="16" spans="1:55" ht="15" thickBot="1" x14ac:dyDescent="0.4">
      <c r="A16" s="62" t="s">
        <v>1188</v>
      </c>
      <c r="B16" s="64"/>
      <c r="C16" s="64"/>
      <c r="D16" s="64"/>
      <c r="E16" s="64"/>
      <c r="F16" s="64"/>
      <c r="G16" s="64"/>
      <c r="H16" s="64"/>
      <c r="I16" s="64"/>
      <c r="J16" s="64"/>
      <c r="K16" s="64"/>
      <c r="L16" s="64"/>
      <c r="M16" s="65"/>
      <c r="R16" s="355"/>
    </row>
    <row r="17" spans="1:43" x14ac:dyDescent="0.35">
      <c r="A17" s="67" t="s">
        <v>4332</v>
      </c>
      <c r="B17" s="68"/>
      <c r="C17" s="69"/>
      <c r="D17" s="69"/>
      <c r="E17" s="69"/>
      <c r="F17" s="69"/>
      <c r="G17" s="69"/>
      <c r="H17" s="69"/>
      <c r="I17" s="69"/>
      <c r="J17" s="69"/>
      <c r="K17" s="69"/>
      <c r="L17" s="69"/>
      <c r="M17" s="70"/>
      <c r="R17" s="355"/>
    </row>
    <row r="18" spans="1:43" x14ac:dyDescent="0.35">
      <c r="A18" s="67" t="s">
        <v>4521</v>
      </c>
      <c r="B18" s="356"/>
      <c r="C18" s="69"/>
      <c r="D18" s="69"/>
      <c r="E18" s="69"/>
      <c r="F18" s="69"/>
      <c r="G18" s="69"/>
      <c r="H18" s="69"/>
      <c r="I18" s="69"/>
      <c r="J18" s="69"/>
      <c r="K18" s="69"/>
      <c r="L18" s="69"/>
      <c r="M18" s="70"/>
      <c r="R18" s="355"/>
    </row>
    <row r="19" spans="1:43" x14ac:dyDescent="0.35">
      <c r="A19" s="272" t="s">
        <v>4473</v>
      </c>
      <c r="B19" s="356"/>
      <c r="C19" s="69"/>
      <c r="D19" s="69"/>
      <c r="E19" s="69"/>
      <c r="F19" s="69"/>
      <c r="G19" s="69"/>
      <c r="H19" s="69"/>
      <c r="I19" s="69"/>
      <c r="J19" s="69"/>
      <c r="K19" s="69"/>
      <c r="L19" s="69"/>
      <c r="M19" s="70"/>
      <c r="R19" s="355"/>
    </row>
    <row r="20" spans="1:43" x14ac:dyDescent="0.35">
      <c r="A20" s="67" t="s">
        <v>4522</v>
      </c>
      <c r="B20" s="69"/>
      <c r="C20" s="69"/>
      <c r="D20" s="69"/>
      <c r="E20" s="69"/>
      <c r="F20" s="69"/>
      <c r="G20" s="69"/>
      <c r="H20" s="69"/>
      <c r="I20" s="69"/>
      <c r="J20" s="69"/>
      <c r="K20" s="69"/>
      <c r="L20" s="69"/>
      <c r="M20" s="70"/>
    </row>
    <row r="21" spans="1:43" x14ac:dyDescent="0.35">
      <c r="A21" s="272" t="s">
        <v>4523</v>
      </c>
      <c r="B21" s="69"/>
      <c r="C21" s="69"/>
      <c r="D21" s="69"/>
      <c r="E21" s="69"/>
      <c r="F21" s="69"/>
      <c r="G21" s="69"/>
      <c r="H21" s="69"/>
      <c r="I21" s="69"/>
      <c r="J21" s="69"/>
      <c r="K21" s="69"/>
      <c r="L21" s="69"/>
      <c r="M21" s="70"/>
    </row>
    <row r="22" spans="1:43" x14ac:dyDescent="0.35">
      <c r="A22" s="357" t="s">
        <v>4476</v>
      </c>
      <c r="B22" s="69"/>
      <c r="C22" s="69"/>
      <c r="D22" s="69"/>
      <c r="E22" s="69"/>
      <c r="F22" s="69"/>
      <c r="G22" s="69"/>
      <c r="H22" s="69"/>
      <c r="I22" s="69"/>
      <c r="J22" s="69"/>
      <c r="K22" s="69"/>
      <c r="L22" s="69"/>
      <c r="M22" s="70"/>
    </row>
    <row r="23" spans="1:43" ht="15" customHeight="1" x14ac:dyDescent="0.35">
      <c r="A23" s="67" t="s">
        <v>4477</v>
      </c>
      <c r="B23" s="68"/>
      <c r="C23" s="69"/>
      <c r="D23" s="69"/>
      <c r="E23" s="69"/>
      <c r="F23" s="69"/>
      <c r="G23" s="69"/>
      <c r="H23" s="69"/>
      <c r="I23" s="69"/>
      <c r="J23" s="69"/>
      <c r="K23" s="69"/>
      <c r="L23" s="69"/>
      <c r="M23" s="70"/>
      <c r="AQ23" s="523"/>
    </row>
    <row r="24" spans="1:43" ht="15" thickBot="1" x14ac:dyDescent="0.4">
      <c r="A24" s="71" t="s">
        <v>4524</v>
      </c>
      <c r="B24" s="72"/>
      <c r="C24" s="72"/>
      <c r="D24" s="72"/>
      <c r="E24" s="72"/>
      <c r="F24" s="72"/>
      <c r="G24" s="72"/>
      <c r="H24" s="72"/>
      <c r="I24" s="72"/>
      <c r="J24" s="72"/>
      <c r="K24" s="72"/>
      <c r="L24" s="72"/>
      <c r="M24" s="73"/>
      <c r="AQ24" s="899"/>
    </row>
    <row r="25" spans="1:43" ht="15" thickBot="1" x14ac:dyDescent="0.4">
      <c r="A25" s="55"/>
      <c r="T25" s="3132" t="s">
        <v>2119</v>
      </c>
      <c r="U25" s="3133"/>
      <c r="V25" s="3134"/>
      <c r="AQ25" s="2142"/>
    </row>
    <row r="26" spans="1:43" ht="15" thickBot="1" x14ac:dyDescent="0.4">
      <c r="A26" s="74" t="s">
        <v>1285</v>
      </c>
      <c r="B26" s="75" t="s">
        <v>1199</v>
      </c>
      <c r="C26" s="76" t="s">
        <v>1082</v>
      </c>
      <c r="D26" s="64"/>
      <c r="E26" s="64"/>
      <c r="F26" s="64"/>
      <c r="G26" s="64"/>
      <c r="H26" s="64"/>
      <c r="I26" s="64"/>
      <c r="J26" s="64"/>
      <c r="K26" s="64"/>
      <c r="L26" s="64"/>
      <c r="M26" s="64"/>
      <c r="N26" s="64"/>
      <c r="O26" s="64"/>
      <c r="P26" s="64"/>
      <c r="Q26" s="64"/>
      <c r="R26" s="64"/>
      <c r="S26" s="64"/>
      <c r="T26" s="154" t="s">
        <v>4048</v>
      </c>
      <c r="U26" s="1955" t="s">
        <v>1390</v>
      </c>
      <c r="V26" s="1812" t="s">
        <v>2121</v>
      </c>
      <c r="AQ26" s="2142"/>
    </row>
    <row r="27" spans="1:43" x14ac:dyDescent="0.35">
      <c r="A27" s="358" t="s">
        <v>4315</v>
      </c>
      <c r="B27" s="359"/>
      <c r="C27" s="79" t="s">
        <v>4337</v>
      </c>
      <c r="D27" s="80"/>
      <c r="E27" s="80"/>
      <c r="F27" s="80"/>
      <c r="G27" s="80"/>
      <c r="H27" s="80"/>
      <c r="I27" s="80"/>
      <c r="J27" s="80"/>
      <c r="K27" s="80"/>
      <c r="L27" s="80"/>
      <c r="M27" s="80"/>
      <c r="N27" s="80"/>
      <c r="O27" s="80"/>
      <c r="P27" s="80"/>
      <c r="Q27" s="80"/>
      <c r="R27" s="80"/>
      <c r="S27" s="80"/>
      <c r="T27" s="93" t="s">
        <v>4525</v>
      </c>
      <c r="U27" s="2303" t="s">
        <v>1284</v>
      </c>
      <c r="V27" s="81" t="s">
        <v>4051</v>
      </c>
      <c r="AQ27" s="2142"/>
    </row>
    <row r="28" spans="1:43" ht="15" thickBot="1" x14ac:dyDescent="0.4">
      <c r="A28" s="360"/>
      <c r="B28" s="361"/>
      <c r="C28" s="84" t="s">
        <v>4526</v>
      </c>
      <c r="D28" s="85"/>
      <c r="E28" s="85"/>
      <c r="F28" s="85"/>
      <c r="G28" s="85"/>
      <c r="H28" s="85"/>
      <c r="I28" s="85"/>
      <c r="J28" s="85"/>
      <c r="K28" s="85"/>
      <c r="L28" s="85"/>
      <c r="M28" s="85"/>
      <c r="N28" s="85"/>
      <c r="O28" s="85"/>
      <c r="P28" s="85"/>
      <c r="Q28" s="85"/>
      <c r="R28" s="85"/>
      <c r="S28" s="85"/>
      <c r="T28" s="88"/>
      <c r="U28" s="2304"/>
      <c r="V28" s="86"/>
      <c r="AQ28" s="2142"/>
    </row>
    <row r="29" spans="1:43" x14ac:dyDescent="0.35">
      <c r="A29" s="358" t="s">
        <v>4443</v>
      </c>
      <c r="B29" s="362"/>
      <c r="C29" s="79" t="s">
        <v>4339</v>
      </c>
      <c r="D29" s="80"/>
      <c r="E29" s="80"/>
      <c r="F29" s="80"/>
      <c r="G29" s="80"/>
      <c r="H29" s="80"/>
      <c r="I29" s="80"/>
      <c r="J29" s="80"/>
      <c r="K29" s="80"/>
      <c r="L29" s="80"/>
      <c r="M29" s="80"/>
      <c r="N29" s="80"/>
      <c r="O29" s="80"/>
      <c r="P29" s="80"/>
      <c r="Q29" s="80"/>
      <c r="R29" s="80"/>
      <c r="S29" s="80"/>
      <c r="T29" s="93" t="s">
        <v>4525</v>
      </c>
      <c r="U29" s="2303" t="s">
        <v>1284</v>
      </c>
      <c r="V29" s="81" t="s">
        <v>4051</v>
      </c>
      <c r="AQ29" s="2142"/>
    </row>
    <row r="30" spans="1:43" ht="15" thickBot="1" x14ac:dyDescent="0.4">
      <c r="A30" s="360"/>
      <c r="B30" s="361"/>
      <c r="C30" s="84" t="s">
        <v>4527</v>
      </c>
      <c r="D30" s="85"/>
      <c r="E30" s="85"/>
      <c r="F30" s="85"/>
      <c r="G30" s="85"/>
      <c r="H30" s="85"/>
      <c r="I30" s="85"/>
      <c r="J30" s="85"/>
      <c r="K30" s="85"/>
      <c r="L30" s="85"/>
      <c r="M30" s="85"/>
      <c r="N30" s="85"/>
      <c r="O30" s="85"/>
      <c r="P30" s="85"/>
      <c r="Q30" s="85"/>
      <c r="R30" s="85"/>
      <c r="S30" s="85"/>
      <c r="T30" s="88"/>
      <c r="U30" s="2304"/>
      <c r="V30" s="86"/>
      <c r="AQ30" s="2142"/>
    </row>
    <row r="31" spans="1:43" x14ac:dyDescent="0.35">
      <c r="A31" s="358" t="s">
        <v>4444</v>
      </c>
      <c r="B31" s="363"/>
      <c r="C31" s="79" t="s">
        <v>4482</v>
      </c>
      <c r="D31" s="80"/>
      <c r="E31" s="80"/>
      <c r="F31" s="80"/>
      <c r="G31" s="80"/>
      <c r="H31" s="80"/>
      <c r="I31" s="80"/>
      <c r="J31" s="80"/>
      <c r="K31" s="80"/>
      <c r="L31" s="80"/>
      <c r="M31" s="80"/>
      <c r="N31" s="80"/>
      <c r="O31" s="80"/>
      <c r="P31" s="80"/>
      <c r="Q31" s="80"/>
      <c r="R31" s="80"/>
      <c r="S31" s="80"/>
      <c r="T31" s="93" t="s">
        <v>105</v>
      </c>
      <c r="U31" s="3351" t="s">
        <v>4528</v>
      </c>
      <c r="V31" s="81" t="s">
        <v>4529</v>
      </c>
      <c r="AQ31" s="2142"/>
    </row>
    <row r="32" spans="1:43" ht="15" thickBot="1" x14ac:dyDescent="0.4">
      <c r="A32" s="360"/>
      <c r="B32" s="361"/>
      <c r="C32" s="84" t="s">
        <v>2854</v>
      </c>
      <c r="D32" s="85"/>
      <c r="E32" s="85"/>
      <c r="F32" s="85"/>
      <c r="G32" s="85"/>
      <c r="H32" s="85"/>
      <c r="I32" s="85"/>
      <c r="J32" s="85"/>
      <c r="K32" s="85"/>
      <c r="L32" s="85"/>
      <c r="M32" s="85"/>
      <c r="N32" s="85"/>
      <c r="O32" s="85"/>
      <c r="P32" s="85"/>
      <c r="Q32" s="85"/>
      <c r="R32" s="85"/>
      <c r="S32" s="85"/>
      <c r="T32" s="88"/>
      <c r="U32" s="3352"/>
      <c r="V32" s="86"/>
      <c r="AQ32" s="2142"/>
    </row>
    <row r="33" spans="1:44" x14ac:dyDescent="0.35">
      <c r="A33" s="358" t="s">
        <v>4512</v>
      </c>
      <c r="B33" s="363"/>
      <c r="C33" s="79" t="s">
        <v>4530</v>
      </c>
      <c r="D33" s="80"/>
      <c r="E33" s="80"/>
      <c r="F33" s="80"/>
      <c r="G33" s="80"/>
      <c r="H33" s="80"/>
      <c r="I33" s="80"/>
      <c r="J33" s="80"/>
      <c r="K33" s="80"/>
      <c r="L33" s="80"/>
      <c r="M33" s="80"/>
      <c r="N33" s="80"/>
      <c r="O33" s="80"/>
      <c r="P33" s="80"/>
      <c r="Q33" s="80"/>
      <c r="R33" s="80"/>
      <c r="S33" s="80"/>
      <c r="T33" s="93" t="s">
        <v>105</v>
      </c>
      <c r="U33" s="3351" t="s">
        <v>4528</v>
      </c>
      <c r="V33" s="81" t="s">
        <v>4529</v>
      </c>
      <c r="AQ33" s="2142"/>
    </row>
    <row r="34" spans="1:44" ht="15" thickBot="1" x14ac:dyDescent="0.4">
      <c r="A34" s="360"/>
      <c r="B34" s="361"/>
      <c r="C34" s="84" t="s">
        <v>2854</v>
      </c>
      <c r="D34" s="85"/>
      <c r="E34" s="85"/>
      <c r="F34" s="85"/>
      <c r="G34" s="85"/>
      <c r="H34" s="85"/>
      <c r="I34" s="85"/>
      <c r="J34" s="85"/>
      <c r="K34" s="85"/>
      <c r="L34" s="85"/>
      <c r="M34" s="85"/>
      <c r="N34" s="85"/>
      <c r="O34" s="85"/>
      <c r="P34" s="85"/>
      <c r="Q34" s="85"/>
      <c r="R34" s="85"/>
      <c r="S34" s="85"/>
      <c r="T34" s="88"/>
      <c r="U34" s="3352"/>
      <c r="V34" s="86"/>
      <c r="AQ34" s="2142"/>
    </row>
    <row r="35" spans="1:44" x14ac:dyDescent="0.35">
      <c r="A35" s="358" t="s">
        <v>4390</v>
      </c>
      <c r="B35" s="363"/>
      <c r="C35" s="79" t="s">
        <v>4484</v>
      </c>
      <c r="D35" s="80"/>
      <c r="E35" s="80"/>
      <c r="F35" s="80"/>
      <c r="G35" s="80"/>
      <c r="H35" s="80"/>
      <c r="I35" s="80"/>
      <c r="J35" s="80"/>
      <c r="K35" s="80"/>
      <c r="L35" s="80"/>
      <c r="M35" s="80"/>
      <c r="N35" s="80"/>
      <c r="O35" s="80"/>
      <c r="P35" s="80"/>
      <c r="Q35" s="80"/>
      <c r="R35" s="80"/>
      <c r="S35" s="80"/>
      <c r="T35" s="254" t="s">
        <v>2952</v>
      </c>
      <c r="U35" s="3353" t="s">
        <v>4528</v>
      </c>
      <c r="V35" s="253" t="s">
        <v>4060</v>
      </c>
      <c r="AQ35" s="2142"/>
    </row>
    <row r="36" spans="1:44" ht="15" thickBot="1" x14ac:dyDescent="0.4">
      <c r="A36" s="360"/>
      <c r="B36" s="361"/>
      <c r="C36" s="84" t="s">
        <v>4485</v>
      </c>
      <c r="D36" s="85"/>
      <c r="E36" s="85"/>
      <c r="F36" s="85"/>
      <c r="G36" s="85"/>
      <c r="H36" s="85"/>
      <c r="I36" s="85"/>
      <c r="J36" s="85"/>
      <c r="K36" s="85"/>
      <c r="L36" s="85"/>
      <c r="M36" s="85"/>
      <c r="N36" s="85"/>
      <c r="O36" s="85"/>
      <c r="P36" s="85"/>
      <c r="Q36" s="85"/>
      <c r="R36" s="85"/>
      <c r="S36" s="85"/>
      <c r="T36" s="88"/>
      <c r="U36" s="3352"/>
      <c r="V36" s="86"/>
      <c r="AQ36" s="2142"/>
    </row>
    <row r="37" spans="1:44" ht="15" x14ac:dyDescent="0.35">
      <c r="A37" s="358" t="s">
        <v>4446</v>
      </c>
      <c r="B37" s="363"/>
      <c r="C37" s="79" t="s">
        <v>4486</v>
      </c>
      <c r="D37" s="80"/>
      <c r="E37" s="80"/>
      <c r="F37" s="80"/>
      <c r="G37" s="80"/>
      <c r="H37" s="80"/>
      <c r="I37" s="80"/>
      <c r="J37" s="80"/>
      <c r="K37" s="80"/>
      <c r="L37" s="80"/>
      <c r="M37" s="80"/>
      <c r="N37" s="80"/>
      <c r="O37" s="80"/>
      <c r="P37" s="80"/>
      <c r="Q37" s="80"/>
      <c r="R37" s="80"/>
      <c r="S37" s="80"/>
      <c r="T37" s="93" t="s">
        <v>105</v>
      </c>
      <c r="U37" s="3351" t="s">
        <v>4528</v>
      </c>
      <c r="V37" s="81" t="s">
        <v>4529</v>
      </c>
      <c r="AQ37" s="2142"/>
    </row>
    <row r="38" spans="1:44" ht="15" thickBot="1" x14ac:dyDescent="0.4">
      <c r="A38" s="360"/>
      <c r="B38" s="361"/>
      <c r="C38" s="84" t="s">
        <v>2854</v>
      </c>
      <c r="D38" s="85"/>
      <c r="E38" s="85"/>
      <c r="F38" s="85"/>
      <c r="G38" s="85"/>
      <c r="H38" s="85"/>
      <c r="I38" s="85"/>
      <c r="J38" s="85"/>
      <c r="K38" s="85"/>
      <c r="L38" s="85"/>
      <c r="M38" s="85"/>
      <c r="N38" s="85"/>
      <c r="O38" s="85"/>
      <c r="P38" s="85"/>
      <c r="Q38" s="85"/>
      <c r="R38" s="85"/>
      <c r="S38" s="85"/>
      <c r="T38" s="88"/>
      <c r="U38" s="3352"/>
      <c r="V38" s="86"/>
      <c r="AQ38" s="2142"/>
    </row>
    <row r="39" spans="1:44" x14ac:dyDescent="0.35">
      <c r="A39" s="358" t="s">
        <v>4513</v>
      </c>
      <c r="B39" s="363"/>
      <c r="C39" s="79" t="s">
        <v>4531</v>
      </c>
      <c r="D39" s="80"/>
      <c r="E39" s="80"/>
      <c r="F39" s="80"/>
      <c r="G39" s="80"/>
      <c r="H39" s="80"/>
      <c r="I39" s="80"/>
      <c r="J39" s="80"/>
      <c r="K39" s="80"/>
      <c r="L39" s="80"/>
      <c r="M39" s="80"/>
      <c r="N39" s="80"/>
      <c r="O39" s="80"/>
      <c r="P39" s="80"/>
      <c r="Q39" s="80"/>
      <c r="R39" s="80"/>
      <c r="S39" s="80"/>
      <c r="T39" s="93" t="s">
        <v>105</v>
      </c>
      <c r="U39" s="3351" t="s">
        <v>4528</v>
      </c>
      <c r="V39" s="81" t="s">
        <v>4529</v>
      </c>
      <c r="AQ39" s="2142"/>
    </row>
    <row r="40" spans="1:44" ht="15" thickBot="1" x14ac:dyDescent="0.4">
      <c r="A40" s="88"/>
      <c r="B40" s="85"/>
      <c r="C40" s="84" t="s">
        <v>2854</v>
      </c>
      <c r="D40" s="85"/>
      <c r="E40" s="85"/>
      <c r="F40" s="85"/>
      <c r="G40" s="85"/>
      <c r="H40" s="85"/>
      <c r="I40" s="85"/>
      <c r="J40" s="85"/>
      <c r="K40" s="85"/>
      <c r="L40" s="85"/>
      <c r="M40" s="85"/>
      <c r="N40" s="85"/>
      <c r="O40" s="85"/>
      <c r="P40" s="85"/>
      <c r="Q40" s="85"/>
      <c r="R40" s="85"/>
      <c r="S40" s="85"/>
      <c r="T40" s="88"/>
      <c r="U40" s="3352"/>
      <c r="V40" s="86"/>
      <c r="AQ40" s="2142"/>
    </row>
    <row r="41" spans="1:44" x14ac:dyDescent="0.35">
      <c r="A41" s="358" t="s">
        <v>4532</v>
      </c>
      <c r="B41" s="78">
        <v>0.05</v>
      </c>
      <c r="C41" s="79" t="s">
        <v>4413</v>
      </c>
      <c r="D41" s="80"/>
      <c r="E41" s="80"/>
      <c r="F41" s="80"/>
      <c r="G41" s="80"/>
      <c r="H41" s="80"/>
      <c r="I41" s="80"/>
      <c r="J41" s="80"/>
      <c r="K41" s="80"/>
      <c r="L41" s="80"/>
      <c r="M41" s="80"/>
      <c r="N41" s="80"/>
      <c r="O41" s="80"/>
      <c r="P41" s="80"/>
      <c r="Q41" s="80"/>
      <c r="R41" s="80"/>
      <c r="S41" s="80"/>
      <c r="T41" s="254" t="s">
        <v>1524</v>
      </c>
      <c r="U41" s="3351" t="s">
        <v>4533</v>
      </c>
      <c r="V41" s="81" t="s">
        <v>4529</v>
      </c>
      <c r="AQ41" s="2142"/>
    </row>
    <row r="42" spans="1:44" x14ac:dyDescent="0.35">
      <c r="A42" s="254"/>
      <c r="B42" s="115">
        <v>0.25</v>
      </c>
      <c r="C42" s="55" t="s">
        <v>4488</v>
      </c>
      <c r="T42" s="254"/>
      <c r="U42" s="3353"/>
      <c r="V42" s="253"/>
      <c r="AQ42" s="2142"/>
    </row>
    <row r="43" spans="1:44" ht="15" thickBot="1" x14ac:dyDescent="0.4">
      <c r="A43" s="254"/>
      <c r="B43" s="115">
        <v>7.0000000000000007E-2</v>
      </c>
      <c r="C43" s="55" t="s">
        <v>4489</v>
      </c>
      <c r="T43" s="254"/>
      <c r="U43" s="3352"/>
      <c r="V43" s="86"/>
      <c r="AQ43" s="2142"/>
    </row>
    <row r="44" spans="1:44" x14ac:dyDescent="0.35">
      <c r="A44" s="358" t="s">
        <v>4129</v>
      </c>
      <c r="B44" s="80"/>
      <c r="C44" s="79" t="s">
        <v>4187</v>
      </c>
      <c r="D44" s="80"/>
      <c r="E44" s="80"/>
      <c r="F44" s="80"/>
      <c r="G44" s="80"/>
      <c r="H44" s="80"/>
      <c r="I44" s="80"/>
      <c r="J44" s="80"/>
      <c r="K44" s="80"/>
      <c r="L44" s="80"/>
      <c r="M44" s="80"/>
      <c r="N44" s="80"/>
      <c r="O44" s="80"/>
      <c r="P44" s="80"/>
      <c r="Q44" s="80"/>
      <c r="R44" s="80"/>
      <c r="S44" s="80"/>
      <c r="T44" s="3351" t="s">
        <v>4534</v>
      </c>
      <c r="U44" s="2303" t="s">
        <v>1284</v>
      </c>
      <c r="V44" s="81" t="s">
        <v>4051</v>
      </c>
      <c r="AQ44" s="2142"/>
    </row>
    <row r="45" spans="1:44" ht="15" thickBot="1" x14ac:dyDescent="0.4">
      <c r="A45" s="88"/>
      <c r="B45" s="85"/>
      <c r="C45" s="84" t="s">
        <v>4353</v>
      </c>
      <c r="D45" s="85"/>
      <c r="E45" s="85"/>
      <c r="F45" s="85"/>
      <c r="G45" s="85"/>
      <c r="H45" s="85"/>
      <c r="I45" s="85"/>
      <c r="J45" s="85"/>
      <c r="K45" s="85"/>
      <c r="L45" s="85"/>
      <c r="M45" s="85"/>
      <c r="N45" s="85"/>
      <c r="O45" s="85"/>
      <c r="P45" s="85"/>
      <c r="Q45" s="85"/>
      <c r="R45" s="85"/>
      <c r="S45" s="85"/>
      <c r="T45" s="3352"/>
      <c r="U45" s="2304"/>
      <c r="V45" s="86"/>
      <c r="AQ45" s="2142"/>
    </row>
    <row r="46" spans="1:44" x14ac:dyDescent="0.35">
      <c r="A46" s="358" t="s">
        <v>4130</v>
      </c>
      <c r="B46" s="80">
        <v>0.75</v>
      </c>
      <c r="C46" s="79" t="s">
        <v>4354</v>
      </c>
      <c r="D46" s="80"/>
      <c r="E46" s="80"/>
      <c r="F46" s="80"/>
      <c r="G46" s="80"/>
      <c r="H46" s="80"/>
      <c r="I46" s="80"/>
      <c r="J46" s="80"/>
      <c r="K46" s="80"/>
      <c r="L46" s="80"/>
      <c r="M46" s="80"/>
      <c r="N46" s="80"/>
      <c r="O46" s="80"/>
      <c r="P46" s="80"/>
      <c r="Q46" s="80"/>
      <c r="R46" s="80"/>
      <c r="S46" s="80"/>
      <c r="T46" s="93" t="s">
        <v>1524</v>
      </c>
      <c r="U46" s="2303" t="s">
        <v>1284</v>
      </c>
      <c r="V46" s="3343" t="s">
        <v>2142</v>
      </c>
      <c r="AQ46" s="2142"/>
    </row>
    <row r="47" spans="1:44" ht="15" thickBot="1" x14ac:dyDescent="0.4">
      <c r="A47" s="88"/>
      <c r="B47" s="85"/>
      <c r="C47" s="84" t="s">
        <v>2257</v>
      </c>
      <c r="D47" s="85"/>
      <c r="E47" s="85"/>
      <c r="F47" s="85"/>
      <c r="G47" s="85"/>
      <c r="H47" s="85"/>
      <c r="I47" s="85"/>
      <c r="J47" s="85"/>
      <c r="K47" s="85"/>
      <c r="L47" s="85"/>
      <c r="M47" s="85"/>
      <c r="N47" s="85"/>
      <c r="O47" s="85"/>
      <c r="P47" s="85"/>
      <c r="Q47" s="85"/>
      <c r="R47" s="85"/>
      <c r="S47" s="85"/>
      <c r="T47" s="88"/>
      <c r="U47" s="2304"/>
      <c r="V47" s="3344"/>
      <c r="AQ47" s="2142"/>
    </row>
    <row r="48" spans="1:44" x14ac:dyDescent="0.35">
      <c r="A48" s="358" t="s">
        <v>3200</v>
      </c>
      <c r="B48" s="80"/>
      <c r="C48" s="79" t="s">
        <v>4355</v>
      </c>
      <c r="D48" s="80"/>
      <c r="E48" s="80"/>
      <c r="F48" s="80"/>
      <c r="G48" s="80"/>
      <c r="H48" s="80"/>
      <c r="I48" s="80"/>
      <c r="J48" s="80"/>
      <c r="K48" s="80"/>
      <c r="L48" s="80"/>
      <c r="M48" s="80"/>
      <c r="N48" s="80"/>
      <c r="O48" s="80"/>
      <c r="P48" s="80"/>
      <c r="Q48" s="80"/>
      <c r="R48" s="80"/>
      <c r="S48" s="80"/>
      <c r="T48" s="93" t="s">
        <v>2668</v>
      </c>
      <c r="U48" s="2303" t="s">
        <v>1284</v>
      </c>
      <c r="V48" s="81" t="s">
        <v>4051</v>
      </c>
      <c r="AQ48" s="55"/>
      <c r="AR48" s="55"/>
    </row>
    <row r="49" spans="1:43" ht="15" thickBot="1" x14ac:dyDescent="0.4">
      <c r="A49" s="88"/>
      <c r="B49" s="85"/>
      <c r="C49" s="85" t="s">
        <v>1940</v>
      </c>
      <c r="D49" s="85"/>
      <c r="E49" s="85"/>
      <c r="F49" s="85"/>
      <c r="G49" s="85"/>
      <c r="H49" s="85"/>
      <c r="I49" s="85"/>
      <c r="J49" s="85"/>
      <c r="K49" s="85"/>
      <c r="L49" s="85"/>
      <c r="M49" s="85"/>
      <c r="N49" s="85"/>
      <c r="O49" s="85"/>
      <c r="P49" s="85"/>
      <c r="Q49" s="85"/>
      <c r="R49" s="85"/>
      <c r="S49" s="85"/>
      <c r="T49" s="88"/>
      <c r="U49" s="2304"/>
      <c r="V49" s="86"/>
      <c r="AQ49" s="2142"/>
    </row>
    <row r="50" spans="1:43" x14ac:dyDescent="0.35">
      <c r="A50" s="358" t="s">
        <v>4133</v>
      </c>
      <c r="B50" s="87"/>
      <c r="C50" s="79" t="s">
        <v>4361</v>
      </c>
      <c r="D50" s="80"/>
      <c r="E50" s="80"/>
      <c r="F50" s="80"/>
      <c r="G50" s="80"/>
      <c r="H50" s="80"/>
      <c r="I50" s="80"/>
      <c r="J50" s="80"/>
      <c r="K50" s="80"/>
      <c r="L50" s="80"/>
      <c r="M50" s="80"/>
      <c r="N50" s="80"/>
      <c r="O50" s="80"/>
      <c r="P50" s="80"/>
      <c r="Q50" s="80"/>
      <c r="R50" s="80"/>
      <c r="S50" s="80"/>
      <c r="T50" s="3374" t="s">
        <v>4534</v>
      </c>
      <c r="U50" s="3343" t="s">
        <v>4535</v>
      </c>
      <c r="V50" s="81" t="s">
        <v>4536</v>
      </c>
      <c r="AQ50" s="2142"/>
    </row>
    <row r="51" spans="1:43" ht="15" thickBot="1" x14ac:dyDescent="0.4">
      <c r="A51" s="88"/>
      <c r="B51" s="85"/>
      <c r="C51" s="84" t="s">
        <v>4353</v>
      </c>
      <c r="D51" s="85"/>
      <c r="E51" s="85"/>
      <c r="F51" s="85"/>
      <c r="G51" s="85"/>
      <c r="H51" s="85"/>
      <c r="I51" s="85"/>
      <c r="J51" s="85"/>
      <c r="K51" s="85"/>
      <c r="L51" s="85"/>
      <c r="M51" s="85"/>
      <c r="N51" s="85"/>
      <c r="O51" s="85"/>
      <c r="P51" s="85"/>
      <c r="Q51" s="85"/>
      <c r="R51" s="85"/>
      <c r="S51" s="85"/>
      <c r="T51" s="3411"/>
      <c r="U51" s="3344"/>
      <c r="V51" s="86"/>
      <c r="AQ51" s="2142"/>
    </row>
    <row r="52" spans="1:43" x14ac:dyDescent="0.35">
      <c r="A52" s="358" t="s">
        <v>4134</v>
      </c>
      <c r="B52" s="80" t="s">
        <v>4537</v>
      </c>
      <c r="C52" s="79" t="s">
        <v>4363</v>
      </c>
      <c r="D52" s="80"/>
      <c r="E52" s="80"/>
      <c r="F52" s="80"/>
      <c r="G52" s="80"/>
      <c r="H52" s="80"/>
      <c r="I52" s="80"/>
      <c r="J52" s="80"/>
      <c r="K52" s="80"/>
      <c r="L52" s="80"/>
      <c r="M52" s="80"/>
      <c r="N52" s="80"/>
      <c r="O52" s="80"/>
      <c r="P52" s="80"/>
      <c r="Q52" s="80"/>
      <c r="R52" s="80"/>
      <c r="S52" s="80"/>
      <c r="T52" s="93" t="s">
        <v>2668</v>
      </c>
      <c r="U52" s="2303" t="s">
        <v>1284</v>
      </c>
      <c r="V52" s="81" t="s">
        <v>4051</v>
      </c>
      <c r="AQ52" t="s">
        <v>1387</v>
      </c>
    </row>
    <row r="53" spans="1:43" ht="15" thickBot="1" x14ac:dyDescent="0.4">
      <c r="A53" s="88"/>
      <c r="B53" s="85"/>
      <c r="C53" s="84" t="s">
        <v>4201</v>
      </c>
      <c r="D53" s="85"/>
      <c r="E53" s="85"/>
      <c r="F53" s="85"/>
      <c r="G53" s="85"/>
      <c r="H53" s="85"/>
      <c r="I53" s="85"/>
      <c r="J53" s="85"/>
      <c r="K53" s="85"/>
      <c r="L53" s="85"/>
      <c r="M53" s="85"/>
      <c r="N53" s="85"/>
      <c r="O53" s="85"/>
      <c r="P53" s="85"/>
      <c r="Q53" s="85"/>
      <c r="R53" s="85"/>
      <c r="S53" s="85"/>
      <c r="T53" s="88"/>
      <c r="U53" s="2304"/>
      <c r="V53" s="86"/>
      <c r="AQ53" t="s">
        <v>4538</v>
      </c>
    </row>
    <row r="54" spans="1:43" x14ac:dyDescent="0.35">
      <c r="A54" s="358" t="s">
        <v>4134</v>
      </c>
      <c r="B54" s="2305">
        <v>0.72</v>
      </c>
      <c r="C54" s="79" t="s">
        <v>4203</v>
      </c>
      <c r="D54" s="80"/>
      <c r="E54" s="80"/>
      <c r="F54" s="80"/>
      <c r="G54" s="80"/>
      <c r="H54" s="80"/>
      <c r="I54" s="80"/>
      <c r="J54" s="80"/>
      <c r="K54" s="80"/>
      <c r="L54" s="80"/>
      <c r="M54" s="80"/>
      <c r="N54" s="80"/>
      <c r="O54" s="80"/>
      <c r="P54" s="80"/>
      <c r="Q54" s="80"/>
      <c r="R54" s="80"/>
      <c r="S54" s="80"/>
      <c r="T54" s="254" t="s">
        <v>1524</v>
      </c>
      <c r="U54" s="2303" t="s">
        <v>1284</v>
      </c>
      <c r="V54" s="3343" t="s">
        <v>2142</v>
      </c>
      <c r="AQ54" t="s">
        <v>4539</v>
      </c>
    </row>
    <row r="55" spans="1:43" ht="15" thickBot="1" x14ac:dyDescent="0.4">
      <c r="A55" s="88"/>
      <c r="B55" s="85"/>
      <c r="C55" s="84" t="s">
        <v>4540</v>
      </c>
      <c r="D55" s="85"/>
      <c r="E55" s="85"/>
      <c r="F55" s="85"/>
      <c r="G55" s="85"/>
      <c r="H55" s="85"/>
      <c r="I55" s="85"/>
      <c r="J55" s="85"/>
      <c r="K55" s="85"/>
      <c r="L55" s="85"/>
      <c r="M55" s="85"/>
      <c r="N55" s="85"/>
      <c r="O55" s="85"/>
      <c r="P55" s="85"/>
      <c r="Q55" s="85"/>
      <c r="R55" s="85"/>
      <c r="S55" s="85"/>
      <c r="T55" s="88"/>
      <c r="U55" s="2304"/>
      <c r="V55" s="3344"/>
    </row>
    <row r="56" spans="1:43" x14ac:dyDescent="0.35">
      <c r="A56" s="93" t="s">
        <v>3275</v>
      </c>
      <c r="B56" s="275">
        <v>1</v>
      </c>
      <c r="C56" s="79" t="s">
        <v>3276</v>
      </c>
      <c r="D56" s="80"/>
      <c r="E56" s="80"/>
      <c r="F56" s="80"/>
      <c r="G56" s="80"/>
      <c r="H56" s="80"/>
      <c r="I56" s="80"/>
      <c r="J56" s="80"/>
      <c r="K56" s="80"/>
      <c r="L56" s="80"/>
      <c r="M56" s="80"/>
      <c r="N56" s="80"/>
      <c r="O56" s="80"/>
      <c r="P56" s="80"/>
      <c r="Q56" s="80"/>
      <c r="R56" s="80"/>
      <c r="S56" s="80"/>
      <c r="T56" s="254" t="s">
        <v>1524</v>
      </c>
      <c r="U56" s="2303" t="s">
        <v>1284</v>
      </c>
      <c r="V56" s="3343" t="s">
        <v>2142</v>
      </c>
    </row>
    <row r="57" spans="1:43" ht="15" thickBot="1" x14ac:dyDescent="0.4">
      <c r="A57" s="88"/>
      <c r="B57" s="85"/>
      <c r="C57" s="84"/>
      <c r="D57" s="85"/>
      <c r="E57" s="85"/>
      <c r="F57" s="85"/>
      <c r="G57" s="85"/>
      <c r="H57" s="85"/>
      <c r="I57" s="85"/>
      <c r="J57" s="85"/>
      <c r="K57" s="85"/>
      <c r="L57" s="85"/>
      <c r="M57" s="85"/>
      <c r="N57" s="85"/>
      <c r="O57" s="85"/>
      <c r="P57" s="85"/>
      <c r="Q57" s="85"/>
      <c r="R57" s="85"/>
      <c r="S57" s="85"/>
      <c r="T57" s="88"/>
      <c r="U57" s="2304"/>
      <c r="V57" s="3344"/>
    </row>
    <row r="58" spans="1:43" x14ac:dyDescent="0.35">
      <c r="A58" s="254" t="s">
        <v>4541</v>
      </c>
      <c r="B58" s="115">
        <v>0.8</v>
      </c>
      <c r="C58" s="55" t="s">
        <v>4542</v>
      </c>
      <c r="T58" s="254" t="s">
        <v>1524</v>
      </c>
      <c r="U58" s="2306" t="s">
        <v>1284</v>
      </c>
      <c r="V58" s="3412" t="s">
        <v>2142</v>
      </c>
    </row>
    <row r="59" spans="1:43" ht="15" thickBot="1" x14ac:dyDescent="0.4">
      <c r="A59" s="254"/>
      <c r="C59" s="55" t="s">
        <v>4543</v>
      </c>
      <c r="T59" s="254"/>
      <c r="U59" s="2304"/>
      <c r="V59" s="3344"/>
    </row>
    <row r="60" spans="1:43" x14ac:dyDescent="0.35">
      <c r="A60" s="358" t="s">
        <v>4135</v>
      </c>
      <c r="B60" s="80"/>
      <c r="C60" s="79" t="s">
        <v>4202</v>
      </c>
      <c r="D60" s="80"/>
      <c r="E60" s="80"/>
      <c r="F60" s="80"/>
      <c r="G60" s="80"/>
      <c r="H60" s="80"/>
      <c r="I60" s="80"/>
      <c r="J60" s="80"/>
      <c r="K60" s="80"/>
      <c r="L60" s="80"/>
      <c r="M60" s="80"/>
      <c r="N60" s="80"/>
      <c r="O60" s="80"/>
      <c r="P60" s="80"/>
      <c r="Q60" s="80"/>
      <c r="R60" s="80"/>
      <c r="S60" s="80"/>
      <c r="T60" s="3345" t="s">
        <v>4534</v>
      </c>
      <c r="U60" s="2303" t="s">
        <v>1284</v>
      </c>
      <c r="V60" s="81" t="s">
        <v>4051</v>
      </c>
    </row>
    <row r="61" spans="1:43" ht="15" thickBot="1" x14ac:dyDescent="0.4">
      <c r="A61" s="88"/>
      <c r="B61" s="85"/>
      <c r="C61" s="84" t="s">
        <v>4188</v>
      </c>
      <c r="D61" s="85"/>
      <c r="E61" s="85"/>
      <c r="F61" s="85"/>
      <c r="G61" s="85"/>
      <c r="H61" s="85"/>
      <c r="I61" s="85"/>
      <c r="J61" s="85"/>
      <c r="K61" s="85"/>
      <c r="L61" s="85"/>
      <c r="M61" s="85"/>
      <c r="N61" s="85"/>
      <c r="O61" s="85"/>
      <c r="P61" s="85"/>
      <c r="Q61" s="85"/>
      <c r="R61" s="85"/>
      <c r="S61" s="85"/>
      <c r="T61" s="3346"/>
      <c r="U61" s="2304"/>
      <c r="V61" s="86"/>
    </row>
    <row r="62" spans="1:43" x14ac:dyDescent="0.35">
      <c r="A62" s="358" t="s">
        <v>1179</v>
      </c>
      <c r="B62" s="266">
        <v>0.91500000000000004</v>
      </c>
      <c r="C62" s="79" t="s">
        <v>4426</v>
      </c>
      <c r="D62" s="80"/>
      <c r="E62" s="80"/>
      <c r="F62" s="80"/>
      <c r="G62" s="80"/>
      <c r="H62" s="80"/>
      <c r="I62" s="80"/>
      <c r="J62" s="80"/>
      <c r="K62" s="80"/>
      <c r="L62" s="80"/>
      <c r="M62" s="80"/>
      <c r="N62" s="80"/>
      <c r="O62" s="80"/>
      <c r="P62" s="80"/>
      <c r="Q62" s="80"/>
      <c r="R62" s="80"/>
      <c r="S62" s="80"/>
      <c r="T62" s="93" t="s">
        <v>1524</v>
      </c>
      <c r="U62" s="2303" t="s">
        <v>1284</v>
      </c>
      <c r="V62" s="81" t="s">
        <v>4051</v>
      </c>
    </row>
    <row r="63" spans="1:43" ht="15" thickBot="1" x14ac:dyDescent="0.4">
      <c r="A63" s="88"/>
      <c r="B63" s="85"/>
      <c r="C63" s="84" t="s">
        <v>2257</v>
      </c>
      <c r="D63" s="85"/>
      <c r="E63" s="85"/>
      <c r="F63" s="85"/>
      <c r="G63" s="85"/>
      <c r="H63" s="85"/>
      <c r="I63" s="85"/>
      <c r="J63" s="85"/>
      <c r="K63" s="85"/>
      <c r="L63" s="85"/>
      <c r="M63" s="85"/>
      <c r="N63" s="85"/>
      <c r="O63" s="85"/>
      <c r="P63" s="85"/>
      <c r="Q63" s="85"/>
      <c r="R63" s="85"/>
      <c r="S63" s="85"/>
      <c r="T63" s="88"/>
      <c r="U63" s="2304"/>
      <c r="V63" s="86"/>
    </row>
    <row r="64" spans="1:43" x14ac:dyDescent="0.35">
      <c r="A64" s="55" t="s">
        <v>4544</v>
      </c>
      <c r="B64" s="275"/>
      <c r="C64" s="79" t="s">
        <v>4545</v>
      </c>
      <c r="D64" s="80"/>
      <c r="E64" s="80"/>
      <c r="F64" s="80"/>
      <c r="G64" s="80"/>
      <c r="H64" s="80"/>
      <c r="I64" s="80"/>
      <c r="J64" s="80"/>
      <c r="K64" s="80"/>
      <c r="L64" s="80"/>
      <c r="M64" s="80"/>
      <c r="N64" s="80"/>
      <c r="O64" s="80"/>
      <c r="P64" s="80"/>
      <c r="Q64" s="80"/>
      <c r="R64" s="80"/>
      <c r="S64" s="80"/>
      <c r="T64" s="93" t="s">
        <v>1524</v>
      </c>
      <c r="U64" s="2303" t="s">
        <v>1284</v>
      </c>
      <c r="V64" s="3343" t="s">
        <v>2142</v>
      </c>
      <c r="AE64" t="s">
        <v>2592</v>
      </c>
    </row>
    <row r="65" spans="1:22" ht="15" thickBot="1" x14ac:dyDescent="0.4">
      <c r="B65" s="115">
        <v>0.6</v>
      </c>
      <c r="C65" s="55" t="s">
        <v>4546</v>
      </c>
      <c r="T65" s="88"/>
      <c r="U65" s="2304"/>
      <c r="V65" s="3344"/>
    </row>
    <row r="66" spans="1:22" ht="15.75" customHeight="1" x14ac:dyDescent="0.35">
      <c r="A66" s="358" t="s">
        <v>4547</v>
      </c>
      <c r="B66" s="275"/>
      <c r="C66" s="79" t="s">
        <v>4548</v>
      </c>
      <c r="D66" s="80"/>
      <c r="E66" s="80"/>
      <c r="F66" s="80"/>
      <c r="G66" s="80"/>
      <c r="H66" s="80"/>
      <c r="I66" s="80"/>
      <c r="J66" s="80"/>
      <c r="K66" s="80"/>
      <c r="L66" s="80"/>
      <c r="M66" s="80"/>
      <c r="N66" s="80"/>
      <c r="O66" s="80"/>
      <c r="P66" s="80"/>
      <c r="Q66" s="80"/>
      <c r="R66" s="80"/>
      <c r="S66" s="81"/>
      <c r="T66" s="254" t="s">
        <v>1524</v>
      </c>
      <c r="U66" s="2306" t="s">
        <v>1284</v>
      </c>
      <c r="V66" s="3351" t="s">
        <v>2142</v>
      </c>
    </row>
    <row r="67" spans="1:22" ht="15" thickBot="1" x14ac:dyDescent="0.4">
      <c r="A67" s="88"/>
      <c r="B67" s="635">
        <v>1.07</v>
      </c>
      <c r="C67" s="84" t="s">
        <v>4549</v>
      </c>
      <c r="D67" s="85"/>
      <c r="E67" s="85"/>
      <c r="F67" s="85"/>
      <c r="G67" s="85"/>
      <c r="H67" s="85"/>
      <c r="I67" s="85"/>
      <c r="J67" s="85"/>
      <c r="K67" s="85"/>
      <c r="L67" s="85"/>
      <c r="M67" s="85"/>
      <c r="N67" s="85"/>
      <c r="O67" s="85"/>
      <c r="P67" s="85"/>
      <c r="Q67" s="85"/>
      <c r="R67" s="85"/>
      <c r="S67" s="86"/>
      <c r="T67" s="254"/>
      <c r="U67" s="2306"/>
      <c r="V67" s="3352"/>
    </row>
    <row r="68" spans="1:22" x14ac:dyDescent="0.35">
      <c r="A68" s="358" t="s">
        <v>3210</v>
      </c>
      <c r="B68" s="2246">
        <v>3.1399999999999997E-2</v>
      </c>
      <c r="C68" s="79" t="s">
        <v>3289</v>
      </c>
      <c r="D68" s="80"/>
      <c r="E68" s="80"/>
      <c r="F68" s="80"/>
      <c r="G68" s="80"/>
      <c r="H68" s="80"/>
      <c r="I68" s="80"/>
      <c r="J68" s="80"/>
      <c r="K68" s="80"/>
      <c r="L68" s="80"/>
      <c r="M68" s="80"/>
      <c r="N68" s="80"/>
      <c r="O68" s="80"/>
      <c r="P68" s="80"/>
      <c r="Q68" s="80"/>
      <c r="R68" s="80"/>
      <c r="S68" s="80"/>
      <c r="T68" s="93" t="s">
        <v>1524</v>
      </c>
      <c r="U68" s="2303" t="s">
        <v>1284</v>
      </c>
      <c r="V68" s="3343" t="s">
        <v>2142</v>
      </c>
    </row>
    <row r="69" spans="1:22" ht="15" thickBot="1" x14ac:dyDescent="0.4">
      <c r="A69" s="88"/>
      <c r="B69" s="85"/>
      <c r="C69" s="84" t="s">
        <v>2257</v>
      </c>
      <c r="D69" s="85"/>
      <c r="E69" s="85"/>
      <c r="F69" s="85"/>
      <c r="G69" s="85"/>
      <c r="H69" s="85"/>
      <c r="I69" s="85"/>
      <c r="J69" s="85"/>
      <c r="K69" s="85"/>
      <c r="L69" s="85"/>
      <c r="M69" s="85"/>
      <c r="N69" s="85"/>
      <c r="O69" s="85"/>
      <c r="P69" s="85"/>
      <c r="Q69" s="85"/>
      <c r="R69" s="85"/>
      <c r="S69" s="85"/>
      <c r="T69" s="88"/>
      <c r="U69" s="2304"/>
      <c r="V69" s="3344"/>
    </row>
    <row r="70" spans="1:22" x14ac:dyDescent="0.35">
      <c r="A70" s="93" t="s">
        <v>1083</v>
      </c>
      <c r="B70" s="2307">
        <v>20</v>
      </c>
      <c r="C70" s="80" t="s">
        <v>3156</v>
      </c>
      <c r="D70" s="80"/>
      <c r="E70" s="80"/>
      <c r="F70" s="80"/>
      <c r="G70" s="80"/>
      <c r="H70" s="80"/>
      <c r="I70" s="80"/>
      <c r="J70" s="80"/>
      <c r="K70" s="80"/>
      <c r="L70" s="80"/>
      <c r="M70" s="80"/>
      <c r="N70" s="80"/>
      <c r="O70" s="80"/>
      <c r="P70" s="80"/>
      <c r="Q70" s="80"/>
      <c r="R70" s="80"/>
      <c r="S70" s="80"/>
      <c r="T70" s="93" t="s">
        <v>1524</v>
      </c>
      <c r="U70" s="2303" t="s">
        <v>1284</v>
      </c>
      <c r="V70" s="3343" t="s">
        <v>2142</v>
      </c>
    </row>
    <row r="71" spans="1:22" ht="15" thickBot="1" x14ac:dyDescent="0.4">
      <c r="A71" s="88"/>
      <c r="B71" s="85"/>
      <c r="C71" s="85" t="s">
        <v>2257</v>
      </c>
      <c r="D71" s="85"/>
      <c r="E71" s="85"/>
      <c r="F71" s="85"/>
      <c r="G71" s="85"/>
      <c r="H71" s="85"/>
      <c r="I71" s="85"/>
      <c r="J71" s="85"/>
      <c r="K71" s="85"/>
      <c r="L71" s="85"/>
      <c r="M71" s="85"/>
      <c r="N71" s="85"/>
      <c r="O71" s="85"/>
      <c r="P71" s="85"/>
      <c r="Q71" s="85"/>
      <c r="R71" s="85"/>
      <c r="S71" s="85"/>
      <c r="T71" s="88"/>
      <c r="U71" s="2304"/>
      <c r="V71" s="3344"/>
    </row>
    <row r="72" spans="1:22" x14ac:dyDescent="0.35">
      <c r="A72" s="93" t="s">
        <v>1040</v>
      </c>
      <c r="B72" s="80"/>
      <c r="C72" s="80"/>
      <c r="D72" s="80"/>
      <c r="E72" s="80"/>
      <c r="F72" s="80"/>
      <c r="G72" s="80"/>
      <c r="H72" s="80"/>
      <c r="I72" s="80"/>
      <c r="J72" s="80"/>
      <c r="K72" s="80"/>
      <c r="L72" s="80"/>
      <c r="M72" s="80"/>
      <c r="N72" s="80"/>
      <c r="O72" s="80"/>
      <c r="P72" s="80"/>
      <c r="Q72" s="80"/>
      <c r="R72" s="80"/>
      <c r="S72" s="80"/>
      <c r="T72" s="2303" t="s">
        <v>1940</v>
      </c>
      <c r="U72" s="3343" t="s">
        <v>4550</v>
      </c>
      <c r="V72" s="3343" t="s">
        <v>2126</v>
      </c>
    </row>
    <row r="73" spans="1:22" ht="15" thickBot="1" x14ac:dyDescent="0.4">
      <c r="A73" s="88"/>
      <c r="B73" s="85"/>
      <c r="C73" s="85"/>
      <c r="D73" s="85"/>
      <c r="E73" s="85"/>
      <c r="F73" s="85"/>
      <c r="G73" s="85"/>
      <c r="H73" s="85"/>
      <c r="I73" s="85"/>
      <c r="J73" s="85"/>
      <c r="K73" s="85"/>
      <c r="L73" s="85"/>
      <c r="M73" s="85"/>
      <c r="N73" s="85"/>
      <c r="O73" s="85"/>
      <c r="P73" s="85"/>
      <c r="Q73" s="85"/>
      <c r="R73" s="85"/>
      <c r="S73" s="85"/>
      <c r="T73" s="2304"/>
      <c r="U73" s="3344"/>
      <c r="V73" s="3344"/>
    </row>
    <row r="74" spans="1:22" ht="15" thickBot="1" x14ac:dyDescent="0.4"/>
    <row r="75" spans="1:22" ht="15" thickBot="1" x14ac:dyDescent="0.4">
      <c r="A75" s="97" t="s">
        <v>1129</v>
      </c>
      <c r="B75" s="98"/>
      <c r="C75" s="64"/>
      <c r="D75" s="64"/>
      <c r="E75" s="64"/>
      <c r="F75" s="64"/>
      <c r="G75" s="64"/>
      <c r="H75" s="64"/>
      <c r="I75" s="64"/>
      <c r="J75" s="64"/>
      <c r="K75" s="64"/>
      <c r="L75" s="64"/>
      <c r="M75" s="64"/>
      <c r="N75" s="64"/>
      <c r="O75" s="64"/>
      <c r="P75" s="64"/>
      <c r="Q75" s="65"/>
    </row>
    <row r="76" spans="1:22" ht="15" thickBot="1" x14ac:dyDescent="0.4">
      <c r="A76" s="99"/>
      <c r="B76" s="69"/>
      <c r="C76" s="69"/>
      <c r="D76" s="69"/>
      <c r="E76" s="69"/>
      <c r="F76" s="69"/>
      <c r="G76" s="69"/>
      <c r="H76" s="69"/>
      <c r="I76" s="69"/>
      <c r="J76" s="69"/>
      <c r="K76" s="69"/>
      <c r="L76" s="69"/>
      <c r="M76" s="69"/>
      <c r="N76" s="69"/>
      <c r="O76" s="69"/>
      <c r="P76" s="69"/>
      <c r="Q76" s="100"/>
    </row>
    <row r="77" spans="1:22" ht="78.5" thickBot="1" x14ac:dyDescent="0.4">
      <c r="A77" s="99"/>
      <c r="B77" s="365" t="s">
        <v>1684</v>
      </c>
      <c r="C77" s="366" t="s">
        <v>4367</v>
      </c>
      <c r="D77" s="293" t="s">
        <v>4551</v>
      </c>
      <c r="E77" s="56" t="s">
        <v>4495</v>
      </c>
      <c r="F77" s="56" t="s">
        <v>4496</v>
      </c>
      <c r="G77" s="2308" t="s">
        <v>4552</v>
      </c>
      <c r="H77" s="2308" t="s">
        <v>4553</v>
      </c>
      <c r="I77" s="369" t="s">
        <v>2526</v>
      </c>
      <c r="J77" s="369" t="s">
        <v>3178</v>
      </c>
      <c r="K77" s="369" t="s">
        <v>3296</v>
      </c>
      <c r="L77" s="369" t="s">
        <v>4381</v>
      </c>
      <c r="M77" s="69"/>
      <c r="N77" s="69"/>
      <c r="O77" s="69"/>
      <c r="P77" s="69"/>
      <c r="Q77" s="100"/>
    </row>
    <row r="78" spans="1:22" ht="20.25" customHeight="1" thickBot="1" x14ac:dyDescent="0.4">
      <c r="A78" s="99"/>
      <c r="B78" s="106" t="s">
        <v>1705</v>
      </c>
      <c r="C78" s="329">
        <v>820</v>
      </c>
      <c r="D78" s="107">
        <v>5352</v>
      </c>
      <c r="E78" s="101">
        <v>512</v>
      </c>
      <c r="F78" s="101">
        <v>467</v>
      </c>
      <c r="G78" s="49">
        <v>263</v>
      </c>
      <c r="H78" s="621">
        <v>3322</v>
      </c>
      <c r="I78" s="3413" t="s">
        <v>3174</v>
      </c>
      <c r="J78" s="370" t="s">
        <v>3298</v>
      </c>
      <c r="K78" s="371">
        <v>6.8</v>
      </c>
      <c r="L78" s="371">
        <v>1.7</v>
      </c>
      <c r="M78" s="69"/>
      <c r="N78" s="69"/>
      <c r="O78" s="69"/>
      <c r="P78" s="69"/>
      <c r="Q78" s="100"/>
    </row>
    <row r="79" spans="1:22" ht="15" thickBot="1" x14ac:dyDescent="0.4">
      <c r="A79" s="99"/>
      <c r="B79" s="106" t="s">
        <v>1691</v>
      </c>
      <c r="C79" s="329">
        <v>842</v>
      </c>
      <c r="D79" s="107">
        <v>5113</v>
      </c>
      <c r="E79" s="101">
        <v>570</v>
      </c>
      <c r="F79" s="101">
        <v>506</v>
      </c>
      <c r="G79" s="49">
        <v>281</v>
      </c>
      <c r="H79" s="621">
        <v>3079</v>
      </c>
      <c r="I79" s="3414"/>
      <c r="J79" s="370" t="s">
        <v>4497</v>
      </c>
      <c r="K79" s="371">
        <v>7.7</v>
      </c>
      <c r="L79" s="371">
        <v>1.92</v>
      </c>
      <c r="M79" s="69"/>
      <c r="N79" s="69"/>
      <c r="O79" s="69"/>
      <c r="P79" s="69"/>
      <c r="Q79" s="100"/>
    </row>
    <row r="80" spans="1:22" ht="15" thickBot="1" x14ac:dyDescent="0.4">
      <c r="A80" s="99"/>
      <c r="B80" s="106" t="s">
        <v>1706</v>
      </c>
      <c r="C80" s="372">
        <v>1108</v>
      </c>
      <c r="D80" s="107">
        <v>4379</v>
      </c>
      <c r="E80" s="101">
        <v>730</v>
      </c>
      <c r="F80" s="101">
        <v>663</v>
      </c>
      <c r="G80" s="49">
        <v>436</v>
      </c>
      <c r="H80" s="621">
        <v>2550</v>
      </c>
      <c r="I80" s="3415"/>
      <c r="J80" s="370" t="s">
        <v>4498</v>
      </c>
      <c r="K80" s="371">
        <v>8.1999999999999993</v>
      </c>
      <c r="L80" s="371">
        <v>2.04</v>
      </c>
      <c r="M80" s="69"/>
      <c r="N80" s="69"/>
      <c r="O80" s="69"/>
      <c r="P80" s="69"/>
      <c r="Q80" s="100"/>
    </row>
    <row r="81" spans="1:17" ht="15" customHeight="1" thickBot="1" x14ac:dyDescent="0.4">
      <c r="A81" s="99"/>
      <c r="B81" s="106" t="s">
        <v>1707</v>
      </c>
      <c r="C81" s="372">
        <v>1570</v>
      </c>
      <c r="D81" s="107">
        <v>3378</v>
      </c>
      <c r="E81" s="108">
        <v>1035</v>
      </c>
      <c r="F81" s="101">
        <v>940</v>
      </c>
      <c r="G81" s="49">
        <v>538</v>
      </c>
      <c r="H81" s="621">
        <v>1789</v>
      </c>
      <c r="I81" s="370" t="s">
        <v>3301</v>
      </c>
      <c r="J81" s="370" t="s">
        <v>1284</v>
      </c>
      <c r="K81" s="371" t="s">
        <v>1284</v>
      </c>
      <c r="L81" s="371">
        <v>1</v>
      </c>
      <c r="M81" s="69"/>
      <c r="N81" s="69"/>
      <c r="O81" s="69"/>
      <c r="P81" s="69"/>
      <c r="Q81" s="100"/>
    </row>
    <row r="82" spans="1:17" x14ac:dyDescent="0.35">
      <c r="A82" s="99"/>
      <c r="B82" s="106" t="s">
        <v>1708</v>
      </c>
      <c r="C82" s="374">
        <v>1370</v>
      </c>
      <c r="D82" s="108">
        <v>3438</v>
      </c>
      <c r="E82" s="101">
        <v>903</v>
      </c>
      <c r="F82" s="101">
        <v>820</v>
      </c>
      <c r="G82" s="49">
        <v>570</v>
      </c>
      <c r="H82" s="621">
        <v>1796</v>
      </c>
      <c r="I82" s="69"/>
      <c r="J82" s="69"/>
      <c r="K82" s="69"/>
      <c r="L82" s="69"/>
      <c r="M82" s="69"/>
      <c r="N82" s="69"/>
      <c r="O82" s="69"/>
      <c r="P82" s="69"/>
      <c r="Q82" s="100"/>
    </row>
    <row r="83" spans="1:17" x14ac:dyDescent="0.35">
      <c r="A83" s="99"/>
      <c r="B83" s="375" t="s">
        <v>1185</v>
      </c>
      <c r="C83" s="297">
        <v>947</v>
      </c>
      <c r="D83" s="108">
        <v>4860</v>
      </c>
      <c r="E83" s="101">
        <v>629</v>
      </c>
      <c r="F83" s="101">
        <v>564</v>
      </c>
      <c r="G83" s="49">
        <v>325</v>
      </c>
      <c r="H83" s="621">
        <v>2895</v>
      </c>
      <c r="I83" s="69"/>
      <c r="J83" s="69"/>
      <c r="K83" s="69"/>
      <c r="L83" s="69"/>
      <c r="M83" s="69"/>
      <c r="N83" s="69"/>
      <c r="O83" s="69"/>
      <c r="P83" s="69"/>
      <c r="Q83" s="100"/>
    </row>
    <row r="84" spans="1:17" x14ac:dyDescent="0.35">
      <c r="A84" s="99"/>
      <c r="B84" s="375" t="s">
        <v>1696</v>
      </c>
      <c r="C84" s="297">
        <f t="shared" ref="C84:H84" si="3">C78*$D$92+C79*$D$93+C80*$D$94</f>
        <v>862</v>
      </c>
      <c r="D84" s="108">
        <f t="shared" si="3"/>
        <v>5111.2999999999993</v>
      </c>
      <c r="E84" s="101">
        <f t="shared" si="3"/>
        <v>568.6</v>
      </c>
      <c r="F84" s="101">
        <f t="shared" si="3"/>
        <v>509.99999999999994</v>
      </c>
      <c r="G84" s="123">
        <f t="shared" si="3"/>
        <v>291.10000000000002</v>
      </c>
      <c r="H84" s="621">
        <f t="shared" si="3"/>
        <v>3099</v>
      </c>
      <c r="I84" s="69"/>
      <c r="J84" s="69"/>
      <c r="K84" s="69"/>
      <c r="L84" s="69"/>
      <c r="M84" s="69"/>
      <c r="N84" s="69"/>
      <c r="O84" s="69"/>
      <c r="P84" s="69"/>
      <c r="Q84" s="100"/>
    </row>
    <row r="85" spans="1:17" x14ac:dyDescent="0.35">
      <c r="A85" s="99"/>
      <c r="B85" s="69"/>
      <c r="C85" s="69"/>
      <c r="D85" s="69"/>
      <c r="E85" s="69"/>
      <c r="F85" s="69"/>
      <c r="G85" s="69"/>
      <c r="H85" s="69"/>
      <c r="I85" s="69"/>
      <c r="J85" s="69"/>
      <c r="K85" s="69"/>
      <c r="L85" s="69"/>
      <c r="M85" s="69"/>
      <c r="N85" s="69"/>
      <c r="O85" s="69"/>
      <c r="P85" s="69"/>
      <c r="Q85" s="100"/>
    </row>
    <row r="86" spans="1:17" x14ac:dyDescent="0.35">
      <c r="A86" s="99"/>
      <c r="B86" s="69"/>
      <c r="C86" s="69"/>
      <c r="D86" s="69"/>
      <c r="E86" s="69"/>
      <c r="F86" s="69"/>
      <c r="G86" s="69"/>
      <c r="H86" s="69"/>
      <c r="I86" s="69"/>
      <c r="J86" s="69"/>
      <c r="K86" s="69"/>
      <c r="L86" s="69"/>
      <c r="M86" s="69"/>
      <c r="N86" s="69"/>
      <c r="O86" s="69"/>
      <c r="P86" s="69"/>
      <c r="Q86" s="100"/>
    </row>
    <row r="87" spans="1:17" x14ac:dyDescent="0.35">
      <c r="A87" s="99"/>
      <c r="B87" s="69"/>
      <c r="C87" s="69"/>
      <c r="D87" s="69"/>
      <c r="E87" s="69"/>
      <c r="F87" s="69"/>
      <c r="G87" s="69"/>
      <c r="H87" s="69"/>
      <c r="I87" s="69"/>
      <c r="J87" s="69"/>
      <c r="K87" s="69"/>
      <c r="L87" s="69"/>
      <c r="M87" s="69"/>
      <c r="N87" s="69"/>
      <c r="O87" s="69"/>
      <c r="P87" s="69"/>
      <c r="Q87" s="100"/>
    </row>
    <row r="88" spans="1:17" x14ac:dyDescent="0.35">
      <c r="A88" s="99"/>
      <c r="B88" s="69"/>
      <c r="C88" s="69"/>
      <c r="D88" s="69"/>
      <c r="E88" s="69"/>
      <c r="F88" s="69"/>
      <c r="G88" s="69"/>
      <c r="H88" s="69"/>
      <c r="I88" s="69"/>
      <c r="J88" s="69"/>
      <c r="K88" s="69"/>
      <c r="L88" s="69"/>
      <c r="M88" s="69"/>
      <c r="N88" s="69"/>
      <c r="O88" s="69"/>
      <c r="P88" s="69"/>
      <c r="Q88" s="100"/>
    </row>
    <row r="89" spans="1:17" x14ac:dyDescent="0.35">
      <c r="A89" s="99"/>
      <c r="B89" s="69"/>
      <c r="C89" s="69"/>
      <c r="D89" s="69"/>
      <c r="E89" s="69"/>
      <c r="F89" s="69"/>
      <c r="G89" s="69"/>
      <c r="H89" s="69"/>
      <c r="I89" s="69"/>
      <c r="J89" s="69"/>
      <c r="K89" s="69"/>
      <c r="L89" s="69"/>
      <c r="M89" s="69"/>
      <c r="N89" s="69"/>
      <c r="O89" s="69"/>
      <c r="P89" s="69"/>
      <c r="Q89" s="100"/>
    </row>
    <row r="90" spans="1:17" x14ac:dyDescent="0.35">
      <c r="A90" s="99"/>
      <c r="B90" s="69"/>
      <c r="C90" s="69"/>
      <c r="D90" s="69"/>
      <c r="E90" s="69"/>
      <c r="F90" s="69"/>
      <c r="G90" s="69"/>
      <c r="H90" s="69"/>
      <c r="I90" s="69"/>
      <c r="J90" s="69"/>
      <c r="K90" s="69"/>
      <c r="L90" s="69"/>
      <c r="M90" s="69"/>
      <c r="N90" s="69"/>
      <c r="O90" s="69"/>
      <c r="P90" s="69"/>
      <c r="Q90" s="100"/>
    </row>
    <row r="91" spans="1:17" x14ac:dyDescent="0.35">
      <c r="A91" s="99"/>
      <c r="B91" s="3361" t="s">
        <v>3320</v>
      </c>
      <c r="C91" s="3139"/>
      <c r="D91" s="3074"/>
      <c r="E91" s="69"/>
      <c r="F91" s="69"/>
      <c r="G91" s="69"/>
      <c r="H91" s="69"/>
      <c r="I91" s="69"/>
      <c r="J91" s="69"/>
      <c r="K91" s="69"/>
      <c r="L91" s="69"/>
      <c r="M91" s="69"/>
      <c r="N91" s="69"/>
      <c r="O91" s="69"/>
      <c r="P91" s="69"/>
      <c r="Q91" s="100"/>
    </row>
    <row r="92" spans="1:17" x14ac:dyDescent="0.35">
      <c r="A92" s="99"/>
      <c r="B92" s="290" t="s">
        <v>3068</v>
      </c>
      <c r="C92" s="49" t="s">
        <v>2632</v>
      </c>
      <c r="D92" s="49">
        <v>0.3</v>
      </c>
      <c r="E92" s="69"/>
      <c r="F92" s="69"/>
      <c r="G92" s="69"/>
      <c r="H92" s="69"/>
      <c r="I92" s="69"/>
      <c r="J92" s="69"/>
      <c r="K92" s="69"/>
      <c r="L92" s="69"/>
      <c r="M92" s="69"/>
      <c r="N92" s="69"/>
      <c r="O92" s="69"/>
      <c r="P92" s="69"/>
      <c r="Q92" s="100"/>
    </row>
    <row r="93" spans="1:17" x14ac:dyDescent="0.35">
      <c r="A93" s="99"/>
      <c r="B93" s="290" t="s">
        <v>2389</v>
      </c>
      <c r="C93" s="49" t="s">
        <v>2633</v>
      </c>
      <c r="D93" s="49">
        <v>0.6</v>
      </c>
      <c r="E93" s="69"/>
      <c r="F93" s="69"/>
      <c r="G93" s="69"/>
      <c r="H93" s="69"/>
      <c r="I93" s="69"/>
      <c r="J93" s="69"/>
      <c r="K93" s="69"/>
      <c r="L93" s="69"/>
      <c r="M93" s="69"/>
      <c r="N93" s="69"/>
      <c r="O93" s="69"/>
      <c r="P93" s="69"/>
      <c r="Q93" s="100"/>
    </row>
    <row r="94" spans="1:17" x14ac:dyDescent="0.35">
      <c r="A94" s="99"/>
      <c r="B94" s="290" t="s">
        <v>2390</v>
      </c>
      <c r="C94" s="49" t="s">
        <v>2634</v>
      </c>
      <c r="D94" s="49">
        <v>0.1</v>
      </c>
      <c r="E94" s="69"/>
      <c r="F94" s="69"/>
      <c r="G94" s="69"/>
      <c r="H94" s="69"/>
      <c r="I94" s="69"/>
      <c r="J94" s="69"/>
      <c r="K94" s="69"/>
      <c r="L94" s="69"/>
      <c r="M94" s="69"/>
      <c r="N94" s="69"/>
      <c r="O94" s="69"/>
      <c r="P94" s="69"/>
      <c r="Q94" s="100"/>
    </row>
    <row r="95" spans="1:17" x14ac:dyDescent="0.35">
      <c r="A95" s="99"/>
      <c r="B95" s="69"/>
      <c r="C95" s="69"/>
      <c r="D95" s="69"/>
      <c r="E95" s="69"/>
      <c r="F95" s="69"/>
      <c r="G95" s="69"/>
      <c r="H95" s="69"/>
      <c r="I95" s="69"/>
      <c r="J95" s="69"/>
      <c r="K95" s="69"/>
      <c r="L95" s="69"/>
      <c r="M95" s="69"/>
      <c r="N95" s="69"/>
      <c r="O95" s="69"/>
      <c r="P95" s="69"/>
      <c r="Q95" s="100"/>
    </row>
    <row r="96" spans="1:17" ht="15" thickBot="1" x14ac:dyDescent="0.4">
      <c r="A96" s="99"/>
      <c r="B96" s="69"/>
      <c r="C96" s="69"/>
      <c r="D96" s="69"/>
      <c r="E96" s="69"/>
      <c r="F96" s="69"/>
      <c r="G96" s="69"/>
      <c r="H96" s="69"/>
      <c r="I96" s="69"/>
      <c r="J96" s="69"/>
      <c r="K96" s="69"/>
      <c r="L96" s="69"/>
      <c r="M96" s="69"/>
      <c r="N96" s="69"/>
      <c r="O96" s="69"/>
      <c r="P96" s="69"/>
      <c r="Q96" s="100"/>
    </row>
    <row r="97" spans="1:17" ht="26" x14ac:dyDescent="0.35">
      <c r="A97" s="99"/>
      <c r="B97" s="69"/>
      <c r="C97" s="200" t="s">
        <v>4118</v>
      </c>
      <c r="D97" s="200" t="s">
        <v>4251</v>
      </c>
      <c r="E97" s="69"/>
      <c r="F97" s="69"/>
      <c r="G97" s="69"/>
      <c r="H97" s="69"/>
      <c r="I97" s="69"/>
      <c r="J97" s="69"/>
      <c r="K97" s="69"/>
      <c r="L97" s="69"/>
      <c r="M97" s="69"/>
      <c r="N97" s="69"/>
      <c r="O97" s="69"/>
      <c r="P97" s="69"/>
      <c r="Q97" s="100"/>
    </row>
    <row r="98" spans="1:17" x14ac:dyDescent="0.35">
      <c r="A98" s="99"/>
      <c r="B98" s="3416" t="s">
        <v>3663</v>
      </c>
      <c r="C98" s="2310" t="s">
        <v>3298</v>
      </c>
      <c r="D98" s="2173">
        <v>10</v>
      </c>
      <c r="E98" s="69"/>
      <c r="F98" s="69"/>
      <c r="G98" s="69"/>
      <c r="H98" s="69"/>
      <c r="I98" s="69"/>
      <c r="J98" s="69"/>
      <c r="K98" s="69"/>
      <c r="L98" s="69"/>
      <c r="M98" s="69"/>
      <c r="N98" s="69"/>
      <c r="O98" s="69"/>
      <c r="P98" s="69"/>
      <c r="Q98" s="100"/>
    </row>
    <row r="99" spans="1:17" x14ac:dyDescent="0.35">
      <c r="A99" s="99"/>
      <c r="B99" s="3416"/>
      <c r="C99" s="2310" t="s">
        <v>4241</v>
      </c>
      <c r="D99" s="2173">
        <v>13</v>
      </c>
      <c r="E99" s="69"/>
      <c r="F99" s="69"/>
      <c r="G99" s="69"/>
      <c r="H99" s="69"/>
      <c r="I99" s="69"/>
      <c r="J99" s="69"/>
      <c r="K99" s="69"/>
      <c r="L99" s="69"/>
      <c r="M99" s="69"/>
      <c r="N99" s="69"/>
      <c r="O99" s="69"/>
      <c r="P99" s="69"/>
      <c r="Q99" s="100"/>
    </row>
    <row r="100" spans="1:17" x14ac:dyDescent="0.35">
      <c r="A100" s="99"/>
      <c r="B100" s="3416"/>
      <c r="C100" s="2310" t="s">
        <v>3300</v>
      </c>
      <c r="D100" s="2173">
        <v>13</v>
      </c>
      <c r="E100" s="69"/>
      <c r="F100" s="69"/>
      <c r="G100" s="69"/>
      <c r="H100" s="69"/>
      <c r="I100" s="69"/>
      <c r="J100" s="69"/>
      <c r="K100" s="69"/>
      <c r="L100" s="69"/>
      <c r="M100" s="69"/>
      <c r="N100" s="69"/>
      <c r="O100" s="69"/>
      <c r="P100" s="69"/>
      <c r="Q100" s="100"/>
    </row>
    <row r="101" spans="1:17" x14ac:dyDescent="0.35">
      <c r="A101" s="99"/>
      <c r="B101" s="3416" t="s">
        <v>3174</v>
      </c>
      <c r="C101" s="2310" t="s">
        <v>3298</v>
      </c>
      <c r="D101" s="2173">
        <v>10</v>
      </c>
      <c r="E101" s="69"/>
      <c r="F101" s="69"/>
      <c r="G101" s="69"/>
      <c r="H101" s="69"/>
      <c r="I101" s="69"/>
      <c r="J101" s="69"/>
      <c r="K101" s="69"/>
      <c r="L101" s="69"/>
      <c r="M101" s="69"/>
      <c r="N101" s="69"/>
      <c r="O101" s="69"/>
      <c r="P101" s="69"/>
      <c r="Q101" s="100"/>
    </row>
    <row r="102" spans="1:17" x14ac:dyDescent="0.35">
      <c r="A102" s="99"/>
      <c r="B102" s="3416"/>
      <c r="C102" s="2310" t="s">
        <v>4241</v>
      </c>
      <c r="D102" s="2173">
        <v>13</v>
      </c>
      <c r="E102" s="69"/>
      <c r="F102" s="69"/>
      <c r="G102" s="69"/>
      <c r="H102" s="69"/>
      <c r="I102" s="69"/>
      <c r="J102" s="69"/>
      <c r="K102" s="69"/>
      <c r="L102" s="69"/>
      <c r="M102" s="69"/>
      <c r="N102" s="69"/>
      <c r="O102" s="69"/>
      <c r="P102" s="69"/>
      <c r="Q102" s="100"/>
    </row>
    <row r="103" spans="1:17" x14ac:dyDescent="0.35">
      <c r="A103" s="99"/>
      <c r="B103" s="3416"/>
      <c r="C103" s="2310" t="s">
        <v>3300</v>
      </c>
      <c r="D103" s="2173">
        <v>14</v>
      </c>
      <c r="E103" s="69"/>
      <c r="F103" s="69"/>
      <c r="G103" s="69"/>
      <c r="H103" s="69"/>
      <c r="I103" s="69"/>
      <c r="J103" s="69"/>
      <c r="K103" s="69"/>
      <c r="L103" s="69"/>
      <c r="M103" s="69"/>
      <c r="N103" s="69"/>
      <c r="O103" s="69"/>
      <c r="P103" s="69"/>
      <c r="Q103" s="100"/>
    </row>
    <row r="104" spans="1:17" x14ac:dyDescent="0.35">
      <c r="A104" s="99"/>
      <c r="B104" s="69"/>
      <c r="C104" s="69"/>
      <c r="D104" s="69"/>
      <c r="E104" s="69"/>
      <c r="F104" s="69"/>
      <c r="G104" s="69"/>
      <c r="H104" s="69"/>
      <c r="I104" s="69"/>
      <c r="J104" s="69"/>
      <c r="K104" s="69"/>
      <c r="L104" s="69"/>
      <c r="M104" s="69"/>
      <c r="N104" s="69"/>
      <c r="O104" s="69"/>
      <c r="P104" s="69"/>
      <c r="Q104" s="100"/>
    </row>
    <row r="105" spans="1:17" x14ac:dyDescent="0.35">
      <c r="A105" s="99"/>
      <c r="B105" s="293" t="s">
        <v>4245</v>
      </c>
      <c r="C105" s="69"/>
      <c r="D105" s="69"/>
      <c r="E105" s="69"/>
      <c r="F105" s="69"/>
      <c r="G105" s="69"/>
      <c r="H105" s="69"/>
      <c r="I105" s="69"/>
      <c r="J105" s="69"/>
      <c r="K105" s="69"/>
      <c r="L105" s="69"/>
      <c r="M105" s="69"/>
      <c r="N105" s="69"/>
      <c r="O105" s="69"/>
      <c r="P105" s="69"/>
      <c r="Q105" s="100"/>
    </row>
    <row r="106" spans="1:17" x14ac:dyDescent="0.35">
      <c r="A106" s="99"/>
      <c r="B106" s="49" t="s">
        <v>1529</v>
      </c>
      <c r="C106" s="69"/>
      <c r="D106" s="69"/>
      <c r="E106" s="69"/>
      <c r="F106" s="69"/>
      <c r="G106" s="69"/>
      <c r="H106" s="69"/>
      <c r="I106" s="69"/>
      <c r="J106" s="69"/>
      <c r="K106" s="69"/>
      <c r="L106" s="69"/>
      <c r="M106" s="69"/>
      <c r="N106" s="69"/>
      <c r="O106" s="69"/>
      <c r="P106" s="69"/>
      <c r="Q106" s="100"/>
    </row>
    <row r="107" spans="1:17" x14ac:dyDescent="0.35">
      <c r="A107" s="99"/>
      <c r="B107" s="49" t="s">
        <v>1566</v>
      </c>
      <c r="C107" s="69"/>
      <c r="D107" s="69"/>
      <c r="E107" s="69"/>
      <c r="F107" s="69"/>
      <c r="G107" s="69"/>
      <c r="H107" s="69"/>
      <c r="I107" s="69"/>
      <c r="J107" s="69"/>
      <c r="K107" s="69"/>
      <c r="L107" s="69"/>
      <c r="M107" s="69"/>
      <c r="N107" s="69"/>
      <c r="O107" s="69"/>
      <c r="P107" s="69"/>
      <c r="Q107" s="100"/>
    </row>
    <row r="108" spans="1:17" x14ac:dyDescent="0.35">
      <c r="A108" s="99"/>
      <c r="B108" s="69"/>
      <c r="C108" s="69"/>
      <c r="D108" s="69"/>
      <c r="E108" s="69"/>
      <c r="F108" s="69"/>
      <c r="G108" s="69"/>
      <c r="H108" s="69"/>
      <c r="I108" s="69"/>
      <c r="J108" s="69"/>
      <c r="K108" s="69"/>
      <c r="L108" s="69"/>
      <c r="M108" s="69"/>
      <c r="N108" s="69"/>
      <c r="O108" s="69"/>
      <c r="P108" s="69"/>
      <c r="Q108" s="100"/>
    </row>
    <row r="109" spans="1:17" x14ac:dyDescent="0.35">
      <c r="A109" s="99"/>
      <c r="B109" s="293" t="s">
        <v>4372</v>
      </c>
      <c r="C109" s="69"/>
      <c r="D109" s="69"/>
      <c r="E109" s="69"/>
      <c r="F109" s="69"/>
      <c r="G109" s="69"/>
      <c r="H109" s="69"/>
      <c r="I109" s="69"/>
      <c r="J109" s="69"/>
      <c r="K109" s="69"/>
      <c r="L109" s="69"/>
      <c r="M109" s="69"/>
      <c r="N109" s="69"/>
      <c r="O109" s="69"/>
      <c r="P109" s="69"/>
      <c r="Q109" s="100"/>
    </row>
    <row r="110" spans="1:17" x14ac:dyDescent="0.35">
      <c r="A110" s="99"/>
      <c r="B110" s="49" t="s">
        <v>3224</v>
      </c>
      <c r="C110" s="69"/>
      <c r="D110" s="69"/>
      <c r="E110" s="69"/>
      <c r="F110" s="69"/>
      <c r="G110" s="69"/>
      <c r="H110" s="69"/>
      <c r="I110" s="69"/>
      <c r="J110" s="69"/>
      <c r="K110" s="69"/>
      <c r="L110" s="69"/>
      <c r="M110" s="69"/>
      <c r="N110" s="69"/>
      <c r="O110" s="69"/>
      <c r="P110" s="69"/>
      <c r="Q110" s="100"/>
    </row>
    <row r="111" spans="1:17" x14ac:dyDescent="0.35">
      <c r="A111" s="99"/>
      <c r="B111" s="49" t="s">
        <v>3557</v>
      </c>
      <c r="C111" s="69"/>
      <c r="D111" s="69"/>
      <c r="E111" s="69"/>
      <c r="F111" s="69"/>
      <c r="G111" s="69"/>
      <c r="H111" s="69"/>
      <c r="I111" s="69"/>
      <c r="J111" s="69"/>
      <c r="K111" s="69"/>
      <c r="L111" s="69"/>
      <c r="M111" s="69"/>
      <c r="N111" s="69"/>
      <c r="O111" s="69"/>
      <c r="P111" s="69"/>
      <c r="Q111" s="100"/>
    </row>
    <row r="112" spans="1:17" x14ac:dyDescent="0.35">
      <c r="A112" s="99"/>
      <c r="B112" s="69"/>
      <c r="C112" s="69"/>
      <c r="D112" s="69"/>
      <c r="E112" s="69"/>
      <c r="F112" s="69"/>
      <c r="G112" s="69"/>
      <c r="H112" s="69"/>
      <c r="I112" s="69"/>
      <c r="J112" s="69"/>
      <c r="K112" s="69"/>
      <c r="L112" s="69"/>
      <c r="M112" s="69"/>
      <c r="N112" s="69"/>
      <c r="O112" s="69"/>
      <c r="P112" s="69"/>
      <c r="Q112" s="100"/>
    </row>
    <row r="113" spans="1:17" x14ac:dyDescent="0.35">
      <c r="A113" s="99"/>
      <c r="B113" s="293" t="s">
        <v>4499</v>
      </c>
      <c r="C113" s="49"/>
      <c r="D113" s="69"/>
      <c r="E113" s="69"/>
      <c r="F113" s="69"/>
      <c r="G113" s="69"/>
      <c r="H113" s="69"/>
      <c r="I113" s="69"/>
      <c r="J113" s="69"/>
      <c r="K113" s="69"/>
      <c r="L113" s="69"/>
      <c r="M113" s="69"/>
      <c r="N113" s="69"/>
      <c r="O113" s="69"/>
      <c r="P113" s="69"/>
      <c r="Q113" s="100"/>
    </row>
    <row r="114" spans="1:17" x14ac:dyDescent="0.35">
      <c r="A114" s="99"/>
      <c r="B114" s="49" t="s">
        <v>4554</v>
      </c>
      <c r="C114" s="49"/>
      <c r="D114" s="69"/>
      <c r="E114" s="69"/>
      <c r="F114" s="69"/>
      <c r="G114" s="69"/>
      <c r="H114" s="69"/>
      <c r="I114" s="69"/>
      <c r="J114" s="69"/>
      <c r="K114" s="69"/>
      <c r="L114" s="69"/>
      <c r="M114" s="69"/>
      <c r="N114" s="69"/>
      <c r="O114" s="69"/>
      <c r="P114" s="69"/>
      <c r="Q114" s="100"/>
    </row>
    <row r="115" spans="1:17" x14ac:dyDescent="0.35">
      <c r="A115" s="99"/>
      <c r="B115" s="49" t="s">
        <v>4501</v>
      </c>
      <c r="C115" s="49"/>
      <c r="D115" s="69"/>
      <c r="E115" s="69"/>
      <c r="F115" s="69"/>
      <c r="G115" s="69"/>
      <c r="H115" s="69"/>
      <c r="I115" s="69"/>
      <c r="J115" s="69"/>
      <c r="K115" s="69"/>
      <c r="L115" s="69"/>
      <c r="M115" s="69"/>
      <c r="N115" s="69"/>
      <c r="O115" s="69"/>
      <c r="P115" s="69"/>
      <c r="Q115" s="100"/>
    </row>
    <row r="116" spans="1:17" x14ac:dyDescent="0.35">
      <c r="A116" s="99"/>
      <c r="B116" s="69"/>
      <c r="C116" s="69"/>
      <c r="D116" s="69"/>
      <c r="E116" s="69"/>
      <c r="F116" s="69"/>
      <c r="G116" s="69"/>
      <c r="H116" s="69"/>
      <c r="I116" s="69"/>
      <c r="J116" s="69"/>
      <c r="K116" s="69"/>
      <c r="L116" s="69"/>
      <c r="M116" s="69"/>
      <c r="N116" s="69"/>
      <c r="O116" s="69"/>
      <c r="P116" s="69"/>
      <c r="Q116" s="100"/>
    </row>
    <row r="117" spans="1:17" x14ac:dyDescent="0.35">
      <c r="A117" s="99"/>
      <c r="B117" s="69"/>
      <c r="C117" s="69"/>
      <c r="D117" s="69"/>
      <c r="E117" s="69"/>
      <c r="F117" s="69"/>
      <c r="G117" s="69"/>
      <c r="H117" s="69"/>
      <c r="I117" s="69"/>
      <c r="J117" s="69"/>
      <c r="K117" s="69"/>
      <c r="L117" s="69"/>
      <c r="M117" s="69"/>
      <c r="N117" s="69"/>
      <c r="O117" s="69"/>
      <c r="P117" s="69"/>
      <c r="Q117" s="100"/>
    </row>
    <row r="118" spans="1:17" x14ac:dyDescent="0.35">
      <c r="A118" s="99"/>
      <c r="B118" s="3399" t="s">
        <v>4373</v>
      </c>
      <c r="C118" s="3357"/>
      <c r="D118" s="3208"/>
      <c r="E118" s="69"/>
      <c r="F118" s="69"/>
      <c r="G118" s="69"/>
      <c r="H118" s="69"/>
      <c r="I118" s="69"/>
      <c r="J118" s="69"/>
      <c r="K118" s="69"/>
      <c r="L118" s="69"/>
      <c r="M118" s="69"/>
      <c r="N118" s="69"/>
      <c r="O118" s="69"/>
      <c r="P118" s="69"/>
      <c r="Q118" s="100"/>
    </row>
    <row r="119" spans="1:17" x14ac:dyDescent="0.35">
      <c r="A119" s="99"/>
      <c r="B119" s="49" t="s">
        <v>4433</v>
      </c>
      <c r="C119" s="49" t="s">
        <v>4331</v>
      </c>
      <c r="D119" s="291">
        <v>0.68</v>
      </c>
      <c r="E119" s="69"/>
      <c r="F119" s="69"/>
      <c r="G119" s="69"/>
      <c r="H119" s="69"/>
      <c r="I119" s="69"/>
      <c r="J119" s="69"/>
      <c r="K119" s="69"/>
      <c r="L119" s="69"/>
      <c r="M119" s="69"/>
      <c r="N119" s="69"/>
      <c r="O119" s="69"/>
      <c r="P119" s="69"/>
      <c r="Q119" s="100"/>
    </row>
    <row r="120" spans="1:17" x14ac:dyDescent="0.35">
      <c r="A120" s="99"/>
      <c r="B120" s="49" t="s">
        <v>3174</v>
      </c>
      <c r="C120" s="49" t="s">
        <v>4331</v>
      </c>
      <c r="D120" s="291">
        <v>0.72</v>
      </c>
      <c r="E120" s="69"/>
      <c r="F120" s="69"/>
      <c r="G120" s="69"/>
      <c r="H120" s="69"/>
      <c r="I120" s="69"/>
      <c r="J120" s="69"/>
      <c r="K120" s="69"/>
      <c r="L120" s="69"/>
      <c r="M120" s="69"/>
      <c r="N120" s="69"/>
      <c r="O120" s="69"/>
      <c r="P120" s="69"/>
      <c r="Q120" s="100"/>
    </row>
    <row r="121" spans="1:17" x14ac:dyDescent="0.35">
      <c r="A121" s="99"/>
      <c r="B121" s="49" t="s">
        <v>4393</v>
      </c>
      <c r="C121" s="49" t="s">
        <v>4374</v>
      </c>
      <c r="D121" s="303">
        <v>0.46600000000000003</v>
      </c>
      <c r="E121" s="69"/>
      <c r="F121" s="69"/>
      <c r="G121" s="69"/>
      <c r="H121" s="69"/>
      <c r="I121" s="69"/>
      <c r="J121" s="69"/>
      <c r="K121" s="69"/>
      <c r="L121" s="69"/>
      <c r="M121" s="69"/>
      <c r="N121" s="69"/>
      <c r="O121" s="69"/>
      <c r="P121" s="69"/>
      <c r="Q121" s="100"/>
    </row>
    <row r="122" spans="1:17" x14ac:dyDescent="0.35">
      <c r="A122" s="99"/>
      <c r="B122" s="69"/>
      <c r="C122" s="69"/>
      <c r="D122" s="69"/>
      <c r="E122" s="69"/>
      <c r="F122" s="69"/>
      <c r="G122" s="69"/>
      <c r="H122" s="69"/>
      <c r="I122" s="69"/>
      <c r="J122" s="69"/>
      <c r="K122" s="69"/>
      <c r="L122" s="69"/>
      <c r="M122" s="69"/>
      <c r="N122" s="69"/>
      <c r="O122" s="69"/>
      <c r="P122" s="69"/>
      <c r="Q122" s="100"/>
    </row>
    <row r="123" spans="1:17" x14ac:dyDescent="0.35">
      <c r="A123" s="99"/>
      <c r="B123" s="69"/>
      <c r="C123" s="69"/>
      <c r="D123" s="69"/>
      <c r="E123" s="69"/>
      <c r="F123" s="69"/>
      <c r="G123" s="69"/>
      <c r="H123" s="69"/>
      <c r="I123" s="69"/>
      <c r="J123" s="69"/>
      <c r="K123" s="69"/>
      <c r="L123" s="69"/>
      <c r="M123" s="69"/>
      <c r="N123" s="69"/>
      <c r="O123" s="69"/>
      <c r="P123" s="69"/>
      <c r="Q123" s="100"/>
    </row>
    <row r="124" spans="1:17" x14ac:dyDescent="0.35">
      <c r="A124" s="99"/>
      <c r="B124" s="69"/>
      <c r="C124" s="69"/>
      <c r="D124" s="69"/>
      <c r="E124" s="69"/>
      <c r="F124" s="69"/>
      <c r="G124" s="69"/>
      <c r="H124" s="69"/>
      <c r="I124" s="69"/>
      <c r="J124" s="69"/>
      <c r="K124" s="69"/>
      <c r="L124" s="69"/>
      <c r="M124" s="69"/>
      <c r="N124" s="69"/>
      <c r="O124" s="69"/>
      <c r="P124" s="69"/>
      <c r="Q124" s="100"/>
    </row>
    <row r="125" spans="1:17" x14ac:dyDescent="0.35">
      <c r="A125" s="99"/>
      <c r="B125" s="293" t="s">
        <v>4502</v>
      </c>
      <c r="C125" s="49"/>
      <c r="D125" s="69"/>
      <c r="E125" s="69"/>
      <c r="F125" s="69"/>
      <c r="G125" s="69"/>
      <c r="H125" s="69"/>
      <c r="I125" s="69"/>
      <c r="J125" s="69"/>
      <c r="K125" s="69"/>
      <c r="L125" s="69"/>
      <c r="M125" s="69"/>
      <c r="N125" s="69"/>
      <c r="O125" s="69"/>
      <c r="P125" s="69"/>
      <c r="Q125" s="100"/>
    </row>
    <row r="126" spans="1:17" x14ac:dyDescent="0.35">
      <c r="A126" s="99"/>
      <c r="B126" s="49" t="s">
        <v>4503</v>
      </c>
      <c r="C126" s="247">
        <v>0.59499022041057836</v>
      </c>
      <c r="D126" s="69"/>
      <c r="E126" s="69"/>
      <c r="F126" s="69"/>
      <c r="G126" s="69"/>
      <c r="H126" s="69"/>
      <c r="I126" s="69"/>
      <c r="J126" s="69"/>
      <c r="K126" s="69"/>
      <c r="L126" s="69"/>
      <c r="M126" s="69"/>
      <c r="N126" s="69"/>
      <c r="O126" s="69"/>
      <c r="P126" s="69"/>
      <c r="Q126" s="100"/>
    </row>
    <row r="127" spans="1:17" x14ac:dyDescent="0.35">
      <c r="A127" s="99"/>
      <c r="B127" s="49" t="s">
        <v>4504</v>
      </c>
      <c r="C127" s="247">
        <v>0.40500977958942158</v>
      </c>
      <c r="D127" s="69"/>
      <c r="E127" s="69"/>
      <c r="F127" s="69"/>
      <c r="G127" s="69"/>
      <c r="H127" s="69"/>
      <c r="I127" s="69"/>
      <c r="J127" s="69"/>
      <c r="K127" s="69"/>
      <c r="L127" s="69"/>
      <c r="M127" s="69"/>
      <c r="N127" s="69"/>
      <c r="O127" s="69"/>
      <c r="P127" s="69"/>
      <c r="Q127" s="100"/>
    </row>
    <row r="128" spans="1:17" x14ac:dyDescent="0.35">
      <c r="A128" s="99"/>
      <c r="B128" s="49"/>
      <c r="C128" s="49"/>
      <c r="D128" s="69"/>
      <c r="E128" s="69"/>
      <c r="F128" s="69"/>
      <c r="G128" s="69"/>
      <c r="H128" s="69"/>
      <c r="I128" s="69"/>
      <c r="J128" s="69"/>
      <c r="K128" s="69"/>
      <c r="L128" s="69"/>
      <c r="M128" s="69"/>
      <c r="N128" s="69"/>
      <c r="O128" s="69"/>
      <c r="P128" s="69"/>
      <c r="Q128" s="100"/>
    </row>
    <row r="129" spans="1:17" x14ac:dyDescent="0.35">
      <c r="A129" s="99"/>
      <c r="B129" s="49" t="s">
        <v>4555</v>
      </c>
      <c r="C129" s="49"/>
      <c r="D129" s="69"/>
      <c r="E129" s="69"/>
      <c r="F129" s="69"/>
      <c r="G129" s="69"/>
      <c r="H129" s="69"/>
      <c r="I129" s="69"/>
      <c r="J129" s="69"/>
      <c r="K129" s="69"/>
      <c r="L129" s="69"/>
      <c r="M129" s="69"/>
      <c r="N129" s="69"/>
      <c r="O129" s="69"/>
      <c r="P129" s="69"/>
      <c r="Q129" s="100"/>
    </row>
    <row r="130" spans="1:17" x14ac:dyDescent="0.35">
      <c r="A130" s="99"/>
      <c r="B130" s="49" t="s">
        <v>4556</v>
      </c>
      <c r="C130" s="49"/>
      <c r="D130" s="69"/>
      <c r="E130" s="69"/>
      <c r="F130" s="69"/>
      <c r="G130" s="69"/>
      <c r="H130" s="69"/>
      <c r="I130" s="69"/>
      <c r="J130" s="69"/>
      <c r="K130" s="69"/>
      <c r="L130" s="69"/>
      <c r="M130" s="69"/>
      <c r="N130" s="69"/>
      <c r="O130" s="69"/>
      <c r="P130" s="69"/>
      <c r="Q130" s="100"/>
    </row>
    <row r="131" spans="1:17" x14ac:dyDescent="0.35">
      <c r="A131" s="99"/>
      <c r="B131" s="49" t="s">
        <v>4557</v>
      </c>
      <c r="C131" s="49"/>
      <c r="D131" s="69"/>
      <c r="E131" s="69"/>
      <c r="F131" s="69"/>
      <c r="G131" s="69"/>
      <c r="H131" s="69"/>
      <c r="I131" s="69"/>
      <c r="J131" s="69"/>
      <c r="K131" s="69"/>
      <c r="L131" s="69"/>
      <c r="M131" s="69"/>
      <c r="N131" s="69"/>
      <c r="O131" s="69"/>
      <c r="P131" s="69"/>
      <c r="Q131" s="100"/>
    </row>
    <row r="132" spans="1:17" x14ac:dyDescent="0.35">
      <c r="A132" s="99"/>
      <c r="B132" s="49" t="s">
        <v>4558</v>
      </c>
      <c r="C132" s="49"/>
      <c r="D132" s="69"/>
      <c r="E132" s="69"/>
      <c r="F132" s="69"/>
      <c r="G132" s="69"/>
      <c r="H132" s="69"/>
      <c r="I132" s="69"/>
      <c r="J132" s="69"/>
      <c r="K132" s="69"/>
      <c r="L132" s="69"/>
      <c r="M132" s="69"/>
      <c r="N132" s="69"/>
      <c r="O132" s="69"/>
      <c r="P132" s="69"/>
      <c r="Q132" s="100"/>
    </row>
    <row r="133" spans="1:17" x14ac:dyDescent="0.35">
      <c r="A133" s="99"/>
      <c r="B133" s="69"/>
      <c r="C133" s="69"/>
      <c r="D133" s="69"/>
      <c r="E133" s="69"/>
      <c r="F133" s="69"/>
      <c r="G133" s="69"/>
      <c r="H133" s="69"/>
      <c r="I133" s="69"/>
      <c r="J133" s="69"/>
      <c r="K133" s="69"/>
      <c r="L133" s="69"/>
      <c r="M133" s="69"/>
      <c r="N133" s="69"/>
      <c r="O133" s="69"/>
      <c r="P133" s="69"/>
      <c r="Q133" s="100"/>
    </row>
    <row r="134" spans="1:17" x14ac:dyDescent="0.35">
      <c r="A134" s="99"/>
      <c r="B134" s="69"/>
      <c r="C134" s="69"/>
      <c r="D134" s="69"/>
      <c r="E134" s="69"/>
      <c r="F134" s="69"/>
      <c r="G134" s="69"/>
      <c r="H134" s="69"/>
      <c r="I134" s="69"/>
      <c r="J134" s="69"/>
      <c r="K134" s="69"/>
      <c r="L134" s="69"/>
      <c r="M134" s="69"/>
      <c r="N134" s="69"/>
      <c r="O134" s="69"/>
      <c r="P134" s="69"/>
      <c r="Q134" s="100"/>
    </row>
    <row r="135" spans="1:17" x14ac:dyDescent="0.35">
      <c r="A135" s="99"/>
      <c r="B135" s="69"/>
      <c r="C135" s="69"/>
      <c r="D135" s="69"/>
      <c r="E135" s="69"/>
      <c r="F135" s="69"/>
      <c r="G135" s="69"/>
      <c r="H135" s="69"/>
      <c r="I135" s="69"/>
      <c r="J135" s="69"/>
      <c r="K135" s="69"/>
      <c r="L135" s="69"/>
      <c r="M135" s="69"/>
      <c r="N135" s="69"/>
      <c r="O135" s="69"/>
      <c r="P135" s="69"/>
      <c r="Q135" s="100"/>
    </row>
    <row r="136" spans="1:17" x14ac:dyDescent="0.35">
      <c r="A136" s="99"/>
      <c r="B136" s="69"/>
      <c r="C136" s="69"/>
      <c r="D136" s="69"/>
      <c r="E136" s="69"/>
      <c r="F136" s="69"/>
      <c r="G136" s="69"/>
      <c r="H136" s="69"/>
      <c r="I136" s="69"/>
      <c r="J136" s="69"/>
      <c r="K136" s="69"/>
      <c r="L136" s="69"/>
      <c r="M136" s="69"/>
      <c r="N136" s="69"/>
      <c r="O136" s="69"/>
      <c r="P136" s="69"/>
      <c r="Q136" s="100"/>
    </row>
    <row r="137" spans="1:17" x14ac:dyDescent="0.35">
      <c r="A137" s="99"/>
      <c r="B137" s="69"/>
      <c r="C137" s="69"/>
      <c r="D137" s="69"/>
      <c r="E137" s="69"/>
      <c r="F137" s="69"/>
      <c r="G137" s="69"/>
      <c r="H137" s="69"/>
      <c r="I137" s="69"/>
      <c r="J137" s="69"/>
      <c r="K137" s="69"/>
      <c r="L137" s="69"/>
      <c r="M137" s="69"/>
      <c r="N137" s="69"/>
      <c r="O137" s="69"/>
      <c r="P137" s="69"/>
      <c r="Q137" s="100"/>
    </row>
    <row r="138" spans="1:17" x14ac:dyDescent="0.35">
      <c r="A138" s="99"/>
      <c r="B138" s="69"/>
      <c r="C138" s="69"/>
      <c r="D138" s="69"/>
      <c r="E138" s="69"/>
      <c r="F138" s="69"/>
      <c r="G138" s="69"/>
      <c r="H138" s="69"/>
      <c r="I138" s="69"/>
      <c r="J138" s="69"/>
      <c r="K138" s="69"/>
      <c r="L138" s="69"/>
      <c r="M138" s="69"/>
      <c r="N138" s="69"/>
      <c r="O138" s="69"/>
      <c r="P138" s="69"/>
      <c r="Q138" s="100"/>
    </row>
    <row r="139" spans="1:17" x14ac:dyDescent="0.35">
      <c r="A139" s="99"/>
      <c r="B139" s="69"/>
      <c r="C139" s="69"/>
      <c r="D139" s="69"/>
      <c r="E139" s="69"/>
      <c r="F139" s="69"/>
      <c r="G139" s="69"/>
      <c r="H139" s="69"/>
      <c r="I139" s="69"/>
      <c r="J139" s="69"/>
      <c r="K139" s="69"/>
      <c r="L139" s="69"/>
      <c r="M139" s="69"/>
      <c r="N139" s="69"/>
      <c r="O139" s="69"/>
      <c r="P139" s="69"/>
      <c r="Q139" s="100"/>
    </row>
    <row r="140" spans="1:17" x14ac:dyDescent="0.35">
      <c r="A140" s="99"/>
      <c r="B140" s="69"/>
      <c r="C140" s="69"/>
      <c r="D140" s="69"/>
      <c r="E140" s="69"/>
      <c r="F140" s="69"/>
      <c r="G140" s="69"/>
      <c r="H140" s="69"/>
      <c r="I140" s="69"/>
      <c r="J140" s="69"/>
      <c r="K140" s="69"/>
      <c r="L140" s="69"/>
      <c r="M140" s="69"/>
      <c r="N140" s="69"/>
      <c r="O140" s="69"/>
      <c r="P140" s="69"/>
      <c r="Q140" s="100"/>
    </row>
    <row r="141" spans="1:17" x14ac:dyDescent="0.35">
      <c r="A141" s="99"/>
      <c r="B141" s="69"/>
      <c r="C141" s="69"/>
      <c r="D141" s="69"/>
      <c r="E141" s="69"/>
      <c r="F141" s="69"/>
      <c r="G141" s="69"/>
      <c r="H141" s="69"/>
      <c r="I141" s="69"/>
      <c r="J141" s="69"/>
      <c r="K141" s="69"/>
      <c r="L141" s="69"/>
      <c r="M141" s="69"/>
      <c r="N141" s="69"/>
      <c r="O141" s="69"/>
      <c r="P141" s="69"/>
      <c r="Q141" s="100"/>
    </row>
    <row r="142" spans="1:17" ht="15" thickBot="1" x14ac:dyDescent="0.4">
      <c r="A142" s="261"/>
      <c r="B142" s="161"/>
      <c r="C142" s="161"/>
      <c r="D142" s="161"/>
      <c r="E142" s="161"/>
      <c r="F142" s="161"/>
      <c r="G142" s="161"/>
      <c r="H142" s="161"/>
      <c r="I142" s="161"/>
      <c r="J142" s="161"/>
      <c r="K142" s="161"/>
      <c r="L142" s="161"/>
      <c r="M142" s="161"/>
      <c r="N142" s="161"/>
      <c r="O142" s="161"/>
      <c r="P142" s="161"/>
      <c r="Q142" s="163"/>
    </row>
    <row r="146" spans="1:31" x14ac:dyDescent="0.35">
      <c r="B146" s="2322"/>
      <c r="C146" s="523"/>
    </row>
    <row r="147" spans="1:31" x14ac:dyDescent="0.35">
      <c r="C147" s="117"/>
      <c r="G147" s="2323"/>
      <c r="H147" s="2323"/>
      <c r="I147" s="2323"/>
      <c r="J147" s="2323"/>
      <c r="K147" s="2323"/>
      <c r="L147" s="2323"/>
      <c r="M147" s="2323"/>
      <c r="N147" s="2323"/>
      <c r="O147" s="2323"/>
      <c r="P147" s="2323"/>
      <c r="Q147" s="2323"/>
      <c r="R147" s="2323"/>
      <c r="S147" s="2323"/>
      <c r="T147" s="2323"/>
      <c r="U147" s="2323"/>
      <c r="V147" s="2323"/>
      <c r="W147" s="2323"/>
      <c r="X147" s="2323"/>
      <c r="Y147" s="2323"/>
      <c r="Z147" s="2323"/>
      <c r="AA147" s="2323"/>
      <c r="AB147" s="2323"/>
      <c r="AC147" s="2323"/>
      <c r="AD147" s="2323"/>
      <c r="AE147" s="2323"/>
    </row>
    <row r="148" spans="1:31" x14ac:dyDescent="0.35">
      <c r="C148" s="149"/>
    </row>
    <row r="149" spans="1:31" x14ac:dyDescent="0.35">
      <c r="C149" s="118"/>
    </row>
    <row r="150" spans="1:31" x14ac:dyDescent="0.35">
      <c r="C150" s="118"/>
    </row>
    <row r="151" spans="1:31" x14ac:dyDescent="0.35">
      <c r="C151" s="298"/>
      <c r="F151" s="119"/>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298"/>
    </row>
    <row r="152" spans="1:31" x14ac:dyDescent="0.35">
      <c r="C152" s="298"/>
      <c r="F152" s="119"/>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298"/>
    </row>
    <row r="153" spans="1:31" x14ac:dyDescent="0.35">
      <c r="C153" s="298"/>
      <c r="F153" s="119"/>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298"/>
    </row>
    <row r="154" spans="1:31" x14ac:dyDescent="0.35">
      <c r="C154" s="298"/>
      <c r="F154" s="119"/>
      <c r="G154" s="298"/>
      <c r="H154" s="298"/>
      <c r="I154" s="298"/>
      <c r="J154" s="298"/>
      <c r="K154" s="298"/>
      <c r="L154" s="298"/>
      <c r="M154" s="298"/>
      <c r="N154" s="298"/>
      <c r="O154" s="298"/>
      <c r="P154" s="298"/>
      <c r="Q154" s="298"/>
      <c r="R154" s="298"/>
      <c r="S154" s="298"/>
      <c r="T154" s="298"/>
      <c r="U154" s="298"/>
      <c r="V154" s="298"/>
      <c r="W154" s="298"/>
      <c r="X154" s="298"/>
      <c r="Y154" s="298"/>
      <c r="Z154" s="298"/>
      <c r="AA154" s="298"/>
      <c r="AB154" s="298"/>
      <c r="AC154" s="298"/>
      <c r="AD154" s="298"/>
      <c r="AE154" s="298"/>
    </row>
    <row r="155" spans="1:31" hidden="1" x14ac:dyDescent="0.35">
      <c r="A155" t="s">
        <v>4559</v>
      </c>
      <c r="B155" t="s">
        <v>4560</v>
      </c>
      <c r="C155" s="298" t="e">
        <f>+VLOOKUP(A155,$A$5:$V$5,22,FALSE)</f>
        <v>#N/A</v>
      </c>
      <c r="F155" s="119" t="e">
        <f>NPV($C$150,G155:AE155)</f>
        <v>#N/A</v>
      </c>
      <c r="G155" s="298" t="e">
        <f>$C$155*G147</f>
        <v>#N/A</v>
      </c>
      <c r="H155" s="298" t="e">
        <f t="shared" ref="H155:AE155" si="4">$C$155*H147</f>
        <v>#N/A</v>
      </c>
      <c r="I155" s="298" t="e">
        <f t="shared" si="4"/>
        <v>#N/A</v>
      </c>
      <c r="J155" s="298" t="e">
        <f t="shared" si="4"/>
        <v>#N/A</v>
      </c>
      <c r="K155" s="298" t="e">
        <f t="shared" si="4"/>
        <v>#N/A</v>
      </c>
      <c r="L155" s="298" t="e">
        <f t="shared" si="4"/>
        <v>#N/A</v>
      </c>
      <c r="M155" s="298" t="e">
        <f t="shared" si="4"/>
        <v>#N/A</v>
      </c>
      <c r="N155" s="298" t="e">
        <f t="shared" si="4"/>
        <v>#N/A</v>
      </c>
      <c r="O155" s="298" t="e">
        <f t="shared" si="4"/>
        <v>#N/A</v>
      </c>
      <c r="P155" s="298" t="e">
        <f t="shared" si="4"/>
        <v>#N/A</v>
      </c>
      <c r="Q155" s="298" t="e">
        <f t="shared" si="4"/>
        <v>#N/A</v>
      </c>
      <c r="R155" s="298" t="e">
        <f t="shared" si="4"/>
        <v>#N/A</v>
      </c>
      <c r="S155" s="298" t="e">
        <f t="shared" si="4"/>
        <v>#N/A</v>
      </c>
      <c r="T155" s="298" t="e">
        <f t="shared" si="4"/>
        <v>#N/A</v>
      </c>
      <c r="U155" s="298" t="e">
        <f t="shared" si="4"/>
        <v>#N/A</v>
      </c>
      <c r="V155" s="298" t="e">
        <f t="shared" si="4"/>
        <v>#N/A</v>
      </c>
      <c r="W155" s="298" t="e">
        <f t="shared" si="4"/>
        <v>#N/A</v>
      </c>
      <c r="X155" s="298" t="e">
        <f t="shared" si="4"/>
        <v>#N/A</v>
      </c>
      <c r="Y155" s="298" t="e">
        <f t="shared" si="4"/>
        <v>#N/A</v>
      </c>
      <c r="Z155" s="298" t="e">
        <f t="shared" si="4"/>
        <v>#N/A</v>
      </c>
      <c r="AA155" s="298" t="e">
        <f t="shared" si="4"/>
        <v>#N/A</v>
      </c>
      <c r="AB155" s="298" t="e">
        <f t="shared" si="4"/>
        <v>#N/A</v>
      </c>
      <c r="AC155" s="298" t="e">
        <f t="shared" si="4"/>
        <v>#N/A</v>
      </c>
      <c r="AD155" s="298" t="e">
        <f t="shared" si="4"/>
        <v>#N/A</v>
      </c>
      <c r="AE155" s="298" t="e">
        <f t="shared" si="4"/>
        <v>#N/A</v>
      </c>
    </row>
    <row r="162" spans="2:28" x14ac:dyDescent="0.35">
      <c r="B162" s="199" t="s">
        <v>4561</v>
      </c>
    </row>
    <row r="163" spans="2:28" x14ac:dyDescent="0.35">
      <c r="B163" t="s">
        <v>4562</v>
      </c>
      <c r="C163" t="s" vm="3">
        <v>1940</v>
      </c>
      <c r="E163" t="s">
        <v>4563</v>
      </c>
    </row>
    <row r="164" spans="2:28" x14ac:dyDescent="0.35">
      <c r="B164" t="s">
        <v>4564</v>
      </c>
      <c r="C164" t="s" vm="4">
        <v>3625</v>
      </c>
    </row>
    <row r="165" spans="2:28" x14ac:dyDescent="0.35">
      <c r="B165" t="s">
        <v>3323</v>
      </c>
      <c r="C165" t="s" vm="5">
        <v>3636</v>
      </c>
    </row>
    <row r="166" spans="2:28" x14ac:dyDescent="0.35">
      <c r="B166" t="s">
        <v>4565</v>
      </c>
      <c r="C166" t="s" vm="6">
        <v>4566</v>
      </c>
    </row>
    <row r="167" spans="2:28" x14ac:dyDescent="0.35">
      <c r="B167" t="s">
        <v>4567</v>
      </c>
      <c r="C167" t="s" vm="7">
        <v>4568</v>
      </c>
    </row>
    <row r="168" spans="2:28" x14ac:dyDescent="0.35">
      <c r="B168" t="s">
        <v>4569</v>
      </c>
      <c r="C168" t="s" vm="8">
        <v>3636</v>
      </c>
    </row>
    <row r="170" spans="2:28" x14ac:dyDescent="0.35">
      <c r="C170" t="s">
        <v>4570</v>
      </c>
      <c r="D170" t="s">
        <v>4571</v>
      </c>
      <c r="E170" s="60"/>
      <c r="F170" s="60"/>
      <c r="G170" s="60"/>
      <c r="H170" s="60"/>
      <c r="I170" s="60"/>
      <c r="J170" s="60"/>
      <c r="K170" s="60"/>
      <c r="L170" s="60"/>
      <c r="M170" s="60"/>
      <c r="N170" s="60"/>
      <c r="O170" s="60"/>
      <c r="P170" s="60"/>
      <c r="Q170" s="60"/>
      <c r="R170" s="60"/>
      <c r="S170" s="60"/>
      <c r="T170" s="60"/>
      <c r="U170" s="60"/>
      <c r="V170" s="60"/>
    </row>
    <row r="171" spans="2:28" ht="58" x14ac:dyDescent="0.35">
      <c r="C171" s="60" t="s">
        <v>3640</v>
      </c>
      <c r="D171" s="60"/>
      <c r="E171" s="60"/>
      <c r="F171" s="60" t="s">
        <v>4572</v>
      </c>
      <c r="G171" s="60"/>
      <c r="H171" s="60"/>
      <c r="I171" s="60" t="s">
        <v>4573</v>
      </c>
      <c r="J171" s="60"/>
      <c r="K171" s="60"/>
      <c r="L171" t="s">
        <v>4574</v>
      </c>
      <c r="O171" t="s">
        <v>4575</v>
      </c>
      <c r="R171" s="60" t="s">
        <v>4576</v>
      </c>
      <c r="S171" s="60" t="s">
        <v>4577</v>
      </c>
      <c r="T171" s="60" t="s">
        <v>4578</v>
      </c>
      <c r="U171" t="s">
        <v>4579</v>
      </c>
      <c r="V171" t="s">
        <v>4580</v>
      </c>
    </row>
    <row r="172" spans="2:28" ht="29" x14ac:dyDescent="0.35">
      <c r="B172" t="s">
        <v>4581</v>
      </c>
      <c r="C172" t="s">
        <v>4582</v>
      </c>
      <c r="D172" t="s">
        <v>4583</v>
      </c>
      <c r="E172" t="s">
        <v>4584</v>
      </c>
      <c r="F172" t="s">
        <v>4582</v>
      </c>
      <c r="G172" t="s">
        <v>4583</v>
      </c>
      <c r="H172" t="s">
        <v>4584</v>
      </c>
      <c r="I172" t="s">
        <v>4582</v>
      </c>
      <c r="J172" t="s">
        <v>4583</v>
      </c>
      <c r="K172" t="s">
        <v>4584</v>
      </c>
      <c r="L172" t="s">
        <v>4582</v>
      </c>
      <c r="M172" t="s">
        <v>4583</v>
      </c>
      <c r="N172" t="s">
        <v>4584</v>
      </c>
      <c r="O172" t="s">
        <v>4582</v>
      </c>
      <c r="P172" t="s">
        <v>4583</v>
      </c>
      <c r="Q172" t="s">
        <v>4584</v>
      </c>
      <c r="R172" s="60"/>
      <c r="S172" s="60"/>
      <c r="T172" s="60"/>
      <c r="W172" s="2311" t="s">
        <v>4585</v>
      </c>
      <c r="X172" t="s">
        <v>4586</v>
      </c>
      <c r="Y172" s="466" t="s">
        <v>4587</v>
      </c>
      <c r="Z172" t="s">
        <v>4588</v>
      </c>
      <c r="AA172" t="s">
        <v>4589</v>
      </c>
    </row>
    <row r="173" spans="2:28" x14ac:dyDescent="0.35">
      <c r="B173" t="s">
        <v>653</v>
      </c>
      <c r="C173" s="30">
        <v>232</v>
      </c>
      <c r="D173" s="30">
        <v>698</v>
      </c>
      <c r="E173" s="30">
        <v>183</v>
      </c>
      <c r="F173" s="30">
        <v>232</v>
      </c>
      <c r="G173" s="30">
        <v>698</v>
      </c>
      <c r="H173" s="30">
        <v>183</v>
      </c>
      <c r="I173" s="2312">
        <v>164114.21</v>
      </c>
      <c r="J173" s="2312">
        <v>617319.35</v>
      </c>
      <c r="K173" s="2312">
        <v>129863.28</v>
      </c>
      <c r="L173" s="2313">
        <v>16025.161300000002</v>
      </c>
      <c r="M173" s="2313">
        <v>43324.169199999989</v>
      </c>
      <c r="N173" s="2313">
        <v>13369.331099999998</v>
      </c>
      <c r="O173" s="2312">
        <v>227275.72</v>
      </c>
      <c r="P173" s="2312">
        <v>656275.69999999995</v>
      </c>
      <c r="Q173" s="2312">
        <v>135837.22</v>
      </c>
      <c r="R173" s="30">
        <v>1113</v>
      </c>
      <c r="S173" s="30">
        <v>1113</v>
      </c>
      <c r="T173" s="2312">
        <v>911296.84</v>
      </c>
      <c r="U173" s="2313">
        <v>72718.661599999905</v>
      </c>
      <c r="V173" s="2312">
        <v>1019388.64</v>
      </c>
      <c r="W173" s="2314">
        <f>S173/R173</f>
        <v>1</v>
      </c>
      <c r="X173" t="s">
        <v>328</v>
      </c>
      <c r="Y173" s="2315">
        <f>T173/S173</f>
        <v>818.77523809523802</v>
      </c>
      <c r="Z173" s="2315">
        <f>T173/R173</f>
        <v>818.77523809523802</v>
      </c>
      <c r="AA173" s="2316">
        <f>U173/R173</f>
        <v>65.33572470799632</v>
      </c>
      <c r="AB173" s="2317">
        <f t="shared" ref="AB173:AB178" si="5">U173/S173</f>
        <v>65.33572470799632</v>
      </c>
    </row>
    <row r="174" spans="2:28" x14ac:dyDescent="0.35">
      <c r="B174" t="s">
        <v>4590</v>
      </c>
      <c r="C174" s="30">
        <v>216</v>
      </c>
      <c r="D174" s="30">
        <v>633</v>
      </c>
      <c r="E174" s="30">
        <v>166</v>
      </c>
      <c r="F174" s="30">
        <v>192972</v>
      </c>
      <c r="G174" s="30">
        <v>559899</v>
      </c>
      <c r="H174" s="30">
        <v>142772</v>
      </c>
      <c r="I174" s="2312">
        <v>162800</v>
      </c>
      <c r="J174" s="2312">
        <v>907009.88</v>
      </c>
      <c r="K174" s="2312">
        <v>198165.27</v>
      </c>
      <c r="L174" s="2313">
        <v>7143.76</v>
      </c>
      <c r="M174" s="2313">
        <v>47257.188899999994</v>
      </c>
      <c r="N174" s="2313">
        <v>18942.487200000003</v>
      </c>
      <c r="O174" s="2312">
        <v>223082.52</v>
      </c>
      <c r="P174" s="2312">
        <v>961726.65</v>
      </c>
      <c r="Q174" s="2312">
        <v>209044.75</v>
      </c>
      <c r="R174" s="30">
        <v>1015</v>
      </c>
      <c r="S174" s="30">
        <v>895643</v>
      </c>
      <c r="T174" s="2312">
        <v>1267975.1499999999</v>
      </c>
      <c r="U174" s="2313">
        <v>73343.436100000021</v>
      </c>
      <c r="V174" s="2312">
        <v>1393853.92</v>
      </c>
      <c r="W174" s="2314">
        <f t="shared" ref="W174:W179" si="6">S174/R174</f>
        <v>882.40689655172412</v>
      </c>
      <c r="X174" t="s">
        <v>4591</v>
      </c>
      <c r="Y174" s="2315">
        <f>T174/S174</f>
        <v>1.4157149109634084</v>
      </c>
      <c r="Z174" s="2315">
        <f t="shared" ref="Z174:Z179" si="7">T174/R174</f>
        <v>1249.2366009852217</v>
      </c>
      <c r="AA174" s="2316">
        <f t="shared" ref="AA174:AA179" si="8">U174/R174</f>
        <v>72.25954295566504</v>
      </c>
      <c r="AB174" s="2317">
        <f t="shared" si="5"/>
        <v>8.1889141209164837E-2</v>
      </c>
    </row>
    <row r="175" spans="2:28" x14ac:dyDescent="0.35">
      <c r="B175" t="s">
        <v>4592</v>
      </c>
      <c r="C175" s="30">
        <v>133</v>
      </c>
      <c r="D175" s="30">
        <v>162</v>
      </c>
      <c r="E175" s="30">
        <v>23</v>
      </c>
      <c r="F175" s="30">
        <v>39612</v>
      </c>
      <c r="G175" s="30">
        <v>55470</v>
      </c>
      <c r="H175" s="30">
        <v>8433</v>
      </c>
      <c r="I175" s="2312">
        <v>78720.149999999994</v>
      </c>
      <c r="J175" s="2312">
        <v>161142.96</v>
      </c>
      <c r="K175" s="2312">
        <v>14341.46</v>
      </c>
      <c r="L175" s="2313">
        <v>7965.7067000000034</v>
      </c>
      <c r="M175" s="2313">
        <v>18116.868000000009</v>
      </c>
      <c r="N175" s="2313">
        <v>1784.7261000000003</v>
      </c>
      <c r="O175" s="2312">
        <v>103099.38</v>
      </c>
      <c r="P175" s="2312">
        <v>178940.94</v>
      </c>
      <c r="Q175" s="2312">
        <v>16425.96</v>
      </c>
      <c r="R175" s="30">
        <v>318</v>
      </c>
      <c r="S175" s="30">
        <v>103515</v>
      </c>
      <c r="T175" s="2312">
        <v>254204.57</v>
      </c>
      <c r="U175" s="2313">
        <v>27867.300799999994</v>
      </c>
      <c r="V175" s="2312">
        <v>298466.28000000003</v>
      </c>
      <c r="W175" s="2314">
        <f t="shared" si="6"/>
        <v>325.51886792452831</v>
      </c>
      <c r="X175" t="s">
        <v>4591</v>
      </c>
      <c r="Y175" s="2315">
        <f>T175/S175</f>
        <v>2.4557268994831669</v>
      </c>
      <c r="Z175" s="2315">
        <f t="shared" si="7"/>
        <v>799.38544025157239</v>
      </c>
      <c r="AA175" s="2316">
        <f t="shared" si="8"/>
        <v>87.633021383647772</v>
      </c>
      <c r="AB175" s="2317">
        <f t="shared" si="5"/>
        <v>0.26921026711104662</v>
      </c>
    </row>
    <row r="176" spans="2:28" x14ac:dyDescent="0.35">
      <c r="B176" t="s">
        <v>669</v>
      </c>
      <c r="C176" s="30"/>
      <c r="D176" s="30">
        <v>158</v>
      </c>
      <c r="E176" s="30">
        <v>50</v>
      </c>
      <c r="F176" s="30"/>
      <c r="G176" s="30">
        <v>228.6</v>
      </c>
      <c r="H176" s="30">
        <v>50</v>
      </c>
      <c r="I176" s="2312"/>
      <c r="J176" s="2312">
        <v>38739.129999999997</v>
      </c>
      <c r="K176" s="2312">
        <v>12208.62</v>
      </c>
      <c r="L176" s="2313"/>
      <c r="M176" s="2313">
        <v>6027.7119000000012</v>
      </c>
      <c r="N176" s="2313">
        <v>1278.5049999999999</v>
      </c>
      <c r="O176" s="2312"/>
      <c r="P176" s="2312">
        <v>38810.339999999997</v>
      </c>
      <c r="Q176" s="2312">
        <v>12061.11</v>
      </c>
      <c r="R176" s="30">
        <v>208</v>
      </c>
      <c r="S176" s="30">
        <v>278.60000000000002</v>
      </c>
      <c r="T176" s="2312">
        <v>50947.75</v>
      </c>
      <c r="U176" s="2313">
        <v>7306.2169000000013</v>
      </c>
      <c r="V176" s="2312">
        <v>50871.45</v>
      </c>
      <c r="W176" s="2314">
        <v>1</v>
      </c>
      <c r="X176" t="s">
        <v>328</v>
      </c>
      <c r="Y176" s="2315">
        <f>T176/R176</f>
        <v>244.94110576923077</v>
      </c>
      <c r="Z176" s="2315">
        <f t="shared" si="7"/>
        <v>244.94110576923077</v>
      </c>
      <c r="AA176" s="2316">
        <f t="shared" si="8"/>
        <v>35.126042788461547</v>
      </c>
      <c r="AB176" s="2317">
        <f t="shared" si="5"/>
        <v>26.224755563531946</v>
      </c>
    </row>
    <row r="177" spans="2:28" x14ac:dyDescent="0.35">
      <c r="B177" t="s">
        <v>826</v>
      </c>
      <c r="C177" s="30">
        <v>22</v>
      </c>
      <c r="D177" s="30">
        <v>40</v>
      </c>
      <c r="E177" s="30">
        <v>10</v>
      </c>
      <c r="F177" s="30">
        <v>9376</v>
      </c>
      <c r="G177" s="30">
        <v>18534</v>
      </c>
      <c r="H177" s="30">
        <v>6916</v>
      </c>
      <c r="I177" s="2312">
        <v>8615.7199999999993</v>
      </c>
      <c r="J177" s="2312">
        <v>42556.86</v>
      </c>
      <c r="K177" s="2312">
        <v>9270.7800000000007</v>
      </c>
      <c r="L177" s="2313">
        <v>443.4658</v>
      </c>
      <c r="M177" s="2313">
        <v>1398.5286000000006</v>
      </c>
      <c r="N177" s="2313">
        <v>785.53289999999993</v>
      </c>
      <c r="O177" s="2312">
        <v>12558.93</v>
      </c>
      <c r="P177" s="2312">
        <v>46833.71</v>
      </c>
      <c r="Q177" s="2312">
        <v>9589.9</v>
      </c>
      <c r="R177" s="30">
        <v>72</v>
      </c>
      <c r="S177" s="30">
        <v>34826</v>
      </c>
      <c r="T177" s="2312">
        <v>60443.360000000001</v>
      </c>
      <c r="U177" s="2313">
        <v>2627.5273000000011</v>
      </c>
      <c r="V177" s="2312">
        <v>68982.539999999994</v>
      </c>
      <c r="W177" s="2314">
        <f>S177/R177</f>
        <v>483.69444444444446</v>
      </c>
      <c r="X177" t="s">
        <v>4591</v>
      </c>
      <c r="Y177" s="2315">
        <f>T177/S177</f>
        <v>1.7355814621259977</v>
      </c>
      <c r="Z177" s="2315">
        <f t="shared" si="7"/>
        <v>839.49111111111108</v>
      </c>
      <c r="AA177" s="2316">
        <f t="shared" si="8"/>
        <v>36.49343472222224</v>
      </c>
      <c r="AB177" s="2317">
        <f t="shared" si="5"/>
        <v>7.5447289381496613E-2</v>
      </c>
    </row>
    <row r="178" spans="2:28" x14ac:dyDescent="0.35">
      <c r="B178" t="s">
        <v>4509</v>
      </c>
      <c r="C178" s="30"/>
      <c r="D178" s="30">
        <v>268</v>
      </c>
      <c r="E178" s="30">
        <v>21</v>
      </c>
      <c r="F178" s="30"/>
      <c r="G178" s="30">
        <v>20763</v>
      </c>
      <c r="H178" s="30">
        <v>2149</v>
      </c>
      <c r="I178" s="2312"/>
      <c r="J178" s="2312">
        <v>54156.800000000003</v>
      </c>
      <c r="K178" s="2312">
        <v>4304.1000000000004</v>
      </c>
      <c r="L178" s="2313"/>
      <c r="M178" s="2313">
        <v>2119.5040999999997</v>
      </c>
      <c r="N178" s="2313">
        <v>188.70420000000004</v>
      </c>
      <c r="O178" s="2312"/>
      <c r="P178" s="2312">
        <v>59539.87</v>
      </c>
      <c r="Q178" s="2312">
        <v>4919</v>
      </c>
      <c r="R178" s="30">
        <v>289</v>
      </c>
      <c r="S178" s="30">
        <v>22912</v>
      </c>
      <c r="T178" s="2312">
        <v>58460.9</v>
      </c>
      <c r="U178" s="2313">
        <v>2308.2083000000011</v>
      </c>
      <c r="V178" s="2312">
        <v>64458.87</v>
      </c>
      <c r="W178" s="2314">
        <f t="shared" si="6"/>
        <v>79.280276816609003</v>
      </c>
      <c r="X178" t="s">
        <v>4591</v>
      </c>
      <c r="Y178" s="2315">
        <f>T178/S178</f>
        <v>2.5515406773743017</v>
      </c>
      <c r="Z178" s="2315">
        <f t="shared" si="7"/>
        <v>202.28685121107267</v>
      </c>
      <c r="AA178" s="2316">
        <f t="shared" si="8"/>
        <v>7.986879930795852</v>
      </c>
      <c r="AB178" s="2317">
        <f t="shared" si="5"/>
        <v>0.10074233152932965</v>
      </c>
    </row>
    <row r="179" spans="2:28" x14ac:dyDescent="0.35">
      <c r="B179" t="s">
        <v>677</v>
      </c>
      <c r="C179" s="30">
        <v>53</v>
      </c>
      <c r="D179" s="30">
        <v>153</v>
      </c>
      <c r="E179" s="30">
        <v>36</v>
      </c>
      <c r="F179" s="30">
        <v>46737</v>
      </c>
      <c r="G179" s="30">
        <v>97480</v>
      </c>
      <c r="H179" s="30">
        <v>29778</v>
      </c>
      <c r="I179" s="2312">
        <v>46800.93</v>
      </c>
      <c r="J179" s="2312">
        <v>181772.4</v>
      </c>
      <c r="K179" s="2312">
        <v>42068.3</v>
      </c>
      <c r="L179" s="2313">
        <v>2925.5900000000006</v>
      </c>
      <c r="M179" s="2313">
        <v>8638.9163000000026</v>
      </c>
      <c r="N179" s="2313">
        <v>2205.9139999999998</v>
      </c>
      <c r="O179" s="2312">
        <v>65304.65</v>
      </c>
      <c r="P179" s="2312">
        <v>196502.43</v>
      </c>
      <c r="Q179" s="2312">
        <v>47829.34</v>
      </c>
      <c r="R179" s="30">
        <v>242</v>
      </c>
      <c r="S179" s="30">
        <v>173995</v>
      </c>
      <c r="T179" s="2312">
        <v>270641.63</v>
      </c>
      <c r="U179" s="2313">
        <v>13770.4203</v>
      </c>
      <c r="V179" s="2312">
        <v>309636.42</v>
      </c>
      <c r="W179" s="2314">
        <f t="shared" si="6"/>
        <v>718.98760330578511</v>
      </c>
      <c r="X179" t="s">
        <v>4591</v>
      </c>
      <c r="Y179" s="2315">
        <f>T179/S179</f>
        <v>1.5554563636886118</v>
      </c>
      <c r="Z179" s="2315">
        <f t="shared" si="7"/>
        <v>1118.3538429752066</v>
      </c>
      <c r="AA179" s="2316">
        <f t="shared" si="8"/>
        <v>56.902563223140497</v>
      </c>
      <c r="AB179" s="2317">
        <f>U179/S179</f>
        <v>7.9142620764964505E-2</v>
      </c>
    </row>
    <row r="180" spans="2:28" x14ac:dyDescent="0.35">
      <c r="B180" t="s">
        <v>3653</v>
      </c>
      <c r="C180" s="30">
        <v>656</v>
      </c>
      <c r="D180" s="30">
        <v>2112</v>
      </c>
      <c r="E180" s="30">
        <v>489</v>
      </c>
      <c r="F180" s="30">
        <v>288929</v>
      </c>
      <c r="G180" s="30">
        <v>753072.6</v>
      </c>
      <c r="H180" s="30">
        <v>190281</v>
      </c>
      <c r="I180" s="2312">
        <v>461051.01</v>
      </c>
      <c r="J180" s="2312">
        <v>2002697.38</v>
      </c>
      <c r="K180" s="2312">
        <v>410221.81</v>
      </c>
      <c r="L180" s="2313">
        <v>34503.683799999992</v>
      </c>
      <c r="M180" s="2313">
        <v>126882.88699999984</v>
      </c>
      <c r="N180" s="2313">
        <v>38555.200500000021</v>
      </c>
      <c r="O180" s="2312">
        <v>631321.19999999995</v>
      </c>
      <c r="P180" s="2312">
        <v>2138629.64</v>
      </c>
      <c r="Q180" s="2312">
        <v>435707.28</v>
      </c>
      <c r="R180" s="30">
        <v>3257</v>
      </c>
      <c r="S180" s="30">
        <v>1232282.6000000001</v>
      </c>
      <c r="T180" s="2312">
        <v>2873970.2</v>
      </c>
      <c r="U180" s="2313">
        <v>199941.77129999999</v>
      </c>
      <c r="V180" s="2312">
        <v>3205658.12</v>
      </c>
      <c r="W180" s="2318"/>
      <c r="X180" s="2315"/>
    </row>
    <row r="181" spans="2:28" x14ac:dyDescent="0.35">
      <c r="W181" s="2318"/>
      <c r="X181" s="2315"/>
    </row>
    <row r="182" spans="2:28" x14ac:dyDescent="0.35">
      <c r="B182" s="199" t="s">
        <v>4593</v>
      </c>
      <c r="W182" s="2318"/>
      <c r="X182" s="2315"/>
    </row>
    <row r="183" spans="2:28" x14ac:dyDescent="0.35">
      <c r="W183" s="2318"/>
      <c r="X183" s="2315"/>
    </row>
    <row r="184" spans="2:28" x14ac:dyDescent="0.35">
      <c r="B184" t="s">
        <v>4562</v>
      </c>
      <c r="C184" t="s" vm="3">
        <v>1940</v>
      </c>
    </row>
    <row r="185" spans="2:28" x14ac:dyDescent="0.35">
      <c r="B185" t="s">
        <v>4564</v>
      </c>
      <c r="C185" t="s" vm="4">
        <v>3625</v>
      </c>
      <c r="E185" t="s">
        <v>4563</v>
      </c>
    </row>
    <row r="186" spans="2:28" x14ac:dyDescent="0.35">
      <c r="B186" t="s">
        <v>3323</v>
      </c>
      <c r="C186" t="s" vm="5">
        <v>3636</v>
      </c>
    </row>
    <row r="187" spans="2:28" x14ac:dyDescent="0.35">
      <c r="B187" t="s">
        <v>4565</v>
      </c>
      <c r="C187" t="s" vm="6">
        <v>4566</v>
      </c>
    </row>
    <row r="188" spans="2:28" x14ac:dyDescent="0.35">
      <c r="B188" t="s">
        <v>4567</v>
      </c>
      <c r="C188" t="s" vm="7">
        <v>4568</v>
      </c>
    </row>
    <row r="189" spans="2:28" x14ac:dyDescent="0.35">
      <c r="B189" t="s">
        <v>4594</v>
      </c>
      <c r="C189" t="s" vm="9">
        <v>3636</v>
      </c>
    </row>
    <row r="190" spans="2:28" x14ac:dyDescent="0.35">
      <c r="B190" t="s">
        <v>4569</v>
      </c>
      <c r="C190" t="s" vm="8">
        <v>3636</v>
      </c>
    </row>
    <row r="192" spans="2:28" x14ac:dyDescent="0.35">
      <c r="C192" t="s">
        <v>4570</v>
      </c>
      <c r="D192" t="s">
        <v>4571</v>
      </c>
      <c r="E192" s="60"/>
      <c r="F192" s="60"/>
      <c r="G192" s="60"/>
      <c r="H192" s="60"/>
      <c r="I192" s="60"/>
      <c r="J192" s="60"/>
      <c r="K192" s="60"/>
      <c r="L192" s="60"/>
      <c r="M192" s="60"/>
      <c r="N192" s="60"/>
      <c r="O192" s="60"/>
      <c r="P192" s="60"/>
      <c r="Q192" s="60"/>
      <c r="R192" s="60"/>
      <c r="S192" s="60"/>
      <c r="T192" s="60"/>
      <c r="U192" s="60"/>
      <c r="V192" s="60"/>
    </row>
    <row r="193" spans="2:29" ht="58" x14ac:dyDescent="0.35">
      <c r="C193" s="60" t="s">
        <v>3640</v>
      </c>
      <c r="D193" s="60"/>
      <c r="E193" s="60"/>
      <c r="F193" s="60" t="s">
        <v>4572</v>
      </c>
      <c r="G193" s="60"/>
      <c r="H193" s="60"/>
      <c r="I193" s="60" t="s">
        <v>4573</v>
      </c>
      <c r="J193" s="60"/>
      <c r="K193" s="60"/>
      <c r="L193" t="s">
        <v>4574</v>
      </c>
      <c r="O193" t="s">
        <v>4575</v>
      </c>
      <c r="R193" s="60" t="s">
        <v>4576</v>
      </c>
      <c r="S193" s="60" t="s">
        <v>4577</v>
      </c>
      <c r="T193" s="60" t="s">
        <v>4578</v>
      </c>
      <c r="U193" t="s">
        <v>4579</v>
      </c>
      <c r="V193" t="s">
        <v>4580</v>
      </c>
    </row>
    <row r="194" spans="2:29" ht="29" x14ac:dyDescent="0.35">
      <c r="B194" t="s">
        <v>4581</v>
      </c>
      <c r="C194" t="s">
        <v>4582</v>
      </c>
      <c r="D194" t="s">
        <v>4583</v>
      </c>
      <c r="E194" t="s">
        <v>4584</v>
      </c>
      <c r="F194" t="s">
        <v>4582</v>
      </c>
      <c r="G194" t="s">
        <v>4583</v>
      </c>
      <c r="H194" t="s">
        <v>4584</v>
      </c>
      <c r="I194" t="s">
        <v>4582</v>
      </c>
      <c r="J194" t="s">
        <v>4583</v>
      </c>
      <c r="K194" t="s">
        <v>4584</v>
      </c>
      <c r="L194" t="s">
        <v>4582</v>
      </c>
      <c r="M194" t="s">
        <v>4583</v>
      </c>
      <c r="N194" t="s">
        <v>4584</v>
      </c>
      <c r="O194" t="s">
        <v>4582</v>
      </c>
      <c r="P194" t="s">
        <v>4583</v>
      </c>
      <c r="Q194" t="s">
        <v>4584</v>
      </c>
      <c r="R194" s="60"/>
      <c r="S194" s="60"/>
      <c r="T194" s="60"/>
      <c r="W194" s="2311" t="s">
        <v>4585</v>
      </c>
      <c r="X194" t="s">
        <v>4586</v>
      </c>
      <c r="Y194" s="466" t="s">
        <v>4587</v>
      </c>
      <c r="Z194" t="s">
        <v>4588</v>
      </c>
      <c r="AA194" t="s">
        <v>4589</v>
      </c>
      <c r="AB194" t="s">
        <v>4595</v>
      </c>
    </row>
    <row r="195" spans="2:29" x14ac:dyDescent="0.35">
      <c r="B195" t="s">
        <v>653</v>
      </c>
      <c r="C195" s="30">
        <v>7</v>
      </c>
      <c r="D195" s="30">
        <v>236</v>
      </c>
      <c r="E195" s="30">
        <v>72</v>
      </c>
      <c r="F195" s="30">
        <v>7</v>
      </c>
      <c r="G195" s="30">
        <v>236</v>
      </c>
      <c r="H195" s="30">
        <v>72</v>
      </c>
      <c r="I195" s="2312">
        <v>11726.56</v>
      </c>
      <c r="J195" s="2312">
        <v>165316.98000000001</v>
      </c>
      <c r="K195" s="2312">
        <v>50873.96</v>
      </c>
      <c r="L195" s="2313">
        <v>385.37129999999996</v>
      </c>
      <c r="M195" s="2313">
        <v>12174.065700000001</v>
      </c>
      <c r="N195" s="2313">
        <v>4593.3289999999997</v>
      </c>
      <c r="O195" s="2312">
        <v>8194.65</v>
      </c>
      <c r="P195" s="2312">
        <v>156403.66</v>
      </c>
      <c r="Q195" s="2312">
        <v>47281.84</v>
      </c>
      <c r="R195" s="30">
        <v>315</v>
      </c>
      <c r="S195" s="30">
        <v>315</v>
      </c>
      <c r="T195" s="2312">
        <v>227917.5</v>
      </c>
      <c r="U195" s="2313">
        <v>17152.766</v>
      </c>
      <c r="V195" s="2312">
        <v>211880.15</v>
      </c>
      <c r="W195" s="2314">
        <f>S195/R195</f>
        <v>1</v>
      </c>
      <c r="X195" t="s">
        <v>328</v>
      </c>
      <c r="Y195" s="2315">
        <f>T195/S195</f>
        <v>723.54761904761904</v>
      </c>
      <c r="Z195" s="2315">
        <f t="shared" ref="Z195:Z201" si="9">T195/R195</f>
        <v>723.54761904761904</v>
      </c>
      <c r="AA195" s="2316">
        <f>U195/R195</f>
        <v>54.453225396825395</v>
      </c>
      <c r="AB195" s="2317">
        <f t="shared" ref="AB195:AB200" si="10">U195/S195</f>
        <v>54.453225396825395</v>
      </c>
    </row>
    <row r="196" spans="2:29" x14ac:dyDescent="0.35">
      <c r="B196" t="s">
        <v>4590</v>
      </c>
      <c r="C196" s="30">
        <v>7</v>
      </c>
      <c r="D196" s="30">
        <v>224</v>
      </c>
      <c r="E196" s="30">
        <v>54</v>
      </c>
      <c r="F196" s="30">
        <v>7507</v>
      </c>
      <c r="G196" s="30">
        <v>188414</v>
      </c>
      <c r="H196" s="30">
        <v>46347</v>
      </c>
      <c r="I196" s="2312">
        <v>13572.46</v>
      </c>
      <c r="J196" s="2312">
        <v>413203.1</v>
      </c>
      <c r="K196" s="2312">
        <v>102802.94</v>
      </c>
      <c r="L196" s="2313">
        <v>230.06780000000001</v>
      </c>
      <c r="M196" s="2313">
        <v>20090.603299999999</v>
      </c>
      <c r="N196" s="2313">
        <v>6998.7718999999997</v>
      </c>
      <c r="O196" s="2312">
        <v>9443.4599999999991</v>
      </c>
      <c r="P196" s="2312">
        <v>403407.27</v>
      </c>
      <c r="Q196" s="2312">
        <v>99932.87</v>
      </c>
      <c r="R196" s="30">
        <v>285</v>
      </c>
      <c r="S196" s="30">
        <v>242268</v>
      </c>
      <c r="T196" s="2312">
        <v>529578.5</v>
      </c>
      <c r="U196" s="2313">
        <v>27319.443000000003</v>
      </c>
      <c r="V196" s="2312">
        <v>512783.6</v>
      </c>
      <c r="W196" s="2314">
        <f>S196/R196</f>
        <v>850.06315789473683</v>
      </c>
      <c r="X196" t="s">
        <v>4591</v>
      </c>
      <c r="Y196" s="2319">
        <f>T196/S196</f>
        <v>2.1859201380289597</v>
      </c>
      <c r="Z196" s="2315">
        <f t="shared" si="9"/>
        <v>1858.1701754385965</v>
      </c>
      <c r="AA196" s="2316">
        <f t="shared" ref="AA196:AA201" si="11">U196/R196</f>
        <v>95.85769473684212</v>
      </c>
      <c r="AB196" s="2317">
        <f t="shared" si="10"/>
        <v>0.1127653796621923</v>
      </c>
    </row>
    <row r="197" spans="2:29" x14ac:dyDescent="0.35">
      <c r="B197" t="s">
        <v>4592</v>
      </c>
      <c r="C197" s="30">
        <v>7</v>
      </c>
      <c r="D197" s="30">
        <v>12</v>
      </c>
      <c r="E197" s="30"/>
      <c r="F197" s="30">
        <v>2366</v>
      </c>
      <c r="G197" s="30">
        <v>5000</v>
      </c>
      <c r="H197" s="30"/>
      <c r="I197" s="2312">
        <v>14852.76</v>
      </c>
      <c r="J197" s="2312">
        <v>8353.2800000000007</v>
      </c>
      <c r="K197" s="2312"/>
      <c r="L197" s="2313">
        <v>510.83759999999995</v>
      </c>
      <c r="M197" s="2313">
        <v>1877.1392000000001</v>
      </c>
      <c r="N197" s="2313"/>
      <c r="O197" s="2312">
        <v>10379.290000000001</v>
      </c>
      <c r="P197" s="2312">
        <v>5825.6</v>
      </c>
      <c r="Q197" s="2312"/>
      <c r="R197" s="30">
        <v>19</v>
      </c>
      <c r="S197" s="30">
        <v>7366</v>
      </c>
      <c r="T197" s="2312">
        <v>23206.04</v>
      </c>
      <c r="U197" s="2313">
        <v>2387.9767999999999</v>
      </c>
      <c r="V197" s="2312">
        <v>16204.89</v>
      </c>
      <c r="W197" s="2314">
        <f>S197/R197</f>
        <v>387.68421052631578</v>
      </c>
      <c r="X197" t="s">
        <v>4591</v>
      </c>
      <c r="Y197" s="2319">
        <f>T197/S197</f>
        <v>3.1504262829215315</v>
      </c>
      <c r="Z197" s="2315">
        <f t="shared" si="9"/>
        <v>1221.3705263157894</v>
      </c>
      <c r="AA197" s="2316">
        <f t="shared" si="11"/>
        <v>125.6829894736842</v>
      </c>
      <c r="AB197" s="2317">
        <f t="shared" si="10"/>
        <v>0.32418908498506649</v>
      </c>
    </row>
    <row r="198" spans="2:29" x14ac:dyDescent="0.35">
      <c r="B198" t="s">
        <v>669</v>
      </c>
      <c r="C198" s="30"/>
      <c r="D198" s="30">
        <v>153</v>
      </c>
      <c r="E198" s="30">
        <v>48</v>
      </c>
      <c r="F198" s="30"/>
      <c r="G198" s="30">
        <v>223.6</v>
      </c>
      <c r="H198" s="30">
        <v>48</v>
      </c>
      <c r="I198" s="2312"/>
      <c r="J198" s="2312">
        <v>38250</v>
      </c>
      <c r="K198" s="2312">
        <v>12030.89</v>
      </c>
      <c r="L198" s="2313"/>
      <c r="M198" s="2313">
        <v>3890.3713999999995</v>
      </c>
      <c r="N198" s="2313">
        <v>1096.9075000000003</v>
      </c>
      <c r="O198" s="2312"/>
      <c r="P198" s="2312">
        <v>38250</v>
      </c>
      <c r="Q198" s="2312">
        <v>11857.5</v>
      </c>
      <c r="R198" s="30">
        <v>201</v>
      </c>
      <c r="S198" s="30">
        <v>271.60000000000002</v>
      </c>
      <c r="T198" s="2312">
        <v>50280.89</v>
      </c>
      <c r="U198" s="2313">
        <v>4987.2789000000012</v>
      </c>
      <c r="V198" s="2312">
        <v>50107.5</v>
      </c>
      <c r="W198" s="2314">
        <v>1</v>
      </c>
      <c r="X198" t="s">
        <v>328</v>
      </c>
      <c r="Y198" s="2315">
        <f>T198/R198</f>
        <v>250.15368159203979</v>
      </c>
      <c r="Z198" s="2315">
        <f t="shared" si="9"/>
        <v>250.15368159203979</v>
      </c>
      <c r="AA198" s="2316">
        <f t="shared" si="11"/>
        <v>24.8123328358209</v>
      </c>
      <c r="AB198" s="2317">
        <f t="shared" si="10"/>
        <v>18.362587997054494</v>
      </c>
    </row>
    <row r="199" spans="2:29" x14ac:dyDescent="0.35">
      <c r="B199" t="s">
        <v>826</v>
      </c>
      <c r="C199" s="30"/>
      <c r="D199" s="30">
        <v>3</v>
      </c>
      <c r="E199" s="30">
        <v>2</v>
      </c>
      <c r="F199" s="30"/>
      <c r="G199" s="30">
        <v>999</v>
      </c>
      <c r="H199" s="30">
        <v>1764</v>
      </c>
      <c r="I199" s="2312"/>
      <c r="J199" s="2312">
        <v>3904.93</v>
      </c>
      <c r="K199" s="2312">
        <v>1957.05</v>
      </c>
      <c r="L199" s="2313"/>
      <c r="M199" s="2313">
        <v>37.597799999999999</v>
      </c>
      <c r="N199" s="2313">
        <v>205.53269999999998</v>
      </c>
      <c r="O199" s="2312"/>
      <c r="P199" s="2312">
        <v>2706.38</v>
      </c>
      <c r="Q199" s="2312">
        <v>1317.88</v>
      </c>
      <c r="R199" s="30">
        <v>5</v>
      </c>
      <c r="S199" s="30">
        <v>2763</v>
      </c>
      <c r="T199" s="2312">
        <v>5861.98</v>
      </c>
      <c r="U199" s="2313">
        <v>243.13049999999998</v>
      </c>
      <c r="V199" s="2312">
        <v>4024.26</v>
      </c>
      <c r="W199" s="2314">
        <f>S199/R199</f>
        <v>552.6</v>
      </c>
      <c r="X199" t="s">
        <v>4591</v>
      </c>
      <c r="Y199" s="2319">
        <f>T199/S199</f>
        <v>2.1215997104596451</v>
      </c>
      <c r="Z199" s="2315">
        <f t="shared" si="9"/>
        <v>1172.396</v>
      </c>
      <c r="AA199" s="2316">
        <f t="shared" si="11"/>
        <v>48.626099999999994</v>
      </c>
      <c r="AB199" s="2317">
        <f t="shared" si="10"/>
        <v>8.7995114006514649E-2</v>
      </c>
    </row>
    <row r="200" spans="2:29" x14ac:dyDescent="0.35">
      <c r="B200" t="s">
        <v>4509</v>
      </c>
      <c r="C200" s="30"/>
      <c r="D200" s="30">
        <v>102</v>
      </c>
      <c r="E200" s="30"/>
      <c r="F200" s="30"/>
      <c r="G200" s="30">
        <v>1961</v>
      </c>
      <c r="H200" s="30"/>
      <c r="I200" s="2312"/>
      <c r="J200" s="2312">
        <v>7851.14</v>
      </c>
      <c r="K200" s="2312"/>
      <c r="L200" s="2313"/>
      <c r="M200" s="2313">
        <v>117.87389999999998</v>
      </c>
      <c r="N200" s="2313"/>
      <c r="O200" s="2312"/>
      <c r="P200" s="2312">
        <v>6812.3</v>
      </c>
      <c r="Q200" s="2312"/>
      <c r="R200" s="30">
        <v>102</v>
      </c>
      <c r="S200" s="30">
        <v>1961</v>
      </c>
      <c r="T200" s="2312">
        <v>7851.14</v>
      </c>
      <c r="U200" s="2313">
        <v>117.87389999999994</v>
      </c>
      <c r="V200" s="2312">
        <v>6812.3</v>
      </c>
      <c r="W200" s="2314">
        <f>S200/R200</f>
        <v>19.225490196078432</v>
      </c>
      <c r="X200" t="s">
        <v>4591</v>
      </c>
      <c r="Y200" s="2315">
        <f>T200/S200</f>
        <v>4.0036409994900559</v>
      </c>
      <c r="Z200" s="2315">
        <f t="shared" si="9"/>
        <v>76.971960784313723</v>
      </c>
      <c r="AA200" s="2316">
        <f t="shared" si="11"/>
        <v>1.1556264705882346</v>
      </c>
      <c r="AB200" s="2317">
        <f t="shared" si="10"/>
        <v>6.0109077001529801E-2</v>
      </c>
    </row>
    <row r="201" spans="2:29" x14ac:dyDescent="0.35">
      <c r="B201" t="s">
        <v>677</v>
      </c>
      <c r="C201" s="30">
        <v>1</v>
      </c>
      <c r="D201" s="30">
        <v>4</v>
      </c>
      <c r="E201" s="30">
        <v>2</v>
      </c>
      <c r="F201" s="30">
        <v>1160</v>
      </c>
      <c r="G201" s="30">
        <v>4771</v>
      </c>
      <c r="H201" s="30">
        <v>192</v>
      </c>
      <c r="I201" s="2312">
        <v>3651.91</v>
      </c>
      <c r="J201" s="2312">
        <v>10302.35</v>
      </c>
      <c r="K201" s="2312">
        <v>441.32</v>
      </c>
      <c r="L201" s="2313">
        <v>53.343899999999998</v>
      </c>
      <c r="M201" s="2313">
        <v>502.85479999999995</v>
      </c>
      <c r="N201" s="2313">
        <v>20.983599999999999</v>
      </c>
      <c r="O201" s="2312">
        <v>2552</v>
      </c>
      <c r="P201" s="2312">
        <v>7782.88</v>
      </c>
      <c r="Q201" s="2312">
        <v>308.39999999999998</v>
      </c>
      <c r="R201" s="30">
        <v>7</v>
      </c>
      <c r="S201" s="30">
        <v>6123</v>
      </c>
      <c r="T201" s="2312">
        <v>14395.58</v>
      </c>
      <c r="U201" s="2313">
        <v>577.18230000000005</v>
      </c>
      <c r="V201" s="2312">
        <v>10643.28</v>
      </c>
      <c r="W201" s="2314">
        <f>S201/R201</f>
        <v>874.71428571428567</v>
      </c>
      <c r="Y201" s="2315">
        <f>T201/S201</f>
        <v>2.3510664706843052</v>
      </c>
      <c r="Z201" s="2315">
        <f t="shared" si="9"/>
        <v>2056.5114285714285</v>
      </c>
      <c r="AA201" s="2316">
        <f t="shared" si="11"/>
        <v>82.4546142857143</v>
      </c>
      <c r="AB201" s="2317">
        <f>U201/S201</f>
        <v>9.4264625183733478E-2</v>
      </c>
      <c r="AC201">
        <v>8.3667272727272715E-2</v>
      </c>
    </row>
    <row r="202" spans="2:29" x14ac:dyDescent="0.35">
      <c r="B202" t="s">
        <v>3653</v>
      </c>
      <c r="C202" s="30">
        <v>22</v>
      </c>
      <c r="D202" s="30">
        <v>734</v>
      </c>
      <c r="E202" s="30">
        <v>178</v>
      </c>
      <c r="F202" s="30">
        <v>11040</v>
      </c>
      <c r="G202" s="30">
        <v>201604.6</v>
      </c>
      <c r="H202" s="30">
        <v>48423</v>
      </c>
      <c r="I202" s="2312">
        <v>43803.69</v>
      </c>
      <c r="J202" s="2312">
        <v>647181.78</v>
      </c>
      <c r="K202" s="2312">
        <v>168106.16</v>
      </c>
      <c r="L202" s="2313">
        <v>1179.6206000000002</v>
      </c>
      <c r="M202" s="2313">
        <v>38690.506100000006</v>
      </c>
      <c r="N202" s="2313">
        <v>12915.524700000005</v>
      </c>
      <c r="O202" s="2312">
        <v>30569.4</v>
      </c>
      <c r="P202" s="2312">
        <v>621188.09</v>
      </c>
      <c r="Q202" s="2312">
        <v>160698.49</v>
      </c>
      <c r="R202" s="30">
        <v>934</v>
      </c>
      <c r="S202" s="30">
        <v>261067.6</v>
      </c>
      <c r="T202" s="2312">
        <v>859091.63</v>
      </c>
      <c r="U202" s="2313">
        <v>52785.651400000002</v>
      </c>
      <c r="V202" s="2312">
        <v>812455.98</v>
      </c>
      <c r="X202" s="2315"/>
    </row>
    <row r="203" spans="2:29" x14ac:dyDescent="0.35">
      <c r="X203" s="2315"/>
    </row>
    <row r="204" spans="2:29" x14ac:dyDescent="0.35">
      <c r="X204" s="2315"/>
    </row>
    <row r="205" spans="2:29" x14ac:dyDescent="0.35">
      <c r="X205" s="2315"/>
    </row>
    <row r="206" spans="2:29" x14ac:dyDescent="0.35">
      <c r="W206" s="2318"/>
      <c r="X206" s="2315"/>
    </row>
    <row r="207" spans="2:29" x14ac:dyDescent="0.35">
      <c r="B207" s="199" t="s">
        <v>4596</v>
      </c>
    </row>
    <row r="208" spans="2:29" x14ac:dyDescent="0.35">
      <c r="E208" t="s">
        <v>4563</v>
      </c>
    </row>
    <row r="209" spans="2:28" x14ac:dyDescent="0.35">
      <c r="B209" t="s">
        <v>4562</v>
      </c>
      <c r="C209" t="s" vm="3">
        <v>1940</v>
      </c>
    </row>
    <row r="210" spans="2:28" x14ac:dyDescent="0.35">
      <c r="B210" t="s">
        <v>4564</v>
      </c>
      <c r="C210" t="s" vm="4">
        <v>3625</v>
      </c>
    </row>
    <row r="211" spans="2:28" x14ac:dyDescent="0.35">
      <c r="B211" t="s">
        <v>3323</v>
      </c>
      <c r="C211" t="s" vm="5">
        <v>3636</v>
      </c>
    </row>
    <row r="212" spans="2:28" x14ac:dyDescent="0.35">
      <c r="B212" t="s">
        <v>4565</v>
      </c>
      <c r="C212" t="s" vm="6">
        <v>4566</v>
      </c>
    </row>
    <row r="213" spans="2:28" x14ac:dyDescent="0.35">
      <c r="B213" t="s">
        <v>4567</v>
      </c>
      <c r="C213" t="s" vm="7">
        <v>4568</v>
      </c>
    </row>
    <row r="215" spans="2:28" x14ac:dyDescent="0.35">
      <c r="D215" t="s">
        <v>4570</v>
      </c>
      <c r="E215" t="s">
        <v>4571</v>
      </c>
      <c r="F215" s="60"/>
      <c r="G215" s="60"/>
      <c r="H215" s="60"/>
      <c r="I215" s="60"/>
      <c r="J215" s="60"/>
      <c r="K215" s="60"/>
      <c r="L215" s="60"/>
      <c r="M215" s="60"/>
      <c r="N215" s="60"/>
      <c r="O215" s="60"/>
      <c r="P215" s="60"/>
      <c r="Q215" s="60"/>
      <c r="R215" s="60"/>
      <c r="S215" s="60"/>
      <c r="T215" s="60"/>
      <c r="U215" s="60"/>
      <c r="V215" s="60"/>
      <c r="W215" s="60"/>
    </row>
    <row r="216" spans="2:28" ht="58" x14ac:dyDescent="0.35">
      <c r="D216" s="60" t="s">
        <v>3640</v>
      </c>
      <c r="E216" s="60"/>
      <c r="F216" s="60"/>
      <c r="G216" s="60" t="s">
        <v>4572</v>
      </c>
      <c r="H216" s="60"/>
      <c r="I216" s="60"/>
      <c r="J216" s="60" t="s">
        <v>4573</v>
      </c>
      <c r="K216" s="60"/>
      <c r="L216" s="60"/>
      <c r="M216" t="s">
        <v>4574</v>
      </c>
      <c r="P216" t="s">
        <v>4575</v>
      </c>
      <c r="S216" s="60" t="s">
        <v>4576</v>
      </c>
      <c r="T216" s="60" t="s">
        <v>4577</v>
      </c>
      <c r="U216" s="60" t="s">
        <v>4578</v>
      </c>
      <c r="V216" t="s">
        <v>4579</v>
      </c>
      <c r="W216" t="s">
        <v>4580</v>
      </c>
    </row>
    <row r="217" spans="2:28" ht="29" x14ac:dyDescent="0.35">
      <c r="B217" t="s">
        <v>4569</v>
      </c>
      <c r="C217" t="s">
        <v>4581</v>
      </c>
      <c r="D217" t="s">
        <v>4582</v>
      </c>
      <c r="E217" t="s">
        <v>4583</v>
      </c>
      <c r="F217" t="s">
        <v>4584</v>
      </c>
      <c r="G217" t="s">
        <v>4582</v>
      </c>
      <c r="H217" t="s">
        <v>4583</v>
      </c>
      <c r="I217" t="s">
        <v>4584</v>
      </c>
      <c r="J217" t="s">
        <v>4582</v>
      </c>
      <c r="K217" t="s">
        <v>4583</v>
      </c>
      <c r="L217" t="s">
        <v>4584</v>
      </c>
      <c r="M217" t="s">
        <v>4582</v>
      </c>
      <c r="N217" t="s">
        <v>4583</v>
      </c>
      <c r="O217" t="s">
        <v>4584</v>
      </c>
      <c r="P217" t="s">
        <v>4582</v>
      </c>
      <c r="Q217" t="s">
        <v>4583</v>
      </c>
      <c r="R217" t="s">
        <v>4584</v>
      </c>
      <c r="S217" s="60"/>
      <c r="T217" s="60"/>
      <c r="U217" s="60"/>
      <c r="X217" s="2311" t="s">
        <v>4585</v>
      </c>
      <c r="Y217" t="s">
        <v>4586</v>
      </c>
      <c r="Z217" s="466" t="s">
        <v>4587</v>
      </c>
      <c r="AA217" t="s">
        <v>4588</v>
      </c>
      <c r="AB217" t="s">
        <v>4595</v>
      </c>
    </row>
    <row r="218" spans="2:28" x14ac:dyDescent="0.35">
      <c r="B218" t="s">
        <v>4597</v>
      </c>
      <c r="C218" t="s">
        <v>653</v>
      </c>
      <c r="D218" s="30">
        <v>14</v>
      </c>
      <c r="E218" s="30">
        <v>101</v>
      </c>
      <c r="F218" s="30"/>
      <c r="G218" s="30">
        <v>13281</v>
      </c>
      <c r="H218" s="30">
        <v>106878</v>
      </c>
      <c r="I218" s="30"/>
      <c r="J218" s="2312">
        <v>0</v>
      </c>
      <c r="K218" s="2312">
        <v>5785.6</v>
      </c>
      <c r="L218" s="2312"/>
      <c r="M218" s="2313">
        <v>5741.7160000000013</v>
      </c>
      <c r="N218" s="2313">
        <v>43746.662000000004</v>
      </c>
      <c r="O218" s="2313"/>
      <c r="P218" s="2312">
        <v>0</v>
      </c>
      <c r="Q218" s="2312">
        <v>0</v>
      </c>
      <c r="R218" s="2312"/>
      <c r="S218" s="30">
        <v>115</v>
      </c>
      <c r="T218" s="30">
        <v>120159</v>
      </c>
      <c r="U218" s="2312">
        <v>5785.6</v>
      </c>
      <c r="V218" s="2313">
        <v>49488.378000000041</v>
      </c>
      <c r="W218" s="2312">
        <v>0</v>
      </c>
      <c r="X218" s="2314">
        <f>T218/S218</f>
        <v>1044.8608695652174</v>
      </c>
      <c r="Y218" t="s">
        <v>4598</v>
      </c>
      <c r="Z218" s="2315">
        <f>U218/T218</f>
        <v>4.8149535199194404E-2</v>
      </c>
      <c r="AA218" s="2315">
        <f>U218/S218</f>
        <v>50.309565217391309</v>
      </c>
      <c r="AB218" s="2317">
        <f>V218/T218</f>
        <v>0.41185743889346649</v>
      </c>
    </row>
    <row r="219" spans="2:28" x14ac:dyDescent="0.35">
      <c r="B219" t="s">
        <v>4597</v>
      </c>
      <c r="C219" t="s">
        <v>4590</v>
      </c>
      <c r="D219" s="30">
        <v>14</v>
      </c>
      <c r="E219" s="30">
        <v>106</v>
      </c>
      <c r="F219" s="30"/>
      <c r="G219" s="30">
        <v>35450</v>
      </c>
      <c r="H219" s="30">
        <v>239751</v>
      </c>
      <c r="I219" s="30"/>
      <c r="J219" s="2312">
        <v>102096</v>
      </c>
      <c r="K219" s="2312">
        <v>695416.59</v>
      </c>
      <c r="L219" s="2312"/>
      <c r="M219" s="2313">
        <v>2041.7313999999992</v>
      </c>
      <c r="N219" s="2313">
        <v>13070.406399999998</v>
      </c>
      <c r="O219" s="2313"/>
      <c r="P219" s="2312">
        <v>53175</v>
      </c>
      <c r="Q219" s="2312">
        <v>74572.320000000007</v>
      </c>
      <c r="R219" s="2312"/>
      <c r="S219" s="30">
        <v>120</v>
      </c>
      <c r="T219" s="30">
        <v>275201</v>
      </c>
      <c r="U219" s="2312">
        <v>797512.59</v>
      </c>
      <c r="V219" s="2313">
        <v>15112.137800000006</v>
      </c>
      <c r="W219" s="2312">
        <v>127747.32</v>
      </c>
      <c r="X219" s="2314">
        <f t="shared" ref="X219:X226" si="12">T219/S219</f>
        <v>2293.3416666666667</v>
      </c>
      <c r="Y219" t="s">
        <v>4591</v>
      </c>
      <c r="Z219" s="2315">
        <f t="shared" ref="Z219:Z226" si="13">U219/T219</f>
        <v>2.8979276601465838</v>
      </c>
      <c r="AA219" s="2315">
        <f t="shared" ref="AA219:AB226" si="14">U219/S219</f>
        <v>6645.9382500000002</v>
      </c>
      <c r="AB219" s="2317">
        <f t="shared" si="14"/>
        <v>5.4913091885567297E-2</v>
      </c>
    </row>
    <row r="220" spans="2:28" x14ac:dyDescent="0.35">
      <c r="B220" t="s">
        <v>4597</v>
      </c>
      <c r="C220" t="s">
        <v>4592</v>
      </c>
      <c r="D220" s="30"/>
      <c r="E220" s="30">
        <v>40</v>
      </c>
      <c r="F220" s="30"/>
      <c r="G220" s="30"/>
      <c r="H220" s="30">
        <v>72716</v>
      </c>
      <c r="I220" s="30"/>
      <c r="J220" s="2312"/>
      <c r="K220" s="2312">
        <v>135263.76</v>
      </c>
      <c r="L220" s="2312"/>
      <c r="M220" s="2313"/>
      <c r="N220" s="2313">
        <v>8365.0123999999996</v>
      </c>
      <c r="O220" s="2313"/>
      <c r="P220" s="2312"/>
      <c r="Q220" s="2312">
        <v>8725.92</v>
      </c>
      <c r="R220" s="2312"/>
      <c r="S220" s="30">
        <v>40</v>
      </c>
      <c r="T220" s="30">
        <v>72716</v>
      </c>
      <c r="U220" s="2312">
        <v>135263.76</v>
      </c>
      <c r="V220" s="2313">
        <v>8365.0123999999996</v>
      </c>
      <c r="W220" s="2312">
        <v>8725.92</v>
      </c>
      <c r="X220" s="2314">
        <f t="shared" si="12"/>
        <v>1817.9</v>
      </c>
      <c r="Y220" t="s">
        <v>4591</v>
      </c>
      <c r="Z220" s="2315">
        <f t="shared" si="13"/>
        <v>1.8601650255789648</v>
      </c>
      <c r="AA220" s="2315">
        <f t="shared" si="14"/>
        <v>3381.5940000000001</v>
      </c>
      <c r="AB220" s="2317">
        <f t="shared" si="14"/>
        <v>0.11503675119643544</v>
      </c>
    </row>
    <row r="221" spans="2:28" x14ac:dyDescent="0.35">
      <c r="B221" t="s">
        <v>114</v>
      </c>
      <c r="C221" t="s">
        <v>653</v>
      </c>
      <c r="D221" s="30"/>
      <c r="E221" s="30">
        <v>12</v>
      </c>
      <c r="F221" s="30"/>
      <c r="G221" s="30"/>
      <c r="H221" s="30">
        <v>12</v>
      </c>
      <c r="I221" s="30"/>
      <c r="J221" s="2312"/>
      <c r="K221" s="2312">
        <v>3234.81</v>
      </c>
      <c r="L221" s="2312"/>
      <c r="M221" s="2313"/>
      <c r="N221" s="2313">
        <v>39.953999999999994</v>
      </c>
      <c r="O221" s="2313"/>
      <c r="P221" s="2312"/>
      <c r="Q221" s="2312">
        <v>15070.18</v>
      </c>
      <c r="R221" s="2312"/>
      <c r="S221" s="30">
        <v>12</v>
      </c>
      <c r="T221" s="30">
        <v>12</v>
      </c>
      <c r="U221" s="2312">
        <v>3234.81</v>
      </c>
      <c r="V221" s="2313">
        <v>39.953999999999994</v>
      </c>
      <c r="W221" s="2312">
        <v>15070.18</v>
      </c>
      <c r="X221" s="2314">
        <f t="shared" si="12"/>
        <v>1</v>
      </c>
      <c r="Y221" t="s">
        <v>328</v>
      </c>
      <c r="Z221" s="2315">
        <f t="shared" si="13"/>
        <v>269.5675</v>
      </c>
      <c r="AA221" s="2315">
        <f t="shared" si="14"/>
        <v>269.5675</v>
      </c>
      <c r="AB221" s="2317">
        <f t="shared" si="14"/>
        <v>3.3294999999999995</v>
      </c>
    </row>
    <row r="222" spans="2:28" x14ac:dyDescent="0.35">
      <c r="B222" t="s">
        <v>114</v>
      </c>
      <c r="C222" t="s">
        <v>4590</v>
      </c>
      <c r="D222" s="30"/>
      <c r="E222" s="30">
        <v>12</v>
      </c>
      <c r="F222" s="30"/>
      <c r="G222" s="30"/>
      <c r="H222" s="30">
        <v>10919</v>
      </c>
      <c r="I222" s="30"/>
      <c r="J222" s="2312"/>
      <c r="K222" s="2312">
        <v>3569.72</v>
      </c>
      <c r="L222" s="2312"/>
      <c r="M222" s="2313"/>
      <c r="N222" s="2313">
        <v>36.476100000000002</v>
      </c>
      <c r="O222" s="2313"/>
      <c r="P222" s="2312"/>
      <c r="Q222" s="2312">
        <v>16630.32</v>
      </c>
      <c r="R222" s="2312"/>
      <c r="S222" s="30">
        <v>12</v>
      </c>
      <c r="T222" s="30">
        <v>10919</v>
      </c>
      <c r="U222" s="2312">
        <v>3569.72</v>
      </c>
      <c r="V222" s="2313">
        <v>36.476100000000002</v>
      </c>
      <c r="W222" s="2312">
        <v>16630.32</v>
      </c>
      <c r="X222" s="2314">
        <f t="shared" si="12"/>
        <v>909.91666666666663</v>
      </c>
      <c r="Y222" t="s">
        <v>4591</v>
      </c>
      <c r="Z222" s="2315">
        <f t="shared" si="13"/>
        <v>0.32692737430167595</v>
      </c>
      <c r="AA222" s="2315">
        <f t="shared" si="14"/>
        <v>297.47666666666663</v>
      </c>
      <c r="AB222" s="2317">
        <f t="shared" si="14"/>
        <v>3.3406081142961811E-3</v>
      </c>
    </row>
    <row r="223" spans="2:28" x14ac:dyDescent="0.35">
      <c r="B223" t="s">
        <v>114</v>
      </c>
      <c r="C223" t="s">
        <v>4592</v>
      </c>
      <c r="D223" s="30"/>
      <c r="E223" s="30">
        <v>24</v>
      </c>
      <c r="F223" s="30"/>
      <c r="G223" s="30"/>
      <c r="H223" s="30">
        <v>8544</v>
      </c>
      <c r="I223" s="30"/>
      <c r="J223" s="2312"/>
      <c r="K223" s="2312">
        <v>8276.66</v>
      </c>
      <c r="L223" s="2312"/>
      <c r="M223" s="2313"/>
      <c r="N223" s="2313">
        <v>271.73199999999997</v>
      </c>
      <c r="O223" s="2313"/>
      <c r="P223" s="2312"/>
      <c r="Q223" s="2312">
        <v>38558.879999999997</v>
      </c>
      <c r="R223" s="2312"/>
      <c r="S223" s="30">
        <v>24</v>
      </c>
      <c r="T223" s="30">
        <v>8544</v>
      </c>
      <c r="U223" s="2312">
        <v>8276.66</v>
      </c>
      <c r="V223" s="2313">
        <v>271.73199999999997</v>
      </c>
      <c r="W223" s="2312">
        <v>38558.879999999997</v>
      </c>
      <c r="X223" s="2314">
        <f t="shared" si="12"/>
        <v>356</v>
      </c>
      <c r="Y223" t="s">
        <v>4591</v>
      </c>
      <c r="Z223" s="2315">
        <f t="shared" si="13"/>
        <v>0.96871020599250934</v>
      </c>
      <c r="AA223" s="2315">
        <f t="shared" si="14"/>
        <v>344.86083333333335</v>
      </c>
      <c r="AB223" s="2317">
        <f t="shared" si="14"/>
        <v>3.1803838951310857E-2</v>
      </c>
    </row>
    <row r="224" spans="2:28" x14ac:dyDescent="0.35">
      <c r="B224" t="s">
        <v>114</v>
      </c>
      <c r="C224" t="s">
        <v>669</v>
      </c>
      <c r="D224" s="30"/>
      <c r="E224" s="30">
        <v>12</v>
      </c>
      <c r="F224" s="30"/>
      <c r="G224" s="30"/>
      <c r="H224" s="30">
        <v>12</v>
      </c>
      <c r="I224" s="30"/>
      <c r="J224" s="2312"/>
      <c r="K224" s="2312">
        <v>153.4</v>
      </c>
      <c r="L224" s="2312"/>
      <c r="M224" s="2313"/>
      <c r="N224" s="2313">
        <v>327.20099999999996</v>
      </c>
      <c r="O224" s="2313"/>
      <c r="P224" s="2312"/>
      <c r="Q224" s="2312">
        <v>714.58</v>
      </c>
      <c r="R224" s="2312"/>
      <c r="S224" s="30">
        <v>12</v>
      </c>
      <c r="T224" s="30">
        <v>12</v>
      </c>
      <c r="U224" s="2312">
        <v>153.4</v>
      </c>
      <c r="V224" s="2313">
        <v>327.20099999999996</v>
      </c>
      <c r="W224" s="2312">
        <v>714.58</v>
      </c>
      <c r="X224" s="2314">
        <f t="shared" si="12"/>
        <v>1</v>
      </c>
      <c r="Y224" t="s">
        <v>328</v>
      </c>
      <c r="Z224" s="2315">
        <f t="shared" si="13"/>
        <v>12.783333333333333</v>
      </c>
      <c r="AA224" s="2315">
        <f t="shared" si="14"/>
        <v>12.783333333333333</v>
      </c>
      <c r="AB224" s="2317">
        <f t="shared" si="14"/>
        <v>27.266749999999998</v>
      </c>
    </row>
    <row r="225" spans="2:28" x14ac:dyDescent="0.35">
      <c r="B225" t="s">
        <v>4599</v>
      </c>
      <c r="C225" t="s">
        <v>653</v>
      </c>
      <c r="D225" s="30"/>
      <c r="E225" s="30">
        <v>88</v>
      </c>
      <c r="F225" s="30"/>
      <c r="G225" s="30"/>
      <c r="H225" s="30">
        <v>190623</v>
      </c>
      <c r="I225" s="30"/>
      <c r="J225" s="2312"/>
      <c r="K225" s="2312">
        <v>285920.25</v>
      </c>
      <c r="L225" s="2312"/>
      <c r="M225" s="2313"/>
      <c r="N225" s="2313">
        <v>79299.16800000002</v>
      </c>
      <c r="O225" s="2313"/>
      <c r="P225" s="2312"/>
      <c r="Q225" s="2312">
        <v>285924</v>
      </c>
      <c r="R225" s="2312"/>
      <c r="S225" s="30">
        <v>88</v>
      </c>
      <c r="T225" s="30">
        <v>190623</v>
      </c>
      <c r="U225" s="2312">
        <v>285920.25</v>
      </c>
      <c r="V225" s="2313">
        <v>79299.16800000002</v>
      </c>
      <c r="W225" s="2312">
        <v>285924</v>
      </c>
      <c r="X225" s="2314">
        <f t="shared" si="12"/>
        <v>2166.1704545454545</v>
      </c>
      <c r="Y225" t="s">
        <v>328</v>
      </c>
      <c r="Z225" s="2315">
        <f t="shared" si="13"/>
        <v>1.4999252451173257</v>
      </c>
      <c r="AA225" s="2315">
        <f t="shared" si="14"/>
        <v>3249.09375</v>
      </c>
      <c r="AB225" s="2317">
        <f t="shared" si="14"/>
        <v>0.41600000000000009</v>
      </c>
    </row>
    <row r="226" spans="2:28" x14ac:dyDescent="0.35">
      <c r="B226" t="s">
        <v>4599</v>
      </c>
      <c r="C226" t="s">
        <v>4590</v>
      </c>
      <c r="D226" s="30"/>
      <c r="E226" s="30">
        <v>21</v>
      </c>
      <c r="F226" s="30">
        <v>18</v>
      </c>
      <c r="G226" s="30"/>
      <c r="H226" s="30">
        <v>72243</v>
      </c>
      <c r="I226" s="30">
        <v>230970</v>
      </c>
      <c r="J226" s="2312"/>
      <c r="K226" s="2312">
        <v>89439.97</v>
      </c>
      <c r="L226" s="2312">
        <v>214929.36</v>
      </c>
      <c r="M226" s="2313"/>
      <c r="N226" s="2313">
        <v>11387.174500000001</v>
      </c>
      <c r="O226" s="2313">
        <v>13329.343700000001</v>
      </c>
      <c r="P226" s="2312"/>
      <c r="Q226" s="2312">
        <v>89439.97</v>
      </c>
      <c r="R226" s="2312">
        <v>214929.36</v>
      </c>
      <c r="S226" s="30">
        <v>39</v>
      </c>
      <c r="T226" s="30">
        <v>303213</v>
      </c>
      <c r="U226" s="2312">
        <v>304369.33</v>
      </c>
      <c r="V226" s="2313">
        <v>24716.518199999988</v>
      </c>
      <c r="W226" s="2312">
        <v>304369.33</v>
      </c>
      <c r="X226" s="2314">
        <f t="shared" si="12"/>
        <v>7774.6923076923076</v>
      </c>
      <c r="Y226" t="s">
        <v>4591</v>
      </c>
      <c r="Z226" s="2315">
        <f t="shared" si="13"/>
        <v>1.0038135897867178</v>
      </c>
      <c r="AA226" s="2315">
        <f t="shared" si="14"/>
        <v>7804.3417948717952</v>
      </c>
      <c r="AB226" s="2317">
        <f t="shared" si="14"/>
        <v>8.1515364446774999E-2</v>
      </c>
    </row>
    <row r="227" spans="2:28" x14ac:dyDescent="0.35">
      <c r="B227" t="s">
        <v>3653</v>
      </c>
      <c r="D227" s="30">
        <v>28</v>
      </c>
      <c r="E227" s="30">
        <v>416</v>
      </c>
      <c r="F227" s="30">
        <v>18</v>
      </c>
      <c r="G227" s="30">
        <v>48731</v>
      </c>
      <c r="H227" s="30">
        <v>701698</v>
      </c>
      <c r="I227" s="30">
        <v>230970</v>
      </c>
      <c r="J227" s="2312">
        <v>102096</v>
      </c>
      <c r="K227" s="2312">
        <v>1227060.76</v>
      </c>
      <c r="L227" s="2312">
        <v>214929.36</v>
      </c>
      <c r="M227" s="2313">
        <v>7783.4474</v>
      </c>
      <c r="N227" s="2313">
        <v>156543.78639999978</v>
      </c>
      <c r="O227" s="2313">
        <v>13329.343700000001</v>
      </c>
      <c r="P227" s="2312">
        <v>53175</v>
      </c>
      <c r="Q227" s="2312">
        <v>529636.17000000004</v>
      </c>
      <c r="R227" s="2312">
        <v>214929.36</v>
      </c>
      <c r="S227" s="30">
        <v>462</v>
      </c>
      <c r="T227" s="30">
        <v>981399</v>
      </c>
      <c r="U227" s="2312">
        <v>1544086.12</v>
      </c>
      <c r="V227" s="2313">
        <v>177656.57750000001</v>
      </c>
      <c r="W227" s="2312">
        <v>797740.53</v>
      </c>
    </row>
  </sheetData>
  <mergeCells count="30">
    <mergeCell ref="I78:I80"/>
    <mergeCell ref="B91:D91"/>
    <mergeCell ref="B98:B100"/>
    <mergeCell ref="B101:B103"/>
    <mergeCell ref="B118:D118"/>
    <mergeCell ref="V64:V65"/>
    <mergeCell ref="V66:V67"/>
    <mergeCell ref="V68:V69"/>
    <mergeCell ref="V70:V71"/>
    <mergeCell ref="U72:U73"/>
    <mergeCell ref="V72:V73"/>
    <mergeCell ref="V46:V47"/>
    <mergeCell ref="T50:T51"/>
    <mergeCell ref="U50:U51"/>
    <mergeCell ref="V54:V55"/>
    <mergeCell ref="V58:V59"/>
    <mergeCell ref="V56:V57"/>
    <mergeCell ref="T60:T61"/>
    <mergeCell ref="U33:U34"/>
    <mergeCell ref="U35:U36"/>
    <mergeCell ref="U37:U38"/>
    <mergeCell ref="U39:U40"/>
    <mergeCell ref="U41:U43"/>
    <mergeCell ref="T44:T45"/>
    <mergeCell ref="U31:U32"/>
    <mergeCell ref="V2:X2"/>
    <mergeCell ref="Y2:AA2"/>
    <mergeCell ref="AB2:AD2"/>
    <mergeCell ref="AE2:AX2"/>
    <mergeCell ref="T25:V25"/>
  </mergeCells>
  <dataValidations count="14">
    <dataValidation type="list" allowBlank="1" showInputMessage="1" showErrorMessage="1" sqref="K4:K7" xr:uid="{2451CE97-9E5E-4619-9636-18B68760A860}">
      <formula1>$B$78:$B$84</formula1>
    </dataValidation>
    <dataValidation type="list" allowBlank="1" showInputMessage="1" showErrorMessage="1" sqref="U4:U7" xr:uid="{52E617FF-177B-4B04-8ED6-BB36B398A6BB}">
      <formula1>ArSl1</formula1>
    </dataValidation>
    <dataValidation type="list" allowBlank="1" showInputMessage="1" showErrorMessage="1" sqref="M4" xr:uid="{17BC8E42-FA61-4F7C-BA18-51EF3DD9A3D6}">
      <formula1>$B$119:$B$121</formula1>
    </dataValidation>
    <dataValidation type="list" allowBlank="1" showInputMessage="1" showErrorMessage="1" sqref="N4" xr:uid="{221065AA-7387-4B36-88C6-6150B6E6EB30}">
      <formula1>$C$98:$C$100</formula1>
    </dataValidation>
    <dataValidation type="list" allowBlank="1" showInputMessage="1" showErrorMessage="1" sqref="P4" xr:uid="{AE113787-9988-4CF4-84E3-3BDB403F26EC}">
      <formula1>$D$114:$D$115</formula1>
    </dataValidation>
    <dataValidation type="list" allowBlank="1" showInputMessage="1" showErrorMessage="1" sqref="S4:S7" xr:uid="{7DCA0278-ECFC-4BED-B25B-6C87B533D134}">
      <formula1>#REF!</formula1>
    </dataValidation>
    <dataValidation type="list" allowBlank="1" showInputMessage="1" showErrorMessage="1" sqref="P5:P7" xr:uid="{3AF72ECF-3FA2-4A08-A291-7B533A4CF6BF}">
      <formula1>$D$115:$D$116</formula1>
    </dataValidation>
    <dataValidation type="list" allowBlank="1" showInputMessage="1" showErrorMessage="1" sqref="N5:N7" xr:uid="{5D6C25D9-D554-480C-8946-8A9497A8A8D4}">
      <formula1>$C$99:$C$101</formula1>
    </dataValidation>
    <dataValidation type="list" allowBlank="1" showInputMessage="1" showErrorMessage="1" sqref="M5:M7" xr:uid="{D82547DB-07FB-4372-95BB-2AF4F08F08FC}">
      <formula1>$B$120:$B$122</formula1>
    </dataValidation>
    <dataValidation type="list" allowBlank="1" showInputMessage="1" showErrorMessage="1" sqref="L4:L7" xr:uid="{50151BE1-72CA-4E55-9874-0768D62C95EC}">
      <formula1>Fuel1</formula1>
    </dataValidation>
    <dataValidation type="list" allowBlank="1" showInputMessage="1" showErrorMessage="1" sqref="O5:O7" xr:uid="{B7BF815C-A32E-4C40-9991-817C5B95BD96}">
      <formula1>IF($P$4=$I$82,$J$82,$J$79:$J$81)</formula1>
    </dataValidation>
    <dataValidation type="list" allowBlank="1" showInputMessage="1" showErrorMessage="1" sqref="O4" xr:uid="{0CFA1D3E-B130-476F-B024-DB63C6D8F7DC}">
      <formula1>IF($P$4=$I$81,$J$81,$J$78:$J$80)</formula1>
    </dataValidation>
    <dataValidation type="list" allowBlank="1" showInputMessage="1" showErrorMessage="1" sqref="D4:D13" xr:uid="{BDC36FFB-1847-4A6A-9EBA-E2CE83C028A1}">
      <formula1>MeasureType</formula1>
    </dataValidation>
    <dataValidation type="list" allowBlank="1" showInputMessage="1" showErrorMessage="1" sqref="R4:R13" xr:uid="{72C23990-B626-4E83-B35C-092AC1BC29E2}">
      <formula1>Unit1</formula1>
    </dataValidation>
  </dataValidations>
  <hyperlinks>
    <hyperlink ref="A1" location="'Measure-Level Adjustments'!Print_Titles" display="Measure Level Tab" xr:uid="{D8692874-F171-4763-8B04-B4D08FC7A845}"/>
  </hyperlinks>
  <pageMargins left="0.7" right="0.7" top="0.75" bottom="0.75" header="0.3" footer="0.3"/>
  <pageSetup orientation="portrait" r:id="rId4"/>
  <legacyDrawing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EFA1A-E955-4AED-BC0E-56645D6F5704}">
  <sheetPr>
    <tabColor theme="6" tint="0.59999389629810485"/>
    <pageSetUpPr fitToPage="1"/>
  </sheetPr>
  <dimension ref="A1:U81"/>
  <sheetViews>
    <sheetView workbookViewId="0">
      <pane xSplit="1" ySplit="3" topLeftCell="I4" activePane="bottomRight" state="frozen"/>
      <selection pane="topRight" activeCell="B1" sqref="B1"/>
      <selection pane="bottomLeft" activeCell="A4" sqref="A4"/>
      <selection pane="bottomRight"/>
    </sheetView>
  </sheetViews>
  <sheetFormatPr defaultRowHeight="14.5" x14ac:dyDescent="0.35"/>
  <cols>
    <col min="1" max="1" width="20.54296875" customWidth="1"/>
    <col min="2" max="2" width="29.7265625" customWidth="1"/>
    <col min="3" max="3" width="34.7265625" customWidth="1"/>
    <col min="4" max="4" width="22.26953125" bestFit="1" customWidth="1"/>
    <col min="5" max="5" width="16.453125" customWidth="1"/>
    <col min="6" max="6" width="23.1796875" customWidth="1"/>
    <col min="7" max="7" width="17.7265625" customWidth="1"/>
    <col min="8" max="8" width="21.7265625" customWidth="1"/>
    <col min="9" max="9" width="25.81640625" customWidth="1"/>
    <col min="10" max="10" width="17" customWidth="1"/>
    <col min="11" max="11" width="13.54296875" customWidth="1"/>
    <col min="12" max="13" width="12.1796875" customWidth="1"/>
    <col min="14" max="14" width="13.453125" customWidth="1"/>
  </cols>
  <sheetData>
    <row r="1" spans="1:21" x14ac:dyDescent="0.35">
      <c r="A1" s="1799" t="s">
        <v>1031</v>
      </c>
    </row>
    <row r="2" spans="1:21" x14ac:dyDescent="0.35">
      <c r="A2" s="1702"/>
      <c r="B2" s="1703"/>
      <c r="C2" s="1703"/>
      <c r="D2" s="1703"/>
      <c r="E2" s="1704"/>
      <c r="F2" s="1704"/>
      <c r="G2" s="1704"/>
      <c r="H2" s="1704"/>
      <c r="I2" s="1704"/>
      <c r="J2" s="1704"/>
      <c r="K2" s="1704"/>
      <c r="L2" s="1704"/>
      <c r="M2" s="1704"/>
      <c r="N2" s="1704"/>
      <c r="O2" s="1704"/>
      <c r="P2" s="3147" t="s">
        <v>1032</v>
      </c>
      <c r="Q2" s="3148"/>
      <c r="R2" s="3264"/>
      <c r="S2" s="3147" t="s">
        <v>1033</v>
      </c>
      <c r="T2" s="3148"/>
      <c r="U2" s="3264"/>
    </row>
    <row r="3" spans="1:21" ht="25.5" customHeight="1" x14ac:dyDescent="0.35">
      <c r="A3" s="1972" t="s">
        <v>1035</v>
      </c>
      <c r="B3" s="1822" t="s">
        <v>155</v>
      </c>
      <c r="C3" s="1822" t="s">
        <v>1036</v>
      </c>
      <c r="D3" s="1822" t="s">
        <v>1037</v>
      </c>
      <c r="E3" s="1971" t="s">
        <v>1038</v>
      </c>
      <c r="F3" s="1971" t="s">
        <v>1039</v>
      </c>
      <c r="G3" s="1971" t="s">
        <v>1040</v>
      </c>
      <c r="H3" s="2059" t="s">
        <v>1360</v>
      </c>
      <c r="I3" s="1971" t="s">
        <v>4600</v>
      </c>
      <c r="J3" s="1971" t="s">
        <v>1684</v>
      </c>
      <c r="K3" s="2059" t="s">
        <v>4601</v>
      </c>
      <c r="L3" s="2059" t="s">
        <v>4602</v>
      </c>
      <c r="M3" s="2059" t="s">
        <v>4603</v>
      </c>
      <c r="N3" s="2059" t="s">
        <v>4135</v>
      </c>
      <c r="O3" s="2059" t="s">
        <v>4604</v>
      </c>
      <c r="P3" s="1976" t="s">
        <v>1044</v>
      </c>
      <c r="Q3" s="1976" t="s">
        <v>1045</v>
      </c>
      <c r="R3" s="1976" t="s">
        <v>1046</v>
      </c>
      <c r="S3" s="1976" t="s">
        <v>1044</v>
      </c>
      <c r="T3" s="1976" t="s">
        <v>1045</v>
      </c>
      <c r="U3" s="1976" t="s">
        <v>1046</v>
      </c>
    </row>
    <row r="4" spans="1:21" ht="19.5" customHeight="1" x14ac:dyDescent="0.35">
      <c r="A4" s="2218" t="s">
        <v>682</v>
      </c>
      <c r="B4" s="2218" t="s">
        <v>681</v>
      </c>
      <c r="C4" s="2218" t="s">
        <v>681</v>
      </c>
      <c r="D4" s="2219" t="s">
        <v>4142</v>
      </c>
      <c r="E4" s="2220" t="s">
        <v>1632</v>
      </c>
      <c r="F4" s="2221">
        <v>20</v>
      </c>
      <c r="G4" s="2222"/>
      <c r="H4" s="2222" t="s">
        <v>3318</v>
      </c>
      <c r="I4" s="2223" t="s">
        <v>4605</v>
      </c>
      <c r="J4" s="2224" t="s">
        <v>3125</v>
      </c>
      <c r="K4" s="2225">
        <v>12</v>
      </c>
      <c r="L4" s="2225">
        <f>IF(I4=C37, VLOOKUP(J4,B39:D44,2,FALSE), VLOOKUP(J4,B39:D44,3,FALSE))</f>
        <v>0.48199999999999998</v>
      </c>
      <c r="M4" s="2225">
        <f>B29</f>
        <v>0.68</v>
      </c>
      <c r="N4" s="2226">
        <f>IF(H4=$C$64, VLOOKUP(J4,B65:D70,2,FALSE), VLOOKUP(J4,B65:D70,3,FALSE))</f>
        <v>568.6</v>
      </c>
      <c r="O4" s="2227">
        <f>IF(I4=$C$74, VLOOKUP(J4,$B$76:$D$81,2,FALSE), VLOOKUP(J4,$B$76:$D$81,3,FALSE))</f>
        <v>0.7609999999999999</v>
      </c>
      <c r="P4" s="2228"/>
      <c r="Q4" s="2229"/>
      <c r="R4" s="2230">
        <f>O4*K4</f>
        <v>9.1319999999999979</v>
      </c>
      <c r="S4" s="2230"/>
      <c r="T4" s="2229"/>
      <c r="U4" s="2230">
        <f>R4*F4</f>
        <v>182.63999999999996</v>
      </c>
    </row>
    <row r="5" spans="1:21" ht="21" customHeight="1" x14ac:dyDescent="0.35">
      <c r="A5" s="2218" t="s">
        <v>944</v>
      </c>
      <c r="B5" s="2218" t="s">
        <v>943</v>
      </c>
      <c r="C5" s="2218" t="s">
        <v>943</v>
      </c>
      <c r="D5" s="2219" t="s">
        <v>4142</v>
      </c>
      <c r="E5" s="2220" t="s">
        <v>1632</v>
      </c>
      <c r="F5" s="2221">
        <v>20</v>
      </c>
      <c r="G5" s="2222"/>
      <c r="H5" s="2222" t="s">
        <v>2556</v>
      </c>
      <c r="I5" s="2223" t="s">
        <v>4605</v>
      </c>
      <c r="J5" s="2224" t="s">
        <v>3125</v>
      </c>
      <c r="K5" s="2225">
        <v>12</v>
      </c>
      <c r="L5" s="2225">
        <f>IF(I5=C37, VLOOKUP(J5,$B$39:$D$44,2,FALSE), VLOOKUP(J5,$B$39:$D$44,3,FALSE))</f>
        <v>0.48199999999999998</v>
      </c>
      <c r="M5" s="2225">
        <f>$B$29</f>
        <v>0.68</v>
      </c>
      <c r="N5" s="2226">
        <f>IF(H5=$C$64, VLOOKUP(J5,B66:D71,2,FALSE), VLOOKUP(J5,B66:D71,3,FALSE))</f>
        <v>509.99999999999994</v>
      </c>
      <c r="O5" s="2227">
        <f>IF(I5=$C$74, VLOOKUP(J5,$B$76:$D$81,2,FALSE), VLOOKUP(J5,$B$76:$D$81,3,FALSE))</f>
        <v>0.7609999999999999</v>
      </c>
      <c r="P5" s="2228"/>
      <c r="Q5" s="2229"/>
      <c r="R5" s="2230">
        <f>O5*K5</f>
        <v>9.1319999999999979</v>
      </c>
      <c r="S5" s="2230"/>
      <c r="T5" s="2229"/>
      <c r="U5" s="2230">
        <f>R5*F5</f>
        <v>182.63999999999996</v>
      </c>
    </row>
    <row r="6" spans="1:21" ht="21" customHeight="1" x14ac:dyDescent="0.35">
      <c r="A6" s="2218" t="s">
        <v>801</v>
      </c>
      <c r="B6" s="2218" t="s">
        <v>800</v>
      </c>
      <c r="C6" s="2218" t="s">
        <v>800</v>
      </c>
      <c r="D6" s="2219" t="s">
        <v>4142</v>
      </c>
      <c r="E6" s="2220" t="s">
        <v>1632</v>
      </c>
      <c r="F6" s="2221">
        <v>20</v>
      </c>
      <c r="G6" s="2222"/>
      <c r="H6" s="2222" t="s">
        <v>3318</v>
      </c>
      <c r="I6" s="2223" t="s">
        <v>4605</v>
      </c>
      <c r="J6" s="2224" t="s">
        <v>3125</v>
      </c>
      <c r="K6" s="2225">
        <v>12</v>
      </c>
      <c r="L6" s="2225">
        <f>IF(I6=C37, VLOOKUP(J6,$B$39:$D$44,2,FALSE), VLOOKUP(J6,$B$39:$D$44,3,FALSE))</f>
        <v>0.48199999999999998</v>
      </c>
      <c r="M6" s="2225">
        <f>$B$29</f>
        <v>0.68</v>
      </c>
      <c r="N6" s="2226">
        <f>IF(H6=$C$64, VLOOKUP(J6,B67:D72,2,FALSE), VLOOKUP(J6,B67:D72,3,FALSE))</f>
        <v>568.6</v>
      </c>
      <c r="O6" s="2227">
        <f>IF(I6=$C$74, VLOOKUP(J6,$B$76:$D$81,2,FALSE), VLOOKUP(J6,$B$76:$D$81,3,FALSE))</f>
        <v>0.7609999999999999</v>
      </c>
      <c r="P6" s="2228"/>
      <c r="Q6" s="2229"/>
      <c r="R6" s="2230">
        <f>O6*K6</f>
        <v>9.1319999999999979</v>
      </c>
      <c r="S6" s="2230"/>
      <c r="T6" s="2229"/>
      <c r="U6" s="2230">
        <f>R6*F6</f>
        <v>182.63999999999996</v>
      </c>
    </row>
    <row r="7" spans="1:21" ht="21" customHeight="1" x14ac:dyDescent="0.35">
      <c r="A7" s="2218" t="s">
        <v>779</v>
      </c>
      <c r="B7" s="2218" t="s">
        <v>778</v>
      </c>
      <c r="C7" s="2218" t="s">
        <v>778</v>
      </c>
      <c r="D7" s="2219" t="s">
        <v>4142</v>
      </c>
      <c r="E7" s="2220" t="s">
        <v>1632</v>
      </c>
      <c r="F7" s="2221">
        <v>20</v>
      </c>
      <c r="G7" s="2222"/>
      <c r="H7" s="2222" t="s">
        <v>2556</v>
      </c>
      <c r="I7" s="2223" t="s">
        <v>4605</v>
      </c>
      <c r="J7" s="2224" t="s">
        <v>3125</v>
      </c>
      <c r="K7" s="2225">
        <v>12</v>
      </c>
      <c r="L7" s="2225">
        <f>IF(I7=C37, VLOOKUP(J7,$B$39:$D$44,2,FALSE), VLOOKUP(J7,$B$39:$D$44,3,FALSE))</f>
        <v>0.48199999999999998</v>
      </c>
      <c r="M7" s="2225">
        <f>$B$29</f>
        <v>0.68</v>
      </c>
      <c r="N7" s="2226">
        <f>IF(H7=$C$64, VLOOKUP(J7,B68:D73,2,FALSE), VLOOKUP(J7,B68:D73,3,FALSE))</f>
        <v>509.99999999999994</v>
      </c>
      <c r="O7" s="2227">
        <f>IF(I7=$C$74, VLOOKUP(J7,$B$76:$D$81,2,FALSE), VLOOKUP(J7,$B$76:$D$81,3,FALSE))</f>
        <v>0.7609999999999999</v>
      </c>
      <c r="P7" s="2228"/>
      <c r="Q7" s="2229"/>
      <c r="R7" s="2230">
        <f>O7*K7</f>
        <v>9.1319999999999979</v>
      </c>
      <c r="S7" s="2230"/>
      <c r="T7" s="2229"/>
      <c r="U7" s="2230">
        <f>R7*F7</f>
        <v>182.63999999999996</v>
      </c>
    </row>
    <row r="10" spans="1:21" x14ac:dyDescent="0.35">
      <c r="A10" s="2062" t="s">
        <v>4606</v>
      </c>
      <c r="B10" s="2063"/>
      <c r="C10" s="2063"/>
      <c r="D10" s="2063"/>
      <c r="E10" s="2063"/>
      <c r="F10" s="2063"/>
      <c r="G10" s="2063"/>
      <c r="H10" s="2231"/>
    </row>
    <row r="11" spans="1:21" x14ac:dyDescent="0.35">
      <c r="A11" s="931" t="s">
        <v>4607</v>
      </c>
      <c r="B11" s="881"/>
      <c r="C11" s="881"/>
      <c r="D11" s="881"/>
      <c r="E11" s="881"/>
      <c r="F11" s="881"/>
      <c r="G11" s="881"/>
      <c r="H11" s="2232"/>
    </row>
    <row r="12" spans="1:21" x14ac:dyDescent="0.35">
      <c r="A12" s="931" t="s">
        <v>4608</v>
      </c>
      <c r="B12" s="881"/>
      <c r="C12" s="881"/>
      <c r="D12" s="881"/>
      <c r="E12" s="881"/>
      <c r="F12" s="881"/>
      <c r="G12" s="881"/>
      <c r="H12" s="2232"/>
    </row>
    <row r="13" spans="1:21" x14ac:dyDescent="0.35">
      <c r="A13" s="931" t="s">
        <v>4609</v>
      </c>
      <c r="B13" s="881"/>
      <c r="C13" s="881"/>
      <c r="D13" s="881"/>
      <c r="E13" s="881"/>
      <c r="F13" s="881"/>
      <c r="G13" s="881"/>
      <c r="H13" s="2232"/>
    </row>
    <row r="14" spans="1:21" x14ac:dyDescent="0.35">
      <c r="A14" s="931" t="s">
        <v>4610</v>
      </c>
      <c r="B14" s="881"/>
      <c r="C14" s="881"/>
      <c r="D14" s="881"/>
      <c r="E14" s="881"/>
      <c r="F14" s="881"/>
      <c r="G14" s="881"/>
      <c r="H14" s="2232"/>
    </row>
    <row r="15" spans="1:21" x14ac:dyDescent="0.35">
      <c r="A15" s="931" t="s">
        <v>4611</v>
      </c>
      <c r="B15" s="881"/>
      <c r="C15" s="881"/>
      <c r="D15" s="881"/>
      <c r="E15" s="881"/>
      <c r="F15" s="881"/>
      <c r="G15" s="881"/>
      <c r="H15" s="2232"/>
    </row>
    <row r="16" spans="1:21" x14ac:dyDescent="0.35">
      <c r="A16" s="931"/>
      <c r="B16" s="881"/>
      <c r="C16" s="881"/>
      <c r="D16" s="881"/>
      <c r="E16" s="881"/>
      <c r="F16" s="881"/>
      <c r="G16" s="881"/>
      <c r="H16" s="2232"/>
    </row>
    <row r="17" spans="1:8" x14ac:dyDescent="0.35">
      <c r="A17" s="2233" t="s">
        <v>3086</v>
      </c>
      <c r="B17" s="881"/>
      <c r="C17" s="881"/>
      <c r="D17" s="881"/>
      <c r="E17" s="881"/>
      <c r="F17" s="881"/>
      <c r="G17" s="881"/>
      <c r="H17" s="2232"/>
    </row>
    <row r="18" spans="1:8" x14ac:dyDescent="0.35">
      <c r="A18" s="2064"/>
      <c r="B18" s="2065"/>
      <c r="C18" s="2065"/>
      <c r="D18" s="2065"/>
      <c r="E18" s="2065"/>
      <c r="F18" s="2065"/>
      <c r="G18" s="2065"/>
      <c r="H18" s="2234"/>
    </row>
    <row r="21" spans="1:8" x14ac:dyDescent="0.35">
      <c r="A21" s="1248" t="s">
        <v>3078</v>
      </c>
    </row>
    <row r="22" spans="1:8" x14ac:dyDescent="0.35">
      <c r="A22" t="s">
        <v>4612</v>
      </c>
    </row>
    <row r="23" spans="1:8" x14ac:dyDescent="0.35">
      <c r="A23" s="2067"/>
    </row>
    <row r="24" spans="1:8" x14ac:dyDescent="0.35">
      <c r="A24" s="1248" t="s">
        <v>3082</v>
      </c>
    </row>
    <row r="25" spans="1:8" x14ac:dyDescent="0.35">
      <c r="A25" t="s">
        <v>4613</v>
      </c>
    </row>
    <row r="27" spans="1:8" x14ac:dyDescent="0.35">
      <c r="A27" s="1248" t="s">
        <v>3113</v>
      </c>
    </row>
    <row r="28" spans="1:8" x14ac:dyDescent="0.35">
      <c r="A28" s="615" t="s">
        <v>4614</v>
      </c>
      <c r="B28" t="s">
        <v>4615</v>
      </c>
    </row>
    <row r="29" spans="1:8" x14ac:dyDescent="0.35">
      <c r="A29" s="615"/>
      <c r="B29">
        <f xml:space="preserve"> 68%</f>
        <v>0.68</v>
      </c>
    </row>
    <row r="30" spans="1:8" x14ac:dyDescent="0.35">
      <c r="A30" s="615" t="s">
        <v>4616</v>
      </c>
      <c r="B30" s="2235" t="s">
        <v>4617</v>
      </c>
    </row>
    <row r="31" spans="1:8" x14ac:dyDescent="0.35">
      <c r="A31" s="615"/>
      <c r="B31">
        <f xml:space="preserve"> 72%</f>
        <v>0.72</v>
      </c>
    </row>
    <row r="32" spans="1:8" x14ac:dyDescent="0.35">
      <c r="A32" s="615" t="s">
        <v>4618</v>
      </c>
      <c r="B32" t="s">
        <v>4619</v>
      </c>
    </row>
    <row r="33" spans="1:9" x14ac:dyDescent="0.35">
      <c r="B33">
        <f xml:space="preserve"> 46.6%</f>
        <v>0.46600000000000003</v>
      </c>
    </row>
    <row r="35" spans="1:9" x14ac:dyDescent="0.35">
      <c r="A35" t="s">
        <v>4602</v>
      </c>
      <c r="B35" t="s">
        <v>4620</v>
      </c>
    </row>
    <row r="36" spans="1:9" ht="15" thickBot="1" x14ac:dyDescent="0.4"/>
    <row r="37" spans="1:9" ht="15" customHeight="1" x14ac:dyDescent="0.35">
      <c r="B37" s="3354" t="s">
        <v>1684</v>
      </c>
      <c r="C37" s="339" t="s">
        <v>4605</v>
      </c>
      <c r="D37" s="339" t="s">
        <v>4621</v>
      </c>
      <c r="G37" s="3361" t="s">
        <v>3320</v>
      </c>
      <c r="H37" s="3139"/>
      <c r="I37" s="3074"/>
    </row>
    <row r="38" spans="1:9" ht="15" thickBot="1" x14ac:dyDescent="0.4">
      <c r="B38" s="3355"/>
      <c r="C38" s="341" t="s">
        <v>4622</v>
      </c>
      <c r="D38" s="341" t="s">
        <v>4622</v>
      </c>
      <c r="G38" s="290" t="s">
        <v>3068</v>
      </c>
      <c r="H38" s="49" t="s">
        <v>2632</v>
      </c>
      <c r="I38" s="49">
        <v>0.3</v>
      </c>
    </row>
    <row r="39" spans="1:9" ht="15" thickBot="1" x14ac:dyDescent="0.4">
      <c r="B39" s="2236" t="s">
        <v>3129</v>
      </c>
      <c r="C39" s="2056">
        <v>0.46</v>
      </c>
      <c r="D39" s="2056">
        <v>0.33</v>
      </c>
      <c r="G39" s="290" t="s">
        <v>2389</v>
      </c>
      <c r="H39" s="49" t="s">
        <v>2633</v>
      </c>
      <c r="I39" s="49">
        <v>0.6</v>
      </c>
    </row>
    <row r="40" spans="1:9" ht="15" thickBot="1" x14ac:dyDescent="0.4">
      <c r="B40" s="2236" t="s">
        <v>3130</v>
      </c>
      <c r="C40" s="2056">
        <v>0.47</v>
      </c>
      <c r="D40" s="2056">
        <v>0.34</v>
      </c>
      <c r="G40" s="290" t="s">
        <v>2390</v>
      </c>
      <c r="H40" s="49" t="s">
        <v>2634</v>
      </c>
      <c r="I40" s="49">
        <v>0.1</v>
      </c>
    </row>
    <row r="41" spans="1:9" ht="15" thickBot="1" x14ac:dyDescent="0.4">
      <c r="B41" s="2236" t="s">
        <v>3131</v>
      </c>
      <c r="C41" s="2056">
        <v>0.62</v>
      </c>
      <c r="D41" s="2056">
        <v>0.45</v>
      </c>
    </row>
    <row r="42" spans="1:9" ht="15" thickBot="1" x14ac:dyDescent="0.4">
      <c r="B42" s="2236" t="s">
        <v>3132</v>
      </c>
      <c r="C42" s="2056">
        <v>0.88</v>
      </c>
      <c r="D42" s="2056">
        <v>0.64</v>
      </c>
    </row>
    <row r="43" spans="1:9" ht="15" thickBot="1" x14ac:dyDescent="0.4">
      <c r="B43" s="2236" t="s">
        <v>3133</v>
      </c>
      <c r="C43" s="2056">
        <v>0.77</v>
      </c>
      <c r="D43" s="2056">
        <v>0.56000000000000005</v>
      </c>
    </row>
    <row r="44" spans="1:9" ht="15" thickBot="1" x14ac:dyDescent="0.4">
      <c r="B44" s="2236" t="s">
        <v>3125</v>
      </c>
      <c r="C44" s="2056">
        <f>C39*I38+C40*I39+C41*I40</f>
        <v>0.48199999999999998</v>
      </c>
      <c r="D44" s="2056">
        <f>D39*I38+D40*I39+D41*I40</f>
        <v>0.34800000000000003</v>
      </c>
    </row>
    <row r="46" spans="1:9" x14ac:dyDescent="0.35">
      <c r="A46" t="s">
        <v>4623</v>
      </c>
      <c r="B46" s="2237" t="s">
        <v>4624</v>
      </c>
    </row>
    <row r="47" spans="1:9" ht="15" thickBot="1" x14ac:dyDescent="0.4"/>
    <row r="48" spans="1:9" ht="15" thickBot="1" x14ac:dyDescent="0.4">
      <c r="B48" s="2079"/>
      <c r="C48" s="3265" t="s">
        <v>4625</v>
      </c>
      <c r="D48" s="3266"/>
      <c r="E48" s="3265" t="s">
        <v>3511</v>
      </c>
      <c r="F48" s="3266"/>
    </row>
    <row r="49" spans="1:6" ht="26" x14ac:dyDescent="0.35">
      <c r="B49" s="3354" t="s">
        <v>1684</v>
      </c>
      <c r="C49" s="2238" t="s">
        <v>4605</v>
      </c>
      <c r="D49" s="2238" t="s">
        <v>4621</v>
      </c>
      <c r="E49" s="2238" t="s">
        <v>4605</v>
      </c>
      <c r="F49" s="2238" t="s">
        <v>4621</v>
      </c>
    </row>
    <row r="50" spans="1:6" ht="15" thickBot="1" x14ac:dyDescent="0.4">
      <c r="B50" s="3355"/>
      <c r="C50" s="341" t="s">
        <v>4622</v>
      </c>
      <c r="D50" s="341" t="s">
        <v>4622</v>
      </c>
      <c r="E50" s="341" t="s">
        <v>4622</v>
      </c>
      <c r="F50" s="341" t="s">
        <v>4622</v>
      </c>
    </row>
    <row r="51" spans="1:6" ht="15" thickBot="1" x14ac:dyDescent="0.4">
      <c r="B51" s="2236" t="s">
        <v>3129</v>
      </c>
      <c r="C51" s="2030">
        <v>16.84</v>
      </c>
      <c r="D51" s="2030">
        <v>1.9</v>
      </c>
      <c r="E51" s="2030">
        <v>9.31</v>
      </c>
      <c r="F51" s="2030">
        <v>1.05</v>
      </c>
    </row>
    <row r="52" spans="1:6" ht="15" thickBot="1" x14ac:dyDescent="0.4">
      <c r="B52" s="2236" t="s">
        <v>3130</v>
      </c>
      <c r="C52" s="2030">
        <v>16.09</v>
      </c>
      <c r="D52" s="2030">
        <v>1.81</v>
      </c>
      <c r="E52" s="2030">
        <v>8.89</v>
      </c>
      <c r="F52" s="2030">
        <v>1</v>
      </c>
    </row>
    <row r="53" spans="1:6" ht="15" thickBot="1" x14ac:dyDescent="0.4">
      <c r="B53" s="2236" t="s">
        <v>3131</v>
      </c>
      <c r="C53" s="2030">
        <v>13.78</v>
      </c>
      <c r="D53" s="2030">
        <v>1.55</v>
      </c>
      <c r="E53" s="2030">
        <v>7.61</v>
      </c>
      <c r="F53" s="2030">
        <v>0.86</v>
      </c>
    </row>
    <row r="54" spans="1:6" ht="15" thickBot="1" x14ac:dyDescent="0.4">
      <c r="B54" s="2236" t="s">
        <v>3132</v>
      </c>
      <c r="C54" s="2030">
        <v>10.63</v>
      </c>
      <c r="D54" s="2030">
        <v>1.2</v>
      </c>
      <c r="E54" s="2030">
        <v>5.87</v>
      </c>
      <c r="F54" s="2030">
        <v>0.66</v>
      </c>
    </row>
    <row r="55" spans="1:6" ht="15" thickBot="1" x14ac:dyDescent="0.4">
      <c r="B55" s="2236" t="s">
        <v>3133</v>
      </c>
      <c r="C55" s="2030">
        <v>10.82</v>
      </c>
      <c r="D55" s="2030">
        <v>1.22</v>
      </c>
      <c r="E55" s="2030">
        <v>5.98</v>
      </c>
      <c r="F55" s="2030">
        <v>0.67</v>
      </c>
    </row>
    <row r="56" spans="1:6" ht="15" thickBot="1" x14ac:dyDescent="0.4">
      <c r="B56" s="2236" t="s">
        <v>3125</v>
      </c>
      <c r="C56" s="2030">
        <f>C51*I38+C52*I39+C53*I40</f>
        <v>16.084</v>
      </c>
      <c r="D56" s="2030">
        <f>D51*I38+D52*I39+D53*I40</f>
        <v>1.8110000000000002</v>
      </c>
      <c r="E56" s="2030">
        <f>E51*I38+E52*I39+E53*I40</f>
        <v>8.8880000000000017</v>
      </c>
      <c r="F56" s="2030">
        <f>F51*I38+F52*I39+F53*I40</f>
        <v>1.0010000000000001</v>
      </c>
    </row>
    <row r="58" spans="1:6" x14ac:dyDescent="0.35">
      <c r="A58" t="s">
        <v>4626</v>
      </c>
      <c r="B58" s="2237" t="s">
        <v>3289</v>
      </c>
    </row>
    <row r="59" spans="1:6" x14ac:dyDescent="0.35">
      <c r="B59" s="118">
        <v>3.1399999999999997E-2</v>
      </c>
    </row>
    <row r="61" spans="1:6" x14ac:dyDescent="0.35">
      <c r="A61" t="s">
        <v>4135</v>
      </c>
      <c r="B61" t="s">
        <v>4627</v>
      </c>
    </row>
    <row r="62" spans="1:6" x14ac:dyDescent="0.35">
      <c r="B62" t="s">
        <v>4628</v>
      </c>
    </row>
    <row r="63" spans="1:6" ht="15" thickBot="1" x14ac:dyDescent="0.4"/>
    <row r="64" spans="1:6" ht="15" thickBot="1" x14ac:dyDescent="0.4">
      <c r="B64" s="2239" t="s">
        <v>1684</v>
      </c>
      <c r="C64" s="762" t="s">
        <v>3318</v>
      </c>
      <c r="D64" s="762" t="s">
        <v>2556</v>
      </c>
    </row>
    <row r="65" spans="1:4" ht="15" thickBot="1" x14ac:dyDescent="0.4">
      <c r="B65" s="2240" t="s">
        <v>3129</v>
      </c>
      <c r="C65" s="2241">
        <v>512</v>
      </c>
      <c r="D65" s="2241">
        <v>467</v>
      </c>
    </row>
    <row r="66" spans="1:4" ht="15" thickBot="1" x14ac:dyDescent="0.4">
      <c r="B66" s="2240" t="s">
        <v>3130</v>
      </c>
      <c r="C66" s="2241">
        <v>570</v>
      </c>
      <c r="D66" s="2241">
        <v>506</v>
      </c>
    </row>
    <row r="67" spans="1:4" ht="15" thickBot="1" x14ac:dyDescent="0.4">
      <c r="B67" s="2240" t="s">
        <v>3131</v>
      </c>
      <c r="C67" s="2241">
        <v>730</v>
      </c>
      <c r="D67" s="2241">
        <v>663</v>
      </c>
    </row>
    <row r="68" spans="1:4" ht="15" thickBot="1" x14ac:dyDescent="0.4">
      <c r="B68" s="2240" t="s">
        <v>3132</v>
      </c>
      <c r="C68" s="2242">
        <v>1035</v>
      </c>
      <c r="D68" s="2241">
        <v>940</v>
      </c>
    </row>
    <row r="69" spans="1:4" ht="15" thickBot="1" x14ac:dyDescent="0.4">
      <c r="B69" s="2240" t="s">
        <v>3133</v>
      </c>
      <c r="C69" s="2241">
        <v>903</v>
      </c>
      <c r="D69" s="2241">
        <v>820</v>
      </c>
    </row>
    <row r="70" spans="1:4" ht="15" thickBot="1" x14ac:dyDescent="0.4">
      <c r="B70" s="2240" t="s">
        <v>3125</v>
      </c>
      <c r="C70" s="2241">
        <f>C65*I38+C66*I39+C67*I40</f>
        <v>568.6</v>
      </c>
      <c r="D70" s="2241">
        <f>D65*I38+D66*I39+D67*I40</f>
        <v>509.99999999999994</v>
      </c>
    </row>
    <row r="72" spans="1:4" x14ac:dyDescent="0.35">
      <c r="A72" t="s">
        <v>4604</v>
      </c>
      <c r="B72" t="s">
        <v>4629</v>
      </c>
    </row>
    <row r="73" spans="1:4" ht="15" thickBot="1" x14ac:dyDescent="0.4"/>
    <row r="74" spans="1:4" x14ac:dyDescent="0.35">
      <c r="B74" s="3354" t="s">
        <v>1684</v>
      </c>
      <c r="C74" s="339" t="s">
        <v>4605</v>
      </c>
      <c r="D74" s="339" t="s">
        <v>4621</v>
      </c>
    </row>
    <row r="75" spans="1:4" ht="15" thickBot="1" x14ac:dyDescent="0.4">
      <c r="B75" s="3355"/>
      <c r="C75" s="341" t="s">
        <v>4630</v>
      </c>
      <c r="D75" s="341" t="s">
        <v>4630</v>
      </c>
    </row>
    <row r="76" spans="1:4" ht="15" thickBot="1" x14ac:dyDescent="0.4">
      <c r="B76" s="2236" t="s">
        <v>3129</v>
      </c>
      <c r="C76" s="2030">
        <v>0.8</v>
      </c>
      <c r="D76" s="2030">
        <v>0.09</v>
      </c>
    </row>
    <row r="77" spans="1:4" ht="15" thickBot="1" x14ac:dyDescent="0.4">
      <c r="B77" s="2236" t="s">
        <v>3130</v>
      </c>
      <c r="C77" s="2056">
        <v>0.76</v>
      </c>
      <c r="D77" s="2056">
        <v>0.09</v>
      </c>
    </row>
    <row r="78" spans="1:4" ht="15" thickBot="1" x14ac:dyDescent="0.4">
      <c r="B78" s="2236" t="s">
        <v>3131</v>
      </c>
      <c r="C78" s="2030">
        <v>0.65</v>
      </c>
      <c r="D78" s="2030">
        <v>7.0000000000000007E-2</v>
      </c>
    </row>
    <row r="79" spans="1:4" ht="15" thickBot="1" x14ac:dyDescent="0.4">
      <c r="B79" s="2236" t="s">
        <v>3132</v>
      </c>
      <c r="C79" s="2030">
        <v>0.5</v>
      </c>
      <c r="D79" s="2030">
        <v>0.06</v>
      </c>
    </row>
    <row r="80" spans="1:4" ht="15" thickBot="1" x14ac:dyDescent="0.4">
      <c r="B80" s="2236" t="s">
        <v>3133</v>
      </c>
      <c r="C80" s="2030">
        <v>0.51</v>
      </c>
      <c r="D80" s="2030">
        <v>0.06</v>
      </c>
    </row>
    <row r="81" spans="2:4" ht="15" thickBot="1" x14ac:dyDescent="0.4">
      <c r="B81" s="2236" t="s">
        <v>3125</v>
      </c>
      <c r="C81" s="2030">
        <f>C76*I38+C77*I39+C78*I40</f>
        <v>0.7609999999999999</v>
      </c>
      <c r="D81" s="2030">
        <f>D76*I38+D77*I39+D78*I40</f>
        <v>8.8000000000000009E-2</v>
      </c>
    </row>
  </sheetData>
  <mergeCells count="8">
    <mergeCell ref="B49:B50"/>
    <mergeCell ref="B74:B75"/>
    <mergeCell ref="P2:R2"/>
    <mergeCell ref="S2:U2"/>
    <mergeCell ref="B37:B38"/>
    <mergeCell ref="G37:I37"/>
    <mergeCell ref="C48:D48"/>
    <mergeCell ref="E48:F48"/>
  </mergeCells>
  <dataValidations count="8">
    <dataValidation type="list" allowBlank="1" showInputMessage="1" showErrorMessage="1" sqref="H4:H7" xr:uid="{5E018941-84AD-4A87-951A-6B7AF42C9927}">
      <formula1>$C$64:$D$64</formula1>
    </dataValidation>
    <dataValidation type="list" allowBlank="1" showInputMessage="1" showErrorMessage="1" sqref="I4:I7" xr:uid="{9F9D7454-30C5-4B99-97B3-11DC5D9B005A}">
      <formula1>$C$37:$D$37</formula1>
    </dataValidation>
    <dataValidation type="list" allowBlank="1" showInputMessage="1" showErrorMessage="1" sqref="E4:E7" xr:uid="{F09F3756-77A9-4226-B00E-AC5C36314A81}">
      <formula1>HEBEF1</formula1>
    </dataValidation>
    <dataValidation type="list" allowBlank="1" showInputMessage="1" showErrorMessage="1" sqref="M4:N7" xr:uid="{A0628DC2-571D-4C0C-B70E-9D3665DA7C63}">
      <formula1>DISl4</formula1>
    </dataValidation>
    <dataValidation type="list" allowBlank="1" showInputMessage="1" showErrorMessage="1" sqref="L4:L7" xr:uid="{30AFF714-7550-415C-9AB2-BFC039D6D1D1}">
      <formula1>DISl5</formula1>
    </dataValidation>
    <dataValidation type="list" allowBlank="1" showInputMessage="1" showErrorMessage="1" sqref="K4:K7" xr:uid="{6D5614A5-5566-46F6-AF7B-8CCC027AC426}">
      <formula1>Fuel2</formula1>
    </dataValidation>
    <dataValidation type="list" allowBlank="1" showInputMessage="1" showErrorMessage="1" sqref="J4:J7" xr:uid="{D5CA9AF5-79AF-4A7A-95DB-4AB8D423C063}">
      <formula1>$B$39:$B$44</formula1>
    </dataValidation>
    <dataValidation type="list" allowBlank="1" showInputMessage="1" showErrorMessage="1" sqref="D4:D7" xr:uid="{7E52E883-C7FF-44AD-A6DD-D35B73B25178}">
      <formula1>MeasureType</formula1>
    </dataValidation>
  </dataValidations>
  <hyperlinks>
    <hyperlink ref="A1" location="'Measure-Level Adjustments'!Print_Titles" display="Measure Level Tab" xr:uid="{CDDA7203-6E92-483F-A219-B2AABBF91E58}"/>
  </hyperlinks>
  <pageMargins left="0.7" right="0.7" top="0.75" bottom="0.75" header="0.3" footer="0.3"/>
  <pageSetup scale="35" orientation="landscape" horizontalDpi="4294967293" r:id="rId1"/>
  <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B050"/>
  </sheetPr>
  <dimension ref="A1:AB357"/>
  <sheetViews>
    <sheetView view="pageBreakPreview" zoomScale="70" zoomScaleNormal="100" zoomScaleSheetLayoutView="70" workbookViewId="0">
      <pane xSplit="1" ySplit="2" topLeftCell="B3" activePane="bottomRight" state="frozen"/>
      <selection pane="topRight" activeCell="B1" sqref="B1"/>
      <selection pane="bottomLeft" activeCell="A3" sqref="A3"/>
      <selection pane="bottomRight"/>
    </sheetView>
  </sheetViews>
  <sheetFormatPr defaultRowHeight="14.5" x14ac:dyDescent="0.35"/>
  <cols>
    <col min="1" max="1" width="57.7265625" customWidth="1"/>
    <col min="2" max="2" width="16.1796875" bestFit="1" customWidth="1"/>
    <col min="3" max="3" width="17.453125" customWidth="1"/>
    <col min="4" max="4" width="16.26953125" customWidth="1"/>
    <col min="5" max="5" width="16.453125" customWidth="1"/>
    <col min="6" max="6" width="12" customWidth="1"/>
    <col min="7" max="7" width="10.81640625" style="199" customWidth="1"/>
    <col min="8" max="8" width="13" style="199" customWidth="1"/>
    <col min="9" max="9" width="28" customWidth="1"/>
    <col min="10" max="10" width="26.1796875" customWidth="1"/>
    <col min="11" max="11" width="32" customWidth="1"/>
    <col min="12" max="12" width="43" bestFit="1" customWidth="1"/>
    <col min="13" max="13" width="10.81640625" bestFit="1" customWidth="1"/>
    <col min="14" max="14" width="16.1796875" bestFit="1" customWidth="1"/>
    <col min="15" max="15" width="13.7265625" customWidth="1"/>
    <col min="18" max="18" width="20.453125" bestFit="1" customWidth="1"/>
    <col min="19" max="19" width="8.7265625" bestFit="1" customWidth="1"/>
    <col min="20" max="20" width="9" bestFit="1" customWidth="1"/>
    <col min="21" max="21" width="28.54296875" bestFit="1" customWidth="1"/>
    <col min="22" max="22" width="23.1796875" bestFit="1" customWidth="1"/>
    <col min="23" max="23" width="12.26953125" bestFit="1" customWidth="1"/>
    <col min="24" max="24" width="16.1796875" bestFit="1" customWidth="1"/>
    <col min="25" max="25" width="8.81640625" bestFit="1" customWidth="1"/>
    <col min="28" max="28" width="62.26953125" customWidth="1"/>
  </cols>
  <sheetData>
    <row r="1" spans="1:21" x14ac:dyDescent="0.35">
      <c r="A1" s="1799" t="s">
        <v>1031</v>
      </c>
    </row>
    <row r="2" spans="1:21" ht="15.5" x14ac:dyDescent="0.35">
      <c r="A2" s="433" t="s">
        <v>4263</v>
      </c>
    </row>
    <row r="3" spans="1:21" ht="15.5" x14ac:dyDescent="0.35">
      <c r="A3" s="433" t="s">
        <v>4631</v>
      </c>
      <c r="O3" s="434"/>
      <c r="P3" s="434"/>
      <c r="Q3" s="434"/>
      <c r="R3" s="434"/>
      <c r="S3" s="434"/>
      <c r="T3" s="434"/>
      <c r="U3" s="434"/>
    </row>
    <row r="4" spans="1:21" ht="12.75" customHeight="1" thickBot="1" x14ac:dyDescent="0.4">
      <c r="A4">
        <v>1</v>
      </c>
      <c r="B4">
        <f t="shared" ref="B4:M4" si="0">A4+1</f>
        <v>2</v>
      </c>
      <c r="C4">
        <f t="shared" si="0"/>
        <v>3</v>
      </c>
      <c r="D4">
        <f t="shared" si="0"/>
        <v>4</v>
      </c>
      <c r="E4">
        <f t="shared" si="0"/>
        <v>5</v>
      </c>
      <c r="F4">
        <f t="shared" si="0"/>
        <v>6</v>
      </c>
      <c r="G4">
        <f t="shared" si="0"/>
        <v>7</v>
      </c>
      <c r="H4">
        <f t="shared" si="0"/>
        <v>8</v>
      </c>
      <c r="I4">
        <f t="shared" si="0"/>
        <v>9</v>
      </c>
      <c r="J4">
        <f t="shared" si="0"/>
        <v>10</v>
      </c>
      <c r="K4">
        <f t="shared" si="0"/>
        <v>11</v>
      </c>
      <c r="L4">
        <f t="shared" si="0"/>
        <v>12</v>
      </c>
      <c r="M4">
        <f t="shared" si="0"/>
        <v>13</v>
      </c>
      <c r="O4" s="434"/>
      <c r="P4" s="434"/>
      <c r="Q4" s="434"/>
      <c r="R4" s="434"/>
      <c r="S4" s="434"/>
      <c r="T4" s="434"/>
      <c r="U4" s="434"/>
    </row>
    <row r="5" spans="1:21" ht="15" thickBot="1" x14ac:dyDescent="0.4">
      <c r="B5" s="3429" t="s">
        <v>4267</v>
      </c>
      <c r="C5" s="3430"/>
      <c r="D5" s="3430"/>
      <c r="E5" s="3431"/>
      <c r="O5" s="434"/>
      <c r="P5" s="434"/>
      <c r="Q5" s="434"/>
      <c r="R5" s="434"/>
      <c r="S5" s="434"/>
      <c r="T5" s="434"/>
      <c r="U5" s="434"/>
    </row>
    <row r="6" spans="1:21" ht="29.5" thickBot="1" x14ac:dyDescent="0.4">
      <c r="A6" s="435" t="s">
        <v>1036</v>
      </c>
      <c r="B6" s="435" t="s">
        <v>4632</v>
      </c>
      <c r="C6" s="2538" t="s">
        <v>1730</v>
      </c>
      <c r="D6" s="435" t="s">
        <v>1083</v>
      </c>
      <c r="E6" s="436"/>
      <c r="F6" s="199"/>
      <c r="I6" s="199"/>
      <c r="K6" s="154" t="s">
        <v>1078</v>
      </c>
      <c r="L6" s="1142"/>
      <c r="P6" s="434"/>
      <c r="Q6" s="434"/>
      <c r="R6" s="434"/>
      <c r="S6" s="434"/>
      <c r="T6" s="434"/>
      <c r="U6" s="434"/>
    </row>
    <row r="7" spans="1:21" ht="15" thickBot="1" x14ac:dyDescent="0.4">
      <c r="I7" s="199"/>
      <c r="K7" s="154" t="s">
        <v>4633</v>
      </c>
      <c r="L7" s="577" t="str">
        <f>+'5.4.4'!$B$31</f>
        <v>RS-HWE-LFFA-V07-190101</v>
      </c>
      <c r="P7" s="434"/>
      <c r="Q7" s="434"/>
      <c r="R7" s="434"/>
      <c r="S7" s="434"/>
      <c r="T7" s="434"/>
      <c r="U7" s="434"/>
    </row>
    <row r="8" spans="1:21" ht="15" thickBot="1" x14ac:dyDescent="0.4">
      <c r="A8" s="437" t="s">
        <v>4634</v>
      </c>
      <c r="B8" s="359">
        <f>+$B$115</f>
        <v>1288.3493041340787</v>
      </c>
      <c r="C8" s="359">
        <f>+$B$113</f>
        <v>6.9570862423240252</v>
      </c>
      <c r="D8" s="359">
        <v>10</v>
      </c>
      <c r="E8" s="381">
        <v>1</v>
      </c>
      <c r="F8" s="199"/>
      <c r="I8" s="199"/>
      <c r="K8" s="154" t="s">
        <v>4635</v>
      </c>
      <c r="L8" s="577" t="str">
        <f>+'5.4.5'!$B$32</f>
        <v>RS-HWE-LFSH-V06-190101</v>
      </c>
      <c r="P8" s="199"/>
    </row>
    <row r="9" spans="1:21" ht="15" thickBot="1" x14ac:dyDescent="0.4">
      <c r="A9" s="439" t="s">
        <v>4636</v>
      </c>
      <c r="B9" s="2196">
        <f>+$B$144</f>
        <v>171.23324743462905</v>
      </c>
      <c r="C9" s="2196">
        <f>+$B$143</f>
        <v>0.65068634025159044</v>
      </c>
      <c r="D9" s="117">
        <v>10</v>
      </c>
      <c r="E9" s="100">
        <v>1</v>
      </c>
      <c r="F9" s="199"/>
      <c r="I9" s="199"/>
      <c r="K9" s="154" t="s">
        <v>4637</v>
      </c>
      <c r="L9" s="1557" t="str">
        <f>'5.4.6'!$B$14</f>
        <v>RS-HWE-TMPS-V06-190101</v>
      </c>
      <c r="P9" s="199"/>
    </row>
    <row r="10" spans="1:21" ht="15" thickBot="1" x14ac:dyDescent="0.4">
      <c r="A10" s="439" t="s">
        <v>4636</v>
      </c>
      <c r="B10" s="2196">
        <f>+$B$144</f>
        <v>171.23324743462905</v>
      </c>
      <c r="C10" s="2196">
        <f>+$B$143</f>
        <v>0.65068634025159044</v>
      </c>
      <c r="D10" s="117">
        <v>10</v>
      </c>
      <c r="E10" s="100">
        <v>1</v>
      </c>
      <c r="F10" s="199"/>
      <c r="I10" s="199"/>
      <c r="K10" s="154" t="s">
        <v>4638</v>
      </c>
      <c r="L10" s="1557" t="s">
        <v>960</v>
      </c>
      <c r="P10" s="199"/>
    </row>
    <row r="11" spans="1:21" ht="15" customHeight="1" x14ac:dyDescent="0.35">
      <c r="A11" s="440" t="s">
        <v>4639</v>
      </c>
      <c r="B11" s="2539">
        <f>+$B$170</f>
        <v>1262.935152</v>
      </c>
      <c r="C11" s="2539">
        <f>+$B$169</f>
        <v>5.6832081839999997</v>
      </c>
      <c r="D11" s="2539">
        <v>10</v>
      </c>
      <c r="E11" s="441">
        <v>1</v>
      </c>
      <c r="F11" s="199"/>
      <c r="I11" s="199"/>
      <c r="P11" s="199"/>
    </row>
    <row r="12" spans="1:21" ht="15" customHeight="1" x14ac:dyDescent="0.35">
      <c r="A12" s="439" t="s">
        <v>4034</v>
      </c>
      <c r="B12" s="117">
        <f>+$B$193</f>
        <v>739.96933708799986</v>
      </c>
      <c r="C12" s="117">
        <f>+$B$192</f>
        <v>3.9736353401625593</v>
      </c>
      <c r="D12" s="117">
        <f>+$C$205</f>
        <v>2</v>
      </c>
      <c r="E12" s="100">
        <v>1</v>
      </c>
      <c r="F12" s="199"/>
      <c r="H12" s="1250"/>
      <c r="I12" s="199"/>
      <c r="P12" s="199"/>
    </row>
    <row r="13" spans="1:21" ht="28.5" customHeight="1" thickBot="1" x14ac:dyDescent="0.4">
      <c r="A13" s="442" t="s">
        <v>975</v>
      </c>
      <c r="B13" s="2540">
        <f>SUM(B8:B12)</f>
        <v>3633.7202880913369</v>
      </c>
      <c r="C13" s="2540">
        <f>SUM(C8:C12)</f>
        <v>17.915302446989763</v>
      </c>
      <c r="D13" s="2540">
        <f>ROUND(SUMPRODUCT(D8:D12,C8:C12)/C13,0)</f>
        <v>8</v>
      </c>
      <c r="E13" s="443">
        <f>SUMPRODUCT(E8:E12,C8:C12)/C13</f>
        <v>1</v>
      </c>
      <c r="F13" s="199"/>
      <c r="H13" s="1251"/>
      <c r="I13" s="199"/>
      <c r="P13" s="444"/>
      <c r="Q13" s="445"/>
      <c r="R13" s="434"/>
      <c r="S13" s="434"/>
      <c r="T13" s="434"/>
      <c r="U13" s="434"/>
    </row>
    <row r="14" spans="1:21" ht="15.75" customHeight="1" thickBot="1" x14ac:dyDescent="0.4">
      <c r="F14" s="199"/>
      <c r="H14"/>
      <c r="I14" s="3432" t="s">
        <v>4640</v>
      </c>
      <c r="J14" s="3433"/>
      <c r="Q14" s="446"/>
      <c r="R14" s="434"/>
    </row>
    <row r="15" spans="1:21" ht="15" customHeight="1" thickBot="1" x14ac:dyDescent="0.4">
      <c r="A15" s="437" t="s">
        <v>4634</v>
      </c>
      <c r="B15" s="359">
        <f>+$B$116</f>
        <v>1392.2484415642464</v>
      </c>
      <c r="C15" s="359">
        <f>+$B$114</f>
        <v>7.5181415844469317</v>
      </c>
      <c r="D15" s="359">
        <v>10</v>
      </c>
      <c r="E15" s="381">
        <v>1</v>
      </c>
      <c r="F15" s="199"/>
      <c r="I15" s="3434" t="s">
        <v>4641</v>
      </c>
      <c r="J15" s="3435"/>
      <c r="Q15" s="446"/>
    </row>
    <row r="16" spans="1:21" ht="15" thickBot="1" x14ac:dyDescent="0.4">
      <c r="A16" s="439" t="s">
        <v>4634</v>
      </c>
      <c r="B16" s="117">
        <f>+$B$116</f>
        <v>1392.2484415642464</v>
      </c>
      <c r="C16" s="117">
        <f>+$B$114</f>
        <v>7.5181415844469317</v>
      </c>
      <c r="D16" s="117">
        <v>10</v>
      </c>
      <c r="E16" s="100">
        <v>1</v>
      </c>
      <c r="F16" s="199"/>
      <c r="I16" s="447" t="s">
        <v>155</v>
      </c>
      <c r="J16" s="448" t="s">
        <v>1580</v>
      </c>
      <c r="Q16" s="446"/>
    </row>
    <row r="17" spans="1:20" ht="15" thickBot="1" x14ac:dyDescent="0.4">
      <c r="A17" s="439" t="s">
        <v>4636</v>
      </c>
      <c r="B17" s="2196">
        <f>+$B$144</f>
        <v>171.23324743462905</v>
      </c>
      <c r="C17" s="2196">
        <f>+$B$143</f>
        <v>0.65068634025159044</v>
      </c>
      <c r="D17" s="117">
        <v>10</v>
      </c>
      <c r="E17" s="100">
        <v>1</v>
      </c>
      <c r="F17" s="199"/>
      <c r="I17" s="449"/>
      <c r="J17" s="450"/>
      <c r="L17" s="1567"/>
      <c r="P17" s="446"/>
    </row>
    <row r="18" spans="1:20" ht="15" thickBot="1" x14ac:dyDescent="0.4">
      <c r="A18" s="439" t="s">
        <v>4636</v>
      </c>
      <c r="B18" s="2196">
        <f>+$B$144</f>
        <v>171.23324743462905</v>
      </c>
      <c r="C18" s="2196">
        <f>+$B$143</f>
        <v>0.65068634025159044</v>
      </c>
      <c r="D18" s="117">
        <v>10</v>
      </c>
      <c r="E18" s="100">
        <v>1</v>
      </c>
      <c r="F18" s="199"/>
      <c r="I18" s="449" t="s">
        <v>4642</v>
      </c>
      <c r="J18" s="450">
        <v>0.62</v>
      </c>
      <c r="L18" s="1567"/>
      <c r="P18" s="446"/>
    </row>
    <row r="19" spans="1:20" ht="15" thickBot="1" x14ac:dyDescent="0.4">
      <c r="A19" s="439" t="s">
        <v>4639</v>
      </c>
      <c r="B19" s="117">
        <f>+$B$170</f>
        <v>1262.935152</v>
      </c>
      <c r="C19" s="117">
        <f>+$B$169</f>
        <v>5.6832081839999997</v>
      </c>
      <c r="D19" s="117">
        <v>10</v>
      </c>
      <c r="E19" s="100">
        <v>1</v>
      </c>
      <c r="F19" s="199"/>
      <c r="I19" s="449" t="s">
        <v>4643</v>
      </c>
      <c r="J19" s="450">
        <v>0.67</v>
      </c>
      <c r="L19" s="1567"/>
      <c r="P19" s="446"/>
    </row>
    <row r="20" spans="1:20" ht="15" thickBot="1" x14ac:dyDescent="0.4">
      <c r="A20" s="439" t="s">
        <v>4034</v>
      </c>
      <c r="B20" s="117">
        <f>+$B$193</f>
        <v>739.96933708799986</v>
      </c>
      <c r="C20" s="117">
        <f>+$B$192</f>
        <v>3.9736353401625593</v>
      </c>
      <c r="D20" s="117">
        <f>+$C$205</f>
        <v>2</v>
      </c>
      <c r="E20" s="100">
        <v>1</v>
      </c>
      <c r="F20" s="199"/>
      <c r="I20" s="449"/>
      <c r="J20" s="450"/>
      <c r="L20" s="1567"/>
      <c r="P20" s="446"/>
    </row>
    <row r="21" spans="1:20" ht="15" thickBot="1" x14ac:dyDescent="0.4">
      <c r="A21" s="451" t="s">
        <v>804</v>
      </c>
      <c r="B21" s="2541">
        <f>SUM(B15:B20)</f>
        <v>5129.8678670857498</v>
      </c>
      <c r="C21" s="2541">
        <f>SUM(C15:C20)</f>
        <v>25.994499373559606</v>
      </c>
      <c r="D21" s="2541">
        <f>ROUND(SUMPRODUCT(D15:D20,C15:C20)/C21,0)</f>
        <v>9</v>
      </c>
      <c r="E21" s="453">
        <f>SUMPRODUCT(E15:E20,C15:C20)/C21</f>
        <v>1</v>
      </c>
      <c r="F21" s="199"/>
      <c r="I21" s="449" t="s">
        <v>4644</v>
      </c>
      <c r="J21" s="450">
        <v>0.57999999999999996</v>
      </c>
      <c r="P21" s="445"/>
      <c r="Q21" s="434"/>
      <c r="R21" s="454"/>
      <c r="S21" s="434"/>
      <c r="T21" s="434"/>
    </row>
    <row r="22" spans="1:20" ht="15" thickBot="1" x14ac:dyDescent="0.4">
      <c r="F22" s="199"/>
      <c r="I22" s="455" t="s">
        <v>4645</v>
      </c>
      <c r="J22" s="2785">
        <v>0.61</v>
      </c>
      <c r="L22" s="456"/>
      <c r="O22" s="199"/>
      <c r="P22" s="446"/>
    </row>
    <row r="23" spans="1:20" x14ac:dyDescent="0.35">
      <c r="A23" s="437" t="s">
        <v>4634</v>
      </c>
      <c r="B23" s="359">
        <f>+$C$115</f>
        <v>1455.1998300000007</v>
      </c>
      <c r="C23" s="359">
        <f>+$C$113</f>
        <v>9.167758929000005</v>
      </c>
      <c r="D23" s="359">
        <v>10</v>
      </c>
      <c r="E23" s="381">
        <v>1</v>
      </c>
      <c r="F23" s="199"/>
      <c r="L23" s="456"/>
      <c r="O23" s="199"/>
      <c r="P23" s="446"/>
    </row>
    <row r="24" spans="1:20" x14ac:dyDescent="0.35">
      <c r="A24" s="439" t="s">
        <v>4636</v>
      </c>
      <c r="B24" s="2196">
        <f>+$C$144</f>
        <v>265.01020560000018</v>
      </c>
      <c r="C24" s="2196">
        <f>+$C$143</f>
        <v>1.1660449046400008</v>
      </c>
      <c r="D24" s="117">
        <v>10</v>
      </c>
      <c r="E24" s="100">
        <v>1</v>
      </c>
      <c r="F24" s="199"/>
      <c r="L24" s="456"/>
      <c r="O24" s="199"/>
      <c r="P24" s="446"/>
    </row>
    <row r="25" spans="1:20" x14ac:dyDescent="0.35">
      <c r="A25" s="439" t="s">
        <v>4636</v>
      </c>
      <c r="B25" s="2196">
        <f>+$C$144</f>
        <v>265.01020560000018</v>
      </c>
      <c r="C25" s="2196">
        <f>+$C$143</f>
        <v>1.1660449046400008</v>
      </c>
      <c r="D25" s="117">
        <v>10</v>
      </c>
      <c r="E25" s="100">
        <v>1</v>
      </c>
      <c r="F25" s="199"/>
      <c r="H25" s="1250"/>
      <c r="L25" s="456"/>
      <c r="O25" s="199"/>
      <c r="P25" s="446"/>
    </row>
    <row r="26" spans="1:20" x14ac:dyDescent="0.35">
      <c r="A26" s="440" t="s">
        <v>4639</v>
      </c>
      <c r="B26" s="2539">
        <f>+$C$170</f>
        <v>1036.0014918749998</v>
      </c>
      <c r="C26" s="2539">
        <f>+$C$169</f>
        <v>5.4908079069374995</v>
      </c>
      <c r="D26" s="2539">
        <v>10</v>
      </c>
      <c r="E26" s="441">
        <v>1</v>
      </c>
      <c r="F26" s="199"/>
      <c r="H26"/>
      <c r="L26" s="456"/>
      <c r="O26" s="199"/>
      <c r="P26" s="446"/>
    </row>
    <row r="27" spans="1:20" x14ac:dyDescent="0.35">
      <c r="A27" s="439" t="s">
        <v>4034</v>
      </c>
      <c r="B27" s="117">
        <f>+$C$193</f>
        <v>607.00609682999993</v>
      </c>
      <c r="C27" s="117">
        <f>+$C$192</f>
        <v>3.7937881051874998</v>
      </c>
      <c r="D27" s="117">
        <f>+$C$205</f>
        <v>2</v>
      </c>
      <c r="E27" s="100">
        <v>1</v>
      </c>
      <c r="F27" s="199"/>
      <c r="L27" s="456"/>
      <c r="O27" s="199"/>
      <c r="P27" s="446"/>
    </row>
    <row r="28" spans="1:20" ht="15" thickBot="1" x14ac:dyDescent="0.4">
      <c r="A28" s="442" t="s">
        <v>978</v>
      </c>
      <c r="B28" s="2540">
        <f>SUM(B23:B27)</f>
        <v>3628.2278299050008</v>
      </c>
      <c r="C28" s="2540">
        <f>SUM(C23:C27)</f>
        <v>20.784444750405004</v>
      </c>
      <c r="D28" s="2540">
        <f>ROUND(SUMPRODUCT(D23:D27,C23:C27)/C28,0)</f>
        <v>9</v>
      </c>
      <c r="E28" s="443">
        <f>SUMPRODUCT(E23:E27,C23:C27)/C28</f>
        <v>1</v>
      </c>
      <c r="F28" s="199"/>
      <c r="L28" s="456"/>
      <c r="O28" s="199"/>
      <c r="P28" s="446"/>
    </row>
    <row r="29" spans="1:20" ht="15" thickBot="1" x14ac:dyDescent="0.4">
      <c r="F29" s="199"/>
      <c r="L29" s="456"/>
      <c r="O29" s="199"/>
      <c r="P29" s="446"/>
    </row>
    <row r="30" spans="1:20" x14ac:dyDescent="0.35">
      <c r="A30" s="437" t="s">
        <v>4634</v>
      </c>
      <c r="B30" s="359">
        <f>+$C$116</f>
        <v>1572.5546550000008</v>
      </c>
      <c r="C30" s="359">
        <f>+$C$114</f>
        <v>9.9070943265000047</v>
      </c>
      <c r="D30" s="359">
        <v>10</v>
      </c>
      <c r="E30" s="381">
        <v>1</v>
      </c>
      <c r="F30" s="199"/>
      <c r="L30" s="456"/>
      <c r="O30" s="199"/>
      <c r="P30" s="446"/>
    </row>
    <row r="31" spans="1:20" x14ac:dyDescent="0.35">
      <c r="A31" s="439" t="s">
        <v>4634</v>
      </c>
      <c r="B31" s="117">
        <f>+$C$116</f>
        <v>1572.5546550000008</v>
      </c>
      <c r="C31" s="117">
        <f>+$C$114</f>
        <v>9.9070943265000047</v>
      </c>
      <c r="D31" s="117">
        <v>10</v>
      </c>
      <c r="E31" s="100">
        <v>1</v>
      </c>
      <c r="F31" s="199"/>
      <c r="L31" s="456"/>
      <c r="O31" s="199"/>
      <c r="P31" s="446"/>
    </row>
    <row r="32" spans="1:20" x14ac:dyDescent="0.35">
      <c r="A32" s="439" t="s">
        <v>4646</v>
      </c>
      <c r="B32" s="2196">
        <f>+$C$144</f>
        <v>265.01020560000018</v>
      </c>
      <c r="C32" s="2196">
        <f>+$C$143</f>
        <v>1.1660449046400008</v>
      </c>
      <c r="D32" s="117">
        <v>10</v>
      </c>
      <c r="E32" s="100">
        <v>1</v>
      </c>
      <c r="F32" s="199"/>
      <c r="L32" s="456"/>
      <c r="O32" s="199"/>
      <c r="P32" s="446"/>
    </row>
    <row r="33" spans="1:16" x14ac:dyDescent="0.35">
      <c r="A33" s="439" t="s">
        <v>4646</v>
      </c>
      <c r="B33" s="2196">
        <f>+$C$144</f>
        <v>265.01020560000018</v>
      </c>
      <c r="C33" s="2196">
        <f>+$C$143</f>
        <v>1.1660449046400008</v>
      </c>
      <c r="D33" s="117">
        <v>10</v>
      </c>
      <c r="E33" s="100">
        <v>1</v>
      </c>
      <c r="F33" s="199"/>
      <c r="L33" s="456"/>
      <c r="O33" s="199"/>
      <c r="P33" s="446"/>
    </row>
    <row r="34" spans="1:16" x14ac:dyDescent="0.35">
      <c r="A34" s="439" t="s">
        <v>4639</v>
      </c>
      <c r="B34" s="117">
        <f>+$C$170</f>
        <v>1036.0014918749998</v>
      </c>
      <c r="C34" s="117">
        <f>+$C$169</f>
        <v>5.4908079069374995</v>
      </c>
      <c r="D34" s="117">
        <v>10</v>
      </c>
      <c r="E34" s="100">
        <v>1</v>
      </c>
      <c r="F34" s="199"/>
      <c r="L34" s="456"/>
      <c r="O34" s="199"/>
      <c r="P34" s="446"/>
    </row>
    <row r="35" spans="1:16" ht="15" thickBot="1" x14ac:dyDescent="0.4">
      <c r="A35" s="439" t="s">
        <v>4034</v>
      </c>
      <c r="B35" s="117">
        <f>+$C$193</f>
        <v>607.00609682999993</v>
      </c>
      <c r="C35" s="117">
        <f>+$C$192</f>
        <v>3.7937881051874998</v>
      </c>
      <c r="D35" s="117">
        <f>+$C$205</f>
        <v>2</v>
      </c>
      <c r="E35" s="100">
        <v>1</v>
      </c>
      <c r="F35" s="199"/>
      <c r="L35" s="456"/>
      <c r="O35" s="199"/>
      <c r="P35" s="446"/>
    </row>
    <row r="36" spans="1:16" ht="15" thickBot="1" x14ac:dyDescent="0.4">
      <c r="A36" s="451" t="s">
        <v>807</v>
      </c>
      <c r="B36" s="2541">
        <f>SUM(B30:B35)</f>
        <v>5318.1373099050015</v>
      </c>
      <c r="C36" s="2541">
        <f>SUM(C30:C35)</f>
        <v>31.430874474405005</v>
      </c>
      <c r="D36" s="2541">
        <f>ROUND(SUMPRODUCT(D30:D35,C30:C35)/C36,0)</f>
        <v>9</v>
      </c>
      <c r="E36" s="453">
        <f>SUMPRODUCT(E30:E35,C30:C35)/C36</f>
        <v>1</v>
      </c>
      <c r="F36" s="199"/>
      <c r="L36" s="456"/>
      <c r="O36" s="199"/>
      <c r="P36" s="446"/>
    </row>
    <row r="37" spans="1:16" ht="17.25" customHeight="1" thickBot="1" x14ac:dyDescent="0.4">
      <c r="F37" s="199"/>
      <c r="L37" s="456"/>
      <c r="O37" s="199"/>
      <c r="P37" s="446"/>
    </row>
    <row r="38" spans="1:16" ht="17.25" customHeight="1" x14ac:dyDescent="0.35">
      <c r="A38" s="437" t="s">
        <v>4634</v>
      </c>
      <c r="B38" s="359">
        <f>B8</f>
        <v>1288.3493041340787</v>
      </c>
      <c r="C38" s="359">
        <f t="shared" ref="C38:E39" si="1">C8</f>
        <v>6.9570862423240252</v>
      </c>
      <c r="D38" s="359">
        <f t="shared" si="1"/>
        <v>10</v>
      </c>
      <c r="E38" s="2468">
        <f t="shared" si="1"/>
        <v>1</v>
      </c>
      <c r="F38" s="199"/>
      <c r="I38" s="2544" t="s">
        <v>4647</v>
      </c>
      <c r="J38" s="2544"/>
      <c r="L38" s="456"/>
      <c r="O38" s="199"/>
      <c r="P38" s="446"/>
    </row>
    <row r="39" spans="1:16" ht="17.25" customHeight="1" x14ac:dyDescent="0.35">
      <c r="A39" s="439" t="s">
        <v>4636</v>
      </c>
      <c r="B39" s="117">
        <f>B9</f>
        <v>171.23324743462905</v>
      </c>
      <c r="C39" s="117">
        <f t="shared" si="1"/>
        <v>0.65068634025159044</v>
      </c>
      <c r="D39" s="117">
        <f t="shared" si="1"/>
        <v>10</v>
      </c>
      <c r="E39" s="2469">
        <f t="shared" si="1"/>
        <v>1</v>
      </c>
      <c r="F39" s="199"/>
      <c r="L39" s="456"/>
      <c r="O39" s="199"/>
      <c r="P39" s="446"/>
    </row>
    <row r="40" spans="1:16" ht="17.25" customHeight="1" x14ac:dyDescent="0.35">
      <c r="A40" s="439" t="s">
        <v>4639</v>
      </c>
      <c r="B40" s="117">
        <f>B11</f>
        <v>1262.935152</v>
      </c>
      <c r="C40" s="117">
        <f t="shared" ref="C40:E41" si="2">C11</f>
        <v>5.6832081839999997</v>
      </c>
      <c r="D40" s="117">
        <f t="shared" si="2"/>
        <v>10</v>
      </c>
      <c r="E40" s="2469">
        <f t="shared" si="2"/>
        <v>1</v>
      </c>
      <c r="F40" s="199"/>
      <c r="L40" s="456"/>
      <c r="O40" s="199"/>
      <c r="P40" s="446"/>
    </row>
    <row r="41" spans="1:16" ht="17.25" customHeight="1" x14ac:dyDescent="0.35">
      <c r="A41" s="439" t="s">
        <v>4034</v>
      </c>
      <c r="B41" s="117">
        <f>B12</f>
        <v>739.96933708799986</v>
      </c>
      <c r="C41" s="117">
        <f t="shared" si="2"/>
        <v>3.9736353401625593</v>
      </c>
      <c r="D41" s="117">
        <f t="shared" si="2"/>
        <v>2</v>
      </c>
      <c r="E41" s="2469">
        <f t="shared" si="2"/>
        <v>1</v>
      </c>
      <c r="F41" s="199"/>
      <c r="L41" s="456"/>
      <c r="O41" s="199"/>
      <c r="P41" s="446"/>
    </row>
    <row r="42" spans="1:16" ht="17.25" customHeight="1" thickBot="1" x14ac:dyDescent="0.4">
      <c r="A42" s="442" t="s">
        <v>980</v>
      </c>
      <c r="B42" s="2540">
        <f>SUM(B38:B41)</f>
        <v>3462.4870406567074</v>
      </c>
      <c r="C42" s="2540">
        <f>SUM(C38:C41)</f>
        <v>17.264616106738174</v>
      </c>
      <c r="D42" s="2540">
        <f>ROUND(SUMPRODUCT(D38:D41,C38:C41)/C42,2)</f>
        <v>8.16</v>
      </c>
      <c r="E42" s="443">
        <f>SUMPRODUCT(E38:E41,C38:C41)/C42</f>
        <v>1</v>
      </c>
      <c r="F42" s="199"/>
      <c r="L42" s="456"/>
      <c r="O42" s="199"/>
      <c r="P42" s="446"/>
    </row>
    <row r="43" spans="1:16" ht="17.25" customHeight="1" thickBot="1" x14ac:dyDescent="0.4">
      <c r="A43" s="2467"/>
      <c r="B43" s="298"/>
      <c r="F43" s="199"/>
      <c r="L43" s="456"/>
      <c r="O43" s="199"/>
      <c r="P43" s="446"/>
    </row>
    <row r="44" spans="1:16" ht="17.25" customHeight="1" x14ac:dyDescent="0.35">
      <c r="A44" s="437" t="s">
        <v>4634</v>
      </c>
      <c r="B44" s="359">
        <f>B23</f>
        <v>1455.1998300000007</v>
      </c>
      <c r="C44" s="359">
        <f t="shared" ref="C44:E45" si="3">C23</f>
        <v>9.167758929000005</v>
      </c>
      <c r="D44" s="359">
        <f t="shared" si="3"/>
        <v>10</v>
      </c>
      <c r="E44" s="2468">
        <f t="shared" si="3"/>
        <v>1</v>
      </c>
      <c r="F44" s="199"/>
      <c r="L44" s="456"/>
      <c r="O44" s="199"/>
      <c r="P44" s="446"/>
    </row>
    <row r="45" spans="1:16" ht="17.25" customHeight="1" x14ac:dyDescent="0.35">
      <c r="A45" s="439" t="s">
        <v>4636</v>
      </c>
      <c r="B45" s="117">
        <f>B24</f>
        <v>265.01020560000018</v>
      </c>
      <c r="C45" s="117">
        <f t="shared" si="3"/>
        <v>1.1660449046400008</v>
      </c>
      <c r="D45" s="117">
        <f t="shared" si="3"/>
        <v>10</v>
      </c>
      <c r="E45" s="2469">
        <f t="shared" si="3"/>
        <v>1</v>
      </c>
      <c r="F45" s="199"/>
      <c r="L45" s="456"/>
      <c r="O45" s="199"/>
      <c r="P45" s="446"/>
    </row>
    <row r="46" spans="1:16" ht="17.25" customHeight="1" x14ac:dyDescent="0.35">
      <c r="A46" s="439" t="s">
        <v>4639</v>
      </c>
      <c r="B46" s="117">
        <f t="shared" ref="B46:E47" si="4">B34</f>
        <v>1036.0014918749998</v>
      </c>
      <c r="C46" s="117">
        <f t="shared" si="4"/>
        <v>5.4908079069374995</v>
      </c>
      <c r="D46" s="117">
        <f t="shared" si="4"/>
        <v>10</v>
      </c>
      <c r="E46" s="2469">
        <f t="shared" si="4"/>
        <v>1</v>
      </c>
      <c r="F46" s="199"/>
      <c r="L46" s="456"/>
      <c r="O46" s="199"/>
      <c r="P46" s="446"/>
    </row>
    <row r="47" spans="1:16" ht="17.25" customHeight="1" x14ac:dyDescent="0.35">
      <c r="A47" s="439" t="s">
        <v>4034</v>
      </c>
      <c r="B47" s="117">
        <f t="shared" si="4"/>
        <v>607.00609682999993</v>
      </c>
      <c r="C47" s="117">
        <f t="shared" si="4"/>
        <v>3.7937881051874998</v>
      </c>
      <c r="D47" s="117">
        <f t="shared" si="4"/>
        <v>2</v>
      </c>
      <c r="E47" s="2469">
        <f t="shared" si="4"/>
        <v>1</v>
      </c>
      <c r="F47" s="199"/>
      <c r="L47" s="456"/>
      <c r="O47" s="199"/>
      <c r="P47" s="446"/>
    </row>
    <row r="48" spans="1:16" ht="17.25" customHeight="1" thickBot="1" x14ac:dyDescent="0.4">
      <c r="A48" s="442" t="s">
        <v>982</v>
      </c>
      <c r="B48" s="2540">
        <f>SUM(B44:B47)</f>
        <v>3363.2176243050008</v>
      </c>
      <c r="C48" s="2540">
        <f>SUM(C44:C47)</f>
        <v>19.618399845765005</v>
      </c>
      <c r="D48" s="2540">
        <f>ROUND(SUMPRODUCT(D44:D47,C44:C47)/C48,2)</f>
        <v>8.4499999999999993</v>
      </c>
      <c r="E48" s="443">
        <f>SUMPRODUCT(E44:E47,C44:C47)/C48</f>
        <v>1</v>
      </c>
      <c r="F48" s="199"/>
      <c r="L48" s="456"/>
      <c r="O48" s="199"/>
      <c r="P48" s="446"/>
    </row>
    <row r="49" spans="1:21" ht="17.25" customHeight="1" x14ac:dyDescent="0.35">
      <c r="F49" s="199"/>
      <c r="L49" s="456"/>
      <c r="O49" s="199"/>
      <c r="P49" s="446"/>
    </row>
    <row r="50" spans="1:21" ht="17.25" customHeight="1" x14ac:dyDescent="0.35">
      <c r="F50" s="199"/>
      <c r="L50" s="456"/>
      <c r="O50" s="199"/>
      <c r="P50" s="446"/>
    </row>
    <row r="51" spans="1:21" ht="17.25" customHeight="1" thickBot="1" x14ac:dyDescent="0.4">
      <c r="A51" s="2543" t="s">
        <v>4648</v>
      </c>
      <c r="F51" s="199"/>
      <c r="L51" s="456"/>
      <c r="O51" s="199"/>
      <c r="P51" s="446"/>
    </row>
    <row r="52" spans="1:21" ht="17.25" customHeight="1" x14ac:dyDescent="0.35">
      <c r="A52" s="437" t="s">
        <v>4634</v>
      </c>
      <c r="B52" s="359">
        <v>1116.5988023952095</v>
      </c>
      <c r="C52" s="359">
        <f>279708/50000</f>
        <v>5.5941599999999996</v>
      </c>
      <c r="D52" s="359">
        <v>10</v>
      </c>
      <c r="E52" s="381">
        <v>1</v>
      </c>
      <c r="F52" s="199"/>
      <c r="L52" s="456"/>
      <c r="O52" s="199"/>
      <c r="P52" s="446"/>
    </row>
    <row r="53" spans="1:21" ht="17.25" customHeight="1" x14ac:dyDescent="0.35">
      <c r="A53" s="439" t="s">
        <v>4639</v>
      </c>
      <c r="B53" s="2196">
        <v>1002.8481927710843</v>
      </c>
      <c r="C53" s="2196">
        <f>208091/50000</f>
        <v>4.1618199999999996</v>
      </c>
      <c r="D53" s="117">
        <v>10</v>
      </c>
      <c r="E53" s="100">
        <v>1</v>
      </c>
      <c r="F53" s="199"/>
      <c r="L53" s="456"/>
      <c r="O53" s="199"/>
      <c r="P53" s="446"/>
    </row>
    <row r="54" spans="1:21" ht="17.25" customHeight="1" thickBot="1" x14ac:dyDescent="0.4">
      <c r="A54" s="439" t="s">
        <v>4646</v>
      </c>
      <c r="B54" s="2196">
        <v>135.97067448680352</v>
      </c>
      <c r="C54" s="2196">
        <f>23183/50000</f>
        <v>0.46366000000000002</v>
      </c>
      <c r="D54" s="117">
        <v>10</v>
      </c>
      <c r="E54" s="100">
        <v>1</v>
      </c>
      <c r="F54" s="199"/>
      <c r="L54" s="456"/>
      <c r="O54" s="199"/>
      <c r="P54" s="446"/>
    </row>
    <row r="55" spans="1:21" ht="17.25" customHeight="1" thickBot="1" x14ac:dyDescent="0.4">
      <c r="A55" s="451" t="s">
        <v>4649</v>
      </c>
      <c r="B55" s="2541">
        <v>2255.4176696530976</v>
      </c>
      <c r="C55" s="2541">
        <f>SUM(C52:C54)</f>
        <v>10.21964</v>
      </c>
      <c r="D55" s="2541">
        <v>10</v>
      </c>
      <c r="E55" s="453">
        <v>0.95463049579045833</v>
      </c>
      <c r="F55" s="199"/>
      <c r="L55" s="456"/>
      <c r="O55" s="199"/>
      <c r="P55" s="446"/>
    </row>
    <row r="56" spans="1:21" ht="17.25" customHeight="1" x14ac:dyDescent="0.35">
      <c r="F56" s="199"/>
      <c r="L56" s="456"/>
      <c r="O56" s="199"/>
      <c r="P56" s="446"/>
    </row>
    <row r="57" spans="1:21" ht="17.25" customHeight="1" x14ac:dyDescent="0.35">
      <c r="A57" s="2657" t="s">
        <v>4650</v>
      </c>
      <c r="F57" s="199"/>
      <c r="L57" s="456"/>
      <c r="O57" s="199"/>
      <c r="P57" s="446"/>
    </row>
    <row r="58" spans="1:21" ht="29" x14ac:dyDescent="0.35">
      <c r="A58" s="2456" t="s">
        <v>3638</v>
      </c>
      <c r="B58" s="2542" t="s">
        <v>356</v>
      </c>
      <c r="C58" s="2542" t="s">
        <v>3641</v>
      </c>
      <c r="D58" s="2791" t="s">
        <v>1580</v>
      </c>
      <c r="E58" s="2455" t="s">
        <v>4651</v>
      </c>
      <c r="F58" s="2455" t="s">
        <v>4652</v>
      </c>
      <c r="G58" s="2455" t="s">
        <v>4653</v>
      </c>
      <c r="L58" s="456"/>
      <c r="O58" s="199"/>
      <c r="P58" s="446"/>
    </row>
    <row r="59" spans="1:21" x14ac:dyDescent="0.35">
      <c r="A59" s="2457" t="s">
        <v>4654</v>
      </c>
      <c r="B59" s="24" t="s">
        <v>4655</v>
      </c>
      <c r="C59" s="26">
        <v>17</v>
      </c>
      <c r="D59" s="2792">
        <f>'5.6.1'!AV16</f>
        <v>0.56999999999999995</v>
      </c>
      <c r="E59" s="2790">
        <f>'5.6.1'!W16*C59</f>
        <v>4.7287199999999991</v>
      </c>
      <c r="F59" s="2458">
        <v>20</v>
      </c>
      <c r="G59" s="1"/>
      <c r="I59" s="2454" t="s">
        <v>3912</v>
      </c>
      <c r="J59" s="2454" t="s">
        <v>1580</v>
      </c>
      <c r="O59" s="444"/>
      <c r="P59" s="444"/>
      <c r="Q59" s="445"/>
      <c r="R59" s="434"/>
      <c r="S59" s="434"/>
      <c r="T59" s="434"/>
      <c r="U59" s="434"/>
    </row>
    <row r="60" spans="1:21" ht="26" x14ac:dyDescent="0.35">
      <c r="A60" s="2457" t="s">
        <v>4656</v>
      </c>
      <c r="B60" s="24" t="s">
        <v>4657</v>
      </c>
      <c r="C60" s="26">
        <v>1</v>
      </c>
      <c r="D60" s="2792">
        <f>'5.6.1'!AV15</f>
        <v>0.56000000000000005</v>
      </c>
      <c r="E60" s="2790">
        <f>'5.6.1'!W15*Kits!C60</f>
        <v>4.0902400000000014</v>
      </c>
      <c r="F60" s="2458">
        <v>20</v>
      </c>
      <c r="G60" s="1"/>
      <c r="I60" s="2173" t="s">
        <v>4303</v>
      </c>
      <c r="J60" s="24">
        <v>0.57999999999999996</v>
      </c>
      <c r="O60" s="444"/>
      <c r="P60" s="444"/>
      <c r="Q60" s="445"/>
      <c r="R60" s="434"/>
      <c r="S60" s="434"/>
      <c r="T60" s="434"/>
      <c r="U60" s="434"/>
    </row>
    <row r="61" spans="1:21" x14ac:dyDescent="0.35">
      <c r="A61" s="2457" t="s">
        <v>4658</v>
      </c>
      <c r="B61" s="24" t="s">
        <v>4659</v>
      </c>
      <c r="C61" s="26">
        <v>1</v>
      </c>
      <c r="D61" s="2458" t="s">
        <v>1284</v>
      </c>
      <c r="E61" s="2790">
        <f>'5.4.9'!P6*Kits!C61</f>
        <v>3.3378536857365502</v>
      </c>
      <c r="F61" s="2458">
        <v>2</v>
      </c>
      <c r="G61" s="1"/>
      <c r="I61" s="2173" t="s">
        <v>4660</v>
      </c>
      <c r="J61" s="24">
        <v>0.87</v>
      </c>
      <c r="O61" s="444"/>
      <c r="P61" s="444"/>
      <c r="Q61" s="445"/>
      <c r="R61" s="434"/>
      <c r="S61" s="434"/>
      <c r="T61" s="434"/>
      <c r="U61" s="434"/>
    </row>
    <row r="62" spans="1:21" x14ac:dyDescent="0.35">
      <c r="A62" s="1" t="s">
        <v>3411</v>
      </c>
      <c r="B62" s="1"/>
      <c r="C62" s="1"/>
      <c r="D62" s="2453"/>
      <c r="E62" s="2459">
        <f>SUM(E59:E61)</f>
        <v>12.156813685736552</v>
      </c>
      <c r="F62" s="2453"/>
      <c r="G62" s="1"/>
      <c r="I62" s="2173" t="s">
        <v>4304</v>
      </c>
      <c r="J62" s="2173">
        <v>1</v>
      </c>
      <c r="O62" s="444"/>
      <c r="P62" s="444"/>
      <c r="Q62" s="445"/>
      <c r="R62" s="434"/>
      <c r="S62" s="434"/>
      <c r="T62" s="434"/>
      <c r="U62" s="434"/>
    </row>
    <row r="63" spans="1:21" x14ac:dyDescent="0.35">
      <c r="D63" s="2460"/>
      <c r="F63" s="2460"/>
      <c r="G63"/>
      <c r="O63" s="444"/>
      <c r="P63" s="444"/>
      <c r="Q63" s="445"/>
      <c r="R63" s="434"/>
      <c r="S63" s="434"/>
      <c r="T63" s="434"/>
      <c r="U63" s="434"/>
    </row>
    <row r="64" spans="1:21" x14ac:dyDescent="0.35">
      <c r="A64" s="199"/>
      <c r="D64" s="199"/>
      <c r="F64" s="2147"/>
      <c r="G64"/>
      <c r="O64" s="444"/>
      <c r="P64" s="444"/>
      <c r="Q64" s="445"/>
      <c r="R64" s="434"/>
      <c r="S64" s="434"/>
      <c r="T64" s="434"/>
      <c r="U64" s="434"/>
    </row>
    <row r="65" spans="1:21" x14ac:dyDescent="0.35">
      <c r="I65" s="114"/>
      <c r="O65" s="444"/>
      <c r="P65" s="444"/>
      <c r="Q65" s="445"/>
      <c r="R65" s="434"/>
      <c r="S65" s="434"/>
      <c r="T65" s="434"/>
      <c r="U65" s="434"/>
    </row>
    <row r="66" spans="1:21" s="463" customFormat="1" ht="9" customHeight="1" x14ac:dyDescent="0.35">
      <c r="A66"/>
      <c r="B66"/>
      <c r="C66"/>
      <c r="D66"/>
      <c r="E66"/>
      <c r="G66" s="464"/>
      <c r="H66" s="464"/>
      <c r="I66" s="464"/>
      <c r="J66" s="464"/>
    </row>
    <row r="67" spans="1:21" ht="15" thickBot="1" x14ac:dyDescent="0.4"/>
    <row r="68" spans="1:21" ht="15" thickBot="1" x14ac:dyDescent="0.4">
      <c r="A68" s="199"/>
      <c r="B68" s="117"/>
      <c r="C68" s="117"/>
      <c r="D68" s="117"/>
      <c r="E68" s="457"/>
      <c r="F68" s="63"/>
      <c r="G68" s="63"/>
      <c r="H68" s="465"/>
      <c r="K68" s="199"/>
    </row>
    <row r="69" spans="1:21" ht="29.5" thickBot="1" x14ac:dyDescent="0.4">
      <c r="A69" s="458"/>
      <c r="B69" s="459" t="s">
        <v>1040</v>
      </c>
      <c r="C69" s="459" t="s">
        <v>4661</v>
      </c>
      <c r="D69" s="460" t="s">
        <v>1357</v>
      </c>
      <c r="E69" s="1252"/>
      <c r="F69" s="466" t="s">
        <v>4662</v>
      </c>
      <c r="G69" s="466" t="s">
        <v>4663</v>
      </c>
      <c r="H69" s="466" t="s">
        <v>1580</v>
      </c>
    </row>
    <row r="70" spans="1:21" ht="15" thickBot="1" x14ac:dyDescent="0.4">
      <c r="A70" s="99" t="s">
        <v>975</v>
      </c>
      <c r="B70" s="69"/>
      <c r="C70" s="461"/>
      <c r="D70" s="462"/>
      <c r="E70" s="462"/>
      <c r="F70" s="380"/>
      <c r="G70" s="438">
        <f t="shared" ref="G70:G75" si="5">ROUND(C79*E79,2)</f>
        <v>4.67</v>
      </c>
      <c r="H70" s="468">
        <v>0.36</v>
      </c>
      <c r="K70" s="3426" t="s">
        <v>4664</v>
      </c>
      <c r="L70" s="3427"/>
      <c r="M70" s="3427"/>
      <c r="N70" s="3427"/>
      <c r="O70" s="3428"/>
      <c r="Q70" s="3132" t="s">
        <v>4665</v>
      </c>
      <c r="R70" s="3133"/>
      <c r="S70" s="3134"/>
    </row>
    <row r="71" spans="1:21" ht="15" thickBot="1" x14ac:dyDescent="0.4">
      <c r="A71" s="261" t="s">
        <v>804</v>
      </c>
      <c r="B71" s="161"/>
      <c r="C71" s="498"/>
      <c r="D71" s="1318"/>
      <c r="E71" s="1318"/>
      <c r="F71" s="69"/>
      <c r="G71" s="69">
        <f t="shared" si="5"/>
        <v>0.25</v>
      </c>
      <c r="H71" s="473">
        <v>0.3</v>
      </c>
      <c r="K71" s="154"/>
      <c r="L71" s="76" t="s">
        <v>4666</v>
      </c>
      <c r="M71" s="76" t="s">
        <v>4667</v>
      </c>
      <c r="N71" s="76" t="s">
        <v>4668</v>
      </c>
      <c r="O71" s="465" t="s">
        <v>4669</v>
      </c>
      <c r="Q71" s="469" t="s">
        <v>4670</v>
      </c>
      <c r="R71" s="470" t="s">
        <v>4671</v>
      </c>
      <c r="S71" s="471" t="s">
        <v>3411</v>
      </c>
    </row>
    <row r="72" spans="1:21" ht="15" thickBot="1" x14ac:dyDescent="0.4">
      <c r="A72" s="199"/>
      <c r="B72" s="117"/>
      <c r="C72" s="117"/>
      <c r="D72" s="117"/>
      <c r="E72" s="457"/>
      <c r="F72" s="69"/>
      <c r="G72" s="69">
        <f t="shared" si="5"/>
        <v>0.12</v>
      </c>
      <c r="H72" s="473">
        <v>0.3</v>
      </c>
      <c r="K72" s="469" t="s">
        <v>4672</v>
      </c>
      <c r="L72" s="478"/>
      <c r="M72" s="479"/>
      <c r="N72" s="479"/>
      <c r="O72" s="471"/>
      <c r="Q72" s="474"/>
      <c r="R72" s="475"/>
      <c r="S72" s="476"/>
    </row>
    <row r="73" spans="1:21" x14ac:dyDescent="0.35">
      <c r="A73" s="199"/>
      <c r="B73" s="117"/>
      <c r="C73" s="117"/>
      <c r="D73" s="117"/>
      <c r="E73" s="457"/>
      <c r="F73" s="69"/>
      <c r="G73" s="69">
        <f t="shared" si="5"/>
        <v>0.15</v>
      </c>
      <c r="H73" s="473">
        <v>0.28999999999999998</v>
      </c>
      <c r="K73" s="469" t="s">
        <v>4673</v>
      </c>
      <c r="L73" s="478"/>
      <c r="M73" s="479"/>
      <c r="N73" s="479"/>
      <c r="O73" s="471"/>
    </row>
    <row r="74" spans="1:21" ht="15" thickBot="1" x14ac:dyDescent="0.4">
      <c r="A74" s="199"/>
      <c r="B74" s="117"/>
      <c r="C74" s="117"/>
      <c r="D74" s="117"/>
      <c r="E74" s="457"/>
      <c r="F74" s="69"/>
      <c r="G74" s="69">
        <f t="shared" si="5"/>
        <v>2.68</v>
      </c>
      <c r="H74" s="477">
        <v>0.3</v>
      </c>
      <c r="K74" s="481" t="s">
        <v>4674</v>
      </c>
      <c r="L74" s="482"/>
      <c r="M74" s="482"/>
      <c r="N74" s="482"/>
      <c r="O74" s="483"/>
    </row>
    <row r="75" spans="1:21" ht="15" thickBot="1" x14ac:dyDescent="0.4">
      <c r="A75" s="463"/>
      <c r="B75" s="463"/>
      <c r="C75" s="463"/>
      <c r="D75" s="463"/>
      <c r="E75" s="463"/>
      <c r="F75" s="429"/>
      <c r="G75" s="69">
        <f t="shared" si="5"/>
        <v>1.78</v>
      </c>
      <c r="H75" s="100"/>
    </row>
    <row r="76" spans="1:21" ht="15" thickBot="1" x14ac:dyDescent="0.4">
      <c r="F76" s="452"/>
      <c r="G76" s="452">
        <f>SUM(G70:G75)</f>
        <v>9.65</v>
      </c>
      <c r="H76" s="453"/>
      <c r="K76" s="199"/>
    </row>
    <row r="77" spans="1:21" ht="30" customHeight="1" thickBot="1" x14ac:dyDescent="0.4">
      <c r="A77" s="154" t="s">
        <v>4675</v>
      </c>
      <c r="B77" s="63"/>
      <c r="C77" s="63"/>
      <c r="D77" s="63"/>
      <c r="E77" s="63"/>
      <c r="F77" s="452"/>
      <c r="G77" s="452"/>
      <c r="H77" s="453"/>
      <c r="K77" s="199"/>
    </row>
    <row r="78" spans="1:21" ht="30" customHeight="1" thickBot="1" x14ac:dyDescent="0.4">
      <c r="A78" s="199"/>
      <c r="B78" s="466" t="s">
        <v>4632</v>
      </c>
      <c r="C78" s="467" t="s">
        <v>4676</v>
      </c>
      <c r="D78" s="466" t="s">
        <v>4677</v>
      </c>
      <c r="E78" s="466" t="s">
        <v>4678</v>
      </c>
    </row>
    <row r="79" spans="1:21" x14ac:dyDescent="0.35">
      <c r="A79" s="437" t="s">
        <v>4634</v>
      </c>
      <c r="B79" s="359">
        <f>+$B$216</f>
        <v>1458.9711688826822</v>
      </c>
      <c r="C79" s="359">
        <f>+$B$215</f>
        <v>5.908833233974863</v>
      </c>
      <c r="D79" s="359">
        <v>10</v>
      </c>
      <c r="E79" s="643">
        <f>0.79</f>
        <v>0.79</v>
      </c>
      <c r="G79" s="54"/>
    </row>
    <row r="80" spans="1:21" ht="15.75" customHeight="1" x14ac:dyDescent="0.35">
      <c r="A80" s="439" t="s">
        <v>4646</v>
      </c>
      <c r="B80" s="117">
        <f>+$B$238</f>
        <v>108.91776682685517</v>
      </c>
      <c r="C80" s="117">
        <f>+$B$237</f>
        <v>0.31041563545653728</v>
      </c>
      <c r="D80" s="117">
        <v>10</v>
      </c>
      <c r="E80" s="429">
        <v>0.79</v>
      </c>
      <c r="G80" s="54"/>
    </row>
    <row r="81" spans="1:21" ht="15.75" customHeight="1" x14ac:dyDescent="0.35">
      <c r="A81" s="439" t="s">
        <v>4646</v>
      </c>
      <c r="B81" s="117">
        <f>+$C$238</f>
        <v>51.865603250883424</v>
      </c>
      <c r="C81" s="117">
        <f>+$C$237</f>
        <v>0.14781696926501775</v>
      </c>
      <c r="D81" s="117">
        <v>10</v>
      </c>
      <c r="E81" s="429">
        <v>0.79</v>
      </c>
      <c r="G81" s="54"/>
    </row>
    <row r="82" spans="1:21" ht="15.75" customHeight="1" x14ac:dyDescent="0.35">
      <c r="A82" s="439" t="s">
        <v>4679</v>
      </c>
      <c r="B82" s="117"/>
      <c r="C82" s="117">
        <f>+$B$280</f>
        <v>0.19515533662800003</v>
      </c>
      <c r="D82" s="117">
        <v>1</v>
      </c>
      <c r="E82" s="429">
        <v>0.79</v>
      </c>
      <c r="G82" s="54"/>
    </row>
    <row r="83" spans="1:21" ht="15.75" customHeight="1" x14ac:dyDescent="0.35">
      <c r="A83" s="439" t="s">
        <v>4639</v>
      </c>
      <c r="B83" s="117">
        <f>+$B$261</f>
        <v>1005.80604609375</v>
      </c>
      <c r="C83" s="2545">
        <f>+$B$260</f>
        <v>3.3945954055664056</v>
      </c>
      <c r="D83" s="117">
        <v>10</v>
      </c>
      <c r="E83" s="429">
        <v>0.79</v>
      </c>
      <c r="G83" s="54"/>
    </row>
    <row r="84" spans="1:21" ht="15.75" customHeight="1" thickBot="1" x14ac:dyDescent="0.4">
      <c r="A84" s="439" t="s">
        <v>4034</v>
      </c>
      <c r="B84" s="117">
        <f>+$B$294</f>
        <v>300.170171385</v>
      </c>
      <c r="C84" s="2545">
        <f>+$C$294</f>
        <v>2.2512762853875001</v>
      </c>
      <c r="D84" s="117">
        <f>+$C$304</f>
        <v>2</v>
      </c>
      <c r="E84" s="429">
        <v>0.79</v>
      </c>
      <c r="G84" s="54"/>
    </row>
    <row r="85" spans="1:21" ht="15.75" customHeight="1" thickBot="1" x14ac:dyDescent="0.4">
      <c r="A85" s="451" t="s">
        <v>969</v>
      </c>
      <c r="B85" s="452">
        <f>SUM(B79:B84)</f>
        <v>2925.7307564391704</v>
      </c>
      <c r="C85" s="452">
        <f>SUM(C79:C84)</f>
        <v>12.208092866278324</v>
      </c>
      <c r="D85" s="452">
        <f>ROUND(SUMPRODUCT(D79:D84,C79:C84)/C85,0)</f>
        <v>8</v>
      </c>
      <c r="E85" s="1253">
        <f>SUMPRODUCT(E79:E84,C79:C84)/C85</f>
        <v>0.79</v>
      </c>
      <c r="G85" s="54"/>
    </row>
    <row r="86" spans="1:21" ht="15.75" customHeight="1" thickBot="1" x14ac:dyDescent="0.4">
      <c r="A86" s="451" t="s">
        <v>972</v>
      </c>
      <c r="B86" s="452">
        <f>B85</f>
        <v>2925.7307564391704</v>
      </c>
      <c r="C86" s="452">
        <f>+C85</f>
        <v>12.208092866278324</v>
      </c>
      <c r="D86" s="452">
        <f>D85</f>
        <v>8</v>
      </c>
      <c r="E86" s="1253">
        <f>E85</f>
        <v>0.79</v>
      </c>
      <c r="G86" s="54"/>
    </row>
    <row r="87" spans="1:21" ht="15.75" customHeight="1" thickBot="1" x14ac:dyDescent="0.4">
      <c r="A87" s="60"/>
      <c r="G87" s="54"/>
    </row>
    <row r="88" spans="1:21" ht="15.75" customHeight="1" thickBot="1" x14ac:dyDescent="0.4">
      <c r="A88" s="3426" t="s">
        <v>4664</v>
      </c>
      <c r="B88" s="3427"/>
      <c r="C88" s="3427"/>
      <c r="D88" s="3427"/>
      <c r="E88" s="3428"/>
      <c r="G88" s="54"/>
    </row>
    <row r="89" spans="1:21" ht="15.75" customHeight="1" thickBot="1" x14ac:dyDescent="0.4">
      <c r="A89" s="154"/>
      <c r="B89" s="76" t="s">
        <v>4666</v>
      </c>
      <c r="C89" s="76" t="s">
        <v>4667</v>
      </c>
      <c r="D89" s="76" t="s">
        <v>4668</v>
      </c>
      <c r="E89" s="465" t="s">
        <v>4669</v>
      </c>
      <c r="G89" s="54"/>
    </row>
    <row r="90" spans="1:21" ht="15.75" customHeight="1" x14ac:dyDescent="0.35">
      <c r="A90" s="469" t="s">
        <v>4672</v>
      </c>
      <c r="B90" s="478"/>
      <c r="C90" s="479"/>
      <c r="D90" s="479"/>
      <c r="E90" s="471"/>
      <c r="G90" s="54"/>
    </row>
    <row r="91" spans="1:21" ht="15.75" customHeight="1" x14ac:dyDescent="0.35">
      <c r="A91" s="469" t="s">
        <v>4673</v>
      </c>
      <c r="B91" s="478"/>
      <c r="C91" s="479"/>
      <c r="D91" s="479"/>
      <c r="E91" s="471"/>
      <c r="G91" s="54"/>
    </row>
    <row r="92" spans="1:21" ht="15.75" customHeight="1" thickBot="1" x14ac:dyDescent="0.4">
      <c r="A92" s="481"/>
      <c r="B92" s="482"/>
      <c r="C92" s="482"/>
      <c r="D92" s="482"/>
      <c r="E92" s="483"/>
      <c r="G92" s="54"/>
    </row>
    <row r="93" spans="1:21" ht="15.75" customHeight="1" x14ac:dyDescent="0.35">
      <c r="G93" s="54"/>
    </row>
    <row r="95" spans="1:21" s="463" customFormat="1" ht="8.25" customHeight="1" thickBot="1" x14ac:dyDescent="0.4">
      <c r="A95"/>
      <c r="B95"/>
      <c r="C95"/>
      <c r="D95"/>
      <c r="E95"/>
      <c r="G95" s="464"/>
      <c r="H95" s="464"/>
      <c r="O95" s="490"/>
      <c r="P95" s="490"/>
      <c r="Q95" s="491"/>
      <c r="R95" s="492"/>
      <c r="S95" s="492"/>
      <c r="T95" s="492"/>
      <c r="U95" s="492"/>
    </row>
    <row r="96" spans="1:21" ht="15" thickBot="1" x14ac:dyDescent="0.4">
      <c r="A96" s="3423" t="s">
        <v>4680</v>
      </c>
      <c r="B96" s="3424"/>
      <c r="C96" s="3425"/>
    </row>
    <row r="97" spans="1:13" ht="15" thickBot="1" x14ac:dyDescent="0.4">
      <c r="A97" s="484" t="s">
        <v>155</v>
      </c>
      <c r="B97" s="3436" t="s">
        <v>4641</v>
      </c>
      <c r="C97" s="3437"/>
      <c r="F97" s="76"/>
      <c r="G97" s="76"/>
      <c r="H97" s="76"/>
      <c r="I97" s="76"/>
      <c r="J97" s="76"/>
      <c r="K97" s="76"/>
      <c r="L97" s="76"/>
      <c r="M97" s="76"/>
    </row>
    <row r="98" spans="1:13" ht="15" thickBot="1" x14ac:dyDescent="0.4">
      <c r="A98" s="485"/>
      <c r="B98" s="486" t="s">
        <v>4681</v>
      </c>
      <c r="C98" s="487" t="s">
        <v>4682</v>
      </c>
    </row>
    <row r="99" spans="1:13" ht="15" thickBot="1" x14ac:dyDescent="0.4">
      <c r="A99" s="485" t="s">
        <v>4683</v>
      </c>
      <c r="B99" s="486">
        <v>0.81</v>
      </c>
      <c r="C99" s="487">
        <v>0.36</v>
      </c>
      <c r="F99" s="496"/>
      <c r="G99" s="496"/>
      <c r="H99" s="497"/>
      <c r="I99" s="496"/>
      <c r="J99" s="380"/>
      <c r="K99" s="380"/>
      <c r="L99" s="380"/>
      <c r="M99" s="381"/>
    </row>
    <row r="100" spans="1:13" ht="15" thickBot="1" x14ac:dyDescent="0.4">
      <c r="A100" s="485" t="s">
        <v>4684</v>
      </c>
      <c r="B100" s="486">
        <v>0.48</v>
      </c>
      <c r="C100" s="487">
        <v>0.3</v>
      </c>
      <c r="F100" s="500"/>
      <c r="G100" s="161"/>
      <c r="H100" s="161"/>
      <c r="I100" s="161"/>
      <c r="J100" s="161"/>
      <c r="K100" s="161"/>
      <c r="L100" s="161"/>
      <c r="M100" s="163"/>
    </row>
    <row r="101" spans="1:13" ht="15" thickBot="1" x14ac:dyDescent="0.4">
      <c r="A101" s="485" t="s">
        <v>4685</v>
      </c>
      <c r="B101" s="486">
        <v>0.48</v>
      </c>
      <c r="C101" s="487">
        <v>0.3</v>
      </c>
      <c r="F101" s="496"/>
      <c r="G101" s="496"/>
      <c r="H101" s="497"/>
      <c r="I101" s="496"/>
      <c r="J101" s="380"/>
      <c r="K101" s="380"/>
      <c r="L101" s="380"/>
      <c r="M101" s="381"/>
    </row>
    <row r="102" spans="1:13" ht="15" thickBot="1" x14ac:dyDescent="0.4">
      <c r="F102" s="500"/>
      <c r="G102" s="161"/>
      <c r="H102" s="161"/>
      <c r="I102" s="161"/>
      <c r="J102" s="161"/>
      <c r="K102" s="161"/>
      <c r="L102" s="161"/>
      <c r="M102" s="163"/>
    </row>
    <row r="103" spans="1:13" x14ac:dyDescent="0.35">
      <c r="F103" s="1257"/>
      <c r="G103" s="69"/>
      <c r="H103" s="69"/>
      <c r="I103" s="69"/>
      <c r="J103" s="69"/>
      <c r="K103" s="69"/>
      <c r="L103" s="69"/>
      <c r="M103" s="69"/>
    </row>
    <row r="104" spans="1:13" x14ac:dyDescent="0.35">
      <c r="A104" s="464"/>
      <c r="B104" s="488"/>
      <c r="C104" s="488"/>
      <c r="D104" s="488"/>
      <c r="E104" s="489"/>
      <c r="G104"/>
      <c r="H104"/>
    </row>
    <row r="105" spans="1:13" ht="15" thickBot="1" x14ac:dyDescent="0.4">
      <c r="G105"/>
      <c r="H105"/>
    </row>
    <row r="106" spans="1:13" ht="15" thickBot="1" x14ac:dyDescent="0.4">
      <c r="A106" s="154" t="s">
        <v>4686</v>
      </c>
      <c r="B106" s="76"/>
      <c r="C106" s="76"/>
      <c r="D106" s="76"/>
      <c r="E106" s="76"/>
      <c r="G106"/>
      <c r="H106"/>
    </row>
    <row r="107" spans="1:13" ht="15" thickBot="1" x14ac:dyDescent="0.4">
      <c r="G107"/>
      <c r="H107"/>
    </row>
    <row r="108" spans="1:13" ht="15" thickBot="1" x14ac:dyDescent="0.4">
      <c r="A108" s="493" t="s">
        <v>4687</v>
      </c>
      <c r="B108" s="380"/>
      <c r="C108" s="494"/>
      <c r="D108" s="494"/>
      <c r="E108" s="495"/>
      <c r="F108" s="63"/>
      <c r="G108" s="63"/>
      <c r="H108" s="63"/>
      <c r="I108" s="63"/>
      <c r="J108" s="63"/>
      <c r="K108" s="63"/>
      <c r="L108" s="63"/>
      <c r="M108" s="63"/>
    </row>
    <row r="109" spans="1:13" ht="15" thickBot="1" x14ac:dyDescent="0.4">
      <c r="A109" s="261"/>
      <c r="B109" s="161"/>
      <c r="C109" s="161"/>
      <c r="D109" s="498"/>
      <c r="E109" s="499"/>
      <c r="F109" s="507"/>
      <c r="G109" s="507"/>
      <c r="H109" s="507"/>
      <c r="I109" s="507"/>
      <c r="J109" s="507"/>
      <c r="K109" s="507"/>
      <c r="L109" s="507"/>
      <c r="M109" s="507"/>
    </row>
    <row r="110" spans="1:13" ht="15" thickBot="1" x14ac:dyDescent="0.4">
      <c r="A110" s="493" t="s">
        <v>4688</v>
      </c>
      <c r="B110" s="380"/>
      <c r="C110" s="494"/>
      <c r="D110" s="494"/>
      <c r="E110" s="495"/>
      <c r="F110" s="507"/>
      <c r="G110" s="507"/>
      <c r="H110" s="507"/>
      <c r="I110" s="507"/>
      <c r="J110" s="507"/>
      <c r="K110" s="507"/>
      <c r="L110" s="507"/>
      <c r="M110" s="507"/>
    </row>
    <row r="111" spans="1:13" ht="15" thickBot="1" x14ac:dyDescent="0.4">
      <c r="A111" s="261"/>
      <c r="B111" s="161"/>
      <c r="C111" s="161"/>
      <c r="D111" s="498"/>
      <c r="E111" s="499"/>
      <c r="F111" s="507"/>
      <c r="G111" s="507"/>
      <c r="H111" s="507"/>
      <c r="I111" s="507"/>
      <c r="J111" s="507"/>
      <c r="K111" s="507"/>
      <c r="L111" s="507"/>
      <c r="M111" s="507"/>
    </row>
    <row r="112" spans="1:13" ht="15" thickBot="1" x14ac:dyDescent="0.4">
      <c r="A112" s="261"/>
      <c r="B112" s="1255" t="s">
        <v>4689</v>
      </c>
      <c r="C112" s="1256" t="s">
        <v>4690</v>
      </c>
      <c r="D112" s="461"/>
      <c r="E112" s="1196"/>
      <c r="F112" s="511"/>
      <c r="G112" s="512"/>
      <c r="H112" s="511"/>
      <c r="I112" s="511"/>
      <c r="J112" s="507"/>
      <c r="K112" s="507"/>
      <c r="L112" s="507"/>
      <c r="M112" s="507"/>
    </row>
    <row r="113" spans="1:13" ht="15" thickBot="1" x14ac:dyDescent="0.4">
      <c r="A113" s="154" t="s">
        <v>4691</v>
      </c>
      <c r="B113" s="2799">
        <f>+C118*((C119*C120-C121*C122)*C123*C125*C126/C127)*C129*$C$134</f>
        <v>6.9570862423240252</v>
      </c>
      <c r="C113" s="2799">
        <f>+C118*((C119*C120-C121*C122)*C124*C125*C126/C128)*C131*$C$134</f>
        <v>9.167758929000005</v>
      </c>
      <c r="D113" s="298">
        <f>+C113-B113</f>
        <v>2.2106726866759798</v>
      </c>
      <c r="E113" s="446"/>
      <c r="F113" s="507"/>
      <c r="G113" s="507"/>
      <c r="H113" s="507"/>
      <c r="I113" s="507"/>
      <c r="J113" s="507"/>
      <c r="K113" s="507"/>
      <c r="L113" s="507"/>
      <c r="M113" s="507"/>
    </row>
    <row r="114" spans="1:13" ht="15" thickBot="1" x14ac:dyDescent="0.4">
      <c r="A114" s="154" t="s">
        <v>4692</v>
      </c>
      <c r="B114" s="2799">
        <f>+C118*((C119*C120-C121*C122)*C123*C125*C126/C127)*C129*$C$135</f>
        <v>7.5181415844469317</v>
      </c>
      <c r="C114" s="2799">
        <f>+C118*((C119*C120-C121*C122)*C124*C125*C126/C128)*C131*$C$135</f>
        <v>9.9070943265000047</v>
      </c>
      <c r="D114" s="298">
        <f>+C114-B114</f>
        <v>2.388952742053073</v>
      </c>
      <c r="E114" s="446"/>
      <c r="F114" s="507"/>
      <c r="G114" s="507"/>
      <c r="H114" s="507"/>
      <c r="I114" s="507"/>
      <c r="J114" s="507"/>
      <c r="K114" s="507"/>
      <c r="L114" s="507"/>
      <c r="M114" s="507"/>
    </row>
    <row r="115" spans="1:13" ht="15" thickBot="1" x14ac:dyDescent="0.4">
      <c r="A115" s="501" t="s">
        <v>4693</v>
      </c>
      <c r="B115" s="2786">
        <f>+((C119*C120-C121*C122)*C123*C125*C126/C127)*$C$134</f>
        <v>1288.3493041340787</v>
      </c>
      <c r="C115" s="2786">
        <f>+((C119*C120-C121*C122)*C124*C125*C126/C128)*$C$134</f>
        <v>1455.1998300000007</v>
      </c>
      <c r="E115" s="446"/>
      <c r="F115" s="507"/>
      <c r="G115" s="507"/>
      <c r="H115" s="507"/>
      <c r="I115" s="507"/>
      <c r="J115" s="507"/>
      <c r="K115" s="507"/>
      <c r="L115" s="507"/>
      <c r="M115" s="507"/>
    </row>
    <row r="116" spans="1:13" ht="15" thickBot="1" x14ac:dyDescent="0.4">
      <c r="A116" s="501" t="s">
        <v>4694</v>
      </c>
      <c r="B116" s="2786">
        <f>+((C119*C120-C121*C122)*C123*C125*C126/C127)*$C$135</f>
        <v>1392.2484415642464</v>
      </c>
      <c r="C116" s="2786">
        <f>+((C119*C120-C121*C122)*C124*C125*C126/C128)*$C$135</f>
        <v>1572.5546550000008</v>
      </c>
      <c r="E116" s="446"/>
      <c r="F116" s="273"/>
      <c r="G116" s="273"/>
      <c r="H116" s="273"/>
      <c r="I116" s="273"/>
      <c r="J116" s="273"/>
      <c r="K116" s="273"/>
      <c r="L116" s="273"/>
      <c r="M116" s="273"/>
    </row>
    <row r="117" spans="1:13" ht="15" thickBot="1" x14ac:dyDescent="0.4">
      <c r="A117" s="62"/>
      <c r="B117" s="63" t="s">
        <v>4695</v>
      </c>
      <c r="C117" s="502" t="s">
        <v>4696</v>
      </c>
      <c r="D117" s="63" t="s">
        <v>4697</v>
      </c>
      <c r="E117" s="503"/>
      <c r="F117" s="507"/>
      <c r="G117" s="505"/>
      <c r="H117" s="505"/>
      <c r="I117" s="507"/>
      <c r="J117" s="507"/>
      <c r="K117" s="507"/>
      <c r="L117" s="507"/>
      <c r="M117" s="507"/>
    </row>
    <row r="118" spans="1:13" ht="15" thickBot="1" x14ac:dyDescent="0.4">
      <c r="A118" s="493" t="s">
        <v>4698</v>
      </c>
      <c r="B118" s="154" t="s">
        <v>4699</v>
      </c>
      <c r="C118" s="504">
        <f>+B309</f>
        <v>1</v>
      </c>
      <c r="D118" s="505" t="s">
        <v>3888</v>
      </c>
      <c r="E118" s="506"/>
      <c r="F118" s="507"/>
      <c r="G118" s="505"/>
      <c r="H118" s="505"/>
      <c r="I118" s="507"/>
      <c r="J118" s="507"/>
      <c r="K118" s="507"/>
      <c r="L118" s="507"/>
      <c r="M118" s="507"/>
    </row>
    <row r="119" spans="1:13" ht="15" thickBot="1" x14ac:dyDescent="0.4">
      <c r="A119" s="501"/>
      <c r="B119" s="154" t="s">
        <v>4700</v>
      </c>
      <c r="C119" s="508">
        <v>2.35</v>
      </c>
      <c r="D119" s="507" t="s">
        <v>1993</v>
      </c>
      <c r="E119" s="506"/>
      <c r="F119" s="507"/>
      <c r="G119" s="505"/>
      <c r="H119" s="505"/>
      <c r="I119" s="507"/>
      <c r="J119" s="507"/>
      <c r="K119" s="507"/>
      <c r="L119" s="507"/>
      <c r="M119" s="507"/>
    </row>
    <row r="120" spans="1:13" ht="15" thickBot="1" x14ac:dyDescent="0.4">
      <c r="A120" s="501"/>
      <c r="B120" s="154" t="s">
        <v>1981</v>
      </c>
      <c r="C120" s="509">
        <f>+$B$326</f>
        <v>7.8</v>
      </c>
      <c r="D120" s="507" t="s">
        <v>1997</v>
      </c>
      <c r="E120" s="506"/>
      <c r="F120" s="516"/>
      <c r="G120" s="517"/>
      <c r="H120" s="517"/>
      <c r="I120" s="516"/>
      <c r="J120" s="516"/>
      <c r="K120" s="516"/>
      <c r="L120" s="516"/>
      <c r="M120" s="516"/>
    </row>
    <row r="121" spans="1:13" ht="15" thickBot="1" x14ac:dyDescent="0.4">
      <c r="A121" s="501"/>
      <c r="B121" s="154" t="s">
        <v>4701</v>
      </c>
      <c r="C121" s="509">
        <f>+$A$321</f>
        <v>1.5</v>
      </c>
      <c r="D121" s="507" t="s">
        <v>4702</v>
      </c>
      <c r="E121" s="510"/>
      <c r="F121" s="520"/>
      <c r="G121" s="521"/>
      <c r="H121" s="521"/>
      <c r="I121" s="520"/>
      <c r="J121" s="520"/>
      <c r="K121" s="520"/>
      <c r="L121" s="520"/>
      <c r="M121" s="520"/>
    </row>
    <row r="122" spans="1:13" ht="15" thickBot="1" x14ac:dyDescent="0.4">
      <c r="A122" s="501"/>
      <c r="B122" s="154" t="s">
        <v>4703</v>
      </c>
      <c r="C122" s="509">
        <f>+$B$327</f>
        <v>7.8</v>
      </c>
      <c r="D122" s="507" t="s">
        <v>3963</v>
      </c>
      <c r="E122" s="506"/>
      <c r="F122" s="516"/>
      <c r="G122" s="517"/>
      <c r="H122" s="517"/>
      <c r="I122" s="516"/>
      <c r="J122" s="516"/>
      <c r="K122" s="516"/>
      <c r="L122" s="516"/>
      <c r="M122" s="516"/>
    </row>
    <row r="123" spans="1:13" ht="15" thickBot="1" x14ac:dyDescent="0.4">
      <c r="A123" s="501"/>
      <c r="B123" s="154" t="s">
        <v>4704</v>
      </c>
      <c r="C123" s="509">
        <f>+$E$308</f>
        <v>2.56</v>
      </c>
      <c r="D123" s="507" t="s">
        <v>4705</v>
      </c>
      <c r="E123" s="506"/>
      <c r="F123" s="520"/>
      <c r="G123" s="521"/>
      <c r="H123" s="521"/>
      <c r="I123" s="520"/>
      <c r="J123" s="520"/>
      <c r="K123" s="520"/>
      <c r="L123" s="520"/>
      <c r="M123" s="520"/>
    </row>
    <row r="124" spans="1:13" ht="15" thickBot="1" x14ac:dyDescent="0.4">
      <c r="A124" s="501"/>
      <c r="B124" s="154" t="s">
        <v>4706</v>
      </c>
      <c r="C124" s="509">
        <f>+$E$309</f>
        <v>2.1</v>
      </c>
      <c r="D124" s="507" t="s">
        <v>4707</v>
      </c>
      <c r="E124" s="506"/>
      <c r="F124" s="507"/>
      <c r="G124" s="505"/>
      <c r="H124" s="505"/>
      <c r="I124" s="507"/>
      <c r="J124" s="507"/>
      <c r="K124" s="507"/>
      <c r="L124" s="507"/>
      <c r="M124" s="507"/>
    </row>
    <row r="125" spans="1:13" ht="15" thickBot="1" x14ac:dyDescent="0.4">
      <c r="A125" s="501"/>
      <c r="B125" s="513" t="s">
        <v>3936</v>
      </c>
      <c r="C125" s="514">
        <v>0.6</v>
      </c>
      <c r="D125" s="273" t="s">
        <v>4708</v>
      </c>
      <c r="E125" s="515"/>
      <c r="F125" s="507"/>
      <c r="G125" s="505"/>
      <c r="H125" s="505"/>
      <c r="I125" s="507"/>
      <c r="J125" s="507"/>
      <c r="K125" s="507"/>
      <c r="L125" s="507"/>
      <c r="M125" s="507"/>
    </row>
    <row r="126" spans="1:13" ht="15" thickBot="1" x14ac:dyDescent="0.4">
      <c r="A126" s="501"/>
      <c r="B126" s="154">
        <v>365.25</v>
      </c>
      <c r="C126" s="509">
        <v>365.25</v>
      </c>
      <c r="D126" s="505" t="s">
        <v>4109</v>
      </c>
      <c r="E126" s="507"/>
      <c r="F126" s="507"/>
      <c r="G126" s="505"/>
      <c r="H126" s="505"/>
      <c r="I126" s="507"/>
      <c r="J126" s="507"/>
      <c r="K126" s="507"/>
      <c r="L126" s="507"/>
      <c r="M126" s="507"/>
    </row>
    <row r="127" spans="1:13" ht="15" thickBot="1" x14ac:dyDescent="0.4">
      <c r="A127" s="501"/>
      <c r="B127" s="154" t="s">
        <v>4709</v>
      </c>
      <c r="C127" s="509">
        <f>+$E$314</f>
        <v>1.79</v>
      </c>
      <c r="D127" s="505" t="s">
        <v>4710</v>
      </c>
      <c r="E127" s="507"/>
      <c r="F127" s="507"/>
      <c r="G127" s="505"/>
      <c r="H127" s="505"/>
      <c r="I127" s="507"/>
      <c r="J127" s="507"/>
      <c r="K127" s="507"/>
      <c r="L127" s="507"/>
      <c r="M127" s="507"/>
    </row>
    <row r="128" spans="1:13" ht="15" thickBot="1" x14ac:dyDescent="0.4">
      <c r="A128" s="501"/>
      <c r="B128" s="154" t="s">
        <v>4711</v>
      </c>
      <c r="C128" s="509">
        <f>+$E$315</f>
        <v>1.3</v>
      </c>
      <c r="D128" s="505" t="s">
        <v>4710</v>
      </c>
      <c r="E128" s="507"/>
    </row>
    <row r="129" spans="1:13" x14ac:dyDescent="0.35">
      <c r="A129" s="501"/>
      <c r="B129" s="493" t="s">
        <v>4712</v>
      </c>
      <c r="C129" s="2649">
        <v>5.4000000000000003E-3</v>
      </c>
      <c r="D129" s="516" t="s">
        <v>4713</v>
      </c>
      <c r="E129" s="516"/>
      <c r="F129" s="496"/>
      <c r="G129" s="496"/>
      <c r="H129" s="497"/>
      <c r="I129" s="496"/>
      <c r="J129" s="380"/>
      <c r="K129" s="380"/>
      <c r="L129" s="380"/>
      <c r="M129" s="381"/>
    </row>
    <row r="130" spans="1:13" ht="15" thickBot="1" x14ac:dyDescent="0.4">
      <c r="A130" s="501"/>
      <c r="B130" s="518"/>
      <c r="C130" s="519"/>
      <c r="D130" s="520" t="s">
        <v>4714</v>
      </c>
      <c r="E130" s="520"/>
      <c r="F130" s="500"/>
      <c r="G130" s="161"/>
      <c r="H130" s="161"/>
      <c r="I130" s="161"/>
      <c r="J130" s="161"/>
      <c r="K130" s="161"/>
      <c r="L130" s="161"/>
      <c r="M130" s="163"/>
    </row>
    <row r="131" spans="1:13" x14ac:dyDescent="0.35">
      <c r="A131" s="501"/>
      <c r="B131" s="493" t="s">
        <v>4715</v>
      </c>
      <c r="C131" s="2649">
        <v>6.3E-3</v>
      </c>
      <c r="D131" s="516" t="s">
        <v>4716</v>
      </c>
      <c r="E131" s="516"/>
      <c r="F131" s="496"/>
      <c r="G131" s="496"/>
      <c r="H131" s="497"/>
      <c r="I131" s="496"/>
      <c r="J131" s="380"/>
      <c r="K131" s="380"/>
      <c r="L131" s="380"/>
      <c r="M131" s="381"/>
    </row>
    <row r="132" spans="1:13" ht="15" thickBot="1" x14ac:dyDescent="0.4">
      <c r="A132" s="501"/>
      <c r="B132" s="518"/>
      <c r="C132" s="519"/>
      <c r="D132" s="520" t="s">
        <v>4714</v>
      </c>
      <c r="E132" s="520"/>
      <c r="F132" s="500"/>
      <c r="G132" s="161"/>
      <c r="H132" s="161"/>
      <c r="I132" s="161"/>
      <c r="J132" s="161"/>
      <c r="K132" s="161"/>
      <c r="L132" s="161"/>
      <c r="M132" s="163"/>
    </row>
    <row r="133" spans="1:13" ht="15" thickBot="1" x14ac:dyDescent="0.4">
      <c r="A133" s="501"/>
      <c r="B133" s="154" t="s">
        <v>4717</v>
      </c>
      <c r="C133" s="522">
        <f>+$E$323</f>
        <v>0.78</v>
      </c>
      <c r="D133" s="507" t="s">
        <v>4016</v>
      </c>
      <c r="E133" s="507"/>
      <c r="F133" s="1257"/>
      <c r="G133" s="69"/>
      <c r="H133" s="69"/>
      <c r="I133" s="69"/>
      <c r="J133" s="69"/>
      <c r="K133" s="69"/>
      <c r="L133" s="69"/>
      <c r="M133" s="69"/>
    </row>
    <row r="134" spans="1:13" ht="15" thickBot="1" x14ac:dyDescent="0.4">
      <c r="A134" s="518"/>
      <c r="B134" s="154" t="s">
        <v>1580</v>
      </c>
      <c r="C134" s="509">
        <f>+$B$332</f>
        <v>0.62</v>
      </c>
      <c r="D134" s="507" t="s">
        <v>975</v>
      </c>
      <c r="E134" s="507"/>
      <c r="G134"/>
      <c r="H134"/>
    </row>
    <row r="135" spans="1:13" ht="15" thickBot="1" x14ac:dyDescent="0.4">
      <c r="A135" s="513"/>
      <c r="B135" s="154" t="s">
        <v>1580</v>
      </c>
      <c r="C135" s="509">
        <f>+B333</f>
        <v>0.67</v>
      </c>
      <c r="D135" s="507" t="s">
        <v>804</v>
      </c>
      <c r="E135" s="507"/>
      <c r="G135"/>
      <c r="H135"/>
    </row>
    <row r="136" spans="1:13" ht="15" thickBot="1" x14ac:dyDescent="0.4">
      <c r="A136" s="513"/>
      <c r="B136" s="154"/>
      <c r="C136" s="509"/>
      <c r="D136" s="507"/>
      <c r="E136" s="507"/>
      <c r="F136" s="63"/>
      <c r="G136" s="63"/>
      <c r="H136" s="63"/>
      <c r="I136" s="63"/>
      <c r="J136" s="63"/>
      <c r="K136" s="63"/>
      <c r="L136" s="63"/>
      <c r="M136" s="63"/>
    </row>
    <row r="137" spans="1:13" ht="15" thickBot="1" x14ac:dyDescent="0.4">
      <c r="A137" s="523"/>
      <c r="B137" s="523"/>
      <c r="F137" s="507"/>
      <c r="G137" s="507"/>
      <c r="H137" s="507"/>
      <c r="I137" s="507"/>
      <c r="J137" s="507"/>
      <c r="K137" s="507"/>
      <c r="L137" s="507"/>
      <c r="M137" s="507"/>
    </row>
    <row r="138" spans="1:13" ht="15" thickBot="1" x14ac:dyDescent="0.4">
      <c r="A138" s="493" t="s">
        <v>4718</v>
      </c>
      <c r="B138" s="380"/>
      <c r="C138" s="494"/>
      <c r="D138" s="494"/>
      <c r="E138" s="495"/>
      <c r="F138" s="507"/>
      <c r="G138" s="507"/>
      <c r="H138" s="507"/>
      <c r="I138" s="507"/>
      <c r="J138" s="507"/>
      <c r="K138" s="507"/>
      <c r="L138" s="507"/>
      <c r="M138" s="507"/>
    </row>
    <row r="139" spans="1:13" ht="15" thickBot="1" x14ac:dyDescent="0.4">
      <c r="A139" s="261"/>
      <c r="B139" s="161"/>
      <c r="C139" s="161"/>
      <c r="D139" s="498"/>
      <c r="E139" s="499"/>
      <c r="F139" s="507"/>
      <c r="G139" s="507"/>
      <c r="H139" s="507"/>
      <c r="I139" s="507"/>
      <c r="J139" s="507"/>
      <c r="K139" s="507"/>
      <c r="L139" s="507"/>
      <c r="M139" s="507"/>
    </row>
    <row r="140" spans="1:13" ht="15" thickBot="1" x14ac:dyDescent="0.4">
      <c r="A140" s="493" t="s">
        <v>4719</v>
      </c>
      <c r="B140" s="380"/>
      <c r="C140" s="494"/>
      <c r="D140" s="494"/>
      <c r="E140" s="495"/>
      <c r="F140" s="511"/>
      <c r="G140" s="512"/>
      <c r="H140" s="511"/>
      <c r="I140" s="511"/>
      <c r="J140" s="507"/>
      <c r="K140" s="507"/>
      <c r="L140" s="507"/>
      <c r="M140" s="507"/>
    </row>
    <row r="141" spans="1:13" ht="15" thickBot="1" x14ac:dyDescent="0.4">
      <c r="A141" s="261"/>
      <c r="B141" s="161"/>
      <c r="C141" s="161"/>
      <c r="D141" s="498"/>
      <c r="E141" s="499"/>
      <c r="F141" s="507"/>
      <c r="G141" s="507"/>
      <c r="H141" s="507"/>
      <c r="I141" s="507"/>
      <c r="J141" s="507"/>
      <c r="K141" s="507"/>
      <c r="L141" s="507"/>
      <c r="M141" s="507"/>
    </row>
    <row r="142" spans="1:13" ht="15" thickBot="1" x14ac:dyDescent="0.4">
      <c r="A142" s="261"/>
      <c r="B142" s="1255" t="s">
        <v>4689</v>
      </c>
      <c r="C142" s="1256" t="s">
        <v>4690</v>
      </c>
      <c r="D142" s="461"/>
      <c r="E142" s="1196"/>
      <c r="F142" s="507"/>
      <c r="G142" s="507"/>
      <c r="H142" s="507"/>
      <c r="I142" s="507"/>
      <c r="J142" s="507"/>
      <c r="K142" s="507"/>
      <c r="L142" s="507"/>
      <c r="M142" s="507"/>
    </row>
    <row r="143" spans="1:13" ht="15" thickBot="1" x14ac:dyDescent="0.4">
      <c r="A143" s="154" t="s">
        <v>4720</v>
      </c>
      <c r="B143" s="2799">
        <f>+C146*((C147*C148-C149*C150)*C151*C153*C154/C155*C157)*C162</f>
        <v>0.65068634025159044</v>
      </c>
      <c r="C143" s="2799">
        <f>+C146*((C147*C148-C149*C150)*C152*C153*C154/C156*C159)*C162</f>
        <v>1.1660449046400008</v>
      </c>
      <c r="E143" s="446"/>
      <c r="F143" s="507"/>
      <c r="G143" s="507"/>
      <c r="H143" s="507"/>
      <c r="I143" s="507"/>
      <c r="J143" s="507"/>
      <c r="K143" s="507"/>
      <c r="L143" s="507"/>
      <c r="M143" s="507"/>
    </row>
    <row r="144" spans="1:13" ht="15" thickBot="1" x14ac:dyDescent="0.4">
      <c r="A144" s="501" t="s">
        <v>4721</v>
      </c>
      <c r="B144" s="2786">
        <f>+((C147*C148-C149*C150)*C151*C153*C154/C155)*C162</f>
        <v>171.23324743462905</v>
      </c>
      <c r="C144" s="2786">
        <f>+((C147*C148-C149*C150)*C152*C153*C154/C156)*C162</f>
        <v>265.01020560000018</v>
      </c>
      <c r="E144" s="446"/>
      <c r="F144" s="507"/>
      <c r="G144" s="505"/>
      <c r="H144" s="505"/>
      <c r="I144" s="507"/>
      <c r="J144" s="507"/>
      <c r="K144" s="507"/>
      <c r="L144" s="507"/>
      <c r="M144" s="507"/>
    </row>
    <row r="145" spans="1:13" ht="15" thickBot="1" x14ac:dyDescent="0.4">
      <c r="A145" s="62"/>
      <c r="B145" s="63" t="s">
        <v>4695</v>
      </c>
      <c r="C145" s="502" t="s">
        <v>4696</v>
      </c>
      <c r="D145" s="63" t="s">
        <v>4697</v>
      </c>
      <c r="E145" s="503"/>
      <c r="F145" s="507"/>
      <c r="G145" s="505"/>
      <c r="H145" s="505"/>
      <c r="I145" s="507"/>
      <c r="J145" s="507"/>
      <c r="K145" s="507"/>
      <c r="L145" s="507"/>
      <c r="M145" s="507"/>
    </row>
    <row r="146" spans="1:13" ht="15" thickBot="1" x14ac:dyDescent="0.4">
      <c r="A146" s="493" t="s">
        <v>4698</v>
      </c>
      <c r="B146" s="154" t="s">
        <v>4699</v>
      </c>
      <c r="C146" s="504">
        <f>+$I$300</f>
        <v>1</v>
      </c>
      <c r="D146" s="505" t="s">
        <v>3888</v>
      </c>
      <c r="E146" s="506"/>
      <c r="F146" s="507"/>
      <c r="G146" s="505"/>
      <c r="H146" s="505"/>
      <c r="I146" s="507"/>
      <c r="J146" s="507"/>
      <c r="K146" s="507"/>
      <c r="L146" s="507"/>
      <c r="M146" s="507"/>
    </row>
    <row r="147" spans="1:13" ht="15" thickBot="1" x14ac:dyDescent="0.4">
      <c r="A147" s="501"/>
      <c r="B147" s="154" t="s">
        <v>4700</v>
      </c>
      <c r="C147" s="508">
        <f>+$I$305</f>
        <v>1.53</v>
      </c>
      <c r="D147" s="507" t="s">
        <v>4722</v>
      </c>
      <c r="E147" s="506"/>
      <c r="F147" s="516"/>
      <c r="G147" s="517"/>
      <c r="H147" s="517"/>
      <c r="I147" s="516"/>
      <c r="J147" s="516"/>
      <c r="K147" s="516"/>
      <c r="L147" s="516"/>
      <c r="M147" s="516"/>
    </row>
    <row r="148" spans="1:13" ht="15" thickBot="1" x14ac:dyDescent="0.4">
      <c r="A148" s="501"/>
      <c r="B148" s="154" t="s">
        <v>1981</v>
      </c>
      <c r="C148" s="509">
        <f>+$I$314</f>
        <v>1.6</v>
      </c>
      <c r="D148" s="507" t="s">
        <v>4723</v>
      </c>
      <c r="E148" s="506"/>
      <c r="F148" s="516"/>
      <c r="G148" s="517"/>
      <c r="H148" s="517"/>
      <c r="I148" s="516"/>
      <c r="J148" s="516"/>
      <c r="K148" s="516"/>
      <c r="L148" s="516"/>
      <c r="M148" s="516"/>
    </row>
    <row r="149" spans="1:13" ht="15" thickBot="1" x14ac:dyDescent="0.4">
      <c r="A149" s="501"/>
      <c r="B149" s="154" t="s">
        <v>4701</v>
      </c>
      <c r="C149" s="508">
        <f>+$I$309</f>
        <v>0.94</v>
      </c>
      <c r="D149" s="507" t="s">
        <v>1901</v>
      </c>
      <c r="E149" s="510"/>
      <c r="F149" s="520"/>
      <c r="G149" s="521"/>
      <c r="H149" s="521"/>
      <c r="I149" s="520"/>
      <c r="J149" s="520"/>
      <c r="K149" s="520"/>
      <c r="L149" s="520"/>
      <c r="M149" s="520"/>
    </row>
    <row r="150" spans="1:13" ht="15" thickBot="1" x14ac:dyDescent="0.4">
      <c r="A150" s="501"/>
      <c r="B150" s="154" t="s">
        <v>4703</v>
      </c>
      <c r="C150" s="509">
        <f>+$I$320</f>
        <v>1.6</v>
      </c>
      <c r="D150" s="507" t="s">
        <v>4724</v>
      </c>
      <c r="E150" s="506"/>
      <c r="F150" s="516"/>
      <c r="G150" s="517"/>
      <c r="H150" s="517"/>
      <c r="I150" s="516"/>
      <c r="J150" s="516"/>
      <c r="K150" s="516"/>
      <c r="L150" s="516"/>
      <c r="M150" s="516"/>
    </row>
    <row r="151" spans="1:13" ht="15" thickBot="1" x14ac:dyDescent="0.4">
      <c r="A151" s="501"/>
      <c r="B151" s="154" t="s">
        <v>4704</v>
      </c>
      <c r="C151" s="509">
        <f>+$L$299</f>
        <v>2.56</v>
      </c>
      <c r="D151" s="507" t="s">
        <v>4725</v>
      </c>
      <c r="E151" s="506"/>
      <c r="F151" s="520"/>
      <c r="G151" s="521"/>
      <c r="H151" s="521"/>
      <c r="I151" s="520"/>
      <c r="J151" s="520"/>
      <c r="K151" s="520"/>
      <c r="L151" s="520"/>
      <c r="M151" s="520"/>
    </row>
    <row r="152" spans="1:13" ht="15" thickBot="1" x14ac:dyDescent="0.4">
      <c r="A152" s="501"/>
      <c r="B152" s="154" t="s">
        <v>4706</v>
      </c>
      <c r="C152" s="509">
        <v>2.1</v>
      </c>
      <c r="D152" s="507" t="s">
        <v>4725</v>
      </c>
      <c r="E152" s="506"/>
      <c r="F152" s="507"/>
      <c r="G152" s="505"/>
      <c r="H152" s="505"/>
      <c r="I152" s="507"/>
      <c r="J152" s="507"/>
      <c r="K152" s="507"/>
      <c r="L152" s="507"/>
      <c r="M152" s="507"/>
    </row>
    <row r="153" spans="1:13" ht="15" thickBot="1" x14ac:dyDescent="0.4">
      <c r="A153" s="501"/>
      <c r="B153" s="154">
        <v>365.25</v>
      </c>
      <c r="C153" s="509">
        <v>365.25</v>
      </c>
      <c r="D153" s="505" t="s">
        <v>4109</v>
      </c>
      <c r="E153" s="507"/>
      <c r="F153" s="507"/>
      <c r="G153" s="505"/>
      <c r="H153" s="505"/>
      <c r="I153" s="507"/>
      <c r="J153" s="507"/>
      <c r="K153" s="507"/>
      <c r="L153" s="507"/>
      <c r="M153" s="507"/>
    </row>
    <row r="154" spans="1:13" ht="15" thickBot="1" x14ac:dyDescent="0.4">
      <c r="A154" s="501"/>
      <c r="B154" s="154" t="s">
        <v>3826</v>
      </c>
      <c r="C154" s="522">
        <f>+$L$306</f>
        <v>0.9</v>
      </c>
      <c r="D154" s="505" t="s">
        <v>4726</v>
      </c>
      <c r="E154" s="507"/>
    </row>
    <row r="155" spans="1:13" ht="15" thickBot="1" x14ac:dyDescent="0.4">
      <c r="A155" s="501"/>
      <c r="B155" s="154" t="s">
        <v>4727</v>
      </c>
      <c r="C155" s="524">
        <f>+$L$320</f>
        <v>2.83</v>
      </c>
      <c r="D155" s="505" t="s">
        <v>3871</v>
      </c>
      <c r="E155" s="507"/>
      <c r="F155" s="496"/>
      <c r="G155" s="496"/>
      <c r="H155" s="497"/>
      <c r="I155" s="496"/>
      <c r="J155" s="380"/>
      <c r="K155" s="380"/>
      <c r="L155" s="380"/>
      <c r="M155" s="381"/>
    </row>
    <row r="156" spans="1:13" ht="15" thickBot="1" x14ac:dyDescent="0.4">
      <c r="A156" s="501"/>
      <c r="B156" s="62" t="s">
        <v>4728</v>
      </c>
      <c r="C156" s="1258">
        <f>+$L$321</f>
        <v>1.5</v>
      </c>
      <c r="D156" s="507" t="s">
        <v>3871</v>
      </c>
      <c r="E156" s="507"/>
      <c r="F156" s="500"/>
      <c r="G156" s="161"/>
      <c r="H156" s="161"/>
      <c r="I156" s="161"/>
      <c r="J156" s="161"/>
      <c r="K156" s="161"/>
      <c r="L156" s="161"/>
      <c r="M156" s="163"/>
    </row>
    <row r="157" spans="1:13" x14ac:dyDescent="0.35">
      <c r="A157" s="501"/>
      <c r="B157" s="493" t="s">
        <v>4712</v>
      </c>
      <c r="C157" s="2787">
        <v>3.8E-3</v>
      </c>
      <c r="D157" s="516" t="s">
        <v>1927</v>
      </c>
      <c r="E157" s="516"/>
      <c r="F157" s="496"/>
      <c r="G157" s="496"/>
      <c r="H157" s="497"/>
      <c r="I157" s="496"/>
      <c r="J157" s="380"/>
      <c r="K157" s="380"/>
      <c r="L157" s="380"/>
      <c r="M157" s="381"/>
    </row>
    <row r="158" spans="1:13" ht="15" thickBot="1" x14ac:dyDescent="0.4">
      <c r="A158" s="501"/>
      <c r="B158" s="518"/>
      <c r="C158" s="519"/>
      <c r="D158" s="520" t="s">
        <v>4729</v>
      </c>
      <c r="E158" s="520"/>
      <c r="F158" s="500"/>
      <c r="G158" s="161"/>
      <c r="H158" s="161"/>
      <c r="I158" s="161"/>
      <c r="J158" s="161"/>
      <c r="K158" s="161"/>
      <c r="L158" s="161"/>
      <c r="M158" s="163"/>
    </row>
    <row r="159" spans="1:13" x14ac:dyDescent="0.35">
      <c r="A159" s="501"/>
      <c r="B159" s="493" t="s">
        <v>4715</v>
      </c>
      <c r="C159" s="2649">
        <v>4.4000000000000003E-3</v>
      </c>
      <c r="D159" s="516" t="s">
        <v>1927</v>
      </c>
      <c r="E159" s="516"/>
      <c r="F159" s="1257"/>
      <c r="G159" s="69"/>
      <c r="H159" s="69"/>
      <c r="I159" s="69"/>
      <c r="J159" s="69"/>
      <c r="K159" s="69"/>
      <c r="L159" s="69"/>
      <c r="M159" s="69"/>
    </row>
    <row r="160" spans="1:13" ht="15" thickBot="1" x14ac:dyDescent="0.4">
      <c r="A160" s="501"/>
      <c r="B160" s="518"/>
      <c r="C160" s="519"/>
      <c r="D160" s="520" t="s">
        <v>4729</v>
      </c>
      <c r="E160" s="520"/>
      <c r="G160"/>
      <c r="H160"/>
    </row>
    <row r="161" spans="1:13" ht="15" thickBot="1" x14ac:dyDescent="0.4">
      <c r="A161" s="501"/>
      <c r="B161" s="154" t="s">
        <v>4717</v>
      </c>
      <c r="C161" s="522"/>
      <c r="D161" s="507" t="s">
        <v>4016</v>
      </c>
      <c r="E161" s="507"/>
      <c r="G161"/>
      <c r="H161"/>
    </row>
    <row r="162" spans="1:13" ht="15" thickBot="1" x14ac:dyDescent="0.4">
      <c r="A162" s="518"/>
      <c r="B162" s="154" t="s">
        <v>1580</v>
      </c>
      <c r="C162" s="509">
        <f>+$B$335</f>
        <v>0.61</v>
      </c>
      <c r="D162" s="507"/>
      <c r="E162" s="507"/>
      <c r="F162" s="63"/>
      <c r="G162" s="63"/>
      <c r="H162" s="63"/>
      <c r="I162" s="63"/>
      <c r="J162" s="63"/>
      <c r="K162" s="63"/>
      <c r="L162" s="63"/>
      <c r="M162" s="63"/>
    </row>
    <row r="163" spans="1:13" ht="15" thickBot="1" x14ac:dyDescent="0.4">
      <c r="A163" s="523"/>
      <c r="B163" s="523"/>
      <c r="F163" s="507"/>
      <c r="G163" s="507"/>
      <c r="H163" s="507"/>
      <c r="I163" s="507"/>
      <c r="J163" s="507"/>
      <c r="K163" s="507"/>
      <c r="L163" s="507"/>
      <c r="M163" s="507"/>
    </row>
    <row r="164" spans="1:13" ht="15" thickBot="1" x14ac:dyDescent="0.4">
      <c r="A164" s="493" t="s">
        <v>4730</v>
      </c>
      <c r="B164" s="380"/>
      <c r="C164" s="494"/>
      <c r="D164" s="494"/>
      <c r="E164" s="495"/>
      <c r="F164" s="507"/>
      <c r="G164" s="507"/>
      <c r="H164" s="507"/>
      <c r="I164" s="507"/>
      <c r="J164" s="507"/>
      <c r="K164" s="507"/>
      <c r="L164" s="507"/>
      <c r="M164" s="507"/>
    </row>
    <row r="165" spans="1:13" ht="15" thickBot="1" x14ac:dyDescent="0.4">
      <c r="A165" s="261"/>
      <c r="B165" s="161"/>
      <c r="C165" s="161"/>
      <c r="D165" s="498"/>
      <c r="E165" s="499"/>
      <c r="F165" s="507"/>
      <c r="G165" s="507"/>
      <c r="H165" s="507"/>
      <c r="I165" s="507"/>
      <c r="J165" s="507"/>
      <c r="K165" s="507"/>
      <c r="L165" s="507"/>
      <c r="M165" s="507"/>
    </row>
    <row r="166" spans="1:13" ht="15" thickBot="1" x14ac:dyDescent="0.4">
      <c r="A166" s="493" t="s">
        <v>4731</v>
      </c>
      <c r="B166" s="380"/>
      <c r="C166" s="494"/>
      <c r="D166" s="494"/>
      <c r="E166" s="495"/>
      <c r="F166" s="511"/>
      <c r="G166" s="512"/>
      <c r="H166" s="511"/>
      <c r="I166" s="511"/>
      <c r="J166" s="507"/>
      <c r="K166" s="507"/>
      <c r="L166" s="507"/>
      <c r="M166" s="507"/>
    </row>
    <row r="167" spans="1:13" ht="15" thickBot="1" x14ac:dyDescent="0.4">
      <c r="A167" s="261"/>
      <c r="B167" s="161"/>
      <c r="C167" s="161"/>
      <c r="D167" s="498"/>
      <c r="E167" s="499"/>
      <c r="F167" s="507"/>
      <c r="G167" s="507"/>
      <c r="H167" s="507"/>
      <c r="I167" s="507"/>
      <c r="J167" s="507"/>
      <c r="K167" s="507"/>
      <c r="L167" s="507"/>
      <c r="M167" s="507"/>
    </row>
    <row r="168" spans="1:13" ht="15" thickBot="1" x14ac:dyDescent="0.4">
      <c r="A168" s="261"/>
      <c r="B168" s="1255" t="s">
        <v>4689</v>
      </c>
      <c r="C168" s="1256" t="s">
        <v>4690</v>
      </c>
      <c r="D168" s="461"/>
      <c r="E168" s="1196"/>
      <c r="F168" s="507"/>
      <c r="G168" s="507"/>
      <c r="H168" s="507"/>
      <c r="I168" s="507"/>
      <c r="J168" s="507"/>
      <c r="K168" s="507"/>
      <c r="L168" s="507"/>
      <c r="M168" s="507"/>
    </row>
    <row r="169" spans="1:13" ht="15" thickBot="1" x14ac:dyDescent="0.4">
      <c r="A169" s="154" t="s">
        <v>4732</v>
      </c>
      <c r="B169" s="2799">
        <f>+C172*((C173*C174-C175*C176)*C177*C179*C180/C181*C182)*C187</f>
        <v>5.6832081839999997</v>
      </c>
      <c r="C169" s="2799">
        <f>+C172*((C173*C174-C175*C176)*C178*C179*C180/C181*C184)*C187</f>
        <v>5.4908079069374995</v>
      </c>
      <c r="E169" s="446"/>
      <c r="F169" s="507"/>
      <c r="G169" s="507"/>
      <c r="H169" s="507"/>
      <c r="I169" s="507"/>
      <c r="J169" s="507"/>
      <c r="K169" s="507"/>
      <c r="L169" s="507"/>
      <c r="M169" s="507"/>
    </row>
    <row r="170" spans="1:13" ht="15" thickBot="1" x14ac:dyDescent="0.4">
      <c r="A170" s="154" t="s">
        <v>4733</v>
      </c>
      <c r="B170" s="524">
        <f>((C173*C174-C175*C176)*C177*C179*C180/C181)*C187</f>
        <v>1262.935152</v>
      </c>
      <c r="C170" s="524">
        <f>((C173*C174-C175*C176)*C178*C179*C180/C181)*C187</f>
        <v>1036.0014918749998</v>
      </c>
      <c r="E170" s="446"/>
      <c r="F170" s="507"/>
      <c r="G170" s="505"/>
      <c r="H170" s="505"/>
      <c r="I170" s="507"/>
      <c r="J170" s="507"/>
      <c r="K170" s="507"/>
      <c r="L170" s="507"/>
      <c r="M170" s="507"/>
    </row>
    <row r="171" spans="1:13" ht="15" thickBot="1" x14ac:dyDescent="0.4">
      <c r="A171" s="62"/>
      <c r="B171" s="63" t="s">
        <v>4695</v>
      </c>
      <c r="C171" s="502" t="s">
        <v>4696</v>
      </c>
      <c r="D171" s="63" t="s">
        <v>4697</v>
      </c>
      <c r="E171" s="503"/>
      <c r="F171" s="507"/>
      <c r="G171" s="505"/>
      <c r="H171" s="505"/>
      <c r="I171" s="507"/>
      <c r="J171" s="507"/>
      <c r="K171" s="507"/>
      <c r="L171" s="507"/>
      <c r="M171" s="507"/>
    </row>
    <row r="172" spans="1:13" ht="15" thickBot="1" x14ac:dyDescent="0.4">
      <c r="A172" s="493" t="s">
        <v>4698</v>
      </c>
      <c r="B172" s="154" t="s">
        <v>4699</v>
      </c>
      <c r="C172" s="504">
        <f>+$I$300</f>
        <v>1</v>
      </c>
      <c r="D172" s="505" t="s">
        <v>3888</v>
      </c>
      <c r="E172" s="506"/>
      <c r="F172" s="507"/>
      <c r="G172" s="505"/>
      <c r="H172" s="505"/>
      <c r="I172" s="507"/>
      <c r="J172" s="507"/>
      <c r="K172" s="507"/>
      <c r="L172" s="507"/>
      <c r="M172" s="507"/>
    </row>
    <row r="173" spans="1:13" ht="15" thickBot="1" x14ac:dyDescent="0.4">
      <c r="A173" s="501"/>
      <c r="B173" s="154" t="s">
        <v>4700</v>
      </c>
      <c r="C173" s="508">
        <v>1.63</v>
      </c>
      <c r="D173" s="507" t="s">
        <v>4722</v>
      </c>
      <c r="E173" s="506"/>
      <c r="F173" s="516"/>
      <c r="G173" s="517"/>
      <c r="H173" s="517"/>
      <c r="I173" s="516"/>
      <c r="J173" s="516"/>
      <c r="K173" s="516"/>
      <c r="L173" s="516"/>
      <c r="M173" s="516"/>
    </row>
    <row r="174" spans="1:13" ht="15" thickBot="1" x14ac:dyDescent="0.4">
      <c r="A174" s="501"/>
      <c r="B174" s="154" t="s">
        <v>1981</v>
      </c>
      <c r="C174" s="509">
        <f>+$I$313</f>
        <v>4.5</v>
      </c>
      <c r="D174" s="507" t="s">
        <v>4723</v>
      </c>
      <c r="E174" s="506"/>
      <c r="F174" s="520"/>
      <c r="G174" s="521"/>
      <c r="H174" s="521"/>
      <c r="I174" s="520"/>
      <c r="J174" s="520"/>
      <c r="K174" s="520"/>
      <c r="L174" s="520"/>
      <c r="M174" s="520"/>
    </row>
    <row r="175" spans="1:13" ht="15" thickBot="1" x14ac:dyDescent="0.4">
      <c r="A175" s="501"/>
      <c r="B175" s="154" t="s">
        <v>4701</v>
      </c>
      <c r="C175" s="508">
        <f>+$I$309</f>
        <v>0.94</v>
      </c>
      <c r="D175" s="507" t="s">
        <v>1901</v>
      </c>
      <c r="E175" s="510"/>
      <c r="F175" s="516"/>
      <c r="G175" s="517"/>
      <c r="H175" s="517"/>
      <c r="I175" s="516"/>
      <c r="J175" s="516"/>
      <c r="K175" s="516"/>
      <c r="L175" s="516"/>
      <c r="M175" s="516"/>
    </row>
    <row r="176" spans="1:13" ht="15" thickBot="1" x14ac:dyDescent="0.4">
      <c r="A176" s="501"/>
      <c r="B176" s="154" t="s">
        <v>4703</v>
      </c>
      <c r="C176" s="509">
        <f>+$I$319</f>
        <v>4.5</v>
      </c>
      <c r="D176" s="507" t="s">
        <v>4724</v>
      </c>
      <c r="E176" s="506"/>
      <c r="F176" s="520"/>
      <c r="G176" s="521"/>
      <c r="H176" s="521"/>
      <c r="I176" s="520"/>
      <c r="J176" s="520"/>
      <c r="K176" s="520"/>
      <c r="L176" s="520"/>
      <c r="M176" s="520"/>
    </row>
    <row r="177" spans="1:14" ht="15" thickBot="1" x14ac:dyDescent="0.4">
      <c r="A177" s="501"/>
      <c r="B177" s="154" t="s">
        <v>4704</v>
      </c>
      <c r="C177" s="509">
        <f>+$L$299</f>
        <v>2.56</v>
      </c>
      <c r="D177" s="507" t="s">
        <v>4725</v>
      </c>
      <c r="E177" s="506"/>
      <c r="F177" s="507"/>
      <c r="G177" s="505"/>
      <c r="H177" s="505"/>
      <c r="I177" s="507"/>
      <c r="J177" s="507"/>
      <c r="K177" s="507"/>
      <c r="L177" s="507"/>
      <c r="M177" s="507"/>
    </row>
    <row r="178" spans="1:14" ht="15" thickBot="1" x14ac:dyDescent="0.4">
      <c r="A178" s="501"/>
      <c r="B178" s="154" t="s">
        <v>4706</v>
      </c>
      <c r="C178" s="509">
        <f>+$L$300</f>
        <v>2.1</v>
      </c>
      <c r="D178" s="507" t="s">
        <v>4725</v>
      </c>
      <c r="E178" s="506"/>
      <c r="F178" s="507"/>
      <c r="G178" s="505"/>
      <c r="H178" s="505"/>
      <c r="I178" s="507"/>
      <c r="J178" s="507"/>
      <c r="K178" s="507"/>
      <c r="L178" s="507"/>
      <c r="M178" s="507"/>
    </row>
    <row r="179" spans="1:14" ht="15" thickBot="1" x14ac:dyDescent="0.4">
      <c r="A179" s="501"/>
      <c r="B179" s="154">
        <v>365.25</v>
      </c>
      <c r="C179" s="509">
        <v>365.25</v>
      </c>
      <c r="D179" s="505" t="s">
        <v>4109</v>
      </c>
      <c r="E179" s="507"/>
    </row>
    <row r="180" spans="1:14" ht="15" thickBot="1" x14ac:dyDescent="0.4">
      <c r="A180" s="501"/>
      <c r="B180" s="154" t="s">
        <v>3826</v>
      </c>
      <c r="C180" s="522">
        <f>+$L$305</f>
        <v>0.75</v>
      </c>
      <c r="D180" s="505" t="s">
        <v>4726</v>
      </c>
      <c r="E180" s="507"/>
      <c r="F180" s="496"/>
      <c r="G180" s="496"/>
      <c r="H180" s="497"/>
      <c r="I180" s="496"/>
      <c r="J180" s="380"/>
      <c r="K180" s="380"/>
      <c r="L180" s="380"/>
      <c r="M180" s="380"/>
      <c r="N180" s="381"/>
    </row>
    <row r="181" spans="1:14" ht="15" thickBot="1" x14ac:dyDescent="0.4">
      <c r="A181" s="501"/>
      <c r="B181" s="154" t="s">
        <v>3827</v>
      </c>
      <c r="C181" s="524">
        <f>+$L$319</f>
        <v>1</v>
      </c>
      <c r="D181" s="505" t="s">
        <v>3871</v>
      </c>
      <c r="E181" s="507"/>
      <c r="F181" s="500"/>
      <c r="G181" s="161"/>
      <c r="H181" s="161"/>
      <c r="I181" s="161"/>
      <c r="J181" s="161"/>
      <c r="K181" s="161"/>
      <c r="L181" s="161"/>
      <c r="M181" s="161"/>
      <c r="N181" s="163"/>
    </row>
    <row r="182" spans="1:14" ht="15" thickBot="1" x14ac:dyDescent="0.4">
      <c r="A182" s="501"/>
      <c r="B182" s="493" t="s">
        <v>1876</v>
      </c>
      <c r="C182" s="2649">
        <v>4.4999999999999997E-3</v>
      </c>
      <c r="D182" s="516" t="s">
        <v>1927</v>
      </c>
      <c r="E182" s="516"/>
      <c r="F182" s="500"/>
      <c r="G182" s="161"/>
      <c r="H182" s="161"/>
      <c r="I182" s="161"/>
      <c r="J182" s="161"/>
      <c r="K182" s="161"/>
      <c r="L182" s="161"/>
      <c r="M182" s="161"/>
      <c r="N182" s="163"/>
    </row>
    <row r="183" spans="1:14" ht="15" thickBot="1" x14ac:dyDescent="0.4">
      <c r="A183" s="501"/>
      <c r="B183" s="518"/>
      <c r="C183" s="519"/>
      <c r="D183" s="520" t="s">
        <v>4729</v>
      </c>
      <c r="E183" s="520"/>
      <c r="F183" s="500"/>
      <c r="G183" s="161"/>
      <c r="H183" s="161"/>
      <c r="I183" s="161"/>
      <c r="J183" s="161"/>
      <c r="K183" s="161"/>
      <c r="L183" s="161"/>
      <c r="M183" s="161"/>
      <c r="N183" s="163"/>
    </row>
    <row r="184" spans="1:14" ht="15" thickBot="1" x14ac:dyDescent="0.4">
      <c r="A184" s="501"/>
      <c r="B184" s="493" t="s">
        <v>1876</v>
      </c>
      <c r="C184" s="2649">
        <v>5.3E-3</v>
      </c>
      <c r="D184" s="516" t="s">
        <v>1927</v>
      </c>
      <c r="E184" s="516"/>
      <c r="F184" s="500"/>
      <c r="G184" s="161"/>
      <c r="H184" s="161"/>
      <c r="I184" s="161"/>
      <c r="J184" s="161"/>
      <c r="K184" s="161"/>
      <c r="L184" s="161"/>
      <c r="M184" s="161"/>
      <c r="N184" s="163"/>
    </row>
    <row r="185" spans="1:14" ht="15" thickBot="1" x14ac:dyDescent="0.4">
      <c r="A185" s="501"/>
      <c r="B185" s="518"/>
      <c r="C185" s="519"/>
      <c r="D185" s="520" t="s">
        <v>4729</v>
      </c>
      <c r="E185" s="520"/>
      <c r="F185" s="507"/>
      <c r="G185" s="507"/>
      <c r="H185" s="507"/>
      <c r="I185" s="507"/>
      <c r="J185" s="507"/>
      <c r="K185" s="507"/>
      <c r="L185" s="507"/>
      <c r="M185" s="507"/>
      <c r="N185" s="535"/>
    </row>
    <row r="186" spans="1:14" ht="15" thickBot="1" x14ac:dyDescent="0.4">
      <c r="A186" s="501"/>
      <c r="B186" s="154" t="s">
        <v>4717</v>
      </c>
      <c r="C186" s="522"/>
      <c r="D186" s="507" t="s">
        <v>4016</v>
      </c>
      <c r="E186" s="507"/>
      <c r="F186" s="507"/>
      <c r="G186" s="507"/>
      <c r="H186" s="507"/>
      <c r="I186" s="507"/>
      <c r="J186" s="507"/>
      <c r="K186" s="507"/>
      <c r="L186" s="507"/>
      <c r="M186" s="507"/>
      <c r="N186" s="535"/>
    </row>
    <row r="187" spans="1:14" ht="15" thickBot="1" x14ac:dyDescent="0.4">
      <c r="A187" s="518"/>
      <c r="B187" s="154" t="s">
        <v>1580</v>
      </c>
      <c r="C187" s="509">
        <f>+$B$334</f>
        <v>0.57999999999999996</v>
      </c>
      <c r="D187" s="507"/>
      <c r="E187" s="507"/>
      <c r="F187" s="507"/>
      <c r="G187" s="507"/>
      <c r="H187" s="507"/>
      <c r="I187" s="507"/>
      <c r="J187" s="507"/>
      <c r="K187" s="507"/>
      <c r="L187" s="507"/>
      <c r="M187" s="507"/>
      <c r="N187" s="535"/>
    </row>
    <row r="188" spans="1:14" ht="15" thickBot="1" x14ac:dyDescent="0.4">
      <c r="A188" s="523"/>
      <c r="B188" s="523"/>
      <c r="F188" s="507"/>
      <c r="G188" s="507"/>
      <c r="H188" s="507"/>
      <c r="I188" s="507"/>
      <c r="J188" s="507"/>
      <c r="K188" s="507"/>
      <c r="L188" s="507"/>
      <c r="M188" s="507"/>
      <c r="N188" s="535"/>
    </row>
    <row r="189" spans="1:14" ht="19" thickBot="1" x14ac:dyDescent="0.5">
      <c r="A189" s="493" t="s">
        <v>4734</v>
      </c>
      <c r="B189" s="1259" t="s">
        <v>4735</v>
      </c>
      <c r="C189" s="494"/>
      <c r="D189" s="494"/>
      <c r="E189" s="495"/>
      <c r="F189" s="507"/>
      <c r="G189" s="507"/>
      <c r="H189" s="507"/>
      <c r="I189" s="507"/>
      <c r="J189" s="507"/>
      <c r="K189" s="507"/>
      <c r="L189" s="507"/>
      <c r="M189" s="507"/>
      <c r="N189" s="535"/>
    </row>
    <row r="190" spans="1:14" ht="19" thickBot="1" x14ac:dyDescent="0.5">
      <c r="A190" s="261"/>
      <c r="B190" s="1259" t="s">
        <v>4736</v>
      </c>
      <c r="C190" s="161"/>
      <c r="D190" s="498"/>
      <c r="E190" s="499"/>
      <c r="F190" s="507"/>
      <c r="G190" s="507"/>
      <c r="H190" s="507"/>
      <c r="I190" s="507"/>
      <c r="J190" s="507"/>
      <c r="K190" s="507"/>
      <c r="L190" s="507"/>
      <c r="M190" s="507"/>
      <c r="N190" s="535"/>
    </row>
    <row r="191" spans="1:14" ht="15" thickBot="1" x14ac:dyDescent="0.4">
      <c r="A191" s="99"/>
      <c r="B191" s="1255" t="s">
        <v>4689</v>
      </c>
      <c r="C191" s="1255" t="s">
        <v>4690</v>
      </c>
      <c r="D191" s="498"/>
      <c r="E191" s="499"/>
      <c r="F191" s="507"/>
      <c r="G191" s="507"/>
      <c r="H191" s="507"/>
      <c r="I191" s="507"/>
      <c r="J191" s="507"/>
      <c r="K191" s="507"/>
      <c r="L191" s="507"/>
      <c r="M191" s="507"/>
      <c r="N191" s="535"/>
    </row>
    <row r="192" spans="1:14" ht="15" thickBot="1" x14ac:dyDescent="0.4">
      <c r="A192" s="501" t="s">
        <v>4737</v>
      </c>
      <c r="B192" s="2798">
        <f>+C194*C195*(C196-C197)*C198*C200*C201*C202*C203</f>
        <v>3.9736353401625593</v>
      </c>
      <c r="C192" s="2798">
        <f>+C194*C195*(C196-C197)*C199*C200*C201*C202*C204</f>
        <v>3.7937881051874998</v>
      </c>
      <c r="D192" s="1261"/>
      <c r="E192" s="164"/>
      <c r="F192" s="507"/>
      <c r="G192" s="507"/>
      <c r="H192" s="507"/>
      <c r="I192" s="507"/>
      <c r="J192" s="507"/>
      <c r="K192" s="507"/>
      <c r="L192" s="507"/>
      <c r="M192" s="507"/>
      <c r="N192" s="535"/>
    </row>
    <row r="193" spans="1:23" ht="15" thickBot="1" x14ac:dyDescent="0.4">
      <c r="A193" s="501" t="s">
        <v>4738</v>
      </c>
      <c r="B193" s="2786">
        <f>C195*(C196-C197)*C198*C200*C201*C202</f>
        <v>739.96933708799986</v>
      </c>
      <c r="C193" s="2786">
        <f>C195*(C196-C197)*C199*C200*C201*C202</f>
        <v>607.00609682999993</v>
      </c>
      <c r="D193" s="1261"/>
      <c r="E193" s="164"/>
      <c r="F193" s="507"/>
      <c r="G193" s="507"/>
      <c r="H193" s="507"/>
      <c r="I193" s="507"/>
      <c r="J193" s="507"/>
      <c r="K193" s="507"/>
      <c r="L193" s="507"/>
      <c r="M193" s="507"/>
      <c r="N193" s="535"/>
    </row>
    <row r="194" spans="1:23" ht="15" thickBot="1" x14ac:dyDescent="0.4">
      <c r="A194" s="493" t="s">
        <v>4698</v>
      </c>
      <c r="B194" s="154" t="s">
        <v>3828</v>
      </c>
      <c r="C194" s="1262">
        <v>1</v>
      </c>
      <c r="D194" s="505" t="s">
        <v>4071</v>
      </c>
      <c r="E194" s="506"/>
      <c r="F194" s="507"/>
      <c r="G194" s="507"/>
      <c r="H194" s="507"/>
      <c r="I194" s="507"/>
      <c r="J194" s="507"/>
      <c r="K194" s="507"/>
      <c r="L194" s="507"/>
      <c r="M194" s="507"/>
      <c r="N194" s="535"/>
    </row>
    <row r="195" spans="1:23" ht="15" thickBot="1" x14ac:dyDescent="0.4">
      <c r="A195" s="501"/>
      <c r="B195" s="154" t="s">
        <v>4035</v>
      </c>
      <c r="C195" s="542">
        <v>1.93</v>
      </c>
      <c r="D195" s="505" t="s">
        <v>4739</v>
      </c>
      <c r="E195" s="506"/>
      <c r="F195" s="507"/>
      <c r="G195" s="507"/>
      <c r="H195" s="507"/>
      <c r="I195" s="507"/>
      <c r="J195" s="507"/>
      <c r="K195" s="507"/>
      <c r="L195" s="507"/>
      <c r="M195" s="507"/>
      <c r="N195" s="535"/>
    </row>
    <row r="196" spans="1:23" ht="15" thickBot="1" x14ac:dyDescent="0.4">
      <c r="A196" s="501"/>
      <c r="B196" s="154" t="s">
        <v>4740</v>
      </c>
      <c r="C196" s="508">
        <v>7.8</v>
      </c>
      <c r="D196" s="507" t="s">
        <v>4741</v>
      </c>
      <c r="E196" s="506"/>
      <c r="F196" s="507"/>
      <c r="G196" s="507"/>
      <c r="H196" s="507"/>
      <c r="I196" s="507"/>
      <c r="J196" s="507"/>
      <c r="K196" s="507"/>
      <c r="L196" s="507"/>
      <c r="M196" s="507"/>
      <c r="N196" s="535"/>
    </row>
    <row r="197" spans="1:23" ht="15" thickBot="1" x14ac:dyDescent="0.4">
      <c r="A197" s="501"/>
      <c r="B197" s="154" t="s">
        <v>4036</v>
      </c>
      <c r="C197" s="508">
        <v>5.79</v>
      </c>
      <c r="D197" s="507" t="s">
        <v>4742</v>
      </c>
      <c r="E197" s="506"/>
    </row>
    <row r="198" spans="1:23" ht="15" thickBot="1" x14ac:dyDescent="0.4">
      <c r="A198" s="501"/>
      <c r="B198" s="154" t="s">
        <v>4704</v>
      </c>
      <c r="C198" s="509">
        <f>+$L$299</f>
        <v>2.56</v>
      </c>
      <c r="D198" s="505" t="s">
        <v>4743</v>
      </c>
      <c r="E198" s="506"/>
    </row>
    <row r="199" spans="1:23" ht="15" thickBot="1" x14ac:dyDescent="0.4">
      <c r="A199" s="501"/>
      <c r="B199" s="154" t="s">
        <v>4706</v>
      </c>
      <c r="C199" s="509">
        <f>+$L$300</f>
        <v>2.1</v>
      </c>
      <c r="D199" s="505" t="s">
        <v>4743</v>
      </c>
      <c r="E199" s="506"/>
      <c r="F199" s="526"/>
      <c r="G199" s="526"/>
      <c r="H199" s="526"/>
      <c r="I199" s="526"/>
      <c r="J199" s="526"/>
      <c r="K199" s="526"/>
      <c r="L199" s="526"/>
      <c r="M199" s="526"/>
      <c r="N199" s="527"/>
    </row>
    <row r="200" spans="1:23" ht="15" thickBot="1" x14ac:dyDescent="0.4">
      <c r="A200" s="513"/>
      <c r="B200" s="154" t="s">
        <v>4037</v>
      </c>
      <c r="C200" s="508">
        <v>365.25</v>
      </c>
      <c r="D200" s="505" t="s">
        <v>4744</v>
      </c>
      <c r="E200" s="506"/>
    </row>
    <row r="201" spans="1:23" ht="15" thickBot="1" x14ac:dyDescent="0.4">
      <c r="A201" s="513"/>
      <c r="B201" s="154" t="s">
        <v>3936</v>
      </c>
      <c r="C201" s="508">
        <v>0.6</v>
      </c>
      <c r="D201" s="505" t="s">
        <v>4745</v>
      </c>
      <c r="E201" s="506"/>
      <c r="F201" s="496"/>
      <c r="G201" s="496"/>
      <c r="H201" s="497"/>
      <c r="I201" s="496"/>
      <c r="J201" s="380"/>
      <c r="K201" s="380"/>
      <c r="L201" s="380"/>
      <c r="M201" s="380"/>
      <c r="N201" s="381"/>
    </row>
    <row r="202" spans="1:23" ht="15" thickBot="1" x14ac:dyDescent="0.4">
      <c r="A202" s="513"/>
      <c r="B202" s="154" t="s">
        <v>4038</v>
      </c>
      <c r="C202" s="508">
        <v>0.34</v>
      </c>
      <c r="D202" s="505" t="s">
        <v>4746</v>
      </c>
      <c r="E202" s="506"/>
      <c r="F202" s="500"/>
      <c r="G202" s="161"/>
      <c r="H202" s="161"/>
      <c r="I202" s="161"/>
      <c r="J202" s="161"/>
      <c r="K202" s="161"/>
      <c r="L202" s="161"/>
      <c r="M202" s="161"/>
      <c r="N202" s="163"/>
    </row>
    <row r="203" spans="1:23" ht="15" thickBot="1" x14ac:dyDescent="0.4">
      <c r="A203" s="513"/>
      <c r="B203" s="154" t="s">
        <v>4747</v>
      </c>
      <c r="C203" s="2797">
        <v>5.3699999999999998E-3</v>
      </c>
      <c r="D203" s="505" t="s">
        <v>4748</v>
      </c>
      <c r="E203" s="506"/>
      <c r="F203" s="496"/>
      <c r="G203" s="496"/>
      <c r="H203" s="497"/>
      <c r="I203" s="496"/>
      <c r="J203" s="380"/>
      <c r="K203" s="380"/>
      <c r="L203" s="380"/>
      <c r="M203" s="380"/>
      <c r="N203" s="381"/>
    </row>
    <row r="204" spans="1:23" ht="15" thickBot="1" x14ac:dyDescent="0.4">
      <c r="A204" s="513"/>
      <c r="B204" s="154" t="s">
        <v>4749</v>
      </c>
      <c r="C204" s="2797">
        <v>6.2500000000000003E-3</v>
      </c>
      <c r="D204" s="505" t="s">
        <v>4748</v>
      </c>
      <c r="E204" s="506"/>
      <c r="F204" s="500"/>
      <c r="G204" s="161"/>
      <c r="H204" s="161"/>
      <c r="I204" s="161"/>
      <c r="J204" s="161"/>
      <c r="K204" s="161"/>
      <c r="L204" s="161"/>
      <c r="M204" s="161"/>
      <c r="N204" s="163"/>
    </row>
    <row r="205" spans="1:23" ht="15" thickBot="1" x14ac:dyDescent="0.4">
      <c r="A205" s="513"/>
      <c r="B205" s="154" t="s">
        <v>1431</v>
      </c>
      <c r="C205" s="1264">
        <v>2</v>
      </c>
      <c r="D205" s="505" t="s">
        <v>4750</v>
      </c>
      <c r="E205" s="506"/>
      <c r="F205" s="1257"/>
      <c r="G205" s="69"/>
      <c r="H205" s="69"/>
      <c r="I205" s="69"/>
      <c r="J205" s="69"/>
      <c r="K205" s="69"/>
      <c r="L205" s="69"/>
      <c r="M205" s="69"/>
      <c r="N205" s="69"/>
    </row>
    <row r="206" spans="1:23" x14ac:dyDescent="0.35">
      <c r="A206" s="523"/>
      <c r="B206" s="523"/>
      <c r="G206"/>
      <c r="H206"/>
    </row>
    <row r="207" spans="1:23" ht="15" thickBot="1" x14ac:dyDescent="0.4">
      <c r="A207" s="523"/>
      <c r="B207" s="523"/>
      <c r="G207"/>
      <c r="H207"/>
      <c r="R207" s="3438" t="s">
        <v>4751</v>
      </c>
      <c r="S207" s="3438"/>
      <c r="T207" s="3438"/>
      <c r="U207" s="3438"/>
      <c r="V207" s="3438"/>
      <c r="W207" s="3438"/>
    </row>
    <row r="208" spans="1:23" ht="15" thickBot="1" x14ac:dyDescent="0.4">
      <c r="A208" s="525" t="s">
        <v>4752</v>
      </c>
      <c r="B208" s="526"/>
      <c r="C208" s="526"/>
      <c r="D208" s="526"/>
      <c r="E208" s="526"/>
      <c r="F208" s="1269"/>
      <c r="G208" s="1266"/>
      <c r="H208" s="1266"/>
      <c r="I208" s="1266"/>
      <c r="J208" s="531"/>
      <c r="K208" s="531"/>
      <c r="L208" s="531"/>
      <c r="M208" s="531"/>
      <c r="N208" s="531"/>
      <c r="O208" s="534"/>
      <c r="R208" s="1270" t="s">
        <v>4753</v>
      </c>
      <c r="S208" s="2277" t="s">
        <v>4754</v>
      </c>
      <c r="T208" s="3439" t="s">
        <v>4695</v>
      </c>
      <c r="U208" s="3439" t="s">
        <v>2589</v>
      </c>
      <c r="V208" s="3439" t="s">
        <v>4755</v>
      </c>
      <c r="W208" s="3441" t="s">
        <v>4756</v>
      </c>
    </row>
    <row r="209" spans="1:23" ht="15" thickBot="1" x14ac:dyDescent="0.4">
      <c r="F209" s="506"/>
      <c r="G209" s="507"/>
      <c r="H209" s="507"/>
      <c r="I209" s="507"/>
      <c r="J209" s="507"/>
      <c r="K209" s="507"/>
      <c r="L209" s="507"/>
      <c r="M209" s="507"/>
      <c r="N209" s="507"/>
      <c r="O209" s="535"/>
      <c r="R209" s="1271" t="s">
        <v>4757</v>
      </c>
      <c r="S209" s="2278" t="s">
        <v>4758</v>
      </c>
      <c r="T209" s="3440"/>
      <c r="U209" s="3440"/>
      <c r="V209" s="3440"/>
      <c r="W209" s="3442"/>
    </row>
    <row r="210" spans="1:23" ht="26.5" thickBot="1" x14ac:dyDescent="0.4">
      <c r="A210" s="528" t="s">
        <v>4759</v>
      </c>
      <c r="B210" s="380"/>
      <c r="C210" s="494"/>
      <c r="D210" s="494"/>
      <c r="E210" s="495"/>
      <c r="F210" s="506"/>
      <c r="G210" s="507"/>
      <c r="H210" s="507"/>
      <c r="I210" s="507"/>
      <c r="J210" s="507"/>
      <c r="K210" s="507"/>
      <c r="L210" s="507"/>
      <c r="M210" s="507"/>
      <c r="N210" s="507"/>
      <c r="O210" s="535"/>
      <c r="R210" s="1591">
        <v>0.75</v>
      </c>
      <c r="S210" s="1273">
        <v>0.84</v>
      </c>
      <c r="T210" s="1274" t="s">
        <v>1875</v>
      </c>
      <c r="U210" s="1275" t="s">
        <v>4760</v>
      </c>
      <c r="V210" s="1274" t="s">
        <v>105</v>
      </c>
      <c r="W210" s="1276" t="s">
        <v>3624</v>
      </c>
    </row>
    <row r="211" spans="1:23" ht="15" thickBot="1" x14ac:dyDescent="0.4">
      <c r="A211" s="261"/>
      <c r="B211" s="161"/>
      <c r="C211" s="161"/>
      <c r="D211" s="498"/>
      <c r="E211" s="499"/>
      <c r="F211" s="506"/>
      <c r="G211" s="507"/>
      <c r="H211" s="507"/>
      <c r="I211" s="507"/>
      <c r="J211" s="507"/>
      <c r="K211" s="507"/>
      <c r="L211" s="507"/>
      <c r="M211" s="507"/>
      <c r="N211" s="507"/>
      <c r="O211" s="535"/>
      <c r="R211" s="1272">
        <v>2.35</v>
      </c>
      <c r="S211" s="1277">
        <v>2.35</v>
      </c>
      <c r="T211" s="1278" t="s">
        <v>1872</v>
      </c>
      <c r="U211" s="1279" t="s">
        <v>4761</v>
      </c>
      <c r="V211" s="1278" t="s">
        <v>4762</v>
      </c>
      <c r="W211" s="1280" t="s">
        <v>4763</v>
      </c>
    </row>
    <row r="212" spans="1:23" ht="15" thickBot="1" x14ac:dyDescent="0.4">
      <c r="A212" s="528" t="s">
        <v>4764</v>
      </c>
      <c r="B212" s="380"/>
      <c r="C212" s="494"/>
      <c r="D212" s="494"/>
      <c r="E212" s="495"/>
      <c r="F212" s="510"/>
      <c r="G212" s="511"/>
      <c r="H212" s="512"/>
      <c r="I212" s="511"/>
      <c r="J212" s="511"/>
      <c r="K212" s="507"/>
      <c r="L212" s="507"/>
      <c r="M212" s="507"/>
      <c r="N212" s="507"/>
      <c r="O212" s="535"/>
      <c r="R212" s="1272">
        <v>1.5</v>
      </c>
      <c r="S212" s="1273">
        <v>1.5</v>
      </c>
      <c r="T212" s="1274" t="s">
        <v>1873</v>
      </c>
      <c r="U212" s="1275" t="s">
        <v>4765</v>
      </c>
      <c r="V212" s="1274" t="s">
        <v>1940</v>
      </c>
      <c r="W212" s="1276" t="s">
        <v>4763</v>
      </c>
    </row>
    <row r="213" spans="1:23" ht="15" thickBot="1" x14ac:dyDescent="0.4">
      <c r="A213" s="261"/>
      <c r="B213" s="161"/>
      <c r="C213" s="161"/>
      <c r="D213" s="498"/>
      <c r="E213" s="499"/>
      <c r="F213" s="506"/>
      <c r="G213" s="507"/>
      <c r="H213" s="507"/>
      <c r="I213" s="507"/>
      <c r="J213" s="507"/>
      <c r="K213" s="507"/>
      <c r="L213" s="507"/>
      <c r="M213" s="507"/>
      <c r="N213" s="507"/>
      <c r="O213" s="535"/>
      <c r="R213" s="1272">
        <v>7.8</v>
      </c>
      <c r="S213" s="1277">
        <v>7.8</v>
      </c>
      <c r="T213" s="1278" t="s">
        <v>1981</v>
      </c>
      <c r="U213" s="1279" t="s">
        <v>4761</v>
      </c>
      <c r="V213" s="1278" t="s">
        <v>4762</v>
      </c>
      <c r="W213" s="1280" t="s">
        <v>4763</v>
      </c>
    </row>
    <row r="214" spans="1:23" ht="15" thickBot="1" x14ac:dyDescent="0.4">
      <c r="A214" s="99"/>
      <c r="B214" s="1255" t="s">
        <v>4689</v>
      </c>
      <c r="C214" s="1256" t="s">
        <v>4690</v>
      </c>
      <c r="D214" s="461"/>
      <c r="E214" s="1196"/>
      <c r="F214" s="506"/>
      <c r="G214" s="507"/>
      <c r="H214" s="507"/>
      <c r="I214" s="507"/>
      <c r="J214" s="507"/>
      <c r="K214" s="507"/>
      <c r="L214" s="507"/>
      <c r="M214" s="507"/>
      <c r="N214" s="507"/>
      <c r="O214" s="535"/>
      <c r="R214" s="1272">
        <v>7.8</v>
      </c>
      <c r="S214" s="1273">
        <v>7.8</v>
      </c>
      <c r="T214" s="1274" t="s">
        <v>1982</v>
      </c>
      <c r="U214" s="1275" t="s">
        <v>4761</v>
      </c>
      <c r="V214" s="1274" t="s">
        <v>4762</v>
      </c>
      <c r="W214" s="1276" t="s">
        <v>4763</v>
      </c>
    </row>
    <row r="215" spans="1:23" ht="15" thickBot="1" x14ac:dyDescent="0.4">
      <c r="A215" s="529" t="s">
        <v>4766</v>
      </c>
      <c r="B215" s="2799">
        <f>+C218*((C219*C220-C221*C222)*C223*C224*C225/C226)*C227*$C$230</f>
        <v>5.908833233974863</v>
      </c>
      <c r="C215" s="2805">
        <f>+D218*((D219*D220-D221*D222)*D223*D224*D225/D226)*D227*$D$230</f>
        <v>9.8648465895000044</v>
      </c>
      <c r="E215" s="446"/>
      <c r="F215" s="515"/>
      <c r="G215" s="273"/>
      <c r="H215" s="273"/>
      <c r="I215" s="273"/>
      <c r="J215" s="273"/>
      <c r="K215" s="273"/>
      <c r="L215" s="273"/>
      <c r="M215" s="273"/>
      <c r="N215" s="273"/>
      <c r="O215" s="537"/>
      <c r="R215" s="1272">
        <v>365.25</v>
      </c>
      <c r="S215" s="1277">
        <v>365.25</v>
      </c>
      <c r="T215" s="1278" t="s">
        <v>4767</v>
      </c>
      <c r="U215" s="1279" t="s">
        <v>4761</v>
      </c>
      <c r="V215" s="1278" t="s">
        <v>4762</v>
      </c>
      <c r="W215" s="1280" t="s">
        <v>4763</v>
      </c>
    </row>
    <row r="216" spans="1:23" ht="26.5" thickBot="1" x14ac:dyDescent="0.4">
      <c r="A216" s="529" t="s">
        <v>4768</v>
      </c>
      <c r="B216" s="2786">
        <f>+((C219*C220-C221*C222)*C223*C224*C225/C226)*$C$230</f>
        <v>1458.9711688826822</v>
      </c>
      <c r="C216" s="2796">
        <f>+((D219*D220-D221*D222)*D223*D224*D225/D226)*$D$230</f>
        <v>2087.7982200000006</v>
      </c>
      <c r="E216" s="446"/>
      <c r="F216" s="507"/>
      <c r="G216" s="507"/>
      <c r="H216" s="505"/>
      <c r="I216" s="505"/>
      <c r="J216" s="507"/>
      <c r="K216" s="507"/>
      <c r="L216" s="507"/>
      <c r="M216" s="507"/>
      <c r="N216" s="507"/>
      <c r="O216" s="535"/>
      <c r="R216" s="1591">
        <v>4.7300000000000004</v>
      </c>
      <c r="S216" s="1273">
        <v>4.74</v>
      </c>
      <c r="T216" s="1274" t="s">
        <v>4704</v>
      </c>
      <c r="U216" s="1275" t="s">
        <v>4769</v>
      </c>
      <c r="V216" s="1274" t="s">
        <v>105</v>
      </c>
      <c r="W216" s="1276" t="s">
        <v>3624</v>
      </c>
    </row>
    <row r="217" spans="1:23" ht="29.5" thickBot="1" x14ac:dyDescent="0.4">
      <c r="A217" s="1265"/>
      <c r="B217" s="1266" t="s">
        <v>4695</v>
      </c>
      <c r="C217" s="1267" t="s">
        <v>4770</v>
      </c>
      <c r="D217" s="1268" t="s">
        <v>4771</v>
      </c>
      <c r="E217" s="1266" t="s">
        <v>4697</v>
      </c>
      <c r="F217" s="507"/>
      <c r="G217" s="507"/>
      <c r="H217" s="505"/>
      <c r="I217" s="505"/>
      <c r="J217" s="507"/>
      <c r="K217" s="507"/>
      <c r="L217" s="507"/>
      <c r="M217" s="507"/>
      <c r="N217" s="507"/>
      <c r="O217" s="535"/>
      <c r="R217" s="1591">
        <v>4.67</v>
      </c>
      <c r="S217" s="1277">
        <v>4.74</v>
      </c>
      <c r="T217" s="1278" t="s">
        <v>4706</v>
      </c>
      <c r="U217" s="1279" t="s">
        <v>4769</v>
      </c>
      <c r="V217" s="1278" t="s">
        <v>105</v>
      </c>
      <c r="W217" s="1280" t="s">
        <v>3624</v>
      </c>
    </row>
    <row r="218" spans="1:23" ht="15" thickBot="1" x14ac:dyDescent="0.4">
      <c r="A218" s="528" t="s">
        <v>4698</v>
      </c>
      <c r="B218" s="525" t="s">
        <v>4699</v>
      </c>
      <c r="C218" s="504">
        <v>0.75</v>
      </c>
      <c r="D218" s="504">
        <v>0.75</v>
      </c>
      <c r="E218" s="505" t="s">
        <v>4772</v>
      </c>
      <c r="F218" s="516"/>
      <c r="G218" s="516"/>
      <c r="H218" s="517"/>
      <c r="I218" s="517"/>
      <c r="J218" s="516"/>
      <c r="K218" s="516"/>
      <c r="L218" s="516"/>
      <c r="M218" s="516"/>
      <c r="N218" s="516"/>
      <c r="O218" s="538"/>
      <c r="R218" s="1272">
        <v>0.6</v>
      </c>
      <c r="S218" s="1273">
        <v>0.6</v>
      </c>
      <c r="T218" s="1274" t="s">
        <v>3936</v>
      </c>
      <c r="U218" s="1275" t="s">
        <v>4761</v>
      </c>
      <c r="V218" s="1274" t="s">
        <v>4762</v>
      </c>
      <c r="W218" s="1276" t="s">
        <v>4763</v>
      </c>
    </row>
    <row r="219" spans="1:23" ht="15" thickBot="1" x14ac:dyDescent="0.4">
      <c r="A219" s="529"/>
      <c r="B219" s="525" t="s">
        <v>4700</v>
      </c>
      <c r="C219" s="508">
        <v>2.35</v>
      </c>
      <c r="D219" s="508">
        <v>2.35</v>
      </c>
      <c r="E219" s="507" t="s">
        <v>1993</v>
      </c>
      <c r="F219" s="520"/>
      <c r="G219" s="520"/>
      <c r="H219" s="521"/>
      <c r="I219" s="521"/>
      <c r="J219" s="520"/>
      <c r="K219" s="520"/>
      <c r="L219" s="520"/>
      <c r="M219" s="520"/>
      <c r="N219" s="520"/>
      <c r="O219" s="540"/>
      <c r="R219" s="1272">
        <v>1.79</v>
      </c>
      <c r="S219" s="1277">
        <v>1.79</v>
      </c>
      <c r="T219" s="1278" t="s">
        <v>4709</v>
      </c>
      <c r="U219" s="1279" t="s">
        <v>4761</v>
      </c>
      <c r="V219" s="1278" t="s">
        <v>4762</v>
      </c>
      <c r="W219" s="1280" t="s">
        <v>4763</v>
      </c>
    </row>
    <row r="220" spans="1:23" ht="15" thickBot="1" x14ac:dyDescent="0.4">
      <c r="A220" s="529"/>
      <c r="B220" s="525" t="s">
        <v>1981</v>
      </c>
      <c r="C220" s="509">
        <f>+$B$326</f>
        <v>7.8</v>
      </c>
      <c r="D220" s="509">
        <f>+$B$326</f>
        <v>7.8</v>
      </c>
      <c r="E220" s="507" t="s">
        <v>1997</v>
      </c>
      <c r="F220" s="507"/>
      <c r="G220" s="507"/>
      <c r="H220" s="505"/>
      <c r="I220" s="505"/>
      <c r="J220" s="507"/>
      <c r="K220" s="507"/>
      <c r="L220" s="507"/>
      <c r="M220" s="507"/>
      <c r="N220" s="507"/>
      <c r="O220" s="535"/>
      <c r="R220" s="1272">
        <v>1.3</v>
      </c>
      <c r="S220" s="1273">
        <v>1.79</v>
      </c>
      <c r="T220" s="1274" t="s">
        <v>4711</v>
      </c>
      <c r="U220" s="1275" t="s">
        <v>4761</v>
      </c>
      <c r="V220" s="1274" t="s">
        <v>4762</v>
      </c>
      <c r="W220" s="1276" t="s">
        <v>4763</v>
      </c>
    </row>
    <row r="221" spans="1:23" ht="26.5" thickBot="1" x14ac:dyDescent="0.4">
      <c r="A221" s="529"/>
      <c r="B221" s="525" t="s">
        <v>4701</v>
      </c>
      <c r="C221" s="509">
        <f>+$A$321</f>
        <v>1.5</v>
      </c>
      <c r="D221" s="509">
        <f>+$A$321</f>
        <v>1.5</v>
      </c>
      <c r="E221" s="507" t="s">
        <v>4702</v>
      </c>
      <c r="F221" s="507"/>
      <c r="G221" s="507"/>
      <c r="H221" s="505"/>
      <c r="I221" s="505"/>
      <c r="J221" s="507"/>
      <c r="K221" s="507"/>
      <c r="L221" s="507"/>
      <c r="M221" s="507"/>
      <c r="N221" s="507"/>
      <c r="O221" s="535"/>
      <c r="R221" s="1591">
        <v>5.0099999999999997E-3</v>
      </c>
      <c r="S221" s="1277">
        <v>5.0099999999999997E-3</v>
      </c>
      <c r="T221" s="1278" t="s">
        <v>4773</v>
      </c>
      <c r="U221" s="1279" t="s">
        <v>4761</v>
      </c>
      <c r="V221" s="1278" t="s">
        <v>4762</v>
      </c>
      <c r="W221" s="1280" t="s">
        <v>4763</v>
      </c>
    </row>
    <row r="222" spans="1:23" ht="26.5" thickBot="1" x14ac:dyDescent="0.4">
      <c r="A222" s="529"/>
      <c r="B222" s="525" t="s">
        <v>4703</v>
      </c>
      <c r="C222" s="509">
        <f>+$B$327</f>
        <v>7.8</v>
      </c>
      <c r="D222" s="509">
        <f>+$B$327</f>
        <v>7.8</v>
      </c>
      <c r="E222" s="507" t="s">
        <v>3963</v>
      </c>
      <c r="R222" s="1591">
        <v>5.8300000000000001E-3</v>
      </c>
      <c r="S222" s="1273">
        <v>5.8300000000000001E-3</v>
      </c>
      <c r="T222" s="1274" t="s">
        <v>4774</v>
      </c>
      <c r="U222" s="1275" t="s">
        <v>4761</v>
      </c>
      <c r="V222" s="1274" t="s">
        <v>4762</v>
      </c>
      <c r="W222" s="1276" t="s">
        <v>4763</v>
      </c>
    </row>
    <row r="223" spans="1:23" ht="15" thickBot="1" x14ac:dyDescent="0.4">
      <c r="A223" s="529"/>
      <c r="B223" s="525" t="s">
        <v>3777</v>
      </c>
      <c r="C223" s="509">
        <f>+R216</f>
        <v>4.7300000000000004</v>
      </c>
      <c r="D223" s="509">
        <f>+$R$217</f>
        <v>4.67</v>
      </c>
      <c r="E223" s="507" t="s">
        <v>4775</v>
      </c>
      <c r="F223" s="496"/>
      <c r="G223" s="496"/>
      <c r="H223" s="497"/>
      <c r="I223" s="496"/>
      <c r="J223" s="380"/>
      <c r="K223" s="380"/>
      <c r="L223" s="380"/>
      <c r="M223" s="380"/>
      <c r="N223" s="381"/>
      <c r="R223" s="1591">
        <v>0.38</v>
      </c>
      <c r="S223" s="1277">
        <v>0.36</v>
      </c>
      <c r="T223" s="1278" t="s">
        <v>4776</v>
      </c>
      <c r="U223" s="1279" t="s">
        <v>4777</v>
      </c>
      <c r="V223" s="1278" t="s">
        <v>105</v>
      </c>
      <c r="W223" s="1280" t="s">
        <v>3624</v>
      </c>
    </row>
    <row r="224" spans="1:23" ht="15" thickBot="1" x14ac:dyDescent="0.4">
      <c r="A224" s="529"/>
      <c r="B224" s="1281" t="s">
        <v>3936</v>
      </c>
      <c r="C224" s="514">
        <v>0.6</v>
      </c>
      <c r="D224" s="514">
        <v>0.6</v>
      </c>
      <c r="E224" s="273" t="s">
        <v>4708</v>
      </c>
      <c r="F224" s="500"/>
      <c r="G224" s="161"/>
      <c r="H224" s="161"/>
      <c r="I224" s="161"/>
      <c r="J224" s="161"/>
      <c r="K224" s="161"/>
      <c r="L224" s="161"/>
      <c r="M224" s="161"/>
      <c r="N224" s="163"/>
      <c r="R224" s="1591">
        <v>0.4</v>
      </c>
      <c r="S224" s="1273">
        <v>0.36</v>
      </c>
      <c r="T224" s="1274" t="s">
        <v>4778</v>
      </c>
      <c r="U224" s="1275" t="s">
        <v>4777</v>
      </c>
      <c r="V224" s="1274" t="s">
        <v>105</v>
      </c>
      <c r="W224" s="1276" t="s">
        <v>3624</v>
      </c>
    </row>
    <row r="225" spans="1:23" ht="15" thickBot="1" x14ac:dyDescent="0.4">
      <c r="A225" s="529"/>
      <c r="B225" s="525">
        <v>365.25</v>
      </c>
      <c r="C225" s="509">
        <v>365.25</v>
      </c>
      <c r="D225" s="509">
        <v>365.25</v>
      </c>
      <c r="E225" s="505" t="s">
        <v>4109</v>
      </c>
      <c r="F225" s="496"/>
      <c r="G225" s="496"/>
      <c r="H225" s="497"/>
      <c r="I225" s="496"/>
      <c r="J225" s="380"/>
      <c r="K225" s="380"/>
      <c r="L225" s="380"/>
      <c r="M225" s="380"/>
      <c r="N225" s="381"/>
      <c r="R225" s="1591">
        <v>0.78</v>
      </c>
      <c r="S225" s="1277" t="s">
        <v>1460</v>
      </c>
      <c r="T225" s="1278" t="s">
        <v>4779</v>
      </c>
      <c r="U225" s="1279" t="s">
        <v>4780</v>
      </c>
      <c r="V225" s="1278" t="s">
        <v>105</v>
      </c>
      <c r="W225" s="1280" t="s">
        <v>3624</v>
      </c>
    </row>
    <row r="226" spans="1:23" ht="15" thickBot="1" x14ac:dyDescent="0.4">
      <c r="A226" s="529"/>
      <c r="B226" s="525" t="s">
        <v>3937</v>
      </c>
      <c r="C226" s="509">
        <f>+$E$314</f>
        <v>1.79</v>
      </c>
      <c r="D226" s="509">
        <f>+$R$220</f>
        <v>1.3</v>
      </c>
      <c r="E226" s="505" t="s">
        <v>4781</v>
      </c>
      <c r="F226" s="500"/>
      <c r="G226" s="161"/>
      <c r="H226" s="161"/>
      <c r="I226" s="161"/>
      <c r="J226" s="161"/>
      <c r="K226" s="161"/>
      <c r="L226" s="161"/>
      <c r="M226" s="161"/>
      <c r="N226" s="163"/>
      <c r="R226" s="1592">
        <v>0.22</v>
      </c>
      <c r="S226" s="1282" t="s">
        <v>1460</v>
      </c>
      <c r="T226" s="1283" t="s">
        <v>4782</v>
      </c>
      <c r="U226" s="1284" t="s">
        <v>4780</v>
      </c>
      <c r="V226" s="1283" t="s">
        <v>105</v>
      </c>
      <c r="W226" s="1285" t="s">
        <v>3624</v>
      </c>
    </row>
    <row r="227" spans="1:23" x14ac:dyDescent="0.35">
      <c r="A227" s="529"/>
      <c r="B227" s="528" t="s">
        <v>1876</v>
      </c>
      <c r="C227" s="2804">
        <f>+$E$319</f>
        <v>5.4000000000000003E-3</v>
      </c>
      <c r="D227" s="2804">
        <f>E320</f>
        <v>6.3E-3</v>
      </c>
      <c r="E227" s="516" t="s">
        <v>4783</v>
      </c>
      <c r="F227" s="1257"/>
      <c r="G227" s="69"/>
      <c r="H227" s="69"/>
      <c r="I227" s="69"/>
      <c r="J227" s="69"/>
      <c r="K227" s="69"/>
      <c r="L227" s="69"/>
      <c r="M227" s="69"/>
      <c r="N227" s="69"/>
    </row>
    <row r="228" spans="1:23" ht="15" thickBot="1" x14ac:dyDescent="0.4">
      <c r="A228" s="529"/>
      <c r="B228" s="539"/>
      <c r="C228" s="2794"/>
      <c r="D228" s="2794"/>
      <c r="E228" s="520" t="s">
        <v>4714</v>
      </c>
      <c r="G228"/>
      <c r="H228"/>
    </row>
    <row r="229" spans="1:23" ht="15" thickBot="1" x14ac:dyDescent="0.4">
      <c r="A229" s="529"/>
      <c r="B229" s="525" t="s">
        <v>4717</v>
      </c>
      <c r="C229" s="522"/>
      <c r="D229" s="522"/>
      <c r="E229" s="507" t="s">
        <v>4016</v>
      </c>
      <c r="G229"/>
      <c r="H229"/>
      <c r="R229" s="3132" t="s">
        <v>4784</v>
      </c>
      <c r="S229" s="3133"/>
      <c r="T229" s="3133"/>
      <c r="U229" s="3133"/>
      <c r="V229" s="3133"/>
      <c r="W229" s="3134"/>
    </row>
    <row r="230" spans="1:23" ht="15" thickBot="1" x14ac:dyDescent="0.4">
      <c r="A230" s="539"/>
      <c r="B230" s="525" t="s">
        <v>1580</v>
      </c>
      <c r="C230" s="541">
        <f>+$R$223</f>
        <v>0.38</v>
      </c>
      <c r="D230" s="541">
        <f>+$R$224</f>
        <v>0.4</v>
      </c>
      <c r="E230" s="507" t="s">
        <v>4785</v>
      </c>
      <c r="F230" s="533"/>
      <c r="G230" s="531"/>
      <c r="H230" s="531"/>
      <c r="I230" s="531"/>
      <c r="J230" s="531"/>
      <c r="K230" s="531"/>
      <c r="L230" s="531"/>
      <c r="M230" s="531"/>
      <c r="N230" s="531"/>
      <c r="O230" s="534"/>
      <c r="R230" s="3443" t="s">
        <v>4786</v>
      </c>
      <c r="S230" s="1286" t="s">
        <v>4754</v>
      </c>
      <c r="T230" s="3444" t="s">
        <v>4695</v>
      </c>
      <c r="U230" s="3444" t="s">
        <v>2589</v>
      </c>
      <c r="V230" s="3444" t="s">
        <v>4755</v>
      </c>
      <c r="W230" s="3445" t="s">
        <v>4756</v>
      </c>
    </row>
    <row r="231" spans="1:23" ht="15" thickBot="1" x14ac:dyDescent="0.4">
      <c r="A231" s="523"/>
      <c r="B231" s="523"/>
      <c r="F231" s="506"/>
      <c r="G231" s="507"/>
      <c r="H231" s="507"/>
      <c r="I231" s="507"/>
      <c r="J231" s="507"/>
      <c r="K231" s="507"/>
      <c r="L231" s="507"/>
      <c r="M231" s="507"/>
      <c r="N231" s="507"/>
      <c r="O231" s="535"/>
      <c r="Q231" t="s">
        <v>4787</v>
      </c>
      <c r="R231" s="3420"/>
      <c r="S231" s="2279" t="s">
        <v>4758</v>
      </c>
      <c r="T231" s="3421"/>
      <c r="U231" s="3421"/>
      <c r="V231" s="3421"/>
      <c r="W231" s="3422"/>
    </row>
    <row r="232" spans="1:23" ht="26.5" thickBot="1" x14ac:dyDescent="0.4">
      <c r="A232" s="528" t="s">
        <v>4718</v>
      </c>
      <c r="B232" s="380"/>
      <c r="C232" s="494"/>
      <c r="D232" s="494"/>
      <c r="E232" s="495"/>
      <c r="F232" s="506"/>
      <c r="G232" s="507"/>
      <c r="H232" s="507"/>
      <c r="I232" s="507"/>
      <c r="J232" s="507"/>
      <c r="K232" s="507"/>
      <c r="L232" s="507"/>
      <c r="M232" s="507"/>
      <c r="N232" s="507"/>
      <c r="O232" s="535"/>
      <c r="R232" s="1593">
        <v>0.75</v>
      </c>
      <c r="S232" s="2461">
        <v>0.84</v>
      </c>
      <c r="T232" s="1289" t="s">
        <v>1875</v>
      </c>
      <c r="U232" s="1290" t="s">
        <v>4760</v>
      </c>
      <c r="V232" s="1289" t="s">
        <v>105</v>
      </c>
      <c r="W232" s="1291" t="s">
        <v>3624</v>
      </c>
    </row>
    <row r="233" spans="1:23" ht="15" thickBot="1" x14ac:dyDescent="0.4">
      <c r="A233" s="261"/>
      <c r="B233" s="161"/>
      <c r="C233" s="161"/>
      <c r="D233" s="498"/>
      <c r="E233" s="499"/>
      <c r="F233" s="506"/>
      <c r="G233" s="507"/>
      <c r="H233" s="507"/>
      <c r="I233" s="507"/>
      <c r="J233" s="507"/>
      <c r="K233" s="507"/>
      <c r="L233" s="507"/>
      <c r="M233" s="507"/>
      <c r="N233" s="507"/>
      <c r="O233" s="535"/>
      <c r="R233" s="1593">
        <v>1.53</v>
      </c>
      <c r="S233" s="1292">
        <v>1.39</v>
      </c>
      <c r="T233" s="1293" t="s">
        <v>1872</v>
      </c>
      <c r="U233" s="1294" t="s">
        <v>4788</v>
      </c>
      <c r="V233" s="1293" t="s">
        <v>4762</v>
      </c>
      <c r="W233" s="2462" t="s">
        <v>3624</v>
      </c>
    </row>
    <row r="234" spans="1:23" ht="15" thickBot="1" x14ac:dyDescent="0.4">
      <c r="A234" s="528" t="s">
        <v>4719</v>
      </c>
      <c r="B234" s="380"/>
      <c r="C234" s="494"/>
      <c r="D234" s="494"/>
      <c r="E234" s="495"/>
      <c r="F234" s="510"/>
      <c r="G234" s="511"/>
      <c r="H234" s="512"/>
      <c r="I234" s="511"/>
      <c r="J234" s="511"/>
      <c r="K234" s="507"/>
      <c r="L234" s="507"/>
      <c r="M234" s="507"/>
      <c r="N234" s="507"/>
      <c r="O234" s="535"/>
      <c r="R234" s="1287">
        <v>0.94</v>
      </c>
      <c r="S234" s="1288">
        <v>0.94</v>
      </c>
      <c r="T234" s="1289" t="s">
        <v>1873</v>
      </c>
      <c r="U234" s="1290" t="s">
        <v>4765</v>
      </c>
      <c r="V234" s="1289" t="s">
        <v>4762</v>
      </c>
      <c r="W234" s="1291" t="s">
        <v>4763</v>
      </c>
    </row>
    <row r="235" spans="1:23" ht="15" thickBot="1" x14ac:dyDescent="0.4">
      <c r="A235" s="261"/>
      <c r="B235" s="161"/>
      <c r="C235" s="161"/>
      <c r="D235" s="498"/>
      <c r="E235" s="499"/>
      <c r="F235" s="506"/>
      <c r="G235" s="507"/>
      <c r="H235" s="507"/>
      <c r="I235" s="507"/>
      <c r="J235" s="507"/>
      <c r="K235" s="507"/>
      <c r="L235" s="507"/>
      <c r="M235" s="507"/>
      <c r="N235" s="507"/>
      <c r="O235" s="535"/>
      <c r="R235" s="1287">
        <v>1.6</v>
      </c>
      <c r="S235" s="1292">
        <v>1.6</v>
      </c>
      <c r="T235" s="1293" t="s">
        <v>1981</v>
      </c>
      <c r="U235" s="1294" t="s">
        <v>4788</v>
      </c>
      <c r="V235" s="1293" t="s">
        <v>4762</v>
      </c>
      <c r="W235" s="1295" t="s">
        <v>4763</v>
      </c>
    </row>
    <row r="236" spans="1:23" ht="15" thickBot="1" x14ac:dyDescent="0.4">
      <c r="A236" s="99"/>
      <c r="B236" s="1255" t="s">
        <v>4789</v>
      </c>
      <c r="C236" s="1255" t="s">
        <v>4790</v>
      </c>
      <c r="D236" s="1255" t="s">
        <v>4791</v>
      </c>
      <c r="E236" s="1255" t="s">
        <v>4792</v>
      </c>
      <c r="F236" s="506"/>
      <c r="G236" s="507"/>
      <c r="H236" s="507"/>
      <c r="I236" s="507"/>
      <c r="J236" s="507"/>
      <c r="K236" s="507"/>
      <c r="L236" s="507"/>
      <c r="M236" s="507"/>
      <c r="N236" s="507"/>
      <c r="O236" s="535"/>
      <c r="R236" s="1287">
        <v>1.6</v>
      </c>
      <c r="S236" s="1288">
        <v>1.6</v>
      </c>
      <c r="T236" s="1289" t="s">
        <v>1982</v>
      </c>
      <c r="U236" s="1290" t="s">
        <v>4788</v>
      </c>
      <c r="V236" s="1289" t="s">
        <v>4762</v>
      </c>
      <c r="W236" s="1291" t="s">
        <v>4763</v>
      </c>
    </row>
    <row r="237" spans="1:23" ht="15" thickBot="1" x14ac:dyDescent="0.4">
      <c r="A237" s="529" t="s">
        <v>4793</v>
      </c>
      <c r="B237" s="524">
        <f>+C240*((C241*C242-C243*C244)*C245*C246*C247/C248*C249)*C252</f>
        <v>0.31041563545653728</v>
      </c>
      <c r="C237" s="2795">
        <f>+C240*((C241*C242-C243*C244)*C245*C246*C247/C248*C249)*C253</f>
        <v>0.14781696926501775</v>
      </c>
      <c r="D237" s="2795">
        <f>+C240*((C241*C242-C243*C244)*C245*C246*C247/C248*C249)*C252</f>
        <v>0.31041563545653728</v>
      </c>
      <c r="E237" s="2795">
        <f>+C240*((C241*C242-C243*C244)*C245*C246*C247/C248*C249)*C253</f>
        <v>0.14781696926501775</v>
      </c>
      <c r="F237" s="507"/>
      <c r="G237" s="507"/>
      <c r="H237" s="505"/>
      <c r="I237" s="505"/>
      <c r="J237" s="507"/>
      <c r="K237" s="507"/>
      <c r="L237" s="507"/>
      <c r="M237" s="507"/>
      <c r="N237" s="507"/>
      <c r="O237" s="535"/>
      <c r="R237" s="1287">
        <v>365.25</v>
      </c>
      <c r="S237" s="1292">
        <v>365.25</v>
      </c>
      <c r="T237" s="1293" t="s">
        <v>4767</v>
      </c>
      <c r="U237" s="1294" t="s">
        <v>4788</v>
      </c>
      <c r="V237" s="1293" t="s">
        <v>4762</v>
      </c>
      <c r="W237" s="1295" t="s">
        <v>4763</v>
      </c>
    </row>
    <row r="238" spans="1:23" ht="26.5" thickBot="1" x14ac:dyDescent="0.4">
      <c r="A238" s="529" t="s">
        <v>4794</v>
      </c>
      <c r="B238" s="2786">
        <f>+((C241*C242-C243*C244)*C245*C246*C247/C248)*C252</f>
        <v>108.91776682685517</v>
      </c>
      <c r="C238" s="2796">
        <f>+((C241*C242-C243*C244)*C245*C246*C247/C248)*C253</f>
        <v>51.865603250883424</v>
      </c>
      <c r="D238" s="2796">
        <f>+((C241*C242-C243*C244)*C245*C246*C247/C248)*C252</f>
        <v>108.91776682685517</v>
      </c>
      <c r="E238" s="2796">
        <f>+((C241*C242-C243*C244)*C245*C246*C247/C248)*C253</f>
        <v>51.865603250883424</v>
      </c>
      <c r="F238" s="507"/>
      <c r="G238" s="507"/>
      <c r="H238" s="505"/>
      <c r="I238" s="505"/>
      <c r="J238" s="507"/>
      <c r="K238" s="507"/>
      <c r="L238" s="507"/>
      <c r="M238" s="507"/>
      <c r="N238" s="507"/>
      <c r="O238" s="535"/>
      <c r="Q238">
        <v>4.72</v>
      </c>
      <c r="R238" s="1593">
        <v>4.7300000000000004</v>
      </c>
      <c r="S238" s="2461">
        <v>4.84</v>
      </c>
      <c r="T238" s="1289" t="s">
        <v>4704</v>
      </c>
      <c r="U238" s="1290" t="s">
        <v>4769</v>
      </c>
      <c r="V238" s="1289" t="s">
        <v>105</v>
      </c>
      <c r="W238" s="1291" t="s">
        <v>3624</v>
      </c>
    </row>
    <row r="239" spans="1:23" ht="26.5" thickBot="1" x14ac:dyDescent="0.4">
      <c r="A239" s="530"/>
      <c r="B239" s="530" t="s">
        <v>4695</v>
      </c>
      <c r="C239" s="532" t="s">
        <v>4795</v>
      </c>
      <c r="D239" s="532" t="s">
        <v>4796</v>
      </c>
      <c r="E239" s="531" t="s">
        <v>4697</v>
      </c>
      <c r="F239" s="507"/>
      <c r="G239" s="507"/>
      <c r="H239" s="505"/>
      <c r="I239" s="505"/>
      <c r="J239" s="507"/>
      <c r="K239" s="507"/>
      <c r="L239" s="507"/>
      <c r="M239" s="507"/>
      <c r="N239" s="507"/>
      <c r="O239" s="535"/>
      <c r="Q239">
        <v>4.72</v>
      </c>
      <c r="R239" s="1593">
        <v>4.67</v>
      </c>
      <c r="S239" s="2461">
        <v>4.75</v>
      </c>
      <c r="T239" s="1293" t="s">
        <v>4706</v>
      </c>
      <c r="U239" s="1294" t="s">
        <v>4769</v>
      </c>
      <c r="V239" s="1293" t="s">
        <v>105</v>
      </c>
      <c r="W239" s="1295" t="s">
        <v>3624</v>
      </c>
    </row>
    <row r="240" spans="1:23" ht="15" thickBot="1" x14ac:dyDescent="0.4">
      <c r="A240" s="528" t="s">
        <v>4698</v>
      </c>
      <c r="B240" s="525" t="s">
        <v>4699</v>
      </c>
      <c r="C240" s="504">
        <f>+$R$232</f>
        <v>0.75</v>
      </c>
      <c r="D240" s="504">
        <f>+$R$232</f>
        <v>0.75</v>
      </c>
      <c r="E240" s="505" t="s">
        <v>4772</v>
      </c>
      <c r="F240" s="516"/>
      <c r="G240" s="516"/>
      <c r="H240" s="517"/>
      <c r="I240" s="517"/>
      <c r="J240" s="516"/>
      <c r="K240" s="516"/>
      <c r="L240" s="516"/>
      <c r="M240" s="516"/>
      <c r="N240" s="516"/>
      <c r="O240" s="538"/>
      <c r="R240" s="1287">
        <v>0.9</v>
      </c>
      <c r="S240" s="1288">
        <v>0.9</v>
      </c>
      <c r="T240" s="1288" t="s">
        <v>3826</v>
      </c>
      <c r="U240" s="1296" t="s">
        <v>4788</v>
      </c>
      <c r="V240" s="1288" t="s">
        <v>4762</v>
      </c>
      <c r="W240" s="1291" t="s">
        <v>4763</v>
      </c>
    </row>
    <row r="241" spans="1:23" ht="15" thickBot="1" x14ac:dyDescent="0.4">
      <c r="A241" s="529"/>
      <c r="B241" s="525" t="s">
        <v>4700</v>
      </c>
      <c r="C241" s="508">
        <f>R233</f>
        <v>1.53</v>
      </c>
      <c r="D241" s="508">
        <v>1.39</v>
      </c>
      <c r="E241" s="507" t="s">
        <v>4722</v>
      </c>
      <c r="F241" s="520"/>
      <c r="G241" s="520"/>
      <c r="H241" s="521"/>
      <c r="I241" s="521"/>
      <c r="J241" s="520"/>
      <c r="K241" s="520"/>
      <c r="L241" s="520"/>
      <c r="M241" s="520"/>
      <c r="N241" s="520"/>
      <c r="O241" s="540"/>
      <c r="R241" s="1287">
        <v>2.83</v>
      </c>
      <c r="S241" s="1292">
        <v>2.83</v>
      </c>
      <c r="T241" s="1292" t="s">
        <v>4797</v>
      </c>
      <c r="U241" s="1297" t="s">
        <v>4788</v>
      </c>
      <c r="V241" s="1292" t="s">
        <v>4762</v>
      </c>
      <c r="W241" s="1295" t="s">
        <v>4763</v>
      </c>
    </row>
    <row r="242" spans="1:23" ht="15" thickBot="1" x14ac:dyDescent="0.4">
      <c r="A242" s="529"/>
      <c r="B242" s="525" t="s">
        <v>1981</v>
      </c>
      <c r="C242" s="509">
        <f>+$I$314</f>
        <v>1.6</v>
      </c>
      <c r="D242" s="509">
        <f>+$I$314</f>
        <v>1.6</v>
      </c>
      <c r="E242" s="507" t="s">
        <v>4723</v>
      </c>
      <c r="F242" s="507"/>
      <c r="G242" s="507"/>
      <c r="H242" s="505"/>
      <c r="I242" s="505"/>
      <c r="J242" s="507"/>
      <c r="K242" s="507"/>
      <c r="L242" s="507"/>
      <c r="M242" s="507"/>
      <c r="N242" s="507"/>
      <c r="O242" s="535"/>
      <c r="R242" s="1287">
        <v>1.5</v>
      </c>
      <c r="S242" s="2461">
        <v>1.5</v>
      </c>
      <c r="T242" s="1288" t="s">
        <v>4798</v>
      </c>
      <c r="U242" s="1296" t="s">
        <v>4788</v>
      </c>
      <c r="V242" s="1288" t="s">
        <v>4762</v>
      </c>
      <c r="W242" s="2462" t="s">
        <v>4763</v>
      </c>
    </row>
    <row r="243" spans="1:23" ht="26.5" thickBot="1" x14ac:dyDescent="0.4">
      <c r="A243" s="529"/>
      <c r="B243" s="525" t="s">
        <v>4701</v>
      </c>
      <c r="C243" s="508">
        <f>+$I$309</f>
        <v>0.94</v>
      </c>
      <c r="D243" s="508">
        <f>+$I$309</f>
        <v>0.94</v>
      </c>
      <c r="E243" s="507" t="s">
        <v>1901</v>
      </c>
      <c r="F243" s="507"/>
      <c r="G243" s="507"/>
      <c r="H243" s="505"/>
      <c r="I243" s="505"/>
      <c r="J243" s="507"/>
      <c r="K243" s="507"/>
      <c r="L243" s="507"/>
      <c r="M243" s="507"/>
      <c r="N243" s="507"/>
      <c r="O243" s="535"/>
      <c r="R243" s="1287">
        <v>3.4099999999999998E-3</v>
      </c>
      <c r="S243" s="1292">
        <v>3.4099999999999998E-3</v>
      </c>
      <c r="T243" s="1292" t="s">
        <v>4799</v>
      </c>
      <c r="U243" s="1297" t="s">
        <v>4788</v>
      </c>
      <c r="V243" s="1292" t="s">
        <v>4762</v>
      </c>
      <c r="W243" s="1295" t="s">
        <v>4763</v>
      </c>
    </row>
    <row r="244" spans="1:23" ht="15" thickBot="1" x14ac:dyDescent="0.4">
      <c r="A244" s="529"/>
      <c r="B244" s="525" t="s">
        <v>4703</v>
      </c>
      <c r="C244" s="509">
        <f>+$I$320</f>
        <v>1.6</v>
      </c>
      <c r="D244" s="509">
        <f>+$I$320</f>
        <v>1.6</v>
      </c>
      <c r="E244" s="507" t="s">
        <v>4724</v>
      </c>
      <c r="F244" s="520"/>
      <c r="G244" s="520"/>
      <c r="H244" s="521"/>
      <c r="I244" s="521"/>
      <c r="J244" s="520"/>
      <c r="K244" s="520"/>
      <c r="L244" s="520"/>
      <c r="M244" s="520"/>
      <c r="N244" s="520"/>
      <c r="O244" s="540"/>
      <c r="R244" s="1287"/>
      <c r="S244" s="1292"/>
      <c r="T244" s="1292"/>
      <c r="U244" s="1297"/>
      <c r="V244" s="1292"/>
      <c r="W244" s="1295"/>
    </row>
    <row r="245" spans="1:23" ht="26.5" thickBot="1" x14ac:dyDescent="0.4">
      <c r="A245" s="529"/>
      <c r="B245" s="525" t="s">
        <v>3777</v>
      </c>
      <c r="C245" s="509">
        <f>+$R$238</f>
        <v>4.7300000000000004</v>
      </c>
      <c r="D245" s="509">
        <f>+$R$238</f>
        <v>4.7300000000000004</v>
      </c>
      <c r="E245" s="507" t="s">
        <v>4800</v>
      </c>
      <c r="R245" s="1287">
        <v>3.9699999999999996E-3</v>
      </c>
      <c r="S245" s="2461">
        <v>3.9699999999999996E-3</v>
      </c>
      <c r="T245" s="1288" t="s">
        <v>4801</v>
      </c>
      <c r="U245" s="1296" t="s">
        <v>4761</v>
      </c>
      <c r="V245" s="1288" t="s">
        <v>4762</v>
      </c>
      <c r="W245" s="2462" t="s">
        <v>4763</v>
      </c>
    </row>
    <row r="246" spans="1:23" ht="26.5" thickBot="1" x14ac:dyDescent="0.4">
      <c r="A246" s="529"/>
      <c r="B246" s="525">
        <v>365.25</v>
      </c>
      <c r="C246" s="509">
        <v>365.25</v>
      </c>
      <c r="D246" s="509">
        <v>365.25</v>
      </c>
      <c r="E246" s="505" t="s">
        <v>4109</v>
      </c>
      <c r="F246" s="496"/>
      <c r="G246" s="496"/>
      <c r="H246" s="497"/>
      <c r="I246" s="496"/>
      <c r="J246" s="380"/>
      <c r="K246" s="380"/>
      <c r="L246" s="380"/>
      <c r="M246" s="380"/>
      <c r="N246" s="381"/>
      <c r="Q246">
        <v>0.21</v>
      </c>
      <c r="R246" s="1593">
        <v>0.21</v>
      </c>
      <c r="S246" s="1292">
        <v>0.3</v>
      </c>
      <c r="T246" s="1293" t="s">
        <v>4802</v>
      </c>
      <c r="U246" s="1294" t="s">
        <v>4803</v>
      </c>
      <c r="V246" s="1293" t="s">
        <v>105</v>
      </c>
      <c r="W246" s="1295" t="s">
        <v>3624</v>
      </c>
    </row>
    <row r="247" spans="1:23" ht="26.5" thickBot="1" x14ac:dyDescent="0.4">
      <c r="A247" s="529"/>
      <c r="B247" s="525" t="s">
        <v>3826</v>
      </c>
      <c r="C247" s="522">
        <f>+$L$306</f>
        <v>0.9</v>
      </c>
      <c r="D247" s="522">
        <f>+$L$306</f>
        <v>0.9</v>
      </c>
      <c r="E247" s="505" t="s">
        <v>4726</v>
      </c>
      <c r="F247" s="500"/>
      <c r="G247" s="161"/>
      <c r="H247" s="161"/>
      <c r="I247" s="161"/>
      <c r="J247" s="161"/>
      <c r="K247" s="161"/>
      <c r="L247" s="161"/>
      <c r="M247" s="161"/>
      <c r="N247" s="163"/>
      <c r="Q247">
        <v>2.7E-2</v>
      </c>
      <c r="R247" s="1593">
        <v>0.23</v>
      </c>
      <c r="S247" s="1288">
        <v>0.3</v>
      </c>
      <c r="T247" s="1289" t="s">
        <v>4804</v>
      </c>
      <c r="U247" s="1290" t="s">
        <v>4803</v>
      </c>
      <c r="V247" s="1289" t="s">
        <v>105</v>
      </c>
      <c r="W247" s="1291" t="s">
        <v>3624</v>
      </c>
    </row>
    <row r="248" spans="1:23" ht="39.5" thickBot="1" x14ac:dyDescent="0.4">
      <c r="A248" s="529"/>
      <c r="B248" s="525" t="s">
        <v>3827</v>
      </c>
      <c r="C248" s="524">
        <f>+$L$320</f>
        <v>2.83</v>
      </c>
      <c r="D248" s="524">
        <f>+$L$320</f>
        <v>2.83</v>
      </c>
      <c r="E248" s="505" t="s">
        <v>3871</v>
      </c>
      <c r="F248" s="496"/>
      <c r="G248" s="496"/>
      <c r="H248" s="497"/>
      <c r="I248" s="496"/>
      <c r="J248" s="380"/>
      <c r="K248" s="380"/>
      <c r="L248" s="380"/>
      <c r="M248" s="380"/>
      <c r="N248" s="381"/>
      <c r="Q248">
        <v>0.13</v>
      </c>
      <c r="R248" s="1593">
        <v>0.1</v>
      </c>
      <c r="S248" s="1292">
        <v>0.3</v>
      </c>
      <c r="T248" s="1293" t="s">
        <v>4805</v>
      </c>
      <c r="U248" s="1294" t="s">
        <v>4803</v>
      </c>
      <c r="V248" s="1293" t="s">
        <v>105</v>
      </c>
      <c r="W248" s="1295" t="s">
        <v>3624</v>
      </c>
    </row>
    <row r="249" spans="1:23" ht="39.5" thickBot="1" x14ac:dyDescent="0.4">
      <c r="A249" s="529"/>
      <c r="B249" s="528" t="s">
        <v>1876</v>
      </c>
      <c r="C249" s="2787">
        <f>+$L$310</f>
        <v>3.8E-3</v>
      </c>
      <c r="D249" s="2787">
        <f>L313</f>
        <v>4.4000000000000003E-3</v>
      </c>
      <c r="E249" s="516" t="s">
        <v>1927</v>
      </c>
      <c r="F249" s="500"/>
      <c r="G249" s="161"/>
      <c r="H249" s="161"/>
      <c r="I249" s="161"/>
      <c r="J249" s="161"/>
      <c r="K249" s="161"/>
      <c r="L249" s="161"/>
      <c r="M249" s="161"/>
      <c r="N249" s="163"/>
      <c r="Q249">
        <v>0.13</v>
      </c>
      <c r="R249" s="1593">
        <v>0.1</v>
      </c>
      <c r="S249" s="1288">
        <v>0.3</v>
      </c>
      <c r="T249" s="1289" t="s">
        <v>4806</v>
      </c>
      <c r="U249" s="1290" t="s">
        <v>4803</v>
      </c>
      <c r="V249" s="1289" t="s">
        <v>105</v>
      </c>
      <c r="W249" s="1291" t="s">
        <v>3624</v>
      </c>
    </row>
    <row r="250" spans="1:23" ht="15" thickBot="1" x14ac:dyDescent="0.4">
      <c r="A250" s="529"/>
      <c r="B250" s="539"/>
      <c r="C250" s="519"/>
      <c r="D250" s="519"/>
      <c r="E250" s="520" t="s">
        <v>4729</v>
      </c>
      <c r="F250" s="1257"/>
      <c r="G250" s="69"/>
      <c r="H250" s="69"/>
      <c r="I250" s="69"/>
      <c r="J250" s="69"/>
      <c r="K250" s="69"/>
      <c r="L250" s="69"/>
      <c r="M250" s="69"/>
      <c r="N250" s="69"/>
      <c r="Q250">
        <v>0.76</v>
      </c>
      <c r="R250" s="1593">
        <v>0.78</v>
      </c>
      <c r="S250" s="1292" t="s">
        <v>1460</v>
      </c>
      <c r="T250" s="1293" t="s">
        <v>4779</v>
      </c>
      <c r="U250" s="1294" t="s">
        <v>4780</v>
      </c>
      <c r="V250" s="1293" t="s">
        <v>105</v>
      </c>
      <c r="W250" s="1295" t="s">
        <v>3624</v>
      </c>
    </row>
    <row r="251" spans="1:23" ht="15" thickBot="1" x14ac:dyDescent="0.4">
      <c r="A251" s="529"/>
      <c r="B251" s="525" t="s">
        <v>4717</v>
      </c>
      <c r="C251" s="522"/>
      <c r="D251" s="522"/>
      <c r="E251" s="507" t="s">
        <v>4016</v>
      </c>
      <c r="G251"/>
      <c r="H251"/>
      <c r="Q251">
        <v>0.24</v>
      </c>
      <c r="R251" s="1594">
        <v>0.22</v>
      </c>
      <c r="S251" s="1298" t="s">
        <v>1460</v>
      </c>
      <c r="T251" s="1299" t="s">
        <v>4782</v>
      </c>
      <c r="U251" s="1300" t="s">
        <v>4780</v>
      </c>
      <c r="V251" s="1299" t="s">
        <v>105</v>
      </c>
      <c r="W251" s="1301" t="s">
        <v>3624</v>
      </c>
    </row>
    <row r="252" spans="1:23" ht="15" thickBot="1" x14ac:dyDescent="0.4">
      <c r="A252" s="539"/>
      <c r="B252" s="525" t="s">
        <v>1580</v>
      </c>
      <c r="C252" s="522">
        <f>+$R$246</f>
        <v>0.21</v>
      </c>
      <c r="D252" s="522">
        <f>+$R$246</f>
        <v>0.21</v>
      </c>
      <c r="E252" s="507" t="s">
        <v>4807</v>
      </c>
      <c r="G252"/>
      <c r="H252"/>
    </row>
    <row r="253" spans="1:23" ht="15" thickBot="1" x14ac:dyDescent="0.4">
      <c r="A253" s="536"/>
      <c r="B253" s="525" t="s">
        <v>1580</v>
      </c>
      <c r="C253" s="522">
        <f>+$R$248</f>
        <v>0.1</v>
      </c>
      <c r="D253" s="522">
        <v>0.09</v>
      </c>
      <c r="E253" s="507" t="s">
        <v>4808</v>
      </c>
      <c r="F253" s="531"/>
      <c r="G253" s="531"/>
      <c r="H253" s="531"/>
      <c r="I253" s="531"/>
      <c r="J253" s="531"/>
      <c r="K253" s="531"/>
      <c r="L253" s="531"/>
      <c r="M253" s="531"/>
      <c r="N253" s="534"/>
      <c r="R253" s="3417" t="s">
        <v>4809</v>
      </c>
      <c r="S253" s="3418"/>
      <c r="T253" s="3418"/>
      <c r="U253" s="3418"/>
      <c r="V253" s="3418"/>
      <c r="W253" s="3419"/>
    </row>
    <row r="254" spans="1:23" ht="15" thickBot="1" x14ac:dyDescent="0.4">
      <c r="A254" s="523"/>
      <c r="B254" s="523"/>
      <c r="F254" s="507"/>
      <c r="G254" s="507"/>
      <c r="H254" s="507"/>
      <c r="I254" s="507"/>
      <c r="J254" s="507"/>
      <c r="K254" s="507"/>
      <c r="L254" s="507"/>
      <c r="M254" s="507"/>
      <c r="N254" s="535"/>
      <c r="R254" s="3420" t="s">
        <v>4786</v>
      </c>
      <c r="S254" s="2279" t="s">
        <v>4754</v>
      </c>
      <c r="T254" s="3421" t="s">
        <v>4695</v>
      </c>
      <c r="U254" s="3421" t="s">
        <v>2589</v>
      </c>
      <c r="V254" s="3421" t="s">
        <v>4755</v>
      </c>
      <c r="W254" s="3422" t="s">
        <v>4756</v>
      </c>
    </row>
    <row r="255" spans="1:23" ht="15" thickBot="1" x14ac:dyDescent="0.4">
      <c r="A255" s="528" t="s">
        <v>4730</v>
      </c>
      <c r="B255" s="380"/>
      <c r="C255" s="494"/>
      <c r="D255" s="494"/>
      <c r="E255" s="495"/>
      <c r="F255" s="507"/>
      <c r="G255" s="507"/>
      <c r="H255" s="507"/>
      <c r="I255" s="507"/>
      <c r="J255" s="507"/>
      <c r="K255" s="507"/>
      <c r="L255" s="507"/>
      <c r="M255" s="507"/>
      <c r="N255" s="535"/>
      <c r="R255" s="3420"/>
      <c r="S255" s="2279" t="s">
        <v>4758</v>
      </c>
      <c r="T255" s="3421"/>
      <c r="U255" s="3421"/>
      <c r="V255" s="3421"/>
      <c r="W255" s="3422"/>
    </row>
    <row r="256" spans="1:23" ht="26.5" thickBot="1" x14ac:dyDescent="0.4">
      <c r="A256" s="261"/>
      <c r="B256" s="161"/>
      <c r="C256" s="161"/>
      <c r="D256" s="498"/>
      <c r="E256" s="499"/>
      <c r="F256" s="507"/>
      <c r="G256" s="507"/>
      <c r="H256" s="507"/>
      <c r="I256" s="507"/>
      <c r="J256" s="507"/>
      <c r="K256" s="507"/>
      <c r="L256" s="507"/>
      <c r="M256" s="507"/>
      <c r="N256" s="535"/>
      <c r="R256" s="1595">
        <v>0.75</v>
      </c>
      <c r="S256" s="2461">
        <v>0.84</v>
      </c>
      <c r="T256" s="1289" t="s">
        <v>1875</v>
      </c>
      <c r="U256" s="1290" t="s">
        <v>4760</v>
      </c>
      <c r="V256" s="1289" t="s">
        <v>105</v>
      </c>
      <c r="W256" s="1291" t="s">
        <v>3624</v>
      </c>
    </row>
    <row r="257" spans="1:23" ht="15" thickBot="1" x14ac:dyDescent="0.4">
      <c r="A257" s="528" t="s">
        <v>4731</v>
      </c>
      <c r="B257" s="380"/>
      <c r="C257" s="494"/>
      <c r="D257" s="494"/>
      <c r="E257" s="495"/>
      <c r="F257" s="511"/>
      <c r="G257" s="512"/>
      <c r="H257" s="511"/>
      <c r="I257" s="511"/>
      <c r="J257" s="507"/>
      <c r="K257" s="507"/>
      <c r="L257" s="507"/>
      <c r="M257" s="507"/>
      <c r="N257" s="535"/>
      <c r="R257" s="1595">
        <v>1.63</v>
      </c>
      <c r="S257" s="1292">
        <v>1.39</v>
      </c>
      <c r="T257" s="1293" t="s">
        <v>1872</v>
      </c>
      <c r="U257" s="1294" t="s">
        <v>4788</v>
      </c>
      <c r="V257" s="1293" t="s">
        <v>4762</v>
      </c>
      <c r="W257" s="2462" t="s">
        <v>3624</v>
      </c>
    </row>
    <row r="258" spans="1:23" ht="15" thickBot="1" x14ac:dyDescent="0.4">
      <c r="A258" s="261"/>
      <c r="B258" s="161"/>
      <c r="C258" s="161"/>
      <c r="D258" s="498"/>
      <c r="E258" s="499"/>
      <c r="F258" s="507"/>
      <c r="G258" s="507"/>
      <c r="H258" s="507"/>
      <c r="I258" s="507"/>
      <c r="J258" s="507"/>
      <c r="K258" s="507"/>
      <c r="L258" s="507"/>
      <c r="M258" s="507"/>
      <c r="N258" s="535"/>
      <c r="R258" s="1302">
        <v>0.94</v>
      </c>
      <c r="S258" s="1288">
        <v>0.94</v>
      </c>
      <c r="T258" s="1289" t="s">
        <v>1873</v>
      </c>
      <c r="U258" s="1290" t="s">
        <v>4765</v>
      </c>
      <c r="V258" s="1289" t="s">
        <v>4762</v>
      </c>
      <c r="W258" s="1291" t="s">
        <v>4763</v>
      </c>
    </row>
    <row r="259" spans="1:23" ht="15" thickBot="1" x14ac:dyDescent="0.4">
      <c r="A259" s="99"/>
      <c r="B259" s="1255" t="s">
        <v>1849</v>
      </c>
      <c r="C259" s="1256"/>
      <c r="D259" s="461"/>
      <c r="E259" s="1196"/>
      <c r="F259" s="507"/>
      <c r="G259" s="507"/>
      <c r="H259" s="507"/>
      <c r="I259" s="507"/>
      <c r="J259" s="507"/>
      <c r="K259" s="507"/>
      <c r="L259" s="507"/>
      <c r="M259" s="507"/>
      <c r="N259" s="535"/>
      <c r="R259" s="1302">
        <v>4.5</v>
      </c>
      <c r="S259" s="1292">
        <v>4.5</v>
      </c>
      <c r="T259" s="1293" t="s">
        <v>1981</v>
      </c>
      <c r="U259" s="1294" t="s">
        <v>4788</v>
      </c>
      <c r="V259" s="1293" t="s">
        <v>4762</v>
      </c>
      <c r="W259" s="1295" t="s">
        <v>4763</v>
      </c>
    </row>
    <row r="260" spans="1:23" ht="15" thickBot="1" x14ac:dyDescent="0.4">
      <c r="A260" s="529" t="s">
        <v>4810</v>
      </c>
      <c r="B260" s="2799">
        <f>+C263*((C264*C265-C266*C267)*C268*C269*C270/C271*C272)*C275</f>
        <v>3.3945954055664056</v>
      </c>
      <c r="C260" s="2795"/>
      <c r="E260" s="446"/>
      <c r="F260" s="507"/>
      <c r="G260" s="505"/>
      <c r="H260" s="505"/>
      <c r="I260" s="507"/>
      <c r="J260" s="507"/>
      <c r="K260" s="507"/>
      <c r="L260" s="507"/>
      <c r="M260" s="507"/>
      <c r="N260" s="535"/>
      <c r="R260" s="1302">
        <v>4.5</v>
      </c>
      <c r="S260" s="1288">
        <v>4.5</v>
      </c>
      <c r="T260" s="1289" t="s">
        <v>1982</v>
      </c>
      <c r="U260" s="1290" t="s">
        <v>4788</v>
      </c>
      <c r="V260" s="1289" t="s">
        <v>4762</v>
      </c>
      <c r="W260" s="1291" t="s">
        <v>4763</v>
      </c>
    </row>
    <row r="261" spans="1:23" ht="15" thickBot="1" x14ac:dyDescent="0.4">
      <c r="A261" s="529" t="s">
        <v>4811</v>
      </c>
      <c r="B261" s="2786">
        <f>+((C264*C265-C266*C267)*C268*C269*C270/C271)*C275</f>
        <v>1005.80604609375</v>
      </c>
      <c r="C261" s="2796"/>
      <c r="E261" s="446"/>
      <c r="F261" s="507"/>
      <c r="G261" s="505"/>
      <c r="H261" s="505"/>
      <c r="I261" s="507"/>
      <c r="J261" s="507"/>
      <c r="K261" s="507"/>
      <c r="L261" s="507"/>
      <c r="M261" s="507"/>
      <c r="N261" s="535"/>
      <c r="R261" s="1302">
        <v>365.25</v>
      </c>
      <c r="S261" s="1292">
        <v>365.25</v>
      </c>
      <c r="T261" s="1293" t="s">
        <v>4767</v>
      </c>
      <c r="U261" s="1294" t="s">
        <v>4788</v>
      </c>
      <c r="V261" s="1293" t="s">
        <v>4762</v>
      </c>
      <c r="W261" s="1295" t="s">
        <v>4763</v>
      </c>
    </row>
    <row r="262" spans="1:23" ht="26.5" thickBot="1" x14ac:dyDescent="0.4">
      <c r="A262" s="530"/>
      <c r="B262" s="531" t="s">
        <v>4695</v>
      </c>
      <c r="C262" s="532" t="s">
        <v>4696</v>
      </c>
      <c r="D262" s="531" t="s">
        <v>4697</v>
      </c>
      <c r="E262" s="533"/>
      <c r="F262" s="507"/>
      <c r="G262" s="505"/>
      <c r="H262" s="505"/>
      <c r="I262" s="507"/>
      <c r="J262" s="507"/>
      <c r="K262" s="507"/>
      <c r="L262" s="507"/>
      <c r="M262" s="507"/>
      <c r="N262" s="535"/>
      <c r="R262" s="1595">
        <v>4.7300000000000004</v>
      </c>
      <c r="S262" s="2461">
        <v>4.84</v>
      </c>
      <c r="T262" s="1289" t="s">
        <v>4704</v>
      </c>
      <c r="U262" s="1290" t="s">
        <v>4769</v>
      </c>
      <c r="V262" s="1289" t="s">
        <v>105</v>
      </c>
      <c r="W262" s="1291" t="s">
        <v>3624</v>
      </c>
    </row>
    <row r="263" spans="1:23" ht="26.5" thickBot="1" x14ac:dyDescent="0.4">
      <c r="A263" s="528" t="s">
        <v>4698</v>
      </c>
      <c r="B263" s="525" t="s">
        <v>4699</v>
      </c>
      <c r="C263" s="504">
        <f>+$R$256</f>
        <v>0.75</v>
      </c>
      <c r="D263" s="505" t="s">
        <v>4812</v>
      </c>
      <c r="E263" s="506"/>
      <c r="F263" s="516"/>
      <c r="G263" s="517"/>
      <c r="H263" s="517"/>
      <c r="I263" s="516"/>
      <c r="J263" s="516"/>
      <c r="K263" s="516"/>
      <c r="L263" s="516"/>
      <c r="M263" s="516"/>
      <c r="N263" s="538"/>
      <c r="R263" s="1595">
        <v>4.67</v>
      </c>
      <c r="S263" s="2461">
        <v>4.75</v>
      </c>
      <c r="T263" s="1293" t="s">
        <v>4706</v>
      </c>
      <c r="U263" s="1294" t="s">
        <v>4769</v>
      </c>
      <c r="V263" s="1293" t="s">
        <v>105</v>
      </c>
      <c r="W263" s="1295" t="s">
        <v>3624</v>
      </c>
    </row>
    <row r="264" spans="1:23" ht="15" thickBot="1" x14ac:dyDescent="0.4">
      <c r="A264" s="529"/>
      <c r="B264" s="525" t="s">
        <v>4700</v>
      </c>
      <c r="C264" s="508">
        <f>R257</f>
        <v>1.63</v>
      </c>
      <c r="D264" s="507" t="s">
        <v>4722</v>
      </c>
      <c r="E264" s="506"/>
      <c r="F264" s="520"/>
      <c r="G264" s="521"/>
      <c r="H264" s="521"/>
      <c r="I264" s="520"/>
      <c r="J264" s="520"/>
      <c r="K264" s="520"/>
      <c r="L264" s="520"/>
      <c r="M264" s="520"/>
      <c r="N264" s="540"/>
      <c r="R264" s="1287">
        <v>0.75</v>
      </c>
      <c r="S264" s="1288">
        <v>0.75</v>
      </c>
      <c r="T264" s="1288" t="s">
        <v>3826</v>
      </c>
      <c r="U264" s="1296" t="s">
        <v>4788</v>
      </c>
      <c r="V264" s="1288" t="s">
        <v>4762</v>
      </c>
      <c r="W264" s="1291" t="s">
        <v>4763</v>
      </c>
    </row>
    <row r="265" spans="1:23" ht="15" thickBot="1" x14ac:dyDescent="0.4">
      <c r="A265" s="529"/>
      <c r="B265" s="525" t="s">
        <v>1981</v>
      </c>
      <c r="C265" s="509">
        <f>R259</f>
        <v>4.5</v>
      </c>
      <c r="D265" s="507" t="s">
        <v>4723</v>
      </c>
      <c r="E265" s="506"/>
      <c r="F265" s="507"/>
      <c r="G265" s="505"/>
      <c r="H265" s="505"/>
      <c r="I265" s="507"/>
      <c r="J265" s="507"/>
      <c r="K265" s="507"/>
      <c r="L265" s="507"/>
      <c r="M265" s="507"/>
      <c r="N265" s="535"/>
      <c r="R265" s="1287">
        <v>1</v>
      </c>
      <c r="S265" s="1292">
        <v>1</v>
      </c>
      <c r="T265" s="1292" t="s">
        <v>4813</v>
      </c>
      <c r="U265" s="1297" t="s">
        <v>4788</v>
      </c>
      <c r="V265" s="1292" t="s">
        <v>4762</v>
      </c>
      <c r="W265" s="1295" t="s">
        <v>4763</v>
      </c>
    </row>
    <row r="266" spans="1:23" ht="26.5" thickBot="1" x14ac:dyDescent="0.4">
      <c r="A266" s="529"/>
      <c r="B266" s="525" t="s">
        <v>4701</v>
      </c>
      <c r="C266" s="508">
        <f>+$I$309</f>
        <v>0.94</v>
      </c>
      <c r="D266" s="507" t="s">
        <v>1901</v>
      </c>
      <c r="E266" s="510"/>
      <c r="F266" s="507"/>
      <c r="G266" s="505"/>
      <c r="H266" s="505"/>
      <c r="I266" s="507"/>
      <c r="J266" s="507"/>
      <c r="K266" s="507"/>
      <c r="L266" s="507"/>
      <c r="M266" s="507"/>
      <c r="N266" s="535"/>
      <c r="R266" s="1287">
        <v>4.15E-3</v>
      </c>
      <c r="S266" s="1288">
        <v>4.15E-3</v>
      </c>
      <c r="T266" s="1288" t="s">
        <v>4799</v>
      </c>
      <c r="U266" s="1296" t="s">
        <v>4788</v>
      </c>
      <c r="V266" s="1288" t="s">
        <v>4762</v>
      </c>
      <c r="W266" s="1291" t="s">
        <v>4763</v>
      </c>
    </row>
    <row r="267" spans="1:23" ht="26.5" thickBot="1" x14ac:dyDescent="0.4">
      <c r="A267" s="529"/>
      <c r="B267" s="525" t="s">
        <v>4703</v>
      </c>
      <c r="C267" s="509">
        <f>+$I$319</f>
        <v>4.5</v>
      </c>
      <c r="D267" s="507" t="s">
        <v>4724</v>
      </c>
      <c r="E267" s="506"/>
      <c r="R267" s="1593">
        <v>5.0000000000000001E-3</v>
      </c>
      <c r="S267" s="2461">
        <v>5.0000000000000001E-3</v>
      </c>
      <c r="T267" s="1292" t="s">
        <v>4801</v>
      </c>
      <c r="U267" s="1297" t="s">
        <v>4761</v>
      </c>
      <c r="V267" s="1292" t="s">
        <v>4762</v>
      </c>
      <c r="W267" s="2462" t="s">
        <v>4763</v>
      </c>
    </row>
    <row r="268" spans="1:23" ht="15" thickBot="1" x14ac:dyDescent="0.4">
      <c r="A268" s="529"/>
      <c r="B268" s="525" t="s">
        <v>3777</v>
      </c>
      <c r="C268" s="509">
        <f>+$R$262</f>
        <v>4.7300000000000004</v>
      </c>
      <c r="D268" s="507" t="s">
        <v>4814</v>
      </c>
      <c r="E268" s="506"/>
      <c r="F268" s="496"/>
      <c r="G268" s="496"/>
      <c r="H268" s="497"/>
      <c r="I268" s="496"/>
      <c r="J268" s="380"/>
      <c r="K268" s="380"/>
      <c r="L268" s="380"/>
      <c r="M268" s="380"/>
      <c r="N268" s="381"/>
      <c r="R268" s="1595">
        <v>0.25</v>
      </c>
      <c r="S268" s="1288">
        <v>0.3</v>
      </c>
      <c r="T268" s="1289" t="s">
        <v>4776</v>
      </c>
      <c r="U268" s="1290" t="s">
        <v>4803</v>
      </c>
      <c r="V268" s="1289" t="s">
        <v>105</v>
      </c>
      <c r="W268" s="1291" t="s">
        <v>3624</v>
      </c>
    </row>
    <row r="269" spans="1:23" ht="15" thickBot="1" x14ac:dyDescent="0.4">
      <c r="A269" s="529"/>
      <c r="B269" s="525">
        <v>365.25</v>
      </c>
      <c r="C269" s="509">
        <v>365.25</v>
      </c>
      <c r="D269" s="505" t="s">
        <v>4109</v>
      </c>
      <c r="E269" s="507"/>
      <c r="F269" s="500"/>
      <c r="G269" s="161"/>
      <c r="H269" s="161"/>
      <c r="I269" s="161"/>
      <c r="J269" s="161"/>
      <c r="K269" s="161"/>
      <c r="L269" s="161"/>
      <c r="M269" s="161"/>
      <c r="N269" s="163"/>
      <c r="R269" s="1595">
        <v>0.33</v>
      </c>
      <c r="S269" s="1292">
        <v>0.3</v>
      </c>
      <c r="T269" s="1293" t="s">
        <v>4778</v>
      </c>
      <c r="U269" s="1294" t="s">
        <v>4803</v>
      </c>
      <c r="V269" s="1293" t="s">
        <v>105</v>
      </c>
      <c r="W269" s="1295" t="s">
        <v>3624</v>
      </c>
    </row>
    <row r="270" spans="1:23" ht="15" thickBot="1" x14ac:dyDescent="0.4">
      <c r="A270" s="529"/>
      <c r="B270" s="525" t="s">
        <v>3826</v>
      </c>
      <c r="C270" s="522">
        <f>+$L$305</f>
        <v>0.75</v>
      </c>
      <c r="D270" s="505" t="s">
        <v>4726</v>
      </c>
      <c r="E270" s="507"/>
      <c r="F270" s="500"/>
      <c r="G270" s="161"/>
      <c r="H270" s="161"/>
      <c r="I270" s="161"/>
      <c r="J270" s="161"/>
      <c r="K270" s="161"/>
      <c r="L270" s="161"/>
      <c r="M270" s="161"/>
      <c r="N270" s="163"/>
      <c r="R270" s="1595">
        <v>0.78</v>
      </c>
      <c r="S270" s="1288" t="s">
        <v>1460</v>
      </c>
      <c r="T270" s="1289" t="s">
        <v>4779</v>
      </c>
      <c r="U270" s="1290" t="s">
        <v>4780</v>
      </c>
      <c r="V270" s="1289" t="s">
        <v>105</v>
      </c>
      <c r="W270" s="1291" t="s">
        <v>3624</v>
      </c>
    </row>
    <row r="271" spans="1:23" ht="15" thickBot="1" x14ac:dyDescent="0.4">
      <c r="A271" s="529"/>
      <c r="B271" s="525" t="s">
        <v>3827</v>
      </c>
      <c r="C271" s="524">
        <f>+$L$319</f>
        <v>1</v>
      </c>
      <c r="D271" s="505" t="s">
        <v>3871</v>
      </c>
      <c r="E271" s="507"/>
      <c r="F271" s="500"/>
      <c r="G271" s="161"/>
      <c r="H271" s="161"/>
      <c r="I271" s="161"/>
      <c r="J271" s="161"/>
      <c r="K271" s="161"/>
      <c r="L271" s="161"/>
      <c r="M271" s="161"/>
      <c r="N271" s="163"/>
      <c r="R271" s="1596">
        <v>0.22</v>
      </c>
      <c r="S271" s="1303" t="s">
        <v>1460</v>
      </c>
      <c r="T271" s="1304" t="s">
        <v>4782</v>
      </c>
      <c r="U271" s="1305" t="s">
        <v>4780</v>
      </c>
      <c r="V271" s="1304" t="s">
        <v>105</v>
      </c>
      <c r="W271" s="1306" t="s">
        <v>3624</v>
      </c>
    </row>
    <row r="272" spans="1:23" ht="15" thickBot="1" x14ac:dyDescent="0.4">
      <c r="A272" s="529"/>
      <c r="B272" s="528" t="s">
        <v>1876</v>
      </c>
      <c r="C272" s="2787">
        <f>+$L$311</f>
        <v>4.4999999999999997E-3</v>
      </c>
      <c r="D272" s="516" t="s">
        <v>1927</v>
      </c>
      <c r="E272" s="516"/>
      <c r="F272" s="507"/>
      <c r="G272" s="507"/>
      <c r="H272" s="507"/>
      <c r="I272" s="507"/>
      <c r="J272" s="507"/>
      <c r="K272" s="507"/>
      <c r="L272" s="507"/>
      <c r="M272" s="507"/>
      <c r="N272" s="535"/>
    </row>
    <row r="273" spans="1:28" ht="15" thickBot="1" x14ac:dyDescent="0.4">
      <c r="A273" s="529"/>
      <c r="B273" s="539"/>
      <c r="C273" s="519"/>
      <c r="D273" s="520" t="s">
        <v>4729</v>
      </c>
      <c r="E273" s="520"/>
      <c r="F273" s="507"/>
      <c r="G273" s="507"/>
      <c r="H273" s="507"/>
      <c r="I273" s="507"/>
      <c r="J273" s="507"/>
      <c r="K273" s="507"/>
      <c r="L273" s="507"/>
      <c r="M273" s="507"/>
      <c r="N273" s="535"/>
      <c r="R273" s="3417" t="s">
        <v>4815</v>
      </c>
      <c r="S273" s="3418"/>
      <c r="T273" s="3418"/>
      <c r="U273" s="3418"/>
      <c r="V273" s="3418"/>
      <c r="W273" s="3419"/>
      <c r="Z273" s="3446" t="s">
        <v>4816</v>
      </c>
      <c r="AA273" s="3447"/>
      <c r="AB273" s="3448"/>
    </row>
    <row r="274" spans="1:28" ht="26.5" thickBot="1" x14ac:dyDescent="0.4">
      <c r="A274" s="529"/>
      <c r="B274" s="525" t="s">
        <v>4717</v>
      </c>
      <c r="C274" s="522"/>
      <c r="D274" s="507" t="s">
        <v>4016</v>
      </c>
      <c r="E274" s="507"/>
      <c r="F274" s="507"/>
      <c r="G274" s="507"/>
      <c r="H274" s="507"/>
      <c r="I274" s="507"/>
      <c r="J274" s="507"/>
      <c r="K274" s="507"/>
      <c r="L274" s="507"/>
      <c r="M274" s="507"/>
      <c r="N274" s="535"/>
      <c r="R274" s="3420" t="s">
        <v>4817</v>
      </c>
      <c r="S274" s="2279" t="s">
        <v>4754</v>
      </c>
      <c r="T274" s="3421" t="s">
        <v>4695</v>
      </c>
      <c r="U274" s="3421" t="s">
        <v>2589</v>
      </c>
      <c r="V274" s="3421" t="s">
        <v>4755</v>
      </c>
      <c r="W274" s="3422" t="s">
        <v>4756</v>
      </c>
      <c r="Z274" s="1308" t="s">
        <v>4817</v>
      </c>
      <c r="AA274" s="1286" t="s">
        <v>4695</v>
      </c>
      <c r="AB274" s="1309" t="s">
        <v>4818</v>
      </c>
    </row>
    <row r="275" spans="1:28" ht="39.5" thickBot="1" x14ac:dyDescent="0.4">
      <c r="A275" s="539"/>
      <c r="B275" s="525" t="s">
        <v>1580</v>
      </c>
      <c r="C275" s="541">
        <f>+$R$268</f>
        <v>0.25</v>
      </c>
      <c r="D275" s="507" t="s">
        <v>4819</v>
      </c>
      <c r="E275" s="507"/>
      <c r="F275" s="507"/>
      <c r="G275" s="507"/>
      <c r="H275" s="507"/>
      <c r="I275" s="507"/>
      <c r="J275" s="507"/>
      <c r="K275" s="507"/>
      <c r="L275" s="507"/>
      <c r="M275" s="507"/>
      <c r="N275" s="535"/>
      <c r="R275" s="3420"/>
      <c r="S275" s="2279" t="s">
        <v>4758</v>
      </c>
      <c r="T275" s="3421"/>
      <c r="U275" s="3421"/>
      <c r="V275" s="3421"/>
      <c r="W275" s="3422"/>
      <c r="Z275" s="1597">
        <v>0.84</v>
      </c>
      <c r="AA275" s="1288" t="s">
        <v>4820</v>
      </c>
      <c r="AB275" s="1311" t="s">
        <v>4821</v>
      </c>
    </row>
    <row r="276" spans="1:28" ht="26.5" thickBot="1" x14ac:dyDescent="0.4">
      <c r="A276" s="523"/>
      <c r="B276" s="523"/>
      <c r="F276" s="507"/>
      <c r="G276" s="507"/>
      <c r="H276" s="507"/>
      <c r="I276" s="507"/>
      <c r="J276" s="507"/>
      <c r="K276" s="507"/>
      <c r="L276" s="507"/>
      <c r="M276" s="507"/>
      <c r="N276" s="535"/>
      <c r="R276" s="1287">
        <v>8.3000000000000004E-2</v>
      </c>
      <c r="S276" s="1288">
        <v>8.3000000000000004E-2</v>
      </c>
      <c r="T276" s="1289" t="s">
        <v>3019</v>
      </c>
      <c r="U276" s="1290" t="s">
        <v>4822</v>
      </c>
      <c r="V276" s="1289" t="s">
        <v>4762</v>
      </c>
      <c r="W276" s="1291" t="s">
        <v>4763</v>
      </c>
      <c r="Z276" s="1597">
        <v>1.9550000000000001</v>
      </c>
      <c r="AA276" s="1292" t="s">
        <v>4823</v>
      </c>
      <c r="AB276" s="1313" t="s">
        <v>4824</v>
      </c>
    </row>
    <row r="277" spans="1:28" ht="52.5" thickBot="1" x14ac:dyDescent="0.4">
      <c r="A277" s="528" t="s">
        <v>4825</v>
      </c>
      <c r="B277" s="380"/>
      <c r="C277" s="494"/>
      <c r="D277" s="494"/>
      <c r="E277" s="495"/>
      <c r="F277" s="507"/>
      <c r="G277" s="507"/>
      <c r="H277" s="507"/>
      <c r="I277" s="507"/>
      <c r="J277" s="507"/>
      <c r="K277" s="507"/>
      <c r="L277" s="507"/>
      <c r="M277" s="507"/>
      <c r="N277" s="535"/>
      <c r="R277" s="1287">
        <v>24.99</v>
      </c>
      <c r="S277" s="1292">
        <v>24.99</v>
      </c>
      <c r="T277" s="1293" t="s">
        <v>2698</v>
      </c>
      <c r="U277" s="1294" t="s">
        <v>4822</v>
      </c>
      <c r="V277" s="1293" t="s">
        <v>4762</v>
      </c>
      <c r="W277" s="1295" t="s">
        <v>4763</v>
      </c>
      <c r="Z277" s="1310">
        <v>7.8</v>
      </c>
      <c r="AA277" s="1288" t="s">
        <v>4826</v>
      </c>
      <c r="AB277" s="1311" t="s">
        <v>4827</v>
      </c>
    </row>
    <row r="278" spans="1:28" ht="52.5" thickBot="1" x14ac:dyDescent="0.4">
      <c r="A278" s="261"/>
      <c r="B278" s="161"/>
      <c r="C278" s="161"/>
      <c r="D278" s="498"/>
      <c r="E278" s="499"/>
      <c r="F278" s="507"/>
      <c r="G278" s="507"/>
      <c r="H278" s="507"/>
      <c r="I278" s="507"/>
      <c r="J278" s="507"/>
      <c r="K278" s="507"/>
      <c r="L278" s="507"/>
      <c r="M278" s="507"/>
      <c r="N278" s="535"/>
      <c r="R278" s="1593">
        <v>5.55</v>
      </c>
      <c r="S278" s="1288">
        <v>10</v>
      </c>
      <c r="T278" s="1289" t="s">
        <v>4828</v>
      </c>
      <c r="U278" s="1290" t="s">
        <v>4829</v>
      </c>
      <c r="V278" s="1289" t="s">
        <v>105</v>
      </c>
      <c r="W278" s="1291" t="s">
        <v>3624</v>
      </c>
      <c r="Z278" s="1597">
        <v>7.4</v>
      </c>
      <c r="AA278" s="1292" t="s">
        <v>4830</v>
      </c>
      <c r="AB278" s="1313" t="s">
        <v>4824</v>
      </c>
    </row>
    <row r="279" spans="1:28" ht="26.5" thickBot="1" x14ac:dyDescent="0.4">
      <c r="A279" s="99"/>
      <c r="B279" s="1255" t="s">
        <v>1849</v>
      </c>
      <c r="C279" s="1256" t="s">
        <v>1846</v>
      </c>
      <c r="D279" s="498"/>
      <c r="E279" s="499"/>
      <c r="F279" s="507"/>
      <c r="G279" s="507"/>
      <c r="H279" s="507"/>
      <c r="I279" s="507"/>
      <c r="J279" s="507"/>
      <c r="K279" s="507"/>
      <c r="L279" s="507"/>
      <c r="M279" s="507"/>
      <c r="N279" s="535"/>
      <c r="R279" s="1315">
        <v>8766</v>
      </c>
      <c r="S279" s="1314">
        <v>8766</v>
      </c>
      <c r="T279" s="1293" t="s">
        <v>1641</v>
      </c>
      <c r="U279" s="1294" t="s">
        <v>4822</v>
      </c>
      <c r="V279" s="1293" t="s">
        <v>4762</v>
      </c>
      <c r="W279" s="1295" t="s">
        <v>4763</v>
      </c>
      <c r="Z279" s="1597">
        <v>2.9649999999999999</v>
      </c>
      <c r="AA279" s="1288" t="s">
        <v>4831</v>
      </c>
      <c r="AB279" s="1311" t="s">
        <v>4824</v>
      </c>
    </row>
    <row r="280" spans="1:28" ht="15" thickBot="1" x14ac:dyDescent="0.4">
      <c r="A280" s="529" t="s">
        <v>4832</v>
      </c>
      <c r="B280" s="2786">
        <f>(C281*C282*C283*C285*C288)/(C286*C287)</f>
        <v>0.19515533662800003</v>
      </c>
      <c r="C280" s="1260"/>
      <c r="D280" s="1261"/>
      <c r="E280" s="164"/>
      <c r="R280" s="1315">
        <v>100000</v>
      </c>
      <c r="S280" s="1316">
        <v>100000</v>
      </c>
      <c r="T280" s="1289" t="s">
        <v>4833</v>
      </c>
      <c r="U280" s="1290" t="s">
        <v>4822</v>
      </c>
      <c r="V280" s="1289" t="s">
        <v>4762</v>
      </c>
      <c r="W280" s="1291" t="s">
        <v>4763</v>
      </c>
      <c r="Z280" s="1312">
        <v>365.25</v>
      </c>
      <c r="AA280" s="1292" t="s">
        <v>4767</v>
      </c>
      <c r="AB280" s="1313" t="s">
        <v>4827</v>
      </c>
    </row>
    <row r="281" spans="1:28" ht="15" thickBot="1" x14ac:dyDescent="0.4">
      <c r="A281" s="528" t="s">
        <v>4698</v>
      </c>
      <c r="B281" s="525" t="s">
        <v>3019</v>
      </c>
      <c r="C281" s="1307">
        <v>8.3000000000000004E-2</v>
      </c>
      <c r="D281" s="505" t="s">
        <v>4834</v>
      </c>
      <c r="E281" s="506"/>
      <c r="R281" s="1287">
        <v>0.78</v>
      </c>
      <c r="S281" s="1292">
        <v>0.78</v>
      </c>
      <c r="T281" s="1293" t="s">
        <v>4835</v>
      </c>
      <c r="U281" s="1294" t="s">
        <v>4822</v>
      </c>
      <c r="V281" s="1293" t="s">
        <v>4762</v>
      </c>
      <c r="W281" s="1295" t="s">
        <v>4763</v>
      </c>
      <c r="Z281" s="1310">
        <v>0.6</v>
      </c>
      <c r="AA281" s="1288" t="s">
        <v>3936</v>
      </c>
      <c r="AB281" s="1311" t="s">
        <v>4836</v>
      </c>
    </row>
    <row r="282" spans="1:28" ht="26.5" thickBot="1" x14ac:dyDescent="0.4">
      <c r="A282" s="529"/>
      <c r="B282" s="525" t="s">
        <v>2698</v>
      </c>
      <c r="C282" s="542">
        <v>24.99</v>
      </c>
      <c r="D282" s="505" t="s">
        <v>4837</v>
      </c>
      <c r="E282" s="506"/>
      <c r="F282" s="496"/>
      <c r="G282" s="496"/>
      <c r="H282" s="497"/>
      <c r="I282" s="496"/>
      <c r="J282" s="380"/>
      <c r="K282" s="380"/>
      <c r="L282" s="380"/>
      <c r="M282" s="380"/>
      <c r="N282" s="381"/>
      <c r="R282" s="1287">
        <v>0.67</v>
      </c>
      <c r="S282" s="1288">
        <v>0.78</v>
      </c>
      <c r="T282" s="1289" t="s">
        <v>4838</v>
      </c>
      <c r="U282" s="1290" t="s">
        <v>4822</v>
      </c>
      <c r="V282" s="1289" t="s">
        <v>4762</v>
      </c>
      <c r="W282" s="1291" t="s">
        <v>3624</v>
      </c>
      <c r="Z282" s="1597">
        <v>0.43</v>
      </c>
      <c r="AA282" s="1292" t="s">
        <v>4839</v>
      </c>
      <c r="AB282" s="1313" t="s">
        <v>4824</v>
      </c>
    </row>
    <row r="283" spans="1:28" ht="15" thickBot="1" x14ac:dyDescent="0.4">
      <c r="A283" s="529"/>
      <c r="B283" s="525" t="s">
        <v>3999</v>
      </c>
      <c r="C283" s="508">
        <v>6.44</v>
      </c>
      <c r="D283" s="507" t="s">
        <v>4840</v>
      </c>
      <c r="E283" s="506"/>
      <c r="F283" s="500"/>
      <c r="G283" s="161"/>
      <c r="H283" s="161"/>
      <c r="I283" s="161"/>
      <c r="J283" s="161"/>
      <c r="K283" s="161"/>
      <c r="L283" s="161"/>
      <c r="M283" s="161"/>
      <c r="N283" s="163"/>
      <c r="R283" s="1593">
        <v>0.13</v>
      </c>
      <c r="S283" s="1292">
        <v>0.28999999999999998</v>
      </c>
      <c r="T283" s="1293" t="s">
        <v>4776</v>
      </c>
      <c r="U283" s="1294" t="s">
        <v>4803</v>
      </c>
      <c r="V283" s="1293" t="s">
        <v>105</v>
      </c>
      <c r="W283" s="1295" t="s">
        <v>3624</v>
      </c>
      <c r="Z283" s="1598">
        <v>0.01</v>
      </c>
      <c r="AA283" s="1298" t="s">
        <v>4841</v>
      </c>
      <c r="AB283" s="1317" t="s">
        <v>4827</v>
      </c>
    </row>
    <row r="284" spans="1:28" ht="15" thickBot="1" x14ac:dyDescent="0.4">
      <c r="A284" s="529"/>
      <c r="B284" s="525" t="s">
        <v>4000</v>
      </c>
      <c r="C284" s="508">
        <v>4.6500000000000004</v>
      </c>
      <c r="D284" s="507" t="s">
        <v>4840</v>
      </c>
      <c r="E284" s="506"/>
      <c r="F284" s="500"/>
      <c r="G284" s="161"/>
      <c r="H284" s="161"/>
      <c r="I284" s="161"/>
      <c r="J284" s="161"/>
      <c r="K284" s="161"/>
      <c r="L284" s="161"/>
      <c r="M284" s="161"/>
      <c r="N284" s="163"/>
      <c r="R284" s="1287">
        <v>0.21</v>
      </c>
      <c r="S284" s="1288">
        <v>0.28999999999999998</v>
      </c>
      <c r="T284" s="1289" t="s">
        <v>4778</v>
      </c>
      <c r="U284" s="1290" t="s">
        <v>4803</v>
      </c>
      <c r="V284" s="1289" t="s">
        <v>105</v>
      </c>
      <c r="W284" s="1291" t="s">
        <v>3624</v>
      </c>
    </row>
    <row r="285" spans="1:28" ht="15" thickBot="1" x14ac:dyDescent="0.4">
      <c r="A285" s="529"/>
      <c r="B285" s="525" t="s">
        <v>1641</v>
      </c>
      <c r="C285" s="508">
        <v>8766</v>
      </c>
      <c r="D285" s="505" t="s">
        <v>1084</v>
      </c>
      <c r="E285" s="506"/>
      <c r="F285" s="500"/>
      <c r="G285" s="161"/>
      <c r="H285" s="161"/>
      <c r="I285" s="161"/>
      <c r="J285" s="161"/>
      <c r="K285" s="161"/>
      <c r="L285" s="161"/>
      <c r="M285" s="161"/>
      <c r="N285" s="163"/>
      <c r="R285" s="1593">
        <v>0.78</v>
      </c>
      <c r="S285" s="1292" t="s">
        <v>1460</v>
      </c>
      <c r="T285" s="1293" t="s">
        <v>4779</v>
      </c>
      <c r="U285" s="1294" t="s">
        <v>4780</v>
      </c>
      <c r="V285" s="1293" t="s">
        <v>105</v>
      </c>
      <c r="W285" s="1295" t="s">
        <v>3624</v>
      </c>
    </row>
    <row r="286" spans="1:28" ht="15" thickBot="1" x14ac:dyDescent="0.4">
      <c r="A286" s="536"/>
      <c r="B286" s="525">
        <v>100000</v>
      </c>
      <c r="C286" s="508">
        <v>100000</v>
      </c>
      <c r="D286" s="505" t="s">
        <v>4842</v>
      </c>
      <c r="E286" s="506"/>
      <c r="F286" s="507"/>
      <c r="G286" s="507"/>
      <c r="H286" s="507"/>
      <c r="I286" s="507"/>
      <c r="J286" s="507"/>
      <c r="K286" s="507"/>
      <c r="L286" s="507"/>
      <c r="M286" s="507"/>
      <c r="N286" s="535"/>
      <c r="R286" s="1593">
        <v>0.22</v>
      </c>
      <c r="S286" s="1288" t="s">
        <v>1460</v>
      </c>
      <c r="T286" s="1289" t="s">
        <v>4782</v>
      </c>
      <c r="U286" s="1290" t="s">
        <v>4780</v>
      </c>
      <c r="V286" s="1289" t="s">
        <v>105</v>
      </c>
      <c r="W286" s="1291" t="s">
        <v>3624</v>
      </c>
    </row>
    <row r="287" spans="1:28" ht="26.5" thickBot="1" x14ac:dyDescent="0.4">
      <c r="A287" s="536"/>
      <c r="B287" s="525" t="s">
        <v>4717</v>
      </c>
      <c r="C287" s="522">
        <f>+E345</f>
        <v>0.78</v>
      </c>
      <c r="D287" s="505" t="s">
        <v>4843</v>
      </c>
      <c r="E287" s="506"/>
      <c r="F287" s="507"/>
      <c r="G287" s="507"/>
      <c r="H287" s="507"/>
      <c r="I287" s="507"/>
      <c r="J287" s="507"/>
      <c r="K287" s="507"/>
      <c r="L287" s="507"/>
      <c r="M287" s="507"/>
      <c r="N287" s="535"/>
      <c r="R287" s="1594">
        <v>0.75</v>
      </c>
      <c r="S287" s="2463">
        <v>0.84</v>
      </c>
      <c r="T287" s="1304" t="s">
        <v>1875</v>
      </c>
      <c r="U287" s="1305" t="s">
        <v>4760</v>
      </c>
      <c r="V287" s="1304" t="s">
        <v>105</v>
      </c>
      <c r="W287" s="1306" t="s">
        <v>3624</v>
      </c>
    </row>
    <row r="288" spans="1:28" ht="15" thickBot="1" x14ac:dyDescent="0.4">
      <c r="A288" s="536"/>
      <c r="B288" s="525" t="s">
        <v>1580</v>
      </c>
      <c r="C288" s="508">
        <f>+$R$283</f>
        <v>0.13</v>
      </c>
      <c r="D288" s="505" t="s">
        <v>4844</v>
      </c>
      <c r="E288" s="506"/>
      <c r="F288" s="507"/>
      <c r="G288" s="507"/>
      <c r="H288" s="507"/>
      <c r="I288" s="507"/>
      <c r="J288" s="507"/>
      <c r="K288" s="507"/>
      <c r="L288" s="507"/>
      <c r="M288" s="507"/>
      <c r="N288" s="535"/>
    </row>
    <row r="289" spans="1:23" ht="15" thickBot="1" x14ac:dyDescent="0.4">
      <c r="A289" s="523"/>
      <c r="B289" s="523"/>
      <c r="F289" s="507"/>
      <c r="G289" s="507"/>
      <c r="H289" s="507"/>
      <c r="I289" s="507"/>
      <c r="J289" s="507"/>
      <c r="K289" s="507"/>
      <c r="L289" s="507"/>
      <c r="M289" s="507"/>
      <c r="N289" s="535"/>
      <c r="R289" s="3417" t="s">
        <v>4845</v>
      </c>
      <c r="S289" s="3418"/>
      <c r="T289" s="3418"/>
      <c r="U289" s="3418"/>
      <c r="V289" s="3418"/>
      <c r="W289" s="3419"/>
    </row>
    <row r="290" spans="1:23" ht="15" thickBot="1" x14ac:dyDescent="0.4">
      <c r="A290" s="523"/>
      <c r="B290" s="523"/>
      <c r="F290" s="507"/>
      <c r="G290" s="507"/>
      <c r="H290" s="507"/>
      <c r="I290" s="507"/>
      <c r="J290" s="507"/>
      <c r="K290" s="507"/>
      <c r="L290" s="507"/>
      <c r="M290" s="507"/>
      <c r="N290" s="535"/>
      <c r="R290" s="3420" t="s">
        <v>4817</v>
      </c>
      <c r="S290" s="2279" t="s">
        <v>4754</v>
      </c>
      <c r="T290" s="3421" t="s">
        <v>4695</v>
      </c>
      <c r="U290" s="3421" t="s">
        <v>2589</v>
      </c>
      <c r="V290" s="3421" t="s">
        <v>4755</v>
      </c>
      <c r="W290" s="3422" t="s">
        <v>4756</v>
      </c>
    </row>
    <row r="291" spans="1:23" ht="19" thickBot="1" x14ac:dyDescent="0.5">
      <c r="A291" s="528" t="s">
        <v>4734</v>
      </c>
      <c r="B291" s="1259" t="s">
        <v>4735</v>
      </c>
      <c r="C291" s="494"/>
      <c r="D291" s="494"/>
      <c r="E291" s="495"/>
      <c r="F291" s="507"/>
      <c r="G291" s="507"/>
      <c r="H291" s="507"/>
      <c r="I291" s="507"/>
      <c r="J291" s="507"/>
      <c r="K291" s="507"/>
      <c r="L291" s="507"/>
      <c r="M291" s="507"/>
      <c r="N291" s="535"/>
      <c r="R291" s="3420"/>
      <c r="S291" s="2279" t="s">
        <v>4758</v>
      </c>
      <c r="T291" s="3421"/>
      <c r="U291" s="3421"/>
      <c r="V291" s="3421"/>
      <c r="W291" s="3422"/>
    </row>
    <row r="292" spans="1:23" ht="26.5" thickBot="1" x14ac:dyDescent="0.5">
      <c r="A292" s="261"/>
      <c r="B292" s="1259" t="s">
        <v>4736</v>
      </c>
      <c r="C292" s="161"/>
      <c r="D292" s="498"/>
      <c r="E292" s="499"/>
      <c r="F292" s="507"/>
      <c r="G292" s="507"/>
      <c r="H292" s="507"/>
      <c r="I292" s="507"/>
      <c r="J292" s="507"/>
      <c r="K292" s="507"/>
      <c r="L292" s="507"/>
      <c r="M292" s="507"/>
      <c r="N292" s="535"/>
      <c r="R292" s="2464">
        <v>0.75</v>
      </c>
      <c r="S292" s="2461" t="s">
        <v>1460</v>
      </c>
      <c r="T292" s="2465" t="s">
        <v>3828</v>
      </c>
      <c r="U292" s="2466" t="s">
        <v>4846</v>
      </c>
      <c r="V292" s="2465" t="s">
        <v>105</v>
      </c>
      <c r="W292" s="2462" t="s">
        <v>3624</v>
      </c>
    </row>
    <row r="293" spans="1:23" ht="15" thickBot="1" x14ac:dyDescent="0.4">
      <c r="A293" s="99"/>
      <c r="B293" s="1255" t="s">
        <v>1760</v>
      </c>
      <c r="C293" s="1256" t="s">
        <v>1464</v>
      </c>
      <c r="D293" s="498"/>
      <c r="E293" s="499"/>
      <c r="F293" s="507"/>
      <c r="G293" s="507"/>
      <c r="H293" s="507"/>
      <c r="I293" s="507"/>
      <c r="J293" s="507"/>
      <c r="K293" s="507"/>
      <c r="L293" s="507"/>
      <c r="M293" s="507"/>
      <c r="N293" s="535"/>
      <c r="R293" s="2464">
        <v>2.0299999999999998</v>
      </c>
      <c r="S293" s="2461" t="s">
        <v>1460</v>
      </c>
      <c r="T293" s="2465" t="s">
        <v>4847</v>
      </c>
      <c r="U293" s="2466" t="s">
        <v>4777</v>
      </c>
      <c r="V293" s="2465" t="s">
        <v>105</v>
      </c>
      <c r="W293" s="2462" t="s">
        <v>3624</v>
      </c>
    </row>
    <row r="294" spans="1:23" ht="15" thickBot="1" x14ac:dyDescent="0.4">
      <c r="A294" s="529" t="s">
        <v>4737</v>
      </c>
      <c r="B294" s="2786">
        <f>C296*(C297-C298)*C299*C300*C301*C302</f>
        <v>300.170171385</v>
      </c>
      <c r="C294" s="1260">
        <f>+C295*C296*(C297-C298)*C299*C300*C301*C302*C303</f>
        <v>2.2512762853875001</v>
      </c>
      <c r="D294" s="1261"/>
      <c r="E294" s="164"/>
      <c r="F294" s="507"/>
      <c r="G294" s="507"/>
      <c r="H294" s="507"/>
      <c r="I294" s="507"/>
      <c r="J294" s="507"/>
      <c r="K294" s="507"/>
      <c r="L294" s="507"/>
      <c r="M294" s="507"/>
      <c r="N294" s="535"/>
      <c r="R294" s="2464">
        <v>2.0099999999999998</v>
      </c>
      <c r="S294" s="2461" t="s">
        <v>1460</v>
      </c>
      <c r="T294" s="2465" t="s">
        <v>4848</v>
      </c>
      <c r="U294" s="2466" t="s">
        <v>4777</v>
      </c>
      <c r="V294" s="2465" t="s">
        <v>105</v>
      </c>
      <c r="W294" s="2462" t="s">
        <v>3624</v>
      </c>
    </row>
    <row r="295" spans="1:23" ht="15" thickBot="1" x14ac:dyDescent="0.4">
      <c r="A295" s="528" t="s">
        <v>4698</v>
      </c>
      <c r="B295" s="525" t="s">
        <v>3828</v>
      </c>
      <c r="C295" s="1262">
        <f>R292</f>
        <v>0.75</v>
      </c>
      <c r="D295" s="505" t="s">
        <v>4772</v>
      </c>
      <c r="E295" s="506"/>
      <c r="F295" s="507"/>
      <c r="G295" s="507"/>
      <c r="H295" s="507"/>
      <c r="I295" s="507"/>
      <c r="J295" s="507"/>
      <c r="K295" s="507"/>
      <c r="L295" s="507"/>
      <c r="M295" s="507"/>
      <c r="N295" s="535"/>
      <c r="R295" s="2464">
        <v>7.8</v>
      </c>
      <c r="S295" s="2461" t="s">
        <v>1460</v>
      </c>
      <c r="T295" s="2465" t="s">
        <v>1981</v>
      </c>
      <c r="U295" s="2466" t="s">
        <v>4849</v>
      </c>
      <c r="V295" s="2465" t="s">
        <v>4850</v>
      </c>
      <c r="W295" s="2462" t="s">
        <v>3624</v>
      </c>
    </row>
    <row r="296" spans="1:23" ht="15" thickBot="1" x14ac:dyDescent="0.4">
      <c r="A296" s="529"/>
      <c r="B296" s="525" t="s">
        <v>4035</v>
      </c>
      <c r="C296" s="542">
        <f>R293</f>
        <v>2.0299999999999998</v>
      </c>
      <c r="D296" s="505" t="s">
        <v>4851</v>
      </c>
      <c r="E296" s="506"/>
      <c r="R296" s="2464">
        <v>7.26</v>
      </c>
      <c r="S296" s="2461" t="s">
        <v>1460</v>
      </c>
      <c r="T296" s="2465" t="s">
        <v>4852</v>
      </c>
      <c r="U296" s="2466" t="s">
        <v>4853</v>
      </c>
      <c r="V296" s="2465" t="s">
        <v>105</v>
      </c>
      <c r="W296" s="2462" t="s">
        <v>3624</v>
      </c>
    </row>
    <row r="297" spans="1:23" ht="26.5" thickBot="1" x14ac:dyDescent="0.4">
      <c r="A297" s="529"/>
      <c r="B297" s="525" t="s">
        <v>4740</v>
      </c>
      <c r="C297" s="508">
        <f>R295</f>
        <v>7.8</v>
      </c>
      <c r="D297" s="507" t="s">
        <v>4741</v>
      </c>
      <c r="E297" s="506"/>
      <c r="F297" s="2282"/>
      <c r="H297" s="3449" t="s">
        <v>4854</v>
      </c>
      <c r="I297" s="3450"/>
      <c r="J297" s="3450"/>
      <c r="K297" s="3450"/>
      <c r="L297" s="3450"/>
      <c r="M297" s="3451"/>
      <c r="R297" s="2464">
        <v>2.5499999999999998</v>
      </c>
      <c r="S297" s="2461" t="s">
        <v>1460</v>
      </c>
      <c r="T297" s="2465" t="s">
        <v>4855</v>
      </c>
      <c r="U297" s="2466" t="s">
        <v>4856</v>
      </c>
      <c r="V297" s="2465" t="s">
        <v>105</v>
      </c>
      <c r="W297" s="2462" t="s">
        <v>3624</v>
      </c>
    </row>
    <row r="298" spans="1:23" ht="26.5" thickBot="1" x14ac:dyDescent="0.4">
      <c r="A298" s="529"/>
      <c r="B298" s="525" t="s">
        <v>4036</v>
      </c>
      <c r="C298" s="508">
        <f>R296</f>
        <v>7.26</v>
      </c>
      <c r="D298" s="507" t="s">
        <v>4857</v>
      </c>
      <c r="E298" s="506"/>
      <c r="F298" s="537"/>
      <c r="H298" s="518" t="s">
        <v>1937</v>
      </c>
      <c r="I298" s="543" t="s">
        <v>2019</v>
      </c>
      <c r="J298" s="273"/>
      <c r="K298" s="518" t="s">
        <v>3769</v>
      </c>
      <c r="L298" s="543" t="s">
        <v>3777</v>
      </c>
      <c r="M298" s="537"/>
      <c r="R298" s="2464">
        <v>0.49</v>
      </c>
      <c r="S298" s="2461" t="s">
        <v>1460</v>
      </c>
      <c r="T298" s="2465" t="s">
        <v>4858</v>
      </c>
      <c r="U298" s="2466" t="s">
        <v>4859</v>
      </c>
      <c r="V298" s="2465" t="s">
        <v>105</v>
      </c>
      <c r="W298" s="2462" t="s">
        <v>3624</v>
      </c>
    </row>
    <row r="299" spans="1:23" ht="15" thickBot="1" x14ac:dyDescent="0.4">
      <c r="A299" s="529"/>
      <c r="B299" s="525" t="s">
        <v>3777</v>
      </c>
      <c r="C299" s="508">
        <f>R297</f>
        <v>2.5499999999999998</v>
      </c>
      <c r="D299" s="505" t="s">
        <v>4860</v>
      </c>
      <c r="E299" s="506"/>
      <c r="F299" s="537"/>
      <c r="H299" s="544" t="s">
        <v>1566</v>
      </c>
      <c r="I299" s="545">
        <v>0</v>
      </c>
      <c r="J299" s="273"/>
      <c r="K299" s="544" t="s">
        <v>4861</v>
      </c>
      <c r="L299" s="537">
        <v>2.56</v>
      </c>
      <c r="M299" s="537"/>
      <c r="R299" s="2464">
        <v>7.2</v>
      </c>
      <c r="S299" s="2461" t="s">
        <v>1460</v>
      </c>
      <c r="T299" s="2465" t="s">
        <v>4862</v>
      </c>
      <c r="U299" s="2466" t="s">
        <v>4853</v>
      </c>
      <c r="V299" s="2465" t="s">
        <v>105</v>
      </c>
      <c r="W299" s="2462" t="s">
        <v>3624</v>
      </c>
    </row>
    <row r="300" spans="1:23" ht="26.5" thickBot="1" x14ac:dyDescent="0.4">
      <c r="A300" s="536"/>
      <c r="B300" s="525" t="s">
        <v>4037</v>
      </c>
      <c r="C300" s="508">
        <v>365.25</v>
      </c>
      <c r="D300" s="505" t="s">
        <v>4744</v>
      </c>
      <c r="E300" s="506"/>
      <c r="F300" s="537"/>
      <c r="H300" s="544" t="s">
        <v>1529</v>
      </c>
      <c r="I300" s="545">
        <v>1</v>
      </c>
      <c r="J300" s="273"/>
      <c r="K300" s="544" t="s">
        <v>4863</v>
      </c>
      <c r="L300" s="537">
        <v>2.1</v>
      </c>
      <c r="M300" s="537"/>
      <c r="R300" s="2464">
        <v>2.79</v>
      </c>
      <c r="S300" s="2461" t="s">
        <v>1460</v>
      </c>
      <c r="T300" s="2465" t="s">
        <v>4864</v>
      </c>
      <c r="U300" s="2466" t="s">
        <v>4856</v>
      </c>
      <c r="V300" s="2465" t="s">
        <v>105</v>
      </c>
      <c r="W300" s="2462" t="s">
        <v>3624</v>
      </c>
    </row>
    <row r="301" spans="1:23" ht="26.5" thickBot="1" x14ac:dyDescent="0.4">
      <c r="A301" s="536"/>
      <c r="B301" s="525" t="s">
        <v>3936</v>
      </c>
      <c r="C301" s="508">
        <v>0.6</v>
      </c>
      <c r="D301" s="505" t="s">
        <v>4745</v>
      </c>
      <c r="E301" s="506"/>
      <c r="F301" s="537"/>
      <c r="H301" s="546" t="s">
        <v>1185</v>
      </c>
      <c r="I301" s="547">
        <v>0.84</v>
      </c>
      <c r="J301" s="550"/>
      <c r="K301" s="551" t="s">
        <v>105</v>
      </c>
      <c r="L301" s="552" t="s">
        <v>3815</v>
      </c>
      <c r="M301" s="537"/>
      <c r="R301" s="2464">
        <v>0.49</v>
      </c>
      <c r="S301" s="2461" t="s">
        <v>1460</v>
      </c>
      <c r="T301" s="2465" t="s">
        <v>4865</v>
      </c>
      <c r="U301" s="2466" t="s">
        <v>4859</v>
      </c>
      <c r="V301" s="2465" t="s">
        <v>105</v>
      </c>
      <c r="W301" s="2462" t="s">
        <v>3624</v>
      </c>
    </row>
    <row r="302" spans="1:23" ht="15" thickBot="1" x14ac:dyDescent="0.4">
      <c r="A302" s="536"/>
      <c r="B302" s="525" t="s">
        <v>4038</v>
      </c>
      <c r="C302" s="508">
        <f>R301</f>
        <v>0.49</v>
      </c>
      <c r="D302" s="505" t="s">
        <v>4866</v>
      </c>
      <c r="E302" s="506"/>
      <c r="F302" s="537"/>
      <c r="H302" s="544"/>
      <c r="I302" s="273"/>
      <c r="J302" s="273"/>
      <c r="K302" s="273"/>
      <c r="L302" s="273"/>
      <c r="M302" s="537"/>
      <c r="R302" s="2464">
        <v>0.78</v>
      </c>
      <c r="S302" s="2461" t="s">
        <v>1460</v>
      </c>
      <c r="T302" s="2465" t="s">
        <v>4779</v>
      </c>
      <c r="U302" s="2466" t="s">
        <v>4867</v>
      </c>
      <c r="V302" s="2465" t="s">
        <v>105</v>
      </c>
      <c r="W302" s="2462" t="s">
        <v>3624</v>
      </c>
    </row>
    <row r="303" spans="1:23" ht="15" thickBot="1" x14ac:dyDescent="0.4">
      <c r="A303" s="536"/>
      <c r="B303" s="525" t="s">
        <v>4841</v>
      </c>
      <c r="C303" s="1263">
        <f>R306</f>
        <v>0.01</v>
      </c>
      <c r="D303" s="505" t="s">
        <v>4868</v>
      </c>
      <c r="E303" s="506"/>
      <c r="F303" s="537"/>
      <c r="H303" s="544"/>
      <c r="I303" s="273"/>
      <c r="J303" s="273"/>
      <c r="K303" s="273"/>
      <c r="L303" s="273"/>
      <c r="M303" s="537"/>
      <c r="R303" s="2464">
        <v>0.22</v>
      </c>
      <c r="S303" s="2461" t="s">
        <v>1460</v>
      </c>
      <c r="T303" s="2465" t="s">
        <v>4782</v>
      </c>
      <c r="U303" s="2466" t="s">
        <v>4846</v>
      </c>
      <c r="V303" s="2465" t="s">
        <v>105</v>
      </c>
      <c r="W303" s="2462" t="s">
        <v>3624</v>
      </c>
    </row>
    <row r="304" spans="1:23" ht="15" thickBot="1" x14ac:dyDescent="0.4">
      <c r="A304" s="536"/>
      <c r="B304" s="525" t="s">
        <v>1431</v>
      </c>
      <c r="C304" s="1264">
        <v>2</v>
      </c>
      <c r="D304" s="505" t="s">
        <v>4750</v>
      </c>
      <c r="E304" s="506"/>
      <c r="F304" s="537"/>
      <c r="H304" s="154"/>
      <c r="I304" s="465" t="s">
        <v>1872</v>
      </c>
      <c r="J304" s="273"/>
      <c r="K304" s="3132" t="s">
        <v>3826</v>
      </c>
      <c r="L304" s="3134"/>
      <c r="M304" s="537"/>
      <c r="R304" s="2464">
        <v>365.25</v>
      </c>
      <c r="S304" s="2461" t="s">
        <v>1460</v>
      </c>
      <c r="T304" s="2465" t="s">
        <v>4037</v>
      </c>
      <c r="U304" s="2466" t="s">
        <v>4849</v>
      </c>
      <c r="V304" s="2465" t="s">
        <v>4762</v>
      </c>
      <c r="W304" s="2462" t="s">
        <v>3624</v>
      </c>
    </row>
    <row r="305" spans="1:23" ht="15" thickBot="1" x14ac:dyDescent="0.4">
      <c r="A305" s="523"/>
      <c r="B305" s="523"/>
      <c r="F305" s="537"/>
      <c r="H305" s="544" t="s">
        <v>4869</v>
      </c>
      <c r="I305" s="553">
        <v>1.53</v>
      </c>
      <c r="J305" s="273"/>
      <c r="K305" s="544" t="s">
        <v>1883</v>
      </c>
      <c r="L305" s="545">
        <v>0.75</v>
      </c>
      <c r="M305" s="537"/>
      <c r="R305" s="2464">
        <v>0.6</v>
      </c>
      <c r="S305" s="2461" t="s">
        <v>1460</v>
      </c>
      <c r="T305" s="2465" t="s">
        <v>3936</v>
      </c>
      <c r="U305" s="2466" t="s">
        <v>4849</v>
      </c>
      <c r="V305" s="2465" t="s">
        <v>4762</v>
      </c>
      <c r="W305" s="2462" t="s">
        <v>3624</v>
      </c>
    </row>
    <row r="306" spans="1:23" ht="44" thickBot="1" x14ac:dyDescent="0.4">
      <c r="A306" s="2280" t="s">
        <v>4870</v>
      </c>
      <c r="B306" s="2281"/>
      <c r="C306" s="2281"/>
      <c r="D306" s="2281"/>
      <c r="E306" s="2281"/>
      <c r="F306" s="537"/>
      <c r="H306" s="557" t="s">
        <v>4871</v>
      </c>
      <c r="I306" s="558" t="s">
        <v>4872</v>
      </c>
      <c r="J306" s="273"/>
      <c r="K306" s="559" t="s">
        <v>1882</v>
      </c>
      <c r="L306" s="560">
        <v>0.9</v>
      </c>
      <c r="M306" s="537"/>
      <c r="R306" s="2464">
        <v>0.01</v>
      </c>
      <c r="S306" s="2461" t="s">
        <v>1460</v>
      </c>
      <c r="T306" s="2465" t="s">
        <v>4799</v>
      </c>
      <c r="U306" s="2466" t="s">
        <v>4849</v>
      </c>
      <c r="V306" s="2465" t="s">
        <v>4762</v>
      </c>
      <c r="W306" s="2462" t="s">
        <v>3624</v>
      </c>
    </row>
    <row r="307" spans="1:23" ht="26.5" thickBot="1" x14ac:dyDescent="0.4">
      <c r="A307" s="518" t="s">
        <v>1937</v>
      </c>
      <c r="B307" s="543" t="s">
        <v>2019</v>
      </c>
      <c r="C307" s="273"/>
      <c r="D307" s="518" t="s">
        <v>3769</v>
      </c>
      <c r="E307" s="543" t="s">
        <v>3777</v>
      </c>
      <c r="F307" s="537"/>
      <c r="H307" s="544"/>
      <c r="I307" s="273"/>
      <c r="J307" s="273"/>
      <c r="K307" s="546" t="s">
        <v>1185</v>
      </c>
      <c r="L307" s="561">
        <v>0.79500000000000004</v>
      </c>
      <c r="M307" s="537"/>
      <c r="R307" s="2464">
        <v>0.01</v>
      </c>
      <c r="S307" s="2461" t="s">
        <v>1460</v>
      </c>
      <c r="T307" s="2465" t="s">
        <v>4801</v>
      </c>
      <c r="U307" s="2466" t="s">
        <v>4849</v>
      </c>
      <c r="V307" s="2465" t="s">
        <v>4762</v>
      </c>
      <c r="W307" s="2462" t="s">
        <v>3624</v>
      </c>
    </row>
    <row r="308" spans="1:23" ht="15" thickBot="1" x14ac:dyDescent="0.4">
      <c r="A308" s="544" t="s">
        <v>1566</v>
      </c>
      <c r="B308" s="545">
        <v>0</v>
      </c>
      <c r="C308" s="273"/>
      <c r="D308" s="544" t="s">
        <v>4861</v>
      </c>
      <c r="E308" s="537">
        <v>2.56</v>
      </c>
      <c r="F308" s="537"/>
      <c r="H308" s="154"/>
      <c r="I308" s="465" t="s">
        <v>1873</v>
      </c>
      <c r="J308" s="273"/>
      <c r="K308" s="273"/>
      <c r="L308" s="273"/>
      <c r="M308" s="537"/>
    </row>
    <row r="309" spans="1:23" ht="15" thickBot="1" x14ac:dyDescent="0.4">
      <c r="A309" s="544" t="s">
        <v>1529</v>
      </c>
      <c r="B309" s="545">
        <v>1</v>
      </c>
      <c r="C309" s="273"/>
      <c r="D309" s="544" t="s">
        <v>4863</v>
      </c>
      <c r="E309" s="537">
        <v>2.1</v>
      </c>
      <c r="F309" s="537"/>
      <c r="H309" s="544" t="s">
        <v>4869</v>
      </c>
      <c r="I309" s="553">
        <v>0.94</v>
      </c>
      <c r="J309" s="273"/>
      <c r="K309" s="3132" t="s">
        <v>1876</v>
      </c>
      <c r="L309" s="3134"/>
      <c r="M309" s="537"/>
    </row>
    <row r="310" spans="1:23" ht="44" thickBot="1" x14ac:dyDescent="0.4">
      <c r="A310" s="546" t="s">
        <v>1185</v>
      </c>
      <c r="B310" s="547">
        <v>0.84</v>
      </c>
      <c r="C310" s="548"/>
      <c r="D310" s="546" t="s">
        <v>105</v>
      </c>
      <c r="E310" s="549" t="s">
        <v>3815</v>
      </c>
      <c r="F310" s="537"/>
      <c r="H310" s="557" t="s">
        <v>4871</v>
      </c>
      <c r="I310" s="558" t="s">
        <v>4873</v>
      </c>
      <c r="J310" s="273"/>
      <c r="K310" s="544" t="s">
        <v>4874</v>
      </c>
      <c r="L310" s="2800">
        <v>3.8E-3</v>
      </c>
      <c r="M310" s="537"/>
    </row>
    <row r="311" spans="1:23" ht="15" thickBot="1" x14ac:dyDescent="0.4">
      <c r="A311" s="544"/>
      <c r="B311" s="273"/>
      <c r="C311" s="273"/>
      <c r="D311" s="273"/>
      <c r="E311" s="273"/>
      <c r="F311" s="537"/>
      <c r="H311" s="544"/>
      <c r="I311" s="273"/>
      <c r="J311" s="537"/>
      <c r="K311" s="544" t="s">
        <v>4875</v>
      </c>
      <c r="L311" s="2800">
        <v>4.4999999999999997E-3</v>
      </c>
      <c r="M311" s="537"/>
    </row>
    <row r="312" spans="1:23" ht="15" thickBot="1" x14ac:dyDescent="0.4">
      <c r="A312" s="544"/>
      <c r="B312" s="273"/>
      <c r="C312" s="273"/>
      <c r="D312" s="273"/>
      <c r="E312" s="273"/>
      <c r="F312" s="537"/>
      <c r="H312" s="62" t="s">
        <v>3825</v>
      </c>
      <c r="I312" s="335" t="s">
        <v>4876</v>
      </c>
      <c r="J312" s="273"/>
      <c r="K312" s="544" t="s">
        <v>4877</v>
      </c>
      <c r="L312" s="2800">
        <v>4.4299999999999999E-3</v>
      </c>
      <c r="M312" s="537"/>
    </row>
    <row r="313" spans="1:23" ht="15" thickBot="1" x14ac:dyDescent="0.4">
      <c r="A313" s="154" t="s">
        <v>55</v>
      </c>
      <c r="B313" s="465" t="s">
        <v>1872</v>
      </c>
      <c r="C313" s="273"/>
      <c r="D313" s="3132" t="s">
        <v>3937</v>
      </c>
      <c r="E313" s="3134"/>
      <c r="F313" s="537"/>
      <c r="H313" s="544" t="s">
        <v>1883</v>
      </c>
      <c r="I313" s="537">
        <v>4.5</v>
      </c>
      <c r="J313" s="273"/>
      <c r="K313" s="544" t="s">
        <v>4878</v>
      </c>
      <c r="L313" s="2801">
        <v>4.4000000000000003E-3</v>
      </c>
      <c r="M313" s="537"/>
    </row>
    <row r="314" spans="1:23" x14ac:dyDescent="0.35">
      <c r="A314" s="544" t="s">
        <v>4879</v>
      </c>
      <c r="B314" s="553">
        <v>2.67</v>
      </c>
      <c r="C314" s="273"/>
      <c r="D314" s="544" t="s">
        <v>3318</v>
      </c>
      <c r="E314" s="537">
        <v>1.79</v>
      </c>
      <c r="F314" s="537"/>
      <c r="H314" s="544" t="s">
        <v>4880</v>
      </c>
      <c r="I314" s="537">
        <v>1.6</v>
      </c>
      <c r="J314" s="273"/>
      <c r="K314" s="544" t="s">
        <v>4881</v>
      </c>
      <c r="L314" s="2800">
        <v>5.3E-3</v>
      </c>
      <c r="M314" s="537"/>
    </row>
    <row r="315" spans="1:23" ht="73" thickBot="1" x14ac:dyDescent="0.4">
      <c r="A315" s="554" t="s">
        <v>4882</v>
      </c>
      <c r="B315" s="2803">
        <v>2.2400000000000002</v>
      </c>
      <c r="C315" s="273"/>
      <c r="D315" s="555" t="s">
        <v>1864</v>
      </c>
      <c r="E315" s="556">
        <v>1.3</v>
      </c>
      <c r="F315" s="537"/>
      <c r="H315" s="566" t="s">
        <v>4883</v>
      </c>
      <c r="I315" s="537">
        <v>9</v>
      </c>
      <c r="J315" s="273"/>
      <c r="K315" s="562" t="s">
        <v>4884</v>
      </c>
      <c r="L315" s="2802">
        <v>5.0000000000000001E-3</v>
      </c>
      <c r="M315" s="537"/>
    </row>
    <row r="316" spans="1:23" ht="73" thickBot="1" x14ac:dyDescent="0.4">
      <c r="A316" s="544"/>
      <c r="B316" s="273"/>
      <c r="C316" s="273"/>
      <c r="D316" s="551" t="s">
        <v>105</v>
      </c>
      <c r="E316" s="552" t="s">
        <v>1940</v>
      </c>
      <c r="F316" s="537"/>
      <c r="H316" s="567" t="s">
        <v>4885</v>
      </c>
      <c r="I316" s="540">
        <v>6.9</v>
      </c>
      <c r="J316" s="273"/>
      <c r="K316" s="273"/>
      <c r="L316" s="273"/>
      <c r="M316" s="537"/>
    </row>
    <row r="317" spans="1:23" ht="15" thickBot="1" x14ac:dyDescent="0.4">
      <c r="A317" s="3132" t="s">
        <v>3982</v>
      </c>
      <c r="B317" s="3134"/>
      <c r="C317" s="273"/>
      <c r="D317" s="273"/>
      <c r="E317" s="273"/>
      <c r="F317" s="537"/>
      <c r="H317" s="544"/>
      <c r="I317" s="273"/>
      <c r="J317" s="273"/>
      <c r="K317" s="273"/>
      <c r="L317" s="273"/>
      <c r="M317" s="537"/>
    </row>
    <row r="318" spans="1:23" ht="15" thickBot="1" x14ac:dyDescent="0.4">
      <c r="A318" s="3417" t="s">
        <v>4886</v>
      </c>
      <c r="B318" s="3419"/>
      <c r="C318" s="273"/>
      <c r="D318" s="3132" t="s">
        <v>1876</v>
      </c>
      <c r="E318" s="3134"/>
      <c r="F318" s="537"/>
      <c r="H318" s="62" t="s">
        <v>3825</v>
      </c>
      <c r="I318" s="335" t="s">
        <v>4887</v>
      </c>
      <c r="J318" s="273"/>
      <c r="K318" s="154" t="s">
        <v>3825</v>
      </c>
      <c r="L318" s="335" t="s">
        <v>3827</v>
      </c>
      <c r="M318" s="537"/>
    </row>
    <row r="319" spans="1:23" x14ac:dyDescent="0.35">
      <c r="A319" s="544">
        <v>2</v>
      </c>
      <c r="B319" s="537" t="s">
        <v>4035</v>
      </c>
      <c r="C319" s="273"/>
      <c r="D319" s="544" t="s">
        <v>3318</v>
      </c>
      <c r="E319" s="2643">
        <v>5.4000000000000003E-3</v>
      </c>
      <c r="F319" s="537"/>
      <c r="H319" s="544" t="s">
        <v>1883</v>
      </c>
      <c r="I319" s="537">
        <v>4.5</v>
      </c>
      <c r="J319" s="273"/>
      <c r="K319" s="544" t="s">
        <v>4888</v>
      </c>
      <c r="L319" s="537">
        <v>1</v>
      </c>
      <c r="M319" s="537"/>
    </row>
    <row r="320" spans="1:23" ht="15" thickBot="1" x14ac:dyDescent="0.4">
      <c r="A320" s="544">
        <v>1.75</v>
      </c>
      <c r="B320" s="537" t="s">
        <v>4035</v>
      </c>
      <c r="C320" s="273"/>
      <c r="D320" s="562" t="s">
        <v>1864</v>
      </c>
      <c r="E320" s="2574">
        <v>6.3E-3</v>
      </c>
      <c r="F320" s="537"/>
      <c r="H320" s="544" t="s">
        <v>4880</v>
      </c>
      <c r="I320" s="537">
        <v>1.6</v>
      </c>
      <c r="J320" s="273"/>
      <c r="K320" s="544" t="s">
        <v>4889</v>
      </c>
      <c r="L320" s="537">
        <v>2.83</v>
      </c>
      <c r="M320" s="537"/>
    </row>
    <row r="321" spans="1:13" ht="73" thickBot="1" x14ac:dyDescent="0.4">
      <c r="A321" s="544">
        <v>1.5</v>
      </c>
      <c r="B321" s="537" t="s">
        <v>4035</v>
      </c>
      <c r="C321" s="273"/>
      <c r="D321" s="563"/>
      <c r="E321" s="564"/>
      <c r="F321" s="537"/>
      <c r="H321" s="566" t="s">
        <v>4883</v>
      </c>
      <c r="I321" s="537">
        <v>9</v>
      </c>
      <c r="J321" s="273"/>
      <c r="K321" s="544" t="s">
        <v>4890</v>
      </c>
      <c r="L321" s="537">
        <v>1.5</v>
      </c>
      <c r="M321" s="537"/>
    </row>
    <row r="322" spans="1:13" ht="73" thickBot="1" x14ac:dyDescent="0.4">
      <c r="A322" s="562" t="s">
        <v>2017</v>
      </c>
      <c r="B322" s="540" t="s">
        <v>4035</v>
      </c>
      <c r="C322" s="273"/>
      <c r="D322" s="3132" t="s">
        <v>1876</v>
      </c>
      <c r="E322" s="3134"/>
      <c r="F322" s="537"/>
      <c r="H322" s="567" t="s">
        <v>4885</v>
      </c>
      <c r="I322" s="540">
        <v>6.9</v>
      </c>
      <c r="J322" s="273"/>
      <c r="K322" s="566" t="s">
        <v>4883</v>
      </c>
      <c r="L322" s="537">
        <v>3.83</v>
      </c>
      <c r="M322" s="537"/>
    </row>
    <row r="323" spans="1:13" ht="29.5" thickBot="1" x14ac:dyDescent="0.4">
      <c r="A323" s="544"/>
      <c r="B323" s="273"/>
      <c r="C323" s="273"/>
      <c r="D323" s="544" t="s">
        <v>3318</v>
      </c>
      <c r="E323" s="545">
        <v>0.78</v>
      </c>
      <c r="F323" s="537"/>
      <c r="H323" s="574"/>
      <c r="I323" s="273"/>
      <c r="J323" s="273"/>
      <c r="K323" s="567" t="s">
        <v>4885</v>
      </c>
      <c r="L323" s="540">
        <v>2.5</v>
      </c>
      <c r="M323" s="537"/>
    </row>
    <row r="324" spans="1:13" ht="15" thickBot="1" x14ac:dyDescent="0.4">
      <c r="A324" s="544"/>
      <c r="B324" s="273"/>
      <c r="C324" s="273"/>
      <c r="D324" s="554" t="s">
        <v>1864</v>
      </c>
      <c r="E324" s="565">
        <v>0.67</v>
      </c>
      <c r="F324" s="537"/>
      <c r="H324" s="3132" t="s">
        <v>1876</v>
      </c>
      <c r="I324" s="3134"/>
      <c r="J324" s="273"/>
      <c r="K324" s="273"/>
      <c r="L324" s="273"/>
      <c r="M324" s="537"/>
    </row>
    <row r="325" spans="1:13" ht="15" thickBot="1" x14ac:dyDescent="0.4">
      <c r="A325" s="3452" t="s">
        <v>4891</v>
      </c>
      <c r="B325" s="3453"/>
      <c r="C325" s="3454"/>
      <c r="D325" s="273"/>
      <c r="E325" s="273"/>
      <c r="F325" s="537"/>
      <c r="H325" s="544" t="s">
        <v>3318</v>
      </c>
      <c r="I325" s="545">
        <v>0.78</v>
      </c>
      <c r="J325" s="273"/>
      <c r="K325" s="273"/>
      <c r="L325" s="273"/>
      <c r="M325" s="537"/>
    </row>
    <row r="326" spans="1:13" ht="15" thickBot="1" x14ac:dyDescent="0.4">
      <c r="A326" s="544" t="s">
        <v>4892</v>
      </c>
      <c r="B326" s="273">
        <v>7.8</v>
      </c>
      <c r="C326" s="537" t="s">
        <v>4893</v>
      </c>
      <c r="D326" s="273"/>
      <c r="E326" s="273"/>
      <c r="F326" s="540"/>
      <c r="H326" s="562" t="s">
        <v>1864</v>
      </c>
      <c r="I326" s="575">
        <v>0.67</v>
      </c>
      <c r="J326" s="520"/>
      <c r="K326" s="520"/>
      <c r="L326" s="520"/>
      <c r="M326" s="540"/>
    </row>
    <row r="327" spans="1:13" ht="15" thickBot="1" x14ac:dyDescent="0.4">
      <c r="A327" s="562" t="s">
        <v>4894</v>
      </c>
      <c r="B327" s="520">
        <v>7.8</v>
      </c>
      <c r="C327" s="540" t="s">
        <v>4893</v>
      </c>
      <c r="D327" s="273"/>
      <c r="E327" s="273"/>
    </row>
    <row r="328" spans="1:13" x14ac:dyDescent="0.35">
      <c r="A328" s="544"/>
      <c r="B328" s="273"/>
      <c r="C328" s="273"/>
      <c r="D328" s="273"/>
      <c r="E328" s="273"/>
    </row>
    <row r="329" spans="1:13" x14ac:dyDescent="0.35">
      <c r="A329" s="3455" t="s">
        <v>4895</v>
      </c>
      <c r="B329" s="3456"/>
      <c r="C329" s="3456"/>
      <c r="D329" s="273"/>
      <c r="E329" s="273"/>
    </row>
    <row r="330" spans="1:13" ht="29.5" thickBot="1" x14ac:dyDescent="0.4">
      <c r="A330" s="568" t="s">
        <v>155</v>
      </c>
      <c r="B330" s="569" t="s">
        <v>4896</v>
      </c>
      <c r="C330" s="273"/>
      <c r="D330" s="273"/>
      <c r="E330" s="273"/>
    </row>
    <row r="331" spans="1:13" ht="15" thickBot="1" x14ac:dyDescent="0.4">
      <c r="A331" s="570"/>
      <c r="B331" s="571" t="s">
        <v>4681</v>
      </c>
      <c r="C331" s="273"/>
      <c r="D331" s="273"/>
      <c r="E331" s="273"/>
    </row>
    <row r="332" spans="1:13" ht="15" thickBot="1" x14ac:dyDescent="0.4">
      <c r="A332" s="572" t="s">
        <v>4642</v>
      </c>
      <c r="B332" s="1566">
        <v>0.62</v>
      </c>
      <c r="C332" s="273"/>
      <c r="D332" s="273"/>
      <c r="E332" s="273"/>
    </row>
    <row r="333" spans="1:13" ht="15" thickBot="1" x14ac:dyDescent="0.4">
      <c r="A333" s="572" t="s">
        <v>4643</v>
      </c>
      <c r="B333" s="573">
        <v>0.67</v>
      </c>
      <c r="C333" s="273"/>
      <c r="D333" s="273"/>
      <c r="E333" s="273"/>
      <c r="F333" s="2282"/>
    </row>
    <row r="334" spans="1:13" ht="15" thickBot="1" x14ac:dyDescent="0.4">
      <c r="A334" s="572" t="s">
        <v>4897</v>
      </c>
      <c r="B334" s="1566">
        <v>0.57999999999999996</v>
      </c>
      <c r="C334" s="273"/>
      <c r="D334" s="273"/>
      <c r="E334" s="273"/>
      <c r="F334" s="100"/>
    </row>
    <row r="335" spans="1:13" ht="15" thickBot="1" x14ac:dyDescent="0.4">
      <c r="A335" s="572" t="s">
        <v>4645</v>
      </c>
      <c r="B335" s="1566">
        <v>0.61</v>
      </c>
      <c r="C335" s="520"/>
      <c r="D335" s="520"/>
      <c r="E335" s="520"/>
      <c r="F335" s="100"/>
    </row>
    <row r="336" spans="1:13" x14ac:dyDescent="0.35">
      <c r="F336" s="100"/>
    </row>
    <row r="337" spans="1:28" x14ac:dyDescent="0.35">
      <c r="F337" s="100"/>
    </row>
    <row r="338" spans="1:28" x14ac:dyDescent="0.35">
      <c r="F338" s="100"/>
    </row>
    <row r="339" spans="1:28" x14ac:dyDescent="0.35">
      <c r="F339" s="100"/>
    </row>
    <row r="340" spans="1:28" s="199" customFormat="1" ht="15" thickBot="1" x14ac:dyDescent="0.4">
      <c r="A340"/>
      <c r="B340"/>
      <c r="C340"/>
      <c r="D340"/>
      <c r="E340"/>
      <c r="F340" s="163"/>
      <c r="I340"/>
      <c r="J340"/>
      <c r="K340"/>
      <c r="L340"/>
      <c r="M340"/>
      <c r="N340"/>
      <c r="O340"/>
      <c r="P340"/>
      <c r="Q340"/>
      <c r="R340"/>
      <c r="S340"/>
      <c r="T340"/>
      <c r="U340"/>
      <c r="V340"/>
      <c r="W340"/>
      <c r="X340"/>
      <c r="Y340"/>
      <c r="Z340"/>
      <c r="AA340"/>
      <c r="AB340"/>
    </row>
    <row r="341" spans="1:28" s="199" customFormat="1" ht="15" thickBot="1" x14ac:dyDescent="0.4">
      <c r="A341"/>
      <c r="B341"/>
      <c r="C341"/>
      <c r="D341"/>
      <c r="E341"/>
      <c r="I341"/>
      <c r="J341"/>
      <c r="K341"/>
      <c r="L341"/>
      <c r="M341"/>
      <c r="N341"/>
      <c r="O341"/>
      <c r="P341"/>
      <c r="Q341"/>
      <c r="R341"/>
      <c r="S341"/>
      <c r="T341"/>
      <c r="U341"/>
      <c r="V341"/>
      <c r="W341"/>
      <c r="X341"/>
      <c r="Y341"/>
      <c r="Z341"/>
      <c r="AA341"/>
      <c r="AB341"/>
    </row>
    <row r="342" spans="1:28" s="199" customFormat="1" ht="15" thickBot="1" x14ac:dyDescent="0.4">
      <c r="A342" s="2280" t="s">
        <v>4898</v>
      </c>
      <c r="B342" s="2281"/>
      <c r="C342" s="2281"/>
      <c r="D342" s="2281"/>
      <c r="E342" s="2281"/>
      <c r="I342"/>
      <c r="J342"/>
      <c r="K342"/>
      <c r="L342"/>
      <c r="M342"/>
      <c r="N342"/>
      <c r="O342"/>
      <c r="P342"/>
      <c r="Q342"/>
      <c r="R342"/>
      <c r="S342"/>
      <c r="T342"/>
      <c r="U342"/>
      <c r="V342"/>
      <c r="W342"/>
      <c r="X342"/>
      <c r="Y342"/>
      <c r="Z342"/>
      <c r="AA342"/>
      <c r="AB342"/>
    </row>
    <row r="343" spans="1:28" s="199" customFormat="1" ht="15" thickBot="1" x14ac:dyDescent="0.4">
      <c r="A343" s="99"/>
      <c r="B343" s="69"/>
      <c r="C343" s="69"/>
      <c r="D343" s="69"/>
      <c r="E343" s="69"/>
      <c r="I343"/>
      <c r="J343"/>
      <c r="K343"/>
      <c r="L343"/>
      <c r="M343"/>
      <c r="N343"/>
      <c r="O343"/>
      <c r="P343"/>
      <c r="Q343"/>
      <c r="R343"/>
      <c r="S343"/>
      <c r="T343"/>
      <c r="U343"/>
      <c r="V343"/>
      <c r="W343"/>
      <c r="X343"/>
      <c r="Y343"/>
      <c r="Z343"/>
      <c r="AA343"/>
      <c r="AB343"/>
    </row>
    <row r="344" spans="1:28" s="199" customFormat="1" ht="15" thickBot="1" x14ac:dyDescent="0.4">
      <c r="A344" s="3417" t="s">
        <v>4899</v>
      </c>
      <c r="B344" s="3419"/>
      <c r="C344" s="69"/>
      <c r="D344" s="3132" t="s">
        <v>1876</v>
      </c>
      <c r="E344" s="3134"/>
      <c r="I344"/>
      <c r="J344"/>
      <c r="K344"/>
      <c r="L344"/>
      <c r="M344"/>
      <c r="N344"/>
      <c r="O344"/>
      <c r="P344"/>
      <c r="Q344"/>
      <c r="R344"/>
      <c r="S344"/>
      <c r="T344"/>
      <c r="U344"/>
      <c r="V344"/>
      <c r="W344"/>
      <c r="X344"/>
      <c r="Y344"/>
      <c r="Z344"/>
      <c r="AA344"/>
      <c r="AB344"/>
    </row>
    <row r="345" spans="1:28" s="199" customFormat="1" ht="17" thickBot="1" x14ac:dyDescent="0.4">
      <c r="A345" s="576" t="s">
        <v>4031</v>
      </c>
      <c r="B345" s="577" t="s">
        <v>4900</v>
      </c>
      <c r="C345" s="69"/>
      <c r="D345" s="544" t="s">
        <v>3318</v>
      </c>
      <c r="E345" s="545">
        <v>0.78</v>
      </c>
      <c r="I345"/>
      <c r="J345"/>
      <c r="K345"/>
      <c r="L345"/>
      <c r="M345"/>
      <c r="N345"/>
      <c r="O345"/>
      <c r="P345"/>
      <c r="Q345"/>
      <c r="R345"/>
      <c r="S345"/>
      <c r="T345"/>
      <c r="U345"/>
      <c r="V345"/>
      <c r="W345"/>
      <c r="X345"/>
      <c r="Y345"/>
      <c r="Z345"/>
      <c r="AA345"/>
      <c r="AB345"/>
    </row>
    <row r="346" spans="1:28" s="199" customFormat="1" ht="15" thickBot="1" x14ac:dyDescent="0.4">
      <c r="A346" s="99">
        <v>30</v>
      </c>
      <c r="B346" s="100">
        <v>19.16</v>
      </c>
      <c r="C346" s="69"/>
      <c r="D346" s="562" t="s">
        <v>1864</v>
      </c>
      <c r="E346" s="575">
        <v>0.67</v>
      </c>
      <c r="I346"/>
      <c r="J346"/>
      <c r="K346"/>
      <c r="L346"/>
      <c r="M346"/>
      <c r="N346"/>
      <c r="O346"/>
      <c r="P346"/>
      <c r="Q346"/>
      <c r="R346"/>
      <c r="S346"/>
      <c r="T346"/>
      <c r="U346"/>
      <c r="V346"/>
      <c r="W346"/>
      <c r="X346"/>
      <c r="Y346"/>
      <c r="Z346"/>
      <c r="AA346"/>
      <c r="AB346"/>
    </row>
    <row r="347" spans="1:28" s="199" customFormat="1" x14ac:dyDescent="0.35">
      <c r="A347" s="99">
        <v>40</v>
      </c>
      <c r="B347" s="100">
        <v>23.18</v>
      </c>
      <c r="C347" s="69"/>
      <c r="D347" s="69"/>
      <c r="E347" s="69"/>
      <c r="I347"/>
      <c r="J347"/>
      <c r="K347"/>
      <c r="L347"/>
      <c r="M347"/>
      <c r="N347"/>
      <c r="O347"/>
      <c r="P347"/>
      <c r="Q347"/>
      <c r="R347"/>
      <c r="S347"/>
      <c r="T347"/>
      <c r="U347"/>
      <c r="V347"/>
      <c r="W347"/>
      <c r="X347"/>
      <c r="Y347"/>
      <c r="Z347"/>
      <c r="AA347"/>
      <c r="AB347"/>
    </row>
    <row r="348" spans="1:28" s="199" customFormat="1" x14ac:dyDescent="0.35">
      <c r="A348" s="99">
        <v>50</v>
      </c>
      <c r="B348" s="100">
        <v>24.99</v>
      </c>
      <c r="C348" s="69"/>
      <c r="D348" s="69"/>
      <c r="E348" s="69"/>
      <c r="I348"/>
      <c r="J348"/>
      <c r="K348"/>
      <c r="L348"/>
      <c r="M348"/>
      <c r="N348"/>
      <c r="O348"/>
      <c r="P348"/>
      <c r="Q348"/>
      <c r="R348"/>
      <c r="S348"/>
      <c r="T348"/>
      <c r="U348"/>
      <c r="V348"/>
      <c r="W348"/>
      <c r="X348"/>
      <c r="Y348"/>
      <c r="Z348"/>
      <c r="AA348"/>
      <c r="AB348"/>
    </row>
    <row r="349" spans="1:28" ht="15" thickBot="1" x14ac:dyDescent="0.4">
      <c r="A349" s="261">
        <v>80</v>
      </c>
      <c r="B349" s="163">
        <v>31.84</v>
      </c>
      <c r="C349" s="161"/>
      <c r="D349" s="161"/>
      <c r="E349" s="161"/>
    </row>
    <row r="350" spans="1:28" x14ac:dyDescent="0.35">
      <c r="A350" s="199"/>
      <c r="B350" s="199"/>
      <c r="C350" s="199"/>
      <c r="D350" s="199"/>
      <c r="E350" s="199"/>
    </row>
    <row r="351" spans="1:28" x14ac:dyDescent="0.35">
      <c r="A351" s="199"/>
      <c r="B351" s="199"/>
      <c r="C351" s="199"/>
      <c r="D351" s="199"/>
      <c r="E351" s="199"/>
    </row>
    <row r="352" spans="1:28" x14ac:dyDescent="0.35">
      <c r="A352" s="199"/>
      <c r="B352" s="199"/>
      <c r="C352" s="199"/>
      <c r="D352" s="199"/>
      <c r="E352" s="199"/>
    </row>
    <row r="353" spans="1:5" x14ac:dyDescent="0.35">
      <c r="A353" s="199"/>
      <c r="B353" s="199"/>
      <c r="C353" s="199"/>
      <c r="D353" s="199"/>
      <c r="E353" s="199"/>
    </row>
    <row r="354" spans="1:5" x14ac:dyDescent="0.35">
      <c r="A354" s="199"/>
      <c r="B354" s="199"/>
      <c r="C354" s="199"/>
      <c r="D354" s="199"/>
      <c r="E354" s="199"/>
    </row>
    <row r="355" spans="1:5" x14ac:dyDescent="0.35">
      <c r="A355" s="199"/>
      <c r="B355" s="199"/>
      <c r="C355" s="199"/>
      <c r="D355" s="199"/>
      <c r="E355" s="199"/>
    </row>
    <row r="356" spans="1:5" x14ac:dyDescent="0.35">
      <c r="A356" s="199"/>
      <c r="B356" s="199"/>
      <c r="C356" s="199"/>
      <c r="D356" s="199"/>
      <c r="E356" s="199"/>
    </row>
    <row r="357" spans="1:5" x14ac:dyDescent="0.35">
      <c r="A357" s="199"/>
      <c r="B357" s="199"/>
      <c r="C357" s="199"/>
      <c r="D357" s="199"/>
      <c r="E357" s="199"/>
    </row>
  </sheetData>
  <customSheetViews>
    <customSheetView guid="{ECD6FE6A-9548-414E-B8AA-6998703C57E0}" scale="70" showPageBreaks="1" printArea="1" view="pageBreakPreview">
      <selection activeCell="C35" sqref="C35"/>
      <rowBreaks count="1" manualBreakCount="1">
        <brk id="74" max="27" man="1"/>
      </rowBreaks>
      <pageMargins left="0" right="0" top="0" bottom="0" header="0" footer="0"/>
      <pageSetup scale="14" fitToHeight="2" orientation="portrait" r:id="rId1"/>
    </customSheetView>
    <customSheetView guid="{11DE45F5-F478-4ED6-8DFF-12002C22A637}" scale="70" showPageBreaks="1" printArea="1" view="pageBreakPreview">
      <selection activeCell="C35" sqref="C35"/>
      <rowBreaks count="1" manualBreakCount="1">
        <brk id="74" max="27" man="1"/>
      </rowBreaks>
      <pageMargins left="0" right="0" top="0" bottom="0" header="0" footer="0"/>
      <pageSetup scale="14" fitToHeight="2" orientation="portrait" r:id="rId2"/>
    </customSheetView>
  </customSheetViews>
  <mergeCells count="51">
    <mergeCell ref="A344:B344"/>
    <mergeCell ref="D344:E344"/>
    <mergeCell ref="H297:M297"/>
    <mergeCell ref="D313:E313"/>
    <mergeCell ref="K304:L304"/>
    <mergeCell ref="A317:B317"/>
    <mergeCell ref="A318:B318"/>
    <mergeCell ref="D318:E318"/>
    <mergeCell ref="K309:L309"/>
    <mergeCell ref="D322:E322"/>
    <mergeCell ref="A325:C325"/>
    <mergeCell ref="A329:C329"/>
    <mergeCell ref="H324:I324"/>
    <mergeCell ref="R273:W273"/>
    <mergeCell ref="Z273:AB273"/>
    <mergeCell ref="R274:R275"/>
    <mergeCell ref="T274:T275"/>
    <mergeCell ref="U274:U275"/>
    <mergeCell ref="V274:V275"/>
    <mergeCell ref="W274:W275"/>
    <mergeCell ref="R253:W253"/>
    <mergeCell ref="R254:R255"/>
    <mergeCell ref="T254:T255"/>
    <mergeCell ref="U254:U255"/>
    <mergeCell ref="V254:V255"/>
    <mergeCell ref="W254:W255"/>
    <mergeCell ref="R229:W229"/>
    <mergeCell ref="R230:R231"/>
    <mergeCell ref="T230:T231"/>
    <mergeCell ref="U230:U231"/>
    <mergeCell ref="V230:V231"/>
    <mergeCell ref="W230:W231"/>
    <mergeCell ref="B97:C97"/>
    <mergeCell ref="R207:W207"/>
    <mergeCell ref="T208:T209"/>
    <mergeCell ref="U208:U209"/>
    <mergeCell ref="V208:V209"/>
    <mergeCell ref="W208:W209"/>
    <mergeCell ref="Q70:S70"/>
    <mergeCell ref="A96:C96"/>
    <mergeCell ref="A88:E88"/>
    <mergeCell ref="B5:E5"/>
    <mergeCell ref="I14:J14"/>
    <mergeCell ref="I15:J15"/>
    <mergeCell ref="K70:O70"/>
    <mergeCell ref="R289:W289"/>
    <mergeCell ref="R290:R291"/>
    <mergeCell ref="T290:T291"/>
    <mergeCell ref="U290:U291"/>
    <mergeCell ref="V290:V291"/>
    <mergeCell ref="W290:W291"/>
  </mergeCells>
  <hyperlinks>
    <hyperlink ref="A61" location="'5.4.9'!A1" display="Shower Timer  5.4.9.3" xr:uid="{09B88FAA-32F4-4860-95C0-70B34DF18C07}"/>
    <hyperlink ref="A60" location="'5.6.1'!A1" display="Door  Sweep  5.6.1.20" xr:uid="{858FA5A4-5A8A-4FBC-A96E-3EC0C707E940}"/>
    <hyperlink ref="A59" location="'5.6.1'!A1" display="Weather Stripping  5.6.1.21" xr:uid="{CFED123E-FABF-416F-B8B3-8A48FDC6DB7B}"/>
    <hyperlink ref="A1" location="'Measure-Level Adjustments'!Print_Titles" display="Measure Level Tab" xr:uid="{8F912028-ACF1-4083-B3E1-D4BA72E136B0}"/>
  </hyperlinks>
  <pageMargins left="0.7" right="0.7" top="0.75" bottom="0.75" header="0.3" footer="0.3"/>
  <pageSetup scale="14" fitToHeight="2" orientation="portrait" r:id="rId3"/>
  <rowBreaks count="1" manualBreakCount="1">
    <brk id="95" max="27" man="1"/>
  </rowBreaks>
  <ignoredErrors>
    <ignoredError sqref="C86" formula="1"/>
  </ignoredErrors>
  <drawing r:id="rId4"/>
  <legacyDrawing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84C6A-391C-4441-A3E8-24E370E556E8}">
  <sheetPr>
    <tabColor rgb="FF92D050"/>
    <pageSetUpPr fitToPage="1"/>
  </sheetPr>
  <dimension ref="A1:L123"/>
  <sheetViews>
    <sheetView topLeftCell="A28" zoomScale="80" zoomScaleNormal="80" workbookViewId="0">
      <selection activeCell="C33" sqref="C33"/>
    </sheetView>
  </sheetViews>
  <sheetFormatPr defaultRowHeight="14.5" x14ac:dyDescent="0.35"/>
  <cols>
    <col min="1" max="1" width="30.81640625" bestFit="1" customWidth="1"/>
    <col min="2" max="2" width="32.7265625" customWidth="1"/>
    <col min="3" max="3" width="35.54296875" customWidth="1"/>
    <col min="4" max="4" width="22.453125" customWidth="1"/>
    <col min="5" max="5" width="18.26953125" customWidth="1"/>
    <col min="6" max="6" width="19" customWidth="1"/>
    <col min="7" max="7" width="18" customWidth="1"/>
    <col min="8" max="8" width="14.26953125" customWidth="1"/>
    <col min="9" max="9" width="28.1796875" customWidth="1"/>
    <col min="10" max="10" width="20.1796875" bestFit="1" customWidth="1"/>
    <col min="11" max="11" width="30.81640625" bestFit="1" customWidth="1"/>
    <col min="12" max="12" width="22.7265625" bestFit="1" customWidth="1"/>
  </cols>
  <sheetData>
    <row r="1" spans="1:9" x14ac:dyDescent="0.35">
      <c r="A1" s="1799" t="s">
        <v>1031</v>
      </c>
    </row>
    <row r="2" spans="1:9" x14ac:dyDescent="0.35">
      <c r="A2" s="199" t="s">
        <v>4901</v>
      </c>
    </row>
    <row r="3" spans="1:9" x14ac:dyDescent="0.35">
      <c r="A3" s="929"/>
      <c r="B3" s="929" t="s">
        <v>1040</v>
      </c>
      <c r="C3" s="929" t="s">
        <v>1730</v>
      </c>
      <c r="D3" s="929" t="s">
        <v>1083</v>
      </c>
      <c r="E3" s="2493" t="s">
        <v>4902</v>
      </c>
      <c r="F3" s="929"/>
    </row>
    <row r="4" spans="1:9" x14ac:dyDescent="0.35">
      <c r="A4" s="1" t="s">
        <v>4903</v>
      </c>
      <c r="B4" s="2494"/>
      <c r="C4" s="1965">
        <f>F11+F16+F15</f>
        <v>231.77960012898788</v>
      </c>
      <c r="D4" s="176">
        <f>(F11*H11+F16*H16+F15*H15)/SUM(F11, F15, F16)</f>
        <v>19.489675339672512</v>
      </c>
      <c r="E4" s="176"/>
      <c r="F4" s="172"/>
    </row>
    <row r="5" spans="1:9" x14ac:dyDescent="0.35">
      <c r="A5" s="1" t="s">
        <v>4904</v>
      </c>
      <c r="B5" s="2494"/>
      <c r="C5" s="1965">
        <f>F11+F16+F13+F15</f>
        <v>372.54883089821851</v>
      </c>
      <c r="D5" s="176">
        <f>(F11*H11+F16*H16+F13*H13+F15*H15)/SUM(F11, F13, F15, F16)</f>
        <v>19.682503779648197</v>
      </c>
      <c r="E5" s="176"/>
      <c r="F5" s="172"/>
    </row>
    <row r="6" spans="1:9" x14ac:dyDescent="0.35">
      <c r="A6" s="1" t="s">
        <v>4905</v>
      </c>
      <c r="B6" s="2494"/>
      <c r="C6" s="1965">
        <f>F14+F13+F15</f>
        <v>231.03178015589728</v>
      </c>
      <c r="D6" s="176">
        <f>(F14*H14+F13*H13+F15*H15)/SUM(F13, F14, F15)</f>
        <v>16.63004005257935</v>
      </c>
      <c r="E6" s="176"/>
      <c r="F6" s="172"/>
    </row>
    <row r="8" spans="1:9" x14ac:dyDescent="0.35">
      <c r="A8" s="2495"/>
      <c r="B8" s="2495"/>
      <c r="C8" s="2495"/>
      <c r="D8" s="2495"/>
      <c r="E8" s="2495"/>
      <c r="F8" s="2495"/>
      <c r="G8" s="2495"/>
      <c r="H8" s="2495"/>
    </row>
    <row r="9" spans="1:9" x14ac:dyDescent="0.35">
      <c r="A9" s="2496" t="s">
        <v>4906</v>
      </c>
      <c r="B9" s="2495"/>
      <c r="C9" s="2495"/>
      <c r="D9" s="2495"/>
      <c r="E9" s="2495"/>
      <c r="F9" s="2495"/>
      <c r="G9" s="2495"/>
      <c r="H9" s="2495"/>
    </row>
    <row r="10" spans="1:9" x14ac:dyDescent="0.35">
      <c r="A10" s="2495"/>
      <c r="B10" s="2496" t="s">
        <v>155</v>
      </c>
      <c r="C10" s="2497" t="s">
        <v>4907</v>
      </c>
      <c r="D10" s="2497" t="s">
        <v>4908</v>
      </c>
      <c r="E10" s="2497" t="s">
        <v>4909</v>
      </c>
      <c r="F10" s="2497" t="s">
        <v>1730</v>
      </c>
      <c r="G10" s="2496" t="s">
        <v>1040</v>
      </c>
      <c r="H10" s="2496" t="s">
        <v>1083</v>
      </c>
      <c r="I10" s="2497" t="s">
        <v>4902</v>
      </c>
    </row>
    <row r="11" spans="1:9" x14ac:dyDescent="0.35">
      <c r="A11" s="2495"/>
      <c r="B11" s="2495" t="s">
        <v>669</v>
      </c>
      <c r="C11" s="2498" t="s">
        <v>4910</v>
      </c>
      <c r="D11" s="2498" t="s">
        <v>4911</v>
      </c>
      <c r="E11" s="2498" t="s">
        <v>671</v>
      </c>
      <c r="F11" s="2499">
        <f>((75/(72000*0.0123))*72000*1840*100%*(0.92/0.7))/100000</f>
        <v>147.45644599303139</v>
      </c>
      <c r="G11" s="2500"/>
      <c r="H11" s="2495">
        <v>20</v>
      </c>
      <c r="I11" s="2546"/>
    </row>
    <row r="12" spans="1:9" x14ac:dyDescent="0.35">
      <c r="A12" s="2495"/>
      <c r="B12" s="2495" t="s">
        <v>4912</v>
      </c>
      <c r="C12" s="2498" t="s">
        <v>4913</v>
      </c>
      <c r="D12" s="2498" t="s">
        <v>4914</v>
      </c>
      <c r="E12" s="2498" t="s">
        <v>637</v>
      </c>
      <c r="F12" s="2499">
        <f>(976*100000*(0.95/0.82-1))/100000</f>
        <v>154.73170731707307</v>
      </c>
      <c r="G12" s="2500"/>
      <c r="H12" s="2495">
        <v>20</v>
      </c>
      <c r="I12" s="2546"/>
    </row>
    <row r="13" spans="1:9" x14ac:dyDescent="0.35">
      <c r="A13" s="2495"/>
      <c r="B13" s="2495" t="s">
        <v>4915</v>
      </c>
      <c r="C13" s="2498" t="s">
        <v>4916</v>
      </c>
      <c r="D13" s="2498" t="s">
        <v>4914</v>
      </c>
      <c r="E13" s="2498" t="s">
        <v>631</v>
      </c>
      <c r="F13" s="2499">
        <f>((976*72000/(1-0.064))*((0.95*(1-0.064))/(0.8*(1-0.064))-1))/100000</f>
        <v>140.76923076923063</v>
      </c>
      <c r="G13" s="2500"/>
      <c r="H13" s="2495">
        <v>20</v>
      </c>
      <c r="I13" s="2546"/>
    </row>
    <row r="14" spans="1:9" x14ac:dyDescent="0.35">
      <c r="A14" s="2495"/>
      <c r="B14" s="2495" t="s">
        <v>4917</v>
      </c>
      <c r="C14" s="2498" t="s">
        <v>3579</v>
      </c>
      <c r="D14" s="2498" t="s">
        <v>4918</v>
      </c>
      <c r="E14" s="2498" t="s">
        <v>649</v>
      </c>
      <c r="F14" s="2499">
        <f>100%*1005*0.073*100%*100%</f>
        <v>73.364999999999995</v>
      </c>
      <c r="G14" s="2500"/>
      <c r="H14" s="2495">
        <v>11</v>
      </c>
      <c r="I14" s="2546"/>
    </row>
    <row r="15" spans="1:9" x14ac:dyDescent="0.35">
      <c r="A15" s="2495"/>
      <c r="B15" s="2495" t="s">
        <v>4919</v>
      </c>
      <c r="C15" s="2498" t="s">
        <v>4920</v>
      </c>
      <c r="D15" s="2498" t="s">
        <v>4921</v>
      </c>
      <c r="E15" s="2498" t="s">
        <v>642</v>
      </c>
      <c r="F15" s="2499">
        <f>(1/0.64-1/0.72)*(17.6*2.56*365.25*8.33*(125-54)*1)/100000</f>
        <v>16.897549386666672</v>
      </c>
      <c r="G15" s="2500"/>
      <c r="H15" s="2495">
        <v>13</v>
      </c>
      <c r="I15" s="2546"/>
    </row>
    <row r="16" spans="1:9" x14ac:dyDescent="0.35">
      <c r="A16" s="2495"/>
      <c r="B16" s="2495" t="s">
        <v>4922</v>
      </c>
      <c r="C16" s="2498" t="s">
        <v>4910</v>
      </c>
      <c r="D16" s="2498" t="s">
        <v>4923</v>
      </c>
      <c r="E16" s="2498" t="s">
        <v>655</v>
      </c>
      <c r="F16" s="2499">
        <f>(((2125-1328)/19.4)*60*24*5113*0.018)/(0.95*0.85*100000)</f>
        <v>67.425604749289832</v>
      </c>
      <c r="G16" s="2500"/>
      <c r="H16" s="2495">
        <v>20</v>
      </c>
      <c r="I16" s="2546"/>
    </row>
    <row r="17" spans="1:8" x14ac:dyDescent="0.35">
      <c r="A17" s="2495"/>
      <c r="B17" s="2495"/>
      <c r="C17" s="2495"/>
      <c r="D17" s="2495"/>
      <c r="E17" s="2495"/>
      <c r="F17" s="2495"/>
      <c r="G17" s="2495"/>
      <c r="H17" s="2495"/>
    </row>
    <row r="18" spans="1:8" x14ac:dyDescent="0.35">
      <c r="A18" s="2495"/>
      <c r="B18" s="2495"/>
      <c r="C18" s="2495"/>
      <c r="D18" s="2495"/>
      <c r="E18" s="2495"/>
      <c r="F18" s="2495"/>
      <c r="G18" s="2495"/>
      <c r="H18" s="2495"/>
    </row>
    <row r="19" spans="1:8" x14ac:dyDescent="0.35">
      <c r="A19" s="2496" t="s">
        <v>4924</v>
      </c>
      <c r="B19" s="2495"/>
      <c r="C19" s="2495"/>
      <c r="D19" s="2495"/>
      <c r="E19" s="2495"/>
      <c r="F19" s="2495"/>
      <c r="G19" s="2495"/>
      <c r="H19" s="2495"/>
    </row>
    <row r="20" spans="1:8" x14ac:dyDescent="0.35">
      <c r="A20" s="2495"/>
      <c r="B20" s="2495"/>
      <c r="C20" s="2495"/>
      <c r="D20" s="2495"/>
      <c r="E20" s="2495"/>
      <c r="F20" s="2495"/>
      <c r="G20" s="2495"/>
      <c r="H20" s="2495"/>
    </row>
    <row r="21" spans="1:8" x14ac:dyDescent="0.35">
      <c r="A21" s="2495"/>
      <c r="B21" s="2495"/>
      <c r="C21" s="2495"/>
      <c r="D21" s="2495"/>
      <c r="E21" s="2495"/>
      <c r="F21" s="2495"/>
      <c r="G21" s="2495"/>
      <c r="H21" s="2495"/>
    </row>
    <row r="22" spans="1:8" x14ac:dyDescent="0.35">
      <c r="A22" s="2495"/>
      <c r="B22" s="2495"/>
      <c r="C22" s="2495"/>
      <c r="D22" s="2495"/>
      <c r="E22" s="2495"/>
      <c r="F22" s="2495"/>
      <c r="G22" s="2495"/>
      <c r="H22" s="2495"/>
    </row>
    <row r="23" spans="1:8" x14ac:dyDescent="0.35">
      <c r="A23" s="2495"/>
      <c r="B23" s="2495"/>
      <c r="C23" s="2495"/>
      <c r="D23" s="2495"/>
      <c r="E23" s="2495"/>
      <c r="F23" s="2495"/>
      <c r="G23" s="2495"/>
      <c r="H23" s="2495"/>
    </row>
    <row r="24" spans="1:8" x14ac:dyDescent="0.35">
      <c r="A24" s="2495"/>
      <c r="B24" s="2495"/>
      <c r="C24" s="2495"/>
      <c r="D24" s="2495"/>
      <c r="E24" s="2495"/>
      <c r="F24" s="2495"/>
      <c r="G24" s="2495"/>
      <c r="H24" s="2495"/>
    </row>
    <row r="25" spans="1:8" x14ac:dyDescent="0.35">
      <c r="A25" s="2495"/>
      <c r="B25" s="2495"/>
      <c r="C25" s="2495"/>
      <c r="D25" s="2495"/>
      <c r="E25" s="2495"/>
      <c r="F25" s="2495"/>
      <c r="G25" s="2495"/>
      <c r="H25" s="2495"/>
    </row>
    <row r="26" spans="1:8" x14ac:dyDescent="0.35">
      <c r="A26" s="2495"/>
      <c r="B26" s="2495"/>
      <c r="C26" s="2495"/>
      <c r="D26" s="2495"/>
      <c r="E26" s="2495"/>
      <c r="F26" s="2495"/>
      <c r="G26" s="2495"/>
      <c r="H26" s="2495"/>
    </row>
    <row r="27" spans="1:8" x14ac:dyDescent="0.35">
      <c r="A27" s="2495"/>
      <c r="B27" s="2495"/>
      <c r="C27" s="2495"/>
      <c r="D27" s="2495"/>
      <c r="E27" s="2495"/>
      <c r="F27" s="2495"/>
      <c r="G27" s="2495"/>
      <c r="H27" s="2495"/>
    </row>
    <row r="28" spans="1:8" x14ac:dyDescent="0.35">
      <c r="A28" s="2495"/>
      <c r="B28" s="2495" t="s">
        <v>4925</v>
      </c>
      <c r="C28" s="2501" t="s">
        <v>4926</v>
      </c>
      <c r="D28" s="2495"/>
      <c r="E28" s="2495"/>
      <c r="F28" s="2495"/>
      <c r="G28" s="2495"/>
      <c r="H28" s="2495"/>
    </row>
    <row r="29" spans="1:8" x14ac:dyDescent="0.35">
      <c r="A29" s="2495"/>
      <c r="B29" s="2495" t="s">
        <v>4927</v>
      </c>
      <c r="C29" s="2501" t="s">
        <v>4928</v>
      </c>
      <c r="D29" s="2495"/>
      <c r="E29" s="2495"/>
      <c r="F29" s="2495"/>
      <c r="G29" s="2495"/>
      <c r="H29" s="2495"/>
    </row>
    <row r="30" spans="1:8" x14ac:dyDescent="0.35">
      <c r="A30" s="2495"/>
      <c r="B30" s="2495" t="s">
        <v>4929</v>
      </c>
      <c r="C30" s="2501">
        <v>1840</v>
      </c>
      <c r="D30" s="2495"/>
      <c r="E30" s="2495"/>
      <c r="F30" s="2495"/>
      <c r="G30" s="2495"/>
      <c r="H30" s="2495"/>
    </row>
    <row r="31" spans="1:8" x14ac:dyDescent="0.35">
      <c r="A31" s="2495"/>
      <c r="B31" s="2495" t="s">
        <v>4930</v>
      </c>
      <c r="C31" s="2501" t="s">
        <v>4931</v>
      </c>
      <c r="D31" s="2495"/>
      <c r="E31" s="2495"/>
      <c r="F31" s="2495"/>
      <c r="G31" s="2495"/>
      <c r="H31" s="2495"/>
    </row>
    <row r="32" spans="1:8" x14ac:dyDescent="0.35">
      <c r="A32" s="2495"/>
      <c r="B32" s="2495" t="s">
        <v>4932</v>
      </c>
      <c r="C32" s="2502">
        <v>1</v>
      </c>
      <c r="D32" s="2495"/>
      <c r="E32" s="2495"/>
      <c r="F32" s="2495"/>
      <c r="G32" s="2495"/>
      <c r="H32" s="2495"/>
    </row>
    <row r="33" spans="1:8" x14ac:dyDescent="0.35">
      <c r="A33" s="2495"/>
      <c r="B33" s="2495" t="s">
        <v>4933</v>
      </c>
      <c r="C33" s="2501" t="s">
        <v>4934</v>
      </c>
      <c r="D33" s="2495"/>
      <c r="E33" s="2495"/>
      <c r="F33" s="2495"/>
      <c r="G33" s="2495"/>
      <c r="H33" s="2495"/>
    </row>
    <row r="34" spans="1:8" x14ac:dyDescent="0.35">
      <c r="A34" s="2495"/>
      <c r="B34" s="2495"/>
      <c r="C34" s="2495"/>
      <c r="D34" s="2495"/>
      <c r="E34" s="2495"/>
      <c r="F34" s="2495"/>
      <c r="G34" s="2495"/>
      <c r="H34" s="2495"/>
    </row>
    <row r="35" spans="1:8" x14ac:dyDescent="0.35">
      <c r="A35" s="2495"/>
      <c r="B35" s="2495" t="s">
        <v>4935</v>
      </c>
      <c r="C35" s="2495" t="s">
        <v>4936</v>
      </c>
      <c r="D35" s="2495"/>
      <c r="E35" s="2495"/>
      <c r="F35" s="2495"/>
      <c r="G35" s="2495"/>
      <c r="H35" s="2495"/>
    </row>
    <row r="36" spans="1:8" x14ac:dyDescent="0.35">
      <c r="A36" s="2495"/>
      <c r="B36" s="2495"/>
      <c r="C36" s="2495" t="s">
        <v>4937</v>
      </c>
      <c r="D36" s="2495"/>
      <c r="E36" s="2495"/>
      <c r="F36" s="2495"/>
      <c r="G36" s="2495"/>
      <c r="H36" s="2495"/>
    </row>
    <row r="37" spans="1:8" x14ac:dyDescent="0.35">
      <c r="A37" s="2495"/>
      <c r="B37" s="2495"/>
      <c r="C37" s="2495" t="s">
        <v>4938</v>
      </c>
      <c r="D37" s="2495"/>
      <c r="E37" s="2495"/>
      <c r="F37" s="2495"/>
      <c r="G37" s="2495"/>
      <c r="H37" s="2495"/>
    </row>
    <row r="38" spans="1:8" x14ac:dyDescent="0.35">
      <c r="A38" s="2495"/>
      <c r="B38" s="2495"/>
      <c r="C38" s="2495"/>
      <c r="D38" s="2495"/>
      <c r="E38" s="2495"/>
      <c r="F38" s="2495"/>
      <c r="G38" s="2495"/>
      <c r="H38" s="2495"/>
    </row>
    <row r="39" spans="1:8" x14ac:dyDescent="0.35">
      <c r="A39" s="2495"/>
      <c r="B39" s="2495"/>
      <c r="C39" s="2495"/>
      <c r="D39" s="2495"/>
      <c r="E39" s="2495"/>
      <c r="F39" s="2495"/>
      <c r="G39" s="2495"/>
      <c r="H39" s="2495"/>
    </row>
    <row r="40" spans="1:8" x14ac:dyDescent="0.35">
      <c r="A40" s="2496" t="s">
        <v>4939</v>
      </c>
      <c r="B40" s="2495"/>
      <c r="C40" s="2495"/>
      <c r="D40" s="2495"/>
      <c r="E40" s="2495"/>
      <c r="F40" s="2495"/>
      <c r="G40" s="2495"/>
      <c r="H40" s="2495"/>
    </row>
    <row r="41" spans="1:8" x14ac:dyDescent="0.35">
      <c r="A41" s="2495"/>
      <c r="B41" s="2495"/>
      <c r="C41" s="2495"/>
      <c r="D41" s="2495"/>
      <c r="E41" s="2495"/>
      <c r="F41" s="2495"/>
      <c r="G41" s="2495"/>
      <c r="H41" s="2495"/>
    </row>
    <row r="42" spans="1:8" x14ac:dyDescent="0.35">
      <c r="A42" s="2495"/>
      <c r="B42" s="2495"/>
      <c r="C42" s="2495"/>
      <c r="D42" s="2495"/>
      <c r="E42" s="2495"/>
      <c r="F42" s="2495"/>
      <c r="G42" s="2495"/>
      <c r="H42" s="2495"/>
    </row>
    <row r="43" spans="1:8" x14ac:dyDescent="0.35">
      <c r="A43" s="2495"/>
      <c r="B43" s="2495"/>
      <c r="C43" s="2495"/>
      <c r="D43" s="2495"/>
      <c r="E43" s="2495"/>
      <c r="F43" s="2495"/>
      <c r="G43" s="2495"/>
      <c r="H43" s="2495"/>
    </row>
    <row r="44" spans="1:8" x14ac:dyDescent="0.35">
      <c r="A44" s="2495"/>
      <c r="B44" s="2495"/>
      <c r="C44" s="2495"/>
      <c r="D44" s="2495"/>
      <c r="E44" s="2495"/>
      <c r="F44" s="2495"/>
      <c r="G44" s="2495"/>
      <c r="H44" s="2495"/>
    </row>
    <row r="45" spans="1:8" x14ac:dyDescent="0.35">
      <c r="A45" s="2495"/>
      <c r="B45" s="2495"/>
      <c r="C45" s="2495"/>
      <c r="D45" s="2495"/>
      <c r="E45" s="2495"/>
      <c r="F45" s="2495"/>
      <c r="G45" s="2495"/>
      <c r="H45" s="2495"/>
    </row>
    <row r="46" spans="1:8" x14ac:dyDescent="0.35">
      <c r="A46" s="2495"/>
      <c r="B46" s="2495" t="s">
        <v>4940</v>
      </c>
      <c r="C46" s="2495" t="s">
        <v>4941</v>
      </c>
      <c r="D46" s="2495"/>
      <c r="E46" s="2495"/>
      <c r="F46" s="2495"/>
      <c r="G46" s="2495"/>
      <c r="H46" s="2495"/>
    </row>
    <row r="47" spans="1:8" x14ac:dyDescent="0.35">
      <c r="A47" s="2495"/>
      <c r="B47" s="2495" t="s">
        <v>4942</v>
      </c>
      <c r="C47" s="2495" t="s">
        <v>4943</v>
      </c>
      <c r="D47" s="2495"/>
      <c r="E47" s="2495"/>
      <c r="F47" s="2495"/>
      <c r="G47" s="2495"/>
      <c r="H47" s="2495"/>
    </row>
    <row r="48" spans="1:8" x14ac:dyDescent="0.35">
      <c r="A48" s="2495"/>
      <c r="B48" s="2495" t="s">
        <v>4944</v>
      </c>
      <c r="C48" s="2495" t="s">
        <v>4945</v>
      </c>
      <c r="D48" s="2495"/>
      <c r="E48" s="2495"/>
      <c r="F48" s="2495"/>
      <c r="G48" s="2495"/>
      <c r="H48" s="2495"/>
    </row>
    <row r="49" spans="1:8" x14ac:dyDescent="0.35">
      <c r="A49" s="2495"/>
      <c r="B49" s="2495" t="s">
        <v>4946</v>
      </c>
      <c r="C49" s="2495" t="s">
        <v>4947</v>
      </c>
      <c r="D49" s="2495"/>
      <c r="E49" s="2495"/>
      <c r="F49" s="2495"/>
      <c r="G49" s="2495"/>
      <c r="H49" s="2495"/>
    </row>
    <row r="50" spans="1:8" x14ac:dyDescent="0.35">
      <c r="A50" s="2495"/>
      <c r="B50" s="2495"/>
      <c r="C50" s="2495"/>
      <c r="D50" s="2495"/>
      <c r="E50" s="2495"/>
      <c r="F50" s="2495"/>
      <c r="G50" s="2495"/>
      <c r="H50" s="2495"/>
    </row>
    <row r="51" spans="1:8" x14ac:dyDescent="0.35">
      <c r="A51" s="2495"/>
      <c r="B51" s="2495"/>
      <c r="C51" s="2495"/>
      <c r="D51" s="2495"/>
      <c r="E51" s="2495"/>
      <c r="F51" s="2495"/>
      <c r="G51" s="2495"/>
      <c r="H51" s="2495"/>
    </row>
    <row r="52" spans="1:8" x14ac:dyDescent="0.35">
      <c r="A52" s="2496" t="s">
        <v>4948</v>
      </c>
      <c r="B52" s="2495"/>
      <c r="C52" s="2495"/>
      <c r="D52" s="2495"/>
      <c r="E52" s="2495"/>
      <c r="F52" s="2495"/>
      <c r="G52" s="2495"/>
      <c r="H52" s="2495"/>
    </row>
    <row r="53" spans="1:8" x14ac:dyDescent="0.35">
      <c r="A53" s="2495"/>
      <c r="B53" s="2495"/>
      <c r="C53" s="2495"/>
      <c r="D53" s="2495"/>
      <c r="E53" s="2495"/>
      <c r="F53" s="2495"/>
      <c r="G53" s="2495"/>
      <c r="H53" s="2495"/>
    </row>
    <row r="54" spans="1:8" x14ac:dyDescent="0.35">
      <c r="A54" s="2495"/>
      <c r="B54" s="2495"/>
      <c r="C54" s="2495"/>
      <c r="D54" s="2495"/>
      <c r="E54" s="2495"/>
      <c r="F54" s="2495"/>
      <c r="G54" s="2495"/>
      <c r="H54" s="2495"/>
    </row>
    <row r="55" spans="1:8" x14ac:dyDescent="0.35">
      <c r="A55" s="2495"/>
      <c r="B55" s="2495"/>
      <c r="C55" s="2495"/>
      <c r="D55" s="2495"/>
      <c r="E55" s="2495"/>
      <c r="F55" s="2495"/>
      <c r="G55" s="2495"/>
      <c r="H55" s="2495"/>
    </row>
    <row r="56" spans="1:8" x14ac:dyDescent="0.35">
      <c r="A56" s="2495"/>
      <c r="B56" s="2495"/>
      <c r="C56" s="2495"/>
      <c r="D56" s="2495"/>
      <c r="E56" s="2495"/>
      <c r="F56" s="2495"/>
      <c r="G56" s="2495"/>
      <c r="H56" s="2495"/>
    </row>
    <row r="57" spans="1:8" x14ac:dyDescent="0.35">
      <c r="A57" s="2495"/>
      <c r="B57" s="2495"/>
      <c r="C57" s="2495"/>
      <c r="D57" s="2495"/>
      <c r="E57" s="2495"/>
      <c r="F57" s="2495"/>
      <c r="G57" s="2495"/>
      <c r="H57" s="2495"/>
    </row>
    <row r="58" spans="1:8" x14ac:dyDescent="0.35">
      <c r="A58" s="2495"/>
      <c r="B58" s="2495"/>
      <c r="C58" s="2495"/>
      <c r="D58" s="2495"/>
      <c r="E58" s="2495"/>
      <c r="F58" s="2495"/>
      <c r="G58" s="2495"/>
      <c r="H58" s="2495"/>
    </row>
    <row r="59" spans="1:8" x14ac:dyDescent="0.35">
      <c r="A59" s="2495"/>
      <c r="B59" s="2495"/>
      <c r="C59" s="2495"/>
      <c r="D59" s="2495"/>
      <c r="E59" s="2495"/>
      <c r="F59" s="2495"/>
      <c r="G59" s="2495"/>
      <c r="H59" s="2495"/>
    </row>
    <row r="60" spans="1:8" x14ac:dyDescent="0.35">
      <c r="A60" s="2495"/>
      <c r="B60" s="2495"/>
      <c r="C60" s="2495"/>
      <c r="D60" s="2495"/>
      <c r="E60" s="2495"/>
      <c r="F60" s="2495"/>
      <c r="G60" s="2495"/>
      <c r="H60" s="2495"/>
    </row>
    <row r="61" spans="1:8" x14ac:dyDescent="0.35">
      <c r="A61" s="2495"/>
      <c r="B61" s="2495" t="s">
        <v>4940</v>
      </c>
      <c r="C61" s="2495" t="s">
        <v>4941</v>
      </c>
      <c r="D61" s="2495"/>
      <c r="E61" s="2495"/>
      <c r="F61" s="2495"/>
      <c r="G61" s="2495"/>
      <c r="H61" s="2495"/>
    </row>
    <row r="62" spans="1:8" x14ac:dyDescent="0.35">
      <c r="A62" s="2495"/>
      <c r="B62" s="2495" t="s">
        <v>4942</v>
      </c>
      <c r="C62" s="2495" t="s">
        <v>4949</v>
      </c>
      <c r="D62" s="2495"/>
      <c r="E62" s="2495"/>
      <c r="F62" s="2495"/>
      <c r="G62" s="2495"/>
      <c r="H62" s="2495"/>
    </row>
    <row r="63" spans="1:8" x14ac:dyDescent="0.35">
      <c r="A63" s="2495"/>
      <c r="B63" s="2495" t="s">
        <v>4944</v>
      </c>
      <c r="C63" s="2495" t="s">
        <v>4950</v>
      </c>
      <c r="D63" s="2495"/>
      <c r="E63" s="2495"/>
      <c r="F63" s="2495"/>
      <c r="G63" s="2495"/>
      <c r="H63" s="2495"/>
    </row>
    <row r="64" spans="1:8" x14ac:dyDescent="0.35">
      <c r="A64" s="2495"/>
      <c r="B64" s="2495" t="s">
        <v>4946</v>
      </c>
      <c r="C64" s="2495" t="s">
        <v>4947</v>
      </c>
      <c r="D64" s="2495"/>
      <c r="E64" s="2495"/>
      <c r="F64" s="2495"/>
      <c r="G64" s="2495"/>
      <c r="H64" s="2495"/>
    </row>
    <row r="65" spans="1:8" x14ac:dyDescent="0.35">
      <c r="A65" s="2495"/>
      <c r="B65" s="2495" t="s">
        <v>4951</v>
      </c>
      <c r="C65" s="2503">
        <v>6.4000000000000001E-2</v>
      </c>
      <c r="D65" s="2495"/>
      <c r="E65" s="2495"/>
      <c r="F65" s="2495"/>
      <c r="G65" s="2495"/>
      <c r="H65" s="2495"/>
    </row>
    <row r="66" spans="1:8" x14ac:dyDescent="0.35">
      <c r="A66" s="2495"/>
      <c r="B66" s="2495" t="s">
        <v>4952</v>
      </c>
      <c r="C66" s="2503">
        <v>6.4000000000000001E-2</v>
      </c>
      <c r="D66" s="2495"/>
      <c r="E66" s="2495"/>
      <c r="F66" s="2495"/>
      <c r="G66" s="2495"/>
      <c r="H66" s="2495"/>
    </row>
    <row r="67" spans="1:8" x14ac:dyDescent="0.35">
      <c r="A67" s="2495"/>
      <c r="B67" s="2495"/>
      <c r="C67" s="2495"/>
      <c r="D67" s="2495"/>
      <c r="E67" s="2495"/>
      <c r="F67" s="2495"/>
      <c r="G67" s="2495"/>
      <c r="H67" s="2495"/>
    </row>
    <row r="68" spans="1:8" x14ac:dyDescent="0.35">
      <c r="A68" s="2495"/>
      <c r="B68" s="2495"/>
      <c r="C68" s="2495"/>
      <c r="D68" s="2495"/>
      <c r="E68" s="2495"/>
      <c r="F68" s="2495"/>
      <c r="G68" s="2495"/>
      <c r="H68" s="2495"/>
    </row>
    <row r="69" spans="1:8" x14ac:dyDescent="0.35">
      <c r="A69" s="2496" t="s">
        <v>4953</v>
      </c>
      <c r="B69" s="2495"/>
      <c r="C69" s="2495"/>
      <c r="D69" s="2495"/>
      <c r="E69" s="2495"/>
      <c r="F69" s="2495"/>
      <c r="G69" s="2495"/>
      <c r="H69" s="2495"/>
    </row>
    <row r="70" spans="1:8" x14ac:dyDescent="0.35">
      <c r="A70" s="2495"/>
      <c r="B70" s="2495"/>
      <c r="C70" s="2495"/>
      <c r="D70" s="2495"/>
      <c r="E70" s="2495"/>
      <c r="F70" s="2495"/>
      <c r="G70" s="2495"/>
      <c r="H70" s="2495"/>
    </row>
    <row r="71" spans="1:8" x14ac:dyDescent="0.35">
      <c r="A71" s="2495"/>
      <c r="B71" s="2495"/>
      <c r="C71" s="2495"/>
      <c r="D71" s="2495"/>
      <c r="E71" s="2495"/>
      <c r="F71" s="2495"/>
      <c r="G71" s="2495"/>
      <c r="H71" s="2495"/>
    </row>
    <row r="72" spans="1:8" x14ac:dyDescent="0.35">
      <c r="A72" s="2495"/>
      <c r="B72" s="2495"/>
      <c r="C72" s="2495"/>
      <c r="D72" s="2495"/>
      <c r="E72" s="2495"/>
      <c r="F72" s="2495"/>
      <c r="G72" s="2495"/>
      <c r="H72" s="2495"/>
    </row>
    <row r="73" spans="1:8" x14ac:dyDescent="0.35">
      <c r="A73" s="2495"/>
      <c r="B73" s="2495"/>
      <c r="C73" s="2495"/>
      <c r="D73" s="2495"/>
      <c r="E73" s="2495"/>
      <c r="F73" s="2495"/>
      <c r="G73" s="2495"/>
      <c r="H73" s="2495"/>
    </row>
    <row r="74" spans="1:8" x14ac:dyDescent="0.35">
      <c r="A74" s="2495"/>
      <c r="B74" s="2495"/>
      <c r="C74" s="2495"/>
      <c r="D74" s="2495"/>
      <c r="E74" s="2495"/>
      <c r="F74" s="2495"/>
      <c r="G74" s="2495"/>
      <c r="H74" s="2495"/>
    </row>
    <row r="75" spans="1:8" x14ac:dyDescent="0.35">
      <c r="A75" s="2495"/>
      <c r="B75" s="2495" t="s">
        <v>4954</v>
      </c>
      <c r="C75" s="2502">
        <v>1</v>
      </c>
      <c r="D75" s="2495"/>
      <c r="E75" s="2495"/>
      <c r="F75" s="2495"/>
      <c r="G75" s="2495"/>
      <c r="H75" s="2495"/>
    </row>
    <row r="76" spans="1:8" x14ac:dyDescent="0.35">
      <c r="A76" s="2495"/>
      <c r="B76" s="2504" t="s">
        <v>4955</v>
      </c>
      <c r="C76" s="2501" t="s">
        <v>4956</v>
      </c>
      <c r="D76" s="2495"/>
      <c r="E76" s="2495"/>
      <c r="F76" s="2495"/>
      <c r="G76" s="2495"/>
      <c r="H76" s="2495"/>
    </row>
    <row r="77" spans="1:8" x14ac:dyDescent="0.35">
      <c r="A77" s="2495"/>
      <c r="B77" s="2495" t="s">
        <v>4957</v>
      </c>
      <c r="C77" s="2503">
        <v>5.6000000000000001E-2</v>
      </c>
      <c r="D77" s="2495"/>
      <c r="E77" s="2495"/>
      <c r="F77" s="2495"/>
      <c r="G77" s="2495"/>
      <c r="H77" s="2495"/>
    </row>
    <row r="78" spans="1:8" x14ac:dyDescent="0.35">
      <c r="A78" s="2495"/>
      <c r="B78" s="2495" t="s">
        <v>4958</v>
      </c>
      <c r="C78" s="2501" t="s">
        <v>4959</v>
      </c>
      <c r="D78" s="2495"/>
      <c r="E78" s="2495"/>
      <c r="F78" s="2495"/>
      <c r="G78" s="2495"/>
      <c r="H78" s="2495"/>
    </row>
    <row r="79" spans="1:8" x14ac:dyDescent="0.35">
      <c r="A79" s="2495"/>
      <c r="B79" s="2495" t="s">
        <v>4960</v>
      </c>
      <c r="C79" s="2501" t="s">
        <v>4961</v>
      </c>
      <c r="D79" s="2495"/>
      <c r="E79" s="2495"/>
      <c r="F79" s="2495"/>
      <c r="G79" s="2495"/>
      <c r="H79" s="2495"/>
    </row>
    <row r="80" spans="1:8" x14ac:dyDescent="0.35">
      <c r="A80" s="2495"/>
      <c r="B80" s="2495"/>
      <c r="C80" s="2495"/>
      <c r="D80" s="2495"/>
      <c r="E80" s="2495"/>
      <c r="F80" s="2495"/>
      <c r="G80" s="2495"/>
      <c r="H80" s="2495"/>
    </row>
    <row r="81" spans="1:8" x14ac:dyDescent="0.35">
      <c r="A81" s="2495"/>
      <c r="B81" s="2495"/>
      <c r="C81" s="2495"/>
      <c r="D81" s="2495"/>
      <c r="E81" s="2495"/>
      <c r="F81" s="2495"/>
      <c r="G81" s="2495"/>
      <c r="H81" s="2495"/>
    </row>
    <row r="82" spans="1:8" x14ac:dyDescent="0.35">
      <c r="A82" s="2496" t="s">
        <v>4962</v>
      </c>
      <c r="B82" s="2495"/>
      <c r="C82" s="2495"/>
      <c r="D82" s="2495"/>
      <c r="E82" s="2495"/>
      <c r="F82" s="2495"/>
      <c r="G82" s="2495"/>
      <c r="H82" s="2495"/>
    </row>
    <row r="83" spans="1:8" x14ac:dyDescent="0.35">
      <c r="A83" s="2495"/>
      <c r="B83" s="2495"/>
      <c r="C83" s="2495"/>
      <c r="D83" s="2495"/>
      <c r="E83" s="2495"/>
      <c r="F83" s="2495"/>
      <c r="G83" s="2495"/>
      <c r="H83" s="2495"/>
    </row>
    <row r="84" spans="1:8" x14ac:dyDescent="0.35">
      <c r="A84" s="2495"/>
      <c r="B84" s="2495"/>
      <c r="C84" s="2495"/>
      <c r="D84" s="2495"/>
      <c r="E84" s="2495"/>
      <c r="F84" s="2495"/>
      <c r="G84" s="2495"/>
      <c r="H84" s="2495"/>
    </row>
    <row r="85" spans="1:8" x14ac:dyDescent="0.35">
      <c r="A85" s="2495"/>
      <c r="B85" s="2495"/>
      <c r="C85" s="2495"/>
      <c r="D85" s="2495"/>
      <c r="E85" s="2495"/>
      <c r="F85" s="2495"/>
      <c r="G85" s="2495"/>
      <c r="H85" s="2495"/>
    </row>
    <row r="86" spans="1:8" x14ac:dyDescent="0.35">
      <c r="A86" s="2495"/>
      <c r="B86" s="2495"/>
      <c r="C86" s="2495"/>
      <c r="D86" s="2495"/>
      <c r="E86" s="2495"/>
      <c r="F86" s="2495"/>
      <c r="G86" s="2495"/>
      <c r="H86" s="2495"/>
    </row>
    <row r="87" spans="1:8" x14ac:dyDescent="0.35">
      <c r="A87" s="2495"/>
      <c r="B87" s="2495"/>
      <c r="C87" s="2495"/>
      <c r="D87" s="2495"/>
      <c r="E87" s="2495"/>
      <c r="F87" s="2495"/>
      <c r="G87" s="2495"/>
      <c r="H87" s="2495"/>
    </row>
    <row r="88" spans="1:8" x14ac:dyDescent="0.35">
      <c r="A88" s="2495"/>
      <c r="B88" s="2495"/>
      <c r="C88" s="2495"/>
      <c r="D88" s="2495"/>
      <c r="E88" s="2495"/>
      <c r="F88" s="2495"/>
      <c r="G88" s="2495"/>
      <c r="H88" s="2495"/>
    </row>
    <row r="89" spans="1:8" x14ac:dyDescent="0.35">
      <c r="A89" s="2495"/>
      <c r="B89" s="2495"/>
      <c r="C89" s="2495"/>
      <c r="D89" s="2495"/>
      <c r="E89" s="2495"/>
      <c r="F89" s="2495"/>
      <c r="G89" s="2495"/>
      <c r="H89" s="2495"/>
    </row>
    <row r="90" spans="1:8" x14ac:dyDescent="0.35">
      <c r="A90" s="2495"/>
      <c r="B90" s="2495" t="s">
        <v>4963</v>
      </c>
      <c r="C90" s="2501">
        <v>0.64</v>
      </c>
      <c r="D90" s="2495"/>
      <c r="E90" s="2495"/>
      <c r="F90" s="2495"/>
      <c r="G90" s="2495"/>
      <c r="H90" s="2495"/>
    </row>
    <row r="91" spans="1:8" x14ac:dyDescent="0.35">
      <c r="A91" s="2495"/>
      <c r="B91" s="2495" t="s">
        <v>4964</v>
      </c>
      <c r="C91" s="2501">
        <v>0.72</v>
      </c>
      <c r="D91" s="2495"/>
      <c r="E91" s="2495"/>
      <c r="F91" s="2495"/>
      <c r="G91" s="2495"/>
      <c r="H91" s="2495"/>
    </row>
    <row r="92" spans="1:8" x14ac:dyDescent="0.35">
      <c r="A92" s="2495"/>
      <c r="B92" s="2495" t="s">
        <v>4965</v>
      </c>
      <c r="C92" s="2501">
        <v>17.600000000000001</v>
      </c>
      <c r="D92" s="2495"/>
      <c r="E92" s="2495"/>
      <c r="F92" s="2495"/>
      <c r="G92" s="2495"/>
      <c r="H92" s="2495"/>
    </row>
    <row r="93" spans="1:8" x14ac:dyDescent="0.35">
      <c r="A93" s="2495"/>
      <c r="B93" s="2495" t="s">
        <v>4966</v>
      </c>
      <c r="C93" s="2501" t="s">
        <v>4967</v>
      </c>
      <c r="D93" s="2495"/>
      <c r="E93" s="2495"/>
      <c r="F93" s="2495"/>
      <c r="G93" s="2495"/>
      <c r="H93" s="2495"/>
    </row>
    <row r="94" spans="1:8" x14ac:dyDescent="0.35">
      <c r="A94" s="2495"/>
      <c r="B94" s="2495" t="s">
        <v>4968</v>
      </c>
      <c r="C94" s="2501">
        <v>8.33</v>
      </c>
      <c r="D94" s="2495"/>
      <c r="E94" s="2495"/>
      <c r="F94" s="2495"/>
      <c r="G94" s="2495"/>
      <c r="H94" s="2495"/>
    </row>
    <row r="95" spans="1:8" x14ac:dyDescent="0.35">
      <c r="A95" s="2495"/>
      <c r="B95" s="2495" t="s">
        <v>4969</v>
      </c>
      <c r="C95" s="2501">
        <v>125</v>
      </c>
      <c r="D95" s="2495"/>
      <c r="E95" s="2495"/>
      <c r="F95" s="2495"/>
      <c r="G95" s="2495"/>
      <c r="H95" s="2495"/>
    </row>
    <row r="96" spans="1:8" x14ac:dyDescent="0.35">
      <c r="A96" s="2495"/>
      <c r="B96" s="2495" t="s">
        <v>4970</v>
      </c>
      <c r="C96" s="2501">
        <v>54</v>
      </c>
      <c r="D96" s="2495"/>
      <c r="E96" s="2495"/>
      <c r="F96" s="2495"/>
      <c r="G96" s="2495"/>
      <c r="H96" s="2495"/>
    </row>
    <row r="97" spans="1:8" x14ac:dyDescent="0.35">
      <c r="A97" s="2495"/>
      <c r="B97" s="2495"/>
      <c r="C97" s="2495"/>
      <c r="D97" s="2495"/>
      <c r="E97" s="2495"/>
      <c r="F97" s="2495"/>
      <c r="G97" s="2495"/>
      <c r="H97" s="2495"/>
    </row>
    <row r="98" spans="1:8" x14ac:dyDescent="0.35">
      <c r="A98" s="2495"/>
      <c r="B98" s="2495"/>
      <c r="C98" s="2495"/>
      <c r="D98" s="2495"/>
      <c r="E98" s="2495"/>
      <c r="F98" s="2495"/>
      <c r="G98" s="2495"/>
      <c r="H98" s="2495"/>
    </row>
    <row r="99" spans="1:8" x14ac:dyDescent="0.35">
      <c r="A99" s="2496" t="s">
        <v>4971</v>
      </c>
      <c r="B99" s="2495"/>
      <c r="C99" s="2495"/>
      <c r="D99" s="2495"/>
      <c r="E99" s="2495"/>
      <c r="F99" s="2495"/>
      <c r="G99" s="2495"/>
      <c r="H99" s="2495"/>
    </row>
    <row r="100" spans="1:8" x14ac:dyDescent="0.35">
      <c r="A100" s="2495"/>
      <c r="B100" s="2495"/>
      <c r="C100" s="2495"/>
      <c r="D100" s="2495"/>
      <c r="E100" s="2495"/>
      <c r="F100" s="2495"/>
      <c r="G100" s="2495"/>
      <c r="H100" s="2495"/>
    </row>
    <row r="101" spans="1:8" x14ac:dyDescent="0.35">
      <c r="A101" s="2495"/>
      <c r="B101" s="2495"/>
      <c r="C101" s="2495"/>
      <c r="D101" s="2495"/>
      <c r="E101" s="2495"/>
      <c r="F101" s="2495"/>
      <c r="G101" s="2495"/>
      <c r="H101" s="2495"/>
    </row>
    <row r="102" spans="1:8" x14ac:dyDescent="0.35">
      <c r="A102" s="2495"/>
      <c r="B102" s="2495"/>
      <c r="C102" s="2495"/>
      <c r="D102" s="2495"/>
      <c r="E102" s="2495"/>
      <c r="F102" s="2495"/>
      <c r="G102" s="2495"/>
      <c r="H102" s="2495"/>
    </row>
    <row r="103" spans="1:8" x14ac:dyDescent="0.35">
      <c r="A103" s="2495"/>
      <c r="B103" s="2495"/>
      <c r="C103" s="2495"/>
      <c r="D103" s="2495"/>
      <c r="E103" s="2495"/>
      <c r="F103" s="2495"/>
      <c r="G103" s="2495"/>
      <c r="H103" s="2495"/>
    </row>
    <row r="104" spans="1:8" x14ac:dyDescent="0.35">
      <c r="A104" s="2495"/>
      <c r="B104" s="2495"/>
      <c r="C104" s="2495"/>
      <c r="D104" s="2495"/>
      <c r="E104" s="2495"/>
      <c r="F104" s="2495"/>
      <c r="G104" s="2495"/>
      <c r="H104" s="2495"/>
    </row>
    <row r="105" spans="1:8" x14ac:dyDescent="0.35">
      <c r="A105" s="2495"/>
      <c r="B105" s="2495"/>
      <c r="C105" s="2495"/>
      <c r="D105" s="2495"/>
      <c r="E105" s="2495"/>
      <c r="F105" s="2495"/>
      <c r="G105" s="2495"/>
      <c r="H105" s="2495"/>
    </row>
    <row r="106" spans="1:8" x14ac:dyDescent="0.35">
      <c r="A106" s="2495"/>
      <c r="B106" s="2495"/>
      <c r="C106" s="2495"/>
      <c r="D106" s="2495"/>
      <c r="E106" s="2495"/>
      <c r="F106" s="2495"/>
      <c r="G106" s="2495"/>
      <c r="H106" s="2495"/>
    </row>
    <row r="107" spans="1:8" x14ac:dyDescent="0.35">
      <c r="A107" s="2495"/>
      <c r="B107" s="2495"/>
      <c r="C107" s="2495"/>
      <c r="D107" s="2495"/>
      <c r="E107" s="2495"/>
      <c r="F107" s="2495"/>
      <c r="G107" s="2495"/>
      <c r="H107" s="2495"/>
    </row>
    <row r="108" spans="1:8" x14ac:dyDescent="0.35">
      <c r="A108" s="2495"/>
      <c r="B108" s="2495"/>
      <c r="C108" s="2495"/>
      <c r="D108" s="2495"/>
      <c r="E108" s="2495"/>
      <c r="F108" s="2495"/>
      <c r="G108" s="2495"/>
      <c r="H108" s="2495"/>
    </row>
    <row r="109" spans="1:8" x14ac:dyDescent="0.35">
      <c r="A109" s="2495"/>
      <c r="B109" s="2495" t="s">
        <v>4972</v>
      </c>
      <c r="C109" s="2495" t="s">
        <v>4973</v>
      </c>
      <c r="D109" s="2495"/>
      <c r="E109" s="2495"/>
      <c r="F109" s="2495"/>
      <c r="G109" s="2495"/>
      <c r="H109" s="2495"/>
    </row>
    <row r="110" spans="1:8" x14ac:dyDescent="0.35">
      <c r="A110" s="2495"/>
      <c r="B110" s="2495" t="s">
        <v>4974</v>
      </c>
      <c r="C110" s="2495" t="s">
        <v>4975</v>
      </c>
      <c r="D110" s="2495"/>
      <c r="E110" s="2495"/>
      <c r="F110" s="2495"/>
      <c r="G110" s="2495"/>
      <c r="H110" s="2495"/>
    </row>
    <row r="111" spans="1:8" x14ac:dyDescent="0.35">
      <c r="A111" s="2495"/>
      <c r="B111" s="2495" t="s">
        <v>4976</v>
      </c>
      <c r="C111" s="2495" t="s">
        <v>4977</v>
      </c>
      <c r="D111" s="2495"/>
      <c r="E111" s="2495"/>
      <c r="F111" s="2495"/>
      <c r="G111" s="2495"/>
      <c r="H111" s="2495"/>
    </row>
    <row r="112" spans="1:8" x14ac:dyDescent="0.35">
      <c r="A112" s="2495"/>
      <c r="B112" s="2495" t="s">
        <v>4978</v>
      </c>
      <c r="C112" s="2495" t="s">
        <v>4979</v>
      </c>
      <c r="D112" s="2495"/>
      <c r="E112" s="2495"/>
      <c r="F112" s="2495"/>
      <c r="G112" s="2495"/>
      <c r="H112" s="2495"/>
    </row>
    <row r="113" spans="1:12" x14ac:dyDescent="0.35">
      <c r="A113" s="2495"/>
      <c r="B113" s="2495" t="s">
        <v>4980</v>
      </c>
      <c r="C113" s="2502">
        <v>0.72</v>
      </c>
      <c r="D113" s="2495"/>
      <c r="E113" s="2495"/>
      <c r="F113" s="2495"/>
      <c r="G113" s="2495"/>
      <c r="H113" s="2495"/>
    </row>
    <row r="114" spans="1:12" x14ac:dyDescent="0.35">
      <c r="A114" s="2495"/>
      <c r="B114" s="2495" t="s">
        <v>4981</v>
      </c>
      <c r="C114" s="2502">
        <v>1</v>
      </c>
      <c r="D114" s="2495"/>
      <c r="E114" s="2495"/>
      <c r="F114" s="2495"/>
      <c r="G114" s="2495"/>
      <c r="H114" s="2495"/>
    </row>
    <row r="115" spans="1:12" x14ac:dyDescent="0.35">
      <c r="A115" s="2495"/>
      <c r="B115" s="2495" t="s">
        <v>4982</v>
      </c>
      <c r="C115" s="2502">
        <v>1</v>
      </c>
      <c r="D115" s="2495"/>
      <c r="E115" s="2495"/>
      <c r="F115" s="2495"/>
      <c r="G115" s="2495"/>
      <c r="H115" s="2495"/>
    </row>
    <row r="117" spans="1:12" x14ac:dyDescent="0.35">
      <c r="A117" s="2514"/>
      <c r="B117" s="2514"/>
      <c r="C117" s="2514"/>
      <c r="D117" s="2514"/>
      <c r="E117" s="2514"/>
      <c r="F117" s="2514"/>
      <c r="G117" s="2514"/>
      <c r="H117" s="2514"/>
      <c r="I117" s="2514"/>
      <c r="J117" s="2514"/>
      <c r="K117" s="2514"/>
      <c r="L117" s="2514"/>
    </row>
    <row r="118" spans="1:12" x14ac:dyDescent="0.35">
      <c r="A118" s="199"/>
      <c r="B118" s="199"/>
      <c r="D118" s="30"/>
      <c r="E118" s="30"/>
      <c r="F118" s="30"/>
      <c r="G118" s="30"/>
      <c r="H118" s="2313"/>
      <c r="I118" s="2313"/>
      <c r="J118" s="2312"/>
      <c r="K118" s="2312"/>
      <c r="L118" s="2312"/>
    </row>
    <row r="119" spans="1:12" x14ac:dyDescent="0.35">
      <c r="A119" s="199"/>
      <c r="B119" s="199"/>
      <c r="D119" s="30"/>
      <c r="E119" s="30"/>
      <c r="F119" s="30"/>
      <c r="G119" s="30"/>
      <c r="H119" s="2313"/>
      <c r="I119" s="2313"/>
      <c r="J119" s="2312"/>
      <c r="K119" s="2312"/>
      <c r="L119" s="2312"/>
    </row>
    <row r="121" spans="1:12" x14ac:dyDescent="0.35">
      <c r="A121" s="2514"/>
      <c r="B121" s="2514"/>
      <c r="C121" s="2514"/>
      <c r="D121" s="2514"/>
      <c r="E121" s="2514"/>
      <c r="F121" s="2514"/>
      <c r="G121" s="2514"/>
      <c r="H121" s="2514"/>
      <c r="I121" s="2514"/>
      <c r="J121" s="2514"/>
      <c r="K121" s="2514"/>
      <c r="L121" s="2514"/>
    </row>
    <row r="122" spans="1:12" x14ac:dyDescent="0.35">
      <c r="A122" s="199"/>
      <c r="B122" s="199"/>
      <c r="D122" s="30"/>
      <c r="E122" s="30"/>
      <c r="F122" s="30"/>
      <c r="G122" s="30"/>
      <c r="H122" s="2313"/>
      <c r="I122" s="2313"/>
      <c r="J122" s="2312"/>
      <c r="K122" s="2312"/>
      <c r="L122" s="2312"/>
    </row>
    <row r="123" spans="1:12" x14ac:dyDescent="0.35">
      <c r="A123" s="199"/>
      <c r="B123" s="199"/>
      <c r="D123" s="30"/>
      <c r="E123" s="30"/>
      <c r="F123" s="30"/>
      <c r="G123" s="30"/>
      <c r="H123" s="2313"/>
      <c r="I123" s="2313"/>
      <c r="J123" s="2312"/>
      <c r="K123" s="2312"/>
      <c r="L123" s="2312"/>
    </row>
  </sheetData>
  <hyperlinks>
    <hyperlink ref="A1" location="'Measure-Level Adjustments'!Print_Titles" display="Measure Level Tab" xr:uid="{6636E2A9-8C65-403A-BEA4-EF17738F5711}"/>
  </hyperlinks>
  <pageMargins left="0.7" right="0.7" top="0.75" bottom="0.75" header="0.3" footer="0.3"/>
  <pageSetup scale="28" orientation="landscape"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pageSetUpPr fitToPage="1"/>
  </sheetPr>
  <dimension ref="A1:P60"/>
  <sheetViews>
    <sheetView view="pageBreakPreview" zoomScale="60" zoomScaleNormal="100" workbookViewId="0">
      <selection activeCell="B11" sqref="B11"/>
    </sheetView>
  </sheetViews>
  <sheetFormatPr defaultRowHeight="14.5" x14ac:dyDescent="0.35"/>
  <cols>
    <col min="1" max="1" width="21.81640625" customWidth="1"/>
    <col min="2" max="2" width="36.54296875" bestFit="1" customWidth="1"/>
    <col min="3" max="3" width="34.7265625" bestFit="1" customWidth="1"/>
    <col min="4" max="4" width="11.7265625" customWidth="1"/>
    <col min="5" max="5" width="12.26953125" customWidth="1"/>
    <col min="6" max="6" width="48.54296875" bestFit="1" customWidth="1"/>
    <col min="7" max="7" width="16.1796875" bestFit="1" customWidth="1"/>
    <col min="13" max="13" width="10.26953125" customWidth="1"/>
  </cols>
  <sheetData>
    <row r="1" spans="1:16" x14ac:dyDescent="0.35">
      <c r="A1" s="947" t="s">
        <v>378</v>
      </c>
      <c r="B1" s="948"/>
      <c r="C1" s="948"/>
      <c r="D1" s="948"/>
      <c r="E1" s="949"/>
      <c r="F1" s="949"/>
      <c r="G1" s="949"/>
      <c r="H1" s="949"/>
      <c r="I1" s="949"/>
      <c r="J1" s="949"/>
      <c r="K1" s="2990" t="s">
        <v>1032</v>
      </c>
      <c r="L1" s="2991"/>
      <c r="M1" s="2992"/>
      <c r="N1" s="2990" t="s">
        <v>1033</v>
      </c>
      <c r="O1" s="2991"/>
      <c r="P1" s="2992"/>
    </row>
    <row r="2" spans="1:16" s="199" customFormat="1" ht="29" x14ac:dyDescent="0.35">
      <c r="A2" s="952" t="s">
        <v>1035</v>
      </c>
      <c r="B2" s="952" t="s">
        <v>155</v>
      </c>
      <c r="C2" s="953" t="s">
        <v>1036</v>
      </c>
      <c r="D2" s="953" t="s">
        <v>1037</v>
      </c>
      <c r="E2" s="952" t="s">
        <v>1038</v>
      </c>
      <c r="F2" s="952" t="s">
        <v>1039</v>
      </c>
      <c r="G2" s="952" t="s">
        <v>1040</v>
      </c>
      <c r="H2" s="952" t="s">
        <v>1290</v>
      </c>
      <c r="I2" s="952" t="s">
        <v>1043</v>
      </c>
      <c r="J2" s="952" t="s">
        <v>1041</v>
      </c>
      <c r="K2" s="952" t="s">
        <v>1044</v>
      </c>
      <c r="L2" s="952" t="s">
        <v>1045</v>
      </c>
      <c r="M2" s="952" t="s">
        <v>1046</v>
      </c>
      <c r="N2" s="952" t="s">
        <v>1044</v>
      </c>
      <c r="O2" s="952" t="s">
        <v>1045</v>
      </c>
      <c r="P2" s="952" t="s">
        <v>1046</v>
      </c>
    </row>
    <row r="3" spans="1:16" s="60" customFormat="1" x14ac:dyDescent="0.35">
      <c r="A3" s="955" t="s">
        <v>378</v>
      </c>
      <c r="B3" s="955" t="s">
        <v>1291</v>
      </c>
      <c r="C3" s="956" t="s">
        <v>377</v>
      </c>
      <c r="D3" s="957" t="s">
        <v>1071</v>
      </c>
      <c r="E3" s="958" t="s">
        <v>1072</v>
      </c>
      <c r="F3" s="958">
        <f>+$B$57</f>
        <v>12</v>
      </c>
      <c r="G3" s="960"/>
      <c r="H3" s="960"/>
      <c r="I3" s="69"/>
      <c r="J3" s="965" t="s">
        <v>1284</v>
      </c>
      <c r="K3" s="991"/>
      <c r="L3" s="963"/>
      <c r="M3" s="991">
        <f>($C$14+$C$15+$C$16)*$B$21/100000</f>
        <v>353.45688664596281</v>
      </c>
      <c r="N3" s="991"/>
      <c r="O3" s="963"/>
      <c r="P3" s="991">
        <f>M3*F3</f>
        <v>4241.4826397515535</v>
      </c>
    </row>
    <row r="4" spans="1:16" ht="15" thickBot="1" x14ac:dyDescent="0.4"/>
    <row r="5" spans="1:16" ht="15" thickBot="1" x14ac:dyDescent="0.4">
      <c r="A5" s="74" t="s">
        <v>1188</v>
      </c>
      <c r="B5" s="64"/>
      <c r="C5" s="64"/>
      <c r="D5" s="64"/>
      <c r="E5" s="64"/>
      <c r="F5" s="64"/>
      <c r="G5" s="65"/>
    </row>
    <row r="6" spans="1:16" x14ac:dyDescent="0.35">
      <c r="A6" s="67" t="s">
        <v>1292</v>
      </c>
      <c r="B6" s="69"/>
      <c r="C6" s="69"/>
      <c r="D6" s="69"/>
      <c r="E6" s="69"/>
      <c r="F6" s="69"/>
      <c r="G6" s="70"/>
    </row>
    <row r="7" spans="1:16" x14ac:dyDescent="0.35">
      <c r="A7" s="67" t="s">
        <v>1293</v>
      </c>
      <c r="B7" s="69"/>
      <c r="C7" s="69"/>
      <c r="D7" s="69"/>
      <c r="E7" s="69"/>
      <c r="F7" s="69"/>
      <c r="G7" s="70"/>
    </row>
    <row r="8" spans="1:16" ht="25.5" customHeight="1" x14ac:dyDescent="0.35">
      <c r="A8" s="3023" t="s">
        <v>1294</v>
      </c>
      <c r="B8" s="3017"/>
      <c r="C8" s="3017"/>
      <c r="D8" s="3017"/>
      <c r="E8" s="3017"/>
      <c r="F8" s="3017"/>
      <c r="G8" s="3024"/>
    </row>
    <row r="9" spans="1:16" ht="15" thickBot="1" x14ac:dyDescent="0.4">
      <c r="A9" s="71" t="s">
        <v>1295</v>
      </c>
      <c r="B9" s="72"/>
      <c r="C9" s="72"/>
      <c r="D9" s="72"/>
      <c r="E9" s="72"/>
      <c r="F9" s="72"/>
      <c r="G9" s="73"/>
    </row>
    <row r="10" spans="1:16" ht="15" thickBot="1" x14ac:dyDescent="0.4">
      <c r="A10" s="154" t="s">
        <v>1078</v>
      </c>
      <c r="B10" s="1142">
        <f>'Measure-Level Adjustments'!A2</f>
        <v>44592</v>
      </c>
    </row>
    <row r="11" spans="1:16" ht="15" thickBot="1" x14ac:dyDescent="0.4">
      <c r="A11" s="154" t="s">
        <v>1079</v>
      </c>
      <c r="B11" s="577" t="s">
        <v>379</v>
      </c>
    </row>
    <row r="12" spans="1:16" ht="15" thickBot="1" x14ac:dyDescent="0.4"/>
    <row r="13" spans="1:16" ht="15" thickBot="1" x14ac:dyDescent="0.4">
      <c r="A13" s="74" t="s">
        <v>1296</v>
      </c>
      <c r="B13" s="64"/>
      <c r="C13" s="65"/>
    </row>
    <row r="14" spans="1:16" x14ac:dyDescent="0.35">
      <c r="A14" s="304" t="s">
        <v>1297</v>
      </c>
      <c r="B14" s="69"/>
      <c r="C14" s="1151">
        <f>(B47*B54)-(B45*B51)</f>
        <v>59785.71428571429</v>
      </c>
    </row>
    <row r="15" spans="1:16" x14ac:dyDescent="0.35">
      <c r="A15" s="304" t="s">
        <v>1298</v>
      </c>
      <c r="B15" s="69"/>
      <c r="C15" s="669">
        <f>(B35*B39/60*B43)-(B33*B37/60*B41)</f>
        <v>8000</v>
      </c>
    </row>
    <row r="16" spans="1:16" ht="15" thickBot="1" x14ac:dyDescent="0.4">
      <c r="A16" s="309" t="s">
        <v>1299</v>
      </c>
      <c r="B16" s="161"/>
      <c r="C16" s="1150">
        <f>(B23*B55/B27)-(B23*B55/B25)</f>
        <v>28985.507246376823</v>
      </c>
    </row>
    <row r="17" spans="1:5" ht="15" thickBot="1" x14ac:dyDescent="0.4"/>
    <row r="18" spans="1:5" ht="15" thickBot="1" x14ac:dyDescent="0.4">
      <c r="A18" s="637" t="s">
        <v>1285</v>
      </c>
      <c r="B18" s="638" t="s">
        <v>1199</v>
      </c>
      <c r="C18" s="639" t="s">
        <v>1082</v>
      </c>
      <c r="D18" s="383"/>
      <c r="E18" s="384"/>
    </row>
    <row r="19" spans="1:5" x14ac:dyDescent="0.35">
      <c r="A19" s="856" t="s">
        <v>1300</v>
      </c>
      <c r="B19" s="354">
        <v>12</v>
      </c>
      <c r="C19" s="79" t="s">
        <v>1301</v>
      </c>
      <c r="D19" s="80"/>
      <c r="E19" s="81"/>
    </row>
    <row r="20" spans="1:5" ht="15" thickBot="1" x14ac:dyDescent="0.4">
      <c r="A20" s="857"/>
      <c r="B20" s="127"/>
      <c r="C20" s="84" t="s">
        <v>1302</v>
      </c>
      <c r="D20" s="85"/>
      <c r="E20" s="86"/>
    </row>
    <row r="21" spans="1:5" x14ac:dyDescent="0.35">
      <c r="A21" s="856" t="s">
        <v>1063</v>
      </c>
      <c r="B21" s="354">
        <v>365.25</v>
      </c>
      <c r="C21" s="79" t="s">
        <v>1303</v>
      </c>
      <c r="D21" s="80"/>
      <c r="E21" s="81"/>
    </row>
    <row r="22" spans="1:5" ht="15" thickBot="1" x14ac:dyDescent="0.4">
      <c r="A22" s="857"/>
      <c r="B22" s="127"/>
      <c r="C22" s="84" t="s">
        <v>1304</v>
      </c>
      <c r="D22" s="85"/>
      <c r="E22" s="86"/>
    </row>
    <row r="23" spans="1:5" x14ac:dyDescent="0.35">
      <c r="A23" s="856" t="s">
        <v>1305</v>
      </c>
      <c r="B23" s="354">
        <v>100</v>
      </c>
      <c r="C23" s="79" t="s">
        <v>1306</v>
      </c>
      <c r="D23" s="80"/>
      <c r="E23" s="81"/>
    </row>
    <row r="24" spans="1:5" ht="15" thickBot="1" x14ac:dyDescent="0.4">
      <c r="A24" s="857"/>
      <c r="B24" s="127"/>
      <c r="C24" s="84" t="s">
        <v>1307</v>
      </c>
      <c r="D24" s="85"/>
      <c r="E24" s="86"/>
    </row>
    <row r="25" spans="1:5" x14ac:dyDescent="0.35">
      <c r="A25" s="856" t="s">
        <v>1308</v>
      </c>
      <c r="B25" s="858">
        <v>0.46</v>
      </c>
      <c r="C25" s="79" t="s">
        <v>1309</v>
      </c>
      <c r="D25" s="80"/>
      <c r="E25" s="81"/>
    </row>
    <row r="26" spans="1:5" ht="15" thickBot="1" x14ac:dyDescent="0.4">
      <c r="A26" s="857"/>
      <c r="B26" s="859"/>
      <c r="C26" s="84" t="s">
        <v>1310</v>
      </c>
      <c r="D26" s="85"/>
      <c r="E26" s="86"/>
    </row>
    <row r="27" spans="1:5" x14ac:dyDescent="0.35">
      <c r="A27" s="856" t="s">
        <v>1311</v>
      </c>
      <c r="B27" s="858">
        <v>0.3</v>
      </c>
      <c r="C27" s="79" t="s">
        <v>1312</v>
      </c>
      <c r="D27" s="80"/>
      <c r="E27" s="81"/>
    </row>
    <row r="28" spans="1:5" ht="15" thickBot="1" x14ac:dyDescent="0.4">
      <c r="A28" s="857"/>
      <c r="B28" s="859"/>
      <c r="C28" s="84" t="s">
        <v>1313</v>
      </c>
      <c r="D28" s="85"/>
      <c r="E28" s="86"/>
    </row>
    <row r="29" spans="1:5" x14ac:dyDescent="0.35">
      <c r="A29" s="856" t="s">
        <v>1314</v>
      </c>
      <c r="B29" s="354">
        <v>80</v>
      </c>
      <c r="C29" s="79" t="s">
        <v>1315</v>
      </c>
      <c r="D29" s="80"/>
      <c r="E29" s="81"/>
    </row>
    <row r="30" spans="1:5" ht="15" thickBot="1" x14ac:dyDescent="0.4">
      <c r="A30" s="857"/>
      <c r="B30" s="127"/>
      <c r="C30" s="84" t="s">
        <v>1316</v>
      </c>
      <c r="D30" s="85"/>
      <c r="E30" s="86"/>
    </row>
    <row r="31" spans="1:5" x14ac:dyDescent="0.35">
      <c r="A31" s="856" t="s">
        <v>1317</v>
      </c>
      <c r="B31" s="354">
        <v>70</v>
      </c>
      <c r="C31" s="79" t="s">
        <v>1318</v>
      </c>
      <c r="D31" s="80"/>
      <c r="E31" s="81"/>
    </row>
    <row r="32" spans="1:5" ht="15" thickBot="1" x14ac:dyDescent="0.4">
      <c r="A32" s="857"/>
      <c r="B32" s="127"/>
      <c r="C32" s="84" t="s">
        <v>1319</v>
      </c>
      <c r="D32" s="85"/>
      <c r="E32" s="86"/>
    </row>
    <row r="33" spans="1:5" ht="26.5" x14ac:dyDescent="0.35">
      <c r="A33" s="856" t="s">
        <v>1320</v>
      </c>
      <c r="B33" s="354">
        <v>1</v>
      </c>
      <c r="C33" s="79" t="s">
        <v>1321</v>
      </c>
      <c r="D33" s="80"/>
      <c r="E33" s="81"/>
    </row>
    <row r="34" spans="1:5" ht="15" thickBot="1" x14ac:dyDescent="0.4">
      <c r="A34" s="857"/>
      <c r="B34" s="127"/>
      <c r="C34" s="84" t="s">
        <v>1322</v>
      </c>
      <c r="D34" s="85"/>
      <c r="E34" s="86"/>
    </row>
    <row r="35" spans="1:5" x14ac:dyDescent="0.35">
      <c r="A35" s="856" t="s">
        <v>1323</v>
      </c>
      <c r="B35" s="354">
        <v>1</v>
      </c>
      <c r="C35" s="79" t="s">
        <v>1321</v>
      </c>
      <c r="D35" s="80"/>
      <c r="E35" s="81"/>
    </row>
    <row r="36" spans="1:5" ht="15" thickBot="1" x14ac:dyDescent="0.4">
      <c r="A36" s="857"/>
      <c r="B36" s="127"/>
      <c r="C36" s="84" t="s">
        <v>1322</v>
      </c>
      <c r="D36" s="85"/>
      <c r="E36" s="86"/>
    </row>
    <row r="37" spans="1:5" x14ac:dyDescent="0.35">
      <c r="A37" s="856" t="s">
        <v>1324</v>
      </c>
      <c r="B37" s="354">
        <v>15</v>
      </c>
      <c r="C37" s="79" t="s">
        <v>1325</v>
      </c>
      <c r="D37" s="80"/>
      <c r="E37" s="81"/>
    </row>
    <row r="38" spans="1:5" ht="15" thickBot="1" x14ac:dyDescent="0.4">
      <c r="A38" s="857"/>
      <c r="B38" s="127"/>
      <c r="C38" s="84" t="s">
        <v>1326</v>
      </c>
      <c r="D38" s="85"/>
      <c r="E38" s="86"/>
    </row>
    <row r="39" spans="1:5" x14ac:dyDescent="0.35">
      <c r="A39" s="856" t="s">
        <v>1327</v>
      </c>
      <c r="B39" s="354">
        <v>15</v>
      </c>
      <c r="C39" s="79" t="s">
        <v>1325</v>
      </c>
      <c r="D39" s="80"/>
      <c r="E39" s="81"/>
    </row>
    <row r="40" spans="1:5" ht="15" thickBot="1" x14ac:dyDescent="0.4">
      <c r="A40" s="857"/>
      <c r="B40" s="127"/>
      <c r="C40" s="84" t="s">
        <v>1326</v>
      </c>
      <c r="D40" s="85"/>
      <c r="E40" s="86"/>
    </row>
    <row r="41" spans="1:5" x14ac:dyDescent="0.35">
      <c r="A41" s="856" t="s">
        <v>1328</v>
      </c>
      <c r="B41" s="860">
        <v>44000</v>
      </c>
      <c r="C41" s="79" t="s">
        <v>1329</v>
      </c>
      <c r="D41" s="80"/>
      <c r="E41" s="81"/>
    </row>
    <row r="42" spans="1:5" ht="15" thickBot="1" x14ac:dyDescent="0.4">
      <c r="A42" s="857"/>
      <c r="B42" s="861"/>
      <c r="C42" s="84" t="s">
        <v>1330</v>
      </c>
      <c r="D42" s="85"/>
      <c r="E42" s="86"/>
    </row>
    <row r="43" spans="1:5" x14ac:dyDescent="0.35">
      <c r="A43" s="856" t="s">
        <v>1331</v>
      </c>
      <c r="B43" s="860">
        <v>76000</v>
      </c>
      <c r="C43" s="79" t="s">
        <v>1332</v>
      </c>
      <c r="D43" s="80"/>
      <c r="E43" s="81"/>
    </row>
    <row r="44" spans="1:5" ht="15" thickBot="1" x14ac:dyDescent="0.4">
      <c r="A44" s="857"/>
      <c r="B44" s="861"/>
      <c r="C44" s="84" t="s">
        <v>1333</v>
      </c>
      <c r="D44" s="85"/>
      <c r="E44" s="86"/>
    </row>
    <row r="45" spans="1:5" x14ac:dyDescent="0.35">
      <c r="A45" s="856" t="s">
        <v>1334</v>
      </c>
      <c r="B45" s="860">
        <v>12000</v>
      </c>
      <c r="C45" s="79" t="s">
        <v>1335</v>
      </c>
      <c r="D45" s="80"/>
      <c r="E45" s="81"/>
    </row>
    <row r="46" spans="1:5" ht="15" thickBot="1" x14ac:dyDescent="0.4">
      <c r="A46" s="857"/>
      <c r="B46" s="861"/>
      <c r="C46" s="84" t="s">
        <v>1336</v>
      </c>
      <c r="D46" s="85"/>
      <c r="E46" s="86"/>
    </row>
    <row r="47" spans="1:5" x14ac:dyDescent="0.35">
      <c r="A47" s="856" t="s">
        <v>1337</v>
      </c>
      <c r="B47" s="860">
        <v>18000</v>
      </c>
      <c r="C47" s="79" t="s">
        <v>1335</v>
      </c>
      <c r="D47" s="80"/>
      <c r="E47" s="81"/>
    </row>
    <row r="48" spans="1:5" ht="15" thickBot="1" x14ac:dyDescent="0.4">
      <c r="A48" s="857"/>
      <c r="B48" s="861"/>
      <c r="C48" s="84" t="s">
        <v>1338</v>
      </c>
      <c r="D48" s="85"/>
      <c r="E48" s="86"/>
    </row>
    <row r="49" spans="1:5" ht="27" customHeight="1" x14ac:dyDescent="0.35">
      <c r="A49" s="856" t="s">
        <v>1339</v>
      </c>
      <c r="B49" s="862"/>
      <c r="C49" s="79" t="s">
        <v>1340</v>
      </c>
      <c r="D49" s="80"/>
      <c r="E49" s="81"/>
    </row>
    <row r="50" spans="1:5" ht="27" customHeight="1" x14ac:dyDescent="0.35">
      <c r="A50" s="863"/>
      <c r="B50" s="864"/>
      <c r="C50" s="55" t="s">
        <v>1341</v>
      </c>
      <c r="E50" s="253"/>
    </row>
    <row r="51" spans="1:5" ht="27" customHeight="1" thickBot="1" x14ac:dyDescent="0.4">
      <c r="A51" s="857"/>
      <c r="B51" s="865">
        <f>+B19-B23/B29-B37/60</f>
        <v>10.5</v>
      </c>
      <c r="C51" s="84" t="s">
        <v>1342</v>
      </c>
      <c r="D51" s="85"/>
      <c r="E51" s="86"/>
    </row>
    <row r="52" spans="1:5" x14ac:dyDescent="0.35">
      <c r="A52" s="856" t="s">
        <v>1343</v>
      </c>
      <c r="B52" s="862"/>
      <c r="C52" s="79" t="s">
        <v>1344</v>
      </c>
      <c r="D52" s="80"/>
      <c r="E52" s="81"/>
    </row>
    <row r="53" spans="1:5" x14ac:dyDescent="0.35">
      <c r="A53" s="863"/>
      <c r="B53" s="864"/>
      <c r="C53" s="55" t="s">
        <v>1345</v>
      </c>
      <c r="E53" s="253"/>
    </row>
    <row r="54" spans="1:5" ht="15" thickBot="1" x14ac:dyDescent="0.4">
      <c r="A54" s="857"/>
      <c r="B54" s="865">
        <f>12-(100/70)-(15/60)</f>
        <v>10.321428571428571</v>
      </c>
      <c r="C54" s="84" t="s">
        <v>1342</v>
      </c>
      <c r="D54" s="85"/>
      <c r="E54" s="86"/>
    </row>
    <row r="55" spans="1:5" x14ac:dyDescent="0.35">
      <c r="A55" s="856" t="s">
        <v>1346</v>
      </c>
      <c r="B55" s="860">
        <v>250</v>
      </c>
      <c r="C55" s="79" t="s">
        <v>1347</v>
      </c>
      <c r="D55" s="80"/>
      <c r="E55" s="81"/>
    </row>
    <row r="56" spans="1:5" ht="15" thickBot="1" x14ac:dyDescent="0.4">
      <c r="A56" s="88"/>
      <c r="B56" s="85"/>
      <c r="C56" s="84" t="s">
        <v>1084</v>
      </c>
      <c r="D56" s="85"/>
      <c r="E56" s="86"/>
    </row>
    <row r="57" spans="1:5" ht="15" thickBot="1" x14ac:dyDescent="0.4">
      <c r="A57" s="88" t="s">
        <v>1083</v>
      </c>
      <c r="B57" s="85">
        <v>12</v>
      </c>
      <c r="C57" s="84" t="s">
        <v>1084</v>
      </c>
      <c r="D57" s="85"/>
      <c r="E57" s="86"/>
    </row>
    <row r="58" spans="1:5" ht="15" thickBot="1" x14ac:dyDescent="0.4">
      <c r="A58" s="94" t="s">
        <v>1040</v>
      </c>
      <c r="B58" s="364"/>
      <c r="C58" s="679"/>
      <c r="D58" s="364"/>
      <c r="E58" s="96"/>
    </row>
    <row r="59" spans="1:5" ht="36" customHeight="1" x14ac:dyDescent="0.35">
      <c r="A59" s="854" t="s">
        <v>1253</v>
      </c>
      <c r="B59" s="80"/>
      <c r="C59" s="3019" t="s">
        <v>1348</v>
      </c>
      <c r="D59" s="3019"/>
      <c r="E59" s="3020"/>
    </row>
    <row r="60" spans="1:5" ht="30.75" customHeight="1" thickBot="1" x14ac:dyDescent="0.4">
      <c r="A60" s="855" t="s">
        <v>1255</v>
      </c>
      <c r="B60" s="85"/>
      <c r="C60" s="3021" t="s">
        <v>1349</v>
      </c>
      <c r="D60" s="3021"/>
      <c r="E60" s="3022"/>
    </row>
  </sheetData>
  <customSheetViews>
    <customSheetView guid="{ECD6FE6A-9548-414E-B8AA-6998703C57E0}" scale="60" showPageBreaks="1" fitToPage="1" view="pageBreakPreview">
      <pageMargins left="0" right="0" top="0" bottom="0" header="0" footer="0"/>
      <pageSetup scale="47" orientation="landscape" verticalDpi="300" r:id="rId1"/>
    </customSheetView>
    <customSheetView guid="{11DE45F5-F478-4ED6-8DFF-12002C22A637}" scale="60" showPageBreaks="1" fitToPage="1" view="pageBreakPreview">
      <pageMargins left="0" right="0" top="0" bottom="0" header="0" footer="0"/>
      <pageSetup scale="47" orientation="landscape" verticalDpi="300" r:id="rId2"/>
    </customSheetView>
  </customSheetViews>
  <mergeCells count="5">
    <mergeCell ref="K1:M1"/>
    <mergeCell ref="N1:P1"/>
    <mergeCell ref="A8:G8"/>
    <mergeCell ref="C59:E59"/>
    <mergeCell ref="C60:E60"/>
  </mergeCells>
  <dataValidations count="2">
    <dataValidation type="list" allowBlank="1" showInputMessage="1" showErrorMessage="1" sqref="H3" xr:uid="{00000000-0002-0000-0600-000000000000}">
      <formula1>$A$67:$A$68</formula1>
    </dataValidation>
    <dataValidation type="list" allowBlank="1" showInputMessage="1" showErrorMessage="1" sqref="D3" xr:uid="{00000000-0002-0000-0600-000001000000}">
      <formula1>MeasureType</formula1>
    </dataValidation>
  </dataValidations>
  <pageMargins left="0.7" right="0.7" top="0.75" bottom="0.75" header="0.3" footer="0.3"/>
  <pageSetup scale="46" orientation="landscape" verticalDpi="300"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BAF13-1BDE-4DD2-B04D-CFB1752F8B97}">
  <sheetPr>
    <tabColor rgb="FF92D050"/>
  </sheetPr>
  <dimension ref="A1:J23"/>
  <sheetViews>
    <sheetView workbookViewId="0"/>
  </sheetViews>
  <sheetFormatPr defaultRowHeight="14.5" x14ac:dyDescent="0.35"/>
  <cols>
    <col min="1" max="1" width="15.26953125" customWidth="1"/>
    <col min="2" max="2" width="21.26953125" customWidth="1"/>
    <col min="3" max="3" width="26.1796875" customWidth="1"/>
    <col min="4" max="4" width="16.453125" customWidth="1"/>
    <col min="5" max="5" width="16.26953125" customWidth="1"/>
    <col min="6" max="6" width="11.81640625" customWidth="1"/>
    <col min="7" max="9" width="18.81640625" customWidth="1"/>
    <col min="10" max="10" width="17.453125" customWidth="1"/>
  </cols>
  <sheetData>
    <row r="1" spans="1:10" x14ac:dyDescent="0.35">
      <c r="A1" s="2556" t="s">
        <v>4983</v>
      </c>
      <c r="B1" s="2556"/>
    </row>
    <row r="3" spans="1:10" ht="62" x14ac:dyDescent="0.35">
      <c r="A3" s="17" t="s">
        <v>55</v>
      </c>
      <c r="B3" s="17" t="s">
        <v>154</v>
      </c>
      <c r="C3" s="17" t="s">
        <v>155</v>
      </c>
      <c r="D3" s="1352" t="s">
        <v>156</v>
      </c>
      <c r="E3" s="1352" t="s">
        <v>157</v>
      </c>
      <c r="F3" s="1352" t="s">
        <v>158</v>
      </c>
      <c r="G3" s="21" t="s">
        <v>4984</v>
      </c>
      <c r="H3" s="21" t="s">
        <v>4985</v>
      </c>
      <c r="I3" s="21" t="s">
        <v>4986</v>
      </c>
      <c r="J3" s="21" t="s">
        <v>4987</v>
      </c>
    </row>
    <row r="4" spans="1:10" ht="15.5" x14ac:dyDescent="0.35">
      <c r="A4" s="1132" t="s">
        <v>109</v>
      </c>
      <c r="B4" s="1132" t="s">
        <v>686</v>
      </c>
      <c r="C4" s="1132" t="s">
        <v>714</v>
      </c>
      <c r="D4" s="1359" t="s">
        <v>715</v>
      </c>
      <c r="E4" s="1359">
        <v>1</v>
      </c>
      <c r="F4" s="1780" t="s">
        <v>715</v>
      </c>
      <c r="G4" s="2557">
        <v>0.87</v>
      </c>
      <c r="H4" s="2557">
        <v>0.87</v>
      </c>
      <c r="I4" s="2557">
        <v>0.87</v>
      </c>
      <c r="J4" s="2557">
        <v>0.87</v>
      </c>
    </row>
    <row r="5" spans="1:10" ht="31" x14ac:dyDescent="0.35">
      <c r="A5" s="1132" t="s">
        <v>115</v>
      </c>
      <c r="B5" s="1132" t="s">
        <v>115</v>
      </c>
      <c r="C5" s="1132" t="s">
        <v>994</v>
      </c>
      <c r="D5" s="1359" t="s">
        <v>995</v>
      </c>
      <c r="E5" s="1359">
        <v>1</v>
      </c>
      <c r="F5" s="1780" t="s">
        <v>995</v>
      </c>
      <c r="G5" s="2557">
        <v>0.83</v>
      </c>
      <c r="H5" s="2557">
        <v>0.83</v>
      </c>
      <c r="I5" s="2557">
        <v>0.83</v>
      </c>
      <c r="J5" s="2557">
        <v>0.83</v>
      </c>
    </row>
    <row r="8" spans="1:10" ht="29" x14ac:dyDescent="0.35">
      <c r="A8" s="972" t="s">
        <v>4650</v>
      </c>
      <c r="F8" s="199"/>
      <c r="G8" s="199"/>
    </row>
    <row r="9" spans="1:10" ht="29" x14ac:dyDescent="0.35">
      <c r="A9" s="2456" t="s">
        <v>3638</v>
      </c>
      <c r="B9" s="2542" t="s">
        <v>356</v>
      </c>
      <c r="C9" s="2542" t="s">
        <v>3641</v>
      </c>
      <c r="D9" s="2542" t="s">
        <v>1580</v>
      </c>
      <c r="E9" s="2455" t="s">
        <v>4651</v>
      </c>
      <c r="F9" s="2455" t="s">
        <v>4652</v>
      </c>
      <c r="G9" s="2455" t="s">
        <v>4653</v>
      </c>
      <c r="H9" s="2455" t="s">
        <v>4988</v>
      </c>
      <c r="I9" s="2455" t="s">
        <v>4989</v>
      </c>
    </row>
    <row r="10" spans="1:10" x14ac:dyDescent="0.35">
      <c r="A10" s="2558" t="s">
        <v>4990</v>
      </c>
      <c r="B10" s="24" t="s">
        <v>4655</v>
      </c>
      <c r="C10" s="26">
        <v>17</v>
      </c>
      <c r="D10" s="2559">
        <v>0.87</v>
      </c>
      <c r="E10" s="2560">
        <v>7.2175199999999995</v>
      </c>
      <c r="F10" s="2559">
        <v>20</v>
      </c>
      <c r="G10" s="1"/>
      <c r="H10" s="2561">
        <v>0.84</v>
      </c>
      <c r="I10" t="s">
        <v>4991</v>
      </c>
    </row>
    <row r="11" spans="1:10" x14ac:dyDescent="0.35">
      <c r="A11" s="2558" t="s">
        <v>4656</v>
      </c>
      <c r="B11" s="24" t="s">
        <v>4657</v>
      </c>
      <c r="C11" s="26">
        <v>1</v>
      </c>
      <c r="D11" s="2559">
        <v>0.87</v>
      </c>
      <c r="E11" s="2560">
        <v>6.3544800000000006</v>
      </c>
      <c r="F11" s="2559">
        <v>20</v>
      </c>
      <c r="G11" s="1"/>
      <c r="H11" s="2561">
        <v>0.84</v>
      </c>
      <c r="I11" t="s">
        <v>4991</v>
      </c>
    </row>
    <row r="12" spans="1:10" x14ac:dyDescent="0.35">
      <c r="A12" s="2558" t="s">
        <v>4658</v>
      </c>
      <c r="B12" s="24" t="s">
        <v>4659</v>
      </c>
      <c r="C12" s="26">
        <v>1</v>
      </c>
      <c r="D12" s="2559" t="s">
        <v>1284</v>
      </c>
      <c r="E12" s="2560">
        <v>3.1140869582011388</v>
      </c>
      <c r="F12" s="2559">
        <v>2</v>
      </c>
      <c r="G12" s="1"/>
      <c r="H12" s="2561">
        <v>1</v>
      </c>
      <c r="I12" t="s">
        <v>4991</v>
      </c>
    </row>
    <row r="13" spans="1:10" x14ac:dyDescent="0.35">
      <c r="A13" s="1" t="s">
        <v>3411</v>
      </c>
      <c r="B13" s="1"/>
      <c r="C13" s="1"/>
      <c r="D13" s="873"/>
      <c r="E13" s="2459">
        <v>16.686086958201138</v>
      </c>
      <c r="F13" s="873"/>
      <c r="G13" s="1"/>
      <c r="H13" s="2561">
        <f>SUMPRODUCT(E10:E12,H10:H12)/E13</f>
        <v>0.86986044089068426</v>
      </c>
    </row>
    <row r="18" spans="1:9" x14ac:dyDescent="0.35">
      <c r="A18" s="2496" t="s">
        <v>4906</v>
      </c>
      <c r="B18" s="2495"/>
      <c r="C18" s="2495"/>
      <c r="D18" s="2495"/>
      <c r="E18" s="2495"/>
      <c r="F18" s="2495"/>
    </row>
    <row r="19" spans="1:9" x14ac:dyDescent="0.35">
      <c r="A19" s="2495"/>
      <c r="B19" s="2496" t="s">
        <v>155</v>
      </c>
      <c r="C19" s="2497" t="s">
        <v>4907</v>
      </c>
      <c r="D19" s="2497" t="s">
        <v>4908</v>
      </c>
      <c r="E19" s="2497" t="s">
        <v>4909</v>
      </c>
      <c r="F19" s="2497" t="s">
        <v>1730</v>
      </c>
      <c r="G19" s="2497" t="s">
        <v>4992</v>
      </c>
      <c r="H19" s="2455" t="s">
        <v>4988</v>
      </c>
      <c r="I19" s="2455" t="s">
        <v>4989</v>
      </c>
    </row>
    <row r="20" spans="1:9" x14ac:dyDescent="0.35">
      <c r="A20" s="2495"/>
      <c r="B20" s="2495" t="s">
        <v>4915</v>
      </c>
      <c r="C20" s="2498" t="s">
        <v>4916</v>
      </c>
      <c r="D20" s="2498" t="s">
        <v>4914</v>
      </c>
      <c r="E20" s="2498" t="s">
        <v>631</v>
      </c>
      <c r="F20" s="2499">
        <f>((976*72000/(1-0.064))*((0.95*(1-0.064))/(0.8*(1-0.064))-1))/100000</f>
        <v>140.76923076923063</v>
      </c>
      <c r="G20" s="2499">
        <f>((976*72000/(1-0.064))*((0.95*(1-0.064))/(0.8*(1-0.064))-1))/100000</f>
        <v>140.76923076923063</v>
      </c>
      <c r="H20" s="2561">
        <v>0.8</v>
      </c>
      <c r="I20" t="s">
        <v>4762</v>
      </c>
    </row>
    <row r="21" spans="1:9" x14ac:dyDescent="0.35">
      <c r="A21" s="2495"/>
      <c r="B21" s="2495" t="s">
        <v>4917</v>
      </c>
      <c r="C21" s="2498" t="s">
        <v>3579</v>
      </c>
      <c r="D21" s="2498" t="s">
        <v>4918</v>
      </c>
      <c r="E21" s="2498" t="s">
        <v>649</v>
      </c>
      <c r="F21" s="2499">
        <f>100%*1005*0.073*100%*100%</f>
        <v>73.364999999999995</v>
      </c>
      <c r="G21" s="2562">
        <f>100%*1005*0.071*100%*100%</f>
        <v>71.35499999999999</v>
      </c>
      <c r="H21" s="2561">
        <v>0.9</v>
      </c>
      <c r="I21" t="s">
        <v>4762</v>
      </c>
    </row>
    <row r="22" spans="1:9" x14ac:dyDescent="0.35">
      <c r="A22" s="2495"/>
      <c r="B22" s="2495" t="s">
        <v>4919</v>
      </c>
      <c r="C22" s="2498" t="s">
        <v>4920</v>
      </c>
      <c r="D22" s="2498" t="s">
        <v>4921</v>
      </c>
      <c r="E22" s="2498" t="s">
        <v>642</v>
      </c>
      <c r="F22" s="2499">
        <f>(1/0.64-1/0.72)*(17.6*2.56*365.25*8.33*(125-54)*1)/100000</f>
        <v>16.897549386666672</v>
      </c>
      <c r="G22" s="2499">
        <f>(1/0.64-1/0.72)*(17.6*2.56*365.25*8.33*(125-54)*1)/100000</f>
        <v>16.897549386666672</v>
      </c>
      <c r="H22" s="2561">
        <v>0.8</v>
      </c>
      <c r="I22" t="s">
        <v>4762</v>
      </c>
    </row>
    <row r="23" spans="1:9" x14ac:dyDescent="0.35">
      <c r="F23" s="2499">
        <f>SUM(F20:F22)</f>
        <v>231.03178015589728</v>
      </c>
      <c r="G23" s="2562">
        <f>SUM(G20:G22)</f>
        <v>229.02178015589729</v>
      </c>
      <c r="H23" s="2561">
        <f>SUMPRODUCT(G20:G22,H20:H22)/G23</f>
        <v>0.8311564253633118</v>
      </c>
    </row>
  </sheetData>
  <pageMargins left="0.7" right="0.7" top="0.75" bottom="0.75" header="0.3" footer="0.3"/>
  <pageSetup orientation="portrait" horizontalDpi="360" verticalDpi="36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Q50"/>
  <sheetViews>
    <sheetView workbookViewId="0"/>
  </sheetViews>
  <sheetFormatPr defaultRowHeight="14.5" x14ac:dyDescent="0.35"/>
  <cols>
    <col min="2" max="2" width="26" customWidth="1"/>
    <col min="4" max="4" width="15.54296875" customWidth="1"/>
    <col min="8" max="8" width="14.1796875" customWidth="1"/>
    <col min="10" max="10" width="15.81640625" customWidth="1"/>
    <col min="16" max="16" width="12.81640625" bestFit="1" customWidth="1"/>
  </cols>
  <sheetData>
    <row r="1" spans="1:11" x14ac:dyDescent="0.35">
      <c r="A1" s="1799" t="s">
        <v>1031</v>
      </c>
    </row>
    <row r="5" spans="1:11" x14ac:dyDescent="0.35">
      <c r="B5" s="1120" t="s">
        <v>1360</v>
      </c>
      <c r="C5" s="3457" t="s">
        <v>4993</v>
      </c>
      <c r="D5" s="3458"/>
      <c r="E5" s="3458"/>
      <c r="F5" s="3458"/>
      <c r="G5" s="3458"/>
      <c r="H5" s="3459"/>
    </row>
    <row r="6" spans="1:11" ht="39" x14ac:dyDescent="0.35">
      <c r="B6" s="1120"/>
      <c r="C6" s="1120" t="s">
        <v>2479</v>
      </c>
      <c r="D6" s="1120" t="s">
        <v>2921</v>
      </c>
      <c r="E6" s="1120" t="s">
        <v>2922</v>
      </c>
      <c r="F6" s="1120" t="s">
        <v>2482</v>
      </c>
      <c r="G6" s="1120" t="s">
        <v>2483</v>
      </c>
      <c r="H6" s="56" t="s">
        <v>1696</v>
      </c>
      <c r="J6" t="s">
        <v>2475</v>
      </c>
    </row>
    <row r="7" spans="1:11" x14ac:dyDescent="0.35">
      <c r="B7" s="1121" t="s">
        <v>2484</v>
      </c>
      <c r="C7" s="1805">
        <v>1787</v>
      </c>
      <c r="D7" s="1805">
        <v>1831</v>
      </c>
      <c r="E7" s="1805">
        <v>1635</v>
      </c>
      <c r="F7" s="1805">
        <v>1089</v>
      </c>
      <c r="G7" s="1805">
        <v>1669</v>
      </c>
      <c r="H7" s="2547">
        <f>C7*$K$7+D7*$K$8+E7*$K$9</f>
        <v>1798.1999999999998</v>
      </c>
      <c r="J7" s="1" t="s">
        <v>2387</v>
      </c>
      <c r="K7" s="235">
        <v>0.3</v>
      </c>
    </row>
    <row r="8" spans="1:11" x14ac:dyDescent="0.35">
      <c r="B8" s="1121" t="s">
        <v>2103</v>
      </c>
      <c r="C8" s="1805">
        <v>1683</v>
      </c>
      <c r="D8" s="1805">
        <v>1646</v>
      </c>
      <c r="E8" s="1805">
        <v>1446</v>
      </c>
      <c r="F8" s="1805">
        <v>1063</v>
      </c>
      <c r="G8" s="1805">
        <v>1277</v>
      </c>
      <c r="H8" s="2547">
        <f t="shared" ref="H8:H44" si="0">C8*$K$7+D8*$K$8+E8*$K$9</f>
        <v>1637.1</v>
      </c>
      <c r="J8" s="1" t="s">
        <v>2389</v>
      </c>
      <c r="K8" s="235">
        <v>0.6</v>
      </c>
    </row>
    <row r="9" spans="1:11" x14ac:dyDescent="0.35">
      <c r="B9" s="1121" t="s">
        <v>2485</v>
      </c>
      <c r="C9" s="1805">
        <v>2981</v>
      </c>
      <c r="D9" s="1805">
        <v>2950</v>
      </c>
      <c r="E9" s="1805">
        <v>2694</v>
      </c>
      <c r="F9" s="1805">
        <v>2368</v>
      </c>
      <c r="G9" s="1805">
        <v>2437</v>
      </c>
      <c r="H9" s="2547">
        <f t="shared" si="0"/>
        <v>2933.7000000000003</v>
      </c>
      <c r="J9" s="1" t="s">
        <v>2390</v>
      </c>
      <c r="K9" s="2548">
        <v>0.1</v>
      </c>
    </row>
    <row r="10" spans="1:11" x14ac:dyDescent="0.35">
      <c r="B10" s="1121" t="s">
        <v>2486</v>
      </c>
      <c r="C10" s="1805">
        <v>1256</v>
      </c>
      <c r="D10" s="1805">
        <v>1293</v>
      </c>
      <c r="E10" s="1805">
        <v>1138</v>
      </c>
      <c r="F10" s="1806">
        <v>1116</v>
      </c>
      <c r="G10" s="1806">
        <v>1131</v>
      </c>
      <c r="H10" s="2547">
        <f t="shared" si="0"/>
        <v>1266.3999999999999</v>
      </c>
      <c r="K10" s="115"/>
    </row>
    <row r="11" spans="1:11" x14ac:dyDescent="0.35">
      <c r="B11" s="1121" t="s">
        <v>2487</v>
      </c>
      <c r="C11" s="1805">
        <v>1481</v>
      </c>
      <c r="D11" s="1805">
        <v>1368</v>
      </c>
      <c r="E11" s="1805">
        <v>1214</v>
      </c>
      <c r="F11" s="1806">
        <v>871</v>
      </c>
      <c r="G11" s="1806">
        <v>973</v>
      </c>
      <c r="H11" s="2547">
        <f t="shared" si="0"/>
        <v>1386.5</v>
      </c>
    </row>
    <row r="12" spans="1:11" x14ac:dyDescent="0.35">
      <c r="B12" s="1121" t="s">
        <v>2488</v>
      </c>
      <c r="C12" s="1805">
        <v>2848</v>
      </c>
      <c r="D12" s="1805">
        <v>2947</v>
      </c>
      <c r="E12" s="1805">
        <v>2568</v>
      </c>
      <c r="F12" s="1806">
        <v>2362</v>
      </c>
      <c r="G12" s="1806">
        <v>2516</v>
      </c>
      <c r="H12" s="2547">
        <f t="shared" si="0"/>
        <v>2879.4</v>
      </c>
    </row>
    <row r="13" spans="1:11" x14ac:dyDescent="0.35">
      <c r="B13" s="1121" t="s">
        <v>1964</v>
      </c>
      <c r="C13" s="1805">
        <v>1614</v>
      </c>
      <c r="D13" s="1805">
        <v>1603</v>
      </c>
      <c r="E13" s="1805">
        <v>1409</v>
      </c>
      <c r="F13" s="1805">
        <v>1209</v>
      </c>
      <c r="G13" s="1805">
        <v>1269</v>
      </c>
      <c r="H13" s="2547">
        <f t="shared" si="0"/>
        <v>1586.9</v>
      </c>
    </row>
    <row r="14" spans="1:11" x14ac:dyDescent="0.35">
      <c r="B14" s="1121" t="s">
        <v>2489</v>
      </c>
      <c r="C14" s="1806">
        <v>985</v>
      </c>
      <c r="D14" s="1806">
        <v>969</v>
      </c>
      <c r="E14" s="1806">
        <v>852</v>
      </c>
      <c r="F14" s="1806">
        <v>680</v>
      </c>
      <c r="G14" s="1806">
        <v>752</v>
      </c>
      <c r="H14" s="2547">
        <f t="shared" si="0"/>
        <v>962.1</v>
      </c>
      <c r="J14" s="1" t="s">
        <v>1705</v>
      </c>
      <c r="K14" s="1122">
        <v>2</v>
      </c>
    </row>
    <row r="15" spans="1:11" x14ac:dyDescent="0.35">
      <c r="B15" s="1121" t="s">
        <v>1853</v>
      </c>
      <c r="C15" s="1805">
        <v>1467</v>
      </c>
      <c r="D15" s="1805">
        <v>1551</v>
      </c>
      <c r="E15" s="1805">
        <v>1364</v>
      </c>
      <c r="F15" s="1805">
        <v>1367</v>
      </c>
      <c r="G15" s="1805">
        <v>1375</v>
      </c>
      <c r="H15" s="2547">
        <f t="shared" si="0"/>
        <v>1507.1</v>
      </c>
      <c r="J15" s="1123" t="s">
        <v>1691</v>
      </c>
      <c r="K15" s="1124">
        <v>3</v>
      </c>
    </row>
    <row r="16" spans="1:11" x14ac:dyDescent="0.35">
      <c r="B16" s="1121" t="s">
        <v>2391</v>
      </c>
      <c r="C16" s="1805">
        <v>1446</v>
      </c>
      <c r="D16" s="1805">
        <v>1526</v>
      </c>
      <c r="E16" s="1805">
        <v>1452</v>
      </c>
      <c r="F16" s="1805">
        <v>1553</v>
      </c>
      <c r="G16" s="1805">
        <v>1574</v>
      </c>
      <c r="H16" s="2547">
        <f t="shared" si="0"/>
        <v>1494.6000000000001</v>
      </c>
      <c r="J16" s="1123" t="s">
        <v>1706</v>
      </c>
      <c r="K16" s="1125">
        <v>4</v>
      </c>
    </row>
    <row r="17" spans="2:16" x14ac:dyDescent="0.35">
      <c r="B17" s="1121" t="s">
        <v>2394</v>
      </c>
      <c r="C17" s="1805">
        <v>1807</v>
      </c>
      <c r="D17" s="1805">
        <v>1855</v>
      </c>
      <c r="E17" s="1805">
        <v>1649</v>
      </c>
      <c r="F17" s="1805">
        <v>1591</v>
      </c>
      <c r="G17" s="1805">
        <v>1622</v>
      </c>
      <c r="H17" s="2547">
        <f t="shared" si="0"/>
        <v>1820</v>
      </c>
      <c r="J17" s="1123" t="s">
        <v>1707</v>
      </c>
      <c r="K17" s="1122">
        <v>5</v>
      </c>
    </row>
    <row r="18" spans="2:16" x14ac:dyDescent="0.35">
      <c r="B18" s="1121" t="s">
        <v>2490</v>
      </c>
      <c r="C18" s="1805">
        <v>1216</v>
      </c>
      <c r="D18" s="1805">
        <v>1220</v>
      </c>
      <c r="E18" s="1805">
        <v>1072</v>
      </c>
      <c r="F18" s="1805">
        <v>1001</v>
      </c>
      <c r="G18" s="1805">
        <v>1028</v>
      </c>
      <c r="H18" s="2547">
        <f t="shared" si="0"/>
        <v>1204</v>
      </c>
      <c r="J18" s="1123" t="s">
        <v>1708</v>
      </c>
      <c r="K18" s="1124">
        <v>6</v>
      </c>
    </row>
    <row r="19" spans="2:16" x14ac:dyDescent="0.35">
      <c r="B19" s="1121" t="s">
        <v>2491</v>
      </c>
      <c r="C19" s="1805">
        <v>1387</v>
      </c>
      <c r="D19" s="1805">
        <v>1398</v>
      </c>
      <c r="E19" s="1805">
        <v>1252</v>
      </c>
      <c r="F19" s="1805">
        <v>1222</v>
      </c>
      <c r="G19" s="1805">
        <v>1269</v>
      </c>
      <c r="H19" s="2547">
        <f t="shared" si="0"/>
        <v>1380.1</v>
      </c>
      <c r="J19" s="1123" t="s">
        <v>1696</v>
      </c>
      <c r="K19" s="1124">
        <v>7</v>
      </c>
    </row>
    <row r="20" spans="2:16" x14ac:dyDescent="0.35">
      <c r="B20" s="1121" t="s">
        <v>2492</v>
      </c>
      <c r="C20" s="1806">
        <v>665</v>
      </c>
      <c r="D20" s="1806">
        <v>697</v>
      </c>
      <c r="E20" s="1806">
        <v>628</v>
      </c>
      <c r="F20" s="1806">
        <v>646</v>
      </c>
      <c r="G20" s="1806">
        <v>615</v>
      </c>
      <c r="H20" s="2547">
        <f t="shared" si="0"/>
        <v>680.5</v>
      </c>
    </row>
    <row r="21" spans="2:16" x14ac:dyDescent="0.35">
      <c r="B21" s="1121" t="s">
        <v>2493</v>
      </c>
      <c r="C21" s="1805">
        <v>1622</v>
      </c>
      <c r="D21" s="1805">
        <v>1571</v>
      </c>
      <c r="E21" s="1805">
        <v>1374</v>
      </c>
      <c r="F21" s="1805">
        <v>1220</v>
      </c>
      <c r="G21" s="1805">
        <v>1281</v>
      </c>
      <c r="H21" s="2547">
        <f t="shared" si="0"/>
        <v>1566.6</v>
      </c>
    </row>
    <row r="22" spans="2:16" x14ac:dyDescent="0.35">
      <c r="B22" s="1121" t="s">
        <v>2099</v>
      </c>
      <c r="C22" s="1805">
        <v>1597</v>
      </c>
      <c r="D22" s="1805">
        <v>1634</v>
      </c>
      <c r="E22" s="1805">
        <v>1468</v>
      </c>
      <c r="F22" s="1805">
        <v>1376</v>
      </c>
      <c r="G22" s="1805">
        <v>1451</v>
      </c>
      <c r="H22" s="2547">
        <f t="shared" si="0"/>
        <v>1606.3</v>
      </c>
      <c r="J22" s="3185" t="s">
        <v>4994</v>
      </c>
      <c r="K22" s="3185"/>
      <c r="L22" s="3185"/>
      <c r="M22" s="3185"/>
      <c r="N22" s="3185"/>
      <c r="O22" s="3185"/>
      <c r="P22" s="3185"/>
    </row>
    <row r="23" spans="2:16" x14ac:dyDescent="0.35">
      <c r="B23" s="1121" t="s">
        <v>2494</v>
      </c>
      <c r="C23" s="1805">
        <v>1670</v>
      </c>
      <c r="D23" s="1805">
        <v>1733</v>
      </c>
      <c r="E23" s="1805">
        <v>1549</v>
      </c>
      <c r="F23" s="1805">
        <v>1496</v>
      </c>
      <c r="G23" s="1805">
        <v>1557</v>
      </c>
      <c r="H23" s="2547">
        <f t="shared" si="0"/>
        <v>1695.7</v>
      </c>
      <c r="J23" s="945"/>
      <c r="K23" s="945">
        <v>2</v>
      </c>
      <c r="L23" s="945">
        <f>+K23+1</f>
        <v>3</v>
      </c>
      <c r="M23" s="945">
        <f>+L23+1</f>
        <v>4</v>
      </c>
      <c r="N23" s="945">
        <f>+M23+1</f>
        <v>5</v>
      </c>
      <c r="O23" s="945">
        <f>+N23+1</f>
        <v>6</v>
      </c>
      <c r="P23" s="945">
        <f>+O23+1</f>
        <v>7</v>
      </c>
    </row>
    <row r="24" spans="2:16" x14ac:dyDescent="0.35">
      <c r="B24" s="1121" t="s">
        <v>2495</v>
      </c>
      <c r="C24" s="1805">
        <v>1555</v>
      </c>
      <c r="D24" s="1805">
        <v>1597</v>
      </c>
      <c r="E24" s="1805">
        <v>1433</v>
      </c>
      <c r="F24" s="1805">
        <v>1316</v>
      </c>
      <c r="G24" s="1805">
        <v>1400</v>
      </c>
      <c r="H24" s="2547">
        <f t="shared" si="0"/>
        <v>1567.9999999999998</v>
      </c>
      <c r="J24" s="945" t="s">
        <v>4995</v>
      </c>
      <c r="K24" s="945" t="s">
        <v>2632</v>
      </c>
      <c r="L24" s="945" t="s">
        <v>2633</v>
      </c>
      <c r="M24" s="945" t="s">
        <v>2634</v>
      </c>
      <c r="N24" s="945" t="s">
        <v>4996</v>
      </c>
      <c r="O24" s="945" t="s">
        <v>4997</v>
      </c>
      <c r="P24" s="945" t="s">
        <v>2976</v>
      </c>
    </row>
    <row r="25" spans="2:16" x14ac:dyDescent="0.35">
      <c r="B25" s="1121" t="s">
        <v>2392</v>
      </c>
      <c r="C25" s="1805">
        <v>1048</v>
      </c>
      <c r="D25" s="1805">
        <v>1013</v>
      </c>
      <c r="E25" s="1806">
        <v>939</v>
      </c>
      <c r="F25" s="1806">
        <v>567</v>
      </c>
      <c r="G25" s="1806">
        <v>634</v>
      </c>
      <c r="H25" s="2547">
        <f t="shared" si="0"/>
        <v>1016.0999999999999</v>
      </c>
      <c r="J25" s="49" t="s">
        <v>2486</v>
      </c>
      <c r="K25" s="808">
        <f t="shared" ref="K25:K34" si="1">+VLOOKUP($J25,$B$7:$H$44,K$23,FALSE)</f>
        <v>1256</v>
      </c>
      <c r="L25" s="808">
        <f>+VLOOKUP($J25,$B$7:$H$44,L$23,FALSE)</f>
        <v>1293</v>
      </c>
      <c r="M25" s="808">
        <f>+VLOOKUP($J25,$B$7:$H$44,M$23,FALSE)</f>
        <v>1138</v>
      </c>
      <c r="N25" s="808">
        <f>+VLOOKUP($J25,$B$7:$H$44,N$23,FALSE)</f>
        <v>1116</v>
      </c>
      <c r="O25" s="808">
        <f>+VLOOKUP($J25,$B$7:$H$44,O$23,FALSE)</f>
        <v>1131</v>
      </c>
      <c r="P25" s="808">
        <f>+VLOOKUP($J25,$B$7:$H$44,P$23,FALSE)</f>
        <v>1266.3999999999999</v>
      </c>
    </row>
    <row r="26" spans="2:16" x14ac:dyDescent="0.35">
      <c r="B26" s="1121" t="s">
        <v>2496</v>
      </c>
      <c r="C26" s="1805">
        <v>1565</v>
      </c>
      <c r="D26" s="1805">
        <v>1540</v>
      </c>
      <c r="E26" s="1805">
        <v>1448</v>
      </c>
      <c r="F26" s="1805">
        <v>1089</v>
      </c>
      <c r="G26" s="1805">
        <v>1125</v>
      </c>
      <c r="H26" s="2547">
        <f t="shared" si="0"/>
        <v>1538.3</v>
      </c>
      <c r="J26" s="49" t="s">
        <v>1964</v>
      </c>
      <c r="K26" s="808">
        <f t="shared" si="1"/>
        <v>1614</v>
      </c>
      <c r="L26" s="808">
        <f t="shared" ref="L26:P34" si="2">+VLOOKUP($J26,$B$7:$H$44,L$23,FALSE)</f>
        <v>1603</v>
      </c>
      <c r="M26" s="808">
        <f t="shared" si="2"/>
        <v>1409</v>
      </c>
      <c r="N26" s="808">
        <f t="shared" si="2"/>
        <v>1209</v>
      </c>
      <c r="O26" s="808">
        <f t="shared" si="2"/>
        <v>1269</v>
      </c>
      <c r="P26" s="808">
        <f t="shared" si="2"/>
        <v>1586.9</v>
      </c>
    </row>
    <row r="27" spans="2:16" x14ac:dyDescent="0.35">
      <c r="B27" s="1121" t="s">
        <v>2497</v>
      </c>
      <c r="C27" s="1805">
        <v>537</v>
      </c>
      <c r="D27" s="1805">
        <v>558</v>
      </c>
      <c r="E27" s="1805">
        <v>501</v>
      </c>
      <c r="F27" s="1805">
        <v>480</v>
      </c>
      <c r="G27" s="1805">
        <v>499</v>
      </c>
      <c r="H27" s="2547">
        <f t="shared" si="0"/>
        <v>546</v>
      </c>
      <c r="J27" s="49" t="s">
        <v>2391</v>
      </c>
      <c r="K27" s="808">
        <f t="shared" si="1"/>
        <v>1446</v>
      </c>
      <c r="L27" s="808">
        <f t="shared" si="2"/>
        <v>1526</v>
      </c>
      <c r="M27" s="808">
        <f t="shared" si="2"/>
        <v>1452</v>
      </c>
      <c r="N27" s="808">
        <f t="shared" si="2"/>
        <v>1553</v>
      </c>
      <c r="O27" s="808">
        <f t="shared" si="2"/>
        <v>1574</v>
      </c>
      <c r="P27" s="808">
        <f t="shared" si="2"/>
        <v>1494.6000000000001</v>
      </c>
    </row>
    <row r="28" spans="2:16" x14ac:dyDescent="0.35">
      <c r="B28" s="1121" t="s">
        <v>2498</v>
      </c>
      <c r="C28" s="1805">
        <v>1665</v>
      </c>
      <c r="D28" s="1805">
        <v>1666</v>
      </c>
      <c r="E28" s="1805">
        <v>1512</v>
      </c>
      <c r="F28" s="1805">
        <v>1145</v>
      </c>
      <c r="G28" s="1805">
        <v>1207</v>
      </c>
      <c r="H28" s="2547">
        <f t="shared" si="0"/>
        <v>1650.3</v>
      </c>
      <c r="J28" s="49" t="s">
        <v>2394</v>
      </c>
      <c r="K28" s="808">
        <f t="shared" si="1"/>
        <v>1807</v>
      </c>
      <c r="L28" s="808">
        <f t="shared" si="2"/>
        <v>1855</v>
      </c>
      <c r="M28" s="808">
        <f t="shared" si="2"/>
        <v>1649</v>
      </c>
      <c r="N28" s="808">
        <f t="shared" si="2"/>
        <v>1591</v>
      </c>
      <c r="O28" s="808">
        <f t="shared" si="2"/>
        <v>1622</v>
      </c>
      <c r="P28" s="808">
        <f t="shared" si="2"/>
        <v>1820</v>
      </c>
    </row>
    <row r="29" spans="2:16" x14ac:dyDescent="0.35">
      <c r="B29" s="1121" t="s">
        <v>2415</v>
      </c>
      <c r="C29" s="1805">
        <v>1730</v>
      </c>
      <c r="D29" s="1805">
        <v>1782</v>
      </c>
      <c r="E29" s="1805">
        <v>1589</v>
      </c>
      <c r="F29" s="1805">
        <v>1538</v>
      </c>
      <c r="G29" s="1805">
        <v>1560</v>
      </c>
      <c r="H29" s="2547">
        <f t="shared" si="0"/>
        <v>1747.1000000000001</v>
      </c>
      <c r="J29" s="49" t="s">
        <v>2490</v>
      </c>
      <c r="K29" s="808">
        <f t="shared" si="1"/>
        <v>1216</v>
      </c>
      <c r="L29" s="808">
        <f t="shared" si="2"/>
        <v>1220</v>
      </c>
      <c r="M29" s="808">
        <f t="shared" si="2"/>
        <v>1072</v>
      </c>
      <c r="N29" s="808">
        <f t="shared" si="2"/>
        <v>1001</v>
      </c>
      <c r="O29" s="808">
        <f t="shared" si="2"/>
        <v>1028</v>
      </c>
      <c r="P29" s="808">
        <f t="shared" si="2"/>
        <v>1204</v>
      </c>
    </row>
    <row r="30" spans="2:16" x14ac:dyDescent="0.35">
      <c r="B30" s="1121" t="s">
        <v>2499</v>
      </c>
      <c r="C30" s="1805">
        <v>1916</v>
      </c>
      <c r="D30" s="1805">
        <v>1905</v>
      </c>
      <c r="E30" s="1805">
        <v>1718</v>
      </c>
      <c r="F30" s="1805">
        <v>1288</v>
      </c>
      <c r="G30" s="1805">
        <v>1538</v>
      </c>
      <c r="H30" s="2547">
        <f t="shared" si="0"/>
        <v>1889.6</v>
      </c>
      <c r="J30" s="49" t="s">
        <v>2491</v>
      </c>
      <c r="K30" s="808">
        <f t="shared" si="1"/>
        <v>1387</v>
      </c>
      <c r="L30" s="808">
        <f t="shared" si="2"/>
        <v>1398</v>
      </c>
      <c r="M30" s="808">
        <f t="shared" si="2"/>
        <v>1252</v>
      </c>
      <c r="N30" s="808">
        <f t="shared" si="2"/>
        <v>1222</v>
      </c>
      <c r="O30" s="808">
        <f t="shared" si="2"/>
        <v>1269</v>
      </c>
      <c r="P30" s="808">
        <f t="shared" si="2"/>
        <v>1380.1</v>
      </c>
    </row>
    <row r="31" spans="2:16" x14ac:dyDescent="0.35">
      <c r="B31" s="1121" t="s">
        <v>2500</v>
      </c>
      <c r="C31" s="1805">
        <v>995</v>
      </c>
      <c r="D31" s="1805">
        <v>1036</v>
      </c>
      <c r="E31" s="1805">
        <v>933</v>
      </c>
      <c r="F31" s="1805">
        <v>786</v>
      </c>
      <c r="G31" s="1805">
        <v>832</v>
      </c>
      <c r="H31" s="2547">
        <f t="shared" si="0"/>
        <v>1013.4000000000001</v>
      </c>
      <c r="J31" s="49" t="s">
        <v>2492</v>
      </c>
      <c r="K31" s="808">
        <f t="shared" si="1"/>
        <v>665</v>
      </c>
      <c r="L31" s="808">
        <f t="shared" si="2"/>
        <v>697</v>
      </c>
      <c r="M31" s="808">
        <f t="shared" si="2"/>
        <v>628</v>
      </c>
      <c r="N31" s="808">
        <f t="shared" si="2"/>
        <v>646</v>
      </c>
      <c r="O31" s="808">
        <f t="shared" si="2"/>
        <v>615</v>
      </c>
      <c r="P31" s="808">
        <f t="shared" si="2"/>
        <v>680.5</v>
      </c>
    </row>
    <row r="32" spans="2:16" x14ac:dyDescent="0.35">
      <c r="B32" s="2652" t="s">
        <v>2501</v>
      </c>
      <c r="C32" s="2653">
        <v>1001</v>
      </c>
      <c r="D32" s="2653">
        <v>1051</v>
      </c>
      <c r="E32" s="2653">
        <v>929</v>
      </c>
      <c r="F32" s="2653">
        <v>803</v>
      </c>
      <c r="G32" s="2653">
        <v>851</v>
      </c>
      <c r="H32" s="2653">
        <f t="shared" si="0"/>
        <v>1023.8000000000001</v>
      </c>
      <c r="J32" s="49" t="s">
        <v>2493</v>
      </c>
      <c r="K32" s="808">
        <f t="shared" si="1"/>
        <v>1622</v>
      </c>
      <c r="L32" s="808">
        <f t="shared" si="2"/>
        <v>1571</v>
      </c>
      <c r="M32" s="808">
        <f t="shared" si="2"/>
        <v>1374</v>
      </c>
      <c r="N32" s="808">
        <f t="shared" si="2"/>
        <v>1220</v>
      </c>
      <c r="O32" s="808">
        <f t="shared" si="2"/>
        <v>1281</v>
      </c>
      <c r="P32" s="808">
        <f t="shared" si="2"/>
        <v>1566.6</v>
      </c>
    </row>
    <row r="33" spans="2:17" x14ac:dyDescent="0.35">
      <c r="B33" s="1121" t="s">
        <v>2502</v>
      </c>
      <c r="C33" s="1805">
        <v>1552</v>
      </c>
      <c r="D33" s="1805">
        <v>1432</v>
      </c>
      <c r="E33" s="1805">
        <v>1239</v>
      </c>
      <c r="F33" s="1805">
        <v>1077</v>
      </c>
      <c r="G33" s="1805">
        <v>1098</v>
      </c>
      <c r="H33" s="2547">
        <f t="shared" si="0"/>
        <v>1448.7</v>
      </c>
      <c r="J33" s="49" t="s">
        <v>2388</v>
      </c>
      <c r="K33" s="808">
        <f t="shared" si="1"/>
        <v>2825</v>
      </c>
      <c r="L33" s="808">
        <f t="shared" si="2"/>
        <v>2625</v>
      </c>
      <c r="M33" s="808">
        <f t="shared" si="2"/>
        <v>2365</v>
      </c>
      <c r="N33" s="808">
        <f t="shared" si="2"/>
        <v>2007</v>
      </c>
      <c r="O33" s="808">
        <f t="shared" si="2"/>
        <v>2040</v>
      </c>
      <c r="P33" s="808">
        <f t="shared" si="2"/>
        <v>2659</v>
      </c>
    </row>
    <row r="34" spans="2:17" x14ac:dyDescent="0.35">
      <c r="B34" s="1121" t="s">
        <v>2503</v>
      </c>
      <c r="C34" s="1805">
        <v>1015</v>
      </c>
      <c r="D34" s="1805">
        <v>993</v>
      </c>
      <c r="E34" s="1806">
        <v>899</v>
      </c>
      <c r="F34" s="1806">
        <v>773</v>
      </c>
      <c r="G34" s="1806">
        <v>809</v>
      </c>
      <c r="H34" s="2547">
        <f t="shared" si="0"/>
        <v>990.19999999999993</v>
      </c>
      <c r="J34" s="49" t="s">
        <v>2386</v>
      </c>
      <c r="K34" s="808">
        <f t="shared" si="1"/>
        <v>1672</v>
      </c>
      <c r="L34" s="808">
        <f t="shared" si="2"/>
        <v>1629</v>
      </c>
      <c r="M34" s="808">
        <f t="shared" si="2"/>
        <v>1454</v>
      </c>
      <c r="N34" s="808">
        <f t="shared" si="2"/>
        <v>1356</v>
      </c>
      <c r="O34" s="808">
        <f t="shared" si="2"/>
        <v>1399</v>
      </c>
      <c r="P34" s="808">
        <f t="shared" si="2"/>
        <v>1624.4</v>
      </c>
    </row>
    <row r="35" spans="2:17" x14ac:dyDescent="0.35">
      <c r="B35" s="1121" t="s">
        <v>2388</v>
      </c>
      <c r="C35" s="1805">
        <v>2825</v>
      </c>
      <c r="D35" s="1805">
        <v>2625</v>
      </c>
      <c r="E35" s="1805">
        <v>2365</v>
      </c>
      <c r="F35" s="1805">
        <v>2007</v>
      </c>
      <c r="G35" s="1805">
        <v>2040</v>
      </c>
      <c r="H35" s="2547">
        <f t="shared" si="0"/>
        <v>2659</v>
      </c>
      <c r="J35" s="945" t="s">
        <v>2249</v>
      </c>
      <c r="K35" s="2525">
        <f t="shared" ref="K35:P35" si="3">+AVERAGE(K25:K34)</f>
        <v>1551</v>
      </c>
      <c r="L35" s="2525">
        <f t="shared" si="3"/>
        <v>1541.7</v>
      </c>
      <c r="M35" s="2525">
        <f t="shared" si="3"/>
        <v>1379.3</v>
      </c>
      <c r="N35" s="2525">
        <f t="shared" si="3"/>
        <v>1292.0999999999999</v>
      </c>
      <c r="O35" s="2525">
        <f t="shared" si="3"/>
        <v>1322.8</v>
      </c>
      <c r="P35" s="2526">
        <f t="shared" si="3"/>
        <v>1528.25</v>
      </c>
    </row>
    <row r="36" spans="2:17" x14ac:dyDescent="0.35">
      <c r="B36" s="1121" t="s">
        <v>2386</v>
      </c>
      <c r="C36" s="1805">
        <v>1672</v>
      </c>
      <c r="D36" s="1805">
        <v>1629</v>
      </c>
      <c r="E36" s="1805">
        <v>1454</v>
      </c>
      <c r="F36" s="1805">
        <v>1356</v>
      </c>
      <c r="G36" s="1805">
        <v>1399</v>
      </c>
      <c r="H36" s="2547">
        <f t="shared" si="0"/>
        <v>1624.4</v>
      </c>
      <c r="J36" s="1144" t="s">
        <v>4998</v>
      </c>
    </row>
    <row r="37" spans="2:17" x14ac:dyDescent="0.35">
      <c r="B37" s="1121" t="s">
        <v>1598</v>
      </c>
      <c r="C37" s="1805">
        <v>2757</v>
      </c>
      <c r="D37" s="1805">
        <v>2670</v>
      </c>
      <c r="E37" s="1805">
        <v>2383</v>
      </c>
      <c r="F37" s="1806">
        <v>2149</v>
      </c>
      <c r="G37" s="1806">
        <v>2186</v>
      </c>
      <c r="H37" s="2547">
        <f t="shared" si="0"/>
        <v>2667.4</v>
      </c>
      <c r="J37" s="432"/>
    </row>
    <row r="38" spans="2:17" x14ac:dyDescent="0.35">
      <c r="B38" s="1121" t="s">
        <v>2504</v>
      </c>
      <c r="C38" s="1805">
        <v>1603</v>
      </c>
      <c r="D38" s="1805">
        <v>1504</v>
      </c>
      <c r="E38" s="1805">
        <v>1440</v>
      </c>
      <c r="F38" s="1805">
        <v>1054</v>
      </c>
      <c r="G38" s="1805">
        <v>1205</v>
      </c>
      <c r="H38" s="2547">
        <f t="shared" si="0"/>
        <v>1527.3</v>
      </c>
    </row>
    <row r="39" spans="2:17" x14ac:dyDescent="0.35">
      <c r="B39" s="1121" t="s">
        <v>1859</v>
      </c>
      <c r="C39" s="1805">
        <v>1326</v>
      </c>
      <c r="D39" s="1805">
        <v>1328</v>
      </c>
      <c r="E39" s="1805">
        <v>1179</v>
      </c>
      <c r="F39" s="1805">
        <v>1091</v>
      </c>
      <c r="G39" s="1805">
        <v>1122</v>
      </c>
      <c r="H39" s="2547">
        <f t="shared" si="0"/>
        <v>1312.5</v>
      </c>
    </row>
    <row r="40" spans="2:17" x14ac:dyDescent="0.35">
      <c r="B40" s="1121" t="s">
        <v>2399</v>
      </c>
      <c r="C40" s="1805">
        <v>1365</v>
      </c>
      <c r="D40" s="1805">
        <v>1322</v>
      </c>
      <c r="E40" s="1805">
        <v>1193</v>
      </c>
      <c r="F40" s="1805">
        <v>1034</v>
      </c>
      <c r="G40" s="1805">
        <v>1088</v>
      </c>
      <c r="H40" s="2547">
        <f t="shared" si="0"/>
        <v>1321.9999999999998</v>
      </c>
    </row>
    <row r="41" spans="2:17" x14ac:dyDescent="0.35">
      <c r="B41" s="1121" t="s">
        <v>2398</v>
      </c>
      <c r="C41" s="1805">
        <v>1347</v>
      </c>
      <c r="D41" s="1805">
        <v>1325</v>
      </c>
      <c r="E41" s="1805">
        <v>1183</v>
      </c>
      <c r="F41" s="1805">
        <v>1064</v>
      </c>
      <c r="G41" s="1805">
        <v>1096</v>
      </c>
      <c r="H41" s="2547">
        <f t="shared" si="0"/>
        <v>1317.3999999999999</v>
      </c>
    </row>
    <row r="42" spans="2:17" x14ac:dyDescent="0.35">
      <c r="B42" s="1121" t="s">
        <v>1862</v>
      </c>
      <c r="C42" s="1805">
        <v>1285</v>
      </c>
      <c r="D42" s="1805">
        <v>1286</v>
      </c>
      <c r="E42" s="1805">
        <v>1180</v>
      </c>
      <c r="F42" s="1805">
        <v>1147</v>
      </c>
      <c r="G42" s="1805">
        <v>1224</v>
      </c>
      <c r="H42" s="2547">
        <f t="shared" si="0"/>
        <v>1275.0999999999999</v>
      </c>
    </row>
    <row r="43" spans="2:17" x14ac:dyDescent="0.35">
      <c r="B43" s="1121" t="s">
        <v>1185</v>
      </c>
      <c r="C43" s="1805">
        <v>1709</v>
      </c>
      <c r="D43" s="1805">
        <v>1678</v>
      </c>
      <c r="E43" s="1805">
        <v>1508</v>
      </c>
      <c r="F43" s="1805">
        <v>1287</v>
      </c>
      <c r="G43" s="1805">
        <v>1411</v>
      </c>
      <c r="H43" s="2547">
        <f t="shared" si="0"/>
        <v>1670.3</v>
      </c>
    </row>
    <row r="44" spans="2:17" x14ac:dyDescent="0.35">
      <c r="B44" s="2652" t="s">
        <v>1363</v>
      </c>
      <c r="C44" s="2744">
        <f>AVERAGE(C7:C43)</f>
        <v>1567.0270270270271</v>
      </c>
      <c r="D44" s="2744">
        <f>AVERAGE(D7:D43)</f>
        <v>1560.3243243243244</v>
      </c>
      <c r="E44" s="2744">
        <f>AVERAGE(E7:E43)</f>
        <v>1399.7027027027027</v>
      </c>
      <c r="F44" s="2744">
        <f>AVERAGE(F7:F43)</f>
        <v>1223.8108108108108</v>
      </c>
      <c r="G44" s="2744">
        <f>AVERAGE(G7:G43)</f>
        <v>1300.5405405405406</v>
      </c>
      <c r="H44" s="2653">
        <f t="shared" si="0"/>
        <v>1546.2729729729731</v>
      </c>
    </row>
    <row r="46" spans="2:17" x14ac:dyDescent="0.35">
      <c r="B46" s="3460" t="s">
        <v>4999</v>
      </c>
      <c r="C46" s="3460"/>
      <c r="D46" s="3460"/>
      <c r="E46" s="3460"/>
      <c r="F46" s="3460"/>
      <c r="G46" s="3460"/>
      <c r="H46" s="3460"/>
      <c r="J46" s="1126" t="s">
        <v>1082</v>
      </c>
      <c r="K46" s="1126"/>
      <c r="L46" s="1126"/>
      <c r="M46" s="1126"/>
      <c r="N46" s="1126"/>
      <c r="O46" s="1126"/>
      <c r="P46" s="1126"/>
      <c r="Q46" s="1126"/>
    </row>
    <row r="47" spans="2:17" ht="39" x14ac:dyDescent="0.35">
      <c r="B47" s="1127"/>
      <c r="C47" s="1120" t="s">
        <v>2479</v>
      </c>
      <c r="D47" s="1120" t="s">
        <v>2921</v>
      </c>
      <c r="E47" s="1120" t="s">
        <v>2922</v>
      </c>
      <c r="F47" s="1120" t="s">
        <v>2482</v>
      </c>
      <c r="G47" s="1120" t="s">
        <v>2483</v>
      </c>
      <c r="H47" s="56" t="s">
        <v>1696</v>
      </c>
      <c r="J47" s="870"/>
      <c r="K47" s="870"/>
      <c r="L47" s="870"/>
      <c r="M47" s="870"/>
      <c r="N47" s="870"/>
      <c r="O47" s="870"/>
      <c r="P47" s="870"/>
      <c r="Q47" s="870"/>
    </row>
    <row r="48" spans="2:17" x14ac:dyDescent="0.35">
      <c r="B48" s="1121" t="s">
        <v>114</v>
      </c>
      <c r="C48" s="25">
        <f t="shared" ref="C48:H48" si="4">AVERAGE(C26,C28:C29)</f>
        <v>1653.3333333333333</v>
      </c>
      <c r="D48" s="25">
        <f t="shared" si="4"/>
        <v>1662.6666666666667</v>
      </c>
      <c r="E48" s="25">
        <f t="shared" si="4"/>
        <v>1516.3333333333333</v>
      </c>
      <c r="F48" s="25">
        <f t="shared" si="4"/>
        <v>1257.3333333333333</v>
      </c>
      <c r="G48" s="25">
        <f t="shared" si="4"/>
        <v>1297.3333333333333</v>
      </c>
      <c r="H48" s="1">
        <f t="shared" si="4"/>
        <v>1645.2333333333333</v>
      </c>
      <c r="J48" s="40" t="s">
        <v>5000</v>
      </c>
      <c r="K48" s="1128"/>
      <c r="L48" s="1128"/>
      <c r="M48" s="1128"/>
      <c r="N48" s="1128"/>
      <c r="O48" s="1128"/>
      <c r="P48" s="1128"/>
      <c r="Q48" s="1129"/>
    </row>
    <row r="49" spans="2:17" x14ac:dyDescent="0.35">
      <c r="B49" s="1121" t="s">
        <v>2102</v>
      </c>
      <c r="C49" s="25">
        <f t="shared" ref="C49:H49" si="5">+AVERAGE(C8,C16,C18:C21)</f>
        <v>1336.5</v>
      </c>
      <c r="D49" s="25">
        <f t="shared" si="5"/>
        <v>1343</v>
      </c>
      <c r="E49" s="25">
        <f t="shared" si="5"/>
        <v>1204</v>
      </c>
      <c r="F49" s="25">
        <f t="shared" si="5"/>
        <v>1117.5</v>
      </c>
      <c r="G49" s="25">
        <f t="shared" si="5"/>
        <v>1174</v>
      </c>
      <c r="H49" s="25">
        <f t="shared" si="5"/>
        <v>1327.1499999999999</v>
      </c>
      <c r="J49" s="678" t="s">
        <v>5001</v>
      </c>
      <c r="Q49" s="1125"/>
    </row>
    <row r="50" spans="2:17" x14ac:dyDescent="0.35">
      <c r="B50" s="1121" t="s">
        <v>5002</v>
      </c>
      <c r="C50" s="25">
        <f t="shared" ref="C50:H50" si="6">+AVERAGE(C31:C36)</f>
        <v>1510</v>
      </c>
      <c r="D50" s="25">
        <f t="shared" si="6"/>
        <v>1461</v>
      </c>
      <c r="E50" s="25">
        <f t="shared" si="6"/>
        <v>1303.1666666666667</v>
      </c>
      <c r="F50" s="25">
        <f t="shared" si="6"/>
        <v>1133.6666666666667</v>
      </c>
      <c r="G50" s="25">
        <f t="shared" si="6"/>
        <v>1171.5</v>
      </c>
      <c r="H50" s="25">
        <f t="shared" si="6"/>
        <v>1459.9166666666667</v>
      </c>
      <c r="J50" s="1130" t="s">
        <v>5003</v>
      </c>
      <c r="K50" s="1131"/>
      <c r="L50" s="1131"/>
      <c r="M50" s="1131"/>
      <c r="N50" s="1131"/>
      <c r="O50" s="1131"/>
      <c r="P50" s="1131"/>
      <c r="Q50" s="1124"/>
    </row>
  </sheetData>
  <customSheetViews>
    <customSheetView guid="{ECD6FE6A-9548-414E-B8AA-6998703C57E0}" state="hidden">
      <selection activeCell="J23" sqref="J23"/>
      <pageMargins left="0" right="0" top="0" bottom="0" header="0" footer="0"/>
    </customSheetView>
    <customSheetView guid="{11DE45F5-F478-4ED6-8DFF-12002C22A637}" state="hidden">
      <selection activeCell="J23" sqref="J23"/>
      <pageMargins left="0" right="0" top="0" bottom="0" header="0" footer="0"/>
    </customSheetView>
  </customSheetViews>
  <mergeCells count="3">
    <mergeCell ref="C5:H5"/>
    <mergeCell ref="B46:H46"/>
    <mergeCell ref="J22:P22"/>
  </mergeCells>
  <hyperlinks>
    <hyperlink ref="A1" location="'Measure-Level Adjustments'!Print_Titles" display="Measure Level Tab" xr:uid="{DD21D332-90AD-4CB9-A8CC-F222912B7B52}"/>
  </hyperlinks>
  <pageMargins left="0.7" right="0.7" top="0.75" bottom="0.75" header="0.3" footer="0.3"/>
  <pageSetup scale="63" orientation="landscape" horizontalDpi="4294967293"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1C69-96EB-49F2-9E30-A05BEB8A25F2}">
  <sheetPr>
    <tabColor rgb="FF92D050"/>
  </sheetPr>
  <dimension ref="A1:L44"/>
  <sheetViews>
    <sheetView workbookViewId="0">
      <selection activeCell="C12" sqref="C12"/>
    </sheetView>
  </sheetViews>
  <sheetFormatPr defaultRowHeight="14.5" x14ac:dyDescent="0.35"/>
  <cols>
    <col min="1" max="1" width="40.7265625" customWidth="1"/>
    <col min="2" max="2" width="12.54296875" customWidth="1"/>
    <col min="3" max="3" width="14.453125" customWidth="1"/>
    <col min="9" max="9" width="23" bestFit="1" customWidth="1"/>
    <col min="10" max="10" width="10.26953125" bestFit="1" customWidth="1"/>
  </cols>
  <sheetData>
    <row r="1" spans="1:12" ht="21" x14ac:dyDescent="0.5">
      <c r="A1" s="1716" t="s">
        <v>5004</v>
      </c>
    </row>
    <row r="2" spans="1:12" ht="21" x14ac:dyDescent="0.5">
      <c r="A2" s="1716" t="s">
        <v>5005</v>
      </c>
    </row>
    <row r="4" spans="1:12" x14ac:dyDescent="0.35">
      <c r="A4" s="199"/>
    </row>
    <row r="5" spans="1:12" x14ac:dyDescent="0.35">
      <c r="A5" s="199" t="s">
        <v>5006</v>
      </c>
      <c r="B5" s="1701" t="s">
        <v>5007</v>
      </c>
      <c r="C5" t="s">
        <v>5008</v>
      </c>
    </row>
    <row r="6" spans="1:12" x14ac:dyDescent="0.35">
      <c r="A6" s="1" t="s">
        <v>1576</v>
      </c>
      <c r="B6" s="1717">
        <v>1.23</v>
      </c>
      <c r="C6" s="1718">
        <v>4</v>
      </c>
    </row>
    <row r="7" spans="1:12" x14ac:dyDescent="0.35">
      <c r="A7" s="1" t="s">
        <v>5009</v>
      </c>
      <c r="B7" s="1717">
        <v>0.98</v>
      </c>
      <c r="C7" s="1719">
        <v>2.5</v>
      </c>
    </row>
    <row r="8" spans="1:12" x14ac:dyDescent="0.35">
      <c r="A8" s="1" t="s">
        <v>1300</v>
      </c>
      <c r="B8" s="1720">
        <v>1.5</v>
      </c>
      <c r="C8" s="1719">
        <v>0.5</v>
      </c>
    </row>
    <row r="9" spans="1:12" x14ac:dyDescent="0.35">
      <c r="A9" s="1" t="s">
        <v>5010</v>
      </c>
      <c r="B9" s="1721">
        <v>312</v>
      </c>
      <c r="C9" s="1722">
        <v>312</v>
      </c>
    </row>
    <row r="10" spans="1:12" x14ac:dyDescent="0.35">
      <c r="A10" s="1" t="s">
        <v>1571</v>
      </c>
      <c r="B10" s="1720">
        <f>B11+70</f>
        <v>120.7</v>
      </c>
      <c r="C10" s="1719">
        <f>C11+70</f>
        <v>120.7</v>
      </c>
    </row>
    <row r="11" spans="1:12" x14ac:dyDescent="0.35">
      <c r="A11" s="1" t="s">
        <v>1572</v>
      </c>
      <c r="B11" s="1720">
        <v>50.7</v>
      </c>
      <c r="C11" s="1719">
        <v>50.7</v>
      </c>
    </row>
    <row r="12" spans="1:12" x14ac:dyDescent="0.35">
      <c r="A12" s="1" t="s">
        <v>5011</v>
      </c>
      <c r="B12" s="1720">
        <v>0.8</v>
      </c>
      <c r="C12" s="1719">
        <v>0.8</v>
      </c>
      <c r="K12" s="117"/>
      <c r="L12" s="117"/>
    </row>
    <row r="13" spans="1:12" x14ac:dyDescent="0.35">
      <c r="K13" s="117"/>
      <c r="L13" s="117"/>
    </row>
    <row r="14" spans="1:12" x14ac:dyDescent="0.35">
      <c r="K14" s="117"/>
      <c r="L14" s="117"/>
    </row>
    <row r="15" spans="1:12" x14ac:dyDescent="0.35">
      <c r="A15" s="199" t="s">
        <v>5012</v>
      </c>
      <c r="K15" s="117"/>
      <c r="L15" s="117"/>
    </row>
    <row r="16" spans="1:12" x14ac:dyDescent="0.35">
      <c r="A16" t="s">
        <v>5013</v>
      </c>
    </row>
    <row r="17" spans="1:7" x14ac:dyDescent="0.35">
      <c r="A17" t="s">
        <v>1601</v>
      </c>
    </row>
    <row r="20" spans="1:7" ht="15" thickBot="1" x14ac:dyDescent="0.4">
      <c r="A20" s="199" t="s">
        <v>5014</v>
      </c>
    </row>
    <row r="21" spans="1:7" ht="15" thickBot="1" x14ac:dyDescent="0.4">
      <c r="A21" t="s">
        <v>5015</v>
      </c>
      <c r="B21" s="1732">
        <f>D21*8.33*1*(B10-B11)*(1/B12)/100000</f>
        <v>51.167025000000002</v>
      </c>
      <c r="C21" t="s">
        <v>5016</v>
      </c>
      <c r="D21" s="1723">
        <f>(B6-B7)*60*B8*B9</f>
        <v>7020</v>
      </c>
      <c r="E21" t="s">
        <v>5017</v>
      </c>
      <c r="G21" s="1476"/>
    </row>
    <row r="22" spans="1:7" ht="15" thickBot="1" x14ac:dyDescent="0.4">
      <c r="A22" t="s">
        <v>5008</v>
      </c>
      <c r="B22" s="1724">
        <f>D22*8.33*1*(C10-C11)*(1/C12)/100000</f>
        <v>272.89080000000001</v>
      </c>
      <c r="C22" t="s">
        <v>1355</v>
      </c>
      <c r="D22" s="1725">
        <f>(C6)*60*C8*C9</f>
        <v>37440</v>
      </c>
      <c r="E22" t="s">
        <v>1356</v>
      </c>
      <c r="G22" s="1476"/>
    </row>
    <row r="23" spans="1:7" ht="15" thickBot="1" x14ac:dyDescent="0.4">
      <c r="A23" s="1726" t="s">
        <v>5018</v>
      </c>
      <c r="B23" s="1727">
        <f>+B21/B22</f>
        <v>0.1875</v>
      </c>
      <c r="C23" s="1728"/>
      <c r="D23" s="1729">
        <f>+D21/D22</f>
        <v>0.1875</v>
      </c>
      <c r="E23" t="s">
        <v>5019</v>
      </c>
    </row>
    <row r="24" spans="1:7" ht="15" thickBot="1" x14ac:dyDescent="0.4">
      <c r="A24" s="1726" t="s">
        <v>5020</v>
      </c>
      <c r="B24" s="1727"/>
      <c r="C24" s="1728"/>
      <c r="D24" s="1730">
        <f>+D21/B21</f>
        <v>137.19773623735207</v>
      </c>
    </row>
    <row r="26" spans="1:7" x14ac:dyDescent="0.35">
      <c r="A26" s="199" t="s">
        <v>5021</v>
      </c>
    </row>
    <row r="27" spans="1:7" x14ac:dyDescent="0.35">
      <c r="A27" t="s">
        <v>5022</v>
      </c>
    </row>
    <row r="28" spans="1:7" x14ac:dyDescent="0.35">
      <c r="A28" t="s">
        <v>5023</v>
      </c>
    </row>
    <row r="29" spans="1:7" x14ac:dyDescent="0.35">
      <c r="A29" t="s">
        <v>5024</v>
      </c>
    </row>
    <row r="30" spans="1:7" x14ac:dyDescent="0.35">
      <c r="A30" t="s">
        <v>5025</v>
      </c>
    </row>
    <row r="31" spans="1:7" x14ac:dyDescent="0.35">
      <c r="A31" t="s">
        <v>5026</v>
      </c>
    </row>
    <row r="32" spans="1:7" x14ac:dyDescent="0.35">
      <c r="A32" t="s">
        <v>5027</v>
      </c>
    </row>
    <row r="33" spans="1:11" x14ac:dyDescent="0.35">
      <c r="A33" t="s">
        <v>5028</v>
      </c>
    </row>
    <row r="34" spans="1:11" x14ac:dyDescent="0.35">
      <c r="A34" t="s">
        <v>5029</v>
      </c>
    </row>
    <row r="35" spans="1:11" x14ac:dyDescent="0.35">
      <c r="A35" t="s">
        <v>5030</v>
      </c>
    </row>
    <row r="36" spans="1:11" x14ac:dyDescent="0.35">
      <c r="A36" t="s">
        <v>5031</v>
      </c>
    </row>
    <row r="38" spans="1:11" ht="15" thickBot="1" x14ac:dyDescent="0.4"/>
    <row r="39" spans="1:11" ht="15" thickBot="1" x14ac:dyDescent="0.4">
      <c r="A39" s="62" t="s">
        <v>1082</v>
      </c>
      <c r="B39" s="63"/>
      <c r="C39" s="63"/>
      <c r="D39" s="63"/>
      <c r="E39" s="63"/>
      <c r="F39" s="63"/>
      <c r="G39" s="63"/>
      <c r="H39" s="63"/>
      <c r="I39" s="63"/>
      <c r="J39" s="63"/>
      <c r="K39" s="335"/>
    </row>
    <row r="40" spans="1:11" x14ac:dyDescent="0.35">
      <c r="A40" s="1731" t="s">
        <v>5032</v>
      </c>
      <c r="K40" s="253"/>
    </row>
    <row r="41" spans="1:11" x14ac:dyDescent="0.35">
      <c r="A41" s="254" t="s">
        <v>5033</v>
      </c>
      <c r="B41">
        <v>75</v>
      </c>
      <c r="K41" s="253"/>
    </row>
    <row r="42" spans="1:11" x14ac:dyDescent="0.35">
      <c r="A42" s="254" t="s">
        <v>1083</v>
      </c>
      <c r="B42">
        <v>5</v>
      </c>
      <c r="K42" s="253"/>
    </row>
    <row r="43" spans="1:11" x14ac:dyDescent="0.35">
      <c r="A43" s="254" t="s">
        <v>5034</v>
      </c>
      <c r="K43" s="253"/>
    </row>
    <row r="44" spans="1:11" ht="15" thickBot="1" x14ac:dyDescent="0.4">
      <c r="A44" s="88" t="s">
        <v>5035</v>
      </c>
      <c r="B44" s="85" t="s">
        <v>5036</v>
      </c>
      <c r="C44" s="85"/>
      <c r="D44" s="85"/>
      <c r="E44" s="85"/>
      <c r="F44" s="85"/>
      <c r="G44" s="85"/>
      <c r="H44" s="85"/>
      <c r="I44" s="85"/>
      <c r="J44" s="85"/>
      <c r="K44" s="86"/>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BF7D-E682-4A4F-BE07-C89B2C29E73F}">
  <sheetPr>
    <tabColor rgb="FF92D050"/>
    <pageSetUpPr fitToPage="1"/>
  </sheetPr>
  <dimension ref="A1:I36"/>
  <sheetViews>
    <sheetView topLeftCell="A13" zoomScaleNormal="100" workbookViewId="0">
      <selection activeCell="I25" sqref="I25"/>
    </sheetView>
  </sheetViews>
  <sheetFormatPr defaultColWidth="9.1796875" defaultRowHeight="14.5" x14ac:dyDescent="0.35"/>
  <cols>
    <col min="1" max="1" width="46.54296875" customWidth="1"/>
    <col min="2" max="2" width="31.81640625" customWidth="1"/>
    <col min="3" max="3" width="3.1796875" customWidth="1"/>
    <col min="4" max="4" width="15.7265625" customWidth="1"/>
    <col min="5" max="5" width="16.7265625" customWidth="1"/>
    <col min="6" max="6" width="37.1796875" customWidth="1"/>
    <col min="7" max="7" width="15.7265625" customWidth="1"/>
    <col min="8" max="8" width="31.1796875" bestFit="1" customWidth="1"/>
    <col min="9" max="9" width="49.26953125" bestFit="1" customWidth="1"/>
    <col min="10" max="10" width="16.7265625" customWidth="1"/>
    <col min="11" max="11" width="17.26953125" customWidth="1"/>
    <col min="12" max="12" width="15.26953125" bestFit="1" customWidth="1"/>
    <col min="13" max="13" width="17.81640625" customWidth="1"/>
    <col min="14" max="14" width="16.26953125" customWidth="1"/>
    <col min="15" max="15" width="18.1796875" customWidth="1"/>
    <col min="16" max="17" width="15.81640625" customWidth="1"/>
    <col min="18" max="18" width="15.453125" customWidth="1"/>
    <col min="19" max="19" width="15" customWidth="1"/>
    <col min="20" max="20" width="15.54296875" customWidth="1"/>
    <col min="21" max="21" width="15" customWidth="1"/>
    <col min="22" max="22" width="16" customWidth="1"/>
    <col min="23" max="23" width="15.26953125" customWidth="1"/>
    <col min="24" max="25" width="14.453125" customWidth="1"/>
  </cols>
  <sheetData>
    <row r="1" spans="1:8" x14ac:dyDescent="0.35">
      <c r="A1" s="1799" t="s">
        <v>1031</v>
      </c>
    </row>
    <row r="2" spans="1:8" ht="18.5" x14ac:dyDescent="0.45">
      <c r="A2" s="1519" t="s">
        <v>5037</v>
      </c>
    </row>
    <row r="3" spans="1:8" ht="18.5" x14ac:dyDescent="0.45">
      <c r="A3" s="1519" t="s">
        <v>5038</v>
      </c>
      <c r="F3" s="2431" t="s">
        <v>5039</v>
      </c>
    </row>
    <row r="4" spans="1:8" x14ac:dyDescent="0.35">
      <c r="F4" s="2432" t="s">
        <v>5040</v>
      </c>
    </row>
    <row r="5" spans="1:8" x14ac:dyDescent="0.35">
      <c r="F5" s="2433" t="s">
        <v>5041</v>
      </c>
    </row>
    <row r="6" spans="1:8" x14ac:dyDescent="0.35">
      <c r="F6" s="2434" t="s">
        <v>5042</v>
      </c>
    </row>
    <row r="8" spans="1:8" x14ac:dyDescent="0.35">
      <c r="A8" s="199" t="s">
        <v>5006</v>
      </c>
    </row>
    <row r="9" spans="1:8" x14ac:dyDescent="0.35">
      <c r="B9" s="2309" t="s">
        <v>5043</v>
      </c>
      <c r="C9" s="2435"/>
      <c r="D9" s="3461" t="s">
        <v>1082</v>
      </c>
      <c r="E9" s="3462"/>
      <c r="F9" s="3462"/>
      <c r="G9" s="3463"/>
      <c r="H9" s="1701"/>
    </row>
    <row r="10" spans="1:8" ht="21" customHeight="1" x14ac:dyDescent="0.45">
      <c r="A10" s="1" t="s">
        <v>5044</v>
      </c>
      <c r="B10" s="2436">
        <v>432</v>
      </c>
      <c r="C10" s="2435"/>
      <c r="D10" s="3464" t="s">
        <v>5045</v>
      </c>
      <c r="E10" s="3465"/>
      <c r="F10" s="3465"/>
      <c r="G10" s="3466"/>
      <c r="H10" s="1701"/>
    </row>
    <row r="11" spans="1:8" ht="18.75" customHeight="1" x14ac:dyDescent="0.45">
      <c r="A11" s="1" t="s">
        <v>5046</v>
      </c>
      <c r="B11" s="2436">
        <v>70</v>
      </c>
      <c r="C11" s="2435"/>
      <c r="D11" s="3464" t="s">
        <v>5045</v>
      </c>
      <c r="E11" s="3465"/>
      <c r="F11" s="3465"/>
      <c r="G11" s="3466"/>
      <c r="H11" s="1701"/>
    </row>
    <row r="12" spans="1:8" x14ac:dyDescent="0.35">
      <c r="A12" s="1" t="s">
        <v>1062</v>
      </c>
      <c r="B12" s="2437">
        <v>7752</v>
      </c>
      <c r="C12" s="2435"/>
      <c r="D12" s="3464" t="s">
        <v>5047</v>
      </c>
      <c r="E12" s="3465"/>
      <c r="F12" s="3465"/>
      <c r="G12" s="3466"/>
      <c r="H12" s="1701"/>
    </row>
    <row r="13" spans="1:8" ht="16.5" x14ac:dyDescent="0.45">
      <c r="A13" s="1" t="s">
        <v>5048</v>
      </c>
      <c r="B13" s="2448">
        <v>0.80700000000000005</v>
      </c>
      <c r="C13" s="2435"/>
      <c r="D13" s="3464" t="s">
        <v>5049</v>
      </c>
      <c r="E13" s="3465"/>
      <c r="F13" s="3465"/>
      <c r="G13" s="3466"/>
      <c r="H13" s="1701"/>
    </row>
    <row r="14" spans="1:8" x14ac:dyDescent="0.35">
      <c r="A14" s="1" t="s">
        <v>5050</v>
      </c>
      <c r="B14" s="2438">
        <f>I23*H23+I24*H24+I25*H25+I26*H26+I27*H27</f>
        <v>0.40297619047619049</v>
      </c>
      <c r="C14" s="2435"/>
      <c r="D14" s="3464" t="s">
        <v>5051</v>
      </c>
      <c r="E14" s="3465"/>
      <c r="F14" s="3465"/>
      <c r="G14" s="3466"/>
      <c r="H14" s="1701"/>
    </row>
    <row r="15" spans="1:8" x14ac:dyDescent="0.35">
      <c r="A15" s="199" t="s">
        <v>5012</v>
      </c>
      <c r="C15" s="2435"/>
    </row>
    <row r="16" spans="1:8" ht="16.5" x14ac:dyDescent="0.45">
      <c r="A16" s="888" t="s">
        <v>5052</v>
      </c>
      <c r="C16" s="2435"/>
    </row>
    <row r="17" spans="1:9" x14ac:dyDescent="0.35">
      <c r="A17" s="888"/>
      <c r="C17" s="2435"/>
    </row>
    <row r="18" spans="1:9" x14ac:dyDescent="0.35">
      <c r="A18" s="199" t="s">
        <v>5053</v>
      </c>
      <c r="C18" s="2435"/>
    </row>
    <row r="19" spans="1:9" x14ac:dyDescent="0.35">
      <c r="A19" t="s">
        <v>5054</v>
      </c>
      <c r="B19" s="2439">
        <f>(B10-B11)*B14*B12/(100000*B13)</f>
        <v>14.012905292972208</v>
      </c>
      <c r="C19" s="2435"/>
    </row>
    <row r="20" spans="1:9" x14ac:dyDescent="0.35">
      <c r="C20" s="2435"/>
    </row>
    <row r="21" spans="1:9" x14ac:dyDescent="0.35">
      <c r="A21" s="2262" t="s">
        <v>5055</v>
      </c>
      <c r="C21" s="2435"/>
      <c r="F21" s="3461" t="s">
        <v>5056</v>
      </c>
      <c r="G21" s="3462"/>
      <c r="H21" s="3462"/>
      <c r="I21" s="3463"/>
    </row>
    <row r="22" spans="1:9" x14ac:dyDescent="0.35">
      <c r="A22" s="783" t="s">
        <v>5057</v>
      </c>
      <c r="C22" s="2435"/>
      <c r="F22" s="233" t="s">
        <v>5058</v>
      </c>
      <c r="G22" s="1" t="s">
        <v>5059</v>
      </c>
      <c r="H22" s="1" t="s">
        <v>2597</v>
      </c>
      <c r="I22" s="1" t="s">
        <v>5060</v>
      </c>
    </row>
    <row r="23" spans="1:9" x14ac:dyDescent="0.35">
      <c r="A23" s="232" t="s">
        <v>2120</v>
      </c>
      <c r="B23" s="232" t="s">
        <v>5043</v>
      </c>
      <c r="C23" s="2435"/>
      <c r="F23" s="233" t="s">
        <v>2026</v>
      </c>
      <c r="G23" s="2433">
        <v>0</v>
      </c>
      <c r="H23" s="2433">
        <v>1</v>
      </c>
      <c r="I23" s="2440">
        <v>0</v>
      </c>
    </row>
    <row r="24" spans="1:9" x14ac:dyDescent="0.35">
      <c r="A24" s="1" t="s">
        <v>5061</v>
      </c>
      <c r="B24" s="2441"/>
      <c r="C24" s="2435"/>
      <c r="F24" s="233" t="s">
        <v>5062</v>
      </c>
      <c r="G24" s="2433">
        <v>0.85</v>
      </c>
      <c r="H24" s="2433">
        <v>0.15</v>
      </c>
      <c r="I24" s="2440">
        <v>0.70238095238095233</v>
      </c>
    </row>
    <row r="25" spans="1:9" ht="58" x14ac:dyDescent="0.35">
      <c r="A25" s="1682" t="s">
        <v>4651</v>
      </c>
      <c r="B25" s="2442">
        <f>B19</f>
        <v>14.012905292972208</v>
      </c>
      <c r="C25" s="2435"/>
      <c r="F25" s="233" t="s">
        <v>5063</v>
      </c>
      <c r="G25" s="2433">
        <v>0.3</v>
      </c>
      <c r="H25" s="2433">
        <v>0.7</v>
      </c>
      <c r="I25" s="2440">
        <v>0</v>
      </c>
    </row>
    <row r="26" spans="1:9" ht="29" x14ac:dyDescent="0.35">
      <c r="A26" s="1682" t="s">
        <v>5033</v>
      </c>
      <c r="B26" s="2443"/>
      <c r="C26" s="2435"/>
      <c r="F26" s="233" t="s">
        <v>5064</v>
      </c>
      <c r="G26" s="2433">
        <v>0</v>
      </c>
      <c r="H26" s="2433">
        <v>1</v>
      </c>
      <c r="I26" s="2440">
        <v>0.29761904761904767</v>
      </c>
    </row>
    <row r="27" spans="1:9" x14ac:dyDescent="0.35">
      <c r="A27" s="1" t="s">
        <v>5065</v>
      </c>
      <c r="B27" s="2444"/>
      <c r="C27" s="2435"/>
      <c r="F27" s="233" t="s">
        <v>5066</v>
      </c>
      <c r="G27" s="2433">
        <v>0.85</v>
      </c>
      <c r="H27" s="2433">
        <v>0.15</v>
      </c>
      <c r="I27" s="2440">
        <v>0</v>
      </c>
    </row>
    <row r="28" spans="1:9" x14ac:dyDescent="0.35">
      <c r="A28" s="1" t="s">
        <v>5067</v>
      </c>
      <c r="B28" s="2445">
        <v>15</v>
      </c>
      <c r="C28" s="2435"/>
      <c r="I28" s="118"/>
    </row>
    <row r="29" spans="1:9" x14ac:dyDescent="0.35">
      <c r="A29" s="2104" t="s">
        <v>5068</v>
      </c>
      <c r="B29" s="2446"/>
      <c r="C29" s="2435"/>
    </row>
    <row r="30" spans="1:9" x14ac:dyDescent="0.35">
      <c r="A30" s="2104" t="s">
        <v>5069</v>
      </c>
      <c r="B30" s="2447"/>
      <c r="C30" s="2435"/>
    </row>
    <row r="31" spans="1:9" x14ac:dyDescent="0.35">
      <c r="A31" s="615"/>
      <c r="C31" s="2435"/>
    </row>
    <row r="32" spans="1:9" x14ac:dyDescent="0.35">
      <c r="A32" s="615"/>
    </row>
    <row r="34" spans="1:1" x14ac:dyDescent="0.35">
      <c r="A34" s="2262" t="s">
        <v>5021</v>
      </c>
    </row>
    <row r="35" spans="1:1" x14ac:dyDescent="0.35">
      <c r="A35" t="s">
        <v>5070</v>
      </c>
    </row>
    <row r="36" spans="1:1" x14ac:dyDescent="0.35">
      <c r="A36" t="s">
        <v>5071</v>
      </c>
    </row>
  </sheetData>
  <mergeCells count="7">
    <mergeCell ref="F21:I21"/>
    <mergeCell ref="D9:G9"/>
    <mergeCell ref="D10:G10"/>
    <mergeCell ref="D11:G11"/>
    <mergeCell ref="D12:G12"/>
    <mergeCell ref="D13:G13"/>
    <mergeCell ref="D14:G14"/>
  </mergeCells>
  <hyperlinks>
    <hyperlink ref="A1" location="'Measure-Level Adjustments'!Print_Titles" display="Measure Level Tab" xr:uid="{2DE474A6-B0DD-45D5-BA19-105F745C89EB}"/>
  </hyperlinks>
  <pageMargins left="0.7" right="0.7" top="0.75" bottom="0.75" header="0.3" footer="0.3"/>
  <pageSetup scale="52"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5279D-8863-41E7-9B82-4CEFBBE0F1E1}">
  <sheetPr>
    <tabColor rgb="FF00B050"/>
    <pageSetUpPr fitToPage="1"/>
  </sheetPr>
  <dimension ref="A1:M53"/>
  <sheetViews>
    <sheetView zoomScale="80" zoomScaleNormal="80" workbookViewId="0"/>
  </sheetViews>
  <sheetFormatPr defaultColWidth="10.1796875" defaultRowHeight="14.5" x14ac:dyDescent="0.35"/>
  <cols>
    <col min="1" max="1" width="7.54296875" style="1734" customWidth="1"/>
    <col min="2" max="2" width="42.26953125" style="1734" customWidth="1"/>
    <col min="3" max="3" width="16.1796875" style="1734" customWidth="1"/>
    <col min="4" max="4" width="17.26953125" style="1734" customWidth="1"/>
    <col min="5" max="5" width="13.54296875" style="1734" customWidth="1"/>
    <col min="6" max="6" width="33.1796875" style="1734" customWidth="1"/>
    <col min="7" max="7" width="13.26953125" style="1734" customWidth="1"/>
    <col min="8" max="8" width="14.453125" style="1734" customWidth="1"/>
    <col min="9" max="9" width="15.1796875" style="1734" bestFit="1" customWidth="1"/>
    <col min="10" max="10" width="61.453125" style="1734" bestFit="1" customWidth="1"/>
    <col min="11" max="11" width="10.1796875" style="1734"/>
    <col min="12" max="12" width="34.1796875" style="1734" bestFit="1" customWidth="1"/>
    <col min="13" max="13" width="19.26953125" style="1734" bestFit="1" customWidth="1"/>
    <col min="14" max="16384" width="10.1796875" style="1734"/>
  </cols>
  <sheetData>
    <row r="1" spans="1:13" x14ac:dyDescent="0.35">
      <c r="A1" s="1799" t="s">
        <v>1031</v>
      </c>
      <c r="H1" s="2415"/>
    </row>
    <row r="2" spans="1:13" ht="15" thickBot="1" x14ac:dyDescent="0.4">
      <c r="B2" s="3470" t="s">
        <v>5072</v>
      </c>
      <c r="C2" s="3470"/>
      <c r="D2" s="3470"/>
      <c r="E2" s="3470"/>
      <c r="F2" s="3470"/>
      <c r="G2" s="3470"/>
      <c r="H2" s="3470"/>
      <c r="I2" s="1733"/>
      <c r="L2" s="2416"/>
    </row>
    <row r="3" spans="1:13" ht="24" customHeight="1" x14ac:dyDescent="0.35">
      <c r="B3" s="2430" t="s">
        <v>485</v>
      </c>
      <c r="C3" s="2417"/>
      <c r="D3" s="2417"/>
      <c r="E3" s="2417"/>
      <c r="F3" s="2417"/>
      <c r="G3" s="2417"/>
      <c r="H3" s="2418"/>
      <c r="L3" s="2419"/>
    </row>
    <row r="4" spans="1:13" x14ac:dyDescent="0.35">
      <c r="B4" s="1735"/>
      <c r="H4" s="2415"/>
    </row>
    <row r="5" spans="1:13" ht="14.5" customHeight="1" x14ac:dyDescent="0.35">
      <c r="B5" s="3471" t="s">
        <v>5073</v>
      </c>
      <c r="C5" s="3471"/>
      <c r="D5" s="3471"/>
      <c r="E5" s="3471"/>
      <c r="F5" s="3471"/>
      <c r="G5" s="3471"/>
      <c r="H5" s="3471"/>
      <c r="I5" s="3471"/>
    </row>
    <row r="6" spans="1:13" ht="14.5" customHeight="1" x14ac:dyDescent="0.35">
      <c r="B6" s="3471"/>
      <c r="C6" s="3471"/>
      <c r="D6" s="3471"/>
      <c r="E6" s="3471"/>
      <c r="F6" s="3471"/>
      <c r="G6" s="3471"/>
      <c r="H6" s="3471"/>
      <c r="I6" s="3471"/>
      <c r="L6" s="3467" t="s">
        <v>5074</v>
      </c>
      <c r="M6" s="3467"/>
    </row>
    <row r="7" spans="1:13" x14ac:dyDescent="0.35">
      <c r="C7" s="2283"/>
      <c r="D7" s="2283"/>
      <c r="E7" s="2283"/>
      <c r="F7" s="2283"/>
      <c r="G7" s="2283"/>
      <c r="H7" s="2420"/>
      <c r="I7" s="2283"/>
      <c r="L7" s="3467"/>
      <c r="M7" s="3467"/>
    </row>
    <row r="8" spans="1:13" ht="16.5" customHeight="1" x14ac:dyDescent="0.35">
      <c r="B8" s="3472" t="s">
        <v>5075</v>
      </c>
      <c r="C8" s="3472"/>
      <c r="D8" s="3472"/>
      <c r="E8" s="3472"/>
      <c r="F8" s="3472"/>
      <c r="G8" s="3472"/>
      <c r="H8" s="3472"/>
      <c r="I8" s="3472"/>
      <c r="L8" s="3467"/>
      <c r="M8" s="3467"/>
    </row>
    <row r="9" spans="1:13" x14ac:dyDescent="0.35">
      <c r="B9" s="2283"/>
      <c r="C9" s="2283"/>
      <c r="D9" s="2283"/>
      <c r="E9" s="2283"/>
      <c r="F9" s="2283"/>
      <c r="G9" s="2283"/>
      <c r="H9" s="2420"/>
      <c r="I9" s="2283"/>
      <c r="L9" s="3467"/>
      <c r="M9" s="3467"/>
    </row>
    <row r="10" spans="1:13" ht="16.5" customHeight="1" x14ac:dyDescent="0.35">
      <c r="B10" s="3473" t="s">
        <v>155</v>
      </c>
      <c r="C10" s="3473"/>
      <c r="D10" s="3474" t="s">
        <v>5076</v>
      </c>
      <c r="E10" s="3475" t="s">
        <v>5077</v>
      </c>
      <c r="F10" s="3475"/>
      <c r="G10" s="3476" t="s">
        <v>5078</v>
      </c>
      <c r="H10" s="2421"/>
      <c r="I10" s="2422"/>
      <c r="J10" s="2423"/>
      <c r="L10" s="3468"/>
      <c r="M10" s="3468"/>
    </row>
    <row r="11" spans="1:13" x14ac:dyDescent="0.35">
      <c r="B11" s="3473"/>
      <c r="C11" s="3473"/>
      <c r="D11" s="3474"/>
      <c r="E11" s="1736" t="s">
        <v>3641</v>
      </c>
      <c r="F11" s="1736" t="s">
        <v>5079</v>
      </c>
      <c r="G11" s="3476"/>
      <c r="H11" s="2421" t="s">
        <v>2155</v>
      </c>
      <c r="I11" s="2423" t="s">
        <v>1730</v>
      </c>
      <c r="J11" s="2423"/>
      <c r="L11" s="2423" t="s">
        <v>1360</v>
      </c>
      <c r="M11" s="56" t="s">
        <v>5080</v>
      </c>
    </row>
    <row r="12" spans="1:13" x14ac:dyDescent="0.35">
      <c r="B12" s="2423" t="s">
        <v>2484</v>
      </c>
      <c r="C12" s="2423">
        <v>16</v>
      </c>
      <c r="D12" s="175">
        <f>I12</f>
        <v>146.75465</v>
      </c>
      <c r="E12" s="2423">
        <v>16</v>
      </c>
      <c r="F12" s="2424">
        <f>E12/$E$45</f>
        <v>2.0860495436766623E-2</v>
      </c>
      <c r="G12" s="3469">
        <f>SUMPRODUCT(D12:D44,F12:F44)</f>
        <v>138.79304850065191</v>
      </c>
      <c r="H12" s="2421">
        <f t="shared" ref="H12:H31" si="0">VLOOKUP(B12,$L$12:$M$48,2,0)</f>
        <v>1831</v>
      </c>
      <c r="I12" s="2768">
        <f>(1-0%)*H12*114500/0.8*0.07*0.8/100000</f>
        <v>146.75465</v>
      </c>
      <c r="J12" s="1" t="s">
        <v>5081</v>
      </c>
      <c r="L12" s="2423" t="s">
        <v>2484</v>
      </c>
      <c r="M12" s="2425">
        <v>1831</v>
      </c>
    </row>
    <row r="13" spans="1:13" x14ac:dyDescent="0.35">
      <c r="B13" s="2423" t="s">
        <v>2486</v>
      </c>
      <c r="C13" s="2423">
        <v>17</v>
      </c>
      <c r="D13" s="175">
        <f t="shared" ref="D13:D44" si="1">I13</f>
        <v>103.63395000000001</v>
      </c>
      <c r="E13" s="2423">
        <v>17</v>
      </c>
      <c r="F13" s="2424">
        <f t="shared" ref="F13:F44" si="2">E13/$E$45</f>
        <v>2.2164276401564539E-2</v>
      </c>
      <c r="G13" s="3469"/>
      <c r="H13" s="2421">
        <f t="shared" si="0"/>
        <v>1293</v>
      </c>
      <c r="I13" s="2768">
        <f t="shared" ref="I13:I44" si="3">(1-0%)*H13*114500/0.8*0.07*0.8/100000</f>
        <v>103.63395000000001</v>
      </c>
      <c r="J13" s="1" t="s">
        <v>5082</v>
      </c>
      <c r="L13" s="2423" t="s">
        <v>2103</v>
      </c>
      <c r="M13" s="2425">
        <v>1646</v>
      </c>
    </row>
    <row r="14" spans="1:13" x14ac:dyDescent="0.35">
      <c r="B14" s="2423" t="s">
        <v>2487</v>
      </c>
      <c r="C14" s="2423">
        <v>3</v>
      </c>
      <c r="D14" s="175">
        <f t="shared" si="1"/>
        <v>109.64520000000002</v>
      </c>
      <c r="E14" s="2423">
        <v>3</v>
      </c>
      <c r="F14" s="2424">
        <f t="shared" si="2"/>
        <v>3.9113428943937422E-3</v>
      </c>
      <c r="G14" s="3469"/>
      <c r="H14" s="2421">
        <f t="shared" si="0"/>
        <v>1368</v>
      </c>
      <c r="I14" s="2768">
        <f t="shared" si="3"/>
        <v>109.64520000000002</v>
      </c>
      <c r="J14" s="1" t="s">
        <v>5083</v>
      </c>
      <c r="L14" s="2423" t="s">
        <v>2485</v>
      </c>
      <c r="M14" s="2425">
        <v>2950</v>
      </c>
    </row>
    <row r="15" spans="1:13" x14ac:dyDescent="0.35">
      <c r="B15" s="2423" t="s">
        <v>1964</v>
      </c>
      <c r="C15" s="2423">
        <v>10</v>
      </c>
      <c r="D15" s="175">
        <f t="shared" si="1"/>
        <v>128.48045000000002</v>
      </c>
      <c r="E15" s="2423">
        <v>10</v>
      </c>
      <c r="F15" s="2424">
        <f t="shared" si="2"/>
        <v>1.303780964797914E-2</v>
      </c>
      <c r="G15" s="3469"/>
      <c r="H15" s="2421">
        <f t="shared" si="0"/>
        <v>1603</v>
      </c>
      <c r="I15" s="2768">
        <f t="shared" si="3"/>
        <v>128.48045000000002</v>
      </c>
      <c r="J15" s="1" t="s">
        <v>5084</v>
      </c>
      <c r="L15" s="2423" t="s">
        <v>2486</v>
      </c>
      <c r="M15" s="2425">
        <v>1293</v>
      </c>
    </row>
    <row r="16" spans="1:13" x14ac:dyDescent="0.35">
      <c r="B16" s="2423" t="s">
        <v>2489</v>
      </c>
      <c r="C16" s="2423">
        <v>18</v>
      </c>
      <c r="D16" s="175">
        <f t="shared" si="1"/>
        <v>77.665350000000004</v>
      </c>
      <c r="E16" s="2423">
        <v>18</v>
      </c>
      <c r="F16" s="2424">
        <f t="shared" si="2"/>
        <v>2.3468057366362451E-2</v>
      </c>
      <c r="G16" s="3469"/>
      <c r="H16" s="2421">
        <f t="shared" si="0"/>
        <v>969</v>
      </c>
      <c r="I16" s="2768">
        <f t="shared" si="3"/>
        <v>77.665350000000004</v>
      </c>
      <c r="J16" s="1" t="s">
        <v>5085</v>
      </c>
      <c r="L16" s="2423" t="s">
        <v>2487</v>
      </c>
      <c r="M16" s="2425">
        <v>1368</v>
      </c>
    </row>
    <row r="17" spans="2:13" x14ac:dyDescent="0.35">
      <c r="B17" s="2423" t="s">
        <v>1853</v>
      </c>
      <c r="C17" s="2423">
        <v>2</v>
      </c>
      <c r="D17" s="175">
        <f t="shared" si="1"/>
        <v>124.31265000000002</v>
      </c>
      <c r="E17" s="2423">
        <v>2</v>
      </c>
      <c r="F17" s="2424">
        <f t="shared" si="2"/>
        <v>2.6075619295958278E-3</v>
      </c>
      <c r="G17" s="3469"/>
      <c r="H17" s="2421">
        <f t="shared" si="0"/>
        <v>1551</v>
      </c>
      <c r="I17" s="2768">
        <f t="shared" si="3"/>
        <v>124.31265000000002</v>
      </c>
      <c r="J17" s="1" t="s">
        <v>5086</v>
      </c>
      <c r="L17" s="2423" t="s">
        <v>2488</v>
      </c>
      <c r="M17" s="2425">
        <v>2947</v>
      </c>
    </row>
    <row r="18" spans="2:13" x14ac:dyDescent="0.35">
      <c r="B18" s="2423" t="s">
        <v>2391</v>
      </c>
      <c r="C18" s="2423">
        <v>39</v>
      </c>
      <c r="D18" s="175">
        <f t="shared" si="1"/>
        <v>122.30890000000002</v>
      </c>
      <c r="E18" s="2423">
        <v>39</v>
      </c>
      <c r="F18" s="2424">
        <f t="shared" si="2"/>
        <v>5.0847457627118647E-2</v>
      </c>
      <c r="G18" s="3469"/>
      <c r="H18" s="2421">
        <f t="shared" si="0"/>
        <v>1526</v>
      </c>
      <c r="I18" s="2768">
        <f t="shared" si="3"/>
        <v>122.30890000000002</v>
      </c>
      <c r="J18" s="1" t="s">
        <v>5087</v>
      </c>
      <c r="L18" s="2423" t="s">
        <v>1964</v>
      </c>
      <c r="M18" s="2425">
        <v>1603</v>
      </c>
    </row>
    <row r="19" spans="2:13" x14ac:dyDescent="0.35">
      <c r="B19" s="2423" t="s">
        <v>2394</v>
      </c>
      <c r="C19" s="2423">
        <v>3</v>
      </c>
      <c r="D19" s="175">
        <f t="shared" si="1"/>
        <v>148.67824999999999</v>
      </c>
      <c r="E19" s="2423">
        <v>3</v>
      </c>
      <c r="F19" s="2424">
        <f t="shared" si="2"/>
        <v>3.9113428943937422E-3</v>
      </c>
      <c r="G19" s="3469"/>
      <c r="H19" s="2421">
        <f t="shared" si="0"/>
        <v>1855</v>
      </c>
      <c r="I19" s="2768">
        <f t="shared" si="3"/>
        <v>148.67824999999999</v>
      </c>
      <c r="J19" s="1" t="s">
        <v>5088</v>
      </c>
      <c r="L19" s="2423" t="s">
        <v>2489</v>
      </c>
      <c r="M19" s="2426">
        <v>969</v>
      </c>
    </row>
    <row r="20" spans="2:13" x14ac:dyDescent="0.35">
      <c r="B20" s="2423" t="s">
        <v>2099</v>
      </c>
      <c r="C20" s="2423">
        <v>2</v>
      </c>
      <c r="D20" s="175">
        <f t="shared" si="1"/>
        <v>130.96510000000001</v>
      </c>
      <c r="E20" s="2423">
        <v>2</v>
      </c>
      <c r="F20" s="2424">
        <f t="shared" si="2"/>
        <v>2.6075619295958278E-3</v>
      </c>
      <c r="G20" s="3469"/>
      <c r="H20" s="2421">
        <f t="shared" si="0"/>
        <v>1634</v>
      </c>
      <c r="I20" s="2768">
        <f t="shared" si="3"/>
        <v>130.96510000000001</v>
      </c>
      <c r="J20" s="1" t="s">
        <v>5089</v>
      </c>
      <c r="L20" s="2423" t="s">
        <v>1853</v>
      </c>
      <c r="M20" s="2425">
        <v>1551</v>
      </c>
    </row>
    <row r="21" spans="2:13" x14ac:dyDescent="0.35">
      <c r="B21" s="2427" t="s">
        <v>2392</v>
      </c>
      <c r="C21" s="2423">
        <v>30</v>
      </c>
      <c r="D21" s="175">
        <f t="shared" si="1"/>
        <v>81.19195000000002</v>
      </c>
      <c r="E21" s="2423">
        <v>30</v>
      </c>
      <c r="F21" s="2424">
        <f t="shared" si="2"/>
        <v>3.911342894393742E-2</v>
      </c>
      <c r="G21" s="3469"/>
      <c r="H21" s="2421">
        <f t="shared" si="0"/>
        <v>1013</v>
      </c>
      <c r="I21" s="2768">
        <f t="shared" si="3"/>
        <v>81.19195000000002</v>
      </c>
      <c r="J21" s="1" t="s">
        <v>5090</v>
      </c>
      <c r="L21" s="2423" t="s">
        <v>2391</v>
      </c>
      <c r="M21" s="2425">
        <v>1526</v>
      </c>
    </row>
    <row r="22" spans="2:13" x14ac:dyDescent="0.35">
      <c r="B22" s="2423" t="s">
        <v>2388</v>
      </c>
      <c r="C22" s="2423">
        <v>142</v>
      </c>
      <c r="D22" s="175">
        <f t="shared" si="1"/>
        <v>210.39375000000004</v>
      </c>
      <c r="E22" s="2423">
        <v>142</v>
      </c>
      <c r="F22" s="2424">
        <f t="shared" si="2"/>
        <v>0.18513689700130379</v>
      </c>
      <c r="G22" s="3469"/>
      <c r="H22" s="2421">
        <f t="shared" si="0"/>
        <v>2625</v>
      </c>
      <c r="I22" s="2768">
        <f t="shared" si="3"/>
        <v>210.39375000000004</v>
      </c>
      <c r="J22" s="1" t="s">
        <v>5091</v>
      </c>
      <c r="L22" s="2423" t="s">
        <v>2394</v>
      </c>
      <c r="M22" s="2425">
        <v>1855</v>
      </c>
    </row>
    <row r="23" spans="2:13" x14ac:dyDescent="0.35">
      <c r="B23" s="2423" t="s">
        <v>2386</v>
      </c>
      <c r="C23" s="2423">
        <v>5</v>
      </c>
      <c r="D23" s="175">
        <f t="shared" si="1"/>
        <v>130.56435000000002</v>
      </c>
      <c r="E23" s="2423">
        <v>5</v>
      </c>
      <c r="F23" s="2424">
        <f t="shared" si="2"/>
        <v>6.51890482398957E-3</v>
      </c>
      <c r="G23" s="3469"/>
      <c r="H23" s="2421">
        <f t="shared" si="0"/>
        <v>1629</v>
      </c>
      <c r="I23" s="2768">
        <f t="shared" si="3"/>
        <v>130.56435000000002</v>
      </c>
      <c r="J23" s="1" t="s">
        <v>5092</v>
      </c>
      <c r="L23" s="2423" t="s">
        <v>5093</v>
      </c>
      <c r="M23" s="2425">
        <v>1220</v>
      </c>
    </row>
    <row r="24" spans="2:13" x14ac:dyDescent="0.35">
      <c r="B24" s="2423" t="s">
        <v>2504</v>
      </c>
      <c r="C24" s="2423">
        <v>106</v>
      </c>
      <c r="D24" s="175">
        <f t="shared" si="1"/>
        <v>120.54560000000002</v>
      </c>
      <c r="E24" s="2423">
        <v>106</v>
      </c>
      <c r="F24" s="2424">
        <f t="shared" si="2"/>
        <v>0.13820078226857888</v>
      </c>
      <c r="G24" s="3469"/>
      <c r="H24" s="2421">
        <f t="shared" si="0"/>
        <v>1504</v>
      </c>
      <c r="I24" s="2768">
        <f t="shared" si="3"/>
        <v>120.54560000000002</v>
      </c>
      <c r="J24" s="1" t="s">
        <v>5094</v>
      </c>
      <c r="L24" s="2423" t="s">
        <v>5095</v>
      </c>
      <c r="M24" s="2425">
        <v>1398</v>
      </c>
    </row>
    <row r="25" spans="2:13" x14ac:dyDescent="0.35">
      <c r="B25" s="2423" t="s">
        <v>1859</v>
      </c>
      <c r="C25" s="2423">
        <v>20</v>
      </c>
      <c r="D25" s="175">
        <f t="shared" si="1"/>
        <v>106.43920000000001</v>
      </c>
      <c r="E25" s="2423">
        <v>20</v>
      </c>
      <c r="F25" s="2424">
        <f t="shared" si="2"/>
        <v>2.607561929595828E-2</v>
      </c>
      <c r="G25" s="3469"/>
      <c r="H25" s="2421">
        <f t="shared" si="0"/>
        <v>1328</v>
      </c>
      <c r="I25" s="2768">
        <f t="shared" si="3"/>
        <v>106.43920000000001</v>
      </c>
      <c r="J25" s="1" t="s">
        <v>5096</v>
      </c>
      <c r="L25" s="2423" t="s">
        <v>5097</v>
      </c>
      <c r="M25" s="2426">
        <v>697</v>
      </c>
    </row>
    <row r="26" spans="2:13" x14ac:dyDescent="0.35">
      <c r="B26" s="2423" t="s">
        <v>2399</v>
      </c>
      <c r="C26" s="2423">
        <v>11</v>
      </c>
      <c r="D26" s="175">
        <f t="shared" si="1"/>
        <v>105.95830000000002</v>
      </c>
      <c r="E26" s="2423">
        <v>11</v>
      </c>
      <c r="F26" s="2424">
        <f t="shared" si="2"/>
        <v>1.4341590612777053E-2</v>
      </c>
      <c r="G26" s="3469"/>
      <c r="H26" s="2421">
        <f t="shared" si="0"/>
        <v>1322</v>
      </c>
      <c r="I26" s="2768">
        <f t="shared" si="3"/>
        <v>105.95830000000002</v>
      </c>
      <c r="J26" s="1" t="s">
        <v>5098</v>
      </c>
      <c r="L26" s="2423" t="s">
        <v>2493</v>
      </c>
      <c r="M26" s="2425">
        <v>1571</v>
      </c>
    </row>
    <row r="27" spans="2:13" x14ac:dyDescent="0.35">
      <c r="B27" s="2423" t="s">
        <v>2398</v>
      </c>
      <c r="C27" s="2423">
        <v>33</v>
      </c>
      <c r="D27" s="175">
        <f t="shared" si="1"/>
        <v>106.19875000000002</v>
      </c>
      <c r="E27" s="2423">
        <v>33</v>
      </c>
      <c r="F27" s="2424">
        <f t="shared" si="2"/>
        <v>4.3024771838331158E-2</v>
      </c>
      <c r="G27" s="3469"/>
      <c r="H27" s="2421">
        <f t="shared" si="0"/>
        <v>1325</v>
      </c>
      <c r="I27" s="2768">
        <f t="shared" si="3"/>
        <v>106.19875000000002</v>
      </c>
      <c r="J27" s="1" t="s">
        <v>5099</v>
      </c>
      <c r="L27" s="2423" t="s">
        <v>2099</v>
      </c>
      <c r="M27" s="2425">
        <v>1634</v>
      </c>
    </row>
    <row r="28" spans="2:13" x14ac:dyDescent="0.35">
      <c r="B28" s="2423" t="s">
        <v>1862</v>
      </c>
      <c r="C28" s="2423">
        <v>52</v>
      </c>
      <c r="D28" s="175">
        <f t="shared" si="1"/>
        <v>103.07290000000002</v>
      </c>
      <c r="E28" s="2423">
        <v>52</v>
      </c>
      <c r="F28" s="2424">
        <f t="shared" si="2"/>
        <v>6.7796610169491525E-2</v>
      </c>
      <c r="G28" s="3469"/>
      <c r="H28" s="2421">
        <f t="shared" si="0"/>
        <v>1286</v>
      </c>
      <c r="I28" s="2768">
        <f t="shared" si="3"/>
        <v>103.07290000000002</v>
      </c>
      <c r="J28" s="1" t="s">
        <v>5100</v>
      </c>
      <c r="L28" s="2423" t="s">
        <v>2494</v>
      </c>
      <c r="M28" s="2425">
        <v>1733</v>
      </c>
    </row>
    <row r="29" spans="2:13" x14ac:dyDescent="0.35">
      <c r="B29" s="2423" t="s">
        <v>2484</v>
      </c>
      <c r="C29" s="2423">
        <v>17</v>
      </c>
      <c r="D29" s="175">
        <f t="shared" si="1"/>
        <v>146.75465</v>
      </c>
      <c r="E29" s="2423">
        <v>17</v>
      </c>
      <c r="F29" s="2424">
        <f t="shared" si="2"/>
        <v>2.2164276401564539E-2</v>
      </c>
      <c r="G29" s="3469"/>
      <c r="H29" s="2421">
        <f t="shared" si="0"/>
        <v>1831</v>
      </c>
      <c r="I29" s="2768">
        <f t="shared" si="3"/>
        <v>146.75465</v>
      </c>
      <c r="J29" s="1" t="s">
        <v>5101</v>
      </c>
      <c r="L29" s="2423" t="s">
        <v>2495</v>
      </c>
      <c r="M29" s="2425">
        <v>1597</v>
      </c>
    </row>
    <row r="30" spans="2:13" x14ac:dyDescent="0.35">
      <c r="B30" s="2423" t="s">
        <v>2489</v>
      </c>
      <c r="C30" s="2423">
        <v>24</v>
      </c>
      <c r="D30" s="175">
        <f t="shared" si="1"/>
        <v>77.665350000000004</v>
      </c>
      <c r="E30" s="2423">
        <v>24</v>
      </c>
      <c r="F30" s="2424">
        <f t="shared" si="2"/>
        <v>3.1290743155149937E-2</v>
      </c>
      <c r="G30" s="3469"/>
      <c r="H30" s="2421">
        <f t="shared" si="0"/>
        <v>969</v>
      </c>
      <c r="I30" s="2768">
        <f t="shared" si="3"/>
        <v>77.665350000000004</v>
      </c>
      <c r="J30" s="1" t="s">
        <v>5102</v>
      </c>
      <c r="L30" s="2423" t="s">
        <v>2392</v>
      </c>
      <c r="M30" s="2425">
        <v>1013</v>
      </c>
    </row>
    <row r="31" spans="2:13" x14ac:dyDescent="0.35">
      <c r="B31" s="2423" t="s">
        <v>2391</v>
      </c>
      <c r="C31" s="2423">
        <v>6</v>
      </c>
      <c r="D31" s="175">
        <f t="shared" si="1"/>
        <v>122.30890000000002</v>
      </c>
      <c r="E31" s="2423">
        <v>6</v>
      </c>
      <c r="F31" s="2424">
        <f t="shared" si="2"/>
        <v>7.8226857887874843E-3</v>
      </c>
      <c r="G31" s="3469"/>
      <c r="H31" s="2421">
        <f t="shared" si="0"/>
        <v>1526</v>
      </c>
      <c r="I31" s="2768">
        <f t="shared" si="3"/>
        <v>122.30890000000002</v>
      </c>
      <c r="J31" s="1" t="s">
        <v>5103</v>
      </c>
      <c r="L31" s="2423" t="s">
        <v>2496</v>
      </c>
      <c r="M31" s="2425">
        <v>1540</v>
      </c>
    </row>
    <row r="32" spans="2:13" x14ac:dyDescent="0.35">
      <c r="B32" s="2423" t="s">
        <v>5104</v>
      </c>
      <c r="C32" s="2423">
        <v>3</v>
      </c>
      <c r="D32" s="175">
        <f t="shared" si="1"/>
        <v>81.19195000000002</v>
      </c>
      <c r="E32" s="2423">
        <v>3</v>
      </c>
      <c r="F32" s="2424">
        <f t="shared" si="2"/>
        <v>3.9113428943937422E-3</v>
      </c>
      <c r="G32" s="3469"/>
      <c r="H32" s="2421">
        <v>1013</v>
      </c>
      <c r="I32" s="2768">
        <f t="shared" si="3"/>
        <v>81.19195000000002</v>
      </c>
      <c r="J32" s="1" t="s">
        <v>5105</v>
      </c>
      <c r="L32" s="2423" t="s">
        <v>2497</v>
      </c>
      <c r="M32" s="2426">
        <v>558</v>
      </c>
    </row>
    <row r="33" spans="2:13" x14ac:dyDescent="0.35">
      <c r="B33" s="2423" t="s">
        <v>2099</v>
      </c>
      <c r="C33" s="2423">
        <v>2</v>
      </c>
      <c r="D33" s="175">
        <f t="shared" si="1"/>
        <v>130.96510000000001</v>
      </c>
      <c r="E33" s="2423">
        <v>2</v>
      </c>
      <c r="F33" s="2424">
        <f t="shared" si="2"/>
        <v>2.6075619295958278E-3</v>
      </c>
      <c r="G33" s="3469"/>
      <c r="H33" s="2421">
        <f t="shared" ref="H33:H44" si="4">VLOOKUP(B33,$L$12:$M$48,2,0)</f>
        <v>1634</v>
      </c>
      <c r="I33" s="2768">
        <f t="shared" si="3"/>
        <v>130.96510000000001</v>
      </c>
      <c r="J33" s="1" t="s">
        <v>5106</v>
      </c>
      <c r="L33" s="2423" t="s">
        <v>2498</v>
      </c>
      <c r="M33" s="2425">
        <v>1666</v>
      </c>
    </row>
    <row r="34" spans="2:13" x14ac:dyDescent="0.35">
      <c r="B34" s="2423" t="s">
        <v>2392</v>
      </c>
      <c r="C34" s="2423">
        <v>11</v>
      </c>
      <c r="D34" s="175">
        <f t="shared" si="1"/>
        <v>81.19195000000002</v>
      </c>
      <c r="E34" s="2423">
        <v>11</v>
      </c>
      <c r="F34" s="2424">
        <f t="shared" si="2"/>
        <v>1.4341590612777053E-2</v>
      </c>
      <c r="G34" s="3469"/>
      <c r="H34" s="2421">
        <f t="shared" si="4"/>
        <v>1013</v>
      </c>
      <c r="I34" s="2768">
        <f t="shared" si="3"/>
        <v>81.19195000000002</v>
      </c>
      <c r="J34" s="1" t="s">
        <v>5107</v>
      </c>
      <c r="L34" s="2423" t="s">
        <v>2415</v>
      </c>
      <c r="M34" s="2425">
        <v>1782</v>
      </c>
    </row>
    <row r="35" spans="2:13" x14ac:dyDescent="0.35">
      <c r="B35" s="2423" t="s">
        <v>2388</v>
      </c>
      <c r="C35" s="2423">
        <v>53</v>
      </c>
      <c r="D35" s="175">
        <f t="shared" si="1"/>
        <v>210.39375000000004</v>
      </c>
      <c r="E35" s="2423">
        <v>53</v>
      </c>
      <c r="F35" s="2424">
        <f t="shared" si="2"/>
        <v>6.9100391134289438E-2</v>
      </c>
      <c r="G35" s="3469"/>
      <c r="H35" s="2421">
        <f t="shared" si="4"/>
        <v>2625</v>
      </c>
      <c r="I35" s="2768">
        <f t="shared" si="3"/>
        <v>210.39375000000004</v>
      </c>
      <c r="J35" s="1" t="s">
        <v>5108</v>
      </c>
      <c r="L35" s="2423" t="s">
        <v>2499</v>
      </c>
      <c r="M35" s="2425">
        <v>1905</v>
      </c>
    </row>
    <row r="36" spans="2:13" x14ac:dyDescent="0.35">
      <c r="B36" s="2423" t="s">
        <v>2504</v>
      </c>
      <c r="C36" s="2423">
        <v>35</v>
      </c>
      <c r="D36" s="175">
        <f t="shared" si="1"/>
        <v>120.54560000000002</v>
      </c>
      <c r="E36" s="2423">
        <v>35</v>
      </c>
      <c r="F36" s="2424">
        <f t="shared" si="2"/>
        <v>4.563233376792699E-2</v>
      </c>
      <c r="G36" s="3469"/>
      <c r="H36" s="2421">
        <f t="shared" si="4"/>
        <v>1504</v>
      </c>
      <c r="I36" s="2768">
        <f t="shared" si="3"/>
        <v>120.54560000000002</v>
      </c>
      <c r="J36" s="1" t="s">
        <v>5109</v>
      </c>
      <c r="L36" s="2423" t="s">
        <v>2500</v>
      </c>
      <c r="M36" s="2425">
        <v>1036</v>
      </c>
    </row>
    <row r="37" spans="2:13" x14ac:dyDescent="0.35">
      <c r="B37" s="2423" t="s">
        <v>1859</v>
      </c>
      <c r="C37" s="2423">
        <v>4</v>
      </c>
      <c r="D37" s="175">
        <f t="shared" si="1"/>
        <v>106.43920000000001</v>
      </c>
      <c r="E37" s="2423">
        <v>4</v>
      </c>
      <c r="F37" s="2424">
        <f t="shared" si="2"/>
        <v>5.2151238591916557E-3</v>
      </c>
      <c r="G37" s="3469"/>
      <c r="H37" s="2421">
        <f t="shared" si="4"/>
        <v>1328</v>
      </c>
      <c r="I37" s="2768">
        <f t="shared" si="3"/>
        <v>106.43920000000001</v>
      </c>
      <c r="J37" s="1" t="s">
        <v>5110</v>
      </c>
      <c r="L37" s="2423" t="s">
        <v>2501</v>
      </c>
      <c r="M37" s="2425">
        <v>2237</v>
      </c>
    </row>
    <row r="38" spans="2:13" x14ac:dyDescent="0.35">
      <c r="B38" s="2423" t="s">
        <v>2399</v>
      </c>
      <c r="C38" s="2423">
        <v>2</v>
      </c>
      <c r="D38" s="175">
        <f t="shared" si="1"/>
        <v>105.95830000000002</v>
      </c>
      <c r="E38" s="2423">
        <v>2</v>
      </c>
      <c r="F38" s="2424">
        <f t="shared" si="2"/>
        <v>2.6075619295958278E-3</v>
      </c>
      <c r="G38" s="3469"/>
      <c r="H38" s="2421">
        <f t="shared" si="4"/>
        <v>1322</v>
      </c>
      <c r="I38" s="2768">
        <f t="shared" si="3"/>
        <v>105.95830000000002</v>
      </c>
      <c r="J38" s="1" t="s">
        <v>5111</v>
      </c>
      <c r="L38" s="2423" t="s">
        <v>2502</v>
      </c>
      <c r="M38" s="2425">
        <v>1432</v>
      </c>
    </row>
    <row r="39" spans="2:13" x14ac:dyDescent="0.35">
      <c r="B39" s="2423" t="s">
        <v>2398</v>
      </c>
      <c r="C39" s="2423">
        <v>10</v>
      </c>
      <c r="D39" s="175">
        <f t="shared" si="1"/>
        <v>106.19875000000002</v>
      </c>
      <c r="E39" s="2423">
        <v>10</v>
      </c>
      <c r="F39" s="2424">
        <f t="shared" si="2"/>
        <v>1.303780964797914E-2</v>
      </c>
      <c r="G39" s="3469"/>
      <c r="H39" s="2421">
        <f t="shared" si="4"/>
        <v>1325</v>
      </c>
      <c r="I39" s="2768">
        <f t="shared" si="3"/>
        <v>106.19875000000002</v>
      </c>
      <c r="J39" s="1" t="s">
        <v>5112</v>
      </c>
      <c r="L39" s="2423" t="s">
        <v>2503</v>
      </c>
      <c r="M39" s="2426">
        <v>993</v>
      </c>
    </row>
    <row r="40" spans="2:13" x14ac:dyDescent="0.35">
      <c r="B40" s="2423" t="s">
        <v>1862</v>
      </c>
      <c r="C40" s="2423">
        <v>19</v>
      </c>
      <c r="D40" s="175">
        <f t="shared" si="1"/>
        <v>103.07290000000002</v>
      </c>
      <c r="E40" s="2423">
        <v>19</v>
      </c>
      <c r="F40" s="2424">
        <f t="shared" si="2"/>
        <v>2.4771838331160364E-2</v>
      </c>
      <c r="G40" s="3469"/>
      <c r="H40" s="2421">
        <f t="shared" si="4"/>
        <v>1286</v>
      </c>
      <c r="I40" s="2768">
        <f t="shared" si="3"/>
        <v>103.07290000000002</v>
      </c>
      <c r="J40" s="1" t="s">
        <v>5113</v>
      </c>
      <c r="L40" s="2423" t="s">
        <v>2388</v>
      </c>
      <c r="M40" s="2425">
        <v>2625</v>
      </c>
    </row>
    <row r="41" spans="2:13" x14ac:dyDescent="0.35">
      <c r="B41" s="2423" t="s">
        <v>2103</v>
      </c>
      <c r="C41" s="2423">
        <v>1</v>
      </c>
      <c r="D41" s="175">
        <f t="shared" si="1"/>
        <v>131.92690000000002</v>
      </c>
      <c r="E41" s="2423">
        <v>1</v>
      </c>
      <c r="F41" s="2424">
        <f t="shared" si="2"/>
        <v>1.3037809647979139E-3</v>
      </c>
      <c r="G41" s="3469"/>
      <c r="H41" s="2421">
        <f t="shared" si="4"/>
        <v>1646</v>
      </c>
      <c r="I41" s="2768">
        <f t="shared" si="3"/>
        <v>131.92690000000002</v>
      </c>
      <c r="J41" s="1" t="s">
        <v>5114</v>
      </c>
      <c r="L41" s="2423" t="s">
        <v>2386</v>
      </c>
      <c r="M41" s="2425">
        <v>1629</v>
      </c>
    </row>
    <row r="42" spans="2:13" x14ac:dyDescent="0.35">
      <c r="B42" s="2423" t="s">
        <v>2496</v>
      </c>
      <c r="C42" s="2423">
        <v>4</v>
      </c>
      <c r="D42" s="175">
        <f t="shared" si="1"/>
        <v>123.43100000000001</v>
      </c>
      <c r="E42" s="2423">
        <v>4</v>
      </c>
      <c r="F42" s="2424">
        <f t="shared" si="2"/>
        <v>5.2151238591916557E-3</v>
      </c>
      <c r="G42" s="3469"/>
      <c r="H42" s="2421">
        <f t="shared" si="4"/>
        <v>1540</v>
      </c>
      <c r="I42" s="2768">
        <f t="shared" si="3"/>
        <v>123.43100000000001</v>
      </c>
      <c r="J42" s="1" t="s">
        <v>5115</v>
      </c>
      <c r="L42" s="2423" t="s">
        <v>1598</v>
      </c>
      <c r="M42" s="2425">
        <v>2670</v>
      </c>
    </row>
    <row r="43" spans="2:13" x14ac:dyDescent="0.35">
      <c r="B43" s="2423" t="s">
        <v>2498</v>
      </c>
      <c r="C43" s="2423">
        <v>1</v>
      </c>
      <c r="D43" s="175">
        <f t="shared" si="1"/>
        <v>133.52990000000003</v>
      </c>
      <c r="E43" s="2423">
        <v>1</v>
      </c>
      <c r="F43" s="2424">
        <f t="shared" si="2"/>
        <v>1.3037809647979139E-3</v>
      </c>
      <c r="G43" s="3469"/>
      <c r="H43" s="2421">
        <f t="shared" si="4"/>
        <v>1666</v>
      </c>
      <c r="I43" s="2768">
        <f t="shared" si="3"/>
        <v>133.52990000000003</v>
      </c>
      <c r="J43" s="1" t="s">
        <v>5116</v>
      </c>
      <c r="L43" s="2423" t="s">
        <v>2504</v>
      </c>
      <c r="M43" s="2425">
        <v>1504</v>
      </c>
    </row>
    <row r="44" spans="2:13" x14ac:dyDescent="0.35">
      <c r="B44" s="2423" t="s">
        <v>2415</v>
      </c>
      <c r="C44" s="2423">
        <v>66</v>
      </c>
      <c r="D44" s="175">
        <f t="shared" si="1"/>
        <v>142.82730000000001</v>
      </c>
      <c r="E44" s="2423">
        <v>66</v>
      </c>
      <c r="F44" s="2424">
        <f t="shared" si="2"/>
        <v>8.6049543676662316E-2</v>
      </c>
      <c r="G44" s="3469"/>
      <c r="H44" s="2421">
        <f t="shared" si="4"/>
        <v>1782</v>
      </c>
      <c r="I44" s="2768">
        <f t="shared" si="3"/>
        <v>142.82730000000001</v>
      </c>
      <c r="J44" s="1" t="s">
        <v>5117</v>
      </c>
      <c r="L44" s="2423" t="s">
        <v>1859</v>
      </c>
      <c r="M44" s="2425">
        <v>1328</v>
      </c>
    </row>
    <row r="45" spans="2:13" x14ac:dyDescent="0.35">
      <c r="E45" s="1734">
        <f>SUM(E12:E44)</f>
        <v>767</v>
      </c>
      <c r="H45" s="2415"/>
      <c r="L45" s="2423" t="s">
        <v>2399</v>
      </c>
      <c r="M45" s="2425">
        <v>1322</v>
      </c>
    </row>
    <row r="46" spans="2:13" x14ac:dyDescent="0.35">
      <c r="H46" s="2415"/>
      <c r="L46" s="2423" t="s">
        <v>2398</v>
      </c>
      <c r="M46" s="2425">
        <v>1325</v>
      </c>
    </row>
    <row r="47" spans="2:13" x14ac:dyDescent="0.35">
      <c r="H47" s="2415"/>
      <c r="L47" s="2423" t="s">
        <v>1862</v>
      </c>
      <c r="M47" s="2425">
        <v>1286</v>
      </c>
    </row>
    <row r="48" spans="2:13" x14ac:dyDescent="0.35">
      <c r="H48" s="2415"/>
      <c r="L48" s="2423" t="s">
        <v>1185</v>
      </c>
      <c r="M48" s="2425">
        <v>1678</v>
      </c>
    </row>
    <row r="49" spans="2:13" ht="28.5" customHeight="1" x14ac:dyDescent="0.35">
      <c r="H49" s="2415"/>
    </row>
    <row r="50" spans="2:13" x14ac:dyDescent="0.35">
      <c r="B50" s="1737" t="s">
        <v>5118</v>
      </c>
      <c r="C50" s="1737" t="s">
        <v>5119</v>
      </c>
      <c r="D50" s="1737" t="s">
        <v>5120</v>
      </c>
      <c r="E50" s="1737" t="s">
        <v>4271</v>
      </c>
      <c r="F50" s="1737" t="s">
        <v>5121</v>
      </c>
      <c r="G50" s="1737" t="s">
        <v>1083</v>
      </c>
      <c r="H50" s="2415" t="s">
        <v>5122</v>
      </c>
    </row>
    <row r="51" spans="2:13" x14ac:dyDescent="0.35">
      <c r="B51" s="1738" t="s">
        <v>2806</v>
      </c>
      <c r="C51" s="2782">
        <f>G12</f>
        <v>138.79304850065191</v>
      </c>
      <c r="D51" s="1739"/>
      <c r="E51" s="1739"/>
      <c r="F51" s="1739"/>
      <c r="G51" s="1740">
        <v>11</v>
      </c>
      <c r="H51" s="2428"/>
      <c r="M51" s="2429"/>
    </row>
    <row r="52" spans="2:13" x14ac:dyDescent="0.35">
      <c r="H52" s="2415"/>
      <c r="M52" s="2429"/>
    </row>
    <row r="53" spans="2:13" x14ac:dyDescent="0.35">
      <c r="H53" s="2415"/>
      <c r="M53" s="2429"/>
    </row>
  </sheetData>
  <mergeCells count="9">
    <mergeCell ref="L6:M10"/>
    <mergeCell ref="G12:G44"/>
    <mergeCell ref="B2:H2"/>
    <mergeCell ref="B5:I6"/>
    <mergeCell ref="B8:I8"/>
    <mergeCell ref="B10:C11"/>
    <mergeCell ref="D10:D11"/>
    <mergeCell ref="E10:F10"/>
    <mergeCell ref="G10:G11"/>
  </mergeCells>
  <conditionalFormatting sqref="E12:E44">
    <cfRule type="dataBar" priority="1">
      <dataBar>
        <cfvo type="min"/>
        <cfvo type="max"/>
        <color rgb="FF008AEF"/>
      </dataBar>
      <extLst>
        <ext xmlns:x14="http://schemas.microsoft.com/office/spreadsheetml/2009/9/main" uri="{B025F937-C7B1-47D3-B67F-A62EFF666E3E}">
          <x14:id>{2539EE32-C57A-4208-9729-9B3C5D1645B1}</x14:id>
        </ext>
      </extLst>
    </cfRule>
  </conditionalFormatting>
  <hyperlinks>
    <hyperlink ref="A1" location="'Measure-Level Adjustments'!Print_Titles" display="Measure Level Tab" xr:uid="{26366045-A67E-4886-BADB-63D63EB6486E}"/>
  </hyperlinks>
  <pageMargins left="0.7" right="0.7" top="0.75" bottom="0.75" header="0.3" footer="0.3"/>
  <pageSetup scale="41" orientation="landscape" horizontalDpi="90" verticalDpi="90" r:id="rId1"/>
  <extLst>
    <ext xmlns:x14="http://schemas.microsoft.com/office/spreadsheetml/2009/9/main" uri="{78C0D931-6437-407d-A8EE-F0AAD7539E65}">
      <x14:conditionalFormattings>
        <x14:conditionalFormatting xmlns:xm="http://schemas.microsoft.com/office/excel/2006/main">
          <x14:cfRule type="dataBar" id="{2539EE32-C57A-4208-9729-9B3C5D1645B1}">
            <x14:dataBar minLength="0" maxLength="100" border="1" negativeBarBorderColorSameAsPositive="0">
              <x14:cfvo type="autoMin"/>
              <x14:cfvo type="autoMax"/>
              <x14:borderColor rgb="FF008AEF"/>
              <x14:negativeFillColor rgb="FFFF0000"/>
              <x14:negativeBorderColor rgb="FFFF0000"/>
              <x14:axisColor rgb="FF000000"/>
            </x14:dataBar>
          </x14:cfRule>
          <xm:sqref>E12:E44</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2D27F-617C-4D83-9AEF-B5BFD7ABF593}">
  <dimension ref="A1:DZ15"/>
  <sheetViews>
    <sheetView workbookViewId="0">
      <pane xSplit="1" ySplit="1" topLeftCell="P2" activePane="bottomRight" state="frozen"/>
      <selection pane="topRight" activeCell="B1" sqref="B1"/>
      <selection pane="bottomLeft" activeCell="A2" sqref="A2"/>
      <selection pane="bottomRight" activeCell="W18" sqref="W18"/>
    </sheetView>
  </sheetViews>
  <sheetFormatPr defaultRowHeight="14.5" x14ac:dyDescent="0.35"/>
  <cols>
    <col min="35" max="35" width="15.54296875" customWidth="1"/>
    <col min="36" max="36" width="14.1796875" bestFit="1" customWidth="1"/>
    <col min="37" max="37" width="14.26953125" bestFit="1" customWidth="1"/>
    <col min="38" max="38" width="15.26953125" bestFit="1" customWidth="1"/>
    <col min="39" max="39" width="16" bestFit="1" customWidth="1"/>
    <col min="42" max="42" width="11.81640625" customWidth="1"/>
    <col min="44" max="44" width="16.7265625" bestFit="1" customWidth="1"/>
    <col min="45" max="45" width="13.54296875" bestFit="1" customWidth="1"/>
    <col min="48" max="48" width="11.54296875" bestFit="1" customWidth="1"/>
    <col min="49" max="49" width="9.26953125" bestFit="1" customWidth="1"/>
    <col min="50" max="50" width="14.7265625" bestFit="1" customWidth="1"/>
    <col min="51" max="51" width="12.81640625" bestFit="1" customWidth="1"/>
    <col min="56" max="56" width="15.26953125" customWidth="1"/>
    <col min="57" max="57" width="13.26953125" bestFit="1" customWidth="1"/>
    <col min="62" max="62" width="17.26953125" bestFit="1" customWidth="1"/>
    <col min="63" max="63" width="13.81640625" bestFit="1" customWidth="1"/>
    <col min="64" max="64" width="18.453125" bestFit="1" customWidth="1"/>
    <col min="76" max="76" width="18.7265625" customWidth="1"/>
    <col min="77" max="77" width="14.7265625" bestFit="1" customWidth="1"/>
    <col min="78" max="78" width="14.26953125" bestFit="1" customWidth="1"/>
    <col min="79" max="79" width="15.1796875" bestFit="1" customWidth="1"/>
    <col min="80" max="80" width="15.26953125" bestFit="1" customWidth="1"/>
    <col min="85" max="85" width="18.453125" bestFit="1" customWidth="1"/>
    <col min="86" max="86" width="18.26953125" bestFit="1" customWidth="1"/>
    <col min="87" max="87" width="18.453125" bestFit="1" customWidth="1"/>
    <col min="88" max="88" width="19" bestFit="1" customWidth="1"/>
    <col min="89" max="89" width="14.54296875" bestFit="1" customWidth="1"/>
    <col min="97" max="97" width="28.26953125" customWidth="1"/>
    <col min="98" max="98" width="28.1796875" bestFit="1" customWidth="1"/>
  </cols>
  <sheetData>
    <row r="1" spans="1:130" x14ac:dyDescent="0.35">
      <c r="A1" s="1799" t="s">
        <v>1031</v>
      </c>
    </row>
    <row r="3" spans="1:130" x14ac:dyDescent="0.35">
      <c r="A3">
        <v>1</v>
      </c>
      <c r="B3">
        <v>2</v>
      </c>
      <c r="C3">
        <v>3</v>
      </c>
      <c r="D3">
        <v>4</v>
      </c>
      <c r="E3">
        <v>5</v>
      </c>
      <c r="F3">
        <v>6</v>
      </c>
      <c r="G3">
        <v>7</v>
      </c>
      <c r="H3">
        <v>8</v>
      </c>
      <c r="I3">
        <v>9</v>
      </c>
      <c r="J3">
        <v>10</v>
      </c>
      <c r="K3">
        <v>11</v>
      </c>
      <c r="L3">
        <v>12</v>
      </c>
      <c r="M3">
        <v>13</v>
      </c>
      <c r="N3">
        <v>14</v>
      </c>
      <c r="O3">
        <v>15</v>
      </c>
      <c r="P3">
        <v>16</v>
      </c>
      <c r="Q3">
        <v>17</v>
      </c>
      <c r="R3">
        <v>18</v>
      </c>
      <c r="S3">
        <v>19</v>
      </c>
      <c r="T3">
        <v>20</v>
      </c>
      <c r="U3">
        <v>21</v>
      </c>
      <c r="V3">
        <v>22</v>
      </c>
      <c r="W3">
        <v>23</v>
      </c>
      <c r="X3">
        <v>24</v>
      </c>
      <c r="Y3">
        <v>25</v>
      </c>
      <c r="Z3">
        <v>26</v>
      </c>
      <c r="AA3">
        <v>1</v>
      </c>
      <c r="AB3">
        <v>2</v>
      </c>
      <c r="AC3">
        <v>3</v>
      </c>
      <c r="AD3">
        <v>4</v>
      </c>
      <c r="AE3">
        <v>5</v>
      </c>
      <c r="AF3">
        <v>6</v>
      </c>
      <c r="AG3">
        <v>7</v>
      </c>
      <c r="AH3">
        <v>8</v>
      </c>
      <c r="AI3">
        <v>9</v>
      </c>
      <c r="AJ3">
        <v>10</v>
      </c>
      <c r="AK3">
        <v>11</v>
      </c>
      <c r="AL3">
        <v>12</v>
      </c>
      <c r="AM3">
        <v>13</v>
      </c>
      <c r="AN3">
        <v>14</v>
      </c>
      <c r="AO3">
        <v>15</v>
      </c>
      <c r="AP3">
        <v>16</v>
      </c>
      <c r="AQ3">
        <v>17</v>
      </c>
      <c r="AR3">
        <v>18</v>
      </c>
      <c r="AS3">
        <v>19</v>
      </c>
      <c r="AT3">
        <v>20</v>
      </c>
      <c r="AU3">
        <v>21</v>
      </c>
      <c r="AV3">
        <v>22</v>
      </c>
      <c r="AW3">
        <v>23</v>
      </c>
      <c r="AX3">
        <v>24</v>
      </c>
      <c r="AY3">
        <v>25</v>
      </c>
      <c r="AZ3">
        <v>26</v>
      </c>
      <c r="BA3">
        <v>1</v>
      </c>
      <c r="BB3">
        <v>2</v>
      </c>
      <c r="BC3">
        <v>3</v>
      </c>
      <c r="BD3">
        <v>4</v>
      </c>
      <c r="BE3">
        <v>5</v>
      </c>
      <c r="BF3">
        <v>6</v>
      </c>
      <c r="BG3">
        <v>7</v>
      </c>
      <c r="BH3">
        <v>8</v>
      </c>
      <c r="BI3">
        <v>9</v>
      </c>
      <c r="BJ3">
        <v>10</v>
      </c>
      <c r="BK3">
        <v>11</v>
      </c>
      <c r="BL3">
        <v>12</v>
      </c>
      <c r="BM3">
        <v>13</v>
      </c>
      <c r="BN3">
        <v>14</v>
      </c>
      <c r="BO3">
        <v>15</v>
      </c>
      <c r="BP3">
        <v>16</v>
      </c>
      <c r="BQ3">
        <v>17</v>
      </c>
      <c r="BR3">
        <v>18</v>
      </c>
      <c r="BS3">
        <v>19</v>
      </c>
      <c r="BT3">
        <v>20</v>
      </c>
      <c r="BU3">
        <v>21</v>
      </c>
      <c r="BV3">
        <v>22</v>
      </c>
      <c r="BW3">
        <v>23</v>
      </c>
      <c r="BX3">
        <v>24</v>
      </c>
      <c r="BY3">
        <v>25</v>
      </c>
      <c r="BZ3">
        <v>26</v>
      </c>
      <c r="CA3">
        <v>1</v>
      </c>
      <c r="CB3">
        <v>2</v>
      </c>
      <c r="CC3">
        <v>3</v>
      </c>
      <c r="CD3">
        <v>4</v>
      </c>
      <c r="CE3">
        <v>5</v>
      </c>
      <c r="CF3">
        <v>6</v>
      </c>
      <c r="CG3">
        <v>7</v>
      </c>
      <c r="CH3">
        <v>8</v>
      </c>
      <c r="CI3">
        <v>9</v>
      </c>
      <c r="CJ3">
        <v>10</v>
      </c>
      <c r="CK3">
        <v>11</v>
      </c>
      <c r="CL3">
        <v>12</v>
      </c>
      <c r="CM3">
        <v>13</v>
      </c>
      <c r="CN3">
        <v>14</v>
      </c>
      <c r="CO3">
        <v>15</v>
      </c>
      <c r="CP3">
        <v>16</v>
      </c>
      <c r="CQ3">
        <v>17</v>
      </c>
      <c r="CR3">
        <v>18</v>
      </c>
      <c r="CS3">
        <v>19</v>
      </c>
      <c r="CT3">
        <v>20</v>
      </c>
      <c r="CU3">
        <v>21</v>
      </c>
      <c r="CV3">
        <v>22</v>
      </c>
      <c r="CW3">
        <v>23</v>
      </c>
      <c r="CX3">
        <v>24</v>
      </c>
      <c r="CY3">
        <v>25</v>
      </c>
      <c r="CZ3">
        <v>26</v>
      </c>
      <c r="DA3">
        <v>1</v>
      </c>
      <c r="DB3">
        <v>2</v>
      </c>
      <c r="DC3">
        <v>3</v>
      </c>
      <c r="DD3">
        <v>4</v>
      </c>
      <c r="DE3">
        <v>5</v>
      </c>
      <c r="DF3">
        <v>6</v>
      </c>
      <c r="DG3">
        <v>7</v>
      </c>
      <c r="DH3">
        <v>8</v>
      </c>
    </row>
    <row r="5" spans="1:130" x14ac:dyDescent="0.35">
      <c r="AA5" t="s">
        <v>5123</v>
      </c>
      <c r="AB5" t="s">
        <v>5123</v>
      </c>
      <c r="AC5" t="s">
        <v>5123</v>
      </c>
      <c r="AD5" t="s">
        <v>5123</v>
      </c>
      <c r="AE5" t="s">
        <v>5123</v>
      </c>
      <c r="AF5" t="s">
        <v>5123</v>
      </c>
      <c r="AG5" t="s">
        <v>5123</v>
      </c>
      <c r="AH5" t="s">
        <v>5123</v>
      </c>
      <c r="AI5" t="s">
        <v>5123</v>
      </c>
      <c r="AJ5" t="s">
        <v>5123</v>
      </c>
      <c r="AK5" t="s">
        <v>5123</v>
      </c>
      <c r="AL5" t="s">
        <v>5123</v>
      </c>
      <c r="AM5" t="s">
        <v>5123</v>
      </c>
      <c r="AN5" t="s">
        <v>5123</v>
      </c>
      <c r="AO5" t="s">
        <v>5123</v>
      </c>
      <c r="AP5" t="s">
        <v>5123</v>
      </c>
      <c r="AQ5" t="s">
        <v>5123</v>
      </c>
      <c r="AR5" t="s">
        <v>5123</v>
      </c>
      <c r="AS5" t="s">
        <v>5123</v>
      </c>
      <c r="AT5" t="s">
        <v>5123</v>
      </c>
      <c r="AU5" t="s">
        <v>5123</v>
      </c>
      <c r="AV5" t="s">
        <v>5123</v>
      </c>
      <c r="AW5" t="s">
        <v>5123</v>
      </c>
      <c r="AX5" t="s">
        <v>5123</v>
      </c>
      <c r="AY5" t="s">
        <v>5123</v>
      </c>
      <c r="AZ5" t="s">
        <v>5123</v>
      </c>
      <c r="BA5" t="s">
        <v>5124</v>
      </c>
      <c r="BB5" t="s">
        <v>5124</v>
      </c>
      <c r="BC5" t="s">
        <v>5124</v>
      </c>
      <c r="BD5" t="s">
        <v>5124</v>
      </c>
      <c r="BE5" t="s">
        <v>5124</v>
      </c>
      <c r="BF5" t="s">
        <v>5124</v>
      </c>
      <c r="BG5" t="s">
        <v>5124</v>
      </c>
      <c r="BH5" t="s">
        <v>5124</v>
      </c>
      <c r="BI5" t="s">
        <v>5124</v>
      </c>
      <c r="BJ5" t="s">
        <v>5124</v>
      </c>
      <c r="BK5" t="s">
        <v>5124</v>
      </c>
      <c r="BL5" t="s">
        <v>5124</v>
      </c>
      <c r="BM5" t="s">
        <v>5124</v>
      </c>
      <c r="BN5" t="s">
        <v>5124</v>
      </c>
      <c r="BO5" t="s">
        <v>5124</v>
      </c>
      <c r="BP5" t="s">
        <v>5124</v>
      </c>
      <c r="BQ5" t="s">
        <v>5124</v>
      </c>
      <c r="BR5" t="s">
        <v>5124</v>
      </c>
      <c r="BS5" t="s">
        <v>5124</v>
      </c>
      <c r="BT5" t="s">
        <v>5124</v>
      </c>
      <c r="BU5" t="s">
        <v>5124</v>
      </c>
      <c r="BV5" t="s">
        <v>5124</v>
      </c>
      <c r="BW5" t="s">
        <v>5124</v>
      </c>
      <c r="BX5" t="s">
        <v>5124</v>
      </c>
      <c r="BY5" t="s">
        <v>5124</v>
      </c>
      <c r="BZ5" t="s">
        <v>5124</v>
      </c>
      <c r="CA5" t="s">
        <v>5125</v>
      </c>
      <c r="CB5" t="s">
        <v>5125</v>
      </c>
      <c r="CC5" t="s">
        <v>5125</v>
      </c>
      <c r="CD5" t="s">
        <v>5125</v>
      </c>
      <c r="CE5" t="s">
        <v>5125</v>
      </c>
      <c r="CF5" t="s">
        <v>5125</v>
      </c>
      <c r="CG5" t="s">
        <v>5125</v>
      </c>
      <c r="CH5" t="s">
        <v>5125</v>
      </c>
      <c r="CI5" t="s">
        <v>5125</v>
      </c>
      <c r="CJ5" t="s">
        <v>5125</v>
      </c>
      <c r="CK5" t="s">
        <v>5125</v>
      </c>
      <c r="CL5" t="s">
        <v>5125</v>
      </c>
      <c r="CM5" t="s">
        <v>5125</v>
      </c>
      <c r="CN5" t="s">
        <v>5125</v>
      </c>
      <c r="CO5" t="s">
        <v>5125</v>
      </c>
      <c r="CP5" t="s">
        <v>5125</v>
      </c>
      <c r="CQ5" t="s">
        <v>5125</v>
      </c>
      <c r="CR5" t="s">
        <v>5125</v>
      </c>
      <c r="CS5" t="s">
        <v>5125</v>
      </c>
      <c r="CT5" t="s">
        <v>5125</v>
      </c>
      <c r="CU5" t="s">
        <v>5125</v>
      </c>
      <c r="CV5" t="s">
        <v>5125</v>
      </c>
      <c r="CW5" t="s">
        <v>5125</v>
      </c>
      <c r="CX5" t="s">
        <v>5125</v>
      </c>
      <c r="CY5" t="s">
        <v>5125</v>
      </c>
      <c r="CZ5" t="s">
        <v>5125</v>
      </c>
      <c r="DA5" t="s">
        <v>5126</v>
      </c>
      <c r="DB5" t="s">
        <v>5126</v>
      </c>
      <c r="DC5" t="s">
        <v>5126</v>
      </c>
      <c r="DD5" t="s">
        <v>5126</v>
      </c>
      <c r="DE5" t="s">
        <v>5126</v>
      </c>
      <c r="DF5" t="s">
        <v>5126</v>
      </c>
      <c r="DG5" t="s">
        <v>5126</v>
      </c>
      <c r="DH5" t="s">
        <v>5126</v>
      </c>
      <c r="DI5" t="s">
        <v>5127</v>
      </c>
      <c r="DJ5" t="s">
        <v>5128</v>
      </c>
      <c r="DK5" t="s">
        <v>5129</v>
      </c>
      <c r="DL5" t="s">
        <v>5130</v>
      </c>
      <c r="DM5" t="s">
        <v>5131</v>
      </c>
      <c r="DN5" t="s">
        <v>5132</v>
      </c>
      <c r="DO5" t="s">
        <v>5133</v>
      </c>
      <c r="DP5" t="s">
        <v>5134</v>
      </c>
      <c r="DQ5" t="s">
        <v>5135</v>
      </c>
      <c r="DR5" t="s">
        <v>5136</v>
      </c>
      <c r="DS5" t="s">
        <v>5137</v>
      </c>
      <c r="DT5" t="s">
        <v>5138</v>
      </c>
      <c r="DU5" t="s">
        <v>5139</v>
      </c>
      <c r="DV5" t="s">
        <v>5140</v>
      </c>
      <c r="DW5" t="s">
        <v>5141</v>
      </c>
      <c r="DX5" t="s">
        <v>5142</v>
      </c>
      <c r="DY5" t="s">
        <v>5143</v>
      </c>
      <c r="DZ5" t="s">
        <v>5144</v>
      </c>
    </row>
    <row r="6" spans="1:130" x14ac:dyDescent="0.35">
      <c r="A6" t="str">
        <f>CHAR(A3+96)</f>
        <v>a</v>
      </c>
      <c r="B6" t="str">
        <f t="shared" ref="B6:BQ6" si="0">CHAR(B3+96)</f>
        <v>b</v>
      </c>
      <c r="C6" t="str">
        <f t="shared" si="0"/>
        <v>c</v>
      </c>
      <c r="D6" t="str">
        <f t="shared" si="0"/>
        <v>d</v>
      </c>
      <c r="E6" t="str">
        <f t="shared" si="0"/>
        <v>e</v>
      </c>
      <c r="F6" t="str">
        <f t="shared" si="0"/>
        <v>f</v>
      </c>
      <c r="G6" t="str">
        <f t="shared" si="0"/>
        <v>g</v>
      </c>
      <c r="H6" t="str">
        <f t="shared" si="0"/>
        <v>h</v>
      </c>
      <c r="I6" t="str">
        <f t="shared" si="0"/>
        <v>i</v>
      </c>
      <c r="J6" t="str">
        <f t="shared" si="0"/>
        <v>j</v>
      </c>
      <c r="K6" t="str">
        <f t="shared" si="0"/>
        <v>k</v>
      </c>
      <c r="L6" t="str">
        <f t="shared" si="0"/>
        <v>l</v>
      </c>
      <c r="M6" t="str">
        <f t="shared" si="0"/>
        <v>m</v>
      </c>
      <c r="N6" t="str">
        <f t="shared" si="0"/>
        <v>n</v>
      </c>
      <c r="O6" t="str">
        <f t="shared" si="0"/>
        <v>o</v>
      </c>
      <c r="P6" t="str">
        <f t="shared" si="0"/>
        <v>p</v>
      </c>
      <c r="Q6" t="str">
        <f t="shared" si="0"/>
        <v>q</v>
      </c>
      <c r="R6" t="str">
        <f t="shared" si="0"/>
        <v>r</v>
      </c>
      <c r="S6" t="str">
        <f t="shared" si="0"/>
        <v>s</v>
      </c>
      <c r="T6" t="str">
        <f t="shared" si="0"/>
        <v>t</v>
      </c>
      <c r="U6" t="str">
        <f t="shared" si="0"/>
        <v>u</v>
      </c>
      <c r="V6" t="str">
        <f t="shared" si="0"/>
        <v>v</v>
      </c>
      <c r="W6" t="str">
        <f t="shared" si="0"/>
        <v>w</v>
      </c>
      <c r="X6" t="str">
        <f t="shared" si="0"/>
        <v>x</v>
      </c>
      <c r="Y6" t="str">
        <f t="shared" si="0"/>
        <v>y</v>
      </c>
      <c r="Z6" t="str">
        <f t="shared" si="0"/>
        <v>z</v>
      </c>
      <c r="AA6" t="str">
        <f t="shared" si="0"/>
        <v>a</v>
      </c>
      <c r="AB6" t="str">
        <f t="shared" si="0"/>
        <v>b</v>
      </c>
      <c r="AC6" t="str">
        <f t="shared" si="0"/>
        <v>c</v>
      </c>
      <c r="AD6" t="str">
        <f t="shared" si="0"/>
        <v>d</v>
      </c>
      <c r="AE6" t="str">
        <f t="shared" si="0"/>
        <v>e</v>
      </c>
      <c r="AF6" t="str">
        <f t="shared" si="0"/>
        <v>f</v>
      </c>
      <c r="AG6" t="str">
        <f t="shared" si="0"/>
        <v>g</v>
      </c>
      <c r="AH6" t="str">
        <f t="shared" si="0"/>
        <v>h</v>
      </c>
      <c r="AI6" t="str">
        <f t="shared" si="0"/>
        <v>i</v>
      </c>
      <c r="AJ6" t="str">
        <f t="shared" si="0"/>
        <v>j</v>
      </c>
      <c r="AK6" t="str">
        <f t="shared" si="0"/>
        <v>k</v>
      </c>
      <c r="AL6" t="str">
        <f t="shared" si="0"/>
        <v>l</v>
      </c>
      <c r="AM6" t="str">
        <f t="shared" si="0"/>
        <v>m</v>
      </c>
      <c r="AN6" t="str">
        <f t="shared" si="0"/>
        <v>n</v>
      </c>
      <c r="AO6" t="str">
        <f t="shared" si="0"/>
        <v>o</v>
      </c>
      <c r="AP6" t="str">
        <f t="shared" si="0"/>
        <v>p</v>
      </c>
      <c r="AQ6" t="str">
        <f t="shared" si="0"/>
        <v>q</v>
      </c>
      <c r="AR6" t="str">
        <f t="shared" si="0"/>
        <v>r</v>
      </c>
      <c r="AS6" t="str">
        <f t="shared" si="0"/>
        <v>s</v>
      </c>
      <c r="AT6" t="str">
        <f t="shared" si="0"/>
        <v>t</v>
      </c>
      <c r="AU6" t="str">
        <f t="shared" si="0"/>
        <v>u</v>
      </c>
      <c r="AV6" t="str">
        <f t="shared" si="0"/>
        <v>v</v>
      </c>
      <c r="AW6" t="str">
        <f t="shared" si="0"/>
        <v>w</v>
      </c>
      <c r="AX6" t="str">
        <f t="shared" si="0"/>
        <v>x</v>
      </c>
      <c r="AY6" t="str">
        <f t="shared" si="0"/>
        <v>y</v>
      </c>
      <c r="AZ6" t="str">
        <f t="shared" si="0"/>
        <v>z</v>
      </c>
      <c r="BA6" t="str">
        <f t="shared" si="0"/>
        <v>a</v>
      </c>
      <c r="BB6" t="str">
        <f t="shared" si="0"/>
        <v>b</v>
      </c>
      <c r="BC6" t="str">
        <f t="shared" si="0"/>
        <v>c</v>
      </c>
      <c r="BD6" t="str">
        <f t="shared" si="0"/>
        <v>d</v>
      </c>
      <c r="BE6" t="str">
        <f t="shared" si="0"/>
        <v>e</v>
      </c>
      <c r="BF6" t="str">
        <f t="shared" si="0"/>
        <v>f</v>
      </c>
      <c r="BG6" t="str">
        <f t="shared" si="0"/>
        <v>g</v>
      </c>
      <c r="BH6" t="str">
        <f t="shared" si="0"/>
        <v>h</v>
      </c>
      <c r="BI6" t="str">
        <f t="shared" si="0"/>
        <v>i</v>
      </c>
      <c r="BJ6" t="str">
        <f t="shared" si="0"/>
        <v>j</v>
      </c>
      <c r="BK6" t="str">
        <f t="shared" si="0"/>
        <v>k</v>
      </c>
      <c r="BL6" t="str">
        <f t="shared" si="0"/>
        <v>l</v>
      </c>
      <c r="BM6" t="str">
        <f t="shared" si="0"/>
        <v>m</v>
      </c>
      <c r="BN6" t="str">
        <f t="shared" si="0"/>
        <v>n</v>
      </c>
      <c r="BO6" t="str">
        <f t="shared" si="0"/>
        <v>o</v>
      </c>
      <c r="BP6" t="str">
        <f t="shared" si="0"/>
        <v>p</v>
      </c>
      <c r="BQ6" t="str">
        <f t="shared" si="0"/>
        <v>q</v>
      </c>
      <c r="BR6" t="str">
        <f t="shared" ref="BR6:DH6" si="1">CHAR(BR3+96)</f>
        <v>r</v>
      </c>
      <c r="BS6" t="str">
        <f t="shared" si="1"/>
        <v>s</v>
      </c>
      <c r="BT6" t="str">
        <f t="shared" si="1"/>
        <v>t</v>
      </c>
      <c r="BU6" t="str">
        <f t="shared" si="1"/>
        <v>u</v>
      </c>
      <c r="BV6" t="str">
        <f t="shared" si="1"/>
        <v>v</v>
      </c>
      <c r="BW6" t="str">
        <f t="shared" si="1"/>
        <v>w</v>
      </c>
      <c r="BX6" t="str">
        <f t="shared" si="1"/>
        <v>x</v>
      </c>
      <c r="BY6" t="str">
        <f t="shared" si="1"/>
        <v>y</v>
      </c>
      <c r="BZ6" t="str">
        <f t="shared" si="1"/>
        <v>z</v>
      </c>
      <c r="CA6" t="str">
        <f t="shared" si="1"/>
        <v>a</v>
      </c>
      <c r="CB6" t="str">
        <f t="shared" si="1"/>
        <v>b</v>
      </c>
      <c r="CC6" t="str">
        <f t="shared" si="1"/>
        <v>c</v>
      </c>
      <c r="CD6" t="str">
        <f t="shared" si="1"/>
        <v>d</v>
      </c>
      <c r="CE6" t="str">
        <f t="shared" si="1"/>
        <v>e</v>
      </c>
      <c r="CF6" t="str">
        <f t="shared" si="1"/>
        <v>f</v>
      </c>
      <c r="CG6" t="str">
        <f t="shared" si="1"/>
        <v>g</v>
      </c>
      <c r="CH6" t="str">
        <f t="shared" si="1"/>
        <v>h</v>
      </c>
      <c r="CI6" t="str">
        <f t="shared" si="1"/>
        <v>i</v>
      </c>
      <c r="CJ6" t="str">
        <f t="shared" si="1"/>
        <v>j</v>
      </c>
      <c r="CK6" t="str">
        <f t="shared" si="1"/>
        <v>k</v>
      </c>
      <c r="CL6" t="str">
        <f t="shared" si="1"/>
        <v>l</v>
      </c>
      <c r="CM6" t="str">
        <f t="shared" si="1"/>
        <v>m</v>
      </c>
      <c r="CN6" t="str">
        <f t="shared" si="1"/>
        <v>n</v>
      </c>
      <c r="CO6" t="str">
        <f t="shared" si="1"/>
        <v>o</v>
      </c>
      <c r="CP6" t="str">
        <f t="shared" si="1"/>
        <v>p</v>
      </c>
      <c r="CQ6" t="str">
        <f t="shared" si="1"/>
        <v>q</v>
      </c>
      <c r="CR6" t="str">
        <f t="shared" si="1"/>
        <v>r</v>
      </c>
      <c r="CS6" t="str">
        <f t="shared" si="1"/>
        <v>s</v>
      </c>
      <c r="CT6" t="str">
        <f t="shared" si="1"/>
        <v>t</v>
      </c>
      <c r="CU6" t="str">
        <f t="shared" si="1"/>
        <v>u</v>
      </c>
      <c r="CV6" t="str">
        <f t="shared" si="1"/>
        <v>v</v>
      </c>
      <c r="CW6" t="str">
        <f t="shared" si="1"/>
        <v>w</v>
      </c>
      <c r="CX6" t="str">
        <f t="shared" si="1"/>
        <v>x</v>
      </c>
      <c r="CY6" t="str">
        <f t="shared" si="1"/>
        <v>y</v>
      </c>
      <c r="CZ6" t="str">
        <f t="shared" si="1"/>
        <v>z</v>
      </c>
      <c r="DA6" t="str">
        <f t="shared" si="1"/>
        <v>a</v>
      </c>
      <c r="DB6" t="str">
        <f t="shared" si="1"/>
        <v>b</v>
      </c>
      <c r="DC6" t="str">
        <f t="shared" si="1"/>
        <v>c</v>
      </c>
      <c r="DD6" t="str">
        <f t="shared" si="1"/>
        <v>d</v>
      </c>
      <c r="DE6" t="str">
        <f t="shared" si="1"/>
        <v>e</v>
      </c>
      <c r="DF6" t="str">
        <f t="shared" si="1"/>
        <v>f</v>
      </c>
      <c r="DG6" t="str">
        <f t="shared" si="1"/>
        <v>g</v>
      </c>
      <c r="DH6" t="str">
        <f t="shared" si="1"/>
        <v>h</v>
      </c>
    </row>
    <row r="8" spans="1:130" x14ac:dyDescent="0.35">
      <c r="A8" t="s">
        <v>5123</v>
      </c>
      <c r="B8" t="s">
        <v>5124</v>
      </c>
      <c r="C8" t="s">
        <v>5125</v>
      </c>
      <c r="D8" t="s">
        <v>5126</v>
      </c>
      <c r="E8" t="s">
        <v>5145</v>
      </c>
      <c r="F8" t="s">
        <v>5146</v>
      </c>
      <c r="G8" t="s">
        <v>5147</v>
      </c>
      <c r="H8" t="s">
        <v>5148</v>
      </c>
      <c r="I8" t="s">
        <v>5127</v>
      </c>
      <c r="J8" t="s">
        <v>5128</v>
      </c>
      <c r="K8" t="s">
        <v>5129</v>
      </c>
      <c r="L8" t="s">
        <v>5130</v>
      </c>
      <c r="M8" t="s">
        <v>5131</v>
      </c>
      <c r="N8" t="s">
        <v>5132</v>
      </c>
      <c r="O8" t="s">
        <v>5133</v>
      </c>
      <c r="P8" t="s">
        <v>5134</v>
      </c>
      <c r="Q8" t="s">
        <v>5135</v>
      </c>
      <c r="R8" t="s">
        <v>5136</v>
      </c>
      <c r="S8" t="s">
        <v>5137</v>
      </c>
      <c r="T8" t="s">
        <v>5138</v>
      </c>
      <c r="U8" t="s">
        <v>5139</v>
      </c>
      <c r="V8" t="s">
        <v>5140</v>
      </c>
      <c r="W8" t="s">
        <v>5141</v>
      </c>
      <c r="X8" t="s">
        <v>5142</v>
      </c>
      <c r="Y8" t="s">
        <v>5143</v>
      </c>
      <c r="Z8" t="s">
        <v>5144</v>
      </c>
      <c r="AA8" t="s">
        <v>5123</v>
      </c>
      <c r="AB8" t="s">
        <v>5124</v>
      </c>
      <c r="AC8" t="s">
        <v>5125</v>
      </c>
      <c r="AD8" t="s">
        <v>5126</v>
      </c>
      <c r="AE8" t="s">
        <v>5145</v>
      </c>
      <c r="AF8" t="s">
        <v>5146</v>
      </c>
      <c r="AG8" t="s">
        <v>5147</v>
      </c>
      <c r="AH8" t="s">
        <v>5148</v>
      </c>
      <c r="AI8" t="s">
        <v>5127</v>
      </c>
      <c r="AJ8" t="s">
        <v>5128</v>
      </c>
      <c r="AK8" t="s">
        <v>5129</v>
      </c>
      <c r="AL8" t="s">
        <v>5130</v>
      </c>
      <c r="AM8" t="s">
        <v>5131</v>
      </c>
      <c r="AN8" t="s">
        <v>5132</v>
      </c>
      <c r="AO8" t="s">
        <v>5133</v>
      </c>
      <c r="AP8" t="s">
        <v>5134</v>
      </c>
      <c r="AQ8" t="s">
        <v>5135</v>
      </c>
      <c r="AR8" t="s">
        <v>5136</v>
      </c>
      <c r="AS8" t="s">
        <v>5137</v>
      </c>
      <c r="AT8" t="s">
        <v>5138</v>
      </c>
      <c r="AU8" t="s">
        <v>5139</v>
      </c>
      <c r="AV8" t="s">
        <v>5140</v>
      </c>
      <c r="AW8" t="s">
        <v>5141</v>
      </c>
      <c r="AX8" t="s">
        <v>5142</v>
      </c>
      <c r="AY8" t="s">
        <v>5143</v>
      </c>
      <c r="AZ8" t="s">
        <v>5144</v>
      </c>
      <c r="BA8" t="s">
        <v>5123</v>
      </c>
      <c r="BB8" t="s">
        <v>5124</v>
      </c>
      <c r="BC8" t="s">
        <v>5125</v>
      </c>
      <c r="BD8" t="s">
        <v>5126</v>
      </c>
      <c r="BE8" t="s">
        <v>5145</v>
      </c>
      <c r="BF8" t="s">
        <v>5146</v>
      </c>
      <c r="BG8" t="s">
        <v>5147</v>
      </c>
      <c r="BH8" t="s">
        <v>5148</v>
      </c>
      <c r="BI8" t="s">
        <v>5127</v>
      </c>
      <c r="BJ8" t="s">
        <v>5128</v>
      </c>
      <c r="BK8" t="s">
        <v>5129</v>
      </c>
      <c r="BL8" t="s">
        <v>5130</v>
      </c>
      <c r="BM8" t="s">
        <v>5131</v>
      </c>
      <c r="BN8" t="s">
        <v>5132</v>
      </c>
      <c r="BO8" t="s">
        <v>5133</v>
      </c>
      <c r="BP8" t="s">
        <v>5134</v>
      </c>
      <c r="BQ8" t="s">
        <v>5135</v>
      </c>
      <c r="BR8" t="s">
        <v>5136</v>
      </c>
      <c r="BS8" t="s">
        <v>5137</v>
      </c>
      <c r="BT8" t="s">
        <v>5138</v>
      </c>
      <c r="BU8" t="s">
        <v>5139</v>
      </c>
      <c r="BV8" t="s">
        <v>5140</v>
      </c>
      <c r="BW8" t="s">
        <v>5141</v>
      </c>
      <c r="BX8" t="s">
        <v>5142</v>
      </c>
      <c r="BY8" t="s">
        <v>5143</v>
      </c>
      <c r="BZ8" t="s">
        <v>5144</v>
      </c>
      <c r="CA8" t="s">
        <v>5123</v>
      </c>
      <c r="CB8" t="s">
        <v>5124</v>
      </c>
      <c r="CC8" t="s">
        <v>5125</v>
      </c>
      <c r="CD8" t="s">
        <v>5126</v>
      </c>
      <c r="CE8" t="s">
        <v>5145</v>
      </c>
      <c r="CF8" t="s">
        <v>5146</v>
      </c>
      <c r="CG8" t="s">
        <v>5147</v>
      </c>
      <c r="CH8" t="s">
        <v>5148</v>
      </c>
      <c r="CI8" t="s">
        <v>5127</v>
      </c>
      <c r="CJ8" t="s">
        <v>5128</v>
      </c>
      <c r="CK8" t="s">
        <v>5129</v>
      </c>
      <c r="CL8" t="s">
        <v>5130</v>
      </c>
      <c r="CM8" t="s">
        <v>5131</v>
      </c>
      <c r="CN8" t="s">
        <v>5132</v>
      </c>
      <c r="CO8" t="s">
        <v>5133</v>
      </c>
      <c r="CP8" t="s">
        <v>5134</v>
      </c>
      <c r="CQ8" t="s">
        <v>5135</v>
      </c>
      <c r="CR8" t="s">
        <v>5136</v>
      </c>
      <c r="CS8" t="s">
        <v>5137</v>
      </c>
      <c r="CT8" t="s">
        <v>5138</v>
      </c>
      <c r="CU8" t="s">
        <v>5139</v>
      </c>
      <c r="CV8" t="s">
        <v>5140</v>
      </c>
      <c r="CW8" t="s">
        <v>5141</v>
      </c>
      <c r="CX8" t="s">
        <v>5142</v>
      </c>
      <c r="CY8" t="s">
        <v>5143</v>
      </c>
      <c r="CZ8" t="s">
        <v>5144</v>
      </c>
      <c r="DA8" t="s">
        <v>5123</v>
      </c>
      <c r="DB8" t="s">
        <v>5124</v>
      </c>
      <c r="DC8" t="s">
        <v>5125</v>
      </c>
      <c r="DD8" t="s">
        <v>5126</v>
      </c>
      <c r="DE8" t="s">
        <v>5145</v>
      </c>
      <c r="DF8" t="s">
        <v>5146</v>
      </c>
      <c r="DG8" t="s">
        <v>5147</v>
      </c>
      <c r="DH8" t="s">
        <v>5148</v>
      </c>
    </row>
    <row r="10" spans="1:130" x14ac:dyDescent="0.35">
      <c r="A10" t="str">
        <f t="shared" ref="A10:AD10" si="2">CONCATENATE("(",A5,A6,")")</f>
        <v>(a)</v>
      </c>
      <c r="B10" t="str">
        <f t="shared" si="2"/>
        <v>(b)</v>
      </c>
      <c r="C10" t="str">
        <f t="shared" si="2"/>
        <v>(c)</v>
      </c>
      <c r="D10" t="str">
        <f t="shared" si="2"/>
        <v>(d)</v>
      </c>
      <c r="E10" t="str">
        <f t="shared" si="2"/>
        <v>(e)</v>
      </c>
      <c r="F10" t="str">
        <f t="shared" si="2"/>
        <v>(f)</v>
      </c>
      <c r="G10" t="str">
        <f t="shared" si="2"/>
        <v>(g)</v>
      </c>
      <c r="H10" t="str">
        <f t="shared" si="2"/>
        <v>(h)</v>
      </c>
      <c r="I10" t="str">
        <f t="shared" si="2"/>
        <v>(i)</v>
      </c>
      <c r="J10" t="str">
        <f t="shared" si="2"/>
        <v>(j)</v>
      </c>
      <c r="K10" t="str">
        <f t="shared" si="2"/>
        <v>(k)</v>
      </c>
      <c r="L10" t="str">
        <f t="shared" si="2"/>
        <v>(l)</v>
      </c>
      <c r="M10" t="str">
        <f t="shared" si="2"/>
        <v>(m)</v>
      </c>
      <c r="N10" t="str">
        <f t="shared" si="2"/>
        <v>(n)</v>
      </c>
      <c r="O10" t="str">
        <f t="shared" si="2"/>
        <v>(o)</v>
      </c>
      <c r="P10" t="str">
        <f t="shared" si="2"/>
        <v>(p)</v>
      </c>
      <c r="Q10" t="str">
        <f t="shared" si="2"/>
        <v>(q)</v>
      </c>
      <c r="R10" t="str">
        <f t="shared" ref="R10:U10" si="3">CONCATENATE("(",R5,R6,")")</f>
        <v>(r)</v>
      </c>
      <c r="S10" t="str">
        <f t="shared" si="3"/>
        <v>(s)</v>
      </c>
      <c r="T10" t="str">
        <f t="shared" si="3"/>
        <v>(t)</v>
      </c>
      <c r="U10" t="str">
        <f t="shared" si="3"/>
        <v>(u)</v>
      </c>
      <c r="V10" t="str">
        <f t="shared" si="2"/>
        <v>(v)</v>
      </c>
      <c r="W10" t="str">
        <f t="shared" si="2"/>
        <v>(w)</v>
      </c>
      <c r="X10" t="str">
        <f t="shared" si="2"/>
        <v>(x)</v>
      </c>
      <c r="Y10" t="str">
        <f t="shared" si="2"/>
        <v>(y)</v>
      </c>
      <c r="Z10" t="str">
        <f t="shared" si="2"/>
        <v>(z)</v>
      </c>
      <c r="AA10" t="str">
        <f t="shared" si="2"/>
        <v>(aa)</v>
      </c>
      <c r="AB10" t="str">
        <f t="shared" si="2"/>
        <v>(ab)</v>
      </c>
      <c r="AC10" t="str">
        <f t="shared" si="2"/>
        <v>(ac)</v>
      </c>
      <c r="AD10" t="str">
        <f t="shared" si="2"/>
        <v>(ad)</v>
      </c>
      <c r="AE10" t="str">
        <f>CONCATENATE("(",AE5,AE6,")")</f>
        <v>(ae)</v>
      </c>
      <c r="AF10" t="str">
        <f t="shared" ref="AF10:CQ10" si="4">CONCATENATE("(",AF5,AF6,")")</f>
        <v>(af)</v>
      </c>
      <c r="AG10" t="str">
        <f t="shared" si="4"/>
        <v>(ag)</v>
      </c>
      <c r="AH10" t="str">
        <f t="shared" si="4"/>
        <v>(ah)</v>
      </c>
      <c r="AI10" t="str">
        <f t="shared" si="4"/>
        <v>(ai)</v>
      </c>
      <c r="AJ10" t="str">
        <f t="shared" si="4"/>
        <v>(aj)</v>
      </c>
      <c r="AK10" t="str">
        <f t="shared" si="4"/>
        <v>(ak)</v>
      </c>
      <c r="AL10" t="str">
        <f t="shared" si="4"/>
        <v>(al)</v>
      </c>
      <c r="AM10" t="str">
        <f t="shared" si="4"/>
        <v>(am)</v>
      </c>
      <c r="AN10" t="str">
        <f t="shared" si="4"/>
        <v>(an)</v>
      </c>
      <c r="AO10" t="str">
        <f t="shared" si="4"/>
        <v>(ao)</v>
      </c>
      <c r="AP10" t="str">
        <f t="shared" si="4"/>
        <v>(ap)</v>
      </c>
      <c r="AQ10" t="str">
        <f t="shared" si="4"/>
        <v>(aq)</v>
      </c>
      <c r="AR10" t="str">
        <f t="shared" si="4"/>
        <v>(ar)</v>
      </c>
      <c r="AS10" t="str">
        <f t="shared" si="4"/>
        <v>(as)</v>
      </c>
      <c r="AT10" t="str">
        <f t="shared" si="4"/>
        <v>(at)</v>
      </c>
      <c r="AU10" t="str">
        <f t="shared" si="4"/>
        <v>(au)</v>
      </c>
      <c r="AV10" t="str">
        <f t="shared" si="4"/>
        <v>(av)</v>
      </c>
      <c r="AW10" t="str">
        <f t="shared" si="4"/>
        <v>(aw)</v>
      </c>
      <c r="AX10" t="str">
        <f t="shared" si="4"/>
        <v>(ax)</v>
      </c>
      <c r="AY10" t="str">
        <f t="shared" si="4"/>
        <v>(ay)</v>
      </c>
      <c r="AZ10" t="str">
        <f t="shared" si="4"/>
        <v>(az)</v>
      </c>
      <c r="BA10" t="str">
        <f t="shared" si="4"/>
        <v>(ba)</v>
      </c>
      <c r="BB10" t="str">
        <f t="shared" si="4"/>
        <v>(bb)</v>
      </c>
      <c r="BC10" t="str">
        <f t="shared" si="4"/>
        <v>(bc)</v>
      </c>
      <c r="BD10" t="str">
        <f t="shared" si="4"/>
        <v>(bd)</v>
      </c>
      <c r="BE10" t="str">
        <f t="shared" si="4"/>
        <v>(be)</v>
      </c>
      <c r="BF10" t="str">
        <f t="shared" si="4"/>
        <v>(bf)</v>
      </c>
      <c r="BG10" t="str">
        <f t="shared" si="4"/>
        <v>(bg)</v>
      </c>
      <c r="BH10" t="str">
        <f t="shared" si="4"/>
        <v>(bh)</v>
      </c>
      <c r="BI10" t="str">
        <f t="shared" si="4"/>
        <v>(bi)</v>
      </c>
      <c r="BJ10" t="str">
        <f t="shared" si="4"/>
        <v>(bj)</v>
      </c>
      <c r="BK10" t="str">
        <f t="shared" si="4"/>
        <v>(bk)</v>
      </c>
      <c r="BL10" t="str">
        <f t="shared" si="4"/>
        <v>(bl)</v>
      </c>
      <c r="BM10" t="str">
        <f t="shared" si="4"/>
        <v>(bm)</v>
      </c>
      <c r="BN10" t="str">
        <f t="shared" si="4"/>
        <v>(bn)</v>
      </c>
      <c r="BO10" t="str">
        <f t="shared" si="4"/>
        <v>(bo)</v>
      </c>
      <c r="BP10" t="str">
        <f t="shared" si="4"/>
        <v>(bp)</v>
      </c>
      <c r="BQ10" t="str">
        <f t="shared" si="4"/>
        <v>(bq)</v>
      </c>
      <c r="BR10" t="str">
        <f t="shared" si="4"/>
        <v>(br)</v>
      </c>
      <c r="BS10" t="str">
        <f t="shared" si="4"/>
        <v>(bs)</v>
      </c>
      <c r="BT10" t="str">
        <f t="shared" si="4"/>
        <v>(bt)</v>
      </c>
      <c r="BU10" t="str">
        <f t="shared" si="4"/>
        <v>(bu)</v>
      </c>
      <c r="BV10" t="str">
        <f t="shared" si="4"/>
        <v>(bv)</v>
      </c>
      <c r="BW10" t="str">
        <f t="shared" si="4"/>
        <v>(bw)</v>
      </c>
      <c r="BX10" t="str">
        <f t="shared" si="4"/>
        <v>(bx)</v>
      </c>
      <c r="BY10" t="str">
        <f t="shared" si="4"/>
        <v>(by)</v>
      </c>
      <c r="BZ10" t="str">
        <f t="shared" si="4"/>
        <v>(bz)</v>
      </c>
      <c r="CA10" t="str">
        <f t="shared" si="4"/>
        <v>(ca)</v>
      </c>
      <c r="CB10" t="str">
        <f t="shared" si="4"/>
        <v>(cb)</v>
      </c>
      <c r="CC10" t="str">
        <f t="shared" si="4"/>
        <v>(cc)</v>
      </c>
      <c r="CD10" t="str">
        <f t="shared" si="4"/>
        <v>(cd)</v>
      </c>
      <c r="CE10" t="str">
        <f t="shared" si="4"/>
        <v>(ce)</v>
      </c>
      <c r="CF10" t="str">
        <f t="shared" si="4"/>
        <v>(cf)</v>
      </c>
      <c r="CG10" t="str">
        <f t="shared" si="4"/>
        <v>(cg)</v>
      </c>
      <c r="CH10" t="str">
        <f t="shared" si="4"/>
        <v>(ch)</v>
      </c>
      <c r="CI10" t="str">
        <f t="shared" si="4"/>
        <v>(ci)</v>
      </c>
      <c r="CJ10" t="str">
        <f t="shared" si="4"/>
        <v>(cj)</v>
      </c>
      <c r="CK10" t="str">
        <f t="shared" si="4"/>
        <v>(ck)</v>
      </c>
      <c r="CL10" t="str">
        <f t="shared" si="4"/>
        <v>(cl)</v>
      </c>
      <c r="CM10" t="str">
        <f t="shared" si="4"/>
        <v>(cm)</v>
      </c>
      <c r="CN10" t="str">
        <f t="shared" si="4"/>
        <v>(cn)</v>
      </c>
      <c r="CO10" t="str">
        <f t="shared" si="4"/>
        <v>(co)</v>
      </c>
      <c r="CP10" t="str">
        <f t="shared" si="4"/>
        <v>(cp)</v>
      </c>
      <c r="CQ10" t="str">
        <f t="shared" si="4"/>
        <v>(cq)</v>
      </c>
      <c r="CR10" t="str">
        <f t="shared" ref="CR10:DC10" si="5">CONCATENATE("(",CR5,CR6,")")</f>
        <v>(cr)</v>
      </c>
      <c r="CS10" t="str">
        <f t="shared" si="5"/>
        <v>(cs)</v>
      </c>
      <c r="CT10" t="str">
        <f t="shared" si="5"/>
        <v>(ct)</v>
      </c>
      <c r="CU10" t="str">
        <f t="shared" si="5"/>
        <v>(cu)</v>
      </c>
      <c r="CV10" t="str">
        <f t="shared" si="5"/>
        <v>(cv)</v>
      </c>
      <c r="CW10" t="str">
        <f t="shared" si="5"/>
        <v>(cw)</v>
      </c>
      <c r="CX10" t="str">
        <f t="shared" si="5"/>
        <v>(cx)</v>
      </c>
      <c r="CY10" t="str">
        <f t="shared" si="5"/>
        <v>(cy)</v>
      </c>
      <c r="CZ10" t="str">
        <f t="shared" si="5"/>
        <v>(cz)</v>
      </c>
      <c r="DA10" t="str">
        <f t="shared" si="5"/>
        <v>(da)</v>
      </c>
      <c r="DB10" t="str">
        <f t="shared" si="5"/>
        <v>(db)</v>
      </c>
      <c r="DC10" t="str">
        <f t="shared" si="5"/>
        <v>(dc)</v>
      </c>
      <c r="DD10" t="str">
        <f t="shared" ref="DD10:DH10" si="6">CONCATENATE("(",DD5,DD6,")")</f>
        <v>(dd)</v>
      </c>
      <c r="DE10" t="str">
        <f t="shared" si="6"/>
        <v>(de)</v>
      </c>
      <c r="DF10" t="str">
        <f t="shared" si="6"/>
        <v>(df)</v>
      </c>
      <c r="DG10" t="str">
        <f t="shared" si="6"/>
        <v>(dg)</v>
      </c>
      <c r="DH10" t="str">
        <f t="shared" si="6"/>
        <v>(dh)</v>
      </c>
    </row>
    <row r="11" spans="1:130" x14ac:dyDescent="0.35">
      <c r="A11" t="str">
        <f t="shared" ref="A11:AH11" si="7">CONCATENATE(A5,A6)</f>
        <v>a</v>
      </c>
      <c r="B11" t="str">
        <f t="shared" si="7"/>
        <v>b</v>
      </c>
      <c r="C11" t="str">
        <f t="shared" si="7"/>
        <v>c</v>
      </c>
      <c r="D11" t="str">
        <f t="shared" si="7"/>
        <v>d</v>
      </c>
      <c r="E11" t="str">
        <f t="shared" si="7"/>
        <v>e</v>
      </c>
      <c r="F11" t="str">
        <f t="shared" si="7"/>
        <v>f</v>
      </c>
      <c r="G11" t="str">
        <f t="shared" si="7"/>
        <v>g</v>
      </c>
      <c r="H11" t="str">
        <f t="shared" si="7"/>
        <v>h</v>
      </c>
      <c r="I11" t="str">
        <f t="shared" si="7"/>
        <v>i</v>
      </c>
      <c r="J11" t="str">
        <f t="shared" si="7"/>
        <v>j</v>
      </c>
      <c r="K11" t="str">
        <f t="shared" si="7"/>
        <v>k</v>
      </c>
      <c r="L11" t="str">
        <f t="shared" si="7"/>
        <v>l</v>
      </c>
      <c r="M11" t="str">
        <f t="shared" si="7"/>
        <v>m</v>
      </c>
      <c r="N11" t="str">
        <f t="shared" si="7"/>
        <v>n</v>
      </c>
      <c r="O11" t="str">
        <f t="shared" si="7"/>
        <v>o</v>
      </c>
      <c r="P11" t="str">
        <f t="shared" si="7"/>
        <v>p</v>
      </c>
      <c r="Q11" t="str">
        <f t="shared" si="7"/>
        <v>q</v>
      </c>
      <c r="R11" t="str">
        <f t="shared" ref="R11:U11" si="8">CONCATENATE(R5,R6)</f>
        <v>r</v>
      </c>
      <c r="S11" t="str">
        <f t="shared" si="8"/>
        <v>s</v>
      </c>
      <c r="T11" t="str">
        <f t="shared" si="8"/>
        <v>t</v>
      </c>
      <c r="U11" t="str">
        <f t="shared" si="8"/>
        <v>u</v>
      </c>
      <c r="V11" t="str">
        <f t="shared" si="7"/>
        <v>v</v>
      </c>
      <c r="W11" t="str">
        <f t="shared" si="7"/>
        <v>w</v>
      </c>
      <c r="X11" t="str">
        <f t="shared" si="7"/>
        <v>x</v>
      </c>
      <c r="Y11" t="str">
        <f t="shared" si="7"/>
        <v>y</v>
      </c>
      <c r="Z11" t="str">
        <f t="shared" si="7"/>
        <v>z</v>
      </c>
      <c r="AA11" t="str">
        <f t="shared" si="7"/>
        <v>aa</v>
      </c>
      <c r="AB11" t="str">
        <f t="shared" si="7"/>
        <v>ab</v>
      </c>
      <c r="AC11" t="str">
        <f t="shared" si="7"/>
        <v>ac</v>
      </c>
      <c r="AD11" t="str">
        <f t="shared" si="7"/>
        <v>ad</v>
      </c>
      <c r="AE11" t="str">
        <f t="shared" si="7"/>
        <v>ae</v>
      </c>
      <c r="AF11" t="str">
        <f t="shared" si="7"/>
        <v>af</v>
      </c>
      <c r="AG11" t="str">
        <f t="shared" si="7"/>
        <v>ag</v>
      </c>
      <c r="AH11" t="str">
        <f t="shared" si="7"/>
        <v>ah</v>
      </c>
      <c r="AI11" t="str">
        <f>CONCATENATE(AI5,AI6)</f>
        <v>ai</v>
      </c>
      <c r="AJ11" t="str">
        <f t="shared" ref="AJ11:CU11" si="9">CONCATENATE(AJ5,AJ6)</f>
        <v>aj</v>
      </c>
      <c r="AK11" t="str">
        <f t="shared" si="9"/>
        <v>ak</v>
      </c>
      <c r="AL11" t="str">
        <f t="shared" si="9"/>
        <v>al</v>
      </c>
      <c r="AM11" t="str">
        <f t="shared" si="9"/>
        <v>am</v>
      </c>
      <c r="AN11" t="str">
        <f t="shared" si="9"/>
        <v>an</v>
      </c>
      <c r="AO11" t="str">
        <f t="shared" si="9"/>
        <v>ao</v>
      </c>
      <c r="AP11" t="str">
        <f t="shared" si="9"/>
        <v>ap</v>
      </c>
      <c r="AQ11" t="str">
        <f t="shared" si="9"/>
        <v>aq</v>
      </c>
      <c r="AR11" t="str">
        <f t="shared" si="9"/>
        <v>ar</v>
      </c>
      <c r="AS11" t="str">
        <f t="shared" si="9"/>
        <v>as</v>
      </c>
      <c r="AT11" t="str">
        <f t="shared" si="9"/>
        <v>at</v>
      </c>
      <c r="AU11" t="str">
        <f t="shared" si="9"/>
        <v>au</v>
      </c>
      <c r="AV11" t="str">
        <f t="shared" si="9"/>
        <v>av</v>
      </c>
      <c r="AW11" t="str">
        <f t="shared" si="9"/>
        <v>aw</v>
      </c>
      <c r="AX11" t="str">
        <f t="shared" si="9"/>
        <v>ax</v>
      </c>
      <c r="AY11" t="str">
        <f t="shared" si="9"/>
        <v>ay</v>
      </c>
      <c r="AZ11" t="str">
        <f t="shared" si="9"/>
        <v>az</v>
      </c>
      <c r="BA11" t="str">
        <f t="shared" si="9"/>
        <v>ba</v>
      </c>
      <c r="BB11" t="str">
        <f t="shared" si="9"/>
        <v>bb</v>
      </c>
      <c r="BC11" t="str">
        <f t="shared" si="9"/>
        <v>bc</v>
      </c>
      <c r="BD11" t="str">
        <f t="shared" si="9"/>
        <v>bd</v>
      </c>
      <c r="BE11" t="str">
        <f t="shared" si="9"/>
        <v>be</v>
      </c>
      <c r="BF11" t="str">
        <f t="shared" si="9"/>
        <v>bf</v>
      </c>
      <c r="BG11" t="str">
        <f t="shared" si="9"/>
        <v>bg</v>
      </c>
      <c r="BH11" t="str">
        <f t="shared" si="9"/>
        <v>bh</v>
      </c>
      <c r="BI11" t="str">
        <f t="shared" si="9"/>
        <v>bi</v>
      </c>
      <c r="BJ11" t="str">
        <f t="shared" si="9"/>
        <v>bj</v>
      </c>
      <c r="BK11" t="str">
        <f t="shared" si="9"/>
        <v>bk</v>
      </c>
      <c r="BL11" t="str">
        <f t="shared" si="9"/>
        <v>bl</v>
      </c>
      <c r="BM11" t="str">
        <f t="shared" si="9"/>
        <v>bm</v>
      </c>
      <c r="BN11" t="str">
        <f t="shared" si="9"/>
        <v>bn</v>
      </c>
      <c r="BO11" t="str">
        <f t="shared" si="9"/>
        <v>bo</v>
      </c>
      <c r="BP11" t="str">
        <f t="shared" si="9"/>
        <v>bp</v>
      </c>
      <c r="BQ11" t="str">
        <f t="shared" si="9"/>
        <v>bq</v>
      </c>
      <c r="BR11" t="str">
        <f t="shared" si="9"/>
        <v>br</v>
      </c>
      <c r="BS11" t="str">
        <f t="shared" si="9"/>
        <v>bs</v>
      </c>
      <c r="BT11" t="str">
        <f t="shared" si="9"/>
        <v>bt</v>
      </c>
      <c r="BU11" t="str">
        <f t="shared" si="9"/>
        <v>bu</v>
      </c>
      <c r="BV11" t="str">
        <f t="shared" si="9"/>
        <v>bv</v>
      </c>
      <c r="BW11" t="str">
        <f t="shared" si="9"/>
        <v>bw</v>
      </c>
      <c r="BX11" t="str">
        <f t="shared" si="9"/>
        <v>bx</v>
      </c>
      <c r="BY11" t="str">
        <f t="shared" si="9"/>
        <v>by</v>
      </c>
      <c r="BZ11" t="str">
        <f t="shared" si="9"/>
        <v>bz</v>
      </c>
      <c r="CA11" t="str">
        <f t="shared" si="9"/>
        <v>ca</v>
      </c>
      <c r="CB11" t="str">
        <f t="shared" si="9"/>
        <v>cb</v>
      </c>
      <c r="CC11" t="str">
        <f t="shared" si="9"/>
        <v>cc</v>
      </c>
      <c r="CD11" t="str">
        <f t="shared" si="9"/>
        <v>cd</v>
      </c>
      <c r="CE11" t="str">
        <f t="shared" si="9"/>
        <v>ce</v>
      </c>
      <c r="CF11" t="str">
        <f t="shared" si="9"/>
        <v>cf</v>
      </c>
      <c r="CG11" t="str">
        <f t="shared" si="9"/>
        <v>cg</v>
      </c>
      <c r="CH11" t="str">
        <f t="shared" si="9"/>
        <v>ch</v>
      </c>
      <c r="CI11" t="str">
        <f t="shared" si="9"/>
        <v>ci</v>
      </c>
      <c r="CJ11" t="str">
        <f t="shared" si="9"/>
        <v>cj</v>
      </c>
      <c r="CK11" t="str">
        <f t="shared" si="9"/>
        <v>ck</v>
      </c>
      <c r="CL11" t="str">
        <f t="shared" si="9"/>
        <v>cl</v>
      </c>
      <c r="CM11" t="str">
        <f t="shared" si="9"/>
        <v>cm</v>
      </c>
      <c r="CN11" t="str">
        <f t="shared" si="9"/>
        <v>cn</v>
      </c>
      <c r="CO11" t="str">
        <f t="shared" si="9"/>
        <v>co</v>
      </c>
      <c r="CP11" t="str">
        <f t="shared" si="9"/>
        <v>cp</v>
      </c>
      <c r="CQ11" t="str">
        <f t="shared" si="9"/>
        <v>cq</v>
      </c>
      <c r="CR11" t="str">
        <f t="shared" si="9"/>
        <v>cr</v>
      </c>
      <c r="CS11" t="str">
        <f t="shared" si="9"/>
        <v>cs</v>
      </c>
      <c r="CT11" t="str">
        <f t="shared" si="9"/>
        <v>ct</v>
      </c>
      <c r="CU11" t="str">
        <f t="shared" si="9"/>
        <v>cu</v>
      </c>
      <c r="CV11" t="str">
        <f t="shared" ref="CV11:DC11" si="10">CONCATENATE(CV5,CV6)</f>
        <v>cv</v>
      </c>
      <c r="CW11" t="str">
        <f t="shared" si="10"/>
        <v>cw</v>
      </c>
      <c r="CX11" t="str">
        <f t="shared" si="10"/>
        <v>cx</v>
      </c>
      <c r="CY11" t="str">
        <f t="shared" si="10"/>
        <v>cy</v>
      </c>
      <c r="CZ11" t="str">
        <f t="shared" si="10"/>
        <v>cz</v>
      </c>
      <c r="DA11" t="str">
        <f t="shared" si="10"/>
        <v>da</v>
      </c>
      <c r="DB11" t="str">
        <f t="shared" si="10"/>
        <v>db</v>
      </c>
      <c r="DC11" t="str">
        <f t="shared" si="10"/>
        <v>dc</v>
      </c>
      <c r="DD11" t="str">
        <f t="shared" ref="DD11:DH11" si="11">CONCATENATE(DD5,DD6)</f>
        <v>dd</v>
      </c>
      <c r="DE11" t="str">
        <f t="shared" si="11"/>
        <v>de</v>
      </c>
      <c r="DF11" t="str">
        <f t="shared" si="11"/>
        <v>df</v>
      </c>
      <c r="DG11" t="str">
        <f t="shared" si="11"/>
        <v>dg</v>
      </c>
      <c r="DH11" t="str">
        <f t="shared" si="11"/>
        <v>dh</v>
      </c>
    </row>
    <row r="12" spans="1:130" x14ac:dyDescent="0.35">
      <c r="A12" t="e">
        <f ca="1">_xlfn.FORMULATEXT('Measure-Level Adjustments'!A9)</f>
        <v>#N/A</v>
      </c>
      <c r="B12" t="e">
        <f ca="1">_xlfn.FORMULATEXT('Measure-Level Adjustments'!B9)</f>
        <v>#N/A</v>
      </c>
      <c r="C12" t="e">
        <f ca="1">_xlfn.FORMULATEXT('Measure-Level Adjustments'!C9)</f>
        <v>#N/A</v>
      </c>
      <c r="D12" t="e">
        <f ca="1">_xlfn.FORMULATEXT('Measure-Level Adjustments'!D9)</f>
        <v>#N/A</v>
      </c>
      <c r="E12" t="e">
        <f ca="1">_xlfn.FORMULATEXT('Measure-Level Adjustments'!E9)</f>
        <v>#N/A</v>
      </c>
      <c r="F12" t="e">
        <f ca="1">_xlfn.FORMULATEXT('Measure-Level Adjustments'!F9)</f>
        <v>#N/A</v>
      </c>
      <c r="G12" t="e">
        <f ca="1">_xlfn.FORMULATEXT('Measure-Level Adjustments'!G9)</f>
        <v>#N/A</v>
      </c>
      <c r="H12" t="e">
        <f ca="1">_xlfn.FORMULATEXT('Measure-Level Adjustments'!H9)</f>
        <v>#N/A</v>
      </c>
      <c r="I12" t="e">
        <f ca="1">_xlfn.FORMULATEXT('Measure-Level Adjustments'!I9)</f>
        <v>#N/A</v>
      </c>
      <c r="J12" t="e">
        <f ca="1">_xlfn.FORMULATEXT('Measure-Level Adjustments'!J9)</f>
        <v>#N/A</v>
      </c>
      <c r="K12" t="e">
        <f ca="1">_xlfn.FORMULATEXT('Measure-Level Adjustments'!K9)</f>
        <v>#N/A</v>
      </c>
      <c r="L12" t="e">
        <f ca="1">_xlfn.FORMULATEXT('Measure-Level Adjustments'!L9)</f>
        <v>#N/A</v>
      </c>
      <c r="M12" t="str">
        <f ca="1">_xlfn.FORMULATEXT('Measure-Level Adjustments'!M9)</f>
        <v>=IF(F9&lt;&gt;"Custom",CONCATENATE($I$1,", ",$J$1," ",F9),"")</v>
      </c>
      <c r="N12" t="e">
        <f ca="1">_xlfn.FORMULATEXT('Measure-Level Adjustments'!N9)</f>
        <v>#N/A</v>
      </c>
      <c r="O12" t="e">
        <f ca="1">_xlfn.FORMULATEXT('Measure-Level Adjustments'!O9)</f>
        <v>#N/A</v>
      </c>
      <c r="P12" t="e">
        <f ca="1">_xlfn.FORMULATEXT('Measure-Level Adjustments'!P9)</f>
        <v>#N/A</v>
      </c>
      <c r="Q12" t="e">
        <f ca="1">_xlfn.FORMULATEXT('Measure-Level Adjustments'!Q9)</f>
        <v>#N/A</v>
      </c>
      <c r="R12" t="e">
        <f ca="1">_xlfn.FORMULATEXT('Measure-Level Adjustments'!R9)</f>
        <v>#N/A</v>
      </c>
      <c r="S12" t="e">
        <f ca="1">_xlfn.FORMULATEXT('Measure-Level Adjustments'!S9)</f>
        <v>#N/A</v>
      </c>
      <c r="T12" t="e">
        <f ca="1">_xlfn.FORMULATEXT('Measure-Level Adjustments'!T9)</f>
        <v>#N/A</v>
      </c>
      <c r="U12" t="e">
        <f ca="1">_xlfn.FORMULATEXT('Measure-Level Adjustments'!U9)</f>
        <v>#N/A</v>
      </c>
      <c r="V12" t="e">
        <f ca="1">_xlfn.FORMULATEXT('Measure-Level Adjustments'!V9)</f>
        <v>#N/A</v>
      </c>
      <c r="W12" t="e">
        <f ca="1">_xlfn.FORMULATEXT('Measure-Level Adjustments'!W9)</f>
        <v>#N/A</v>
      </c>
      <c r="X12" t="e">
        <f ca="1">_xlfn.FORMULATEXT('Measure-Level Adjustments'!X9)</f>
        <v>#N/A</v>
      </c>
      <c r="Y12" t="e">
        <f ca="1">_xlfn.FORMULATEXT('Measure-Level Adjustments'!Y9)</f>
        <v>#N/A</v>
      </c>
      <c r="Z12" t="str">
        <f ca="1">_xlfn.FORMULATEXT('Measure-Level Adjustments'!Z9)</f>
        <v>=IF(AA9="Custom",0,1)</v>
      </c>
      <c r="AA12" t="str">
        <f ca="1">_xlfn.FORMULATEXT('Measure-Level Adjustments'!AA9)</f>
        <v>=V9</v>
      </c>
      <c r="AB12" t="str">
        <f ca="1">_xlfn.FORMULATEXT('Measure-Level Adjustments'!AB9)</f>
        <v>=W9</v>
      </c>
      <c r="AC12" t="str">
        <f ca="1">_xlfn.FORMULATEXT('Measure-Level Adjustments'!AC9)</f>
        <v>=X9</v>
      </c>
      <c r="AD12" t="str">
        <f ca="1">_xlfn.FORMULATEXT('Measure-Level Adjustments'!AD9)</f>
        <v>=Y9</v>
      </c>
      <c r="AE12" t="str">
        <f ca="1">_xlfn.FORMULATEXT('Measure-Level Adjustments'!AE9)</f>
        <v>=V9</v>
      </c>
      <c r="AF12" t="str">
        <f ca="1">_xlfn.FORMULATEXT('Measure-Level Adjustments'!AF9)</f>
        <v>=W9</v>
      </c>
      <c r="AG12" t="str">
        <f ca="1">_xlfn.FORMULATEXT('Measure-Level Adjustments'!AG9)</f>
        <v>=X9</v>
      </c>
      <c r="AH12" t="str">
        <f ca="1">_xlfn.FORMULATEXT('Measure-Level Adjustments'!AH9)</f>
        <v>=Y9</v>
      </c>
      <c r="AI12" t="str">
        <f ca="1">_xlfn.FORMULATEXT('Measure-Level Adjustments'!AI9)</f>
        <v>=H9*N9*R9</v>
      </c>
      <c r="AJ12" t="str">
        <f ca="1">_xlfn.FORMULATEXT('Measure-Level Adjustments'!AJ9)</f>
        <v>=I9*O9*S9</v>
      </c>
      <c r="AK12" t="str">
        <f ca="1">_xlfn.FORMULATEXT('Measure-Level Adjustments'!AK9)</f>
        <v>=J9*P9*T9</v>
      </c>
      <c r="AL12" t="str">
        <f ca="1">_xlfn.FORMULATEXT('Measure-Level Adjustments'!AL9)</f>
        <v>=K9*Q9*U9</v>
      </c>
      <c r="AM12" t="str">
        <f ca="1">_xlfn.FORMULATEXT('Measure-Level Adjustments'!AM9)</f>
        <v>=SUM(AI9:AL9)</v>
      </c>
      <c r="AN12" t="str">
        <f ca="1">_xlfn.FORMULATEXT('Measure-Level Adjustments'!AN9)</f>
        <v>=L9</v>
      </c>
      <c r="AO12" t="str">
        <f ca="1">_xlfn.FORMULATEXT('Measure-Level Adjustments'!AO9)</f>
        <v>=M9</v>
      </c>
      <c r="AP12" t="str">
        <f ca="1">_xlfn.FORMULATEXT('Measure-Level Adjustments'!AP9)</f>
        <v>='4.4.2'!$O$14</v>
      </c>
      <c r="AQ12" t="e">
        <f ca="1">_xlfn.FORMULATEXT('Measure-Level Adjustments'!AQ9)</f>
        <v>#N/A</v>
      </c>
      <c r="AR12" t="str">
        <f ca="1">_xlfn.FORMULATEXT('Measure-Level Adjustments'!AR9)</f>
        <v>=H9*AP9*V9</v>
      </c>
      <c r="AS12" t="str">
        <f ca="1">_xlfn.FORMULATEXT('Measure-Level Adjustments'!AS9)</f>
        <v>=AR9-AI9</v>
      </c>
      <c r="AT12" t="str">
        <f ca="1">_xlfn.FORMULATEXT('Measure-Level Adjustments'!AT9)</f>
        <v>=L9</v>
      </c>
      <c r="AU12" t="str">
        <f ca="1">_xlfn.FORMULATEXT('Measure-Level Adjustments'!AU9)</f>
        <v>=M9</v>
      </c>
      <c r="AV12" t="str">
        <f ca="1">_xlfn.FORMULATEXT('Measure-Level Adjustments'!AV9)</f>
        <v>='4.4.2'!$O$14</v>
      </c>
      <c r="AW12" t="e">
        <f ca="1">_xlfn.FORMULATEXT('Measure-Level Adjustments'!AW9)</f>
        <v>#N/A</v>
      </c>
      <c r="AX12" t="str">
        <f ca="1">_xlfn.FORMULATEXT('Measure-Level Adjustments'!AX9)</f>
        <v>=I9*AV9*W9</v>
      </c>
      <c r="AY12" t="str">
        <f ca="1">_xlfn.FORMULATEXT('Measure-Level Adjustments'!AY9)</f>
        <v>=AX9-AJ9</v>
      </c>
      <c r="AZ12" t="str">
        <f ca="1">_xlfn.FORMULATEXT('Measure-Level Adjustments'!AZ9)</f>
        <v>=L9</v>
      </c>
      <c r="BA12" t="str">
        <f ca="1">_xlfn.FORMULATEXT('Measure-Level Adjustments'!BA9)</f>
        <v>=M9</v>
      </c>
      <c r="BB12" t="str">
        <f ca="1">_xlfn.FORMULATEXT('Measure-Level Adjustments'!BB9)</f>
        <v>='4.4.2'!$O$14</v>
      </c>
      <c r="BC12" t="e">
        <f ca="1">_xlfn.FORMULATEXT('Measure-Level Adjustments'!BC9)</f>
        <v>#N/A</v>
      </c>
      <c r="BD12" t="str">
        <f ca="1">_xlfn.FORMULATEXT('Measure-Level Adjustments'!BD9)</f>
        <v>=J9*BB9*X9</v>
      </c>
      <c r="BE12" t="str">
        <f ca="1">_xlfn.FORMULATEXT('Measure-Level Adjustments'!BE9)</f>
        <v>=BD9-AK9</v>
      </c>
      <c r="BF12" t="str">
        <f ca="1">_xlfn.FORMULATEXT('Measure-Level Adjustments'!BF9)</f>
        <v>=L9</v>
      </c>
      <c r="BG12" t="str">
        <f ca="1">_xlfn.FORMULATEXT('Measure-Level Adjustments'!BG9)</f>
        <v>=M9</v>
      </c>
      <c r="BH12" t="str">
        <f ca="1">_xlfn.FORMULATEXT('Measure-Level Adjustments'!BH9)</f>
        <v>='4.4.2'!$O$14</v>
      </c>
      <c r="BI12" t="e">
        <f ca="1">_xlfn.FORMULATEXT('Measure-Level Adjustments'!BI9)</f>
        <v>#N/A</v>
      </c>
      <c r="BJ12" t="str">
        <f ca="1">_xlfn.FORMULATEXT('Measure-Level Adjustments'!BJ9)</f>
        <v>=K9*BH9*Y9</v>
      </c>
      <c r="BK12" t="str">
        <f ca="1">_xlfn.FORMULATEXT('Measure-Level Adjustments'!BK9)</f>
        <v>=BJ9-AL9</v>
      </c>
      <c r="BL12" t="str">
        <f ca="1">_xlfn.FORMULATEXT('Measure-Level Adjustments'!BL9)</f>
        <v>=IF($BL$2=2022,IF($E9=1,AR9,AR9),IF($E9=1,AR9,AI9))</v>
      </c>
      <c r="BM12" t="str">
        <f ca="1">_xlfn.FORMULATEXT('Measure-Level Adjustments'!BM9)</f>
        <v>=IF($BL$2=2022,IF($E9=1,AX9,AX9),IF($E9=1,AX9,AJ9))</v>
      </c>
      <c r="BN12" t="str">
        <f ca="1">_xlfn.FORMULATEXT('Measure-Level Adjustments'!BN9)</f>
        <v>=IF($BL$2=2022,IF($E9=1,BD9,BD9),IF($E9=1,BD9,AK9))</v>
      </c>
      <c r="BO12" t="str">
        <f ca="1">_xlfn.FORMULATEXT('Measure-Level Adjustments'!BO9)</f>
        <v>=IF($BL$2=2022,IF($E9=1,BJ9,BJ9),IF($E9=1,BJ9,AL9))</v>
      </c>
      <c r="BP12" t="str">
        <f ca="1">_xlfn.FORMULATEXT('Measure-Level Adjustments'!BP9)</f>
        <v>=SUM(BL9:BO9)</v>
      </c>
      <c r="BQ12" t="e">
        <f ca="1">_xlfn.FORMULATEXT('Measure-Level Adjustments'!BQ9)</f>
        <v>#N/A</v>
      </c>
      <c r="BR12" t="e">
        <f ca="1">_xlfn.FORMULATEXT('Measure-Level Adjustments'!BR9)</f>
        <v>#N/A</v>
      </c>
      <c r="BS12" t="e">
        <f ca="1">_xlfn.FORMULATEXT('Measure-Level Adjustments'!BS9)</f>
        <v>#N/A</v>
      </c>
      <c r="BT12" t="e">
        <f ca="1">_xlfn.FORMULATEXT('Measure-Level Adjustments'!BT9)</f>
        <v>#N/A</v>
      </c>
      <c r="BU12" t="e">
        <f ca="1">_xlfn.FORMULATEXT('Measure-Level Adjustments'!BU9)</f>
        <v>#N/A</v>
      </c>
      <c r="BV12" t="e">
        <f ca="1">_xlfn.FORMULATEXT('Measure-Level Adjustments'!BV9)</f>
        <v>#N/A</v>
      </c>
      <c r="BW12" t="e">
        <f ca="1">_xlfn.FORMULATEXT('Measure-Level Adjustments'!BW9)</f>
        <v>#N/A</v>
      </c>
      <c r="BX12" t="str">
        <f ca="1">_xlfn.FORMULATEXT('Measure-Level Adjustments'!BX9)</f>
        <v>=H9*N9*R9*BT9</v>
      </c>
      <c r="BY12" t="str">
        <f ca="1">_xlfn.FORMULATEXT('Measure-Level Adjustments'!BY9)</f>
        <v>=I9*O9*S9*BU9</v>
      </c>
      <c r="BZ12" t="str">
        <f ca="1">_xlfn.FORMULATEXT('Measure-Level Adjustments'!BZ9)</f>
        <v>=J9*P9*T9*BV9</v>
      </c>
      <c r="CA12" t="str">
        <f ca="1">_xlfn.FORMULATEXT('Measure-Level Adjustments'!CA9)</f>
        <v>=K9*Q9*U9*BW9</v>
      </c>
      <c r="CB12" t="str">
        <f ca="1">_xlfn.FORMULATEXT('Measure-Level Adjustments'!CB9)</f>
        <v>=SUM(BX9:CA9)</v>
      </c>
      <c r="CC12" t="e">
        <f ca="1">_xlfn.FORMULATEXT('Measure-Level Adjustments'!CC9)</f>
        <v>#N/A</v>
      </c>
      <c r="CD12" t="e">
        <f ca="1">_xlfn.FORMULATEXT('Measure-Level Adjustments'!CD9)</f>
        <v>#N/A</v>
      </c>
      <c r="CE12" t="e">
        <f ca="1">_xlfn.FORMULATEXT('Measure-Level Adjustments'!CE9)</f>
        <v>#N/A</v>
      </c>
      <c r="CF12" t="e">
        <f ca="1">_xlfn.FORMULATEXT('Measure-Level Adjustments'!CF9)</f>
        <v>#N/A</v>
      </c>
      <c r="CG12" t="str">
        <f ca="1">_xlfn.FORMULATEXT('Measure-Level Adjustments'!CG9)</f>
        <v>=H9*V9*AP9*CC9</v>
      </c>
      <c r="CH12" t="str">
        <f ca="1">_xlfn.FORMULATEXT('Measure-Level Adjustments'!CH9)</f>
        <v>=I9*W9*AV9*CD9</v>
      </c>
      <c r="CI12" t="str">
        <f ca="1">_xlfn.FORMULATEXT('Measure-Level Adjustments'!CI9)</f>
        <v>=J9*X9*BB9*CE9</v>
      </c>
      <c r="CJ12" t="str">
        <f ca="1">_xlfn.FORMULATEXT('Measure-Level Adjustments'!CJ9)</f>
        <v>=K9*Y9*BH9*CF9</v>
      </c>
      <c r="CK12" t="str">
        <f ca="1">_xlfn.FORMULATEXT('Measure-Level Adjustments'!CK9)</f>
        <v>=SUM(CG9:CJ9)</v>
      </c>
      <c r="CM12" t="e">
        <f ca="1">_xlfn.FORMULATEXT('Measure-Level Adjustments'!CM9)</f>
        <v>#N/A</v>
      </c>
      <c r="CN12" t="e">
        <f ca="1">_xlfn.FORMULATEXT('Measure-Level Adjustments'!CN9)</f>
        <v>#N/A</v>
      </c>
      <c r="CO12" t="e">
        <f ca="1">_xlfn.FORMULATEXT('Measure-Level Adjustments'!CO9)</f>
        <v>#N/A</v>
      </c>
      <c r="CP12" t="e">
        <f ca="1">_xlfn.FORMULATEXT('Measure-Level Adjustments'!CP9)</f>
        <v>#N/A</v>
      </c>
      <c r="CQ12" t="e">
        <f ca="1">_xlfn.FORMULATEXT('Measure-Level Adjustments'!CQ9)</f>
        <v>#N/A</v>
      </c>
      <c r="CR12" t="e">
        <f ca="1">_xlfn.FORMULATEXT('Measure-Level Adjustments'!CR9)</f>
        <v>#N/A</v>
      </c>
      <c r="CS12" t="str">
        <f ca="1">_xlfn.FORMULATEXT('Measure-Level Adjustments'!CS9)</f>
        <v>=IF($CN9=1,CO9*N9*AE9,BL9)</v>
      </c>
      <c r="CT12" t="str">
        <f ca="1">_xlfn.FORMULATEXT('Measure-Level Adjustments'!CT9)</f>
        <v>=IF($CN9=1,CP9*O9*AF9,BM9)</v>
      </c>
      <c r="CU12" t="str">
        <f ca="1">_xlfn.FORMULATEXT('Measure-Level Adjustments'!CU9)</f>
        <v>=IF($CN9=1,CQ9*P9*AG9,BN9)</v>
      </c>
      <c r="CV12" t="str">
        <f ca="1">_xlfn.FORMULATEXT('Measure-Level Adjustments'!CV9)</f>
        <v>=IF($CN9=1,CR9*Q9*AH9,BO9)</v>
      </c>
      <c r="CW12" t="str">
        <f ca="1">_xlfn.FORMULATEXT('Measure-Level Adjustments'!CW9)</f>
        <v>=+SUM(CS9:CV9)</v>
      </c>
      <c r="CX12" t="e">
        <f ca="1">_xlfn.FORMULATEXT('Measure-Level Adjustments'!CX9)</f>
        <v>#N/A</v>
      </c>
      <c r="CY12" t="e">
        <f ca="1">_xlfn.FORMULATEXT('Measure-Level Adjustments'!CY9)</f>
        <v>#N/A</v>
      </c>
      <c r="CZ12" t="e">
        <f ca="1">_xlfn.FORMULATEXT('Measure-Level Adjustments'!CZ9)</f>
        <v>#N/A</v>
      </c>
      <c r="DA12" t="e">
        <f ca="1">_xlfn.FORMULATEXT('Measure-Level Adjustments'!DA9)</f>
        <v>#N/A</v>
      </c>
      <c r="DB12" t="e">
        <f ca="1">_xlfn.FORMULATEXT('Measure-Level Adjustments'!DB9)</f>
        <v>#N/A</v>
      </c>
      <c r="DC12" t="e">
        <f ca="1">_xlfn.FORMULATEXT('Measure-Level Adjustments'!DC9)</f>
        <v>#N/A</v>
      </c>
      <c r="DD12" t="e">
        <f ca="1">_xlfn.FORMULATEXT('Measure-Level Adjustments'!DD9)</f>
        <v>#N/A</v>
      </c>
      <c r="DE12" t="e">
        <f ca="1">_xlfn.FORMULATEXT('Measure-Level Adjustments'!CZ9)</f>
        <v>#N/A</v>
      </c>
      <c r="DF12" t="e">
        <f ca="1">_xlfn.FORMULATEXT('Measure-Level Adjustments'!DA9)</f>
        <v>#N/A</v>
      </c>
      <c r="DG12" t="e">
        <f ca="1">_xlfn.FORMULATEXT('Measure-Level Adjustments'!DB9)</f>
        <v>#N/A</v>
      </c>
      <c r="DH12" t="e">
        <f ca="1">_xlfn.FORMULATEXT('Measure-Level Adjustments'!DC9)</f>
        <v>#N/A</v>
      </c>
    </row>
    <row r="14" spans="1:130" x14ac:dyDescent="0.35">
      <c r="A14" t="str">
        <f t="shared" ref="A14:AG14" si="12">A10</f>
        <v>(a)</v>
      </c>
      <c r="B14" t="str">
        <f t="shared" si="12"/>
        <v>(b)</v>
      </c>
      <c r="C14" t="str">
        <f t="shared" si="12"/>
        <v>(c)</v>
      </c>
      <c r="D14" t="str">
        <f t="shared" si="12"/>
        <v>(d)</v>
      </c>
      <c r="E14" t="str">
        <f t="shared" si="12"/>
        <v>(e)</v>
      </c>
      <c r="F14" t="str">
        <f t="shared" si="12"/>
        <v>(f)</v>
      </c>
      <c r="G14" t="str">
        <f t="shared" si="12"/>
        <v>(g)</v>
      </c>
      <c r="H14" t="str">
        <f t="shared" si="12"/>
        <v>(h)</v>
      </c>
      <c r="I14" t="str">
        <f t="shared" si="12"/>
        <v>(i)</v>
      </c>
      <c r="J14" t="str">
        <f t="shared" si="12"/>
        <v>(j)</v>
      </c>
      <c r="K14" t="str">
        <f t="shared" si="12"/>
        <v>(k)</v>
      </c>
      <c r="L14" t="str">
        <f t="shared" si="12"/>
        <v>(l)</v>
      </c>
      <c r="M14" t="str">
        <f t="shared" si="12"/>
        <v>(m)</v>
      </c>
      <c r="N14" t="str">
        <f t="shared" si="12"/>
        <v>(n)</v>
      </c>
      <c r="O14" t="str">
        <f t="shared" si="12"/>
        <v>(o)</v>
      </c>
      <c r="P14" t="str">
        <f t="shared" si="12"/>
        <v>(p)</v>
      </c>
      <c r="Q14" t="str">
        <f t="shared" si="12"/>
        <v>(q)</v>
      </c>
      <c r="R14" t="str">
        <f t="shared" si="12"/>
        <v>(r)</v>
      </c>
      <c r="S14" t="str">
        <f t="shared" si="12"/>
        <v>(s)</v>
      </c>
      <c r="T14" t="str">
        <f t="shared" si="12"/>
        <v>(t)</v>
      </c>
      <c r="U14" t="str">
        <f t="shared" si="12"/>
        <v>(u)</v>
      </c>
      <c r="V14" t="str">
        <f t="shared" si="12"/>
        <v>(v)</v>
      </c>
      <c r="W14" t="str">
        <f t="shared" si="12"/>
        <v>(w)</v>
      </c>
      <c r="X14" t="str">
        <f t="shared" si="12"/>
        <v>(x)</v>
      </c>
      <c r="Y14" t="str">
        <f t="shared" si="12"/>
        <v>(y)</v>
      </c>
      <c r="Z14" t="str">
        <f t="shared" si="12"/>
        <v>(z)</v>
      </c>
      <c r="AA14" t="str">
        <f t="shared" si="12"/>
        <v>(aa)</v>
      </c>
      <c r="AB14" t="str">
        <f t="shared" si="12"/>
        <v>(ab)</v>
      </c>
      <c r="AC14" t="str">
        <f t="shared" si="12"/>
        <v>(ac)</v>
      </c>
      <c r="AD14" t="str">
        <f t="shared" si="12"/>
        <v>(ad)</v>
      </c>
      <c r="AE14" t="str">
        <f t="shared" si="12"/>
        <v>(ae)</v>
      </c>
      <c r="AF14" t="str">
        <f t="shared" si="12"/>
        <v>(af)</v>
      </c>
      <c r="AG14" t="str">
        <f t="shared" si="12"/>
        <v>(ag)</v>
      </c>
      <c r="AH14" t="str">
        <f>AH10</f>
        <v>(ah)</v>
      </c>
      <c r="AI14" t="str">
        <f>CONCATENATE(AI10,"=",H10,"*",N10,"*",R10)</f>
        <v>(ai)=(h)*(n)*(r)</v>
      </c>
      <c r="AJ14" t="str">
        <f t="shared" ref="AJ14:AL14" si="13">CONCATENATE(AJ10,"=",I10,"*",O10,"*",S10)</f>
        <v>(aj)=(i)*(o)*(s)</v>
      </c>
      <c r="AK14" t="str">
        <f t="shared" si="13"/>
        <v>(ak)=(j)*(p)*(t)</v>
      </c>
      <c r="AL14" t="str">
        <f t="shared" si="13"/>
        <v>(al)=(k)*(q)*(u)</v>
      </c>
      <c r="AM14" t="str">
        <f>AM10</f>
        <v>(am)</v>
      </c>
      <c r="AN14" t="str">
        <f>AN10</f>
        <v>(an)</v>
      </c>
      <c r="AO14" t="str">
        <f>AO10</f>
        <v>(ao)</v>
      </c>
      <c r="AP14" t="str">
        <f>AP10</f>
        <v>(ap)</v>
      </c>
      <c r="AQ14" t="str">
        <f>AQ10</f>
        <v>(aq)</v>
      </c>
      <c r="AR14" t="str">
        <f>CONCATENATE(AR10,"=",H10,"*",AP10,"*",V10)</f>
        <v>(ar)=(h)*(ap)*(v)</v>
      </c>
      <c r="AS14" t="str">
        <f>CONCATENATE(AS10,"=",AR10,"-",AI10)</f>
        <v>(as)=(ar)-(ai)</v>
      </c>
      <c r="AT14" t="str">
        <f t="shared" ref="AT14:DE14" si="14">AT10</f>
        <v>(at)</v>
      </c>
      <c r="AU14" t="str">
        <f t="shared" si="14"/>
        <v>(au)</v>
      </c>
      <c r="AV14" t="str">
        <f t="shared" si="14"/>
        <v>(av)</v>
      </c>
      <c r="AW14" t="str">
        <f t="shared" si="14"/>
        <v>(aw)</v>
      </c>
      <c r="AX14" t="str">
        <f>CONCATENATE(AX10,"=",I10,"*",AV10,"*",W10)</f>
        <v>(ax)=(i)*(av)*(w)</v>
      </c>
      <c r="AY14" t="str">
        <f>CONCATENATE(AY10,"=",AX10,"-",AJ10)</f>
        <v>(ay)=(ax)-(aj)</v>
      </c>
      <c r="AZ14" t="str">
        <f t="shared" si="14"/>
        <v>(az)</v>
      </c>
      <c r="BA14" t="str">
        <f t="shared" si="14"/>
        <v>(ba)</v>
      </c>
      <c r="BB14" t="str">
        <f t="shared" si="14"/>
        <v>(bb)</v>
      </c>
      <c r="BC14" t="str">
        <f t="shared" si="14"/>
        <v>(bc)</v>
      </c>
      <c r="BD14" t="str">
        <f>CONCATENATE(BD10,"=",J10,"*",BB10,"*",X10)</f>
        <v>(bd)=(j)*(bb)*(x)</v>
      </c>
      <c r="BE14" t="str">
        <f>CONCATENATE(BE10,"=",BD10,"-",AK10)</f>
        <v>(be)=(bd)-(ak)</v>
      </c>
      <c r="BF14" t="str">
        <f t="shared" si="14"/>
        <v>(bf)</v>
      </c>
      <c r="BG14" t="str">
        <f t="shared" si="14"/>
        <v>(bg)</v>
      </c>
      <c r="BH14" t="str">
        <f t="shared" si="14"/>
        <v>(bh)</v>
      </c>
      <c r="BI14" t="str">
        <f t="shared" si="14"/>
        <v>(bi)</v>
      </c>
      <c r="BJ14" t="str">
        <f>CONCATENATE(BJ10,"=",K10,"*",BH10,"*",Y10)</f>
        <v>(bj)=(k)*(bh)*(y)</v>
      </c>
      <c r="BK14" t="str">
        <f>CONCATENATE(BK10,"=",BJ10,"-",AL10)</f>
        <v>(bk)=(bj)-(al)</v>
      </c>
      <c r="BL14" t="str">
        <f t="shared" si="14"/>
        <v>(bl)</v>
      </c>
      <c r="BM14" t="str">
        <f t="shared" si="14"/>
        <v>(bm)</v>
      </c>
      <c r="BN14" t="str">
        <f t="shared" si="14"/>
        <v>(bn)</v>
      </c>
      <c r="BO14" t="str">
        <f t="shared" si="14"/>
        <v>(bo)</v>
      </c>
      <c r="BP14" t="str">
        <f t="shared" si="14"/>
        <v>(bp)</v>
      </c>
      <c r="BQ14" t="str">
        <f t="shared" si="14"/>
        <v>(bq)</v>
      </c>
      <c r="BR14" t="str">
        <f t="shared" si="14"/>
        <v>(br)</v>
      </c>
      <c r="BS14" t="str">
        <f t="shared" si="14"/>
        <v>(bs)</v>
      </c>
      <c r="BT14" t="str">
        <f t="shared" si="14"/>
        <v>(bt)</v>
      </c>
      <c r="BU14" t="str">
        <f t="shared" si="14"/>
        <v>(bu)</v>
      </c>
      <c r="BV14" t="str">
        <f t="shared" si="14"/>
        <v>(bv)</v>
      </c>
      <c r="BW14" t="str">
        <f t="shared" si="14"/>
        <v>(bw)</v>
      </c>
      <c r="BX14" t="str">
        <f>CONCATENATE(BX10,"=",AC10,"*",BV10,"*",AV10)</f>
        <v>(bx)=(ac)*(bv)*(av)</v>
      </c>
      <c r="BY14" t="str">
        <f>BY10</f>
        <v>(by)</v>
      </c>
      <c r="BZ14" t="str">
        <f>BZ10</f>
        <v>(bz)</v>
      </c>
      <c r="CA14" t="str">
        <f>CA10</f>
        <v>(ca)</v>
      </c>
      <c r="CB14" t="str">
        <f>CB10</f>
        <v>(cb)</v>
      </c>
      <c r="CC14" t="str">
        <f t="shared" si="14"/>
        <v>(cc)</v>
      </c>
      <c r="CD14" t="str">
        <f t="shared" si="14"/>
        <v>(cd)</v>
      </c>
      <c r="CE14" t="str">
        <f t="shared" si="14"/>
        <v>(ce)</v>
      </c>
      <c r="CF14" t="str">
        <f t="shared" si="14"/>
        <v>(cf)</v>
      </c>
      <c r="CG14" t="str">
        <f>CONCATENATE(CG10,"= (",H11," * ",V11," * ",AP11," * ",CC11,")")</f>
        <v>(cg)= (h * v * ap * cc)</v>
      </c>
      <c r="CH14" t="str">
        <f t="shared" ref="CH14:CJ14" si="15">CONCATENATE(CH10,"= (",I11," * ",W11," * ",AQ11," * ",CD11,")")</f>
        <v>(ch)= (i * w * aq * cd)</v>
      </c>
      <c r="CI14" t="str">
        <f t="shared" si="15"/>
        <v>(ci)= (j * x * ar * ce)</v>
      </c>
      <c r="CJ14" t="str">
        <f t="shared" si="15"/>
        <v>(cj)= (k * y * as * cf)</v>
      </c>
      <c r="CK14" t="str">
        <f t="shared" si="14"/>
        <v>(ck)</v>
      </c>
      <c r="CL14" t="str">
        <f t="shared" si="14"/>
        <v>(cl)</v>
      </c>
      <c r="CM14" t="str">
        <f t="shared" si="14"/>
        <v>(cm)</v>
      </c>
      <c r="CN14" t="str">
        <f t="shared" si="14"/>
        <v>(cn)</v>
      </c>
      <c r="CO14" t="str">
        <f t="shared" si="14"/>
        <v>(co)</v>
      </c>
      <c r="CP14" t="str">
        <f t="shared" si="14"/>
        <v>(cp)</v>
      </c>
      <c r="CQ14" t="str">
        <f t="shared" si="14"/>
        <v>(cq)</v>
      </c>
      <c r="CR14" t="str">
        <f t="shared" si="14"/>
        <v>(cr)</v>
      </c>
      <c r="CS14" t="str">
        <f>CONCATENATE(CS10,"=",AX10,"*",CQ10,"*",BQ10)</f>
        <v>(cs)=(ax)*(cq)*(bq)</v>
      </c>
      <c r="CT14" t="str">
        <f t="shared" si="14"/>
        <v>(ct)</v>
      </c>
      <c r="CU14" t="str">
        <f t="shared" si="14"/>
        <v>(cu)</v>
      </c>
      <c r="CV14" t="str">
        <f t="shared" si="14"/>
        <v>(cv)</v>
      </c>
      <c r="CW14" t="str">
        <f t="shared" si="14"/>
        <v>(cw)</v>
      </c>
      <c r="CX14" t="str">
        <f t="shared" si="14"/>
        <v>(cx)</v>
      </c>
      <c r="CY14" t="str">
        <f t="shared" si="14"/>
        <v>(cy)</v>
      </c>
      <c r="CZ14" t="str">
        <f t="shared" si="14"/>
        <v>(cz)</v>
      </c>
      <c r="DA14" t="str">
        <f t="shared" si="14"/>
        <v>(da)</v>
      </c>
      <c r="DB14" t="str">
        <f t="shared" si="14"/>
        <v>(db)</v>
      </c>
      <c r="DC14" t="str">
        <f t="shared" si="14"/>
        <v>(dc)</v>
      </c>
      <c r="DD14" t="str">
        <f t="shared" si="14"/>
        <v>(dd)</v>
      </c>
      <c r="DE14" t="str">
        <f t="shared" si="14"/>
        <v>(de)</v>
      </c>
      <c r="DF14" t="str">
        <f t="shared" ref="DF14:DH14" si="16">DF10</f>
        <v>(df)</v>
      </c>
      <c r="DG14" t="str">
        <f t="shared" si="16"/>
        <v>(dg)</v>
      </c>
      <c r="DH14" t="str">
        <f t="shared" si="16"/>
        <v>(dh)</v>
      </c>
    </row>
    <row r="15" spans="1:130" x14ac:dyDescent="0.35">
      <c r="AI15" t="str">
        <f>CONCATENATE(AI10,"=",H10," x ",N10," x ",R10)</f>
        <v>(ai)=(h) x (n) x (r)</v>
      </c>
      <c r="AJ15" t="str">
        <f t="shared" ref="AJ15:AL15" si="17">CONCATENATE(AJ10,"=",I10," x ",O10," x ",S10)</f>
        <v>(aj)=(i) x (o) x (s)</v>
      </c>
      <c r="AK15" t="str">
        <f t="shared" si="17"/>
        <v>(ak)=(j) x (p) x (t)</v>
      </c>
      <c r="AL15" t="str">
        <f t="shared" si="17"/>
        <v>(al)=(k) x (q) x (u)</v>
      </c>
      <c r="AR15" t="str">
        <f>CONCATENATE(AR10,"= (",H11," x ",AP11," x ",V11,")")</f>
        <v>(ar)= (h x ap x v)</v>
      </c>
      <c r="AS15" t="str">
        <f>CONCATENATE(AS10,"= (",AR11," - ",AI11,")",)</f>
        <v>(as)= (ar - ai)</v>
      </c>
      <c r="AT15" t="str">
        <f>AT14</f>
        <v>(at)</v>
      </c>
      <c r="AU15" t="str">
        <f>AU14</f>
        <v>(au)</v>
      </c>
      <c r="AV15" t="str">
        <f>AV14</f>
        <v>(av)</v>
      </c>
      <c r="AW15" t="str">
        <f>CONCATENATE(AW10,"= (",AV11," - ",AP11,")",)</f>
        <v>(aw)= (av - ap)</v>
      </c>
      <c r="AX15" t="str">
        <f>CONCATENATE(AX10,"= (",I11," x ",AV11," x ",W11,")")</f>
        <v>(ax)= (i x av x w)</v>
      </c>
      <c r="AY15" t="str">
        <f>CONCATENATE(AY10,"= (",AX11," - ",AJ11,")",)</f>
        <v>(ay)= (ax - aj)</v>
      </c>
      <c r="AZ15" t="str">
        <f>AZ14</f>
        <v>(az)</v>
      </c>
      <c r="BA15" t="str">
        <f>BA14</f>
        <v>(ba)</v>
      </c>
      <c r="BB15" t="str">
        <f>BB14</f>
        <v>(bb)</v>
      </c>
      <c r="BC15" t="str">
        <f>BC14</f>
        <v>(bc)</v>
      </c>
      <c r="BD15" t="str">
        <f>CONCATENATE(BD10,"= (",J11," x ",BB11," x ",X11,")")</f>
        <v>(bd)= (j x bb x x)</v>
      </c>
      <c r="BE15" t="str">
        <f>CONCATENATE(BE10,"= (",BD11," - ",AK11,")",)</f>
        <v>(be)= (bd - ak)</v>
      </c>
      <c r="BF15" t="str">
        <f>BF14</f>
        <v>(bf)</v>
      </c>
      <c r="BG15" t="str">
        <f>BG14</f>
        <v>(bg)</v>
      </c>
      <c r="BH15" t="str">
        <f>BH14</f>
        <v>(bh)</v>
      </c>
      <c r="BI15" t="str">
        <f>BI14</f>
        <v>(bi)</v>
      </c>
      <c r="BJ15" t="str">
        <f>CONCATENATE(BJ10,"= (",K11," x ",BH11," x ",Y11,")")</f>
        <v>(bj)= (k x bh x y)</v>
      </c>
      <c r="BK15" t="str">
        <f>CONCATENATE(BK10,"= (",BJ11," - ",AL11,")",)</f>
        <v>(bk)= (bj - al)</v>
      </c>
      <c r="BQ15" t="str">
        <f t="shared" ref="BQ15:BV15" si="18">BQ14</f>
        <v>(bq)</v>
      </c>
      <c r="BR15" t="str">
        <f t="shared" si="18"/>
        <v>(br)</v>
      </c>
      <c r="BS15" t="str">
        <f t="shared" si="18"/>
        <v>(bs)</v>
      </c>
      <c r="BT15" t="str">
        <f t="shared" si="18"/>
        <v>(bt)</v>
      </c>
      <c r="BU15" t="str">
        <f t="shared" si="18"/>
        <v>(bu)</v>
      </c>
      <c r="BV15" t="str">
        <f t="shared" si="18"/>
        <v>(bv)</v>
      </c>
      <c r="BW15" t="str">
        <f>BW14</f>
        <v>(bw)</v>
      </c>
      <c r="BX15" t="str">
        <f>CONCATENATE(BX10,"= (",H8," x ",N11," x ",R11," x ",BT11,")")</f>
        <v>(bx)= (h x n x r x bt)</v>
      </c>
      <c r="BY15" t="str">
        <f t="shared" ref="BY15:CA15" si="19">CONCATENATE(BY10,"= (",I8," x ",O11," x ",S11," x ",BU11,")")</f>
        <v>(by)= (i x o x s x bu)</v>
      </c>
      <c r="BZ15" t="str">
        <f t="shared" si="19"/>
        <v>(bz)= (j x p x t x bv)</v>
      </c>
      <c r="CA15" t="str">
        <f t="shared" si="19"/>
        <v>(ca)= (k x q x u x bw)</v>
      </c>
      <c r="CB15" t="str">
        <f>CONCATENATE(CB10,"= (",BX11," + ",BY11," + ",BZ11," + ",CA11,")")</f>
        <v>(cb)= (bx + by + bz + ca)</v>
      </c>
      <c r="CC15" t="str">
        <f>CC14</f>
        <v>(cc)</v>
      </c>
      <c r="CD15" t="str">
        <f>CD14</f>
        <v>(cd)</v>
      </c>
      <c r="CE15" t="str">
        <f>CE14</f>
        <v>(ce)</v>
      </c>
      <c r="CF15" t="str">
        <f>CF14</f>
        <v>(cf)</v>
      </c>
      <c r="CG15" t="str">
        <f>CONCATENATE(CG10,"= (",H11," x ",V11," x ",AP11," x ",CC11,")")</f>
        <v>(cg)= (h x v x ap x cc)</v>
      </c>
      <c r="CH15" t="str">
        <f>CONCATENATE(CH10,"= (",I11," x ",W11," x ",AV11," x ",CD11,")")</f>
        <v>(ch)= (i x w x av x cd)</v>
      </c>
      <c r="CI15" t="str">
        <f>CONCATENATE(CI10,"= (",J11," x ",X11," x ",BB11," x ",CE11,")")</f>
        <v>(ci)= (j x x x bb x ce)</v>
      </c>
      <c r="CJ15" t="str">
        <f>CONCATENATE(CJ10,"= (",K11," x ",Y11," x ",BH11," x ",CF11,")")</f>
        <v>(cj)= (k x y x bh x cf)</v>
      </c>
      <c r="CK15" t="str">
        <f>CONCATENATE(CK10,"= (",CG11," + ",CH11," + ",CI11," + ",CJ11,")")</f>
        <v>(ck)= (cg + ch + ci + cj)</v>
      </c>
      <c r="CL15" t="str">
        <f t="shared" ref="CL15:CR15" si="20">CL14</f>
        <v>(cl)</v>
      </c>
      <c r="CM15" t="str">
        <f t="shared" si="20"/>
        <v>(cm)</v>
      </c>
      <c r="CN15" t="str">
        <f t="shared" si="20"/>
        <v>(cn)</v>
      </c>
      <c r="CO15" t="str">
        <f t="shared" si="20"/>
        <v>(co)</v>
      </c>
      <c r="CP15" t="str">
        <f t="shared" si="20"/>
        <v>(cp)</v>
      </c>
      <c r="CQ15" t="str">
        <f t="shared" si="20"/>
        <v>(cq)</v>
      </c>
      <c r="CR15" t="str">
        <f t="shared" si="20"/>
        <v>(cr)</v>
      </c>
      <c r="CS15" t="str">
        <f>CONCATENATE(CS10,"= (",CO11," x ",N11," x ",AE11,")")</f>
        <v>(cs)= (co x n x ae)</v>
      </c>
      <c r="CT15" t="str">
        <f t="shared" ref="CT15:CV15" si="21">CONCATENATE(CT10,"= (",CP11," x ",O11," x ",AF11,")")</f>
        <v>(ct)= (cp x o x af)</v>
      </c>
      <c r="CU15" t="str">
        <f t="shared" si="21"/>
        <v>(cu)= (cq x p x ag)</v>
      </c>
      <c r="CV15" t="str">
        <f t="shared" si="21"/>
        <v>(cv)= (cr x q x ah)</v>
      </c>
      <c r="CW15" t="str">
        <f>CONCATENATE(CW10,"= (",CS11," + ",CT11," + ",CU11," + ",CV11,")")</f>
        <v>(cw)= (cs + ct + cu + cv)</v>
      </c>
    </row>
  </sheetData>
  <hyperlinks>
    <hyperlink ref="A1" location="'Measure-Level Adjustments'!Print_Titles" display="Measure Level Tab" xr:uid="{9E5C3C76-FDC8-458E-BEAE-88E8235C4206}"/>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42870-DE79-478C-BD3B-147C13E11D03}">
  <sheetPr>
    <tabColor rgb="FFDCE6F1"/>
    <outlinePr summaryBelow="0"/>
  </sheetPr>
  <dimension ref="A1:AQ120"/>
  <sheetViews>
    <sheetView workbookViewId="0">
      <pane xSplit="1" ySplit="3" topLeftCell="B106" activePane="bottomRight" state="frozen"/>
      <selection pane="topRight" activeCell="B1" sqref="B1"/>
      <selection pane="bottomLeft" activeCell="A4" sqref="A4"/>
      <selection pane="bottomRight" activeCell="E126" sqref="E126:F126"/>
    </sheetView>
  </sheetViews>
  <sheetFormatPr defaultRowHeight="14.5" x14ac:dyDescent="0.35"/>
  <cols>
    <col min="1" max="1" width="19.81640625" customWidth="1"/>
    <col min="2" max="2" width="31" customWidth="1"/>
    <col min="3" max="3" width="20" bestFit="1" customWidth="1"/>
    <col min="4" max="4" width="22.26953125" customWidth="1"/>
    <col min="5" max="5" width="31.26953125" bestFit="1" customWidth="1"/>
    <col min="6" max="6" width="12.453125" customWidth="1"/>
    <col min="7" max="7" width="18.81640625" bestFit="1" customWidth="1"/>
    <col min="8" max="8" width="31.26953125" bestFit="1" customWidth="1"/>
    <col min="9" max="9" width="16.1796875" bestFit="1" customWidth="1"/>
    <col min="10" max="10" width="11.54296875" customWidth="1"/>
    <col min="11" max="11" width="22.1796875" customWidth="1"/>
    <col min="12" max="12" width="10.26953125" customWidth="1"/>
    <col min="13" max="14" width="11.26953125" customWidth="1"/>
    <col min="15" max="17" width="15.1796875" bestFit="1" customWidth="1"/>
    <col min="18" max="18" width="12.81640625" bestFit="1" customWidth="1"/>
    <col min="19" max="19" width="12.7265625" bestFit="1" customWidth="1"/>
    <col min="20" max="23" width="12.7265625" customWidth="1"/>
    <col min="24" max="24" width="12.81640625" bestFit="1" customWidth="1"/>
    <col min="25" max="25" width="12.7265625" bestFit="1" customWidth="1"/>
    <col min="39" max="39" width="14.26953125" bestFit="1" customWidth="1"/>
  </cols>
  <sheetData>
    <row r="1" spans="1:43" x14ac:dyDescent="0.35">
      <c r="A1" s="1799" t="s">
        <v>1031</v>
      </c>
    </row>
    <row r="2" spans="1:43" ht="15" customHeight="1" x14ac:dyDescent="0.35">
      <c r="A2" s="1702"/>
      <c r="B2" s="1703"/>
      <c r="C2" s="1703"/>
      <c r="D2" s="1703"/>
      <c r="E2" s="1820"/>
      <c r="F2" s="1820"/>
      <c r="G2" s="1820"/>
      <c r="H2" s="1820"/>
      <c r="I2" s="1820"/>
      <c r="J2" s="1820"/>
      <c r="K2" s="1820"/>
      <c r="L2" s="3034" t="s">
        <v>1032</v>
      </c>
      <c r="M2" s="3035"/>
      <c r="N2" s="3035"/>
      <c r="O2" s="3036"/>
      <c r="P2" s="3034" t="s">
        <v>1033</v>
      </c>
      <c r="Q2" s="3035"/>
      <c r="R2" s="3035"/>
      <c r="S2" s="3035"/>
      <c r="T2" s="3037" t="s">
        <v>1350</v>
      </c>
      <c r="U2" s="3038"/>
      <c r="V2" s="3038"/>
      <c r="W2" s="3038"/>
      <c r="X2" s="2583"/>
      <c r="Y2" s="2583" t="s">
        <v>1158</v>
      </c>
      <c r="Z2" s="2583"/>
      <c r="AA2" s="1701"/>
      <c r="AB2" s="1701"/>
      <c r="AC2" s="1701"/>
      <c r="AD2" s="1701"/>
      <c r="AE2" s="1701"/>
      <c r="AF2" s="1701"/>
      <c r="AG2" s="1701"/>
      <c r="AH2" s="1701"/>
      <c r="AI2" s="1701"/>
      <c r="AJ2" s="1701"/>
    </row>
    <row r="3" spans="1:43" s="199" customFormat="1" ht="43.5" x14ac:dyDescent="0.35">
      <c r="A3" s="1821" t="s">
        <v>1035</v>
      </c>
      <c r="B3" s="1821" t="s">
        <v>155</v>
      </c>
      <c r="C3" s="1822" t="s">
        <v>1036</v>
      </c>
      <c r="D3" s="1822" t="s">
        <v>1037</v>
      </c>
      <c r="E3" s="1821" t="s">
        <v>1038</v>
      </c>
      <c r="F3" s="1821" t="s">
        <v>1351</v>
      </c>
      <c r="G3" s="1821" t="s">
        <v>1352</v>
      </c>
      <c r="H3" s="1821" t="s">
        <v>1353</v>
      </c>
      <c r="I3" s="1821" t="s">
        <v>1039</v>
      </c>
      <c r="J3" s="1821" t="s">
        <v>1040</v>
      </c>
      <c r="K3" s="1821" t="s">
        <v>1041</v>
      </c>
      <c r="L3" s="1823" t="s">
        <v>1044</v>
      </c>
      <c r="M3" s="1823" t="s">
        <v>1045</v>
      </c>
      <c r="N3" s="1823" t="s">
        <v>1046</v>
      </c>
      <c r="O3" s="1823" t="s">
        <v>1354</v>
      </c>
      <c r="P3" s="1823" t="s">
        <v>1044</v>
      </c>
      <c r="Q3" s="1823" t="s">
        <v>1045</v>
      </c>
      <c r="R3" s="1823" t="s">
        <v>1046</v>
      </c>
      <c r="S3" s="1823" t="s">
        <v>1354</v>
      </c>
      <c r="T3" s="1823" t="s">
        <v>1355</v>
      </c>
      <c r="U3" s="1823" t="s">
        <v>1356</v>
      </c>
      <c r="V3" s="1823" t="s">
        <v>1083</v>
      </c>
      <c r="W3" s="1824" t="s">
        <v>1357</v>
      </c>
      <c r="X3" s="1837" t="s">
        <v>1358</v>
      </c>
      <c r="Y3" s="1837" t="s">
        <v>1359</v>
      </c>
      <c r="Z3" s="1837" t="s">
        <v>1360</v>
      </c>
      <c r="AA3" s="1837" t="s">
        <v>1361</v>
      </c>
      <c r="AB3"/>
      <c r="AC3"/>
      <c r="AD3"/>
      <c r="AE3"/>
      <c r="AF3" s="167"/>
      <c r="AG3"/>
      <c r="AI3"/>
      <c r="AJ3"/>
      <c r="AK3"/>
      <c r="AL3"/>
    </row>
    <row r="4" spans="1:43" s="60" customFormat="1" ht="26.5" x14ac:dyDescent="0.35">
      <c r="A4" s="1901" t="s">
        <v>422</v>
      </c>
      <c r="B4" s="1901" t="s">
        <v>1362</v>
      </c>
      <c r="C4" s="143" t="s">
        <v>421</v>
      </c>
      <c r="D4" s="1902" t="s">
        <v>421</v>
      </c>
      <c r="E4" s="1903" t="s">
        <v>1072</v>
      </c>
      <c r="F4" t="s">
        <v>1363</v>
      </c>
      <c r="G4" t="s">
        <v>1364</v>
      </c>
      <c r="H4" t="s">
        <v>1365</v>
      </c>
      <c r="I4" s="1904">
        <f>VLOOKUP(F4,$B$89:$C$98,2,FALSE)</f>
        <v>15.555555555555555</v>
      </c>
      <c r="J4" s="2582">
        <f>VLOOKUP(F4,$B$89:$D$98,3,FALSE)</f>
        <v>1068.4444444444443</v>
      </c>
      <c r="K4" s="1906" t="s">
        <v>1366</v>
      </c>
      <c r="L4" s="2590">
        <f>VLOOKUP(F4,$B$89:$M$100,Y4,FALSE)*AA4</f>
        <v>85.576666666666668</v>
      </c>
      <c r="M4" s="2590">
        <f>(L4/$B$48)*VLOOKUP($Z4,$B$113:$C$119,2,FALSE)</f>
        <v>5.2499691569278606E-3</v>
      </c>
      <c r="N4" s="1907">
        <f>VLOOKUP(F4,$B$89:$M$100,X4,FALSE)</f>
        <v>459</v>
      </c>
      <c r="O4" s="1907">
        <f>+VLOOKUP(F4,$B$89:$M$98,12,FALSE)</f>
        <v>52553.444444444445</v>
      </c>
      <c r="P4" s="2590">
        <f>L4*I4</f>
        <v>1331.1925925925925</v>
      </c>
      <c r="Q4" s="2591">
        <f>M4</f>
        <v>5.2499691569278606E-3</v>
      </c>
      <c r="R4" s="1907">
        <f>N4*I4</f>
        <v>7140</v>
      </c>
      <c r="S4" s="1907">
        <f>O4*I4</f>
        <v>817498.02469135798</v>
      </c>
      <c r="T4" s="1909"/>
      <c r="U4" s="1909"/>
      <c r="V4" s="1909"/>
      <c r="W4" s="1909"/>
      <c r="X4" s="233">
        <f>+VLOOKUP(CONCATENATE(G4," and ",H4),$B$103:$D$106,3,FALSE)</f>
        <v>11</v>
      </c>
      <c r="Y4" s="233">
        <f>+VLOOKUP(CONCATENATE(G4," and ",H4),$B$103:$D$106,2,FALSE)</f>
        <v>10</v>
      </c>
      <c r="Z4" s="233" t="s">
        <v>1363</v>
      </c>
      <c r="AA4" s="233">
        <v>0.03</v>
      </c>
    </row>
    <row r="5" spans="1:43" s="60" customFormat="1" ht="29" x14ac:dyDescent="0.35">
      <c r="A5" s="1901" t="s">
        <v>1367</v>
      </c>
      <c r="B5" s="1901" t="s">
        <v>1368</v>
      </c>
      <c r="C5" s="143" t="s">
        <v>1369</v>
      </c>
      <c r="D5" s="1902" t="s">
        <v>421</v>
      </c>
      <c r="E5" s="1903" t="s">
        <v>1072</v>
      </c>
      <c r="F5" s="50" t="s">
        <v>1370</v>
      </c>
      <c r="G5" t="s">
        <v>1364</v>
      </c>
      <c r="H5" t="s">
        <v>1365</v>
      </c>
      <c r="I5" s="1904">
        <f>VLOOKUP(F5,$B$89:$C$100,2,FALSE)</f>
        <v>16.25</v>
      </c>
      <c r="J5" s="2582">
        <f>VLOOKUP(F5,$B$89:$D$100,3,FALSE)</f>
        <v>466.5</v>
      </c>
      <c r="K5" s="1906" t="s">
        <v>1366</v>
      </c>
      <c r="L5" s="2590">
        <f>VLOOKUP(F5,$B$89:$M$100,Y5,FALSE)*AA5</f>
        <v>93.614999999999995</v>
      </c>
      <c r="M5" s="2590">
        <f>(L5/$B$48)*VLOOKUP($Z5,$B$113:$C$119,2,FALSE)</f>
        <v>5.7431059396151792E-3</v>
      </c>
      <c r="N5" s="1907">
        <f>VLOOKUP(F5,$B$89:$M$100,X5,FALSE)</f>
        <v>528.75</v>
      </c>
      <c r="O5" s="1907">
        <f>+VLOOKUP(F5,$B$89:$M$100,12,FALSE)</f>
        <v>73607</v>
      </c>
      <c r="P5" s="2590">
        <f>L5*I5</f>
        <v>1521.2437499999999</v>
      </c>
      <c r="Q5" s="2591">
        <f>M5</f>
        <v>5.7431059396151792E-3</v>
      </c>
      <c r="R5" s="1907">
        <f>N5*I5</f>
        <v>8592.1875</v>
      </c>
      <c r="S5" s="1907">
        <f>O5*I5</f>
        <v>1196113.75</v>
      </c>
      <c r="T5" s="1909"/>
      <c r="U5" s="1909"/>
      <c r="V5" s="1909"/>
      <c r="W5" s="1909"/>
      <c r="X5" s="233">
        <f>+VLOOKUP(CONCATENATE(G5," and ",H5),$B$103:$D$106,3,FALSE)</f>
        <v>11</v>
      </c>
      <c r="Y5" s="233">
        <f>+VLOOKUP(CONCATENATE(G5," and ",H5),$B$103:$D$106,2,FALSE)</f>
        <v>10</v>
      </c>
      <c r="Z5" s="233" t="s">
        <v>1363</v>
      </c>
      <c r="AA5" s="233">
        <v>0.03</v>
      </c>
    </row>
    <row r="6" spans="1:43" s="60" customFormat="1" ht="29" x14ac:dyDescent="0.35">
      <c r="A6" s="1901" t="s">
        <v>1371</v>
      </c>
      <c r="B6" s="1901" t="s">
        <v>1372</v>
      </c>
      <c r="C6" s="143" t="s">
        <v>1373</v>
      </c>
      <c r="D6" s="1902" t="s">
        <v>421</v>
      </c>
      <c r="E6" s="1903" t="s">
        <v>1072</v>
      </c>
      <c r="F6" s="50" t="s">
        <v>1374</v>
      </c>
      <c r="G6" t="s">
        <v>1364</v>
      </c>
      <c r="H6" t="s">
        <v>1365</v>
      </c>
      <c r="I6" s="1904">
        <f>VLOOKUP(F6,$B$89:$C$100,2,FALSE)</f>
        <v>15</v>
      </c>
      <c r="J6" s="2582">
        <f>VLOOKUP(F6,$B$89:$D$100,3,FALSE)</f>
        <v>1550</v>
      </c>
      <c r="K6" s="1906" t="s">
        <v>1366</v>
      </c>
      <c r="L6" s="2590">
        <f>VLOOKUP(F6,$B$89:$M$100,Y6,FALSE)*AA6</f>
        <v>79.145999999999987</v>
      </c>
      <c r="M6" s="2590">
        <f>(L6/$B$48)*VLOOKUP($Z6,$B$113:$C$119,2,FALSE)</f>
        <v>4.8554597307780044E-3</v>
      </c>
      <c r="N6" s="1907">
        <f>VLOOKUP(F6,$B$89:$M$100,X6,FALSE)</f>
        <v>403.2</v>
      </c>
      <c r="O6" s="1907">
        <f>+VLOOKUP(F6,$B$89:$M$100,12,FALSE)</f>
        <v>35710.6</v>
      </c>
      <c r="P6" s="2590">
        <f>L6*I6</f>
        <v>1187.1899999999998</v>
      </c>
      <c r="Q6" s="2591">
        <f>M6</f>
        <v>4.8554597307780044E-3</v>
      </c>
      <c r="R6" s="1907">
        <f>N6*I6</f>
        <v>6048</v>
      </c>
      <c r="S6" s="1907">
        <f>O6*I6</f>
        <v>535659</v>
      </c>
      <c r="T6" s="1909"/>
      <c r="U6" s="1909"/>
      <c r="V6" s="1909"/>
      <c r="W6" s="1909"/>
      <c r="X6" s="233">
        <f>+VLOOKUP(CONCATENATE(G6," and ",H6),$B$103:$D$106,3,FALSE)</f>
        <v>11</v>
      </c>
      <c r="Y6" s="233">
        <f>+VLOOKUP(CONCATENATE(G6," and ",H6),$B$103:$D$106,2,FALSE)</f>
        <v>10</v>
      </c>
      <c r="Z6" s="233" t="s">
        <v>1363</v>
      </c>
      <c r="AA6" s="233">
        <v>0.03</v>
      </c>
    </row>
    <row r="7" spans="1:43" s="60" customFormat="1" x14ac:dyDescent="0.35">
      <c r="A7" s="1796"/>
      <c r="B7" s="1796"/>
      <c r="C7" s="1798"/>
      <c r="D7" s="1825"/>
      <c r="E7" s="1826"/>
      <c r="F7" s="1826"/>
      <c r="G7" s="1826"/>
      <c r="H7" s="1826"/>
      <c r="I7" s="1826"/>
      <c r="J7" s="1828"/>
      <c r="K7" s="1829"/>
      <c r="L7" s="1830"/>
      <c r="M7" s="1831"/>
      <c r="N7" s="1830"/>
      <c r="O7" s="1830"/>
      <c r="P7" s="1830"/>
      <c r="Q7" s="1831"/>
      <c r="R7" s="1838"/>
      <c r="S7" s="1838"/>
      <c r="T7" s="1838"/>
      <c r="U7" s="1838"/>
      <c r="V7" s="1838"/>
      <c r="W7" s="1838"/>
      <c r="X7" s="1838"/>
      <c r="Y7" s="1838"/>
      <c r="Z7" s="1838"/>
      <c r="AA7" s="1838"/>
    </row>
    <row r="8" spans="1:43" x14ac:dyDescent="0.35">
      <c r="A8" s="1835"/>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row>
    <row r="10" spans="1:43" ht="15" thickBot="1" x14ac:dyDescent="0.4"/>
    <row r="11" spans="1:43" ht="15" thickBot="1" x14ac:dyDescent="0.4">
      <c r="AA11" s="1839" t="s">
        <v>1375</v>
      </c>
      <c r="AB11" s="1840"/>
      <c r="AC11" s="1840"/>
      <c r="AD11" s="1840"/>
      <c r="AE11" s="1840"/>
      <c r="AF11" s="1840"/>
      <c r="AG11" s="1840"/>
      <c r="AH11" s="1840"/>
      <c r="AI11" s="1840"/>
      <c r="AJ11" s="1840"/>
      <c r="AK11" s="1840"/>
      <c r="AL11" s="1840"/>
      <c r="AM11" s="1840"/>
      <c r="AN11" s="1840"/>
      <c r="AO11" s="1840"/>
      <c r="AP11" s="1840"/>
      <c r="AQ11" s="1841"/>
    </row>
    <row r="12" spans="1:43" x14ac:dyDescent="0.35">
      <c r="AA12" s="1842" t="s">
        <v>1376</v>
      </c>
      <c r="AB12" s="1843"/>
      <c r="AC12" s="1843"/>
      <c r="AD12" s="1843"/>
      <c r="AE12" s="1843"/>
      <c r="AF12" s="1843"/>
      <c r="AG12" s="1843"/>
      <c r="AH12" s="1843"/>
      <c r="AI12" s="1843"/>
      <c r="AJ12" s="1843"/>
      <c r="AK12" s="1843"/>
      <c r="AL12" s="1843"/>
      <c r="AM12" s="1843"/>
      <c r="AN12" s="1843"/>
      <c r="AO12" s="1843"/>
      <c r="AP12" s="1843"/>
      <c r="AQ12" s="1669"/>
    </row>
    <row r="13" spans="1:43" ht="15" thickBot="1" x14ac:dyDescent="0.4">
      <c r="AA13" s="1844" t="s">
        <v>1377</v>
      </c>
      <c r="AB13" s="1843"/>
      <c r="AC13" s="1843"/>
      <c r="AD13" s="1843"/>
      <c r="AE13" s="1843"/>
      <c r="AF13" s="1843"/>
      <c r="AG13" s="1843"/>
      <c r="AH13" s="1843"/>
      <c r="AI13" s="1843"/>
      <c r="AJ13" s="1843"/>
      <c r="AK13" s="1843"/>
      <c r="AL13" s="1843"/>
      <c r="AM13" s="1843"/>
      <c r="AN13" s="1843"/>
      <c r="AO13" s="1843"/>
      <c r="AP13" s="1843"/>
      <c r="AQ13" s="1669"/>
    </row>
    <row r="14" spans="1:43" ht="15" thickBot="1" x14ac:dyDescent="0.4">
      <c r="A14" s="74" t="s">
        <v>1188</v>
      </c>
      <c r="B14" s="64"/>
      <c r="C14" s="64"/>
      <c r="D14" s="64"/>
      <c r="E14" s="64"/>
      <c r="F14" s="64"/>
      <c r="G14" s="65"/>
      <c r="AA14" s="1844" t="s">
        <v>1378</v>
      </c>
      <c r="AB14" s="1843"/>
      <c r="AC14" s="1843"/>
      <c r="AD14" s="1843"/>
      <c r="AE14" s="1843"/>
      <c r="AF14" s="1843"/>
      <c r="AG14" s="1843"/>
      <c r="AH14" s="1843"/>
      <c r="AI14" s="1843"/>
      <c r="AJ14" s="1843"/>
      <c r="AK14" s="1843"/>
      <c r="AL14" s="1843"/>
      <c r="AM14" s="1843"/>
      <c r="AN14" s="1843"/>
      <c r="AO14" s="1843"/>
      <c r="AP14" s="1843"/>
      <c r="AQ14" s="1669"/>
    </row>
    <row r="15" spans="1:43" x14ac:dyDescent="0.35">
      <c r="A15" s="1845" t="s">
        <v>1379</v>
      </c>
      <c r="B15" s="1846"/>
      <c r="C15" s="1847"/>
      <c r="G15" s="253"/>
      <c r="AA15" s="1844" t="s">
        <v>1380</v>
      </c>
      <c r="AB15" s="1843"/>
      <c r="AC15" s="1843"/>
      <c r="AD15" s="1843"/>
      <c r="AE15" s="1843"/>
      <c r="AF15" s="1843"/>
      <c r="AG15" s="1843"/>
      <c r="AH15" s="1843"/>
      <c r="AI15" s="1843"/>
      <c r="AJ15" s="1843"/>
      <c r="AK15" s="1843"/>
      <c r="AL15" s="1843"/>
      <c r="AM15" s="1843"/>
      <c r="AN15" s="1843"/>
      <c r="AO15" s="1843"/>
      <c r="AP15" s="1843"/>
      <c r="AQ15" s="1669"/>
    </row>
    <row r="16" spans="1:43" x14ac:dyDescent="0.35">
      <c r="A16" s="387" t="s">
        <v>1381</v>
      </c>
      <c r="B16" s="274"/>
      <c r="G16" s="253"/>
      <c r="AA16" s="1844" t="s">
        <v>1382</v>
      </c>
      <c r="AB16" s="1843"/>
      <c r="AC16" s="1843"/>
      <c r="AD16" s="1843"/>
      <c r="AE16" s="1843"/>
      <c r="AF16" s="1843"/>
      <c r="AG16" s="1843"/>
      <c r="AH16" s="1843"/>
      <c r="AI16" s="1843"/>
      <c r="AJ16" s="1843"/>
      <c r="AK16" s="1843"/>
      <c r="AL16" s="1843"/>
      <c r="AM16" s="1843"/>
      <c r="AN16" s="1843"/>
      <c r="AO16" s="1843"/>
      <c r="AP16" s="1843"/>
      <c r="AQ16" s="1669"/>
    </row>
    <row r="17" spans="1:43" x14ac:dyDescent="0.35">
      <c r="A17" s="254" t="s">
        <v>1383</v>
      </c>
      <c r="B17" s="274"/>
      <c r="G17" s="253"/>
      <c r="AA17" s="1844"/>
      <c r="AB17" s="1843"/>
      <c r="AC17" s="1843"/>
      <c r="AD17" s="1843"/>
      <c r="AE17" s="1843"/>
      <c r="AF17" s="1843"/>
      <c r="AG17" s="1843"/>
      <c r="AH17" s="1843"/>
      <c r="AI17" s="1843"/>
      <c r="AJ17" s="1843"/>
      <c r="AK17" s="1843"/>
      <c r="AL17" s="1843"/>
      <c r="AM17" s="1843"/>
      <c r="AN17" s="1843"/>
      <c r="AO17" s="1843"/>
      <c r="AP17" s="1843"/>
      <c r="AQ17" s="1669"/>
    </row>
    <row r="18" spans="1:43" ht="15" thickBot="1" x14ac:dyDescent="0.4">
      <c r="A18" s="88" t="s">
        <v>1384</v>
      </c>
      <c r="B18" s="85"/>
      <c r="C18" s="85"/>
      <c r="D18" s="85"/>
      <c r="E18" s="85"/>
      <c r="F18" s="85"/>
      <c r="G18" s="86"/>
      <c r="AA18" s="1844"/>
      <c r="AB18" s="1843"/>
      <c r="AC18" s="1843"/>
      <c r="AD18" s="1843"/>
      <c r="AE18" s="1843"/>
      <c r="AF18" s="1843"/>
      <c r="AG18" s="1843"/>
      <c r="AH18" s="1843"/>
      <c r="AI18" s="1843"/>
      <c r="AJ18" s="1843"/>
      <c r="AK18" s="1843"/>
      <c r="AL18" s="1843"/>
      <c r="AM18" s="1843"/>
      <c r="AN18" s="1843"/>
      <c r="AO18" s="1843"/>
      <c r="AP18" s="1843"/>
      <c r="AQ18" s="1669"/>
    </row>
    <row r="19" spans="1:43" ht="15" thickBot="1" x14ac:dyDescent="0.4">
      <c r="AA19" s="1844"/>
      <c r="AB19" s="1843"/>
      <c r="AC19" s="1843"/>
      <c r="AD19" s="1843"/>
      <c r="AE19" s="1843"/>
      <c r="AF19" s="1843"/>
      <c r="AG19" s="1843"/>
      <c r="AH19" s="1843"/>
      <c r="AI19" s="1843"/>
      <c r="AJ19" s="1843"/>
      <c r="AK19" s="1843"/>
      <c r="AL19" s="1843"/>
      <c r="AM19" s="1843"/>
      <c r="AN19" s="1843"/>
      <c r="AO19" s="1843"/>
      <c r="AP19" s="1843"/>
      <c r="AQ19" s="1669"/>
    </row>
    <row r="20" spans="1:43" ht="15" thickBot="1" x14ac:dyDescent="0.4">
      <c r="A20" s="74" t="s">
        <v>1296</v>
      </c>
      <c r="B20" s="64"/>
      <c r="C20" s="64"/>
      <c r="D20" s="64"/>
      <c r="E20" s="64"/>
      <c r="F20" s="64"/>
      <c r="G20" s="65"/>
      <c r="AA20" s="1844"/>
      <c r="AB20" s="1843"/>
      <c r="AC20" s="1843"/>
      <c r="AD20" s="1843"/>
      <c r="AE20" s="1843"/>
      <c r="AF20" s="1843"/>
      <c r="AG20" s="1843"/>
      <c r="AH20" s="1843"/>
      <c r="AI20" s="1843"/>
      <c r="AJ20" s="1843"/>
      <c r="AK20" s="1843"/>
      <c r="AL20" s="1843"/>
      <c r="AM20" s="1843"/>
      <c r="AN20" s="1843"/>
      <c r="AO20" s="1843"/>
      <c r="AP20" s="1843"/>
      <c r="AQ20" s="1669"/>
    </row>
    <row r="21" spans="1:43" ht="15" thickBot="1" x14ac:dyDescent="0.4">
      <c r="A21" s="254" t="s">
        <v>1385</v>
      </c>
      <c r="G21" s="253"/>
      <c r="AA21" s="1848"/>
      <c r="AB21" s="1849"/>
      <c r="AC21" s="1849"/>
      <c r="AD21" s="1849"/>
      <c r="AE21" s="1849"/>
      <c r="AF21" s="1849"/>
      <c r="AG21" s="1849"/>
      <c r="AH21" s="1849"/>
      <c r="AI21" s="1849"/>
      <c r="AJ21" s="1849"/>
      <c r="AK21" s="1849"/>
      <c r="AL21" s="1849"/>
      <c r="AM21" s="1849"/>
      <c r="AN21" s="1849"/>
      <c r="AO21" s="1849"/>
      <c r="AP21" s="1849"/>
      <c r="AQ21" s="1850"/>
    </row>
    <row r="22" spans="1:43" x14ac:dyDescent="0.35">
      <c r="A22" s="254" t="s">
        <v>1386</v>
      </c>
      <c r="G22" s="253"/>
    </row>
    <row r="23" spans="1:43" ht="15" thickBot="1" x14ac:dyDescent="0.4">
      <c r="A23" s="88"/>
      <c r="B23" s="85"/>
      <c r="C23" s="85"/>
      <c r="D23" s="85"/>
      <c r="E23" s="85"/>
      <c r="F23" s="85"/>
      <c r="G23" s="86"/>
    </row>
    <row r="24" spans="1:43" ht="15" thickBot="1" x14ac:dyDescent="0.4">
      <c r="AA24" s="1726" t="s">
        <v>1387</v>
      </c>
      <c r="AB24" s="1728"/>
      <c r="AC24" s="1728"/>
      <c r="AD24" s="1728"/>
      <c r="AE24" s="1728"/>
      <c r="AF24" s="1728"/>
      <c r="AG24" s="1728"/>
      <c r="AH24" s="1728"/>
      <c r="AI24" s="1728"/>
      <c r="AJ24" s="1728"/>
      <c r="AK24" s="1728"/>
      <c r="AL24" s="1728"/>
      <c r="AM24" s="1728"/>
      <c r="AN24" s="1728"/>
      <c r="AO24" s="1728"/>
      <c r="AP24" s="1728"/>
      <c r="AQ24" s="1851"/>
    </row>
    <row r="25" spans="1:43" ht="15" thickBot="1" x14ac:dyDescent="0.4">
      <c r="AA25" s="1852" t="s">
        <v>1388</v>
      </c>
      <c r="AB25" s="1853"/>
      <c r="AC25" s="1853"/>
      <c r="AD25" s="1853"/>
      <c r="AE25" s="1853"/>
      <c r="AF25" s="1853"/>
      <c r="AG25" s="1853"/>
      <c r="AH25" s="1853"/>
      <c r="AI25" s="1853"/>
      <c r="AJ25" s="1853"/>
      <c r="AK25" s="1853"/>
      <c r="AL25" s="1853"/>
      <c r="AM25" s="1853"/>
      <c r="AN25" s="1853"/>
      <c r="AO25" s="1853"/>
      <c r="AP25" s="1853"/>
      <c r="AQ25" s="1854"/>
    </row>
    <row r="26" spans="1:43" ht="15" thickBot="1" x14ac:dyDescent="0.4">
      <c r="A26" s="74" t="s">
        <v>1285</v>
      </c>
      <c r="B26" s="75" t="s">
        <v>1199</v>
      </c>
      <c r="C26" s="76" t="s">
        <v>1082</v>
      </c>
      <c r="D26" s="64"/>
      <c r="E26" s="65"/>
      <c r="F26" s="64"/>
      <c r="G26" s="65"/>
      <c r="H26" s="1813" t="s">
        <v>1389</v>
      </c>
      <c r="I26" s="1814" t="s">
        <v>1390</v>
      </c>
      <c r="AA26" s="1852"/>
      <c r="AB26" s="1853"/>
      <c r="AC26" s="1853"/>
      <c r="AD26" s="1853"/>
      <c r="AE26" s="1853"/>
      <c r="AF26" s="1853"/>
      <c r="AG26" s="1853"/>
      <c r="AH26" s="1853"/>
      <c r="AI26" s="1853"/>
      <c r="AJ26" s="1853"/>
      <c r="AK26" s="1853"/>
      <c r="AL26" s="1853"/>
      <c r="AM26" s="1853"/>
      <c r="AN26" s="1853"/>
      <c r="AO26" s="1853"/>
      <c r="AP26" s="1853"/>
      <c r="AQ26" s="1854"/>
    </row>
    <row r="27" spans="1:43" ht="29" x14ac:dyDescent="0.35">
      <c r="A27" s="151" t="s">
        <v>1391</v>
      </c>
      <c r="B27" s="276" t="s">
        <v>1392</v>
      </c>
      <c r="C27" s="152" t="s">
        <v>1393</v>
      </c>
      <c r="D27" s="152"/>
      <c r="E27" s="152"/>
      <c r="F27" s="152"/>
      <c r="G27" s="153"/>
      <c r="H27" s="1855" t="s">
        <v>1394</v>
      </c>
      <c r="I27" s="81"/>
      <c r="AA27" s="1852"/>
      <c r="AB27" s="1853"/>
      <c r="AC27" s="1853"/>
      <c r="AD27" s="1853"/>
      <c r="AE27" s="1853"/>
      <c r="AF27" s="1853"/>
      <c r="AG27" s="1853"/>
      <c r="AH27" s="1853"/>
      <c r="AI27" s="1853"/>
      <c r="AJ27" s="1853"/>
      <c r="AK27" s="1853"/>
      <c r="AL27" s="1853"/>
      <c r="AM27" s="1853"/>
      <c r="AN27" s="1853"/>
      <c r="AO27" s="1853"/>
      <c r="AP27" s="1853"/>
      <c r="AQ27" s="1854"/>
    </row>
    <row r="28" spans="1:43" ht="15" thickBot="1" x14ac:dyDescent="0.4">
      <c r="A28" s="155"/>
      <c r="B28" s="277"/>
      <c r="C28" s="156"/>
      <c r="D28" s="156"/>
      <c r="E28" s="156"/>
      <c r="F28" s="156"/>
      <c r="G28" s="157"/>
      <c r="H28" s="88"/>
      <c r="I28" s="86"/>
      <c r="AA28" s="1856"/>
      <c r="AB28" s="1857"/>
      <c r="AC28" s="1857"/>
      <c r="AD28" s="1857"/>
      <c r="AE28" s="1857"/>
      <c r="AF28" s="1857"/>
      <c r="AG28" s="1857"/>
      <c r="AH28" s="1857"/>
      <c r="AI28" s="1857"/>
      <c r="AJ28" s="1857"/>
      <c r="AK28" s="1857"/>
      <c r="AL28" s="1857"/>
      <c r="AM28" s="1857"/>
      <c r="AN28" s="1857"/>
      <c r="AO28" s="1857"/>
      <c r="AP28" s="1857"/>
      <c r="AQ28" s="1858"/>
    </row>
    <row r="29" spans="1:43" ht="29.5" thickBot="1" x14ac:dyDescent="0.4">
      <c r="A29" s="151" t="s">
        <v>1395</v>
      </c>
      <c r="B29" s="276" t="s">
        <v>1392</v>
      </c>
      <c r="C29" s="152" t="s">
        <v>1396</v>
      </c>
      <c r="D29" s="152"/>
      <c r="E29" s="152"/>
      <c r="F29" s="152"/>
      <c r="G29" s="153"/>
      <c r="H29" s="1855" t="s">
        <v>1394</v>
      </c>
      <c r="I29" s="81"/>
    </row>
    <row r="30" spans="1:43" ht="15" thickBot="1" x14ac:dyDescent="0.4">
      <c r="A30" s="155"/>
      <c r="B30" s="277"/>
      <c r="C30" s="156"/>
      <c r="D30" s="156"/>
      <c r="E30" s="156"/>
      <c r="F30" s="156"/>
      <c r="G30" s="157"/>
      <c r="H30" s="88"/>
      <c r="I30" s="86"/>
      <c r="AA30" s="1859" t="s">
        <v>1397</v>
      </c>
      <c r="AB30" s="1860"/>
      <c r="AC30" s="1860"/>
      <c r="AD30" s="1860"/>
      <c r="AE30" s="1860"/>
      <c r="AF30" s="1860"/>
      <c r="AG30" s="1860"/>
      <c r="AH30" s="1860"/>
      <c r="AI30" s="1860"/>
      <c r="AJ30" s="1860"/>
      <c r="AK30" s="1860"/>
      <c r="AL30" s="1860"/>
      <c r="AM30" s="1860"/>
      <c r="AN30" s="1860"/>
      <c r="AO30" s="1860"/>
      <c r="AP30" s="1860"/>
      <c r="AQ30" s="1861"/>
    </row>
    <row r="31" spans="1:43" ht="87" x14ac:dyDescent="0.35">
      <c r="A31" s="151" t="s">
        <v>1398</v>
      </c>
      <c r="B31" s="276" t="s">
        <v>1399</v>
      </c>
      <c r="C31" s="152" t="s">
        <v>1400</v>
      </c>
      <c r="D31" s="152"/>
      <c r="E31" s="152"/>
      <c r="F31" s="152"/>
      <c r="G31" s="153"/>
      <c r="H31" s="1855" t="s">
        <v>1401</v>
      </c>
      <c r="I31" s="81"/>
      <c r="AA31" s="1862" t="s">
        <v>1402</v>
      </c>
      <c r="AB31" s="1863"/>
      <c r="AC31" s="1863"/>
      <c r="AD31" s="1863"/>
      <c r="AE31" s="1863"/>
      <c r="AF31" s="1863"/>
      <c r="AG31" s="1863"/>
      <c r="AH31" s="1863"/>
      <c r="AI31" s="1863"/>
      <c r="AJ31" s="1863"/>
      <c r="AK31" s="1863"/>
      <c r="AL31" s="1863"/>
      <c r="AM31" s="1863"/>
      <c r="AN31" s="1863"/>
      <c r="AO31" s="1863"/>
      <c r="AP31" s="1863"/>
      <c r="AQ31" s="1864"/>
    </row>
    <row r="32" spans="1:43" ht="35.25" customHeight="1" thickBot="1" x14ac:dyDescent="0.4">
      <c r="A32" s="155"/>
      <c r="B32" s="277"/>
      <c r="C32" s="3039" t="s">
        <v>1403</v>
      </c>
      <c r="D32" s="3039"/>
      <c r="E32" s="3039"/>
      <c r="F32" s="3039"/>
      <c r="G32" s="3040"/>
      <c r="H32" s="88"/>
      <c r="I32" s="86"/>
      <c r="AA32" s="1865"/>
      <c r="AB32" s="1866"/>
      <c r="AC32" s="1866"/>
      <c r="AD32" s="1866"/>
      <c r="AE32" s="1866"/>
      <c r="AF32" s="1866"/>
      <c r="AG32" s="1866"/>
      <c r="AH32" s="1866"/>
      <c r="AI32" s="1866"/>
      <c r="AJ32" s="1866"/>
      <c r="AK32" s="1866"/>
      <c r="AL32" s="1866"/>
      <c r="AM32" s="1866"/>
      <c r="AN32" s="1866"/>
      <c r="AO32" s="1866"/>
      <c r="AP32" s="1866"/>
      <c r="AQ32" s="1867"/>
    </row>
    <row r="33" spans="1:9" ht="87" x14ac:dyDescent="0.35">
      <c r="A33" s="151" t="s">
        <v>1404</v>
      </c>
      <c r="B33" s="276" t="s">
        <v>1399</v>
      </c>
      <c r="C33" s="152" t="s">
        <v>1405</v>
      </c>
      <c r="D33" s="152"/>
      <c r="E33" s="152"/>
      <c r="F33" s="152"/>
      <c r="G33" s="153"/>
      <c r="H33" s="1855" t="s">
        <v>1401</v>
      </c>
      <c r="I33" s="81"/>
    </row>
    <row r="34" spans="1:9" ht="35.25" customHeight="1" thickBot="1" x14ac:dyDescent="0.4">
      <c r="A34" s="155"/>
      <c r="B34" s="277"/>
      <c r="C34" s="3039" t="s">
        <v>1403</v>
      </c>
      <c r="D34" s="3039"/>
      <c r="E34" s="3039"/>
      <c r="F34" s="3039"/>
      <c r="G34" s="3040"/>
      <c r="H34" s="88"/>
      <c r="I34" s="86"/>
    </row>
    <row r="35" spans="1:9" ht="87" x14ac:dyDescent="0.35">
      <c r="A35" s="151" t="s">
        <v>1406</v>
      </c>
      <c r="B35" s="276" t="s">
        <v>1399</v>
      </c>
      <c r="C35" s="152" t="s">
        <v>1407</v>
      </c>
      <c r="D35" s="152"/>
      <c r="E35" s="152"/>
      <c r="F35" s="152"/>
      <c r="G35" s="153"/>
      <c r="H35" s="1855" t="s">
        <v>1401</v>
      </c>
      <c r="I35" s="81"/>
    </row>
    <row r="36" spans="1:9" ht="39.75" customHeight="1" thickBot="1" x14ac:dyDescent="0.4">
      <c r="A36" s="155"/>
      <c r="B36" s="277"/>
      <c r="C36" s="3039" t="s">
        <v>1403</v>
      </c>
      <c r="D36" s="3039"/>
      <c r="E36" s="3039"/>
      <c r="F36" s="3039"/>
      <c r="G36" s="3040"/>
      <c r="H36" s="88"/>
      <c r="I36" s="86"/>
    </row>
    <row r="37" spans="1:9" x14ac:dyDescent="0.35">
      <c r="A37" s="151" t="s">
        <v>1063</v>
      </c>
      <c r="B37" s="276">
        <v>365.25</v>
      </c>
      <c r="C37" s="152" t="s">
        <v>1408</v>
      </c>
      <c r="D37" s="152"/>
      <c r="E37" s="152"/>
      <c r="F37" s="152"/>
      <c r="G37" s="153"/>
      <c r="H37" s="93" t="s">
        <v>1409</v>
      </c>
      <c r="I37" s="81"/>
    </row>
    <row r="38" spans="1:9" ht="15" thickBot="1" x14ac:dyDescent="0.4">
      <c r="A38" s="155"/>
      <c r="B38" s="277"/>
      <c r="C38" s="156" t="s">
        <v>1410</v>
      </c>
      <c r="D38" s="156"/>
      <c r="E38" s="156"/>
      <c r="F38" s="156"/>
      <c r="G38" s="157"/>
      <c r="H38" s="88"/>
      <c r="I38" s="86"/>
    </row>
    <row r="39" spans="1:9" ht="43.5" x14ac:dyDescent="0.35">
      <c r="A39" s="151" t="s">
        <v>1411</v>
      </c>
      <c r="B39" s="276" t="s">
        <v>1412</v>
      </c>
      <c r="C39" s="152" t="s">
        <v>1413</v>
      </c>
      <c r="D39" s="152"/>
      <c r="E39" s="152"/>
      <c r="F39" s="152"/>
      <c r="G39" s="153"/>
      <c r="H39" s="1855" t="s">
        <v>1414</v>
      </c>
      <c r="I39" s="81"/>
    </row>
    <row r="40" spans="1:9" ht="15" thickBot="1" x14ac:dyDescent="0.4">
      <c r="A40" s="155"/>
      <c r="B40" s="277"/>
      <c r="C40" s="156" t="s">
        <v>1415</v>
      </c>
      <c r="D40" s="156"/>
      <c r="E40" s="156"/>
      <c r="F40" s="156"/>
      <c r="G40" s="157"/>
      <c r="H40" s="88"/>
      <c r="I40" s="86"/>
    </row>
    <row r="41" spans="1:9" x14ac:dyDescent="0.35">
      <c r="A41" s="151" t="s">
        <v>1416</v>
      </c>
      <c r="B41" s="276">
        <v>1</v>
      </c>
      <c r="C41" s="152" t="s">
        <v>1417</v>
      </c>
      <c r="D41" s="152"/>
      <c r="E41" s="152"/>
      <c r="F41" s="152"/>
      <c r="G41" s="153"/>
      <c r="H41" s="254" t="s">
        <v>1418</v>
      </c>
      <c r="I41" s="253"/>
    </row>
    <row r="42" spans="1:9" x14ac:dyDescent="0.35">
      <c r="A42" s="166"/>
      <c r="B42" s="278">
        <v>8.1999999999999993</v>
      </c>
      <c r="C42" s="167" t="s">
        <v>1419</v>
      </c>
      <c r="D42" s="167"/>
      <c r="E42" s="167"/>
      <c r="F42" s="167"/>
      <c r="G42" s="168"/>
      <c r="H42" s="254"/>
      <c r="I42" s="253"/>
    </row>
    <row r="43" spans="1:9" ht="15" thickBot="1" x14ac:dyDescent="0.4">
      <c r="A43" s="155"/>
      <c r="B43" s="1868">
        <v>100000</v>
      </c>
      <c r="C43" s="156" t="s">
        <v>1420</v>
      </c>
      <c r="D43" s="156"/>
      <c r="E43" s="156"/>
      <c r="F43" s="156"/>
      <c r="G43" s="157"/>
      <c r="H43" s="254"/>
      <c r="I43" s="253"/>
    </row>
    <row r="44" spans="1:9" ht="29" x14ac:dyDescent="0.35">
      <c r="A44" s="151" t="s">
        <v>1421</v>
      </c>
      <c r="B44" s="1869">
        <v>0.8</v>
      </c>
      <c r="C44" s="152" t="s">
        <v>1422</v>
      </c>
      <c r="D44" s="152"/>
      <c r="E44" s="152"/>
      <c r="F44" s="152"/>
      <c r="G44" s="153"/>
      <c r="H44" s="1855" t="s">
        <v>1423</v>
      </c>
      <c r="I44" s="81"/>
    </row>
    <row r="45" spans="1:9" ht="15" thickBot="1" x14ac:dyDescent="0.4">
      <c r="A45" s="155"/>
      <c r="B45" s="277"/>
      <c r="C45" s="156" t="s">
        <v>1424</v>
      </c>
      <c r="D45" s="156"/>
      <c r="E45" s="156"/>
      <c r="F45" s="156"/>
      <c r="G45" s="157"/>
      <c r="H45" s="88"/>
      <c r="I45" s="86"/>
    </row>
    <row r="46" spans="1:9" x14ac:dyDescent="0.35">
      <c r="A46" s="166" t="s">
        <v>1179</v>
      </c>
      <c r="B46" s="278" t="s">
        <v>1425</v>
      </c>
      <c r="C46" s="167" t="s">
        <v>1426</v>
      </c>
      <c r="D46" s="167"/>
      <c r="E46" s="167"/>
      <c r="F46" s="167"/>
      <c r="G46" s="168"/>
      <c r="H46" s="93"/>
      <c r="I46" s="81"/>
    </row>
    <row r="47" spans="1:9" ht="15" thickBot="1" x14ac:dyDescent="0.4">
      <c r="A47" s="166"/>
      <c r="B47" s="278"/>
      <c r="C47" s="167" t="s">
        <v>1427</v>
      </c>
      <c r="D47" s="167"/>
      <c r="E47" s="167"/>
      <c r="F47" s="167"/>
      <c r="G47" s="168"/>
      <c r="H47" s="88"/>
      <c r="I47" s="86"/>
    </row>
    <row r="48" spans="1:9" x14ac:dyDescent="0.35">
      <c r="A48" s="315" t="s">
        <v>1428</v>
      </c>
      <c r="B48" s="1870">
        <f>18*365.25</f>
        <v>6574.5</v>
      </c>
      <c r="C48" s="312" t="s">
        <v>1429</v>
      </c>
      <c r="D48" s="152"/>
      <c r="E48" s="152"/>
      <c r="F48" s="152"/>
      <c r="G48" s="153"/>
      <c r="H48" s="254" t="s">
        <v>1418</v>
      </c>
      <c r="I48" s="253"/>
    </row>
    <row r="49" spans="1:28" ht="15" thickBot="1" x14ac:dyDescent="0.4">
      <c r="A49" s="155"/>
      <c r="B49" s="277"/>
      <c r="C49" s="1871" t="s">
        <v>1430</v>
      </c>
      <c r="D49" s="156"/>
      <c r="E49" s="156"/>
      <c r="F49" s="156"/>
      <c r="G49" s="157"/>
      <c r="H49" s="88"/>
      <c r="I49" s="86"/>
    </row>
    <row r="50" spans="1:28" ht="43.5" x14ac:dyDescent="0.35">
      <c r="A50" s="151" t="s">
        <v>1431</v>
      </c>
      <c r="B50" s="276"/>
      <c r="C50" s="152" t="s">
        <v>1432</v>
      </c>
      <c r="D50" s="152"/>
      <c r="E50" s="152"/>
      <c r="F50" s="152"/>
      <c r="G50" s="153"/>
      <c r="H50" s="1855" t="s">
        <v>1433</v>
      </c>
      <c r="I50" s="81"/>
    </row>
    <row r="51" spans="1:28" ht="15" thickBot="1" x14ac:dyDescent="0.4">
      <c r="A51" s="155"/>
      <c r="B51" s="277"/>
      <c r="C51" s="156" t="s">
        <v>1434</v>
      </c>
      <c r="D51" s="156"/>
      <c r="E51" s="156"/>
      <c r="F51" s="156"/>
      <c r="G51" s="157"/>
      <c r="H51" s="88"/>
      <c r="I51" s="86"/>
    </row>
    <row r="52" spans="1:28" ht="43.5" x14ac:dyDescent="0.35">
      <c r="A52" s="151" t="s">
        <v>1040</v>
      </c>
      <c r="B52" s="276"/>
      <c r="C52" s="152" t="s">
        <v>1435</v>
      </c>
      <c r="D52" s="152"/>
      <c r="E52" s="152"/>
      <c r="F52" s="152"/>
      <c r="G52" s="153"/>
      <c r="H52" s="1855" t="s">
        <v>1433</v>
      </c>
      <c r="I52" s="253"/>
    </row>
    <row r="53" spans="1:28" ht="15" thickBot="1" x14ac:dyDescent="0.4">
      <c r="A53" s="155"/>
      <c r="B53" s="277"/>
      <c r="C53" s="156" t="s">
        <v>1434</v>
      </c>
      <c r="D53" s="156"/>
      <c r="E53" s="156"/>
      <c r="F53" s="156"/>
      <c r="G53" s="157"/>
      <c r="H53" s="88"/>
      <c r="I53" s="86"/>
    </row>
    <row r="55" spans="1:28" ht="15" thickBot="1" x14ac:dyDescent="0.4"/>
    <row r="56" spans="1:28" ht="15" thickBot="1" x14ac:dyDescent="0.4">
      <c r="A56" s="97" t="s">
        <v>1257</v>
      </c>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5"/>
    </row>
    <row r="57" spans="1:28" ht="15" thickBot="1" x14ac:dyDescent="0.4">
      <c r="A57" s="254"/>
      <c r="AB57" s="253"/>
    </row>
    <row r="58" spans="1:28" ht="39.75" customHeight="1" thickBot="1" x14ac:dyDescent="0.4">
      <c r="A58" s="254"/>
      <c r="C58" s="3026" t="s">
        <v>1436</v>
      </c>
      <c r="D58" s="3027"/>
      <c r="E58" s="3028"/>
      <c r="F58" s="3026" t="s">
        <v>1437</v>
      </c>
      <c r="G58" s="3027"/>
      <c r="H58" s="3028"/>
      <c r="I58" s="3026" t="s">
        <v>1438</v>
      </c>
      <c r="J58" s="3027"/>
      <c r="K58" s="3028"/>
      <c r="L58" s="3026" t="s">
        <v>1439</v>
      </c>
      <c r="M58" s="3027"/>
      <c r="N58" s="3028"/>
      <c r="O58" s="1872" t="s">
        <v>1406</v>
      </c>
      <c r="P58" s="1873" t="s">
        <v>1440</v>
      </c>
      <c r="Q58" s="3029" t="s">
        <v>1441</v>
      </c>
      <c r="R58" s="3031"/>
      <c r="S58" s="3029" t="s">
        <v>1442</v>
      </c>
      <c r="T58" s="3030"/>
      <c r="U58" s="3030"/>
      <c r="V58" s="3030"/>
      <c r="W58" s="3030"/>
      <c r="X58" s="3031"/>
      <c r="AB58" s="253"/>
    </row>
    <row r="59" spans="1:28" ht="15" thickBot="1" x14ac:dyDescent="0.4">
      <c r="A59" s="1874" t="s">
        <v>1044</v>
      </c>
      <c r="B59" s="1023" t="s">
        <v>1443</v>
      </c>
      <c r="C59" s="1809" t="s">
        <v>1444</v>
      </c>
      <c r="D59" s="1809" t="s">
        <v>1445</v>
      </c>
      <c r="E59" s="1810" t="s">
        <v>1044</v>
      </c>
      <c r="F59" s="1808" t="s">
        <v>1444</v>
      </c>
      <c r="G59" s="1809" t="s">
        <v>1445</v>
      </c>
      <c r="H59" s="1810" t="s">
        <v>1044</v>
      </c>
      <c r="I59" s="1808" t="s">
        <v>1444</v>
      </c>
      <c r="J59" s="1809" t="s">
        <v>1445</v>
      </c>
      <c r="K59" s="1810" t="s">
        <v>1044</v>
      </c>
      <c r="L59" s="1808" t="s">
        <v>1444</v>
      </c>
      <c r="M59" s="1809" t="s">
        <v>1445</v>
      </c>
      <c r="N59" s="1810" t="s">
        <v>1044</v>
      </c>
      <c r="O59" s="1872" t="s">
        <v>1446</v>
      </c>
      <c r="P59" s="1873" t="s">
        <v>1446</v>
      </c>
      <c r="Q59" s="1872" t="s">
        <v>1447</v>
      </c>
      <c r="R59" s="1875" t="s">
        <v>1448</v>
      </c>
      <c r="S59" s="1872" t="s">
        <v>1447</v>
      </c>
      <c r="T59" s="1876"/>
      <c r="U59" s="1876"/>
      <c r="V59" s="1876"/>
      <c r="W59" s="1876"/>
      <c r="X59" s="1875" t="s">
        <v>1448</v>
      </c>
      <c r="AB59" s="253"/>
    </row>
    <row r="60" spans="1:28" x14ac:dyDescent="0.35">
      <c r="A60" s="254" t="s">
        <v>1449</v>
      </c>
      <c r="B60" s="253" t="s">
        <v>1450</v>
      </c>
      <c r="C60" s="30">
        <v>10972</v>
      </c>
      <c r="D60" s="2570">
        <v>7016</v>
      </c>
      <c r="E60" s="2571">
        <v>3957</v>
      </c>
      <c r="F60" s="1878">
        <v>10972</v>
      </c>
      <c r="G60" s="2570">
        <v>7016</v>
      </c>
      <c r="H60" s="2571">
        <v>3957</v>
      </c>
      <c r="I60" s="1878">
        <v>2831</v>
      </c>
      <c r="J60" s="2570">
        <v>1415</v>
      </c>
      <c r="K60" s="2571">
        <v>1415</v>
      </c>
      <c r="L60" s="1878">
        <v>2831</v>
      </c>
      <c r="M60" s="2570">
        <v>1415</v>
      </c>
      <c r="N60" s="2571">
        <v>1415</v>
      </c>
      <c r="O60" s="1879">
        <v>75</v>
      </c>
      <c r="P60" s="1880">
        <v>2</v>
      </c>
      <c r="Q60" s="1879">
        <v>1.73</v>
      </c>
      <c r="R60" s="1881">
        <v>1.19</v>
      </c>
      <c r="S60" s="1879">
        <v>0.5</v>
      </c>
      <c r="T60" s="1701"/>
      <c r="U60" s="1701"/>
      <c r="V60" s="1701"/>
      <c r="W60" s="1701"/>
      <c r="X60" s="2577">
        <v>0.25</v>
      </c>
      <c r="AB60" s="253"/>
    </row>
    <row r="61" spans="1:28" x14ac:dyDescent="0.35">
      <c r="A61" s="254" t="s">
        <v>1449</v>
      </c>
      <c r="B61" s="253" t="s">
        <v>1451</v>
      </c>
      <c r="C61" s="30">
        <v>39306</v>
      </c>
      <c r="D61" s="2570">
        <v>21937</v>
      </c>
      <c r="E61" s="2571">
        <v>17369</v>
      </c>
      <c r="F61" s="1878">
        <v>39306</v>
      </c>
      <c r="G61" s="2570">
        <v>21937</v>
      </c>
      <c r="H61" s="2571">
        <v>17369</v>
      </c>
      <c r="I61" s="1878">
        <v>2411</v>
      </c>
      <c r="J61" s="2570">
        <v>1205</v>
      </c>
      <c r="K61" s="2571">
        <v>1205</v>
      </c>
      <c r="L61" s="1878">
        <v>2411</v>
      </c>
      <c r="M61" s="2570">
        <v>1205</v>
      </c>
      <c r="N61" s="2571">
        <v>1205</v>
      </c>
      <c r="O61" s="1879">
        <v>280</v>
      </c>
      <c r="P61" s="1880">
        <v>1.5</v>
      </c>
      <c r="Q61" s="1879">
        <v>2.1</v>
      </c>
      <c r="R61" s="1881">
        <v>1.18</v>
      </c>
      <c r="S61" s="1879">
        <v>0.6</v>
      </c>
      <c r="T61" s="1701"/>
      <c r="U61" s="1701"/>
      <c r="V61" s="1701"/>
      <c r="W61" s="1701"/>
      <c r="X61" s="2577">
        <v>0.3</v>
      </c>
      <c r="AB61" s="253"/>
    </row>
    <row r="62" spans="1:28" x14ac:dyDescent="0.35">
      <c r="A62" s="254" t="s">
        <v>1449</v>
      </c>
      <c r="B62" s="253" t="s">
        <v>1452</v>
      </c>
      <c r="C62" s="30">
        <v>42230</v>
      </c>
      <c r="D62" s="2570">
        <v>24795</v>
      </c>
      <c r="E62" s="2571">
        <v>17434</v>
      </c>
      <c r="F62" s="1878">
        <v>42230</v>
      </c>
      <c r="G62" s="2570">
        <v>24795</v>
      </c>
      <c r="H62" s="2571">
        <v>17434</v>
      </c>
      <c r="I62" s="1878">
        <v>9350</v>
      </c>
      <c r="J62" s="2570">
        <v>4967</v>
      </c>
      <c r="K62" s="2571">
        <v>4383</v>
      </c>
      <c r="L62" s="1878">
        <v>9350</v>
      </c>
      <c r="M62" s="2570">
        <v>4967</v>
      </c>
      <c r="N62" s="2571">
        <v>4383</v>
      </c>
      <c r="O62" s="1879">
        <v>400</v>
      </c>
      <c r="P62" s="1880">
        <v>0.3</v>
      </c>
      <c r="Q62" s="1879">
        <v>1.31</v>
      </c>
      <c r="R62" s="1881">
        <v>0.79</v>
      </c>
      <c r="S62" s="1879">
        <v>1.6</v>
      </c>
      <c r="T62" s="1701"/>
      <c r="U62" s="1701"/>
      <c r="V62" s="1701"/>
      <c r="W62" s="1701"/>
      <c r="X62" s="2577">
        <v>0.85</v>
      </c>
      <c r="AB62" s="253"/>
    </row>
    <row r="63" spans="1:28" x14ac:dyDescent="0.35">
      <c r="A63" s="254" t="s">
        <v>1449</v>
      </c>
      <c r="B63" s="253" t="s">
        <v>1453</v>
      </c>
      <c r="C63" s="30">
        <v>50112</v>
      </c>
      <c r="D63" s="2570">
        <v>25809</v>
      </c>
      <c r="E63" s="2571">
        <v>24303</v>
      </c>
      <c r="F63" s="1878">
        <v>50112</v>
      </c>
      <c r="G63" s="2570">
        <v>25809</v>
      </c>
      <c r="H63" s="2571">
        <v>24303</v>
      </c>
      <c r="I63" s="1878">
        <v>10958</v>
      </c>
      <c r="J63" s="2570">
        <v>5479</v>
      </c>
      <c r="K63" s="2571">
        <v>5479</v>
      </c>
      <c r="L63" s="1878">
        <v>10958</v>
      </c>
      <c r="M63" s="2570">
        <v>5479</v>
      </c>
      <c r="N63" s="2571">
        <v>5479</v>
      </c>
      <c r="O63" s="1879">
        <v>600</v>
      </c>
      <c r="P63" s="1880">
        <v>0.3</v>
      </c>
      <c r="Q63" s="1879">
        <v>1.04</v>
      </c>
      <c r="R63" s="1881">
        <v>0.54</v>
      </c>
      <c r="S63" s="1879">
        <v>2</v>
      </c>
      <c r="T63" s="1701"/>
      <c r="U63" s="1701"/>
      <c r="V63" s="1701"/>
      <c r="W63" s="1701"/>
      <c r="X63" s="2577">
        <v>1</v>
      </c>
      <c r="AB63" s="253"/>
    </row>
    <row r="64" spans="1:28" x14ac:dyDescent="0.35">
      <c r="A64" s="254" t="s">
        <v>1454</v>
      </c>
      <c r="B64" s="253" t="s">
        <v>1450</v>
      </c>
      <c r="C64" s="30">
        <v>12363</v>
      </c>
      <c r="D64" s="2570">
        <v>8058</v>
      </c>
      <c r="E64" s="2571">
        <v>4305</v>
      </c>
      <c r="F64" s="1878">
        <v>9432</v>
      </c>
      <c r="G64" s="2570">
        <v>5746</v>
      </c>
      <c r="H64" s="2571">
        <v>3687</v>
      </c>
      <c r="I64" s="1878">
        <v>7234</v>
      </c>
      <c r="J64" s="2570">
        <v>4011</v>
      </c>
      <c r="K64" s="2571">
        <v>3223</v>
      </c>
      <c r="L64" s="1878">
        <v>4303</v>
      </c>
      <c r="M64" s="2570">
        <v>1698</v>
      </c>
      <c r="N64" s="2571">
        <v>2604</v>
      </c>
      <c r="O64" s="1879">
        <v>75</v>
      </c>
      <c r="P64" s="1880">
        <v>2</v>
      </c>
      <c r="Q64" s="1879">
        <v>1.0900000000000001</v>
      </c>
      <c r="R64" s="1881">
        <v>0.86</v>
      </c>
      <c r="S64" s="1879">
        <v>0.76</v>
      </c>
      <c r="T64" s="1701"/>
      <c r="U64" s="1701"/>
      <c r="V64" s="1701"/>
      <c r="W64" s="1701"/>
      <c r="X64" s="2577">
        <v>0.3</v>
      </c>
      <c r="AB64" s="253"/>
    </row>
    <row r="65" spans="1:28" x14ac:dyDescent="0.35">
      <c r="A65" s="254" t="s">
        <v>1454</v>
      </c>
      <c r="B65" s="253" t="s">
        <v>1451</v>
      </c>
      <c r="C65" s="30">
        <v>39852</v>
      </c>
      <c r="D65" s="2570">
        <v>27250</v>
      </c>
      <c r="E65" s="2571">
        <v>12602</v>
      </c>
      <c r="F65" s="1878">
        <v>26901</v>
      </c>
      <c r="G65" s="2570">
        <v>18315</v>
      </c>
      <c r="H65" s="2571">
        <v>8586</v>
      </c>
      <c r="I65" s="1878">
        <v>17188</v>
      </c>
      <c r="J65" s="2570">
        <v>11614</v>
      </c>
      <c r="K65" s="2571">
        <v>5574</v>
      </c>
      <c r="L65" s="1878">
        <v>4237</v>
      </c>
      <c r="M65" s="2570">
        <v>2679</v>
      </c>
      <c r="N65" s="2571">
        <v>1558</v>
      </c>
      <c r="O65" s="1879">
        <v>280</v>
      </c>
      <c r="P65" s="1880">
        <v>1</v>
      </c>
      <c r="Q65" s="1879">
        <v>1.29</v>
      </c>
      <c r="R65" s="1881">
        <v>0.89</v>
      </c>
      <c r="S65" s="1879">
        <v>0.87</v>
      </c>
      <c r="T65" s="1701"/>
      <c r="U65" s="1701"/>
      <c r="V65" s="1701"/>
      <c r="W65" s="1701"/>
      <c r="X65" s="2577">
        <v>0.55000000000000004</v>
      </c>
      <c r="AB65" s="253"/>
    </row>
    <row r="66" spans="1:28" x14ac:dyDescent="0.35">
      <c r="A66" s="254" t="s">
        <v>1454</v>
      </c>
      <c r="B66" s="253" t="s">
        <v>1452</v>
      </c>
      <c r="C66" s="30">
        <v>45593</v>
      </c>
      <c r="D66" s="2570">
        <v>34621</v>
      </c>
      <c r="E66" s="2571">
        <v>10971</v>
      </c>
      <c r="F66" s="1878">
        <v>33115</v>
      </c>
      <c r="G66" s="2570">
        <v>24582</v>
      </c>
      <c r="H66" s="2571">
        <v>8533</v>
      </c>
      <c r="I66" s="1878">
        <v>23757</v>
      </c>
      <c r="J66" s="2570">
        <v>17052</v>
      </c>
      <c r="K66" s="2571">
        <v>6704</v>
      </c>
      <c r="L66" s="1878">
        <v>11279</v>
      </c>
      <c r="M66" s="2570">
        <v>7013</v>
      </c>
      <c r="N66" s="2571">
        <v>4266</v>
      </c>
      <c r="O66" s="1879">
        <v>400</v>
      </c>
      <c r="P66" s="1880">
        <v>0.3</v>
      </c>
      <c r="Q66" s="1879">
        <v>0.87</v>
      </c>
      <c r="R66" s="1881">
        <v>0.7</v>
      </c>
      <c r="S66" s="1879">
        <v>1.93</v>
      </c>
      <c r="T66" s="1701"/>
      <c r="U66" s="1701"/>
      <c r="V66" s="1701"/>
      <c r="W66" s="1701"/>
      <c r="X66" s="2577">
        <v>1.2</v>
      </c>
      <c r="AB66" s="253"/>
    </row>
    <row r="67" spans="1:28" x14ac:dyDescent="0.35">
      <c r="A67" s="254" t="s">
        <v>1454</v>
      </c>
      <c r="B67" s="253" t="s">
        <v>1453</v>
      </c>
      <c r="C67" s="30">
        <v>72523</v>
      </c>
      <c r="D67" s="2570">
        <v>42759</v>
      </c>
      <c r="E67" s="2571">
        <v>29764</v>
      </c>
      <c r="F67" s="1878">
        <v>51655</v>
      </c>
      <c r="G67" s="2570">
        <v>31141</v>
      </c>
      <c r="H67" s="2571">
        <v>20513</v>
      </c>
      <c r="I67" s="1878">
        <v>36004</v>
      </c>
      <c r="J67" s="2570">
        <v>22429</v>
      </c>
      <c r="K67" s="2571">
        <v>13575</v>
      </c>
      <c r="L67" s="1878">
        <v>15136</v>
      </c>
      <c r="M67" s="2570">
        <v>10811</v>
      </c>
      <c r="N67" s="2571">
        <v>4325</v>
      </c>
      <c r="O67" s="1879">
        <v>600</v>
      </c>
      <c r="P67" s="1880">
        <v>0.2</v>
      </c>
      <c r="Q67" s="1879">
        <v>0.97</v>
      </c>
      <c r="R67" s="1881">
        <v>0.54</v>
      </c>
      <c r="S67" s="1879">
        <v>2.59</v>
      </c>
      <c r="T67" s="1701"/>
      <c r="U67" s="1701"/>
      <c r="V67" s="1701"/>
      <c r="W67" s="1701"/>
      <c r="X67" s="2577">
        <v>1.85</v>
      </c>
      <c r="AB67" s="253"/>
    </row>
    <row r="68" spans="1:28" ht="15" thickBot="1" x14ac:dyDescent="0.4">
      <c r="A68" s="88" t="s">
        <v>1454</v>
      </c>
      <c r="B68" s="86" t="s">
        <v>1455</v>
      </c>
      <c r="C68" s="1882">
        <v>21079</v>
      </c>
      <c r="D68" s="2572">
        <v>17328</v>
      </c>
      <c r="E68" s="2573">
        <v>3751</v>
      </c>
      <c r="F68" s="1883">
        <v>14052</v>
      </c>
      <c r="G68" s="2572">
        <v>11505</v>
      </c>
      <c r="H68" s="2573">
        <v>2547</v>
      </c>
      <c r="I68" s="1883">
        <v>8781</v>
      </c>
      <c r="J68" s="2572">
        <v>7138</v>
      </c>
      <c r="K68" s="2573">
        <v>1643</v>
      </c>
      <c r="L68" s="1883">
        <v>1753</v>
      </c>
      <c r="M68" s="2572">
        <v>1315</v>
      </c>
      <c r="N68" s="2574">
        <v>438</v>
      </c>
      <c r="O68" s="1884">
        <v>280</v>
      </c>
      <c r="P68" s="1885">
        <v>3</v>
      </c>
      <c r="Q68" s="1884">
        <v>0.7</v>
      </c>
      <c r="R68" s="1886">
        <v>0.57999999999999996</v>
      </c>
      <c r="S68" s="1884">
        <v>1.2</v>
      </c>
      <c r="T68" s="1887"/>
      <c r="U68" s="1887"/>
      <c r="V68" s="1887"/>
      <c r="W68" s="1887"/>
      <c r="X68" s="2578">
        <v>0.9</v>
      </c>
      <c r="AB68" s="253"/>
    </row>
    <row r="69" spans="1:28" ht="15" thickBot="1" x14ac:dyDescent="0.4">
      <c r="A69" s="88"/>
      <c r="B69" s="85"/>
      <c r="C69" s="30"/>
      <c r="D69" s="30"/>
      <c r="E69" s="1877"/>
      <c r="F69" s="1878"/>
      <c r="G69" s="30"/>
      <c r="H69" s="1877"/>
      <c r="I69" s="1878"/>
      <c r="J69" s="30"/>
      <c r="K69" s="1877"/>
      <c r="L69" s="1878"/>
      <c r="M69" s="30"/>
      <c r="N69" s="253"/>
      <c r="O69" s="1884"/>
      <c r="P69" s="1885"/>
      <c r="Q69" s="1884"/>
      <c r="R69" s="1886"/>
      <c r="S69" s="1884"/>
      <c r="T69" s="1887"/>
      <c r="U69" s="1887"/>
      <c r="V69" s="1887"/>
      <c r="W69" s="1887"/>
      <c r="X69" s="1886"/>
      <c r="AB69" s="253"/>
    </row>
    <row r="70" spans="1:28" ht="15" thickBot="1" x14ac:dyDescent="0.4">
      <c r="A70" s="88"/>
      <c r="B70" s="85"/>
      <c r="C70" s="3026" t="s">
        <v>1436</v>
      </c>
      <c r="D70" s="3027"/>
      <c r="E70" s="3028"/>
      <c r="F70" s="3026" t="s">
        <v>1437</v>
      </c>
      <c r="G70" s="3027"/>
      <c r="H70" s="3028"/>
      <c r="I70" s="3026" t="s">
        <v>1438</v>
      </c>
      <c r="J70" s="3027"/>
      <c r="K70" s="3028"/>
      <c r="L70" s="3026" t="s">
        <v>1439</v>
      </c>
      <c r="M70" s="3027"/>
      <c r="N70" s="3028"/>
      <c r="O70" s="1884"/>
      <c r="P70" s="1885"/>
      <c r="Q70" s="1884"/>
      <c r="R70" s="1886"/>
      <c r="S70" s="1884"/>
      <c r="T70" s="1887"/>
      <c r="U70" s="1887"/>
      <c r="V70" s="1887"/>
      <c r="W70" s="1887"/>
      <c r="X70" s="1886"/>
      <c r="AB70" s="253"/>
    </row>
    <row r="71" spans="1:28" ht="31.5" customHeight="1" thickBot="1" x14ac:dyDescent="0.4">
      <c r="A71" s="1873" t="s">
        <v>1456</v>
      </c>
      <c r="B71" s="1023" t="s">
        <v>1443</v>
      </c>
      <c r="C71" s="93"/>
      <c r="D71" s="80"/>
      <c r="E71" s="81"/>
      <c r="F71" s="1872" t="s">
        <v>1457</v>
      </c>
      <c r="G71" s="1876" t="s">
        <v>1458</v>
      </c>
      <c r="H71" s="1875" t="s">
        <v>1456</v>
      </c>
      <c r="I71" s="1872" t="s">
        <v>1457</v>
      </c>
      <c r="J71" s="1876" t="s">
        <v>1458</v>
      </c>
      <c r="K71" s="1875" t="s">
        <v>1456</v>
      </c>
      <c r="L71" s="1872" t="s">
        <v>1457</v>
      </c>
      <c r="M71" s="1876" t="s">
        <v>1458</v>
      </c>
      <c r="N71" s="1875" t="s">
        <v>1459</v>
      </c>
      <c r="O71" s="1872" t="s">
        <v>1446</v>
      </c>
      <c r="P71" s="1873" t="s">
        <v>1446</v>
      </c>
      <c r="Q71" s="1872" t="s">
        <v>1447</v>
      </c>
      <c r="R71" s="1875" t="s">
        <v>1448</v>
      </c>
      <c r="S71" s="1872" t="s">
        <v>1447</v>
      </c>
      <c r="T71" s="1876"/>
      <c r="U71" s="1876"/>
      <c r="V71" s="1876"/>
      <c r="W71" s="1876"/>
      <c r="X71" s="1875" t="s">
        <v>1448</v>
      </c>
      <c r="AB71" s="253"/>
    </row>
    <row r="72" spans="1:28" x14ac:dyDescent="0.35">
      <c r="A72" s="254" t="s">
        <v>1449</v>
      </c>
      <c r="B72" s="253" t="s">
        <v>1450</v>
      </c>
      <c r="C72" s="254"/>
      <c r="E72" s="253"/>
      <c r="F72" s="254" t="s">
        <v>1460</v>
      </c>
      <c r="G72" t="s">
        <v>1460</v>
      </c>
      <c r="H72" s="253" t="s">
        <v>1460</v>
      </c>
      <c r="I72" s="254">
        <v>340</v>
      </c>
      <c r="J72">
        <v>234</v>
      </c>
      <c r="K72" s="253">
        <v>106</v>
      </c>
      <c r="L72" s="254">
        <v>340</v>
      </c>
      <c r="M72">
        <v>234</v>
      </c>
      <c r="N72" s="253">
        <v>106</v>
      </c>
      <c r="O72" s="1879">
        <v>75</v>
      </c>
      <c r="P72" s="1880">
        <v>2</v>
      </c>
      <c r="Q72" s="1879">
        <v>1.73</v>
      </c>
      <c r="R72" s="1881">
        <v>1.19</v>
      </c>
      <c r="S72" s="1879">
        <v>0.5</v>
      </c>
      <c r="T72" s="1701"/>
      <c r="U72" s="1701"/>
      <c r="V72" s="1701"/>
      <c r="W72" s="1701"/>
      <c r="X72" s="2575">
        <v>0.25</v>
      </c>
      <c r="AB72" s="253"/>
    </row>
    <row r="73" spans="1:28" x14ac:dyDescent="0.35">
      <c r="A73" s="254" t="s">
        <v>1449</v>
      </c>
      <c r="B73" s="253" t="s">
        <v>1451</v>
      </c>
      <c r="C73" s="254"/>
      <c r="E73" s="253"/>
      <c r="F73" s="254" t="s">
        <v>1460</v>
      </c>
      <c r="G73" t="s">
        <v>1460</v>
      </c>
      <c r="H73" s="253" t="s">
        <v>1460</v>
      </c>
      <c r="I73" s="1878">
        <v>1543</v>
      </c>
      <c r="J73">
        <v>867</v>
      </c>
      <c r="K73" s="253">
        <v>676</v>
      </c>
      <c r="L73" s="1878">
        <v>1543</v>
      </c>
      <c r="M73">
        <v>867</v>
      </c>
      <c r="N73" s="253">
        <v>676</v>
      </c>
      <c r="O73" s="1879">
        <v>280</v>
      </c>
      <c r="P73" s="1880">
        <v>1.5</v>
      </c>
      <c r="Q73" s="1879">
        <v>2.1</v>
      </c>
      <c r="R73" s="1881">
        <v>1.18</v>
      </c>
      <c r="S73" s="1879">
        <v>0.6</v>
      </c>
      <c r="T73" s="1701"/>
      <c r="U73" s="1701"/>
      <c r="V73" s="1701"/>
      <c r="W73" s="1701"/>
      <c r="X73" s="2575">
        <v>0.3</v>
      </c>
      <c r="AB73" s="253"/>
    </row>
    <row r="74" spans="1:28" x14ac:dyDescent="0.35">
      <c r="A74" s="254" t="s">
        <v>1449</v>
      </c>
      <c r="B74" s="253" t="s">
        <v>1452</v>
      </c>
      <c r="C74" s="254"/>
      <c r="E74" s="253"/>
      <c r="F74" s="254" t="s">
        <v>1460</v>
      </c>
      <c r="G74" t="s">
        <v>1460</v>
      </c>
      <c r="H74" s="253" t="s">
        <v>1460</v>
      </c>
      <c r="I74" s="1878">
        <v>1375</v>
      </c>
      <c r="J74">
        <v>829</v>
      </c>
      <c r="K74" s="253">
        <v>546</v>
      </c>
      <c r="L74" s="1878">
        <v>1375</v>
      </c>
      <c r="M74">
        <v>829</v>
      </c>
      <c r="N74" s="253">
        <v>546</v>
      </c>
      <c r="O74" s="1879">
        <v>400</v>
      </c>
      <c r="P74" s="1880">
        <v>0.3</v>
      </c>
      <c r="Q74" s="1879">
        <v>1.31</v>
      </c>
      <c r="R74" s="1881">
        <v>0.79</v>
      </c>
      <c r="S74" s="1879">
        <v>1.6</v>
      </c>
      <c r="T74" s="1701"/>
      <c r="U74" s="1701"/>
      <c r="V74" s="1701"/>
      <c r="W74" s="1701"/>
      <c r="X74" s="2575">
        <v>0.85</v>
      </c>
      <c r="AB74" s="253"/>
    </row>
    <row r="75" spans="1:28" x14ac:dyDescent="0.35">
      <c r="A75" s="254" t="s">
        <v>1449</v>
      </c>
      <c r="B75" s="253" t="s">
        <v>1453</v>
      </c>
      <c r="C75" s="254"/>
      <c r="E75" s="253"/>
      <c r="F75" s="254" t="s">
        <v>1460</v>
      </c>
      <c r="G75" t="s">
        <v>1460</v>
      </c>
      <c r="H75" s="253" t="s">
        <v>1460</v>
      </c>
      <c r="I75" s="1878">
        <v>1637</v>
      </c>
      <c r="J75">
        <v>850</v>
      </c>
      <c r="K75" s="253">
        <v>787</v>
      </c>
      <c r="L75" s="1878">
        <v>1637</v>
      </c>
      <c r="M75">
        <v>850</v>
      </c>
      <c r="N75" s="253">
        <v>787</v>
      </c>
      <c r="O75" s="1879">
        <v>600</v>
      </c>
      <c r="P75" s="1880">
        <v>0.3</v>
      </c>
      <c r="Q75" s="1879">
        <v>1.04</v>
      </c>
      <c r="R75" s="1881">
        <v>0.54</v>
      </c>
      <c r="S75" s="1879">
        <v>2</v>
      </c>
      <c r="T75" s="1701"/>
      <c r="U75" s="1701"/>
      <c r="V75" s="1701"/>
      <c r="W75" s="1701"/>
      <c r="X75" s="2575">
        <v>1</v>
      </c>
      <c r="AB75" s="253"/>
    </row>
    <row r="76" spans="1:28" x14ac:dyDescent="0.35">
      <c r="A76" s="254" t="s">
        <v>1454</v>
      </c>
      <c r="B76" s="253" t="s">
        <v>1450</v>
      </c>
      <c r="C76" s="254"/>
      <c r="E76" s="253"/>
      <c r="F76" s="254">
        <v>123</v>
      </c>
      <c r="G76">
        <v>97</v>
      </c>
      <c r="H76" s="253">
        <v>26</v>
      </c>
      <c r="I76" s="254">
        <v>214</v>
      </c>
      <c r="J76">
        <v>169</v>
      </c>
      <c r="K76" s="253">
        <v>45</v>
      </c>
      <c r="L76" s="254">
        <v>337</v>
      </c>
      <c r="M76">
        <v>266</v>
      </c>
      <c r="N76" s="253">
        <v>71</v>
      </c>
      <c r="O76" s="1879">
        <v>75</v>
      </c>
      <c r="P76" s="1880">
        <v>2</v>
      </c>
      <c r="Q76" s="1879">
        <v>1.0900000000000001</v>
      </c>
      <c r="R76" s="1881">
        <v>0.86</v>
      </c>
      <c r="S76" s="1879">
        <v>0.76</v>
      </c>
      <c r="T76" s="1701"/>
      <c r="U76" s="1701"/>
      <c r="V76" s="1701"/>
      <c r="W76" s="1701"/>
      <c r="X76" s="2575">
        <v>0.3</v>
      </c>
      <c r="AB76" s="253"/>
    </row>
    <row r="77" spans="1:28" x14ac:dyDescent="0.35">
      <c r="A77" s="254" t="s">
        <v>1454</v>
      </c>
      <c r="B77" s="253" t="s">
        <v>1451</v>
      </c>
      <c r="C77" s="254"/>
      <c r="E77" s="253"/>
      <c r="F77" s="254">
        <v>541</v>
      </c>
      <c r="G77">
        <v>374</v>
      </c>
      <c r="H77" s="253">
        <v>168</v>
      </c>
      <c r="I77" s="254">
        <v>948</v>
      </c>
      <c r="J77">
        <v>654</v>
      </c>
      <c r="K77" s="253">
        <v>294</v>
      </c>
      <c r="L77" s="1878">
        <v>1489</v>
      </c>
      <c r="M77" s="30">
        <v>1027</v>
      </c>
      <c r="N77" s="253">
        <v>462</v>
      </c>
      <c r="O77" s="1879">
        <v>280</v>
      </c>
      <c r="P77" s="1880">
        <v>1</v>
      </c>
      <c r="Q77" s="1879">
        <v>1.29</v>
      </c>
      <c r="R77" s="1881">
        <v>0.89</v>
      </c>
      <c r="S77" s="1879">
        <v>0.87</v>
      </c>
      <c r="T77" s="1701"/>
      <c r="U77" s="1701"/>
      <c r="V77" s="1701"/>
      <c r="W77" s="1701"/>
      <c r="X77" s="2575">
        <v>0.55000000000000004</v>
      </c>
      <c r="AB77" s="253"/>
    </row>
    <row r="78" spans="1:28" x14ac:dyDescent="0.35">
      <c r="A78" s="254" t="s">
        <v>1454</v>
      </c>
      <c r="B78" s="253" t="s">
        <v>1452</v>
      </c>
      <c r="C78" s="254"/>
      <c r="E78" s="253"/>
      <c r="F78" s="254">
        <v>522</v>
      </c>
      <c r="G78">
        <v>420</v>
      </c>
      <c r="H78" s="253">
        <v>102</v>
      </c>
      <c r="I78" s="254">
        <v>913</v>
      </c>
      <c r="J78">
        <v>735</v>
      </c>
      <c r="K78" s="253">
        <v>178</v>
      </c>
      <c r="L78" s="1878">
        <v>1435</v>
      </c>
      <c r="M78" s="30">
        <v>1154</v>
      </c>
      <c r="N78" s="253">
        <v>280</v>
      </c>
      <c r="O78" s="1879">
        <v>400</v>
      </c>
      <c r="P78" s="1880">
        <v>0.3</v>
      </c>
      <c r="Q78" s="1879">
        <v>0.87</v>
      </c>
      <c r="R78" s="1881">
        <v>0.7</v>
      </c>
      <c r="S78" s="1879">
        <v>1.93</v>
      </c>
      <c r="T78" s="1701"/>
      <c r="U78" s="1701"/>
      <c r="V78" s="1701"/>
      <c r="W78" s="1701"/>
      <c r="X78" s="2575">
        <v>1.2</v>
      </c>
      <c r="AB78" s="253"/>
    </row>
    <row r="79" spans="1:28" x14ac:dyDescent="0.35">
      <c r="A79" s="254" t="s">
        <v>1454</v>
      </c>
      <c r="B79" s="253" t="s">
        <v>1453</v>
      </c>
      <c r="C79" s="254"/>
      <c r="E79" s="253"/>
      <c r="F79" s="254">
        <v>872</v>
      </c>
      <c r="G79">
        <v>486</v>
      </c>
      <c r="H79" s="253">
        <v>387</v>
      </c>
      <c r="I79" s="1878">
        <v>1527</v>
      </c>
      <c r="J79">
        <v>850</v>
      </c>
      <c r="K79" s="253">
        <v>677</v>
      </c>
      <c r="L79" s="1878">
        <v>2399</v>
      </c>
      <c r="M79" s="30">
        <v>1336</v>
      </c>
      <c r="N79" s="1877">
        <v>1064</v>
      </c>
      <c r="O79" s="1879">
        <v>600</v>
      </c>
      <c r="P79" s="1880">
        <v>0.2</v>
      </c>
      <c r="Q79" s="1879">
        <v>0.97</v>
      </c>
      <c r="R79" s="1881">
        <v>0.54</v>
      </c>
      <c r="S79" s="1879">
        <v>2.59</v>
      </c>
      <c r="T79" s="1701"/>
      <c r="U79" s="1701"/>
      <c r="V79" s="1701"/>
      <c r="W79" s="1701"/>
      <c r="X79" s="2575">
        <v>1.85</v>
      </c>
      <c r="AB79" s="253"/>
    </row>
    <row r="80" spans="1:28" ht="15" thickBot="1" x14ac:dyDescent="0.4">
      <c r="A80" s="88" t="s">
        <v>1454</v>
      </c>
      <c r="B80" s="86" t="s">
        <v>1455</v>
      </c>
      <c r="C80" s="88"/>
      <c r="D80" s="85"/>
      <c r="E80" s="86"/>
      <c r="F80" s="88">
        <v>294</v>
      </c>
      <c r="G80" s="85">
        <v>243</v>
      </c>
      <c r="H80" s="86">
        <v>50</v>
      </c>
      <c r="I80" s="88">
        <v>514</v>
      </c>
      <c r="J80" s="85">
        <v>426</v>
      </c>
      <c r="K80" s="86">
        <v>88</v>
      </c>
      <c r="L80" s="88">
        <v>808</v>
      </c>
      <c r="M80" s="85">
        <v>669</v>
      </c>
      <c r="N80" s="86">
        <v>139</v>
      </c>
      <c r="O80" s="1884">
        <v>280</v>
      </c>
      <c r="P80" s="1885">
        <v>3</v>
      </c>
      <c r="Q80" s="1884">
        <v>0.7</v>
      </c>
      <c r="R80" s="1886">
        <v>0.57999999999999996</v>
      </c>
      <c r="S80" s="1884">
        <v>1.2</v>
      </c>
      <c r="T80" s="1887"/>
      <c r="U80" s="1887"/>
      <c r="V80" s="1887"/>
      <c r="W80" s="1887"/>
      <c r="X80" s="2576">
        <v>0.9</v>
      </c>
      <c r="AB80" s="253"/>
    </row>
    <row r="81" spans="1:28" x14ac:dyDescent="0.35">
      <c r="A81" s="254"/>
      <c r="B81" s="1888" t="s">
        <v>1363</v>
      </c>
      <c r="C81" s="1889"/>
      <c r="D81" s="1889"/>
      <c r="E81" s="1889"/>
      <c r="F81" s="1889">
        <f>+AVERAGE(F76:F80)</f>
        <v>470.4</v>
      </c>
      <c r="G81" s="1889">
        <f>+AVERAGE(G76:G80)</f>
        <v>324</v>
      </c>
      <c r="H81" s="1889">
        <f>+AVERAGE(H76:H80)</f>
        <v>146.6</v>
      </c>
      <c r="I81" s="1889">
        <f t="shared" ref="I81:N81" si="0">+AVERAGE(I72:I80)</f>
        <v>1001.2222222222222</v>
      </c>
      <c r="J81" s="1889">
        <f t="shared" si="0"/>
        <v>623.77777777777783</v>
      </c>
      <c r="K81" s="1889">
        <f t="shared" si="0"/>
        <v>377.44444444444446</v>
      </c>
      <c r="L81" s="1889">
        <f t="shared" si="0"/>
        <v>1262.5555555555557</v>
      </c>
      <c r="M81" s="1889">
        <f t="shared" si="0"/>
        <v>803.55555555555554</v>
      </c>
      <c r="N81" s="1889">
        <f t="shared" si="0"/>
        <v>459</v>
      </c>
      <c r="O81" s="1701"/>
      <c r="P81" s="1701"/>
      <c r="Q81" s="1701"/>
      <c r="R81" s="1701"/>
      <c r="S81" s="1701"/>
      <c r="T81" s="1701"/>
      <c r="U81" s="1701"/>
      <c r="V81" s="1701"/>
      <c r="W81" s="1701"/>
      <c r="X81" s="1701"/>
      <c r="AB81" s="253"/>
    </row>
    <row r="82" spans="1:28" x14ac:dyDescent="0.35">
      <c r="A82" s="254" t="s">
        <v>1449</v>
      </c>
      <c r="B82" s="1888" t="s">
        <v>1370</v>
      </c>
      <c r="F82" t="e">
        <f>+AVERAGEIFS(F$72:F$80,$A$72:$A$80,$A82)</f>
        <v>#DIV/0!</v>
      </c>
      <c r="G82" t="e">
        <f>+AVERAGEIFS(G$72:G$80,$A$72:$A$80,$A82)</f>
        <v>#DIV/0!</v>
      </c>
      <c r="H82" t="e">
        <f t="shared" ref="H82:X83" si="1">+AVERAGEIFS(H$72:H$80,$A$72:$A$80,$A82)</f>
        <v>#DIV/0!</v>
      </c>
      <c r="I82">
        <f t="shared" si="1"/>
        <v>1223.75</v>
      </c>
      <c r="J82">
        <f t="shared" si="1"/>
        <v>695</v>
      </c>
      <c r="K82">
        <f t="shared" si="1"/>
        <v>528.75</v>
      </c>
      <c r="L82">
        <f t="shared" si="1"/>
        <v>1223.75</v>
      </c>
      <c r="M82">
        <f t="shared" si="1"/>
        <v>695</v>
      </c>
      <c r="N82">
        <f t="shared" si="1"/>
        <v>528.75</v>
      </c>
      <c r="O82">
        <f t="shared" si="1"/>
        <v>338.75</v>
      </c>
      <c r="P82">
        <f t="shared" si="1"/>
        <v>1.0249999999999999</v>
      </c>
      <c r="Q82">
        <f t="shared" si="1"/>
        <v>1.5450000000000002</v>
      </c>
      <c r="R82">
        <f t="shared" si="1"/>
        <v>0.92500000000000004</v>
      </c>
      <c r="S82">
        <f t="shared" si="1"/>
        <v>1.175</v>
      </c>
      <c r="T82" t="e">
        <f t="shared" si="1"/>
        <v>#DIV/0!</v>
      </c>
      <c r="U82" t="e">
        <f t="shared" si="1"/>
        <v>#DIV/0!</v>
      </c>
      <c r="V82" t="e">
        <f t="shared" si="1"/>
        <v>#DIV/0!</v>
      </c>
      <c r="W82" t="e">
        <f t="shared" si="1"/>
        <v>#DIV/0!</v>
      </c>
      <c r="X82">
        <f t="shared" si="1"/>
        <v>0.6</v>
      </c>
      <c r="AB82" s="253"/>
    </row>
    <row r="83" spans="1:28" x14ac:dyDescent="0.35">
      <c r="A83" s="254" t="s">
        <v>1454</v>
      </c>
      <c r="B83" s="1888" t="s">
        <v>1374</v>
      </c>
      <c r="F83">
        <f>+AVERAGEIFS(F$72:F$80,$A$72:$A$80,$A83)</f>
        <v>470.4</v>
      </c>
      <c r="G83">
        <f>+AVERAGEIFS(G$72:G$80,$A$72:$A$80,$A83)</f>
        <v>324</v>
      </c>
      <c r="H83">
        <f t="shared" si="1"/>
        <v>146.6</v>
      </c>
      <c r="I83">
        <f t="shared" si="1"/>
        <v>823.2</v>
      </c>
      <c r="J83">
        <f t="shared" si="1"/>
        <v>566.79999999999995</v>
      </c>
      <c r="K83">
        <f t="shared" si="1"/>
        <v>256.39999999999998</v>
      </c>
      <c r="L83">
        <f t="shared" si="1"/>
        <v>1293.5999999999999</v>
      </c>
      <c r="M83">
        <f t="shared" si="1"/>
        <v>890.4</v>
      </c>
      <c r="N83">
        <f t="shared" si="1"/>
        <v>403.2</v>
      </c>
      <c r="O83">
        <f t="shared" si="1"/>
        <v>327</v>
      </c>
      <c r="P83">
        <f t="shared" si="1"/>
        <v>1.3</v>
      </c>
      <c r="Q83">
        <f t="shared" si="1"/>
        <v>0.98399999999999999</v>
      </c>
      <c r="R83">
        <f t="shared" si="1"/>
        <v>0.71400000000000008</v>
      </c>
      <c r="S83">
        <f t="shared" si="1"/>
        <v>1.47</v>
      </c>
      <c r="T83" t="e">
        <f t="shared" si="1"/>
        <v>#DIV/0!</v>
      </c>
      <c r="U83" t="e">
        <f t="shared" si="1"/>
        <v>#DIV/0!</v>
      </c>
      <c r="V83" t="e">
        <f t="shared" si="1"/>
        <v>#DIV/0!</v>
      </c>
      <c r="W83" t="e">
        <f t="shared" si="1"/>
        <v>#DIV/0!</v>
      </c>
      <c r="X83">
        <f t="shared" si="1"/>
        <v>0.96</v>
      </c>
      <c r="AB83" s="253"/>
    </row>
    <row r="84" spans="1:28" ht="15" thickBot="1" x14ac:dyDescent="0.4">
      <c r="A84" s="254"/>
      <c r="AB84" s="253"/>
    </row>
    <row r="85" spans="1:28" ht="15" thickBot="1" x14ac:dyDescent="0.4">
      <c r="A85" s="254"/>
      <c r="B85" s="3029" t="s">
        <v>1461</v>
      </c>
      <c r="C85" s="3030"/>
      <c r="D85" s="3030"/>
      <c r="E85" s="3030"/>
      <c r="F85" s="3030"/>
      <c r="G85" s="3030"/>
      <c r="H85" s="3030"/>
      <c r="I85" s="3030"/>
      <c r="J85" s="3030"/>
      <c r="K85" s="3030"/>
      <c r="L85" s="3030"/>
      <c r="M85" s="3031"/>
      <c r="AB85" s="253"/>
    </row>
    <row r="86" spans="1:28" x14ac:dyDescent="0.35">
      <c r="A86" s="254"/>
      <c r="B86" s="254">
        <v>1</v>
      </c>
      <c r="C86">
        <v>2</v>
      </c>
      <c r="D86">
        <v>3</v>
      </c>
      <c r="E86">
        <v>4</v>
      </c>
      <c r="F86">
        <v>5</v>
      </c>
      <c r="G86">
        <v>6</v>
      </c>
      <c r="H86">
        <v>7</v>
      </c>
      <c r="I86">
        <v>8</v>
      </c>
      <c r="J86">
        <v>9</v>
      </c>
      <c r="K86">
        <v>10</v>
      </c>
      <c r="L86">
        <v>11</v>
      </c>
      <c r="M86" s="253">
        <v>12</v>
      </c>
      <c r="AB86" s="253"/>
    </row>
    <row r="87" spans="1:28" ht="25.5" customHeight="1" x14ac:dyDescent="0.35">
      <c r="A87" s="254"/>
      <c r="B87" s="254"/>
      <c r="E87" s="3032" t="str">
        <f>B103</f>
        <v>Electric building and Electric booster water heating</v>
      </c>
      <c r="F87" s="3033"/>
      <c r="G87" s="3032" t="str">
        <f>B104</f>
        <v>Electric building and natural gas booster water heating</v>
      </c>
      <c r="H87" s="3033"/>
      <c r="I87" s="3032" t="str">
        <f>B105</f>
        <v>Natural Gas building and electric booster water heating</v>
      </c>
      <c r="J87" s="3033"/>
      <c r="K87" s="3032" t="str">
        <f>B106</f>
        <v>Natural Gas building and natural gas booster water heating</v>
      </c>
      <c r="L87" s="3033"/>
      <c r="M87" s="253"/>
      <c r="AB87" s="253"/>
    </row>
    <row r="88" spans="1:28" ht="26" x14ac:dyDescent="0.35">
      <c r="A88" s="254"/>
      <c r="B88" s="1890" t="s">
        <v>1443</v>
      </c>
      <c r="C88" s="1149" t="s">
        <v>1462</v>
      </c>
      <c r="D88" s="1149" t="s">
        <v>1040</v>
      </c>
      <c r="E88" s="1149" t="s">
        <v>1463</v>
      </c>
      <c r="F88" s="1149" t="s">
        <v>1464</v>
      </c>
      <c r="G88" s="1149" t="s">
        <v>1463</v>
      </c>
      <c r="H88" s="1149" t="s">
        <v>1464</v>
      </c>
      <c r="I88" s="1149" t="s">
        <v>1463</v>
      </c>
      <c r="J88" s="1149" t="s">
        <v>1464</v>
      </c>
      <c r="K88" s="1149" t="s">
        <v>1463</v>
      </c>
      <c r="L88" s="1149" t="s">
        <v>1464</v>
      </c>
      <c r="M88" s="1891" t="s">
        <v>1465</v>
      </c>
      <c r="AB88" s="253"/>
    </row>
    <row r="89" spans="1:28" x14ac:dyDescent="0.35">
      <c r="A89" s="254" t="s">
        <v>1449</v>
      </c>
      <c r="B89" s="1892" t="s">
        <v>1466</v>
      </c>
      <c r="C89" s="1893">
        <v>10</v>
      </c>
      <c r="D89" s="2579">
        <v>234</v>
      </c>
      <c r="E89" s="25">
        <f>E60</f>
        <v>3957</v>
      </c>
      <c r="F89" s="1894">
        <v>0</v>
      </c>
      <c r="G89" s="25">
        <f>H60</f>
        <v>3957</v>
      </c>
      <c r="H89" s="1895">
        <v>0</v>
      </c>
      <c r="I89" s="25">
        <f>K60</f>
        <v>1415</v>
      </c>
      <c r="J89" s="1">
        <f>K72</f>
        <v>106</v>
      </c>
      <c r="K89" s="25">
        <f>N60</f>
        <v>1415</v>
      </c>
      <c r="L89" s="1">
        <f>N72</f>
        <v>106</v>
      </c>
      <c r="M89" s="2581">
        <v>14793</v>
      </c>
      <c r="AB89" s="253"/>
    </row>
    <row r="90" spans="1:28" x14ac:dyDescent="0.35">
      <c r="A90" s="254" t="s">
        <v>1449</v>
      </c>
      <c r="B90" s="1892" t="s">
        <v>1467</v>
      </c>
      <c r="C90" s="1893">
        <v>15</v>
      </c>
      <c r="D90" s="2579">
        <v>662</v>
      </c>
      <c r="E90" s="25">
        <f t="shared" ref="E90:E97" si="2">E61</f>
        <v>17369</v>
      </c>
      <c r="F90" s="1894">
        <v>0</v>
      </c>
      <c r="G90" s="25">
        <f t="shared" ref="G90:G97" si="3">H61</f>
        <v>17369</v>
      </c>
      <c r="H90" s="1895">
        <v>0</v>
      </c>
      <c r="I90" s="25">
        <f t="shared" ref="I90:I97" si="4">K61</f>
        <v>1205</v>
      </c>
      <c r="J90" s="1">
        <f t="shared" ref="J90:J97" si="5">K73</f>
        <v>676</v>
      </c>
      <c r="K90" s="25">
        <f t="shared" ref="K90:K97" si="6">N61</f>
        <v>1205</v>
      </c>
      <c r="L90" s="1">
        <f t="shared" ref="L90:L96" si="7">N73</f>
        <v>676</v>
      </c>
      <c r="M90" s="2581">
        <v>94088</v>
      </c>
      <c r="AB90" s="253"/>
    </row>
    <row r="91" spans="1:28" x14ac:dyDescent="0.35">
      <c r="A91" s="254" t="s">
        <v>1449</v>
      </c>
      <c r="B91" s="1892" t="s">
        <v>1468</v>
      </c>
      <c r="C91" s="1893">
        <v>20</v>
      </c>
      <c r="D91" s="2579">
        <v>0</v>
      </c>
      <c r="E91" s="25">
        <f t="shared" si="2"/>
        <v>17434</v>
      </c>
      <c r="F91" s="1894">
        <v>0</v>
      </c>
      <c r="G91" s="25">
        <f t="shared" si="3"/>
        <v>17434</v>
      </c>
      <c r="H91" s="1895">
        <v>0</v>
      </c>
      <c r="I91" s="25">
        <f t="shared" si="4"/>
        <v>4383</v>
      </c>
      <c r="J91" s="1">
        <f t="shared" si="5"/>
        <v>546</v>
      </c>
      <c r="K91" s="25">
        <f t="shared" si="6"/>
        <v>4383</v>
      </c>
      <c r="L91" s="1">
        <f t="shared" si="7"/>
        <v>546</v>
      </c>
      <c r="M91" s="2581">
        <v>75972</v>
      </c>
      <c r="AB91" s="253"/>
    </row>
    <row r="92" spans="1:28" x14ac:dyDescent="0.35">
      <c r="A92" s="254" t="s">
        <v>1449</v>
      </c>
      <c r="B92" s="1892" t="s">
        <v>1469</v>
      </c>
      <c r="C92" s="1893">
        <v>20</v>
      </c>
      <c r="D92" s="2579">
        <v>970</v>
      </c>
      <c r="E92" s="25">
        <f t="shared" si="2"/>
        <v>24303</v>
      </c>
      <c r="F92" s="1894">
        <v>0</v>
      </c>
      <c r="G92" s="25">
        <f t="shared" si="3"/>
        <v>24303</v>
      </c>
      <c r="H92" s="1895">
        <v>0</v>
      </c>
      <c r="I92" s="25">
        <f t="shared" si="4"/>
        <v>5479</v>
      </c>
      <c r="J92" s="1">
        <f t="shared" si="5"/>
        <v>787</v>
      </c>
      <c r="K92" s="25">
        <f t="shared" si="6"/>
        <v>5479</v>
      </c>
      <c r="L92" s="1">
        <f t="shared" si="7"/>
        <v>787</v>
      </c>
      <c r="M92" s="2581">
        <v>109575</v>
      </c>
      <c r="AB92" s="253"/>
    </row>
    <row r="93" spans="1:28" x14ac:dyDescent="0.35">
      <c r="A93" s="254" t="s">
        <v>1454</v>
      </c>
      <c r="B93" s="1892" t="s">
        <v>1470</v>
      </c>
      <c r="C93" s="1893">
        <v>10</v>
      </c>
      <c r="D93" s="2579">
        <v>2025</v>
      </c>
      <c r="E93" s="25">
        <f t="shared" si="2"/>
        <v>4305</v>
      </c>
      <c r="F93" s="1894">
        <v>0</v>
      </c>
      <c r="G93" s="25">
        <f t="shared" si="3"/>
        <v>3687</v>
      </c>
      <c r="H93" s="1">
        <f>H76</f>
        <v>26</v>
      </c>
      <c r="I93" s="25">
        <f t="shared" si="4"/>
        <v>3223</v>
      </c>
      <c r="J93" s="1">
        <f t="shared" si="5"/>
        <v>45</v>
      </c>
      <c r="K93" s="25">
        <f t="shared" si="6"/>
        <v>2604</v>
      </c>
      <c r="L93" s="1">
        <f t="shared" si="7"/>
        <v>71</v>
      </c>
      <c r="M93" s="2581">
        <v>6301</v>
      </c>
      <c r="AB93" s="253"/>
    </row>
    <row r="94" spans="1:28" x14ac:dyDescent="0.35">
      <c r="A94" s="254" t="s">
        <v>1454</v>
      </c>
      <c r="B94" s="1892" t="s">
        <v>1471</v>
      </c>
      <c r="C94" s="1893">
        <v>15</v>
      </c>
      <c r="D94" s="2579">
        <v>995</v>
      </c>
      <c r="E94" s="25">
        <f t="shared" si="2"/>
        <v>12602</v>
      </c>
      <c r="F94" s="1894">
        <v>0</v>
      </c>
      <c r="G94" s="25">
        <f t="shared" si="3"/>
        <v>8586</v>
      </c>
      <c r="H94" s="1">
        <f>H77</f>
        <v>168</v>
      </c>
      <c r="I94" s="25">
        <f t="shared" si="4"/>
        <v>5574</v>
      </c>
      <c r="J94" s="1">
        <f t="shared" si="5"/>
        <v>294</v>
      </c>
      <c r="K94" s="25">
        <f t="shared" si="6"/>
        <v>1558</v>
      </c>
      <c r="L94" s="1">
        <f t="shared" si="7"/>
        <v>462</v>
      </c>
      <c r="M94" s="2581">
        <v>40908</v>
      </c>
      <c r="AB94" s="253"/>
    </row>
    <row r="95" spans="1:28" x14ac:dyDescent="0.35">
      <c r="A95" s="254" t="s">
        <v>1454</v>
      </c>
      <c r="B95" s="1892" t="s">
        <v>1472</v>
      </c>
      <c r="C95" s="1893">
        <v>20</v>
      </c>
      <c r="D95" s="2579">
        <v>2050</v>
      </c>
      <c r="E95" s="25">
        <f t="shared" si="2"/>
        <v>10971</v>
      </c>
      <c r="F95" s="1894">
        <v>0</v>
      </c>
      <c r="G95" s="25">
        <f t="shared" si="3"/>
        <v>8533</v>
      </c>
      <c r="H95" s="1">
        <f>H78</f>
        <v>102</v>
      </c>
      <c r="I95" s="25">
        <f t="shared" si="4"/>
        <v>6704</v>
      </c>
      <c r="J95" s="1">
        <f t="shared" si="5"/>
        <v>178</v>
      </c>
      <c r="K95" s="25">
        <f t="shared" si="6"/>
        <v>4266</v>
      </c>
      <c r="L95" s="1">
        <f t="shared" si="7"/>
        <v>280</v>
      </c>
      <c r="M95" s="2581">
        <v>24837</v>
      </c>
      <c r="AB95" s="253"/>
    </row>
    <row r="96" spans="1:28" x14ac:dyDescent="0.35">
      <c r="A96" s="254" t="s">
        <v>1454</v>
      </c>
      <c r="B96" s="1892" t="s">
        <v>1473</v>
      </c>
      <c r="C96" s="1893">
        <v>20</v>
      </c>
      <c r="D96" s="2579">
        <v>970</v>
      </c>
      <c r="E96" s="25">
        <f t="shared" si="2"/>
        <v>29764</v>
      </c>
      <c r="F96" s="1894">
        <v>0</v>
      </c>
      <c r="G96" s="25">
        <f t="shared" si="3"/>
        <v>20513</v>
      </c>
      <c r="H96" s="1">
        <f>H79</f>
        <v>387</v>
      </c>
      <c r="I96" s="25">
        <f t="shared" si="4"/>
        <v>13575</v>
      </c>
      <c r="J96" s="1">
        <f t="shared" si="5"/>
        <v>677</v>
      </c>
      <c r="K96" s="25">
        <f t="shared" si="6"/>
        <v>4325</v>
      </c>
      <c r="L96" s="1">
        <f t="shared" si="7"/>
        <v>1064</v>
      </c>
      <c r="M96" s="2581">
        <v>94235</v>
      </c>
      <c r="AB96" s="253"/>
    </row>
    <row r="97" spans="1:28" x14ac:dyDescent="0.35">
      <c r="A97" s="254" t="s">
        <v>1454</v>
      </c>
      <c r="B97" s="1892" t="s">
        <v>1474</v>
      </c>
      <c r="C97" s="1893">
        <v>10</v>
      </c>
      <c r="D97" s="2580">
        <v>1710</v>
      </c>
      <c r="E97" s="25">
        <f t="shared" si="2"/>
        <v>3751</v>
      </c>
      <c r="F97" s="1894">
        <v>0</v>
      </c>
      <c r="G97" s="25">
        <f t="shared" si="3"/>
        <v>2547</v>
      </c>
      <c r="H97" s="1">
        <f>H80</f>
        <v>50</v>
      </c>
      <c r="I97" s="25">
        <f t="shared" si="4"/>
        <v>1643</v>
      </c>
      <c r="J97" s="1">
        <f t="shared" si="5"/>
        <v>88</v>
      </c>
      <c r="K97" s="25">
        <f t="shared" si="6"/>
        <v>438</v>
      </c>
      <c r="L97" s="1">
        <f>N80</f>
        <v>139</v>
      </c>
      <c r="M97" s="2581">
        <v>12272</v>
      </c>
      <c r="AB97" s="253"/>
    </row>
    <row r="98" spans="1:28" ht="15" thickBot="1" x14ac:dyDescent="0.4">
      <c r="A98" s="254"/>
      <c r="B98" s="1896" t="s">
        <v>1363</v>
      </c>
      <c r="C98" s="1897">
        <f>+AVERAGE(C89:C97)</f>
        <v>15.555555555555555</v>
      </c>
      <c r="D98" s="1897">
        <f>+AVERAGE(D89:D97)</f>
        <v>1068.4444444444443</v>
      </c>
      <c r="E98" s="1897">
        <f t="shared" ref="E98:M98" si="8">+AVERAGE(E89:E97)</f>
        <v>13828.444444444445</v>
      </c>
      <c r="F98" s="1897">
        <f t="shared" si="8"/>
        <v>0</v>
      </c>
      <c r="G98" s="1897">
        <f t="shared" si="8"/>
        <v>11881</v>
      </c>
      <c r="H98" s="1897">
        <f>+AVERAGE(H93:H97)</f>
        <v>146.6</v>
      </c>
      <c r="I98" s="1897">
        <f t="shared" si="8"/>
        <v>4800.1111111111113</v>
      </c>
      <c r="J98" s="1897">
        <f t="shared" si="8"/>
        <v>377.44444444444446</v>
      </c>
      <c r="K98" s="1897">
        <f t="shared" si="8"/>
        <v>2852.5555555555557</v>
      </c>
      <c r="L98" s="1897">
        <f t="shared" si="8"/>
        <v>459</v>
      </c>
      <c r="M98" s="1898">
        <f t="shared" si="8"/>
        <v>52553.444444444445</v>
      </c>
      <c r="AB98" s="253"/>
    </row>
    <row r="99" spans="1:28" x14ac:dyDescent="0.35">
      <c r="A99" s="254" t="s">
        <v>1449</v>
      </c>
      <c r="B99" s="2584" t="s">
        <v>1370</v>
      </c>
      <c r="C99" s="2585">
        <f>+AVERAGEIFS(C$89:C$97,$A$89:$A$97,$A99)</f>
        <v>16.25</v>
      </c>
      <c r="D99" s="2585">
        <f t="shared" ref="D99:M100" si="9">+AVERAGEIFS(D$89:D$97,$A$89:$A$97,$A99)</f>
        <v>466.5</v>
      </c>
      <c r="E99" s="2585">
        <f t="shared" si="9"/>
        <v>15765.75</v>
      </c>
      <c r="F99" s="2585">
        <f t="shared" si="9"/>
        <v>0</v>
      </c>
      <c r="G99" s="2585">
        <f t="shared" si="9"/>
        <v>15765.75</v>
      </c>
      <c r="H99" s="2585">
        <f t="shared" si="9"/>
        <v>0</v>
      </c>
      <c r="I99" s="2585">
        <f t="shared" si="9"/>
        <v>3120.5</v>
      </c>
      <c r="J99" s="2585">
        <f t="shared" si="9"/>
        <v>528.75</v>
      </c>
      <c r="K99" s="2585">
        <f t="shared" si="9"/>
        <v>3120.5</v>
      </c>
      <c r="L99" s="2585">
        <f t="shared" si="9"/>
        <v>528.75</v>
      </c>
      <c r="M99" s="2586">
        <f t="shared" si="9"/>
        <v>73607</v>
      </c>
      <c r="AB99" s="253"/>
    </row>
    <row r="100" spans="1:28" ht="15" thickBot="1" x14ac:dyDescent="0.4">
      <c r="A100" s="254" t="s">
        <v>1454</v>
      </c>
      <c r="B100" s="2587" t="s">
        <v>1374</v>
      </c>
      <c r="C100" s="2588">
        <f>+AVERAGEIFS(C$89:C$97,$A$89:$A$97,$A100)</f>
        <v>15</v>
      </c>
      <c r="D100" s="2588">
        <f t="shared" si="9"/>
        <v>1550</v>
      </c>
      <c r="E100" s="2588">
        <f t="shared" si="9"/>
        <v>12278.6</v>
      </c>
      <c r="F100" s="2588">
        <f t="shared" si="9"/>
        <v>0</v>
      </c>
      <c r="G100" s="2588">
        <f t="shared" si="9"/>
        <v>8773.2000000000007</v>
      </c>
      <c r="H100" s="2588">
        <f t="shared" si="9"/>
        <v>146.6</v>
      </c>
      <c r="I100" s="2588">
        <f t="shared" si="9"/>
        <v>6143.8</v>
      </c>
      <c r="J100" s="2588">
        <f t="shared" si="9"/>
        <v>256.39999999999998</v>
      </c>
      <c r="K100" s="2588">
        <f t="shared" si="9"/>
        <v>2638.2</v>
      </c>
      <c r="L100" s="2588">
        <f t="shared" si="9"/>
        <v>403.2</v>
      </c>
      <c r="M100" s="2589">
        <f t="shared" si="9"/>
        <v>35710.6</v>
      </c>
      <c r="AB100" s="253"/>
    </row>
    <row r="101" spans="1:28" x14ac:dyDescent="0.35">
      <c r="A101" s="254"/>
      <c r="AB101" s="253"/>
    </row>
    <row r="102" spans="1:28" x14ac:dyDescent="0.35">
      <c r="A102" s="254"/>
      <c r="B102" s="3025" t="s">
        <v>1475</v>
      </c>
      <c r="C102" s="3025"/>
      <c r="D102" s="3025"/>
      <c r="AB102" s="253"/>
    </row>
    <row r="103" spans="1:28" ht="26" x14ac:dyDescent="0.35">
      <c r="A103" s="254"/>
      <c r="B103" s="1899" t="s">
        <v>1476</v>
      </c>
      <c r="C103" s="1">
        <f>+E86</f>
        <v>4</v>
      </c>
      <c r="D103" s="1">
        <f>+F86</f>
        <v>5</v>
      </c>
      <c r="F103" s="1890" t="s">
        <v>1360</v>
      </c>
      <c r="AB103" s="253"/>
    </row>
    <row r="104" spans="1:28" ht="26" x14ac:dyDescent="0.35">
      <c r="A104" s="254"/>
      <c r="B104" s="1899" t="s">
        <v>1437</v>
      </c>
      <c r="C104" s="1">
        <f>+G86</f>
        <v>6</v>
      </c>
      <c r="D104" s="1">
        <f>+H86</f>
        <v>7</v>
      </c>
      <c r="F104" s="1900" t="s">
        <v>1477</v>
      </c>
      <c r="AB104" s="253"/>
    </row>
    <row r="105" spans="1:28" ht="26" x14ac:dyDescent="0.35">
      <c r="A105" s="254"/>
      <c r="B105" s="1899" t="s">
        <v>1478</v>
      </c>
      <c r="C105" s="1">
        <f>+I86</f>
        <v>8</v>
      </c>
      <c r="D105" s="1">
        <f>+J86</f>
        <v>9</v>
      </c>
      <c r="F105" s="1123" t="s">
        <v>1364</v>
      </c>
      <c r="AB105" s="253"/>
    </row>
    <row r="106" spans="1:28" ht="26" x14ac:dyDescent="0.35">
      <c r="A106" s="254"/>
      <c r="B106" s="1899" t="s">
        <v>1479</v>
      </c>
      <c r="C106" s="1">
        <f>+K86</f>
        <v>10</v>
      </c>
      <c r="D106" s="1">
        <f>+L86</f>
        <v>11</v>
      </c>
      <c r="AB106" s="253"/>
    </row>
    <row r="107" spans="1:28" collapsed="1" x14ac:dyDescent="0.35">
      <c r="A107" s="254"/>
      <c r="AB107" s="253"/>
    </row>
    <row r="108" spans="1:28" ht="15" thickBot="1" x14ac:dyDescent="0.4">
      <c r="A108" s="88"/>
      <c r="B108" s="85"/>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6"/>
    </row>
    <row r="112" spans="1:28" x14ac:dyDescent="0.35">
      <c r="B112" s="786" t="s">
        <v>1480</v>
      </c>
      <c r="C112" s="786" t="s">
        <v>1179</v>
      </c>
      <c r="D112" s="30"/>
      <c r="E112" s="30"/>
    </row>
    <row r="113" spans="2:6" x14ac:dyDescent="0.35">
      <c r="B113" s="1" t="s">
        <v>1481</v>
      </c>
      <c r="C113" s="1">
        <v>0.32</v>
      </c>
      <c r="D113" s="30"/>
      <c r="E113" s="30"/>
    </row>
    <row r="114" spans="2:6" x14ac:dyDescent="0.35">
      <c r="B114" s="1" t="s">
        <v>1482</v>
      </c>
      <c r="C114" s="1">
        <v>0.41</v>
      </c>
      <c r="D114" s="30"/>
      <c r="E114" s="30"/>
    </row>
    <row r="115" spans="2:6" x14ac:dyDescent="0.35">
      <c r="B115" s="1" t="s">
        <v>1278</v>
      </c>
      <c r="C115" s="1">
        <v>0.46</v>
      </c>
      <c r="D115" s="30"/>
      <c r="E115" s="30"/>
    </row>
    <row r="116" spans="2:6" x14ac:dyDescent="0.35">
      <c r="B116" s="1" t="s">
        <v>1483</v>
      </c>
      <c r="C116" s="1">
        <v>0.51</v>
      </c>
      <c r="D116" s="30"/>
      <c r="E116" s="30"/>
      <c r="F116" s="30"/>
    </row>
    <row r="117" spans="2:6" x14ac:dyDescent="0.35">
      <c r="B117" s="1" t="s">
        <v>1484</v>
      </c>
      <c r="C117" s="1">
        <v>0.36</v>
      </c>
      <c r="D117" s="30"/>
      <c r="E117" s="30"/>
    </row>
    <row r="118" spans="2:6" x14ac:dyDescent="0.35">
      <c r="B118" s="1" t="s">
        <v>1282</v>
      </c>
      <c r="C118" s="1">
        <v>0.36</v>
      </c>
      <c r="D118" s="30"/>
      <c r="E118" s="30"/>
      <c r="F118" s="30"/>
    </row>
    <row r="119" spans="2:6" x14ac:dyDescent="0.35">
      <c r="B119" s="1" t="s">
        <v>1363</v>
      </c>
      <c r="C119" s="1">
        <f>+AVERAGE(C113:C118)</f>
        <v>0.40333333333333332</v>
      </c>
      <c r="D119" s="30"/>
      <c r="E119" s="30"/>
      <c r="F119" s="30"/>
    </row>
    <row r="120" spans="2:6" x14ac:dyDescent="0.35">
      <c r="B120" s="1900" t="s">
        <v>1485</v>
      </c>
      <c r="D120" s="30"/>
      <c r="E120" s="30"/>
    </row>
  </sheetData>
  <mergeCells count="22">
    <mergeCell ref="S58:X58"/>
    <mergeCell ref="L2:O2"/>
    <mergeCell ref="P2:S2"/>
    <mergeCell ref="T2:W2"/>
    <mergeCell ref="C32:G32"/>
    <mergeCell ref="C34:G34"/>
    <mergeCell ref="C36:G36"/>
    <mergeCell ref="C58:E58"/>
    <mergeCell ref="F58:H58"/>
    <mergeCell ref="I58:K58"/>
    <mergeCell ref="L58:N58"/>
    <mergeCell ref="Q58:R58"/>
    <mergeCell ref="B102:D102"/>
    <mergeCell ref="C70:E70"/>
    <mergeCell ref="F70:H70"/>
    <mergeCell ref="I70:K70"/>
    <mergeCell ref="L70:N70"/>
    <mergeCell ref="B85:M85"/>
    <mergeCell ref="E87:F87"/>
    <mergeCell ref="G87:H87"/>
    <mergeCell ref="I87:J87"/>
    <mergeCell ref="K87:L87"/>
  </mergeCells>
  <dataValidations disablePrompts="1" count="3">
    <dataValidation type="list" allowBlank="1" showInputMessage="1" showErrorMessage="1" sqref="G4:G6" xr:uid="{4AA15DC8-0A0E-49B0-82A7-364F71F3E82C}">
      <formula1>$F$104:$F$105</formula1>
    </dataValidation>
    <dataValidation type="list" allowBlank="1" showInputMessage="1" showErrorMessage="1" sqref="F4:F6" xr:uid="{C995E17F-B0F0-45CC-91FA-9046D32031AE}">
      <formula1>$B$72:$B$83</formula1>
    </dataValidation>
    <dataValidation type="list" allowBlank="1" showInputMessage="1" showErrorMessage="1" sqref="D4:D7" xr:uid="{7B811A37-334B-4511-9596-1EB38DC9CDFC}">
      <formula1>MeasureType</formula1>
    </dataValidation>
  </dataValidations>
  <hyperlinks>
    <hyperlink ref="A1" location="'Measure-Level Adjustments'!Print_Titles" display="Measure Level Tab" xr:uid="{8D29141A-F9AE-4130-A457-1FF6F7CF8589}"/>
  </hyperlink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O56"/>
  <sheetViews>
    <sheetView zoomScaleNormal="100" workbookViewId="0">
      <selection activeCell="C12" sqref="C12"/>
    </sheetView>
  </sheetViews>
  <sheetFormatPr defaultRowHeight="14.5" x14ac:dyDescent="0.35"/>
  <cols>
    <col min="1" max="1" width="26.54296875" customWidth="1"/>
    <col min="2" max="2" width="28.26953125" bestFit="1" customWidth="1"/>
    <col min="3" max="3" width="18.54296875" customWidth="1"/>
    <col min="4" max="4" width="19.1796875" customWidth="1"/>
    <col min="5" max="5" width="35.81640625" customWidth="1"/>
    <col min="6" max="6" width="38.453125" bestFit="1" customWidth="1"/>
    <col min="7" max="7" width="16.1796875" bestFit="1" customWidth="1"/>
    <col min="8" max="9" width="23.54296875" customWidth="1"/>
    <col min="10" max="10" width="10.7265625" customWidth="1"/>
    <col min="11" max="11" width="10" bestFit="1" customWidth="1"/>
    <col min="12" max="12" width="9.7265625" bestFit="1" customWidth="1"/>
    <col min="13" max="13" width="10.26953125" customWidth="1"/>
    <col min="14" max="15" width="11.26953125" customWidth="1"/>
  </cols>
  <sheetData>
    <row r="1" spans="1:15" ht="15" customHeight="1" x14ac:dyDescent="0.35">
      <c r="A1" s="1428" t="s">
        <v>395</v>
      </c>
      <c r="B1" s="948"/>
      <c r="C1" s="948"/>
      <c r="D1" s="948"/>
      <c r="E1" s="949"/>
      <c r="F1" s="949"/>
      <c r="G1" s="949"/>
      <c r="H1" s="949"/>
      <c r="I1" s="950"/>
      <c r="J1" s="3045" t="s">
        <v>1032</v>
      </c>
      <c r="K1" s="3046"/>
      <c r="L1" s="3047"/>
      <c r="M1" s="3045" t="s">
        <v>1033</v>
      </c>
      <c r="N1" s="3046"/>
      <c r="O1" s="3047"/>
    </row>
    <row r="2" spans="1:15" s="199" customFormat="1" x14ac:dyDescent="0.35">
      <c r="A2" s="952" t="s">
        <v>1035</v>
      </c>
      <c r="B2" s="952" t="s">
        <v>155</v>
      </c>
      <c r="C2" s="953" t="s">
        <v>1036</v>
      </c>
      <c r="D2" s="953" t="s">
        <v>1037</v>
      </c>
      <c r="E2" s="952" t="s">
        <v>1038</v>
      </c>
      <c r="F2" s="952" t="s">
        <v>1039</v>
      </c>
      <c r="G2" s="952" t="s">
        <v>1040</v>
      </c>
      <c r="H2" s="952" t="s">
        <v>1041</v>
      </c>
      <c r="I2" s="952" t="s">
        <v>1043</v>
      </c>
      <c r="J2" s="990" t="s">
        <v>1044</v>
      </c>
      <c r="K2" s="990" t="s">
        <v>1045</v>
      </c>
      <c r="L2" s="990" t="s">
        <v>1046</v>
      </c>
      <c r="M2" s="990" t="s">
        <v>1044</v>
      </c>
      <c r="N2" s="990" t="s">
        <v>1045</v>
      </c>
      <c r="O2" s="990" t="s">
        <v>1046</v>
      </c>
    </row>
    <row r="3" spans="1:15" s="60" customFormat="1" x14ac:dyDescent="0.35">
      <c r="A3" s="955" t="s">
        <v>395</v>
      </c>
      <c r="B3" s="955" t="s">
        <v>1486</v>
      </c>
      <c r="C3" s="956" t="s">
        <v>394</v>
      </c>
      <c r="D3" s="957" t="s">
        <v>1071</v>
      </c>
      <c r="E3" s="958" t="s">
        <v>1072</v>
      </c>
      <c r="F3" s="2614">
        <f>B52</f>
        <v>12</v>
      </c>
      <c r="G3" s="2615">
        <f>B53</f>
        <v>1000</v>
      </c>
      <c r="H3" s="965" t="s">
        <v>1284</v>
      </c>
      <c r="I3" s="965"/>
      <c r="J3" s="991"/>
      <c r="K3" s="992"/>
      <c r="L3" s="2590">
        <f>B23</f>
        <v>512.46381181318702</v>
      </c>
      <c r="M3" s="991"/>
      <c r="N3" s="992"/>
      <c r="O3" s="2590">
        <f>L3*F3</f>
        <v>6149.5657417582443</v>
      </c>
    </row>
    <row r="5" spans="1:15" ht="15" thickBot="1" x14ac:dyDescent="0.4"/>
    <row r="6" spans="1:15" ht="15" thickBot="1" x14ac:dyDescent="0.4">
      <c r="A6" s="74" t="s">
        <v>1188</v>
      </c>
      <c r="B6" s="64"/>
      <c r="C6" s="64"/>
      <c r="D6" s="64"/>
      <c r="E6" s="64"/>
      <c r="F6" s="65"/>
    </row>
    <row r="7" spans="1:15" x14ac:dyDescent="0.35">
      <c r="A7" s="67" t="s">
        <v>1487</v>
      </c>
      <c r="B7" s="68"/>
      <c r="C7" s="69"/>
      <c r="D7" s="69"/>
      <c r="E7" s="69"/>
      <c r="F7" s="70"/>
    </row>
    <row r="8" spans="1:15" x14ac:dyDescent="0.35">
      <c r="A8" s="2811" t="s">
        <v>1488</v>
      </c>
      <c r="B8" s="2812"/>
      <c r="C8" s="2813"/>
      <c r="D8" s="2813"/>
      <c r="E8" s="2813"/>
      <c r="F8" s="2814"/>
    </row>
    <row r="9" spans="1:15" x14ac:dyDescent="0.35">
      <c r="A9" s="3048" t="s">
        <v>1489</v>
      </c>
      <c r="B9" s="3049"/>
      <c r="C9" s="3049"/>
      <c r="D9" s="3049"/>
      <c r="E9" s="3049"/>
      <c r="F9" s="3050"/>
      <c r="G9" s="50"/>
      <c r="H9" s="50"/>
      <c r="I9" s="50"/>
    </row>
    <row r="10" spans="1:15" ht="15" thickBot="1" x14ac:dyDescent="0.4">
      <c r="A10" s="2815" t="s">
        <v>1490</v>
      </c>
      <c r="B10" s="2816"/>
      <c r="C10" s="2816"/>
      <c r="D10" s="2816"/>
      <c r="E10" s="2816"/>
      <c r="F10" s="2817"/>
    </row>
    <row r="11" spans="1:15" ht="15" thickBot="1" x14ac:dyDescent="0.4">
      <c r="A11" s="154" t="s">
        <v>1078</v>
      </c>
      <c r="B11" s="2619">
        <v>44474</v>
      </c>
    </row>
    <row r="12" spans="1:15" ht="15" thickBot="1" x14ac:dyDescent="0.4">
      <c r="A12" s="154" t="s">
        <v>1079</v>
      </c>
      <c r="B12" s="2620" t="s">
        <v>1491</v>
      </c>
    </row>
    <row r="17" spans="1:7" ht="15" thickBot="1" x14ac:dyDescent="0.4"/>
    <row r="18" spans="1:7" ht="15" thickBot="1" x14ac:dyDescent="0.4">
      <c r="A18" s="2598" t="s">
        <v>1296</v>
      </c>
      <c r="B18" s="3043" t="s">
        <v>1492</v>
      </c>
      <c r="C18" s="3043"/>
      <c r="D18" s="3044"/>
    </row>
    <row r="19" spans="1:7" ht="15" thickBot="1" x14ac:dyDescent="0.4">
      <c r="A19" s="2599"/>
      <c r="B19" s="2600" t="s">
        <v>1046</v>
      </c>
      <c r="C19" s="2569" t="s">
        <v>1493</v>
      </c>
      <c r="D19" s="2569" t="s">
        <v>1494</v>
      </c>
    </row>
    <row r="20" spans="1:7" x14ac:dyDescent="0.35">
      <c r="A20" s="2601" t="s">
        <v>1297</v>
      </c>
      <c r="B20" s="2602">
        <f>C20-D20</f>
        <v>64519.230769230766</v>
      </c>
      <c r="C20" s="2602">
        <f>($B32*(($B$26-$B$44/60)-$B$30/B36))</f>
        <v>185500</v>
      </c>
      <c r="D20" s="2602">
        <f>($B34*(($B$26-$B$44/60)-$B$30/$B38))</f>
        <v>120980.76923076923</v>
      </c>
    </row>
    <row r="21" spans="1:7" x14ac:dyDescent="0.35">
      <c r="A21" s="2603" t="s">
        <v>1298</v>
      </c>
      <c r="B21" s="2604">
        <f>C21-D21</f>
        <v>2500</v>
      </c>
      <c r="C21" s="2605">
        <f>$B$40</f>
        <v>18500</v>
      </c>
      <c r="D21" s="2605">
        <f>$B$42</f>
        <v>16000</v>
      </c>
    </row>
    <row r="22" spans="1:7" x14ac:dyDescent="0.35">
      <c r="A22" s="2601" t="s">
        <v>1299</v>
      </c>
      <c r="B22" s="2602">
        <f>C22-D22</f>
        <v>73285.71428571429</v>
      </c>
      <c r="C22" s="2602">
        <f>$B$30*($B$50/$B$46)</f>
        <v>244285.71428571429</v>
      </c>
      <c r="D22" s="2602">
        <f>$B$30*($B$50/$B$48)</f>
        <v>171000</v>
      </c>
    </row>
    <row r="23" spans="1:7" x14ac:dyDescent="0.35">
      <c r="A23" s="2601" t="s">
        <v>1464</v>
      </c>
      <c r="B23" s="2604">
        <f>C23-D23</f>
        <v>512.46381181318702</v>
      </c>
      <c r="C23" s="2602">
        <f>(C20+C21+C22)*$B$28/100000</f>
        <v>1637.3635714285717</v>
      </c>
      <c r="D23" s="2602">
        <f>(D20+D21+D22)*$B$28/100000</f>
        <v>1124.8997596153847</v>
      </c>
    </row>
    <row r="24" spans="1:7" ht="15" thickBot="1" x14ac:dyDescent="0.4"/>
    <row r="25" spans="1:7" ht="15" thickBot="1" x14ac:dyDescent="0.4">
      <c r="A25" s="637" t="s">
        <v>1285</v>
      </c>
      <c r="B25" s="638" t="s">
        <v>1199</v>
      </c>
      <c r="C25" s="639" t="s">
        <v>1082</v>
      </c>
      <c r="D25" s="383"/>
      <c r="E25" s="384"/>
      <c r="F25" s="1811" t="s">
        <v>1389</v>
      </c>
      <c r="G25" s="1812" t="s">
        <v>1390</v>
      </c>
    </row>
    <row r="26" spans="1:7" x14ac:dyDescent="0.35">
      <c r="A26" s="856" t="s">
        <v>1300</v>
      </c>
      <c r="B26" s="354">
        <v>16</v>
      </c>
      <c r="C26" s="79" t="s">
        <v>1495</v>
      </c>
      <c r="D26" s="80"/>
      <c r="E26" s="81"/>
      <c r="F26" s="93" t="s">
        <v>1496</v>
      </c>
      <c r="G26" s="81"/>
    </row>
    <row r="27" spans="1:7" ht="15" thickBot="1" x14ac:dyDescent="0.4">
      <c r="A27" s="857"/>
      <c r="B27" s="127"/>
      <c r="C27" s="84" t="s">
        <v>1497</v>
      </c>
      <c r="D27" s="85"/>
      <c r="E27" s="86"/>
      <c r="F27" s="88"/>
      <c r="G27" s="86"/>
    </row>
    <row r="28" spans="1:7" x14ac:dyDescent="0.35">
      <c r="A28" s="856" t="s">
        <v>1063</v>
      </c>
      <c r="B28" s="354">
        <v>365.25</v>
      </c>
      <c r="C28" s="79" t="s">
        <v>1303</v>
      </c>
      <c r="D28" s="80"/>
      <c r="E28" s="81"/>
      <c r="F28" s="93" t="s">
        <v>1496</v>
      </c>
      <c r="G28" s="81"/>
    </row>
    <row r="29" spans="1:7" ht="15" thickBot="1" x14ac:dyDescent="0.4">
      <c r="A29" s="857"/>
      <c r="B29" s="127"/>
      <c r="C29" s="84" t="s">
        <v>1304</v>
      </c>
      <c r="D29" s="85"/>
      <c r="E29" s="86"/>
      <c r="F29" s="88"/>
      <c r="G29" s="86"/>
    </row>
    <row r="30" spans="1:7" x14ac:dyDescent="0.35">
      <c r="A30" s="856" t="s">
        <v>1498</v>
      </c>
      <c r="B30" s="354">
        <v>150</v>
      </c>
      <c r="C30" s="79" t="s">
        <v>1306</v>
      </c>
      <c r="D30" s="80"/>
      <c r="E30" s="81"/>
      <c r="F30" s="93" t="s">
        <v>1496</v>
      </c>
      <c r="G30" s="81"/>
    </row>
    <row r="31" spans="1:7" ht="15" thickBot="1" x14ac:dyDescent="0.4">
      <c r="A31" s="857"/>
      <c r="B31" s="127"/>
      <c r="C31" s="84" t="s">
        <v>1499</v>
      </c>
      <c r="D31" s="85"/>
      <c r="E31" s="86"/>
      <c r="F31" s="88"/>
      <c r="G31" s="86"/>
    </row>
    <row r="32" spans="1:7" x14ac:dyDescent="0.35">
      <c r="A32" s="856" t="s">
        <v>1500</v>
      </c>
      <c r="B32" s="875">
        <v>14000</v>
      </c>
      <c r="C32" s="79" t="s">
        <v>1501</v>
      </c>
      <c r="D32" s="80" t="s">
        <v>1502</v>
      </c>
      <c r="E32" s="81"/>
      <c r="F32" s="93" t="s">
        <v>1496</v>
      </c>
      <c r="G32" s="81"/>
    </row>
    <row r="33" spans="1:7" ht="15" thickBot="1" x14ac:dyDescent="0.4">
      <c r="A33" s="857"/>
      <c r="B33" s="2597">
        <v>16000</v>
      </c>
      <c r="C33" s="84" t="s">
        <v>1503</v>
      </c>
      <c r="D33" s="85"/>
      <c r="E33" s="86"/>
      <c r="F33" s="88"/>
      <c r="G33" s="86"/>
    </row>
    <row r="34" spans="1:7" x14ac:dyDescent="0.35">
      <c r="A34" s="856" t="s">
        <v>1504</v>
      </c>
      <c r="B34" s="875">
        <v>9000</v>
      </c>
      <c r="C34" s="79" t="s">
        <v>1501</v>
      </c>
      <c r="D34" s="80" t="s">
        <v>1505</v>
      </c>
      <c r="E34" s="81"/>
      <c r="F34" s="93" t="s">
        <v>1496</v>
      </c>
      <c r="G34" s="81"/>
    </row>
    <row r="35" spans="1:7" ht="15" thickBot="1" x14ac:dyDescent="0.4">
      <c r="A35" s="857"/>
      <c r="B35" s="2597">
        <v>12000</v>
      </c>
      <c r="C35" s="84" t="s">
        <v>1503</v>
      </c>
      <c r="D35" s="85"/>
      <c r="E35" s="86"/>
      <c r="F35" s="88"/>
      <c r="G35" s="86"/>
    </row>
    <row r="36" spans="1:7" x14ac:dyDescent="0.35">
      <c r="A36" s="856" t="s">
        <v>1506</v>
      </c>
      <c r="B36" s="875">
        <v>60</v>
      </c>
      <c r="C36" s="79" t="s">
        <v>1501</v>
      </c>
      <c r="D36" s="80" t="s">
        <v>1507</v>
      </c>
      <c r="E36" s="81"/>
      <c r="F36" s="93" t="s">
        <v>1496</v>
      </c>
      <c r="G36" s="81"/>
    </row>
    <row r="37" spans="1:7" ht="15" thickBot="1" x14ac:dyDescent="0.4">
      <c r="A37" s="857"/>
      <c r="B37" s="2597">
        <v>100</v>
      </c>
      <c r="C37" s="84" t="s">
        <v>1503</v>
      </c>
      <c r="D37" s="85"/>
      <c r="E37" s="86"/>
      <c r="F37" s="88"/>
      <c r="G37" s="86"/>
    </row>
    <row r="38" spans="1:7" x14ac:dyDescent="0.35">
      <c r="A38" s="856" t="s">
        <v>1508</v>
      </c>
      <c r="B38" s="875">
        <v>65</v>
      </c>
      <c r="C38" s="79" t="s">
        <v>1501</v>
      </c>
      <c r="D38" s="80" t="s">
        <v>1509</v>
      </c>
      <c r="E38" s="81"/>
      <c r="F38" s="93" t="s">
        <v>1496</v>
      </c>
      <c r="G38" s="81"/>
    </row>
    <row r="39" spans="1:7" ht="15" thickBot="1" x14ac:dyDescent="0.4">
      <c r="A39" s="857"/>
      <c r="B39" s="2597">
        <v>110</v>
      </c>
      <c r="C39" s="84" t="s">
        <v>1503</v>
      </c>
      <c r="D39" s="85"/>
      <c r="E39" s="86"/>
      <c r="F39" s="88"/>
      <c r="G39" s="86"/>
    </row>
    <row r="40" spans="1:7" x14ac:dyDescent="0.35">
      <c r="A40" s="2592" t="s">
        <v>1510</v>
      </c>
      <c r="B40" s="2593">
        <v>18500</v>
      </c>
      <c r="C40" s="2594" t="s">
        <v>1511</v>
      </c>
      <c r="D40" s="2595"/>
      <c r="E40" s="2596"/>
      <c r="F40" s="2606" t="s">
        <v>1496</v>
      </c>
      <c r="G40" s="2596"/>
    </row>
    <row r="41" spans="1:7" ht="15" thickBot="1" x14ac:dyDescent="0.4">
      <c r="A41" s="2612"/>
      <c r="B41" s="2613"/>
      <c r="C41" s="2610"/>
      <c r="D41" s="2611"/>
      <c r="E41" s="2574"/>
      <c r="F41" s="2608"/>
      <c r="G41" s="2574"/>
    </row>
    <row r="42" spans="1:7" x14ac:dyDescent="0.35">
      <c r="A42" s="2592" t="s">
        <v>1512</v>
      </c>
      <c r="B42" s="2593">
        <v>16000</v>
      </c>
      <c r="C42" s="2594" t="s">
        <v>1513</v>
      </c>
      <c r="D42" s="2595"/>
      <c r="E42" s="2596"/>
      <c r="F42" s="2606" t="s">
        <v>1496</v>
      </c>
      <c r="G42" s="2596"/>
    </row>
    <row r="43" spans="1:7" ht="15" thickBot="1" x14ac:dyDescent="0.4">
      <c r="A43" s="2612" t="s">
        <v>1514</v>
      </c>
      <c r="B43" s="2613"/>
      <c r="C43" s="2610"/>
      <c r="D43" s="2611"/>
      <c r="E43" s="2574"/>
      <c r="F43" s="2608"/>
      <c r="G43" s="2574"/>
    </row>
    <row r="44" spans="1:7" x14ac:dyDescent="0.35">
      <c r="A44" s="856" t="s">
        <v>1515</v>
      </c>
      <c r="B44" s="354">
        <v>15</v>
      </c>
      <c r="C44" s="79" t="s">
        <v>1516</v>
      </c>
      <c r="D44" s="80"/>
      <c r="E44" s="81"/>
      <c r="F44" s="93" t="s">
        <v>1496</v>
      </c>
      <c r="G44" s="81"/>
    </row>
    <row r="45" spans="1:7" ht="15" thickBot="1" x14ac:dyDescent="0.4">
      <c r="A45" s="857"/>
      <c r="B45" s="127"/>
      <c r="C45" s="84" t="s">
        <v>1326</v>
      </c>
      <c r="D45" s="85"/>
      <c r="E45" s="86"/>
      <c r="F45" s="88"/>
      <c r="G45" s="86"/>
    </row>
    <row r="46" spans="1:7" x14ac:dyDescent="0.35">
      <c r="A46" s="856" t="s">
        <v>1517</v>
      </c>
      <c r="B46" s="858">
        <v>0.35</v>
      </c>
      <c r="C46" s="55" t="s">
        <v>1518</v>
      </c>
      <c r="D46" s="80"/>
      <c r="E46" s="81"/>
      <c r="F46" s="93" t="s">
        <v>1496</v>
      </c>
      <c r="G46" s="81"/>
    </row>
    <row r="47" spans="1:7" ht="15" thickBot="1" x14ac:dyDescent="0.4">
      <c r="A47" s="857"/>
      <c r="B47" s="861"/>
      <c r="C47" s="84" t="s">
        <v>1519</v>
      </c>
      <c r="D47" s="85"/>
      <c r="E47" s="86"/>
      <c r="F47" s="88"/>
      <c r="G47" s="86"/>
    </row>
    <row r="48" spans="1:7" x14ac:dyDescent="0.35">
      <c r="A48" s="856" t="s">
        <v>1520</v>
      </c>
      <c r="B48" s="858">
        <v>0.5</v>
      </c>
      <c r="C48" s="79" t="s">
        <v>1521</v>
      </c>
      <c r="D48" s="80"/>
      <c r="E48" s="81"/>
      <c r="F48" s="93" t="s">
        <v>1496</v>
      </c>
      <c r="G48" s="81"/>
    </row>
    <row r="49" spans="1:7" ht="15" thickBot="1" x14ac:dyDescent="0.4">
      <c r="A49" s="857"/>
      <c r="B49" s="861"/>
      <c r="C49" s="84" t="s">
        <v>1519</v>
      </c>
      <c r="D49" s="85"/>
      <c r="E49" s="86"/>
      <c r="F49" s="88"/>
      <c r="G49" s="86"/>
    </row>
    <row r="50" spans="1:7" x14ac:dyDescent="0.35">
      <c r="A50" s="856" t="s">
        <v>1522</v>
      </c>
      <c r="B50" s="862">
        <v>570</v>
      </c>
      <c r="C50" s="79" t="s">
        <v>1347</v>
      </c>
      <c r="D50" s="80"/>
      <c r="E50" s="81"/>
      <c r="F50" s="93" t="s">
        <v>1496</v>
      </c>
      <c r="G50" s="81"/>
    </row>
    <row r="51" spans="1:7" ht="15" thickBot="1" x14ac:dyDescent="0.4">
      <c r="A51" s="857"/>
      <c r="B51" s="865"/>
      <c r="C51" s="84" t="s">
        <v>1523</v>
      </c>
      <c r="D51" s="85"/>
      <c r="E51" s="86"/>
      <c r="F51" s="88"/>
      <c r="G51" s="86"/>
    </row>
    <row r="52" spans="1:7" ht="15" thickBot="1" x14ac:dyDescent="0.4">
      <c r="A52" s="866" t="s">
        <v>1083</v>
      </c>
      <c r="B52" s="867">
        <v>12</v>
      </c>
      <c r="C52" s="679" t="s">
        <v>1084</v>
      </c>
      <c r="D52" s="364"/>
      <c r="E52" s="96"/>
      <c r="F52" s="94" t="s">
        <v>1524</v>
      </c>
      <c r="G52" s="96"/>
    </row>
    <row r="53" spans="1:7" x14ac:dyDescent="0.35">
      <c r="A53" s="2606" t="s">
        <v>1040</v>
      </c>
      <c r="B53" s="2607">
        <v>1000</v>
      </c>
      <c r="C53" s="2594" t="s">
        <v>1501</v>
      </c>
      <c r="D53" s="2595"/>
      <c r="E53" s="2596"/>
      <c r="F53" s="2606" t="s">
        <v>1524</v>
      </c>
      <c r="G53" s="2596"/>
    </row>
    <row r="54" spans="1:7" ht="15" thickBot="1" x14ac:dyDescent="0.4">
      <c r="A54" s="2608"/>
      <c r="B54" s="2609">
        <v>1200</v>
      </c>
      <c r="C54" s="2610" t="s">
        <v>1503</v>
      </c>
      <c r="D54" s="2611"/>
      <c r="E54" s="2574"/>
      <c r="F54" s="2608"/>
      <c r="G54" s="2574"/>
    </row>
    <row r="55" spans="1:7" x14ac:dyDescent="0.35">
      <c r="A55" s="863" t="s">
        <v>1253</v>
      </c>
      <c r="C55" s="55" t="s">
        <v>1525</v>
      </c>
      <c r="E55" s="253"/>
      <c r="F55" s="254"/>
      <c r="G55" s="253"/>
    </row>
    <row r="56" spans="1:7" ht="15" thickBot="1" x14ac:dyDescent="0.4">
      <c r="A56" s="857" t="s">
        <v>1255</v>
      </c>
      <c r="B56" s="85"/>
      <c r="C56" s="3041" t="s">
        <v>1526</v>
      </c>
      <c r="D56" s="3041"/>
      <c r="E56" s="3042"/>
      <c r="F56" s="88"/>
      <c r="G56" s="86"/>
    </row>
  </sheetData>
  <customSheetViews>
    <customSheetView guid="{ECD6FE6A-9548-414E-B8AA-6998703C57E0}" scale="60" showPageBreaks="1" fitToPage="1" view="pageBreakPreview">
      <pageMargins left="0" right="0" top="0" bottom="0" header="0" footer="0"/>
      <pageSetup scale="42" orientation="landscape" verticalDpi="300" r:id="rId1"/>
    </customSheetView>
    <customSheetView guid="{11DE45F5-F478-4ED6-8DFF-12002C22A637}" scale="60" showPageBreaks="1" fitToPage="1" view="pageBreakPreview">
      <pageMargins left="0" right="0" top="0" bottom="0" header="0" footer="0"/>
      <pageSetup scale="42" orientation="landscape" verticalDpi="300" r:id="rId2"/>
    </customSheetView>
  </customSheetViews>
  <mergeCells count="5">
    <mergeCell ref="C56:E56"/>
    <mergeCell ref="B18:D18"/>
    <mergeCell ref="J1:L1"/>
    <mergeCell ref="M1:O1"/>
    <mergeCell ref="A9:F9"/>
  </mergeCells>
  <dataValidations count="1">
    <dataValidation type="list" allowBlank="1" showInputMessage="1" showErrorMessage="1" sqref="D3" xr:uid="{00000000-0002-0000-0700-000000000000}">
      <formula1>MeasureType</formula1>
    </dataValidation>
  </dataValidations>
  <pageMargins left="0.7" right="0.7" top="0.75" bottom="0.75" header="0.3" footer="0.3"/>
  <pageSetup scale="41" orientation="landscape" verticalDpi="300"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G e m i n i   x m l n s = " h t t p : / / g e m i n i / p i v o t c u s t o m i z a t i o n / R e l a t i o n s h i p A u t o D e t e c t i o n E n a b l e d " > < C u s t o m C o n t e n t > < ! [ C D A T A [ T r u e ] ] > < / C u s t o m C o n t e n t > < / G e m i n i > 
</file>

<file path=customXml/item5.xml>��< ? x m l   v e r s i o n = " 1 . 0 "   e n c o d i n g = " U T F - 1 6 " ? > < G e m i n i   x m l n s = " h t t p : / / g e m i n i / p i v o t c u s t o m i z a t i o n / P o w e r P i v o t V e r s i o n " > < C u s t o m C o n t e n t > < ! [ C D A T A [ 2 0 1 5 . 1 3 0 . 8 0 0 . 7 6 9 ] ] > < / C u s t o m C o n t e n t > < / G e m i n i > 
</file>

<file path=customXml/item6.xml>��< ? x m l   v e r s i o n = " 1 . 0 "   e n c o d i n g = " U T F - 1 6 " ? > < G e m i n i   x m l n s = " h t t p : / / g e m i n i / p i v o t c u s t o m i z a t i o n / 0 7 d 0 3 1 0 9 - 5 a 1 a - 4 a 3 9 - 9 0 f 2 - 4 a 4 6 b a 2 4 3 2 5 c " > < C u s t o m C o n t e n t > < ! [ C D A T A [ < ? x m l   v e r s i o n = " 1 . 0 "   e n c o d i n g = " u t f - 1 6 " ? > < S e t t i n g s > < C a l c u l a t e d F i e l d s > < i t e m > < M e a s u r e N a m e > C o u n t B l a n k < / M e a s u r e N a m e > < D i s p l a y N a m e > C o u n t B l a n k < / D i s p l a y N a m e > < V i s i b l e > F a l s e < / V i s i b l e > < / i t e m > < i t e m > < M e a s u r e N a m e > C o u n t < / M e a s u r e N a m e > < D i s p l a y N a m e > C o u n t < / D i s p l a y N a m e > < V i s i b l e > F a l s e < / V i s i b l e > < / i t e m > < i t e m > < M e a s u r e N a m e > A v e I n p u t C a p < / M e a s u r e N a m e > < D i s p l a y N a m e > A v e I n p u t C a p < / D i s p l a y N a m e > < V i s i b l e > F a l s e < / V i s i b l e > < / i t e m > < / C a l c u l a t e d F i e l d s > < S A H o s t H a s h > 0 < / S A H o s t H a s h > < G e m i n i F i e l d L i s t V i s i b l e > T r u e < / G e m i n i F i e l d L i s t V i s i b l e > < / S e t t i n g s > ] ] > < / 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A496856824F1CD44B534E18AE1199744" ma:contentTypeVersion="4" ma:contentTypeDescription="Create a new document." ma:contentTypeScope="" ma:versionID="f447cce78e0d839257673de36b80e3cc">
  <xsd:schema xmlns:xsd="http://www.w3.org/2001/XMLSchema" xmlns:xs="http://www.w3.org/2001/XMLSchema" xmlns:p="http://schemas.microsoft.com/office/2006/metadata/properties" xmlns:ns2="6d5b8daa-c948-4f1b-988d-3d20da4707ee" targetNamespace="http://schemas.microsoft.com/office/2006/metadata/properties" ma:root="true" ma:fieldsID="6dcb78627844f770225ca5454a53be75" ns2:_="">
    <xsd:import namespace="6d5b8daa-c948-4f1b-988d-3d20da4707e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b8daa-c948-4f1b-988d-3d20da4707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 2 0 1 9 - 0 1 - 1 5 T 1 6 : 5 2 : 5 9 . 3 5 6 9 6 6 8 - 0 6 : 0 0 < / L a s t P r o c e s s e d T i m e > < / D a t a M o d e l i n g S a n d b o x . S e r i a l i z e d S a n d b o x E r r o r C a c h e > ] ] > < / 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8E229579-30A9-4348-BC05-0FC9EB0CBFFF}">
  <ds:schemaRefs>
    <ds:schemaRef ds:uri="http://gemini/pivotcustomization/IsSandboxEmbedded"/>
  </ds:schemaRefs>
</ds:datastoreItem>
</file>

<file path=customXml/itemProps2.xml><?xml version="1.0" encoding="utf-8"?>
<ds:datastoreItem xmlns:ds="http://schemas.openxmlformats.org/officeDocument/2006/customXml" ds:itemID="{F2230F38-8191-4417-BD56-71ECEED366BD}">
  <ds:schemaRefs>
    <ds:schemaRef ds:uri="http://schemas.microsoft.com/office/infopath/2007/PartnerControls"/>
    <ds:schemaRef ds:uri="http://www.w3.org/XML/1998/namespace"/>
    <ds:schemaRef ds:uri="http://purl.org/dc/terms/"/>
    <ds:schemaRef ds:uri="http://purl.org/dc/elements/1.1/"/>
    <ds:schemaRef ds:uri="6d5b8daa-c948-4f1b-988d-3d20da4707ee"/>
    <ds:schemaRef ds:uri="http://schemas.microsoft.com/office/2006/documentManagement/types"/>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1C423E54-5B31-4844-BF9C-19A8C007E1E0}">
  <ds:schemaRefs>
    <ds:schemaRef ds:uri="http://schemas.microsoft.com/sharepoint/v3/contenttype/forms"/>
  </ds:schemaRefs>
</ds:datastoreItem>
</file>

<file path=customXml/itemProps4.xml><?xml version="1.0" encoding="utf-8"?>
<ds:datastoreItem xmlns:ds="http://schemas.openxmlformats.org/officeDocument/2006/customXml" ds:itemID="{CF6131CE-C109-47F2-B3B2-1066092C0780}">
  <ds:schemaRefs>
    <ds:schemaRef ds:uri="http://gemini/pivotcustomization/RelationshipAutoDetectionEnabled"/>
  </ds:schemaRefs>
</ds:datastoreItem>
</file>

<file path=customXml/itemProps5.xml><?xml version="1.0" encoding="utf-8"?>
<ds:datastoreItem xmlns:ds="http://schemas.openxmlformats.org/officeDocument/2006/customXml" ds:itemID="{0D7B3FEF-C4A6-4694-933E-49846F0E7D6F}">
  <ds:schemaRefs>
    <ds:schemaRef ds:uri="http://gemini/pivotcustomization/PowerPivotVersion"/>
  </ds:schemaRefs>
</ds:datastoreItem>
</file>

<file path=customXml/itemProps6.xml><?xml version="1.0" encoding="utf-8"?>
<ds:datastoreItem xmlns:ds="http://schemas.openxmlformats.org/officeDocument/2006/customXml" ds:itemID="{EF562E88-687E-4253-93CA-FBA352438465}">
  <ds:schemaRefs>
    <ds:schemaRef ds:uri="http://gemini/pivotcustomization/07d03109-5a1a-4a39-90f2-4a46ba24325c"/>
  </ds:schemaRefs>
</ds:datastoreItem>
</file>

<file path=customXml/itemProps7.xml><?xml version="1.0" encoding="utf-8"?>
<ds:datastoreItem xmlns:ds="http://schemas.openxmlformats.org/officeDocument/2006/customXml" ds:itemID="{F86426C2-1A9D-4FA3-BBE5-641E8AF7D7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b8daa-c948-4f1b-988d-3d20da4707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xml><?xml version="1.0" encoding="utf-8"?>
<ds:datastoreItem xmlns:ds="http://schemas.openxmlformats.org/officeDocument/2006/customXml" ds:itemID="{23074E1F-D239-461B-B019-4164FB05D81C}">
  <ds:schemaRefs>
    <ds:schemaRef ds:uri="http://gemini/pivotcustomization/ErrorCache"/>
  </ds:schemaRefs>
</ds:datastoreItem>
</file>

<file path=customXml/itemProps9.xml><?xml version="1.0" encoding="utf-8"?>
<ds:datastoreItem xmlns:ds="http://schemas.openxmlformats.org/officeDocument/2006/customXml" ds:itemID="{C632C4CE-CF7C-4B4E-8365-91FB58ED5A98}">
  <ds:schemaRefs>
    <ds:schemaRef ds:uri="http://gemini/pivotcustomization/SandboxNonEmpt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101</vt:i4>
      </vt:variant>
    </vt:vector>
  </HeadingPairs>
  <TitlesOfParts>
    <vt:vector size="176" baseType="lpstr">
      <vt:lpstr>Guidelines</vt:lpstr>
      <vt:lpstr>Program-Level Adjustments</vt:lpstr>
      <vt:lpstr>Measure-Level Adjustments</vt:lpstr>
      <vt:lpstr>4.2.1</vt:lpstr>
      <vt:lpstr>4.2.3</vt:lpstr>
      <vt:lpstr>4.2.4</vt:lpstr>
      <vt:lpstr>4.2.5</vt:lpstr>
      <vt:lpstr>4.2.6</vt:lpstr>
      <vt:lpstr>4.2.7</vt:lpstr>
      <vt:lpstr>4.2.8</vt:lpstr>
      <vt:lpstr>4.2.11</vt:lpstr>
      <vt:lpstr>4.2.12</vt:lpstr>
      <vt:lpstr>4.2.13</vt:lpstr>
      <vt:lpstr>4.2.16</vt:lpstr>
      <vt:lpstr>4.2.14</vt:lpstr>
      <vt:lpstr>4.2.15</vt:lpstr>
      <vt:lpstr>4.2.17</vt:lpstr>
      <vt:lpstr>4.2.18</vt:lpstr>
      <vt:lpstr>4.3.1</vt:lpstr>
      <vt:lpstr>4.3.2</vt:lpstr>
      <vt:lpstr>4.3.3</vt:lpstr>
      <vt:lpstr>4.3.4</vt:lpstr>
      <vt:lpstr>4.3.6</vt:lpstr>
      <vt:lpstr>4.3.8</vt:lpstr>
      <vt:lpstr>4.4.2</vt:lpstr>
      <vt:lpstr>4.4.3</vt:lpstr>
      <vt:lpstr>4.4.4</vt:lpstr>
      <vt:lpstr>4.4.5</vt:lpstr>
      <vt:lpstr>4.4.10</vt:lpstr>
      <vt:lpstr>4.4.11</vt:lpstr>
      <vt:lpstr>4.4.12</vt:lpstr>
      <vt:lpstr>4.4.14</vt:lpstr>
      <vt:lpstr>4.4.24 </vt:lpstr>
      <vt:lpstr>4.4.16</vt:lpstr>
      <vt:lpstr>4.4.18</vt:lpstr>
      <vt:lpstr>4.4.19</vt:lpstr>
      <vt:lpstr>4.4.36</vt:lpstr>
      <vt:lpstr>4.4.38</vt:lpstr>
      <vt:lpstr>4.4.47</vt:lpstr>
      <vt:lpstr>4.4.48</vt:lpstr>
      <vt:lpstr>4.4.49</vt:lpstr>
      <vt:lpstr>4.4.52</vt:lpstr>
      <vt:lpstr>4.8.4</vt:lpstr>
      <vt:lpstr>4.8.12</vt:lpstr>
      <vt:lpstr>4.8.16</vt:lpstr>
      <vt:lpstr>5.3.4</vt:lpstr>
      <vt:lpstr>5.3.6</vt:lpstr>
      <vt:lpstr>5.3.7</vt:lpstr>
      <vt:lpstr>5.3.11</vt:lpstr>
      <vt:lpstr>5.3.13</vt:lpstr>
      <vt:lpstr>5.3.16</vt:lpstr>
      <vt:lpstr>5.3.17</vt:lpstr>
      <vt:lpstr>5.3.19</vt:lpstr>
      <vt:lpstr>5.4.1</vt:lpstr>
      <vt:lpstr>5.4.2</vt:lpstr>
      <vt:lpstr>5.4.4</vt:lpstr>
      <vt:lpstr>5.4.5</vt:lpstr>
      <vt:lpstr>5.4.6</vt:lpstr>
      <vt:lpstr>5.4.9</vt:lpstr>
      <vt:lpstr>5.4.11</vt:lpstr>
      <vt:lpstr>5.6.1</vt:lpstr>
      <vt:lpstr>5.6.1 Kit 4</vt:lpstr>
      <vt:lpstr>5.6.2</vt:lpstr>
      <vt:lpstr>5.6.3</vt:lpstr>
      <vt:lpstr>5.6.4&amp;5.6.5</vt:lpstr>
      <vt:lpstr>5.6.6</vt:lpstr>
      <vt:lpstr>5.6.7</vt:lpstr>
      <vt:lpstr>Kits</vt:lpstr>
      <vt:lpstr>RNC</vt:lpstr>
      <vt:lpstr>RNC - Prescriptive Adjustment</vt:lpstr>
      <vt:lpstr>List</vt:lpstr>
      <vt:lpstr>Customized TRM 4.2.11</vt:lpstr>
      <vt:lpstr>Customized TRM 4.4.14</vt:lpstr>
      <vt:lpstr>Customized TRM 4.4.48</vt:lpstr>
      <vt:lpstr>Column Labels</vt:lpstr>
      <vt:lpstr>'5.6.1 Kit 4'!_ftn1</vt:lpstr>
      <vt:lpstr>'4.3.1'!_ftn2</vt:lpstr>
      <vt:lpstr>'5.6.1 Kit 4'!_ftn2</vt:lpstr>
      <vt:lpstr>'5.3.16'!_ftn3</vt:lpstr>
      <vt:lpstr>'5.4.5'!_ftn4</vt:lpstr>
      <vt:lpstr>'5.4.9'!_ftn4</vt:lpstr>
      <vt:lpstr>'5.6.1 Kit 4'!_ftnref1</vt:lpstr>
      <vt:lpstr>'5.4.4'!_ftnref2</vt:lpstr>
      <vt:lpstr>'5.6.1 Kit 4'!_ftnref2</vt:lpstr>
      <vt:lpstr>'4.3.2'!_ftnref3</vt:lpstr>
      <vt:lpstr>'5.4.4'!_ftnref3</vt:lpstr>
      <vt:lpstr>'5.4.5'!_ftnref4</vt:lpstr>
      <vt:lpstr>'5.4.9'!_ftnref4</vt:lpstr>
      <vt:lpstr>'4.4.12'!_Ref325899123</vt:lpstr>
      <vt:lpstr>'4.4.36'!_Toc441221844</vt:lpstr>
      <vt:lpstr>BLRCtl1</vt:lpstr>
      <vt:lpstr>'4.4.14'!Building1</vt:lpstr>
      <vt:lpstr>'4.4.24 '!Building1</vt:lpstr>
      <vt:lpstr>'4.4.14'!Building2</vt:lpstr>
      <vt:lpstr>'4.4.24 '!Building2</vt:lpstr>
      <vt:lpstr>'4.4.36'!Climate1</vt:lpstr>
      <vt:lpstr>'5.3.6'!Custom_Climate</vt:lpstr>
      <vt:lpstr>'5.3.4'!DISl1</vt:lpstr>
      <vt:lpstr>'5.3.4'!DISl2</vt:lpstr>
      <vt:lpstr>'5.3.4'!DISl3</vt:lpstr>
      <vt:lpstr>'5.3.4'!DISl4</vt:lpstr>
      <vt:lpstr>'5.3.4'!DISl5</vt:lpstr>
      <vt:lpstr>ESDW1</vt:lpstr>
      <vt:lpstr>EStarG1</vt:lpstr>
      <vt:lpstr>'5.6.3'!FIAC1</vt:lpstr>
      <vt:lpstr>'4.2.6'!Fuel1</vt:lpstr>
      <vt:lpstr>'5.4.1'!Fuel2</vt:lpstr>
      <vt:lpstr>'4.3.4'!Fuel3</vt:lpstr>
      <vt:lpstr>Fuel3</vt:lpstr>
      <vt:lpstr>'5.3.7'!GHEF1</vt:lpstr>
      <vt:lpstr>'5.3.7'!GHEF2</vt:lpstr>
      <vt:lpstr>'5.4.2'!GWHr1</vt:lpstr>
      <vt:lpstr>'5.4.2'!GWHr2</vt:lpstr>
      <vt:lpstr>'4.4.10'!HEBr1</vt:lpstr>
      <vt:lpstr>'4.4.47'!HEBr1</vt:lpstr>
      <vt:lpstr>'4.8.12'!HEBr1</vt:lpstr>
      <vt:lpstr>'4.8.16'!HEBr1</vt:lpstr>
      <vt:lpstr>'4.4.10'!HEBr3</vt:lpstr>
      <vt:lpstr>'4.4.47'!HEBr3</vt:lpstr>
      <vt:lpstr>'4.8.12'!HEBr3</vt:lpstr>
      <vt:lpstr>'4.8.16'!HEBr3</vt:lpstr>
      <vt:lpstr>'4.4.10'!HEBr4</vt:lpstr>
      <vt:lpstr>'4.4.47'!HEBr4</vt:lpstr>
      <vt:lpstr>'4.8.12'!HEBr4</vt:lpstr>
      <vt:lpstr>'4.8.16'!HEBr4</vt:lpstr>
      <vt:lpstr>'4.4.10'!HEBr5</vt:lpstr>
      <vt:lpstr>'4.4.47'!HEBr5</vt:lpstr>
      <vt:lpstr>'4.8.12'!HEBr5</vt:lpstr>
      <vt:lpstr>'4.8.16'!HEBr5</vt:lpstr>
      <vt:lpstr>HEFr3</vt:lpstr>
      <vt:lpstr>HEFr4</vt:lpstr>
      <vt:lpstr>Indoor_Outdoor</vt:lpstr>
      <vt:lpstr>'4.2.16'!KDVC1</vt:lpstr>
      <vt:lpstr>'5.4.4'!LFFA1</vt:lpstr>
      <vt:lpstr>LFFA1</vt:lpstr>
      <vt:lpstr>'5.4.4'!LFFA2</vt:lpstr>
      <vt:lpstr>LFFA2</vt:lpstr>
      <vt:lpstr>'4.3.4'!LFSh1</vt:lpstr>
      <vt:lpstr>'5.4.5'!LFSh1</vt:lpstr>
      <vt:lpstr>'5.4.9'!LFSh1</vt:lpstr>
      <vt:lpstr>'5.4.5'!LFSh2</vt:lpstr>
      <vt:lpstr>'5.4.9'!LFSh2</vt:lpstr>
      <vt:lpstr>'4.2.1'!OLE_LINK1</vt:lpstr>
      <vt:lpstr>'4.4.18'!PgTs1</vt:lpstr>
      <vt:lpstr>'5.3.16'!PgTs1</vt:lpstr>
      <vt:lpstr>'5.3.16'!PgTs2</vt:lpstr>
      <vt:lpstr>'5.3.16'!PgTs3</vt:lpstr>
      <vt:lpstr>'4.2.11'!Print_Area</vt:lpstr>
      <vt:lpstr>'4.3.1'!Print_Area</vt:lpstr>
      <vt:lpstr>'4.3.2'!Print_Area</vt:lpstr>
      <vt:lpstr>'4.3.3'!Print_Area</vt:lpstr>
      <vt:lpstr>'4.3.4'!Print_Area</vt:lpstr>
      <vt:lpstr>'4.3.6'!Print_Area</vt:lpstr>
      <vt:lpstr>'4.4.12'!Print_Area</vt:lpstr>
      <vt:lpstr>'4.4.16'!Print_Area</vt:lpstr>
      <vt:lpstr>'4.4.3'!Print_Area</vt:lpstr>
      <vt:lpstr>'4.4.4'!Print_Area</vt:lpstr>
      <vt:lpstr>'5.6.4&amp;5.6.5'!Print_Area</vt:lpstr>
      <vt:lpstr>Kits!Print_Area</vt:lpstr>
      <vt:lpstr>'Measure-Level Adjustments'!Print_Area</vt:lpstr>
      <vt:lpstr>'Program-Level Adjustments'!Print_Area</vt:lpstr>
      <vt:lpstr>'Measure-Level Adjustments'!Print_Titles</vt:lpstr>
      <vt:lpstr>'Program-Level Adjustments'!Print_Titles</vt:lpstr>
      <vt:lpstr>'5.3.7'!retire_furnace</vt:lpstr>
      <vt:lpstr>STRRr1</vt:lpstr>
      <vt:lpstr>'4.4.16'!STRRr2</vt:lpstr>
      <vt:lpstr>SWHr1</vt:lpstr>
      <vt:lpstr>SWHr3</vt:lpstr>
      <vt:lpstr>SWHr4</vt:lpstr>
      <vt:lpstr>'4.4.24 '!System1</vt:lpstr>
      <vt:lpstr>'4.4.14'!System2</vt:lpstr>
      <vt:lpstr>'4.4.24 '!System2</vt:lpstr>
      <vt:lpstr>'4.4.14'!System3</vt:lpstr>
      <vt:lpstr>'4.4.24 '!System3</vt:lpstr>
      <vt:lpstr>'4.4.14'!System4</vt:lpstr>
      <vt:lpstr>'4.4.24 '!System4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keywords/>
  <dc:description/>
  <cp:lastModifiedBy>CJ Consulting</cp:lastModifiedBy>
  <cp:revision/>
  <dcterms:created xsi:type="dcterms:W3CDTF">2015-06-27T00:40:35Z</dcterms:created>
  <dcterms:modified xsi:type="dcterms:W3CDTF">2022-03-29T17:26:11Z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0x010100A496856824F1CD44B534E18AE1199744</vt:lpwstr>
  </property>
</Properties>
</file>